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drawings/drawing4.xml" ContentType="application/vnd.openxmlformats-officedocument.drawing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drawings/drawing6.xml" ContentType="application/vnd.openxmlformats-officedocument.drawing+xml"/>
  <Override PartName="/xl/tables/table6.xml" ContentType="application/vnd.openxmlformats-officedocument.spreadsheetml.table+xml"/>
  <Override PartName="/xl/drawings/drawing7.xml" ContentType="application/vnd.openxmlformats-officedocument.drawing+xml"/>
  <Override PartName="/xl/tables/table7.xml" ContentType="application/vnd.openxmlformats-officedocument.spreadsheetml.table+xml"/>
  <Override PartName="/xl/drawings/drawing8.xml" ContentType="application/vnd.openxmlformats-officedocument.drawing+xml"/>
  <Override PartName="/xl/tables/table8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  ARCHIVO   2 0 2 2\CENTRAL #09 SEPTIEMBRE 2022\"/>
    </mc:Choice>
  </mc:AlternateContent>
  <bookViews>
    <workbookView xWindow="0" yWindow="0" windowWidth="17655" windowHeight="11220" firstSheet="5" activeTab="7"/>
  </bookViews>
  <sheets>
    <sheet name="ENERO    2 0 2 2    " sheetId="1" r:id="rId1"/>
    <sheet name="FEBRERO     2022    " sheetId="2" r:id="rId2"/>
    <sheet name="    MARZO     2022    " sheetId="3" r:id="rId3"/>
    <sheet name="    A B R I L     2 0 2 2     " sheetId="4" r:id="rId4"/>
    <sheet name="    M A Y O      2  0 2 2      " sheetId="6" r:id="rId5"/>
    <sheet name="   J U N I O     2 0 2 2      " sheetId="5" r:id="rId6"/>
    <sheet name="   J U L I O     2 0 2 2    " sheetId="7" r:id="rId7"/>
    <sheet name="    A G O S T O    2 0 2 2    " sheetId="8" r:id="rId8"/>
    <sheet name="Hoja1" sheetId="9" r:id="rId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F3175" i="8" l="1"/>
  <c r="F2904" i="8" l="1"/>
  <c r="F2795" i="7"/>
  <c r="F3222" i="8" l="1"/>
  <c r="E3227" i="8" s="1"/>
  <c r="D3222" i="8"/>
  <c r="G3221" i="8"/>
  <c r="G3220" i="8"/>
  <c r="G3219" i="8"/>
  <c r="G3218" i="8"/>
  <c r="G3217" i="8"/>
  <c r="G3216" i="8"/>
  <c r="G3215" i="8"/>
  <c r="G3214" i="8"/>
  <c r="G3213" i="8"/>
  <c r="G3212" i="8"/>
  <c r="G3211" i="8"/>
  <c r="G3210" i="8"/>
  <c r="G3209" i="8"/>
  <c r="G3208" i="8"/>
  <c r="G3207" i="8"/>
  <c r="G3206" i="8"/>
  <c r="G3205" i="8"/>
  <c r="G3204" i="8"/>
  <c r="G3203" i="8"/>
  <c r="G3202" i="8"/>
  <c r="G3201" i="8"/>
  <c r="G3200" i="8"/>
  <c r="G3199" i="8"/>
  <c r="G3198" i="8"/>
  <c r="G3197" i="8"/>
  <c r="G3196" i="8"/>
  <c r="G3195" i="8"/>
  <c r="G3194" i="8"/>
  <c r="G3193" i="8"/>
  <c r="G3192" i="8"/>
  <c r="G3191" i="8"/>
  <c r="G3190" i="8"/>
  <c r="G3189" i="8"/>
  <c r="G3188" i="8"/>
  <c r="G3187" i="8"/>
  <c r="G3186" i="8"/>
  <c r="G3185" i="8"/>
  <c r="G3184" i="8"/>
  <c r="G3183" i="8"/>
  <c r="G3182" i="8"/>
  <c r="G3181" i="8"/>
  <c r="G3180" i="8"/>
  <c r="G3179" i="8"/>
  <c r="G3178" i="8"/>
  <c r="G3177" i="8"/>
  <c r="G3176" i="8"/>
  <c r="G3175" i="8"/>
  <c r="G3174" i="8"/>
  <c r="G3173" i="8"/>
  <c r="G3172" i="8"/>
  <c r="G3171" i="8"/>
  <c r="G3170" i="8"/>
  <c r="G3169" i="8"/>
  <c r="G3168" i="8"/>
  <c r="G3167" i="8"/>
  <c r="G3166" i="8"/>
  <c r="G3165" i="8"/>
  <c r="G3164" i="8"/>
  <c r="G3163" i="8"/>
  <c r="G3162" i="8"/>
  <c r="G3161" i="8"/>
  <c r="G3160" i="8"/>
  <c r="G3159" i="8"/>
  <c r="G3158" i="8"/>
  <c r="G3157" i="8"/>
  <c r="G3156" i="8"/>
  <c r="G3155" i="8"/>
  <c r="G3154" i="8"/>
  <c r="G3153" i="8"/>
  <c r="G3152" i="8"/>
  <c r="G3151" i="8"/>
  <c r="G3150" i="8"/>
  <c r="G3149" i="8"/>
  <c r="G3148" i="8"/>
  <c r="G3147" i="8"/>
  <c r="G3146" i="8"/>
  <c r="G3145" i="8"/>
  <c r="G3144" i="8"/>
  <c r="G3143" i="8"/>
  <c r="G3142" i="8"/>
  <c r="G3141" i="8"/>
  <c r="G3140" i="8"/>
  <c r="G3139" i="8"/>
  <c r="G3138" i="8"/>
  <c r="G3137" i="8"/>
  <c r="G3136" i="8"/>
  <c r="G3135" i="8"/>
  <c r="G3134" i="8"/>
  <c r="G3133" i="8"/>
  <c r="G3132" i="8"/>
  <c r="G3131" i="8"/>
  <c r="G3130" i="8"/>
  <c r="G3129" i="8"/>
  <c r="G3128" i="8"/>
  <c r="G3127" i="8"/>
  <c r="G3126" i="8"/>
  <c r="G3125" i="8"/>
  <c r="G3124" i="8"/>
  <c r="G3123" i="8"/>
  <c r="G3122" i="8"/>
  <c r="G3121" i="8"/>
  <c r="G3120" i="8"/>
  <c r="G3119" i="8"/>
  <c r="G3118" i="8"/>
  <c r="G3117" i="8"/>
  <c r="G3116" i="8"/>
  <c r="G3115" i="8"/>
  <c r="G3114" i="8"/>
  <c r="G3113" i="8"/>
  <c r="G3112" i="8"/>
  <c r="G3111" i="8"/>
  <c r="G3110" i="8"/>
  <c r="G3109" i="8"/>
  <c r="G3108" i="8"/>
  <c r="G3107" i="8"/>
  <c r="G3106" i="8"/>
  <c r="G3105" i="8"/>
  <c r="G3104" i="8"/>
  <c r="G3103" i="8"/>
  <c r="G3102" i="8"/>
  <c r="G3101" i="8"/>
  <c r="G3100" i="8"/>
  <c r="G3099" i="8"/>
  <c r="G3098" i="8"/>
  <c r="G3097" i="8"/>
  <c r="G3096" i="8"/>
  <c r="G3095" i="8"/>
  <c r="G3094" i="8"/>
  <c r="G3093" i="8"/>
  <c r="G3092" i="8"/>
  <c r="G3091" i="8"/>
  <c r="G3090" i="8"/>
  <c r="G3089" i="8"/>
  <c r="G3088" i="8"/>
  <c r="G3087" i="8"/>
  <c r="G3086" i="8"/>
  <c r="G3085" i="8"/>
  <c r="G3084" i="8"/>
  <c r="G3083" i="8"/>
  <c r="G3082" i="8"/>
  <c r="G3081" i="8"/>
  <c r="G3080" i="8"/>
  <c r="G3079" i="8"/>
  <c r="G3078" i="8"/>
  <c r="G3077" i="8"/>
  <c r="G3076" i="8"/>
  <c r="G3075" i="8"/>
  <c r="G3074" i="8"/>
  <c r="G3073" i="8"/>
  <c r="G3072" i="8"/>
  <c r="G3071" i="8"/>
  <c r="G3070" i="8"/>
  <c r="G3069" i="8"/>
  <c r="G3068" i="8"/>
  <c r="G3067" i="8"/>
  <c r="G3066" i="8"/>
  <c r="G3065" i="8"/>
  <c r="G3064" i="8"/>
  <c r="G3063" i="8"/>
  <c r="G3062" i="8"/>
  <c r="G3061" i="8"/>
  <c r="G3060" i="8"/>
  <c r="G3059" i="8"/>
  <c r="G3058" i="8"/>
  <c r="G3057" i="8"/>
  <c r="G3056" i="8"/>
  <c r="G3055" i="8"/>
  <c r="G3054" i="8"/>
  <c r="G3053" i="8"/>
  <c r="G3052" i="8"/>
  <c r="G3051" i="8"/>
  <c r="G3050" i="8"/>
  <c r="G3049" i="8"/>
  <c r="G3048" i="8"/>
  <c r="G3047" i="8"/>
  <c r="G3046" i="8"/>
  <c r="G3045" i="8"/>
  <c r="G3044" i="8"/>
  <c r="G3043" i="8"/>
  <c r="G3042" i="8"/>
  <c r="G3041" i="8"/>
  <c r="G3040" i="8"/>
  <c r="G3039" i="8"/>
  <c r="G3038" i="8"/>
  <c r="G3037" i="8"/>
  <c r="G3036" i="8"/>
  <c r="G3035" i="8"/>
  <c r="G3034" i="8"/>
  <c r="G3033" i="8"/>
  <c r="G3032" i="8"/>
  <c r="G3031" i="8"/>
  <c r="G3030" i="8"/>
  <c r="G3029" i="8"/>
  <c r="G3028" i="8"/>
  <c r="G3027" i="8"/>
  <c r="G3026" i="8"/>
  <c r="G3025" i="8"/>
  <c r="G3024" i="8"/>
  <c r="G3023" i="8"/>
  <c r="G3022" i="8"/>
  <c r="G3021" i="8"/>
  <c r="G3020" i="8"/>
  <c r="G3019" i="8"/>
  <c r="G3018" i="8"/>
  <c r="G3017" i="8"/>
  <c r="G3016" i="8"/>
  <c r="G3015" i="8"/>
  <c r="G3014" i="8"/>
  <c r="G3013" i="8"/>
  <c r="G3012" i="8"/>
  <c r="G3011" i="8"/>
  <c r="G3010" i="8"/>
  <c r="G3009" i="8"/>
  <c r="G3008" i="8"/>
  <c r="G3007" i="8"/>
  <c r="G3006" i="8"/>
  <c r="G3005" i="8"/>
  <c r="G3004" i="8"/>
  <c r="G3003" i="8"/>
  <c r="G3002" i="8"/>
  <c r="G3001" i="8"/>
  <c r="G3000" i="8"/>
  <c r="G2999" i="8"/>
  <c r="G2998" i="8"/>
  <c r="G2997" i="8"/>
  <c r="G2996" i="8"/>
  <c r="G2995" i="8"/>
  <c r="G2994" i="8"/>
  <c r="G2993" i="8"/>
  <c r="G2992" i="8"/>
  <c r="G2991" i="8"/>
  <c r="G2990" i="8"/>
  <c r="G2989" i="8"/>
  <c r="G2988" i="8"/>
  <c r="G2987" i="8"/>
  <c r="G2986" i="8"/>
  <c r="G2985" i="8"/>
  <c r="G2984" i="8"/>
  <c r="G2983" i="8"/>
  <c r="G2982" i="8"/>
  <c r="G2981" i="8"/>
  <c r="G2980" i="8"/>
  <c r="G2979" i="8"/>
  <c r="G2978" i="8"/>
  <c r="G2977" i="8"/>
  <c r="G2976" i="8"/>
  <c r="G2975" i="8"/>
  <c r="G2974" i="8"/>
  <c r="G2973" i="8"/>
  <c r="G2972" i="8"/>
  <c r="G2971" i="8"/>
  <c r="G2970" i="8"/>
  <c r="G2969" i="8"/>
  <c r="G2968" i="8"/>
  <c r="G2967" i="8"/>
  <c r="G2966" i="8"/>
  <c r="G2965" i="8"/>
  <c r="G2964" i="8"/>
  <c r="G2963" i="8"/>
  <c r="G2962" i="8"/>
  <c r="G2961" i="8"/>
  <c r="G2960" i="8"/>
  <c r="G2959" i="8"/>
  <c r="G2958" i="8"/>
  <c r="G2957" i="8"/>
  <c r="G2956" i="8"/>
  <c r="G2955" i="8"/>
  <c r="G2954" i="8"/>
  <c r="G2953" i="8"/>
  <c r="G2952" i="8"/>
  <c r="G2951" i="8"/>
  <c r="G2950" i="8"/>
  <c r="G2949" i="8"/>
  <c r="G2948" i="8"/>
  <c r="G2947" i="8"/>
  <c r="G2946" i="8"/>
  <c r="G2945" i="8"/>
  <c r="G2944" i="8"/>
  <c r="G2943" i="8"/>
  <c r="G2942" i="8"/>
  <c r="G2941" i="8"/>
  <c r="G2940" i="8"/>
  <c r="G2939" i="8"/>
  <c r="G2938" i="8"/>
  <c r="G2937" i="8"/>
  <c r="G2936" i="8"/>
  <c r="G2935" i="8"/>
  <c r="G2934" i="8"/>
  <c r="G2933" i="8"/>
  <c r="G2932" i="8"/>
  <c r="G2931" i="8"/>
  <c r="G2930" i="8"/>
  <c r="G2929" i="8"/>
  <c r="G2928" i="8"/>
  <c r="G2927" i="8"/>
  <c r="G2926" i="8"/>
  <c r="G2925" i="8"/>
  <c r="G2924" i="8"/>
  <c r="G2923" i="8"/>
  <c r="G2922" i="8"/>
  <c r="G2921" i="8"/>
  <c r="G2920" i="8"/>
  <c r="G2919" i="8"/>
  <c r="G2918" i="8"/>
  <c r="G2917" i="8"/>
  <c r="G2916" i="8"/>
  <c r="G2915" i="8"/>
  <c r="G2914" i="8"/>
  <c r="G2913" i="8"/>
  <c r="G2912" i="8"/>
  <c r="G2911" i="8"/>
  <c r="F2911" i="8"/>
  <c r="G2910" i="8"/>
  <c r="G2909" i="8"/>
  <c r="G2908" i="8"/>
  <c r="G2907" i="8"/>
  <c r="G2906" i="8"/>
  <c r="G2905" i="8"/>
  <c r="G2904" i="8"/>
  <c r="G3222" i="8" s="1"/>
  <c r="G2903" i="8"/>
  <c r="G2902" i="8"/>
  <c r="G2901" i="8"/>
  <c r="G2900" i="8"/>
  <c r="G2899" i="8"/>
  <c r="G2898" i="8"/>
  <c r="G2897" i="8"/>
  <c r="G2896" i="8"/>
  <c r="G2895" i="8"/>
  <c r="G2894" i="8"/>
  <c r="G2893" i="8"/>
  <c r="G2892" i="8"/>
  <c r="G2891" i="8"/>
  <c r="G2890" i="8"/>
  <c r="G2889" i="8"/>
  <c r="G2888" i="8"/>
  <c r="G2887" i="8"/>
  <c r="G2886" i="8"/>
  <c r="G2885" i="8"/>
  <c r="G2884" i="8"/>
  <c r="G2883" i="8"/>
  <c r="G2882" i="8"/>
  <c r="G2881" i="8"/>
  <c r="G2880" i="8"/>
  <c r="G2879" i="8"/>
  <c r="G2878" i="8"/>
  <c r="G2877" i="8"/>
  <c r="G2876" i="8"/>
  <c r="G2875" i="8"/>
  <c r="G2874" i="8"/>
  <c r="G2873" i="8"/>
  <c r="G2872" i="8"/>
  <c r="G2871" i="8"/>
  <c r="G2870" i="8"/>
  <c r="G2869" i="8"/>
  <c r="G2868" i="8"/>
  <c r="G2867" i="8"/>
  <c r="G2866" i="8"/>
  <c r="G2865" i="8"/>
  <c r="G2864" i="8"/>
  <c r="G2863" i="8"/>
  <c r="G2862" i="8"/>
  <c r="G2861" i="8"/>
  <c r="G2860" i="8"/>
  <c r="G2859" i="8"/>
  <c r="G2858" i="8"/>
  <c r="G2857" i="8"/>
  <c r="G2856" i="8"/>
  <c r="G2855" i="8"/>
  <c r="G2854" i="8"/>
  <c r="G2853" i="8"/>
  <c r="G2852" i="8"/>
  <c r="G2851" i="8"/>
  <c r="G2850" i="8"/>
  <c r="G2849" i="8"/>
  <c r="G2848" i="8"/>
  <c r="G2847" i="8"/>
  <c r="G2846" i="8"/>
  <c r="G2845" i="8"/>
  <c r="G2844" i="8"/>
  <c r="G2843" i="8"/>
  <c r="G2842" i="8"/>
  <c r="G2841" i="8"/>
  <c r="G2840" i="8"/>
  <c r="G2839" i="8"/>
  <c r="G2838" i="8"/>
  <c r="G2837" i="8"/>
  <c r="G2836" i="8"/>
  <c r="G2835" i="8"/>
  <c r="G2834" i="8"/>
  <c r="G2833" i="8"/>
  <c r="G2832" i="8"/>
  <c r="G2831" i="8"/>
  <c r="G2830" i="8"/>
  <c r="G2829" i="8"/>
  <c r="G2828" i="8"/>
  <c r="G2827" i="8"/>
  <c r="G2826" i="8"/>
  <c r="G2825" i="8"/>
  <c r="G2824" i="8"/>
  <c r="G2823" i="8"/>
  <c r="G2822" i="8"/>
  <c r="G2821" i="8"/>
  <c r="G2820" i="8"/>
  <c r="G2819" i="8"/>
  <c r="G2818" i="8"/>
  <c r="G2817" i="8"/>
  <c r="G2816" i="8"/>
  <c r="G2815" i="8"/>
  <c r="G2814" i="8"/>
  <c r="G2813" i="8"/>
  <c r="G2812" i="8"/>
  <c r="G2811" i="8"/>
  <c r="G2810" i="8"/>
  <c r="G2809" i="8"/>
  <c r="G2808" i="8"/>
  <c r="G2807" i="8"/>
  <c r="G2806" i="8"/>
  <c r="G2805" i="8"/>
  <c r="G2804" i="8"/>
  <c r="G2803" i="8"/>
  <c r="G2802" i="8"/>
  <c r="G2801" i="8"/>
  <c r="G2800" i="8"/>
  <c r="G2799" i="8"/>
  <c r="G2798" i="8"/>
  <c r="G2797" i="8"/>
  <c r="G2796" i="8"/>
  <c r="G2795" i="8"/>
  <c r="G2794" i="8"/>
  <c r="G2793" i="8"/>
  <c r="G2792" i="8"/>
  <c r="G2791" i="8"/>
  <c r="G2790" i="8"/>
  <c r="G2789" i="8"/>
  <c r="G2788" i="8"/>
  <c r="G2787" i="8"/>
  <c r="G2786" i="8"/>
  <c r="G2785" i="8"/>
  <c r="G2784" i="8"/>
  <c r="G2783" i="8"/>
  <c r="G2782" i="8"/>
  <c r="G2781" i="8"/>
  <c r="G2780" i="8"/>
  <c r="G2779" i="8"/>
  <c r="G2778" i="8"/>
  <c r="G2777" i="8"/>
  <c r="G2776" i="8"/>
  <c r="G2775" i="8"/>
  <c r="G2774" i="8"/>
  <c r="G2773" i="8"/>
  <c r="G2772" i="8"/>
  <c r="G2771" i="8"/>
  <c r="G2770" i="8"/>
  <c r="G2769" i="8"/>
  <c r="G2768" i="8"/>
  <c r="G2767" i="8"/>
  <c r="G2766" i="8"/>
  <c r="G2765" i="8"/>
  <c r="G2764" i="8"/>
  <c r="G2763" i="8"/>
  <c r="G2762" i="8"/>
  <c r="G2761" i="8"/>
  <c r="G2760" i="8"/>
  <c r="G2759" i="8"/>
  <c r="G2758" i="8"/>
  <c r="G2757" i="8"/>
  <c r="G2756" i="8"/>
  <c r="G2755" i="8"/>
  <c r="G2754" i="8"/>
  <c r="G2753" i="8"/>
  <c r="G2752" i="8"/>
  <c r="G2751" i="8"/>
  <c r="G2750" i="8"/>
  <c r="G2749" i="8"/>
  <c r="G2748" i="8"/>
  <c r="G2747" i="8"/>
  <c r="G2746" i="8"/>
  <c r="G2745" i="8"/>
  <c r="G2744" i="8"/>
  <c r="G2743" i="8"/>
  <c r="G2742" i="8"/>
  <c r="G2741" i="8"/>
  <c r="G2740" i="8"/>
  <c r="G2739" i="8"/>
  <c r="G2738" i="8"/>
  <c r="G2737" i="8"/>
  <c r="G2736" i="8"/>
  <c r="G2735" i="8"/>
  <c r="G2734" i="8"/>
  <c r="G2733" i="8"/>
  <c r="G2732" i="8"/>
  <c r="G2731" i="8"/>
  <c r="G2730" i="8"/>
  <c r="F2730" i="8"/>
  <c r="G2729" i="8"/>
  <c r="G2728" i="8"/>
  <c r="G2727" i="8"/>
  <c r="F2727" i="8"/>
  <c r="G2726" i="8"/>
  <c r="G2725" i="8"/>
  <c r="G2724" i="8"/>
  <c r="G2723" i="8"/>
  <c r="G2722" i="8"/>
  <c r="G2721" i="8"/>
  <c r="G2720" i="8"/>
  <c r="G2719" i="8"/>
  <c r="G2718" i="8"/>
  <c r="G2717" i="8"/>
  <c r="G2716" i="8"/>
  <c r="G2715" i="8"/>
  <c r="G2714" i="8"/>
  <c r="G2713" i="8"/>
  <c r="G2712" i="8"/>
  <c r="G2711" i="8"/>
  <c r="G2710" i="8"/>
  <c r="G2709" i="8"/>
  <c r="G2708" i="8"/>
  <c r="G2707" i="8"/>
  <c r="G2706" i="8"/>
  <c r="G2705" i="8"/>
  <c r="G2704" i="8"/>
  <c r="G2703" i="8"/>
  <c r="G2702" i="8"/>
  <c r="G2701" i="8"/>
  <c r="G2700" i="8"/>
  <c r="G2699" i="8"/>
  <c r="G2698" i="8"/>
  <c r="G2697" i="8"/>
  <c r="G2696" i="8"/>
  <c r="G2695" i="8"/>
  <c r="G2694" i="8"/>
  <c r="G2693" i="8"/>
  <c r="G2692" i="8"/>
  <c r="G2691" i="8"/>
  <c r="G2690" i="8"/>
  <c r="G2689" i="8"/>
  <c r="G2688" i="8"/>
  <c r="G2687" i="8"/>
  <c r="G2686" i="8"/>
  <c r="G2685" i="8"/>
  <c r="G2684" i="8"/>
  <c r="G2683" i="8"/>
  <c r="G2682" i="8"/>
  <c r="G2681" i="8"/>
  <c r="G2680" i="8"/>
  <c r="G2679" i="8"/>
  <c r="G2678" i="8"/>
  <c r="G2677" i="8"/>
  <c r="G2676" i="8"/>
  <c r="G2675" i="8"/>
  <c r="G2674" i="8"/>
  <c r="G2673" i="8"/>
  <c r="G2672" i="8"/>
  <c r="G2671" i="8"/>
  <c r="G2670" i="8"/>
  <c r="G2669" i="8"/>
  <c r="G2668" i="8"/>
  <c r="G2667" i="8"/>
  <c r="G2666" i="8"/>
  <c r="G2665" i="8"/>
  <c r="G2664" i="8"/>
  <c r="G2663" i="8"/>
  <c r="G2662" i="8"/>
  <c r="G2661" i="8"/>
  <c r="G2660" i="8"/>
  <c r="G2659" i="8"/>
  <c r="G2658" i="8"/>
  <c r="G2657" i="8"/>
  <c r="G2656" i="8"/>
  <c r="G2655" i="8"/>
  <c r="G2654" i="8"/>
  <c r="G2653" i="8"/>
  <c r="G2652" i="8"/>
  <c r="G2651" i="8"/>
  <c r="G2650" i="8"/>
  <c r="G2649" i="8"/>
  <c r="G2648" i="8"/>
  <c r="G2647" i="8"/>
  <c r="G2646" i="8"/>
  <c r="G2645" i="8"/>
  <c r="G2644" i="8"/>
  <c r="G2643" i="8"/>
  <c r="G2642" i="8"/>
  <c r="G2641" i="8"/>
  <c r="G2640" i="8"/>
  <c r="G2639" i="8"/>
  <c r="G2638" i="8"/>
  <c r="G2637" i="8"/>
  <c r="G2636" i="8"/>
  <c r="G2635" i="8"/>
  <c r="G2634" i="8"/>
  <c r="G2633" i="8"/>
  <c r="G2632" i="8"/>
  <c r="G2631" i="8"/>
  <c r="G2630" i="8"/>
  <c r="G2629" i="8"/>
  <c r="G2628" i="8"/>
  <c r="G2627" i="8"/>
  <c r="G2626" i="8"/>
  <c r="G2625" i="8"/>
  <c r="G2624" i="8"/>
  <c r="G2623" i="8"/>
  <c r="G2622" i="8"/>
  <c r="G2621" i="8"/>
  <c r="G2620" i="8"/>
  <c r="G2619" i="8"/>
  <c r="G2618" i="8"/>
  <c r="G2617" i="8"/>
  <c r="G2616" i="8"/>
  <c r="G2615" i="8"/>
  <c r="G2614" i="8"/>
  <c r="G2613" i="8"/>
  <c r="G2612" i="8"/>
  <c r="G2611" i="8"/>
  <c r="G2610" i="8"/>
  <c r="G2609" i="8"/>
  <c r="G2608" i="8"/>
  <c r="G2607" i="8"/>
  <c r="G2606" i="8"/>
  <c r="G2605" i="8"/>
  <c r="G2604" i="8"/>
  <c r="G2603" i="8"/>
  <c r="G2602" i="8"/>
  <c r="G2601" i="8"/>
  <c r="G2600" i="8"/>
  <c r="G2599" i="8"/>
  <c r="G2598" i="8"/>
  <c r="G2597" i="8"/>
  <c r="G2596" i="8"/>
  <c r="G2595" i="8"/>
  <c r="G2594" i="8"/>
  <c r="G2593" i="8"/>
  <c r="G2592" i="8"/>
  <c r="G2591" i="8"/>
  <c r="G2590" i="8"/>
  <c r="G2589" i="8"/>
  <c r="G2588" i="8"/>
  <c r="G2587" i="8"/>
  <c r="G2586" i="8"/>
  <c r="G2585" i="8"/>
  <c r="G2584" i="8"/>
  <c r="G2583" i="8"/>
  <c r="G2582" i="8"/>
  <c r="G2581" i="8"/>
  <c r="G2580" i="8"/>
  <c r="G2579" i="8"/>
  <c r="G2578" i="8"/>
  <c r="G2577" i="8"/>
  <c r="G2576" i="8"/>
  <c r="G2575" i="8"/>
  <c r="G2574" i="8"/>
  <c r="G2573" i="8"/>
  <c r="G2572" i="8"/>
  <c r="G2571" i="8"/>
  <c r="G2570" i="8"/>
  <c r="G2569" i="8"/>
  <c r="G2568" i="8"/>
  <c r="G2567" i="8"/>
  <c r="G2566" i="8"/>
  <c r="G2565" i="8"/>
  <c r="G2564" i="8"/>
  <c r="G2563" i="8"/>
  <c r="G2562" i="8"/>
  <c r="G2561" i="8"/>
  <c r="G2560" i="8"/>
  <c r="G2559" i="8"/>
  <c r="F2558" i="8"/>
  <c r="G2558" i="8" s="1"/>
  <c r="G2557" i="8"/>
  <c r="G2556" i="8"/>
  <c r="G2555" i="8"/>
  <c r="G2554" i="8"/>
  <c r="G2553" i="8"/>
  <c r="G2552" i="8"/>
  <c r="G2551" i="8"/>
  <c r="G2550" i="8"/>
  <c r="G2549" i="8"/>
  <c r="G2548" i="8"/>
  <c r="G2547" i="8"/>
  <c r="G2546" i="8"/>
  <c r="G2545" i="8"/>
  <c r="G2544" i="8"/>
  <c r="G2543" i="8"/>
  <c r="G2542" i="8"/>
  <c r="G2541" i="8"/>
  <c r="G2540" i="8"/>
  <c r="G2539" i="8"/>
  <c r="G2538" i="8"/>
  <c r="G2537" i="8"/>
  <c r="G2536" i="8"/>
  <c r="G2535" i="8"/>
  <c r="G2534" i="8"/>
  <c r="G2533" i="8"/>
  <c r="G2532" i="8"/>
  <c r="G2531" i="8"/>
  <c r="G2530" i="8"/>
  <c r="G2529" i="8"/>
  <c r="G2528" i="8"/>
  <c r="G2527" i="8"/>
  <c r="G2526" i="8"/>
  <c r="G2525" i="8"/>
  <c r="G2524" i="8"/>
  <c r="G2523" i="8"/>
  <c r="G2522" i="8"/>
  <c r="G2521" i="8"/>
  <c r="G2520" i="8"/>
  <c r="G2519" i="8"/>
  <c r="G2518" i="8"/>
  <c r="G2517" i="8"/>
  <c r="G2516" i="8"/>
  <c r="G2515" i="8"/>
  <c r="G2514" i="8"/>
  <c r="G2513" i="8"/>
  <c r="G2512" i="8"/>
  <c r="G2511" i="8"/>
  <c r="G2510" i="8"/>
  <c r="G2509" i="8"/>
  <c r="G2508" i="8"/>
  <c r="G2507" i="8"/>
  <c r="G2506" i="8"/>
  <c r="G2505" i="8"/>
  <c r="G2504" i="8"/>
  <c r="G2503" i="8"/>
  <c r="G2502" i="8"/>
  <c r="G2501" i="8"/>
  <c r="G2500" i="8"/>
  <c r="G2499" i="8"/>
  <c r="G2498" i="8"/>
  <c r="G2497" i="8"/>
  <c r="G2496" i="8"/>
  <c r="G2495" i="8"/>
  <c r="G2494" i="8"/>
  <c r="G2493" i="8"/>
  <c r="G2492" i="8"/>
  <c r="G2491" i="8"/>
  <c r="G2490" i="8"/>
  <c r="G2489" i="8"/>
  <c r="G2488" i="8"/>
  <c r="G2487" i="8"/>
  <c r="G2486" i="8"/>
  <c r="G2485" i="8"/>
  <c r="G2484" i="8"/>
  <c r="G2483" i="8"/>
  <c r="G2482" i="8"/>
  <c r="G2481" i="8"/>
  <c r="G2480" i="8"/>
  <c r="G2479" i="8"/>
  <c r="G2478" i="8"/>
  <c r="G2477" i="8"/>
  <c r="G2476" i="8"/>
  <c r="G2475" i="8"/>
  <c r="G2474" i="8"/>
  <c r="G2473" i="8"/>
  <c r="G2472" i="8"/>
  <c r="G2471" i="8"/>
  <c r="G2470" i="8"/>
  <c r="G2469" i="8"/>
  <c r="G2468" i="8"/>
  <c r="G2467" i="8"/>
  <c r="G2466" i="8"/>
  <c r="G2465" i="8"/>
  <c r="G2464" i="8"/>
  <c r="G2463" i="8"/>
  <c r="G2462" i="8"/>
  <c r="G2461" i="8"/>
  <c r="G2460" i="8"/>
  <c r="G2459" i="8"/>
  <c r="G2458" i="8"/>
  <c r="G2457" i="8"/>
  <c r="G2456" i="8"/>
  <c r="G2455" i="8"/>
  <c r="G2454" i="8"/>
  <c r="G2453" i="8"/>
  <c r="G2452" i="8"/>
  <c r="G2451" i="8"/>
  <c r="G2450" i="8"/>
  <c r="G2449" i="8"/>
  <c r="G2448" i="8"/>
  <c r="G2447" i="8"/>
  <c r="G2446" i="8"/>
  <c r="G2445" i="8"/>
  <c r="G2444" i="8"/>
  <c r="G2443" i="8"/>
  <c r="G2442" i="8"/>
  <c r="G2441" i="8"/>
  <c r="G2440" i="8"/>
  <c r="G2439" i="8"/>
  <c r="G2438" i="8"/>
  <c r="G2437" i="8"/>
  <c r="G2436" i="8"/>
  <c r="G2435" i="8"/>
  <c r="G2434" i="8"/>
  <c r="G2433" i="8"/>
  <c r="G2432" i="8"/>
  <c r="G2431" i="8"/>
  <c r="G2430" i="8"/>
  <c r="G2429" i="8"/>
  <c r="G2428" i="8"/>
  <c r="G2427" i="8"/>
  <c r="G2426" i="8"/>
  <c r="G2425" i="8"/>
  <c r="G2424" i="8"/>
  <c r="G2423" i="8"/>
  <c r="G2422" i="8"/>
  <c r="G2421" i="8"/>
  <c r="G2420" i="8"/>
  <c r="G2419" i="8"/>
  <c r="G2418" i="8"/>
  <c r="G2417" i="8"/>
  <c r="G2416" i="8"/>
  <c r="G2415" i="8"/>
  <c r="G2414" i="8"/>
  <c r="G2413" i="8"/>
  <c r="G2412" i="8"/>
  <c r="G2411" i="8"/>
  <c r="G2410" i="8"/>
  <c r="G2409" i="8"/>
  <c r="G2408" i="8"/>
  <c r="G2407" i="8"/>
  <c r="G2406" i="8"/>
  <c r="G2405" i="8"/>
  <c r="G2404" i="8"/>
  <c r="G2403" i="8"/>
  <c r="G2402" i="8"/>
  <c r="G2401" i="8"/>
  <c r="G2400" i="8"/>
  <c r="G2399" i="8"/>
  <c r="G2398" i="8"/>
  <c r="G2397" i="8"/>
  <c r="G2396" i="8"/>
  <c r="G2395" i="8"/>
  <c r="G2394" i="8"/>
  <c r="G2393" i="8"/>
  <c r="G2392" i="8"/>
  <c r="G2391" i="8"/>
  <c r="G2390" i="8"/>
  <c r="G2389" i="8"/>
  <c r="G2388" i="8"/>
  <c r="G2387" i="8"/>
  <c r="G2386" i="8"/>
  <c r="G2385" i="8"/>
  <c r="G2384" i="8"/>
  <c r="G2383" i="8"/>
  <c r="G2382" i="8"/>
  <c r="G2381" i="8"/>
  <c r="G2380" i="8"/>
  <c r="G2379" i="8"/>
  <c r="G2378" i="8"/>
  <c r="G2377" i="8"/>
  <c r="G2376" i="8"/>
  <c r="G2375" i="8"/>
  <c r="G2374" i="8"/>
  <c r="G2373" i="8"/>
  <c r="G2372" i="8"/>
  <c r="G2371" i="8"/>
  <c r="G2370" i="8"/>
  <c r="G2369" i="8"/>
  <c r="G2368" i="8"/>
  <c r="G2367" i="8"/>
  <c r="G2366" i="8"/>
  <c r="G2365" i="8"/>
  <c r="G2364" i="8"/>
  <c r="G2363" i="8"/>
  <c r="G2362" i="8"/>
  <c r="G2361" i="8"/>
  <c r="G2360" i="8"/>
  <c r="G2359" i="8"/>
  <c r="G2358" i="8"/>
  <c r="G2357" i="8"/>
  <c r="G2356" i="8"/>
  <c r="G2355" i="8"/>
  <c r="G2354" i="8"/>
  <c r="G2353" i="8"/>
  <c r="G2352" i="8"/>
  <c r="G2351" i="8"/>
  <c r="G2350" i="8"/>
  <c r="G2349" i="8"/>
  <c r="G2348" i="8"/>
  <c r="G2347" i="8"/>
  <c r="G2346" i="8"/>
  <c r="G2345" i="8"/>
  <c r="G2344" i="8"/>
  <c r="G2343" i="8"/>
  <c r="G2342" i="8"/>
  <c r="G2341" i="8"/>
  <c r="G2340" i="8"/>
  <c r="G2339" i="8"/>
  <c r="G2338" i="8"/>
  <c r="G2337" i="8"/>
  <c r="G2336" i="8"/>
  <c r="G2335" i="8"/>
  <c r="G2334" i="8"/>
  <c r="G2333" i="8"/>
  <c r="G2332" i="8"/>
  <c r="G2331" i="8"/>
  <c r="G2330" i="8"/>
  <c r="G2329" i="8"/>
  <c r="G2328" i="8"/>
  <c r="G2327" i="8"/>
  <c r="G2326" i="8"/>
  <c r="G2325" i="8"/>
  <c r="G2324" i="8"/>
  <c r="G2323" i="8"/>
  <c r="G2322" i="8"/>
  <c r="G2321" i="8"/>
  <c r="G2320" i="8"/>
  <c r="G2319" i="8"/>
  <c r="G2318" i="8"/>
  <c r="G2317" i="8"/>
  <c r="G2316" i="8"/>
  <c r="G2315" i="8"/>
  <c r="G2314" i="8"/>
  <c r="G2313" i="8"/>
  <c r="G2312" i="8"/>
  <c r="G2311" i="8"/>
  <c r="G2310" i="8"/>
  <c r="G2309" i="8"/>
  <c r="G2308" i="8"/>
  <c r="G2307" i="8"/>
  <c r="G2306" i="8"/>
  <c r="G2305" i="8"/>
  <c r="G2304" i="8"/>
  <c r="G2303" i="8"/>
  <c r="G2302" i="8"/>
  <c r="G2301" i="8"/>
  <c r="G2300" i="8"/>
  <c r="G2299" i="8"/>
  <c r="G2298" i="8"/>
  <c r="G2297" i="8"/>
  <c r="G2296" i="8"/>
  <c r="G2295" i="8"/>
  <c r="G2294" i="8"/>
  <c r="G2293" i="8"/>
  <c r="G2292" i="8"/>
  <c r="G2291" i="8"/>
  <c r="G2290" i="8"/>
  <c r="G2289" i="8"/>
  <c r="G2288" i="8"/>
  <c r="G2287" i="8"/>
  <c r="G2286" i="8"/>
  <c r="G2285" i="8"/>
  <c r="G2284" i="8"/>
  <c r="G2283" i="8"/>
  <c r="G2282" i="8"/>
  <c r="G2281" i="8"/>
  <c r="G2280" i="8"/>
  <c r="G2279" i="8"/>
  <c r="G2278" i="8"/>
  <c r="G2277" i="8"/>
  <c r="G2276" i="8"/>
  <c r="G2275" i="8"/>
  <c r="G2274" i="8"/>
  <c r="G2273" i="8"/>
  <c r="G2272" i="8"/>
  <c r="G2271" i="8"/>
  <c r="G2270" i="8"/>
  <c r="G2269" i="8"/>
  <c r="G2268" i="8"/>
  <c r="G2267" i="8"/>
  <c r="G2266" i="8"/>
  <c r="G2265" i="8"/>
  <c r="G2264" i="8"/>
  <c r="G2263" i="8"/>
  <c r="G2262" i="8"/>
  <c r="G2261" i="8"/>
  <c r="G2260" i="8"/>
  <c r="G2259" i="8"/>
  <c r="G2258" i="8"/>
  <c r="G2257" i="8"/>
  <c r="G2256" i="8"/>
  <c r="F2256" i="8"/>
  <c r="G2255" i="8"/>
  <c r="G2254" i="8"/>
  <c r="G2253" i="8"/>
  <c r="G2252" i="8"/>
  <c r="G2251" i="8"/>
  <c r="G2250" i="8"/>
  <c r="G2249" i="8"/>
  <c r="F2249" i="8"/>
  <c r="G2248" i="8"/>
  <c r="G2247" i="8"/>
  <c r="G2246" i="8"/>
  <c r="G2245" i="8"/>
  <c r="G2244" i="8"/>
  <c r="F2243" i="8"/>
  <c r="G2243" i="8" s="1"/>
  <c r="G2242" i="8"/>
  <c r="G2241" i="8"/>
  <c r="G2240" i="8"/>
  <c r="G2239" i="8"/>
  <c r="G2238" i="8"/>
  <c r="G2237" i="8"/>
  <c r="G2236" i="8"/>
  <c r="G2235" i="8"/>
  <c r="G2234" i="8"/>
  <c r="G2233" i="8"/>
  <c r="G2232" i="8"/>
  <c r="G2231" i="8"/>
  <c r="G2230" i="8"/>
  <c r="G2229" i="8"/>
  <c r="G2228" i="8"/>
  <c r="G2227" i="8"/>
  <c r="G2226" i="8"/>
  <c r="G2225" i="8"/>
  <c r="G2224" i="8"/>
  <c r="G2223" i="8"/>
  <c r="G2222" i="8"/>
  <c r="G2221" i="8"/>
  <c r="G2220" i="8"/>
  <c r="G2219" i="8"/>
  <c r="G2218" i="8"/>
  <c r="G2217" i="8"/>
  <c r="G2216" i="8"/>
  <c r="G2215" i="8"/>
  <c r="G2214" i="8"/>
  <c r="G2213" i="8"/>
  <c r="G2212" i="8"/>
  <c r="G2211" i="8"/>
  <c r="G2210" i="8"/>
  <c r="G2209" i="8"/>
  <c r="G2208" i="8"/>
  <c r="G2207" i="8"/>
  <c r="G2206" i="8"/>
  <c r="G2205" i="8"/>
  <c r="G2204" i="8"/>
  <c r="G2203" i="8"/>
  <c r="G2202" i="8"/>
  <c r="G2201" i="8"/>
  <c r="G2200" i="8"/>
  <c r="G2199" i="8"/>
  <c r="G2198" i="8"/>
  <c r="G2197" i="8"/>
  <c r="G2196" i="8"/>
  <c r="G2195" i="8"/>
  <c r="G2194" i="8"/>
  <c r="G2193" i="8"/>
  <c r="G2192" i="8"/>
  <c r="G2191" i="8"/>
  <c r="G2190" i="8"/>
  <c r="G2189" i="8"/>
  <c r="G2188" i="8"/>
  <c r="G2187" i="8"/>
  <c r="G2186" i="8"/>
  <c r="G2185" i="8"/>
  <c r="G2184" i="8"/>
  <c r="G2183" i="8"/>
  <c r="G2182" i="8"/>
  <c r="G2181" i="8"/>
  <c r="G2180" i="8"/>
  <c r="G2179" i="8"/>
  <c r="G2178" i="8"/>
  <c r="G2177" i="8"/>
  <c r="G2176" i="8"/>
  <c r="G2175" i="8"/>
  <c r="G2174" i="8"/>
  <c r="G2173" i="8"/>
  <c r="G2172" i="8"/>
  <c r="G2171" i="8"/>
  <c r="G2170" i="8"/>
  <c r="G2169" i="8"/>
  <c r="G2168" i="8"/>
  <c r="G2167" i="8"/>
  <c r="G2166" i="8"/>
  <c r="G2165" i="8"/>
  <c r="G2164" i="8"/>
  <c r="G2163" i="8"/>
  <c r="G2162" i="8"/>
  <c r="G2161" i="8"/>
  <c r="G2160" i="8"/>
  <c r="G2159" i="8"/>
  <c r="G2158" i="8"/>
  <c r="G2157" i="8"/>
  <c r="G2156" i="8"/>
  <c r="G2155" i="8"/>
  <c r="G2154" i="8"/>
  <c r="G2153" i="8"/>
  <c r="G2152" i="8"/>
  <c r="G2151" i="8"/>
  <c r="F2150" i="8"/>
  <c r="G2150" i="8" s="1"/>
  <c r="F2149" i="8"/>
  <c r="G2149" i="8" s="1"/>
  <c r="G2148" i="8"/>
  <c r="G2147" i="8"/>
  <c r="G2146" i="8"/>
  <c r="G2145" i="8"/>
  <c r="G2144" i="8"/>
  <c r="G2143" i="8"/>
  <c r="G2142" i="8"/>
  <c r="G2141" i="8"/>
  <c r="G2140" i="8"/>
  <c r="G2139" i="8"/>
  <c r="G2138" i="8"/>
  <c r="G2137" i="8"/>
  <c r="G2136" i="8"/>
  <c r="G2135" i="8"/>
  <c r="G2134" i="8"/>
  <c r="G2133" i="8"/>
  <c r="G2132" i="8"/>
  <c r="G2131" i="8"/>
  <c r="G2130" i="8"/>
  <c r="G2129" i="8"/>
  <c r="G2128" i="8"/>
  <c r="G2127" i="8"/>
  <c r="G2126" i="8"/>
  <c r="G2125" i="8"/>
  <c r="G2124" i="8"/>
  <c r="G2123" i="8"/>
  <c r="G2122" i="8"/>
  <c r="G2121" i="8"/>
  <c r="G2120" i="8"/>
  <c r="G2119" i="8"/>
  <c r="G2118" i="8"/>
  <c r="G2117" i="8"/>
  <c r="G2116" i="8"/>
  <c r="G2115" i="8"/>
  <c r="G2114" i="8"/>
  <c r="G2113" i="8"/>
  <c r="G2112" i="8"/>
  <c r="G2111" i="8"/>
  <c r="G2110" i="8"/>
  <c r="G2109" i="8"/>
  <c r="G2108" i="8"/>
  <c r="G2107" i="8"/>
  <c r="G2106" i="8"/>
  <c r="G2105" i="8"/>
  <c r="G2104" i="8"/>
  <c r="G2103" i="8"/>
  <c r="G2102" i="8"/>
  <c r="G2101" i="8"/>
  <c r="G2100" i="8"/>
  <c r="G2099" i="8"/>
  <c r="G2098" i="8"/>
  <c r="G2097" i="8"/>
  <c r="G2096" i="8"/>
  <c r="G2095" i="8"/>
  <c r="G2094" i="8"/>
  <c r="G2093" i="8"/>
  <c r="G2092" i="8"/>
  <c r="G2091" i="8"/>
  <c r="G2090" i="8"/>
  <c r="G2089" i="8"/>
  <c r="G2088" i="8"/>
  <c r="G2087" i="8"/>
  <c r="G2086" i="8"/>
  <c r="G2085" i="8"/>
  <c r="G2084" i="8"/>
  <c r="G2083" i="8"/>
  <c r="G2082" i="8"/>
  <c r="G2081" i="8"/>
  <c r="G2080" i="8"/>
  <c r="G2079" i="8"/>
  <c r="G2078" i="8"/>
  <c r="G2077" i="8"/>
  <c r="G2076" i="8"/>
  <c r="G2075" i="8"/>
  <c r="G2074" i="8"/>
  <c r="G2073" i="8"/>
  <c r="G2072" i="8"/>
  <c r="G2071" i="8"/>
  <c r="G2070" i="8"/>
  <c r="G2069" i="8"/>
  <c r="G2068" i="8"/>
  <c r="G2067" i="8"/>
  <c r="G2066" i="8"/>
  <c r="G2065" i="8"/>
  <c r="G2064" i="8"/>
  <c r="G2063" i="8"/>
  <c r="G2062" i="8"/>
  <c r="G2061" i="8"/>
  <c r="G2060" i="8"/>
  <c r="G2059" i="8"/>
  <c r="G2058" i="8"/>
  <c r="G2057" i="8"/>
  <c r="G2056" i="8"/>
  <c r="G2055" i="8"/>
  <c r="G2054" i="8"/>
  <c r="G2053" i="8"/>
  <c r="G2052" i="8"/>
  <c r="G2051" i="8"/>
  <c r="G2050" i="8"/>
  <c r="G2049" i="8"/>
  <c r="G2048" i="8"/>
  <c r="G2047" i="8"/>
  <c r="G2046" i="8"/>
  <c r="G2045" i="8"/>
  <c r="G2044" i="8"/>
  <c r="G2043" i="8"/>
  <c r="G2042" i="8"/>
  <c r="G2041" i="8"/>
  <c r="G2040" i="8"/>
  <c r="G2039" i="8"/>
  <c r="G2038" i="8"/>
  <c r="G2037" i="8"/>
  <c r="G2036" i="8"/>
  <c r="G2035" i="8"/>
  <c r="G2034" i="8"/>
  <c r="G2033" i="8"/>
  <c r="G2032" i="8"/>
  <c r="G2031" i="8"/>
  <c r="G2030" i="8"/>
  <c r="G2029" i="8"/>
  <c r="G2028" i="8"/>
  <c r="G2027" i="8"/>
  <c r="G2026" i="8"/>
  <c r="G2025" i="8"/>
  <c r="G2024" i="8"/>
  <c r="G2023" i="8"/>
  <c r="G2022" i="8"/>
  <c r="G2021" i="8"/>
  <c r="G2020" i="8"/>
  <c r="G2019" i="8"/>
  <c r="G2018" i="8"/>
  <c r="G2017" i="8"/>
  <c r="G2016" i="8"/>
  <c r="G2015" i="8"/>
  <c r="G2014" i="8"/>
  <c r="G2013" i="8"/>
  <c r="G2012" i="8"/>
  <c r="G2011" i="8"/>
  <c r="G2010" i="8"/>
  <c r="G2009" i="8"/>
  <c r="G2008" i="8"/>
  <c r="G2007" i="8"/>
  <c r="G2006" i="8"/>
  <c r="G2005" i="8"/>
  <c r="G2004" i="8"/>
  <c r="G2003" i="8"/>
  <c r="G2002" i="8"/>
  <c r="G2001" i="8"/>
  <c r="G2000" i="8"/>
  <c r="G1999" i="8"/>
  <c r="G1998" i="8"/>
  <c r="G1997" i="8"/>
  <c r="G1996" i="8"/>
  <c r="G1995" i="8"/>
  <c r="G1994" i="8"/>
  <c r="G1993" i="8"/>
  <c r="G1992" i="8"/>
  <c r="G1991" i="8"/>
  <c r="G1990" i="8"/>
  <c r="G1989" i="8"/>
  <c r="G1988" i="8"/>
  <c r="G1987" i="8"/>
  <c r="G1986" i="8"/>
  <c r="G1985" i="8"/>
  <c r="F1984" i="8"/>
  <c r="G1984" i="8" s="1"/>
  <c r="G1983" i="8"/>
  <c r="G1982" i="8"/>
  <c r="G1981" i="8"/>
  <c r="G1980" i="8"/>
  <c r="G1979" i="8"/>
  <c r="G1978" i="8"/>
  <c r="G1977" i="8"/>
  <c r="G1976" i="8"/>
  <c r="G1975" i="8"/>
  <c r="G1974" i="8"/>
  <c r="G1973" i="8"/>
  <c r="G1972" i="8"/>
  <c r="G1971" i="8"/>
  <c r="G1970" i="8"/>
  <c r="G1969" i="8"/>
  <c r="G1968" i="8"/>
  <c r="G1967" i="8"/>
  <c r="G1966" i="8"/>
  <c r="G1965" i="8"/>
  <c r="G1964" i="8"/>
  <c r="G1963" i="8"/>
  <c r="G1962" i="8"/>
  <c r="G1961" i="8"/>
  <c r="G1960" i="8"/>
  <c r="G1959" i="8"/>
  <c r="G1958" i="8"/>
  <c r="G1957" i="8"/>
  <c r="G1956" i="8"/>
  <c r="G1955" i="8"/>
  <c r="G1954" i="8"/>
  <c r="G1953" i="8"/>
  <c r="G1952" i="8"/>
  <c r="G1951" i="8"/>
  <c r="G1950" i="8"/>
  <c r="G1949" i="8"/>
  <c r="G1948" i="8"/>
  <c r="G1947" i="8"/>
  <c r="G1946" i="8"/>
  <c r="G1945" i="8"/>
  <c r="G1944" i="8"/>
  <c r="G1943" i="8"/>
  <c r="G1942" i="8"/>
  <c r="G1941" i="8"/>
  <c r="G1940" i="8"/>
  <c r="G1939" i="8"/>
  <c r="G1938" i="8"/>
  <c r="G1937" i="8"/>
  <c r="G1936" i="8"/>
  <c r="G1935" i="8"/>
  <c r="G1934" i="8"/>
  <c r="G1933" i="8"/>
  <c r="G1932" i="8"/>
  <c r="G1931" i="8"/>
  <c r="G1930" i="8"/>
  <c r="G1929" i="8"/>
  <c r="G1928" i="8"/>
  <c r="G1927" i="8"/>
  <c r="G1926" i="8"/>
  <c r="G1925" i="8"/>
  <c r="G1924" i="8"/>
  <c r="G1923" i="8"/>
  <c r="G1922" i="8"/>
  <c r="G1921" i="8"/>
  <c r="G1920" i="8"/>
  <c r="G1919" i="8"/>
  <c r="G1918" i="8"/>
  <c r="G1917" i="8"/>
  <c r="G1916" i="8"/>
  <c r="G1915" i="8"/>
  <c r="G1914" i="8"/>
  <c r="G1913" i="8"/>
  <c r="G1912" i="8"/>
  <c r="G1911" i="8"/>
  <c r="G1910" i="8"/>
  <c r="G1909" i="8"/>
  <c r="G1908" i="8"/>
  <c r="G1907" i="8"/>
  <c r="G1906" i="8"/>
  <c r="G1905" i="8"/>
  <c r="G1904" i="8"/>
  <c r="G1903" i="8"/>
  <c r="G1902" i="8"/>
  <c r="G1901" i="8"/>
  <c r="G1900" i="8"/>
  <c r="G1899" i="8"/>
  <c r="G1898" i="8"/>
  <c r="G1897" i="8"/>
  <c r="G1896" i="8"/>
  <c r="G1895" i="8"/>
  <c r="G1894" i="8"/>
  <c r="G1893" i="8"/>
  <c r="G1892" i="8"/>
  <c r="G1891" i="8"/>
  <c r="G1890" i="8"/>
  <c r="G1889" i="8"/>
  <c r="G1888" i="8"/>
  <c r="G1887" i="8"/>
  <c r="G1886" i="8"/>
  <c r="G1885" i="8"/>
  <c r="G1884" i="8"/>
  <c r="F1884" i="8"/>
  <c r="G1883" i="8"/>
  <c r="G1882" i="8"/>
  <c r="G1881" i="8"/>
  <c r="G1880" i="8"/>
  <c r="G1879" i="8"/>
  <c r="G1878" i="8"/>
  <c r="G1877" i="8"/>
  <c r="G1876" i="8"/>
  <c r="G1875" i="8"/>
  <c r="G1874" i="8"/>
  <c r="G1873" i="8"/>
  <c r="G1872" i="8"/>
  <c r="G1871" i="8"/>
  <c r="G1870" i="8"/>
  <c r="G1869" i="8"/>
  <c r="G1868" i="8"/>
  <c r="G1867" i="8"/>
  <c r="G1866" i="8"/>
  <c r="G1865" i="8"/>
  <c r="G1864" i="8"/>
  <c r="G1863" i="8"/>
  <c r="G1862" i="8"/>
  <c r="G1861" i="8"/>
  <c r="G1860" i="8"/>
  <c r="G1859" i="8"/>
  <c r="G1858" i="8"/>
  <c r="G1857" i="8"/>
  <c r="G1856" i="8"/>
  <c r="G1855" i="8"/>
  <c r="G1854" i="8"/>
  <c r="G1853" i="8"/>
  <c r="G1852" i="8"/>
  <c r="G1851" i="8"/>
  <c r="G1850" i="8"/>
  <c r="G1849" i="8"/>
  <c r="G1848" i="8"/>
  <c r="G1847" i="8"/>
  <c r="G1846" i="8"/>
  <c r="G1845" i="8"/>
  <c r="G1844" i="8"/>
  <c r="G1843" i="8"/>
  <c r="G1842" i="8"/>
  <c r="G1841" i="8"/>
  <c r="G1840" i="8"/>
  <c r="G1839" i="8"/>
  <c r="F1839" i="8"/>
  <c r="G1838" i="8"/>
  <c r="G1837" i="8"/>
  <c r="G1836" i="8"/>
  <c r="G1835" i="8"/>
  <c r="G1834" i="8"/>
  <c r="G1833" i="8"/>
  <c r="G1832" i="8"/>
  <c r="G1831" i="8"/>
  <c r="G1830" i="8"/>
  <c r="G1829" i="8"/>
  <c r="G1828" i="8"/>
  <c r="G1827" i="8"/>
  <c r="G1826" i="8"/>
  <c r="G1825" i="8"/>
  <c r="G1824" i="8"/>
  <c r="G1823" i="8"/>
  <c r="G1822" i="8"/>
  <c r="G1821" i="8"/>
  <c r="G1820" i="8"/>
  <c r="G1819" i="8"/>
  <c r="G1818" i="8"/>
  <c r="G1817" i="8"/>
  <c r="G1816" i="8"/>
  <c r="G1815" i="8"/>
  <c r="G1814" i="8"/>
  <c r="G1813" i="8"/>
  <c r="G1812" i="8"/>
  <c r="G1811" i="8"/>
  <c r="G1810" i="8"/>
  <c r="G1809" i="8"/>
  <c r="G1808" i="8"/>
  <c r="G1807" i="8"/>
  <c r="G1806" i="8"/>
  <c r="G1805" i="8"/>
  <c r="G1804" i="8"/>
  <c r="G1803" i="8"/>
  <c r="G1802" i="8"/>
  <c r="G1801" i="8"/>
  <c r="G1800" i="8"/>
  <c r="G1799" i="8"/>
  <c r="G1798" i="8"/>
  <c r="G1797" i="8"/>
  <c r="G1796" i="8"/>
  <c r="G1795" i="8"/>
  <c r="G1794" i="8"/>
  <c r="G1793" i="8"/>
  <c r="G1792" i="8"/>
  <c r="G1791" i="8"/>
  <c r="G1790" i="8"/>
  <c r="G1789" i="8"/>
  <c r="G1788" i="8"/>
  <c r="G1787" i="8"/>
  <c r="G1786" i="8"/>
  <c r="G1785" i="8"/>
  <c r="G1784" i="8"/>
  <c r="G1783" i="8"/>
  <c r="G1782" i="8"/>
  <c r="G1781" i="8"/>
  <c r="G1780" i="8"/>
  <c r="G1779" i="8"/>
  <c r="G1778" i="8"/>
  <c r="G1777" i="8"/>
  <c r="G1776" i="8"/>
  <c r="G1775" i="8"/>
  <c r="G1774" i="8"/>
  <c r="G1773" i="8"/>
  <c r="G1772" i="8"/>
  <c r="G1771" i="8"/>
  <c r="G1770" i="8"/>
  <c r="G1769" i="8"/>
  <c r="G1768" i="8"/>
  <c r="G1767" i="8"/>
  <c r="G1766" i="8"/>
  <c r="G1765" i="8"/>
  <c r="G1764" i="8"/>
  <c r="G1763" i="8"/>
  <c r="G1762" i="8"/>
  <c r="G1761" i="8"/>
  <c r="G1760" i="8"/>
  <c r="G1759" i="8"/>
  <c r="G1758" i="8"/>
  <c r="G1757" i="8"/>
  <c r="G1756" i="8"/>
  <c r="G1755" i="8"/>
  <c r="G1754" i="8"/>
  <c r="G1753" i="8"/>
  <c r="G1752" i="8"/>
  <c r="G1751" i="8"/>
  <c r="G1750" i="8"/>
  <c r="G1749" i="8"/>
  <c r="G1748" i="8"/>
  <c r="G1747" i="8"/>
  <c r="G1746" i="8"/>
  <c r="G1745" i="8"/>
  <c r="G1744" i="8"/>
  <c r="G1743" i="8"/>
  <c r="G1742" i="8"/>
  <c r="G1741" i="8"/>
  <c r="G1740" i="8"/>
  <c r="G1739" i="8"/>
  <c r="G1738" i="8"/>
  <c r="G1737" i="8"/>
  <c r="G1736" i="8"/>
  <c r="G1735" i="8"/>
  <c r="G1734" i="8"/>
  <c r="G1733" i="8"/>
  <c r="G1732" i="8"/>
  <c r="G1731" i="8"/>
  <c r="G1730" i="8"/>
  <c r="G1729" i="8"/>
  <c r="G1728" i="8"/>
  <c r="G1727" i="8"/>
  <c r="G1726" i="8"/>
  <c r="G1725" i="8"/>
  <c r="G1724" i="8"/>
  <c r="G1723" i="8"/>
  <c r="G1722" i="8"/>
  <c r="G1721" i="8"/>
  <c r="G1720" i="8"/>
  <c r="G1719" i="8"/>
  <c r="G1718" i="8"/>
  <c r="G1717" i="8"/>
  <c r="G1716" i="8"/>
  <c r="G1715" i="8"/>
  <c r="G1714" i="8"/>
  <c r="G1713" i="8"/>
  <c r="G1712" i="8"/>
  <c r="G1711" i="8"/>
  <c r="G1710" i="8"/>
  <c r="G1709" i="8"/>
  <c r="G1708" i="8"/>
  <c r="G1707" i="8"/>
  <c r="G1706" i="8"/>
  <c r="G1705" i="8"/>
  <c r="G1704" i="8"/>
  <c r="G1703" i="8"/>
  <c r="G1702" i="8"/>
  <c r="G1701" i="8"/>
  <c r="G1700" i="8"/>
  <c r="G1699" i="8"/>
  <c r="G1698" i="8"/>
  <c r="G1697" i="8"/>
  <c r="G1696" i="8"/>
  <c r="G1695" i="8"/>
  <c r="G1694" i="8"/>
  <c r="G1693" i="8"/>
  <c r="G1692" i="8"/>
  <c r="G1691" i="8"/>
  <c r="G1690" i="8"/>
  <c r="G1689" i="8"/>
  <c r="G1688" i="8"/>
  <c r="G1687" i="8"/>
  <c r="G1686" i="8"/>
  <c r="G1685" i="8"/>
  <c r="G1684" i="8"/>
  <c r="G1683" i="8"/>
  <c r="G1682" i="8"/>
  <c r="G1681" i="8"/>
  <c r="G1680" i="8"/>
  <c r="G1679" i="8"/>
  <c r="G1678" i="8"/>
  <c r="G1677" i="8"/>
  <c r="G1676" i="8"/>
  <c r="G1675" i="8"/>
  <c r="G1674" i="8"/>
  <c r="G1673" i="8"/>
  <c r="G1672" i="8"/>
  <c r="G1671" i="8"/>
  <c r="G1670" i="8"/>
  <c r="G1669" i="8"/>
  <c r="G1668" i="8"/>
  <c r="G1667" i="8"/>
  <c r="G1666" i="8"/>
  <c r="G1665" i="8"/>
  <c r="G1664" i="8"/>
  <c r="G1663" i="8"/>
  <c r="G1662" i="8"/>
  <c r="G1661" i="8"/>
  <c r="G1660" i="8"/>
  <c r="G1659" i="8"/>
  <c r="G1658" i="8"/>
  <c r="G1657" i="8"/>
  <c r="G1656" i="8"/>
  <c r="G1655" i="8"/>
  <c r="G1654" i="8"/>
  <c r="G1653" i="8"/>
  <c r="G1652" i="8"/>
  <c r="G1651" i="8"/>
  <c r="G1650" i="8"/>
  <c r="G1649" i="8"/>
  <c r="G1648" i="8"/>
  <c r="G1647" i="8"/>
  <c r="G1646" i="8"/>
  <c r="G1645" i="8"/>
  <c r="G1644" i="8"/>
  <c r="G1643" i="8"/>
  <c r="G1642" i="8"/>
  <c r="G1641" i="8"/>
  <c r="G1640" i="8"/>
  <c r="G1639" i="8"/>
  <c r="G1638" i="8"/>
  <c r="G1637" i="8"/>
  <c r="G1636" i="8"/>
  <c r="G1635" i="8"/>
  <c r="G1634" i="8"/>
  <c r="G1633" i="8"/>
  <c r="G1632" i="8"/>
  <c r="G1631" i="8"/>
  <c r="G1630" i="8"/>
  <c r="G1629" i="8"/>
  <c r="G1628" i="8"/>
  <c r="G1627" i="8"/>
  <c r="G1626" i="8"/>
  <c r="G1625" i="8"/>
  <c r="G1624" i="8"/>
  <c r="G1623" i="8"/>
  <c r="G1622" i="8"/>
  <c r="G1621" i="8"/>
  <c r="G1620" i="8"/>
  <c r="F1620" i="8"/>
  <c r="G1619" i="8"/>
  <c r="G1618" i="8"/>
  <c r="G1617" i="8"/>
  <c r="G1616" i="8"/>
  <c r="G1615" i="8"/>
  <c r="G1614" i="8"/>
  <c r="G1613" i="8"/>
  <c r="G1612" i="8"/>
  <c r="G1611" i="8"/>
  <c r="G1610" i="8"/>
  <c r="G1609" i="8"/>
  <c r="G1608" i="8"/>
  <c r="G1607" i="8"/>
  <c r="G1606" i="8"/>
  <c r="G1605" i="8"/>
  <c r="G1604" i="8"/>
  <c r="G1603" i="8"/>
  <c r="G1602" i="8"/>
  <c r="G1601" i="8"/>
  <c r="G1600" i="8"/>
  <c r="G1599" i="8"/>
  <c r="G1598" i="8"/>
  <c r="G1597" i="8"/>
  <c r="G1596" i="8"/>
  <c r="G1595" i="8"/>
  <c r="G1594" i="8"/>
  <c r="G1593" i="8"/>
  <c r="G1592" i="8"/>
  <c r="G1591" i="8"/>
  <c r="G1590" i="8"/>
  <c r="G1589" i="8"/>
  <c r="G1588" i="8"/>
  <c r="G1587" i="8"/>
  <c r="G1586" i="8"/>
  <c r="G1585" i="8"/>
  <c r="G1584" i="8"/>
  <c r="G1583" i="8"/>
  <c r="G1582" i="8"/>
  <c r="G1581" i="8"/>
  <c r="G1580" i="8"/>
  <c r="G1579" i="8"/>
  <c r="G1578" i="8"/>
  <c r="G1577" i="8"/>
  <c r="G1576" i="8"/>
  <c r="G1575" i="8"/>
  <c r="G1574" i="8"/>
  <c r="G1573" i="8"/>
  <c r="G1572" i="8"/>
  <c r="G1571" i="8"/>
  <c r="G1570" i="8"/>
  <c r="G1569" i="8"/>
  <c r="G1568" i="8"/>
  <c r="G1567" i="8"/>
  <c r="G1566" i="8"/>
  <c r="G1565" i="8"/>
  <c r="G1564" i="8"/>
  <c r="G1563" i="8"/>
  <c r="G1562" i="8"/>
  <c r="G1561" i="8"/>
  <c r="G1560" i="8"/>
  <c r="G1559" i="8"/>
  <c r="G1558" i="8"/>
  <c r="G1557" i="8"/>
  <c r="G1556" i="8"/>
  <c r="G1555" i="8"/>
  <c r="G1554" i="8"/>
  <c r="G1553" i="8"/>
  <c r="G1552" i="8"/>
  <c r="G1551" i="8"/>
  <c r="F1551" i="8"/>
  <c r="G1550" i="8"/>
  <c r="G1549" i="8"/>
  <c r="G1548" i="8"/>
  <c r="G1547" i="8"/>
  <c r="G1546" i="8"/>
  <c r="G1545" i="8"/>
  <c r="G1544" i="8"/>
  <c r="G1543" i="8"/>
  <c r="G1542" i="8"/>
  <c r="G1541" i="8"/>
  <c r="G1540" i="8"/>
  <c r="G1539" i="8"/>
  <c r="G1538" i="8"/>
  <c r="G1537" i="8"/>
  <c r="G1536" i="8"/>
  <c r="G1535" i="8"/>
  <c r="G1534" i="8"/>
  <c r="G1533" i="8"/>
  <c r="G1532" i="8"/>
  <c r="G1531" i="8"/>
  <c r="G1530" i="8"/>
  <c r="G1529" i="8"/>
  <c r="G1528" i="8"/>
  <c r="G1527" i="8"/>
  <c r="G1526" i="8"/>
  <c r="G1525" i="8"/>
  <c r="G1524" i="8"/>
  <c r="G1523" i="8"/>
  <c r="G1522" i="8"/>
  <c r="G1521" i="8"/>
  <c r="G1520" i="8"/>
  <c r="G1519" i="8"/>
  <c r="G1518" i="8"/>
  <c r="G1517" i="8"/>
  <c r="G1516" i="8"/>
  <c r="G1515" i="8"/>
  <c r="G1514" i="8"/>
  <c r="G1513" i="8"/>
  <c r="G1512" i="8"/>
  <c r="G1511" i="8"/>
  <c r="G1510" i="8"/>
  <c r="G1509" i="8"/>
  <c r="G1508" i="8"/>
  <c r="G1507" i="8"/>
  <c r="G1506" i="8"/>
  <c r="G1505" i="8"/>
  <c r="G1504" i="8"/>
  <c r="G1503" i="8"/>
  <c r="G1502" i="8"/>
  <c r="G1501" i="8"/>
  <c r="G1500" i="8"/>
  <c r="G1499" i="8"/>
  <c r="G1498" i="8"/>
  <c r="G1497" i="8"/>
  <c r="G1496" i="8"/>
  <c r="G1495" i="8"/>
  <c r="G1494" i="8"/>
  <c r="G1493" i="8"/>
  <c r="G1492" i="8"/>
  <c r="G1491" i="8"/>
  <c r="G1490" i="8"/>
  <c r="G1489" i="8"/>
  <c r="G1488" i="8"/>
  <c r="G1487" i="8"/>
  <c r="G1486" i="8"/>
  <c r="G1485" i="8"/>
  <c r="G1484" i="8"/>
  <c r="G1483" i="8"/>
  <c r="G1482" i="8"/>
  <c r="G1481" i="8"/>
  <c r="G1480" i="8"/>
  <c r="G1479" i="8"/>
  <c r="G1478" i="8"/>
  <c r="G1477" i="8"/>
  <c r="G1476" i="8"/>
  <c r="G1475" i="8"/>
  <c r="G1474" i="8"/>
  <c r="G1473" i="8"/>
  <c r="G1472" i="8"/>
  <c r="G1471" i="8"/>
  <c r="G1470" i="8"/>
  <c r="G1469" i="8"/>
  <c r="G1468" i="8"/>
  <c r="G1467" i="8"/>
  <c r="G1466" i="8"/>
  <c r="G1465" i="8"/>
  <c r="G1464" i="8"/>
  <c r="G1463" i="8"/>
  <c r="G1462" i="8"/>
  <c r="G1461" i="8"/>
  <c r="G1460" i="8"/>
  <c r="G1459" i="8"/>
  <c r="G1458" i="8"/>
  <c r="G1457" i="8"/>
  <c r="G1456" i="8"/>
  <c r="G1455" i="8"/>
  <c r="G1454" i="8"/>
  <c r="G1453" i="8"/>
  <c r="G1452" i="8"/>
  <c r="G1451" i="8"/>
  <c r="G1450" i="8"/>
  <c r="G1449" i="8"/>
  <c r="G1448" i="8"/>
  <c r="G1447" i="8"/>
  <c r="G1446" i="8"/>
  <c r="G1445" i="8"/>
  <c r="G1444" i="8"/>
  <c r="F1443" i="8"/>
  <c r="G1443" i="8" s="1"/>
  <c r="G1442" i="8"/>
  <c r="G1441" i="8"/>
  <c r="G1440" i="8"/>
  <c r="G1439" i="8"/>
  <c r="G1438" i="8"/>
  <c r="G1437" i="8"/>
  <c r="G1436" i="8"/>
  <c r="G1435" i="8"/>
  <c r="G1434" i="8"/>
  <c r="G1433" i="8"/>
  <c r="G1432" i="8"/>
  <c r="G1431" i="8"/>
  <c r="G1430" i="8"/>
  <c r="G1429" i="8"/>
  <c r="G1428" i="8"/>
  <c r="G1427" i="8"/>
  <c r="G1426" i="8"/>
  <c r="G1425" i="8"/>
  <c r="G1424" i="8"/>
  <c r="G1423" i="8"/>
  <c r="G1422" i="8"/>
  <c r="G1421" i="8"/>
  <c r="G1420" i="8"/>
  <c r="G1419" i="8"/>
  <c r="G1418" i="8"/>
  <c r="G1417" i="8"/>
  <c r="G1416" i="8"/>
  <c r="G1415" i="8"/>
  <c r="G1414" i="8"/>
  <c r="G1413" i="8"/>
  <c r="G1412" i="8"/>
  <c r="G1411" i="8"/>
  <c r="G1410" i="8"/>
  <c r="G1409" i="8"/>
  <c r="G1408" i="8"/>
  <c r="G1407" i="8"/>
  <c r="F1407" i="8"/>
  <c r="G1406" i="8"/>
  <c r="G1405" i="8"/>
  <c r="G1404" i="8"/>
  <c r="G1403" i="8"/>
  <c r="G1402" i="8"/>
  <c r="G1401" i="8"/>
  <c r="G1400" i="8"/>
  <c r="G1399" i="8"/>
  <c r="G1398" i="8"/>
  <c r="G1397" i="8"/>
  <c r="G1396" i="8"/>
  <c r="G1395" i="8"/>
  <c r="G1394" i="8"/>
  <c r="G1393" i="8"/>
  <c r="G1392" i="8"/>
  <c r="G1391" i="8"/>
  <c r="G1390" i="8"/>
  <c r="G1389" i="8"/>
  <c r="G1388" i="8"/>
  <c r="G1387" i="8"/>
  <c r="G1386" i="8"/>
  <c r="G1385" i="8"/>
  <c r="G1384" i="8"/>
  <c r="G1383" i="8"/>
  <c r="G1382" i="8"/>
  <c r="G1381" i="8"/>
  <c r="G1380" i="8"/>
  <c r="G1379" i="8"/>
  <c r="G1378" i="8"/>
  <c r="G1377" i="8"/>
  <c r="G1376" i="8"/>
  <c r="G1375" i="8"/>
  <c r="G1374" i="8"/>
  <c r="G1373" i="8"/>
  <c r="G1372" i="8"/>
  <c r="G1371" i="8"/>
  <c r="G1370" i="8"/>
  <c r="G1369" i="8"/>
  <c r="G1368" i="8"/>
  <c r="F1367" i="8"/>
  <c r="G1367" i="8" s="1"/>
  <c r="G1366" i="8"/>
  <c r="G1365" i="8"/>
  <c r="G1364" i="8"/>
  <c r="G1363" i="8"/>
  <c r="F1363" i="8"/>
  <c r="G1362" i="8"/>
  <c r="G1361" i="8"/>
  <c r="G1360" i="8"/>
  <c r="G1359" i="8"/>
  <c r="G1358" i="8"/>
  <c r="G1357" i="8"/>
  <c r="G1356" i="8"/>
  <c r="G1355" i="8"/>
  <c r="G1354" i="8"/>
  <c r="G1353" i="8"/>
  <c r="G1352" i="8"/>
  <c r="G1351" i="8"/>
  <c r="G1350" i="8"/>
  <c r="G1349" i="8"/>
  <c r="G1348" i="8"/>
  <c r="G1347" i="8"/>
  <c r="G1346" i="8"/>
  <c r="G1345" i="8"/>
  <c r="G1344" i="8"/>
  <c r="G1343" i="8"/>
  <c r="G1342" i="8"/>
  <c r="G1341" i="8"/>
  <c r="G1340" i="8"/>
  <c r="G1339" i="8"/>
  <c r="G1338" i="8"/>
  <c r="G1337" i="8"/>
  <c r="G1336" i="8"/>
  <c r="G1335" i="8"/>
  <c r="G1334" i="8"/>
  <c r="G1333" i="8"/>
  <c r="G1332" i="8"/>
  <c r="G1331" i="8"/>
  <c r="G1330" i="8"/>
  <c r="G1329" i="8"/>
  <c r="G1328" i="8"/>
  <c r="G1327" i="8"/>
  <c r="G1326" i="8"/>
  <c r="G1325" i="8"/>
  <c r="G1324" i="8"/>
  <c r="G1323" i="8"/>
  <c r="G1322" i="8"/>
  <c r="G1321" i="8"/>
  <c r="G1320" i="8"/>
  <c r="G1319" i="8"/>
  <c r="G1318" i="8"/>
  <c r="G1317" i="8"/>
  <c r="G1316" i="8"/>
  <c r="G1315" i="8"/>
  <c r="G1314" i="8"/>
  <c r="G1313" i="8"/>
  <c r="G1312" i="8"/>
  <c r="G1311" i="8"/>
  <c r="G1310" i="8"/>
  <c r="G1309" i="8"/>
  <c r="G1308" i="8"/>
  <c r="G1307" i="8"/>
  <c r="G1306" i="8"/>
  <c r="G1305" i="8"/>
  <c r="G1304" i="8"/>
  <c r="G1303" i="8"/>
  <c r="G1302" i="8"/>
  <c r="G1301" i="8"/>
  <c r="G1300" i="8"/>
  <c r="G1299" i="8"/>
  <c r="G1298" i="8"/>
  <c r="G1297" i="8"/>
  <c r="G1296" i="8"/>
  <c r="G1295" i="8"/>
  <c r="G1294" i="8"/>
  <c r="G1293" i="8"/>
  <c r="G1292" i="8"/>
  <c r="G1291" i="8"/>
  <c r="G1290" i="8"/>
  <c r="G1289" i="8"/>
  <c r="G1288" i="8"/>
  <c r="G1287" i="8"/>
  <c r="G1286" i="8"/>
  <c r="G1285" i="8"/>
  <c r="G1284" i="8"/>
  <c r="G1283" i="8"/>
  <c r="G1282" i="8"/>
  <c r="G1281" i="8"/>
  <c r="G1280" i="8"/>
  <c r="G1279" i="8"/>
  <c r="G1278" i="8"/>
  <c r="G1277" i="8"/>
  <c r="G1276" i="8"/>
  <c r="G1275" i="8"/>
  <c r="G1274" i="8"/>
  <c r="G1273" i="8"/>
  <c r="G1272" i="8"/>
  <c r="G1271" i="8"/>
  <c r="G1270" i="8"/>
  <c r="G1269" i="8"/>
  <c r="G1268" i="8"/>
  <c r="G1267" i="8"/>
  <c r="G1266" i="8"/>
  <c r="G1265" i="8"/>
  <c r="G1264" i="8"/>
  <c r="G1263" i="8"/>
  <c r="G1262" i="8"/>
  <c r="G1261" i="8"/>
  <c r="G1260" i="8"/>
  <c r="G1259" i="8"/>
  <c r="G1258" i="8"/>
  <c r="G1257" i="8"/>
  <c r="G1256" i="8"/>
  <c r="G1255" i="8"/>
  <c r="G1254" i="8"/>
  <c r="G1253" i="8"/>
  <c r="G1252" i="8"/>
  <c r="G1251" i="8"/>
  <c r="G1250" i="8"/>
  <c r="F1250" i="8"/>
  <c r="G1249" i="8"/>
  <c r="G1248" i="8"/>
  <c r="G1247" i="8"/>
  <c r="F1247" i="8"/>
  <c r="G1246" i="8"/>
  <c r="G1245" i="8"/>
  <c r="G1244" i="8"/>
  <c r="F1243" i="8"/>
  <c r="G1243" i="8" s="1"/>
  <c r="G1242" i="8"/>
  <c r="G1241" i="8"/>
  <c r="F1240" i="8"/>
  <c r="G1240" i="8" s="1"/>
  <c r="G1239" i="8"/>
  <c r="G1238" i="8"/>
  <c r="G1237" i="8"/>
  <c r="G1236" i="8"/>
  <c r="G1235" i="8"/>
  <c r="G1234" i="8"/>
  <c r="G1233" i="8"/>
  <c r="G1232" i="8"/>
  <c r="G1231" i="8"/>
  <c r="G1230" i="8"/>
  <c r="G1229" i="8"/>
  <c r="G1228" i="8"/>
  <c r="G1227" i="8"/>
  <c r="G1226" i="8"/>
  <c r="F1225" i="8"/>
  <c r="G1225" i="8" s="1"/>
  <c r="G1224" i="8"/>
  <c r="G1223" i="8"/>
  <c r="G1222" i="8"/>
  <c r="G1221" i="8"/>
  <c r="G1220" i="8"/>
  <c r="F1220" i="8"/>
  <c r="G1219" i="8"/>
  <c r="G1218" i="8"/>
  <c r="G1217" i="8"/>
  <c r="G1216" i="8"/>
  <c r="G1215" i="8"/>
  <c r="G1214" i="8"/>
  <c r="G1213" i="8"/>
  <c r="G1212" i="8"/>
  <c r="G1211" i="8"/>
  <c r="G1210" i="8"/>
  <c r="G1209" i="8"/>
  <c r="G1208" i="8"/>
  <c r="G1207" i="8"/>
  <c r="G1206" i="8"/>
  <c r="G1205" i="8"/>
  <c r="G1204" i="8"/>
  <c r="G1203" i="8"/>
  <c r="G1202" i="8"/>
  <c r="G1201" i="8"/>
  <c r="G1200" i="8"/>
  <c r="G1199" i="8"/>
  <c r="G1198" i="8"/>
  <c r="G1197" i="8"/>
  <c r="G1196" i="8"/>
  <c r="G1195" i="8"/>
  <c r="G1194" i="8"/>
  <c r="G1193" i="8"/>
  <c r="G1192" i="8"/>
  <c r="G1191" i="8"/>
  <c r="G1190" i="8"/>
  <c r="G1189" i="8"/>
  <c r="G1188" i="8"/>
  <c r="G1187" i="8"/>
  <c r="G1186" i="8"/>
  <c r="G1185" i="8"/>
  <c r="G1184" i="8"/>
  <c r="G1183" i="8"/>
  <c r="G1182" i="8"/>
  <c r="G1181" i="8"/>
  <c r="G1180" i="8"/>
  <c r="F1179" i="8"/>
  <c r="G1179" i="8" s="1"/>
  <c r="G1178" i="8"/>
  <c r="G1177" i="8"/>
  <c r="G1176" i="8"/>
  <c r="G1175" i="8"/>
  <c r="G1174" i="8"/>
  <c r="G1173" i="8"/>
  <c r="G1172" i="8"/>
  <c r="G1171" i="8"/>
  <c r="G1170" i="8"/>
  <c r="G1169" i="8"/>
  <c r="G1168" i="8"/>
  <c r="G1167" i="8"/>
  <c r="G1166" i="8"/>
  <c r="G1165" i="8"/>
  <c r="G1164" i="8"/>
  <c r="G1163" i="8"/>
  <c r="G1162" i="8"/>
  <c r="G1161" i="8"/>
  <c r="G1160" i="8"/>
  <c r="G1159" i="8"/>
  <c r="G1158" i="8"/>
  <c r="G1157" i="8"/>
  <c r="G1156" i="8"/>
  <c r="G1155" i="8"/>
  <c r="G1154" i="8"/>
  <c r="G1153" i="8"/>
  <c r="G1152" i="8"/>
  <c r="G1151" i="8"/>
  <c r="G1150" i="8"/>
  <c r="G1149" i="8"/>
  <c r="G1148" i="8"/>
  <c r="G1147" i="8"/>
  <c r="G1146" i="8"/>
  <c r="G1145" i="8"/>
  <c r="G1144" i="8"/>
  <c r="G1143" i="8"/>
  <c r="G1142" i="8"/>
  <c r="G1141" i="8"/>
  <c r="G1140" i="8"/>
  <c r="G1139" i="8"/>
  <c r="G1138" i="8"/>
  <c r="G1137" i="8"/>
  <c r="F1136" i="8"/>
  <c r="G1136" i="8" s="1"/>
  <c r="G1135" i="8"/>
  <c r="G1134" i="8"/>
  <c r="G1133" i="8"/>
  <c r="G1132" i="8"/>
  <c r="G1131" i="8"/>
  <c r="G1130" i="8"/>
  <c r="G1129" i="8"/>
  <c r="G1128" i="8"/>
  <c r="G1127" i="8"/>
  <c r="G1126" i="8"/>
  <c r="G1125" i="8"/>
  <c r="G1124" i="8"/>
  <c r="G1123" i="8"/>
  <c r="G1122" i="8"/>
  <c r="G1121" i="8"/>
  <c r="G1120" i="8"/>
  <c r="G1119" i="8"/>
  <c r="F1119" i="8"/>
  <c r="G1118" i="8"/>
  <c r="G1117" i="8"/>
  <c r="G1116" i="8"/>
  <c r="G1115" i="8"/>
  <c r="G1114" i="8"/>
  <c r="G1113" i="8"/>
  <c r="F1113" i="8"/>
  <c r="G1112" i="8"/>
  <c r="G1111" i="8"/>
  <c r="G1110" i="8"/>
  <c r="G1109" i="8"/>
  <c r="G1108" i="8"/>
  <c r="G1107" i="8"/>
  <c r="G1106" i="8"/>
  <c r="G1105" i="8"/>
  <c r="F1105" i="8"/>
  <c r="G1104" i="8"/>
  <c r="G1103" i="8"/>
  <c r="G1102" i="8"/>
  <c r="G1101" i="8"/>
  <c r="G1100" i="8"/>
  <c r="G1099" i="8"/>
  <c r="G1098" i="8"/>
  <c r="G1097" i="8"/>
  <c r="G1096" i="8"/>
  <c r="G1095" i="8"/>
  <c r="G1094" i="8"/>
  <c r="G1093" i="8"/>
  <c r="G1092" i="8"/>
  <c r="G1091" i="8"/>
  <c r="G1090" i="8"/>
  <c r="G1089" i="8"/>
  <c r="G1088" i="8"/>
  <c r="G1087" i="8"/>
  <c r="G1086" i="8"/>
  <c r="G1085" i="8"/>
  <c r="G1084" i="8"/>
  <c r="G1083" i="8"/>
  <c r="G1082" i="8"/>
  <c r="G1081" i="8"/>
  <c r="G1080" i="8"/>
  <c r="G1079" i="8"/>
  <c r="G1078" i="8"/>
  <c r="G1077" i="8"/>
  <c r="G1076" i="8"/>
  <c r="G1075" i="8"/>
  <c r="G1074" i="8"/>
  <c r="G1073" i="8"/>
  <c r="G1072" i="8"/>
  <c r="G1071" i="8"/>
  <c r="G1070" i="8"/>
  <c r="G1069" i="8"/>
  <c r="G1068" i="8"/>
  <c r="G1067" i="8"/>
  <c r="G1066" i="8"/>
  <c r="G1065" i="8"/>
  <c r="G1064" i="8"/>
  <c r="G1063" i="8"/>
  <c r="G1062" i="8"/>
  <c r="G1061" i="8"/>
  <c r="G1060" i="8"/>
  <c r="G1059" i="8"/>
  <c r="G1058" i="8"/>
  <c r="G1057" i="8"/>
  <c r="G1056" i="8"/>
  <c r="G1055" i="8"/>
  <c r="G1054" i="8"/>
  <c r="G1053" i="8"/>
  <c r="G1052" i="8"/>
  <c r="G1051" i="8"/>
  <c r="G1050" i="8"/>
  <c r="G1049" i="8"/>
  <c r="G1048" i="8"/>
  <c r="G1047" i="8"/>
  <c r="G1046" i="8"/>
  <c r="G1045" i="8"/>
  <c r="G1044" i="8"/>
  <c r="G1043" i="8"/>
  <c r="G1042" i="8"/>
  <c r="G1041" i="8"/>
  <c r="G1040" i="8"/>
  <c r="G1039" i="8"/>
  <c r="G1038" i="8"/>
  <c r="F1038" i="8"/>
  <c r="G1037" i="8"/>
  <c r="G1036" i="8"/>
  <c r="G1035" i="8"/>
  <c r="G1034" i="8"/>
  <c r="G1033" i="8"/>
  <c r="G1032" i="8"/>
  <c r="G1031" i="8"/>
  <c r="G1030" i="8"/>
  <c r="F1029" i="8"/>
  <c r="G1029" i="8" s="1"/>
  <c r="G1028" i="8"/>
  <c r="G1027" i="8"/>
  <c r="G1026" i="8"/>
  <c r="G1025" i="8"/>
  <c r="G1024" i="8"/>
  <c r="G1023" i="8"/>
  <c r="G1022" i="8"/>
  <c r="G1021" i="8"/>
  <c r="G1020" i="8"/>
  <c r="G1019" i="8"/>
  <c r="G1018" i="8"/>
  <c r="G1017" i="8"/>
  <c r="G1016" i="8"/>
  <c r="G1015" i="8"/>
  <c r="G1014" i="8"/>
  <c r="G1013" i="8"/>
  <c r="G1012" i="8"/>
  <c r="G1011" i="8"/>
  <c r="G1010" i="8"/>
  <c r="G1009" i="8"/>
  <c r="F1009" i="8"/>
  <c r="G1008" i="8"/>
  <c r="G1007" i="8"/>
  <c r="G1006" i="8"/>
  <c r="G1005" i="8"/>
  <c r="G1004" i="8"/>
  <c r="G1003" i="8"/>
  <c r="G1002" i="8"/>
  <c r="G1001" i="8"/>
  <c r="G1000" i="8"/>
  <c r="G999" i="8"/>
  <c r="G998" i="8"/>
  <c r="G997" i="8"/>
  <c r="G996" i="8"/>
  <c r="G995" i="8"/>
  <c r="G994" i="8"/>
  <c r="G993" i="8"/>
  <c r="G992" i="8"/>
  <c r="G991" i="8"/>
  <c r="G990" i="8"/>
  <c r="G989" i="8"/>
  <c r="G988" i="8"/>
  <c r="G987" i="8"/>
  <c r="G986" i="8"/>
  <c r="G985" i="8"/>
  <c r="G984" i="8"/>
  <c r="G983" i="8"/>
  <c r="G982" i="8"/>
  <c r="G981" i="8"/>
  <c r="G980" i="8"/>
  <c r="G979" i="8"/>
  <c r="G978" i="8"/>
  <c r="G977" i="8"/>
  <c r="G976" i="8"/>
  <c r="G975" i="8"/>
  <c r="G974" i="8"/>
  <c r="G973" i="8"/>
  <c r="G972" i="8"/>
  <c r="G971" i="8"/>
  <c r="G970" i="8"/>
  <c r="G969" i="8"/>
  <c r="G968" i="8"/>
  <c r="G967" i="8"/>
  <c r="G966" i="8"/>
  <c r="G965" i="8"/>
  <c r="G964" i="8"/>
  <c r="G963" i="8"/>
  <c r="G962" i="8"/>
  <c r="G961" i="8"/>
  <c r="G960" i="8"/>
  <c r="G959" i="8"/>
  <c r="G958" i="8"/>
  <c r="G957" i="8"/>
  <c r="G956" i="8"/>
  <c r="G955" i="8"/>
  <c r="G954" i="8"/>
  <c r="G953" i="8"/>
  <c r="G952" i="8"/>
  <c r="G951" i="8"/>
  <c r="G950" i="8"/>
  <c r="G949" i="8"/>
  <c r="G948" i="8"/>
  <c r="G947" i="8"/>
  <c r="G946" i="8"/>
  <c r="G945" i="8"/>
  <c r="G944" i="8"/>
  <c r="G943" i="8"/>
  <c r="G942" i="8"/>
  <c r="G941" i="8"/>
  <c r="G940" i="8"/>
  <c r="G939" i="8"/>
  <c r="G938" i="8"/>
  <c r="G937" i="8"/>
  <c r="G936" i="8"/>
  <c r="G935" i="8"/>
  <c r="G934" i="8"/>
  <c r="G933" i="8"/>
  <c r="G932" i="8"/>
  <c r="G931" i="8"/>
  <c r="G930" i="8"/>
  <c r="G929" i="8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F914" i="8"/>
  <c r="G913" i="8"/>
  <c r="G912" i="8"/>
  <c r="G911" i="8"/>
  <c r="G910" i="8"/>
  <c r="F909" i="8"/>
  <c r="G909" i="8" s="1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F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F791" i="8"/>
  <c r="G790" i="8"/>
  <c r="G789" i="8"/>
  <c r="G788" i="8"/>
  <c r="F788" i="8"/>
  <c r="G787" i="8"/>
  <c r="G786" i="8"/>
  <c r="G785" i="8"/>
  <c r="G784" i="8"/>
  <c r="G783" i="8"/>
  <c r="G782" i="8"/>
  <c r="F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F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F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F680" i="8"/>
  <c r="G679" i="8"/>
  <c r="G678" i="8"/>
  <c r="G677" i="8"/>
  <c r="G676" i="8"/>
  <c r="G675" i="8"/>
  <c r="G674" i="8"/>
  <c r="G673" i="8"/>
  <c r="G672" i="8"/>
  <c r="G671" i="8"/>
  <c r="F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F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F540" i="8"/>
  <c r="G540" i="8" s="1"/>
  <c r="G539" i="8"/>
  <c r="G538" i="8"/>
  <c r="G537" i="8"/>
  <c r="F537" i="8"/>
  <c r="G536" i="8"/>
  <c r="G535" i="8"/>
  <c r="G534" i="8"/>
  <c r="F533" i="8"/>
  <c r="G533" i="8" s="1"/>
  <c r="G532" i="8"/>
  <c r="G531" i="8"/>
  <c r="F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F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F427" i="8"/>
  <c r="G427" i="8" s="1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F409" i="8"/>
  <c r="G409" i="8" s="1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F330" i="8"/>
  <c r="G329" i="8"/>
  <c r="G328" i="8"/>
  <c r="G327" i="8"/>
  <c r="G326" i="8"/>
  <c r="G325" i="8"/>
  <c r="G324" i="8"/>
  <c r="G323" i="8"/>
  <c r="G322" i="8"/>
  <c r="G321" i="8"/>
  <c r="F321" i="8"/>
  <c r="G320" i="8"/>
  <c r="G319" i="8"/>
  <c r="G318" i="8"/>
  <c r="G317" i="8"/>
  <c r="G316" i="8"/>
  <c r="G315" i="8"/>
  <c r="G314" i="8"/>
  <c r="G313" i="8"/>
  <c r="G312" i="8"/>
  <c r="F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F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F245" i="8"/>
  <c r="G245" i="8" s="1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F226" i="8"/>
  <c r="G226" i="8" s="1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F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F115" i="8"/>
  <c r="G114" i="8"/>
  <c r="G113" i="8"/>
  <c r="G112" i="8"/>
  <c r="G111" i="8"/>
  <c r="G110" i="8"/>
  <c r="G109" i="8"/>
  <c r="G108" i="8"/>
  <c r="F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F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F12" i="8"/>
  <c r="G11" i="8"/>
  <c r="G10" i="8"/>
  <c r="G9" i="8"/>
  <c r="G8" i="8"/>
  <c r="G7" i="8"/>
  <c r="G6" i="8"/>
  <c r="G5" i="8"/>
  <c r="F4" i="8"/>
  <c r="G4" i="8" s="1"/>
  <c r="G3" i="8"/>
  <c r="G2" i="8"/>
  <c r="F2922" i="5" l="1"/>
  <c r="F1392" i="1" l="1"/>
  <c r="F1558" i="7"/>
  <c r="F3139" i="7" l="1"/>
  <c r="F3112" i="7"/>
  <c r="F2899" i="7" l="1"/>
  <c r="F2412" i="7" l="1"/>
  <c r="F2456" i="6"/>
  <c r="F2931" i="7" l="1"/>
  <c r="F1342" i="5"/>
  <c r="F2712" i="7"/>
  <c r="F1582" i="7"/>
  <c r="F1867" i="7" l="1"/>
  <c r="F3082" i="7" l="1"/>
  <c r="F3080" i="7"/>
  <c r="F2344" i="7"/>
  <c r="F3191" i="7" l="1"/>
  <c r="F3095" i="7" l="1"/>
  <c r="F2970" i="7"/>
  <c r="F3232" i="7"/>
  <c r="D3232" i="7"/>
  <c r="G3231" i="7"/>
  <c r="G3230" i="7"/>
  <c r="G3229" i="7"/>
  <c r="G3228" i="7"/>
  <c r="G3227" i="7"/>
  <c r="G3226" i="7"/>
  <c r="G3225" i="7"/>
  <c r="G3224" i="7"/>
  <c r="G3223" i="7"/>
  <c r="G3222" i="7"/>
  <c r="G3221" i="7"/>
  <c r="G3220" i="7"/>
  <c r="G3219" i="7"/>
  <c r="G3218" i="7"/>
  <c r="G3217" i="7"/>
  <c r="G3216" i="7"/>
  <c r="G3215" i="7"/>
  <c r="G3214" i="7"/>
  <c r="G3213" i="7"/>
  <c r="G3212" i="7"/>
  <c r="G3211" i="7"/>
  <c r="G3210" i="7"/>
  <c r="G3209" i="7"/>
  <c r="G3208" i="7"/>
  <c r="G3207" i="7"/>
  <c r="G3206" i="7"/>
  <c r="G3205" i="7"/>
  <c r="G3204" i="7"/>
  <c r="G3203" i="7"/>
  <c r="G3202" i="7"/>
  <c r="G3201" i="7"/>
  <c r="G3200" i="7"/>
  <c r="G3199" i="7"/>
  <c r="G3198" i="7"/>
  <c r="G3197" i="7"/>
  <c r="G3196" i="7"/>
  <c r="G3195" i="7"/>
  <c r="G3194" i="7"/>
  <c r="G3193" i="7"/>
  <c r="G3192" i="7"/>
  <c r="G3191" i="7"/>
  <c r="G3190" i="7"/>
  <c r="G3189" i="7"/>
  <c r="G3188" i="7"/>
  <c r="G3187" i="7"/>
  <c r="G3186" i="7"/>
  <c r="G3185" i="7"/>
  <c r="G3184" i="7"/>
  <c r="G3183" i="7"/>
  <c r="G3182" i="7"/>
  <c r="G3181" i="7"/>
  <c r="G3180" i="7"/>
  <c r="G3179" i="7"/>
  <c r="G3178" i="7"/>
  <c r="G3177" i="7"/>
  <c r="G3176" i="7"/>
  <c r="G3175" i="7"/>
  <c r="G3174" i="7"/>
  <c r="G3173" i="7"/>
  <c r="G3172" i="7"/>
  <c r="G3171" i="7"/>
  <c r="G3170" i="7"/>
  <c r="G3169" i="7"/>
  <c r="G3168" i="7"/>
  <c r="G3167" i="7"/>
  <c r="G3166" i="7"/>
  <c r="G3165" i="7"/>
  <c r="G3164" i="7"/>
  <c r="G3163" i="7"/>
  <c r="G3162" i="7"/>
  <c r="G3161" i="7"/>
  <c r="G3160" i="7"/>
  <c r="G3159" i="7"/>
  <c r="G3158" i="7"/>
  <c r="G3157" i="7"/>
  <c r="G3156" i="7"/>
  <c r="G3155" i="7"/>
  <c r="G3154" i="7"/>
  <c r="G3153" i="7"/>
  <c r="G3152" i="7"/>
  <c r="G3151" i="7"/>
  <c r="G3150" i="7"/>
  <c r="G3149" i="7"/>
  <c r="G3148" i="7"/>
  <c r="G3147" i="7"/>
  <c r="G3146" i="7"/>
  <c r="G3145" i="7"/>
  <c r="G3144" i="7"/>
  <c r="G3143" i="7"/>
  <c r="G3142" i="7"/>
  <c r="G3141" i="7"/>
  <c r="G3140" i="7"/>
  <c r="G3139" i="7"/>
  <c r="G3138" i="7"/>
  <c r="G3137" i="7"/>
  <c r="G3136" i="7"/>
  <c r="G3135" i="7"/>
  <c r="G3134" i="7"/>
  <c r="G3133" i="7"/>
  <c r="G3132" i="7"/>
  <c r="G3131" i="7"/>
  <c r="G3130" i="7"/>
  <c r="G3129" i="7"/>
  <c r="G3128" i="7"/>
  <c r="G3127" i="7"/>
  <c r="G3126" i="7"/>
  <c r="G3125" i="7"/>
  <c r="G3124" i="7"/>
  <c r="G3123" i="7"/>
  <c r="G3122" i="7"/>
  <c r="G3121" i="7"/>
  <c r="G3120" i="7"/>
  <c r="G3119" i="7"/>
  <c r="G3118" i="7"/>
  <c r="G3117" i="7"/>
  <c r="G3116" i="7"/>
  <c r="G3115" i="7"/>
  <c r="G3114" i="7"/>
  <c r="G3113" i="7"/>
  <c r="G3112" i="7"/>
  <c r="G3111" i="7"/>
  <c r="G3110" i="7"/>
  <c r="G3109" i="7"/>
  <c r="G3108" i="7"/>
  <c r="G3107" i="7"/>
  <c r="G3106" i="7"/>
  <c r="G3105" i="7"/>
  <c r="G3104" i="7"/>
  <c r="G3103" i="7"/>
  <c r="G3102" i="7"/>
  <c r="G3101" i="7"/>
  <c r="G3100" i="7"/>
  <c r="G3099" i="7"/>
  <c r="G3098" i="7"/>
  <c r="G3097" i="7"/>
  <c r="G3096" i="7"/>
  <c r="G3095" i="7"/>
  <c r="G3094" i="7"/>
  <c r="G3093" i="7"/>
  <c r="G3092" i="7"/>
  <c r="G3091" i="7"/>
  <c r="G3090" i="7"/>
  <c r="G3089" i="7"/>
  <c r="G3088" i="7"/>
  <c r="G3087" i="7"/>
  <c r="G3086" i="7"/>
  <c r="G3085" i="7"/>
  <c r="G3084" i="7"/>
  <c r="G3083" i="7"/>
  <c r="G3082" i="7"/>
  <c r="G3081" i="7"/>
  <c r="G3080" i="7"/>
  <c r="G3079" i="7"/>
  <c r="G3078" i="7"/>
  <c r="G3077" i="7"/>
  <c r="G3076" i="7"/>
  <c r="G3075" i="7"/>
  <c r="G3074" i="7"/>
  <c r="G3073" i="7"/>
  <c r="G3072" i="7"/>
  <c r="G3071" i="7"/>
  <c r="G3070" i="7"/>
  <c r="G3069" i="7"/>
  <c r="G3068" i="7"/>
  <c r="G3067" i="7"/>
  <c r="G3066" i="7"/>
  <c r="G3065" i="7"/>
  <c r="G3064" i="7"/>
  <c r="G3063" i="7"/>
  <c r="G3062" i="7"/>
  <c r="G3061" i="7"/>
  <c r="G3060" i="7"/>
  <c r="G3059" i="7"/>
  <c r="G3058" i="7"/>
  <c r="G3057" i="7"/>
  <c r="G3056" i="7"/>
  <c r="G3055" i="7"/>
  <c r="G3054" i="7"/>
  <c r="G3053" i="7"/>
  <c r="G3052" i="7"/>
  <c r="G3051" i="7"/>
  <c r="G3050" i="7"/>
  <c r="G3049" i="7"/>
  <c r="G3048" i="7"/>
  <c r="G3047" i="7"/>
  <c r="G3046" i="7"/>
  <c r="G3045" i="7"/>
  <c r="G3044" i="7"/>
  <c r="G3043" i="7"/>
  <c r="G3042" i="7"/>
  <c r="G3041" i="7"/>
  <c r="G3040" i="7"/>
  <c r="G3039" i="7"/>
  <c r="G3038" i="7"/>
  <c r="G3037" i="7"/>
  <c r="G3036" i="7"/>
  <c r="G3035" i="7"/>
  <c r="G3034" i="7"/>
  <c r="G3033" i="7"/>
  <c r="G3032" i="7"/>
  <c r="G3031" i="7"/>
  <c r="G3030" i="7"/>
  <c r="G3029" i="7"/>
  <c r="G3028" i="7"/>
  <c r="G3027" i="7"/>
  <c r="G3026" i="7"/>
  <c r="G3025" i="7"/>
  <c r="G3024" i="7"/>
  <c r="G3023" i="7"/>
  <c r="G3022" i="7"/>
  <c r="G3021" i="7"/>
  <c r="G3020" i="7"/>
  <c r="G3019" i="7"/>
  <c r="G3018" i="7"/>
  <c r="G3017" i="7"/>
  <c r="G3016" i="7"/>
  <c r="G3015" i="7"/>
  <c r="G3014" i="7"/>
  <c r="G3013" i="7"/>
  <c r="G3012" i="7"/>
  <c r="G3011" i="7"/>
  <c r="G3010" i="7"/>
  <c r="G3009" i="7"/>
  <c r="G3008" i="7"/>
  <c r="G3007" i="7"/>
  <c r="G3006" i="7"/>
  <c r="G3005" i="7"/>
  <c r="F3005" i="7"/>
  <c r="G3004" i="7"/>
  <c r="G3003" i="7"/>
  <c r="G3002" i="7"/>
  <c r="G3001" i="7"/>
  <c r="G3000" i="7"/>
  <c r="G2999" i="7"/>
  <c r="G2998" i="7"/>
  <c r="G2997" i="7"/>
  <c r="G2996" i="7"/>
  <c r="G2995" i="7"/>
  <c r="G2994" i="7"/>
  <c r="F2993" i="7"/>
  <c r="G2993" i="7" s="1"/>
  <c r="G2992" i="7"/>
  <c r="G2991" i="7"/>
  <c r="G2990" i="7"/>
  <c r="G2989" i="7"/>
  <c r="G2988" i="7"/>
  <c r="G2987" i="7"/>
  <c r="G2986" i="7"/>
  <c r="G2985" i="7"/>
  <c r="G2984" i="7"/>
  <c r="G2983" i="7"/>
  <c r="G2982" i="7"/>
  <c r="G2981" i="7"/>
  <c r="G2980" i="7"/>
  <c r="G2979" i="7"/>
  <c r="G2978" i="7"/>
  <c r="G2977" i="7"/>
  <c r="G2976" i="7"/>
  <c r="G2975" i="7"/>
  <c r="G2974" i="7"/>
  <c r="G2973" i="7"/>
  <c r="G2972" i="7"/>
  <c r="G2971" i="7"/>
  <c r="G2970" i="7"/>
  <c r="G2969" i="7"/>
  <c r="G2968" i="7"/>
  <c r="G2967" i="7"/>
  <c r="G2966" i="7"/>
  <c r="G2965" i="7"/>
  <c r="G2964" i="7"/>
  <c r="G2963" i="7"/>
  <c r="G2962" i="7"/>
  <c r="G2961" i="7"/>
  <c r="G2960" i="7"/>
  <c r="G2959" i="7"/>
  <c r="G2958" i="7"/>
  <c r="F2957" i="7"/>
  <c r="G2957" i="7" s="1"/>
  <c r="G2956" i="7"/>
  <c r="G2955" i="7"/>
  <c r="G2954" i="7"/>
  <c r="G2953" i="7"/>
  <c r="G2952" i="7"/>
  <c r="G2951" i="7"/>
  <c r="G2950" i="7"/>
  <c r="G2949" i="7"/>
  <c r="G2948" i="7"/>
  <c r="G2947" i="7"/>
  <c r="G2946" i="7"/>
  <c r="G2945" i="7"/>
  <c r="G2944" i="7"/>
  <c r="G2943" i="7"/>
  <c r="G2942" i="7"/>
  <c r="G2941" i="7"/>
  <c r="G2940" i="7"/>
  <c r="G2939" i="7"/>
  <c r="G2938" i="7"/>
  <c r="G2937" i="7"/>
  <c r="G2936" i="7"/>
  <c r="G2935" i="7"/>
  <c r="G2934" i="7"/>
  <c r="G2933" i="7"/>
  <c r="G2932" i="7"/>
  <c r="G2931" i="7"/>
  <c r="G2930" i="7"/>
  <c r="G2929" i="7"/>
  <c r="G2928" i="7"/>
  <c r="G2927" i="7"/>
  <c r="G2926" i="7"/>
  <c r="G2925" i="7"/>
  <c r="G2924" i="7"/>
  <c r="G2923" i="7"/>
  <c r="G2922" i="7"/>
  <c r="G2921" i="7"/>
  <c r="G2920" i="7"/>
  <c r="G2919" i="7"/>
  <c r="G2918" i="7"/>
  <c r="G2917" i="7"/>
  <c r="G2916" i="7"/>
  <c r="G2915" i="7"/>
  <c r="G2914" i="7"/>
  <c r="G2913" i="7"/>
  <c r="G2912" i="7"/>
  <c r="G2911" i="7"/>
  <c r="G2910" i="7"/>
  <c r="G2909" i="7"/>
  <c r="G2908" i="7"/>
  <c r="F2907" i="7"/>
  <c r="G2907" i="7" s="1"/>
  <c r="G2906" i="7"/>
  <c r="G2905" i="7"/>
  <c r="G2904" i="7"/>
  <c r="G2903" i="7"/>
  <c r="G2902" i="7"/>
  <c r="G2901" i="7"/>
  <c r="G2900" i="7"/>
  <c r="G2899" i="7"/>
  <c r="G2898" i="7"/>
  <c r="G2897" i="7"/>
  <c r="G2896" i="7"/>
  <c r="G2895" i="7"/>
  <c r="G2894" i="7"/>
  <c r="G2893" i="7"/>
  <c r="G2892" i="7"/>
  <c r="G2891" i="7"/>
  <c r="G2890" i="7"/>
  <c r="G2889" i="7"/>
  <c r="G2888" i="7"/>
  <c r="G2887" i="7"/>
  <c r="G2886" i="7"/>
  <c r="G2885" i="7"/>
  <c r="G2884" i="7"/>
  <c r="G2883" i="7"/>
  <c r="G2882" i="7"/>
  <c r="G2881" i="7"/>
  <c r="G2880" i="7"/>
  <c r="G2879" i="7"/>
  <c r="G2878" i="7"/>
  <c r="G2877" i="7"/>
  <c r="G2876" i="7"/>
  <c r="G2875" i="7"/>
  <c r="G2874" i="7"/>
  <c r="F2873" i="7"/>
  <c r="G2873" i="7" s="1"/>
  <c r="G2872" i="7"/>
  <c r="G2871" i="7"/>
  <c r="G2870" i="7"/>
  <c r="G2869" i="7"/>
  <c r="G2868" i="7"/>
  <c r="G2867" i="7"/>
  <c r="G2866" i="7"/>
  <c r="G2865" i="7"/>
  <c r="G2864" i="7"/>
  <c r="G2863" i="7"/>
  <c r="G2862" i="7"/>
  <c r="G2861" i="7"/>
  <c r="G2860" i="7"/>
  <c r="G2859" i="7"/>
  <c r="G2858" i="7"/>
  <c r="G2857" i="7"/>
  <c r="F2856" i="7"/>
  <c r="G2856" i="7" s="1"/>
  <c r="G2855" i="7"/>
  <c r="G2854" i="7"/>
  <c r="G2853" i="7"/>
  <c r="G2852" i="7"/>
  <c r="G2851" i="7"/>
  <c r="G2850" i="7"/>
  <c r="G2849" i="7"/>
  <c r="G2848" i="7"/>
  <c r="G2847" i="7"/>
  <c r="G2846" i="7"/>
  <c r="G2845" i="7"/>
  <c r="G2844" i="7"/>
  <c r="G2843" i="7"/>
  <c r="G2842" i="7"/>
  <c r="G2841" i="7"/>
  <c r="G2840" i="7"/>
  <c r="G2839" i="7"/>
  <c r="G2838" i="7"/>
  <c r="G2837" i="7"/>
  <c r="G2836" i="7"/>
  <c r="G2835" i="7"/>
  <c r="G2834" i="7"/>
  <c r="G2833" i="7"/>
  <c r="G2832" i="7"/>
  <c r="G2831" i="7"/>
  <c r="G2830" i="7"/>
  <c r="G2829" i="7"/>
  <c r="G2828" i="7"/>
  <c r="G2827" i="7"/>
  <c r="G2826" i="7"/>
  <c r="G2825" i="7"/>
  <c r="G2824" i="7"/>
  <c r="G2823" i="7"/>
  <c r="G2822" i="7"/>
  <c r="G2821" i="7"/>
  <c r="G2820" i="7"/>
  <c r="G2819" i="7"/>
  <c r="G2818" i="7"/>
  <c r="G2817" i="7"/>
  <c r="G2816" i="7"/>
  <c r="G2815" i="7"/>
  <c r="G2814" i="7"/>
  <c r="G2813" i="7"/>
  <c r="G2812" i="7"/>
  <c r="G2811" i="7"/>
  <c r="G2810" i="7"/>
  <c r="G2809" i="7"/>
  <c r="G2808" i="7"/>
  <c r="G2807" i="7"/>
  <c r="G2806" i="7"/>
  <c r="G2805" i="7"/>
  <c r="G2804" i="7"/>
  <c r="G2803" i="7"/>
  <c r="G2802" i="7"/>
  <c r="G2801" i="7"/>
  <c r="G2800" i="7"/>
  <c r="G2799" i="7"/>
  <c r="G2798" i="7"/>
  <c r="G2797" i="7"/>
  <c r="G2796" i="7"/>
  <c r="G2795" i="7"/>
  <c r="G2794" i="7"/>
  <c r="G2793" i="7"/>
  <c r="G2792" i="7"/>
  <c r="G2791" i="7"/>
  <c r="G2790" i="7"/>
  <c r="G2789" i="7"/>
  <c r="G2788" i="7"/>
  <c r="G2787" i="7"/>
  <c r="G2786" i="7"/>
  <c r="G2785" i="7"/>
  <c r="G2784" i="7"/>
  <c r="G2783" i="7"/>
  <c r="G2782" i="7"/>
  <c r="G2781" i="7"/>
  <c r="G2780" i="7"/>
  <c r="G2779" i="7"/>
  <c r="G2778" i="7"/>
  <c r="G2777" i="7"/>
  <c r="G2776" i="7"/>
  <c r="G2775" i="7"/>
  <c r="G2774" i="7"/>
  <c r="G2773" i="7"/>
  <c r="G2772" i="7"/>
  <c r="G2771" i="7"/>
  <c r="G2770" i="7"/>
  <c r="G2769" i="7"/>
  <c r="G2768" i="7"/>
  <c r="G2767" i="7"/>
  <c r="G2766" i="7"/>
  <c r="G2765" i="7"/>
  <c r="G2764" i="7"/>
  <c r="G2763" i="7"/>
  <c r="G2762" i="7"/>
  <c r="F2761" i="7"/>
  <c r="G2761" i="7" s="1"/>
  <c r="G2760" i="7"/>
  <c r="G2759" i="7"/>
  <c r="G2758" i="7"/>
  <c r="G2757" i="7"/>
  <c r="G2756" i="7"/>
  <c r="G2755" i="7"/>
  <c r="G2754" i="7"/>
  <c r="G2753" i="7"/>
  <c r="G2752" i="7"/>
  <c r="G2751" i="7"/>
  <c r="G2750" i="7"/>
  <c r="G2749" i="7"/>
  <c r="G2748" i="7"/>
  <c r="G2747" i="7"/>
  <c r="G2746" i="7"/>
  <c r="G2745" i="7"/>
  <c r="G2744" i="7"/>
  <c r="G2743" i="7"/>
  <c r="G2742" i="7"/>
  <c r="G2741" i="7"/>
  <c r="G2740" i="7"/>
  <c r="G2739" i="7"/>
  <c r="G2738" i="7"/>
  <c r="G2737" i="7"/>
  <c r="G2736" i="7"/>
  <c r="G2735" i="7"/>
  <c r="G2734" i="7"/>
  <c r="G2733" i="7"/>
  <c r="G2732" i="7"/>
  <c r="G2731" i="7"/>
  <c r="G2730" i="7"/>
  <c r="G2729" i="7"/>
  <c r="G2728" i="7"/>
  <c r="G2727" i="7"/>
  <c r="G2726" i="7"/>
  <c r="G2725" i="7"/>
  <c r="G2724" i="7"/>
  <c r="G2723" i="7"/>
  <c r="G2722" i="7"/>
  <c r="G2721" i="7"/>
  <c r="G2720" i="7"/>
  <c r="G2719" i="7"/>
  <c r="G2718" i="7"/>
  <c r="G2717" i="7"/>
  <c r="G2716" i="7"/>
  <c r="G2715" i="7"/>
  <c r="G2714" i="7"/>
  <c r="G2713" i="7"/>
  <c r="G2712" i="7"/>
  <c r="G2711" i="7"/>
  <c r="G2710" i="7"/>
  <c r="G2709" i="7"/>
  <c r="G2708" i="7"/>
  <c r="G2707" i="7"/>
  <c r="G2706" i="7"/>
  <c r="G2705" i="7"/>
  <c r="G2704" i="7"/>
  <c r="G2703" i="7"/>
  <c r="G2702" i="7"/>
  <c r="G2701" i="7"/>
  <c r="G2700" i="7"/>
  <c r="G2699" i="7"/>
  <c r="G2698" i="7"/>
  <c r="G2697" i="7"/>
  <c r="G2696" i="7"/>
  <c r="G2695" i="7"/>
  <c r="G2694" i="7"/>
  <c r="G2693" i="7"/>
  <c r="G2692" i="7"/>
  <c r="G2691" i="7"/>
  <c r="G2690" i="7"/>
  <c r="G2689" i="7"/>
  <c r="G2688" i="7"/>
  <c r="F2688" i="7"/>
  <c r="G2687" i="7"/>
  <c r="G2686" i="7"/>
  <c r="G2685" i="7"/>
  <c r="G2684" i="7"/>
  <c r="G2683" i="7"/>
  <c r="G2682" i="7"/>
  <c r="G2681" i="7"/>
  <c r="G2680" i="7"/>
  <c r="G2679" i="7"/>
  <c r="G2678" i="7"/>
  <c r="G2677" i="7"/>
  <c r="G2676" i="7"/>
  <c r="G2675" i="7"/>
  <c r="G2674" i="7"/>
  <c r="G2673" i="7"/>
  <c r="G2672" i="7"/>
  <c r="G2671" i="7"/>
  <c r="G2670" i="7"/>
  <c r="G2669" i="7"/>
  <c r="G2668" i="7"/>
  <c r="G2667" i="7"/>
  <c r="G2666" i="7"/>
  <c r="G2665" i="7"/>
  <c r="G2664" i="7"/>
  <c r="G2663" i="7"/>
  <c r="G2662" i="7"/>
  <c r="G2661" i="7"/>
  <c r="G2660" i="7"/>
  <c r="G2659" i="7"/>
  <c r="G2658" i="7"/>
  <c r="G2657" i="7"/>
  <c r="G2656" i="7"/>
  <c r="G2655" i="7"/>
  <c r="G2654" i="7"/>
  <c r="G2653" i="7"/>
  <c r="G2652" i="7"/>
  <c r="G2651" i="7"/>
  <c r="G2650" i="7"/>
  <c r="G2649" i="7"/>
  <c r="G2648" i="7"/>
  <c r="G2647" i="7"/>
  <c r="G2646" i="7"/>
  <c r="G2645" i="7"/>
  <c r="G2644" i="7"/>
  <c r="G2643" i="7"/>
  <c r="G2642" i="7"/>
  <c r="G2641" i="7"/>
  <c r="G2640" i="7"/>
  <c r="G2639" i="7"/>
  <c r="G2638" i="7"/>
  <c r="G2637" i="7"/>
  <c r="G2636" i="7"/>
  <c r="G2635" i="7"/>
  <c r="G2634" i="7"/>
  <c r="G2633" i="7"/>
  <c r="G2632" i="7"/>
  <c r="G2631" i="7"/>
  <c r="G2630" i="7"/>
  <c r="G2629" i="7"/>
  <c r="G2628" i="7"/>
  <c r="G2627" i="7"/>
  <c r="G2626" i="7"/>
  <c r="G2625" i="7"/>
  <c r="G2624" i="7"/>
  <c r="G2623" i="7"/>
  <c r="G2622" i="7"/>
  <c r="G2621" i="7"/>
  <c r="G2620" i="7"/>
  <c r="G2619" i="7"/>
  <c r="G2618" i="7"/>
  <c r="G2617" i="7"/>
  <c r="G2616" i="7"/>
  <c r="G2615" i="7"/>
  <c r="G2614" i="7"/>
  <c r="G2613" i="7"/>
  <c r="G2612" i="7"/>
  <c r="G2611" i="7"/>
  <c r="G2610" i="7"/>
  <c r="G2609" i="7"/>
  <c r="G2608" i="7"/>
  <c r="G2607" i="7"/>
  <c r="G2606" i="7"/>
  <c r="G2605" i="7"/>
  <c r="G2604" i="7"/>
  <c r="G2603" i="7"/>
  <c r="G2602" i="7"/>
  <c r="G2601" i="7"/>
  <c r="G2600" i="7"/>
  <c r="G2599" i="7"/>
  <c r="G2598" i="7"/>
  <c r="G2597" i="7"/>
  <c r="G2596" i="7"/>
  <c r="G2595" i="7"/>
  <c r="G2594" i="7"/>
  <c r="G2593" i="7"/>
  <c r="G2592" i="7"/>
  <c r="F2592" i="7"/>
  <c r="G2591" i="7"/>
  <c r="G2590" i="7"/>
  <c r="G2589" i="7"/>
  <c r="G2588" i="7"/>
  <c r="G2587" i="7"/>
  <c r="G2586" i="7"/>
  <c r="G2585" i="7"/>
  <c r="G2584" i="7"/>
  <c r="G2583" i="7"/>
  <c r="G2582" i="7"/>
  <c r="G2581" i="7"/>
  <c r="G2580" i="7"/>
  <c r="G2579" i="7"/>
  <c r="G2578" i="7"/>
  <c r="G2577" i="7"/>
  <c r="G2576" i="7"/>
  <c r="G2575" i="7"/>
  <c r="G2574" i="7"/>
  <c r="G2573" i="7"/>
  <c r="G2572" i="7"/>
  <c r="G2571" i="7"/>
  <c r="G2570" i="7"/>
  <c r="G2569" i="7"/>
  <c r="G2568" i="7"/>
  <c r="G2567" i="7"/>
  <c r="G2566" i="7"/>
  <c r="G2565" i="7"/>
  <c r="G2564" i="7"/>
  <c r="G2563" i="7"/>
  <c r="G2562" i="7"/>
  <c r="G2561" i="7"/>
  <c r="G2560" i="7"/>
  <c r="G2559" i="7"/>
  <c r="F2558" i="7"/>
  <c r="G2558" i="7" s="1"/>
  <c r="G2557" i="7"/>
  <c r="G2556" i="7"/>
  <c r="G2555" i="7"/>
  <c r="G2554" i="7"/>
  <c r="G2553" i="7"/>
  <c r="G2552" i="7"/>
  <c r="G2551" i="7"/>
  <c r="G2550" i="7"/>
  <c r="G2549" i="7"/>
  <c r="G2548" i="7"/>
  <c r="G2547" i="7"/>
  <c r="G2546" i="7"/>
  <c r="G2545" i="7"/>
  <c r="G2544" i="7"/>
  <c r="G2543" i="7"/>
  <c r="G2542" i="7"/>
  <c r="G2541" i="7"/>
  <c r="G2540" i="7"/>
  <c r="G2539" i="7"/>
  <c r="G2538" i="7"/>
  <c r="G2537" i="7"/>
  <c r="G2536" i="7"/>
  <c r="G2535" i="7"/>
  <c r="G2534" i="7"/>
  <c r="G2533" i="7"/>
  <c r="G2532" i="7"/>
  <c r="G2531" i="7"/>
  <c r="G2530" i="7"/>
  <c r="G2529" i="7"/>
  <c r="G2528" i="7"/>
  <c r="G2527" i="7"/>
  <c r="G2526" i="7"/>
  <c r="F2526" i="7"/>
  <c r="G2525" i="7"/>
  <c r="G2524" i="7"/>
  <c r="G2523" i="7"/>
  <c r="G2522" i="7"/>
  <c r="G2521" i="7"/>
  <c r="G2520" i="7"/>
  <c r="G2519" i="7"/>
  <c r="F2518" i="7"/>
  <c r="G2518" i="7" s="1"/>
  <c r="G2517" i="7"/>
  <c r="G2516" i="7"/>
  <c r="G2515" i="7"/>
  <c r="G2514" i="7"/>
  <c r="G2513" i="7"/>
  <c r="G2512" i="7"/>
  <c r="G2511" i="7"/>
  <c r="G2510" i="7"/>
  <c r="G2509" i="7"/>
  <c r="G2508" i="7"/>
  <c r="G2507" i="7"/>
  <c r="G2506" i="7"/>
  <c r="G2505" i="7"/>
  <c r="G2504" i="7"/>
  <c r="G2503" i="7"/>
  <c r="G2502" i="7"/>
  <c r="G2501" i="7"/>
  <c r="G2500" i="7"/>
  <c r="G2499" i="7"/>
  <c r="G2498" i="7"/>
  <c r="G2497" i="7"/>
  <c r="G2496" i="7"/>
  <c r="G2495" i="7"/>
  <c r="G2494" i="7"/>
  <c r="G2493" i="7"/>
  <c r="G2492" i="7"/>
  <c r="G2491" i="7"/>
  <c r="G2490" i="7"/>
  <c r="G2489" i="7"/>
  <c r="G2488" i="7"/>
  <c r="G2487" i="7"/>
  <c r="G2486" i="7"/>
  <c r="G2485" i="7"/>
  <c r="G2484" i="7"/>
  <c r="G2483" i="7"/>
  <c r="G2482" i="7"/>
  <c r="G2481" i="7"/>
  <c r="G2480" i="7"/>
  <c r="G2479" i="7"/>
  <c r="G2478" i="7"/>
  <c r="G2477" i="7"/>
  <c r="G2476" i="7"/>
  <c r="G2475" i="7"/>
  <c r="G2474" i="7"/>
  <c r="G2473" i="7"/>
  <c r="G2472" i="7"/>
  <c r="G2471" i="7"/>
  <c r="G2470" i="7"/>
  <c r="G2469" i="7"/>
  <c r="G2468" i="7"/>
  <c r="G2467" i="7"/>
  <c r="G2466" i="7"/>
  <c r="G2465" i="7"/>
  <c r="G2464" i="7"/>
  <c r="G2463" i="7"/>
  <c r="G2462" i="7"/>
  <c r="G2461" i="7"/>
  <c r="G2460" i="7"/>
  <c r="G2459" i="7"/>
  <c r="G2458" i="7"/>
  <c r="G2457" i="7"/>
  <c r="G2456" i="7"/>
  <c r="G2455" i="7"/>
  <c r="G2454" i="7"/>
  <c r="G2453" i="7"/>
  <c r="G2452" i="7"/>
  <c r="G2451" i="7"/>
  <c r="G2450" i="7"/>
  <c r="G2449" i="7"/>
  <c r="G2448" i="7"/>
  <c r="G2447" i="7"/>
  <c r="G2446" i="7"/>
  <c r="G2445" i="7"/>
  <c r="G2444" i="7"/>
  <c r="G2443" i="7"/>
  <c r="G2442" i="7"/>
  <c r="G2441" i="7"/>
  <c r="G2440" i="7"/>
  <c r="G2439" i="7"/>
  <c r="G2438" i="7"/>
  <c r="G2437" i="7"/>
  <c r="G2436" i="7"/>
  <c r="G2435" i="7"/>
  <c r="G2434" i="7"/>
  <c r="G2433" i="7"/>
  <c r="G2432" i="7"/>
  <c r="G2431" i="7"/>
  <c r="G2430" i="7"/>
  <c r="G2429" i="7"/>
  <c r="G2428" i="7"/>
  <c r="G2427" i="7"/>
  <c r="G2426" i="7"/>
  <c r="G2425" i="7"/>
  <c r="G2424" i="7"/>
  <c r="G2423" i="7"/>
  <c r="G2422" i="7"/>
  <c r="G2421" i="7"/>
  <c r="G2420" i="7"/>
  <c r="G2419" i="7"/>
  <c r="G2418" i="7"/>
  <c r="G2417" i="7"/>
  <c r="G2416" i="7"/>
  <c r="G2415" i="7"/>
  <c r="G2414" i="7"/>
  <c r="G2413" i="7"/>
  <c r="G2412" i="7"/>
  <c r="G2411" i="7"/>
  <c r="G2410" i="7"/>
  <c r="G2409" i="7"/>
  <c r="G2408" i="7"/>
  <c r="G2407" i="7"/>
  <c r="G2406" i="7"/>
  <c r="G2405" i="7"/>
  <c r="G2404" i="7"/>
  <c r="G2403" i="7"/>
  <c r="G2402" i="7"/>
  <c r="G2401" i="7"/>
  <c r="G2400" i="7"/>
  <c r="G2399" i="7"/>
  <c r="G2398" i="7"/>
  <c r="F2397" i="7"/>
  <c r="G2397" i="7" s="1"/>
  <c r="G2396" i="7"/>
  <c r="G2395" i="7"/>
  <c r="G2394" i="7"/>
  <c r="G2393" i="7"/>
  <c r="G2392" i="7"/>
  <c r="G2391" i="7"/>
  <c r="G2390" i="7"/>
  <c r="G2389" i="7"/>
  <c r="F2388" i="7"/>
  <c r="G2388" i="7" s="1"/>
  <c r="F2387" i="7"/>
  <c r="G2387" i="7" s="1"/>
  <c r="G2386" i="7"/>
  <c r="G2385" i="7"/>
  <c r="G2384" i="7"/>
  <c r="F2383" i="7"/>
  <c r="G2383" i="7" s="1"/>
  <c r="G2382" i="7"/>
  <c r="G2381" i="7"/>
  <c r="G2380" i="7"/>
  <c r="G2379" i="7"/>
  <c r="G2378" i="7"/>
  <c r="G2377" i="7"/>
  <c r="G2376" i="7"/>
  <c r="G2375" i="7"/>
  <c r="G2374" i="7"/>
  <c r="G2373" i="7"/>
  <c r="G2372" i="7"/>
  <c r="G2371" i="7"/>
  <c r="G2370" i="7"/>
  <c r="G2369" i="7"/>
  <c r="G2368" i="7"/>
  <c r="G2367" i="7"/>
  <c r="G2366" i="7"/>
  <c r="G2365" i="7"/>
  <c r="G2364" i="7"/>
  <c r="G2363" i="7"/>
  <c r="G2362" i="7"/>
  <c r="G2361" i="7"/>
  <c r="G2360" i="7"/>
  <c r="G2359" i="7"/>
  <c r="G2358" i="7"/>
  <c r="G2357" i="7"/>
  <c r="G2356" i="7"/>
  <c r="G2355" i="7"/>
  <c r="G2354" i="7"/>
  <c r="G2353" i="7"/>
  <c r="G2352" i="7"/>
  <c r="G2351" i="7"/>
  <c r="G2350" i="7"/>
  <c r="G2349" i="7"/>
  <c r="G2348" i="7"/>
  <c r="F2347" i="7"/>
  <c r="G2347" i="7" s="1"/>
  <c r="G2346" i="7"/>
  <c r="G2345" i="7"/>
  <c r="G2344" i="7"/>
  <c r="G2343" i="7"/>
  <c r="G2342" i="7"/>
  <c r="G2341" i="7"/>
  <c r="G2340" i="7"/>
  <c r="G2339" i="7"/>
  <c r="G2338" i="7"/>
  <c r="G2337" i="7"/>
  <c r="G2336" i="7"/>
  <c r="G2335" i="7"/>
  <c r="G2334" i="7"/>
  <c r="G2333" i="7"/>
  <c r="G2332" i="7"/>
  <c r="G2331" i="7"/>
  <c r="G2330" i="7"/>
  <c r="G2329" i="7"/>
  <c r="G2328" i="7"/>
  <c r="G2327" i="7"/>
  <c r="G2326" i="7"/>
  <c r="G2325" i="7"/>
  <c r="G2324" i="7"/>
  <c r="G2323" i="7"/>
  <c r="G2322" i="7"/>
  <c r="G2321" i="7"/>
  <c r="G2320" i="7"/>
  <c r="G2319" i="7"/>
  <c r="G2318" i="7"/>
  <c r="G2317" i="7"/>
  <c r="G2316" i="7"/>
  <c r="G2315" i="7"/>
  <c r="G2314" i="7"/>
  <c r="G2313" i="7"/>
  <c r="G2312" i="7"/>
  <c r="G2311" i="7"/>
  <c r="G2310" i="7"/>
  <c r="G2309" i="7"/>
  <c r="G2308" i="7"/>
  <c r="G2307" i="7"/>
  <c r="G2306" i="7"/>
  <c r="G2305" i="7"/>
  <c r="G2304" i="7"/>
  <c r="G2303" i="7"/>
  <c r="G2302" i="7"/>
  <c r="G2301" i="7"/>
  <c r="G2300" i="7"/>
  <c r="G2299" i="7"/>
  <c r="G2298" i="7"/>
  <c r="F2297" i="7"/>
  <c r="G2297" i="7" s="1"/>
  <c r="G2296" i="7"/>
  <c r="G2295" i="7"/>
  <c r="G2294" i="7"/>
  <c r="G2293" i="7"/>
  <c r="G2292" i="7"/>
  <c r="G2291" i="7"/>
  <c r="G2290" i="7"/>
  <c r="G2289" i="7"/>
  <c r="G2288" i="7"/>
  <c r="G2287" i="7"/>
  <c r="G2286" i="7"/>
  <c r="G2285" i="7"/>
  <c r="G2284" i="7"/>
  <c r="G2283" i="7"/>
  <c r="G2282" i="7"/>
  <c r="G2281" i="7"/>
  <c r="G2280" i="7"/>
  <c r="G2279" i="7"/>
  <c r="G2278" i="7"/>
  <c r="G2277" i="7"/>
  <c r="F2277" i="7"/>
  <c r="G2276" i="7"/>
  <c r="G2275" i="7"/>
  <c r="G2274" i="7"/>
  <c r="G2273" i="7"/>
  <c r="G2272" i="7"/>
  <c r="G2271" i="7"/>
  <c r="G2270" i="7"/>
  <c r="G2269" i="7"/>
  <c r="G2268" i="7"/>
  <c r="G2267" i="7"/>
  <c r="G2266" i="7"/>
  <c r="G2265" i="7"/>
  <c r="G2264" i="7"/>
  <c r="G2263" i="7"/>
  <c r="G2262" i="7"/>
  <c r="G2261" i="7"/>
  <c r="G2260" i="7"/>
  <c r="G2259" i="7"/>
  <c r="G2258" i="7"/>
  <c r="G2257" i="7"/>
  <c r="G2256" i="7"/>
  <c r="G2255" i="7"/>
  <c r="G2254" i="7"/>
  <c r="G2253" i="7"/>
  <c r="G2252" i="7"/>
  <c r="G2251" i="7"/>
  <c r="G2250" i="7"/>
  <c r="G2249" i="7"/>
  <c r="G2248" i="7"/>
  <c r="G2247" i="7"/>
  <c r="G2246" i="7"/>
  <c r="G2245" i="7"/>
  <c r="G2244" i="7"/>
  <c r="G2243" i="7"/>
  <c r="G2242" i="7"/>
  <c r="G2241" i="7"/>
  <c r="G2240" i="7"/>
  <c r="G2239" i="7"/>
  <c r="G2238" i="7"/>
  <c r="G2237" i="7"/>
  <c r="G2236" i="7"/>
  <c r="G2235" i="7"/>
  <c r="G2234" i="7"/>
  <c r="G2233" i="7"/>
  <c r="G2232" i="7"/>
  <c r="G2231" i="7"/>
  <c r="G2230" i="7"/>
  <c r="G2229" i="7"/>
  <c r="G2228" i="7"/>
  <c r="G2227" i="7"/>
  <c r="G2226" i="7"/>
  <c r="G2225" i="7"/>
  <c r="G2224" i="7"/>
  <c r="G2223" i="7"/>
  <c r="G2222" i="7"/>
  <c r="G2221" i="7"/>
  <c r="G2220" i="7"/>
  <c r="G2219" i="7"/>
  <c r="G2218" i="7"/>
  <c r="G2217" i="7"/>
  <c r="G2216" i="7"/>
  <c r="G2215" i="7"/>
  <c r="G2214" i="7"/>
  <c r="G2213" i="7"/>
  <c r="G2212" i="7"/>
  <c r="G2211" i="7"/>
  <c r="G2210" i="7"/>
  <c r="G2209" i="7"/>
  <c r="G2208" i="7"/>
  <c r="G2207" i="7"/>
  <c r="G2206" i="7"/>
  <c r="G2205" i="7"/>
  <c r="G2204" i="7"/>
  <c r="G2203" i="7"/>
  <c r="G2202" i="7"/>
  <c r="G2201" i="7"/>
  <c r="G2200" i="7"/>
  <c r="G2199" i="7"/>
  <c r="G2198" i="7"/>
  <c r="G2197" i="7"/>
  <c r="G2196" i="7"/>
  <c r="G2195" i="7"/>
  <c r="G2194" i="7"/>
  <c r="G2193" i="7"/>
  <c r="G2192" i="7"/>
  <c r="G2191" i="7"/>
  <c r="G2190" i="7"/>
  <c r="G2189" i="7"/>
  <c r="G2188" i="7"/>
  <c r="G2187" i="7"/>
  <c r="G2186" i="7"/>
  <c r="G2185" i="7"/>
  <c r="G2184" i="7"/>
  <c r="F2184" i="7"/>
  <c r="G2183" i="7"/>
  <c r="G2182" i="7"/>
  <c r="G2181" i="7"/>
  <c r="G2180" i="7"/>
  <c r="G2179" i="7"/>
  <c r="G2178" i="7"/>
  <c r="G2177" i="7"/>
  <c r="G2176" i="7"/>
  <c r="G2175" i="7"/>
  <c r="G2174" i="7"/>
  <c r="G2173" i="7"/>
  <c r="G2172" i="7"/>
  <c r="G2171" i="7"/>
  <c r="F2170" i="7"/>
  <c r="G2170" i="7" s="1"/>
  <c r="G2169" i="7"/>
  <c r="G2168" i="7"/>
  <c r="G2167" i="7"/>
  <c r="G2166" i="7"/>
  <c r="G2165" i="7"/>
  <c r="G2164" i="7"/>
  <c r="G2163" i="7"/>
  <c r="G2162" i="7"/>
  <c r="G2161" i="7"/>
  <c r="G2160" i="7"/>
  <c r="G2159" i="7"/>
  <c r="G2158" i="7"/>
  <c r="G2157" i="7"/>
  <c r="G2156" i="7"/>
  <c r="G2155" i="7"/>
  <c r="G2154" i="7"/>
  <c r="G2153" i="7"/>
  <c r="G2152" i="7"/>
  <c r="G2151" i="7"/>
  <c r="G2150" i="7"/>
  <c r="G2149" i="7"/>
  <c r="G2148" i="7"/>
  <c r="G2147" i="7"/>
  <c r="G2146" i="7"/>
  <c r="G2145" i="7"/>
  <c r="G2144" i="7"/>
  <c r="G2143" i="7"/>
  <c r="G2142" i="7"/>
  <c r="G2141" i="7"/>
  <c r="G2140" i="7"/>
  <c r="G2139" i="7"/>
  <c r="G2138" i="7"/>
  <c r="G2137" i="7"/>
  <c r="G2136" i="7"/>
  <c r="G2135" i="7"/>
  <c r="G2134" i="7"/>
  <c r="G2133" i="7"/>
  <c r="G2132" i="7"/>
  <c r="G2131" i="7"/>
  <c r="G2130" i="7"/>
  <c r="G2129" i="7"/>
  <c r="G2128" i="7"/>
  <c r="G2127" i="7"/>
  <c r="G2126" i="7"/>
  <c r="G2125" i="7"/>
  <c r="G2124" i="7"/>
  <c r="G2123" i="7"/>
  <c r="G2122" i="7"/>
  <c r="G2121" i="7"/>
  <c r="G2120" i="7"/>
  <c r="G2119" i="7"/>
  <c r="G2118" i="7"/>
  <c r="G2117" i="7"/>
  <c r="G2116" i="7"/>
  <c r="G2115" i="7"/>
  <c r="G2114" i="7"/>
  <c r="G2113" i="7"/>
  <c r="G2112" i="7"/>
  <c r="G2111" i="7"/>
  <c r="G2110" i="7"/>
  <c r="G2109" i="7"/>
  <c r="G2108" i="7"/>
  <c r="G2107" i="7"/>
  <c r="G2106" i="7"/>
  <c r="G2105" i="7"/>
  <c r="G2104" i="7"/>
  <c r="G2103" i="7"/>
  <c r="G2102" i="7"/>
  <c r="G2101" i="7"/>
  <c r="G2100" i="7"/>
  <c r="G2099" i="7"/>
  <c r="G2098" i="7"/>
  <c r="G2097" i="7"/>
  <c r="G2096" i="7"/>
  <c r="G2095" i="7"/>
  <c r="G2094" i="7"/>
  <c r="G2093" i="7"/>
  <c r="G2092" i="7"/>
  <c r="G2091" i="7"/>
  <c r="G2090" i="7"/>
  <c r="G2089" i="7"/>
  <c r="G2088" i="7"/>
  <c r="G2087" i="7"/>
  <c r="G2086" i="7"/>
  <c r="G2085" i="7"/>
  <c r="G2084" i="7"/>
  <c r="G2083" i="7"/>
  <c r="G2082" i="7"/>
  <c r="F2081" i="7"/>
  <c r="G2081" i="7" s="1"/>
  <c r="G2080" i="7"/>
  <c r="G2079" i="7"/>
  <c r="G2078" i="7"/>
  <c r="G2077" i="7"/>
  <c r="G2076" i="7"/>
  <c r="G2075" i="7"/>
  <c r="G2074" i="7"/>
  <c r="G2073" i="7"/>
  <c r="G2072" i="7"/>
  <c r="G2071" i="7"/>
  <c r="G2070" i="7"/>
  <c r="G2069" i="7"/>
  <c r="G2068" i="7"/>
  <c r="G2067" i="7"/>
  <c r="G2066" i="7"/>
  <c r="G2065" i="7"/>
  <c r="G2064" i="7"/>
  <c r="G2063" i="7"/>
  <c r="G2062" i="7"/>
  <c r="G2061" i="7"/>
  <c r="G2060" i="7"/>
  <c r="G2059" i="7"/>
  <c r="G2058" i="7"/>
  <c r="G2057" i="7"/>
  <c r="G2056" i="7"/>
  <c r="G2055" i="7"/>
  <c r="G2054" i="7"/>
  <c r="G2053" i="7"/>
  <c r="F2053" i="7"/>
  <c r="G2052" i="7"/>
  <c r="G2051" i="7"/>
  <c r="G2050" i="7"/>
  <c r="G2049" i="7"/>
  <c r="G2048" i="7"/>
  <c r="G2047" i="7"/>
  <c r="G2046" i="7"/>
  <c r="G2045" i="7"/>
  <c r="G2044" i="7"/>
  <c r="G2043" i="7"/>
  <c r="G2042" i="7"/>
  <c r="G2041" i="7"/>
  <c r="G2040" i="7"/>
  <c r="G2039" i="7"/>
  <c r="G2038" i="7"/>
  <c r="G2037" i="7"/>
  <c r="G2036" i="7"/>
  <c r="G2035" i="7"/>
  <c r="G2034" i="7"/>
  <c r="G2033" i="7"/>
  <c r="G2032" i="7"/>
  <c r="G2031" i="7"/>
  <c r="G2030" i="7"/>
  <c r="G2029" i="7"/>
  <c r="G2028" i="7"/>
  <c r="G2027" i="7"/>
  <c r="G2026" i="7"/>
  <c r="G2025" i="7"/>
  <c r="G2024" i="7"/>
  <c r="G2023" i="7"/>
  <c r="G2022" i="7"/>
  <c r="G2021" i="7"/>
  <c r="G2020" i="7"/>
  <c r="G2019" i="7"/>
  <c r="G2018" i="7"/>
  <c r="G2017" i="7"/>
  <c r="G2016" i="7"/>
  <c r="G2015" i="7"/>
  <c r="G2014" i="7"/>
  <c r="G2013" i="7"/>
  <c r="G2012" i="7"/>
  <c r="G2011" i="7"/>
  <c r="G2010" i="7"/>
  <c r="G2009" i="7"/>
  <c r="G2008" i="7"/>
  <c r="G2007" i="7"/>
  <c r="G2006" i="7"/>
  <c r="G2005" i="7"/>
  <c r="G2004" i="7"/>
  <c r="G2003" i="7"/>
  <c r="G2002" i="7"/>
  <c r="G2001" i="7"/>
  <c r="G2000" i="7"/>
  <c r="G1999" i="7"/>
  <c r="G1998" i="7"/>
  <c r="G1997" i="7"/>
  <c r="G1996" i="7"/>
  <c r="G1995" i="7"/>
  <c r="G1994" i="7"/>
  <c r="G1993" i="7"/>
  <c r="G1992" i="7"/>
  <c r="G1991" i="7"/>
  <c r="G1990" i="7"/>
  <c r="F1989" i="7"/>
  <c r="G1989" i="7" s="1"/>
  <c r="G1988" i="7"/>
  <c r="G1987" i="7"/>
  <c r="G1986" i="7"/>
  <c r="G1985" i="7"/>
  <c r="G1984" i="7"/>
  <c r="G1983" i="7"/>
  <c r="G1982" i="7"/>
  <c r="G1981" i="7"/>
  <c r="F1980" i="7"/>
  <c r="G1980" i="7" s="1"/>
  <c r="G1979" i="7"/>
  <c r="G1978" i="7"/>
  <c r="G1977" i="7"/>
  <c r="G1976" i="7"/>
  <c r="G1975" i="7"/>
  <c r="G1974" i="7"/>
  <c r="G1973" i="7"/>
  <c r="G1972" i="7"/>
  <c r="G1971" i="7"/>
  <c r="G1970" i="7"/>
  <c r="G1969" i="7"/>
  <c r="G1968" i="7"/>
  <c r="G1967" i="7"/>
  <c r="G1966" i="7"/>
  <c r="G1965" i="7"/>
  <c r="G1964" i="7"/>
  <c r="G1963" i="7"/>
  <c r="G1962" i="7"/>
  <c r="G1961" i="7"/>
  <c r="G1960" i="7"/>
  <c r="G1959" i="7"/>
  <c r="G1958" i="7"/>
  <c r="G1957" i="7"/>
  <c r="G1956" i="7"/>
  <c r="G1955" i="7"/>
  <c r="G1954" i="7"/>
  <c r="G1953" i="7"/>
  <c r="G1952" i="7"/>
  <c r="G1951" i="7"/>
  <c r="G1950" i="7"/>
  <c r="G1949" i="7"/>
  <c r="G1948" i="7"/>
  <c r="G1947" i="7"/>
  <c r="G1946" i="7"/>
  <c r="G1945" i="7"/>
  <c r="G1944" i="7"/>
  <c r="G1943" i="7"/>
  <c r="G1942" i="7"/>
  <c r="G1941" i="7"/>
  <c r="G1940" i="7"/>
  <c r="G1939" i="7"/>
  <c r="G1938" i="7"/>
  <c r="G1937" i="7"/>
  <c r="G1936" i="7"/>
  <c r="G1935" i="7"/>
  <c r="G1934" i="7"/>
  <c r="G1933" i="7"/>
  <c r="G1932" i="7"/>
  <c r="G1931" i="7"/>
  <c r="G1930" i="7"/>
  <c r="G1929" i="7"/>
  <c r="G1928" i="7"/>
  <c r="G1927" i="7"/>
  <c r="G1926" i="7"/>
  <c r="G1925" i="7"/>
  <c r="G1924" i="7"/>
  <c r="G1923" i="7"/>
  <c r="G1922" i="7"/>
  <c r="G1921" i="7"/>
  <c r="G1920" i="7"/>
  <c r="G1919" i="7"/>
  <c r="G1918" i="7"/>
  <c r="G1917" i="7"/>
  <c r="G1916" i="7"/>
  <c r="G1915" i="7"/>
  <c r="G1914" i="7"/>
  <c r="G1913" i="7"/>
  <c r="G1912" i="7"/>
  <c r="G1911" i="7"/>
  <c r="G1910" i="7"/>
  <c r="G1909" i="7"/>
  <c r="G1908" i="7"/>
  <c r="G1907" i="7"/>
  <c r="G1906" i="7"/>
  <c r="G1905" i="7"/>
  <c r="G1904" i="7"/>
  <c r="G1903" i="7"/>
  <c r="G1902" i="7"/>
  <c r="G1901" i="7"/>
  <c r="G1900" i="7"/>
  <c r="G1899" i="7"/>
  <c r="G1898" i="7"/>
  <c r="G1897" i="7"/>
  <c r="G1896" i="7"/>
  <c r="G1895" i="7"/>
  <c r="G1894" i="7"/>
  <c r="G1893" i="7"/>
  <c r="G1892" i="7"/>
  <c r="G1891" i="7"/>
  <c r="G1890" i="7"/>
  <c r="G1889" i="7"/>
  <c r="G1888" i="7"/>
  <c r="G1887" i="7"/>
  <c r="G1886" i="7"/>
  <c r="G1885" i="7"/>
  <c r="G1884" i="7"/>
  <c r="G1883" i="7"/>
  <c r="G1882" i="7"/>
  <c r="G1881" i="7"/>
  <c r="G1880" i="7"/>
  <c r="G1879" i="7"/>
  <c r="G1878" i="7"/>
  <c r="G1877" i="7"/>
  <c r="G1876" i="7"/>
  <c r="G1875" i="7"/>
  <c r="G1874" i="7"/>
  <c r="G1873" i="7"/>
  <c r="G1872" i="7"/>
  <c r="G1871" i="7"/>
  <c r="G1870" i="7"/>
  <c r="F1869" i="7"/>
  <c r="G1869" i="7" s="1"/>
  <c r="G1868" i="7"/>
  <c r="G1867" i="7"/>
  <c r="G1866" i="7"/>
  <c r="G1865" i="7"/>
  <c r="G1864" i="7"/>
  <c r="G1863" i="7"/>
  <c r="G1862" i="7"/>
  <c r="G1861" i="7"/>
  <c r="G1860" i="7"/>
  <c r="G1859" i="7"/>
  <c r="G1858" i="7"/>
  <c r="G1857" i="7"/>
  <c r="G1856" i="7"/>
  <c r="G1855" i="7"/>
  <c r="G1854" i="7"/>
  <c r="G1853" i="7"/>
  <c r="G1852" i="7"/>
  <c r="G1851" i="7"/>
  <c r="G1850" i="7"/>
  <c r="G1849" i="7"/>
  <c r="G1848" i="7"/>
  <c r="G1847" i="7"/>
  <c r="G1846" i="7"/>
  <c r="G1845" i="7"/>
  <c r="G1844" i="7"/>
  <c r="G1843" i="7"/>
  <c r="G1842" i="7"/>
  <c r="G1841" i="7"/>
  <c r="G1840" i="7"/>
  <c r="G1839" i="7"/>
  <c r="G1838" i="7"/>
  <c r="G1837" i="7"/>
  <c r="G1836" i="7"/>
  <c r="G1835" i="7"/>
  <c r="G1834" i="7"/>
  <c r="G1833" i="7"/>
  <c r="G1832" i="7"/>
  <c r="G1831" i="7"/>
  <c r="G1830" i="7"/>
  <c r="G1829" i="7"/>
  <c r="G1828" i="7"/>
  <c r="G1827" i="7"/>
  <c r="G1826" i="7"/>
  <c r="G1825" i="7"/>
  <c r="G1824" i="7"/>
  <c r="G1823" i="7"/>
  <c r="G1822" i="7"/>
  <c r="G1821" i="7"/>
  <c r="G1820" i="7"/>
  <c r="G1819" i="7"/>
  <c r="G1818" i="7"/>
  <c r="G1817" i="7"/>
  <c r="G1816" i="7"/>
  <c r="G1815" i="7"/>
  <c r="G1814" i="7"/>
  <c r="G1813" i="7"/>
  <c r="G1812" i="7"/>
  <c r="G1811" i="7"/>
  <c r="G1810" i="7"/>
  <c r="G1809" i="7"/>
  <c r="G1808" i="7"/>
  <c r="G1807" i="7"/>
  <c r="G1806" i="7"/>
  <c r="G1805" i="7"/>
  <c r="G1804" i="7"/>
  <c r="G1803" i="7"/>
  <c r="G1802" i="7"/>
  <c r="G1801" i="7"/>
  <c r="G1800" i="7"/>
  <c r="G1799" i="7"/>
  <c r="G1798" i="7"/>
  <c r="G1797" i="7"/>
  <c r="G1796" i="7"/>
  <c r="F1796" i="7"/>
  <c r="G1795" i="7"/>
  <c r="G1794" i="7"/>
  <c r="G1793" i="7"/>
  <c r="G1792" i="7"/>
  <c r="G1791" i="7"/>
  <c r="F1790" i="7"/>
  <c r="G1790" i="7" s="1"/>
  <c r="G1789" i="7"/>
  <c r="G1788" i="7"/>
  <c r="G1787" i="7"/>
  <c r="G1786" i="7"/>
  <c r="G1785" i="7"/>
  <c r="G1784" i="7"/>
  <c r="G1783" i="7"/>
  <c r="G1782" i="7"/>
  <c r="G1781" i="7"/>
  <c r="G1780" i="7"/>
  <c r="G1779" i="7"/>
  <c r="G1778" i="7"/>
  <c r="G1777" i="7"/>
  <c r="G1776" i="7"/>
  <c r="G1775" i="7"/>
  <c r="G1774" i="7"/>
  <c r="G1773" i="7"/>
  <c r="G1772" i="7"/>
  <c r="G1771" i="7"/>
  <c r="G1770" i="7"/>
  <c r="G1769" i="7"/>
  <c r="G1768" i="7"/>
  <c r="G1767" i="7"/>
  <c r="G1766" i="7"/>
  <c r="G1765" i="7"/>
  <c r="G1764" i="7"/>
  <c r="G1763" i="7"/>
  <c r="G1762" i="7"/>
  <c r="G1761" i="7"/>
  <c r="G1760" i="7"/>
  <c r="G1759" i="7"/>
  <c r="G1758" i="7"/>
  <c r="G1757" i="7"/>
  <c r="G1756" i="7"/>
  <c r="G1755" i="7"/>
  <c r="G1754" i="7"/>
  <c r="G1753" i="7"/>
  <c r="G1752" i="7"/>
  <c r="G1751" i="7"/>
  <c r="G1750" i="7"/>
  <c r="G1749" i="7"/>
  <c r="G1748" i="7"/>
  <c r="G1747" i="7"/>
  <c r="G1746" i="7"/>
  <c r="G1745" i="7"/>
  <c r="G1744" i="7"/>
  <c r="G1743" i="7"/>
  <c r="G1742" i="7"/>
  <c r="G1741" i="7"/>
  <c r="G1740" i="7"/>
  <c r="G1739" i="7"/>
  <c r="G1738" i="7"/>
  <c r="G1737" i="7"/>
  <c r="G1736" i="7"/>
  <c r="G1735" i="7"/>
  <c r="G1734" i="7"/>
  <c r="G1733" i="7"/>
  <c r="G1732" i="7"/>
  <c r="G1731" i="7"/>
  <c r="G1730" i="7"/>
  <c r="G1729" i="7"/>
  <c r="G1728" i="7"/>
  <c r="G1727" i="7"/>
  <c r="G1726" i="7"/>
  <c r="G1725" i="7"/>
  <c r="G1724" i="7"/>
  <c r="G1723" i="7"/>
  <c r="G1722" i="7"/>
  <c r="G1721" i="7"/>
  <c r="G1720" i="7"/>
  <c r="G1719" i="7"/>
  <c r="G1718" i="7"/>
  <c r="G1717" i="7"/>
  <c r="G1716" i="7"/>
  <c r="G1715" i="7"/>
  <c r="G1714" i="7"/>
  <c r="G1713" i="7"/>
  <c r="G1712" i="7"/>
  <c r="G1711" i="7"/>
  <c r="G1710" i="7"/>
  <c r="G1709" i="7"/>
  <c r="G1708" i="7"/>
  <c r="G1707" i="7"/>
  <c r="G1706" i="7"/>
  <c r="G1705" i="7"/>
  <c r="G1704" i="7"/>
  <c r="G1703" i="7"/>
  <c r="G1702" i="7"/>
  <c r="G1701" i="7"/>
  <c r="G1700" i="7"/>
  <c r="G1699" i="7"/>
  <c r="G1698" i="7"/>
  <c r="G1697" i="7"/>
  <c r="G1696" i="7"/>
  <c r="G1695" i="7"/>
  <c r="G1694" i="7"/>
  <c r="F1694" i="7"/>
  <c r="G1693" i="7"/>
  <c r="F1693" i="7"/>
  <c r="G1692" i="7"/>
  <c r="F1692" i="7"/>
  <c r="G1691" i="7"/>
  <c r="F1690" i="7"/>
  <c r="G1690" i="7" s="1"/>
  <c r="G1689" i="7"/>
  <c r="G1688" i="7"/>
  <c r="G1687" i="7"/>
  <c r="G1686" i="7"/>
  <c r="G1685" i="7"/>
  <c r="G1684" i="7"/>
  <c r="G1683" i="7"/>
  <c r="G1682" i="7"/>
  <c r="G1681" i="7"/>
  <c r="G1680" i="7"/>
  <c r="G1679" i="7"/>
  <c r="G1678" i="7"/>
  <c r="G1677" i="7"/>
  <c r="G1676" i="7"/>
  <c r="G1675" i="7"/>
  <c r="G1674" i="7"/>
  <c r="G1673" i="7"/>
  <c r="G1672" i="7"/>
  <c r="G1671" i="7"/>
  <c r="G1670" i="7"/>
  <c r="G1669" i="7"/>
  <c r="G1668" i="7"/>
  <c r="G1667" i="7"/>
  <c r="G1666" i="7"/>
  <c r="F1665" i="7"/>
  <c r="G1665" i="7" s="1"/>
  <c r="G1664" i="7"/>
  <c r="G1663" i="7"/>
  <c r="G1662" i="7"/>
  <c r="G1661" i="7"/>
  <c r="G1660" i="7"/>
  <c r="G1659" i="7"/>
  <c r="G1658" i="7"/>
  <c r="G1657" i="7"/>
  <c r="G1656" i="7"/>
  <c r="G1655" i="7"/>
  <c r="G1654" i="7"/>
  <c r="G1653" i="7"/>
  <c r="G1652" i="7"/>
  <c r="G1651" i="7"/>
  <c r="G1650" i="7"/>
  <c r="G1649" i="7"/>
  <c r="G1648" i="7"/>
  <c r="G1647" i="7"/>
  <c r="G1646" i="7"/>
  <c r="G1645" i="7"/>
  <c r="G1644" i="7"/>
  <c r="G1643" i="7"/>
  <c r="G1642" i="7"/>
  <c r="G1641" i="7"/>
  <c r="G1640" i="7"/>
  <c r="G1639" i="7"/>
  <c r="G1638" i="7"/>
  <c r="G1637" i="7"/>
  <c r="G1636" i="7"/>
  <c r="G1635" i="7"/>
  <c r="G1634" i="7"/>
  <c r="G1633" i="7"/>
  <c r="G1632" i="7"/>
  <c r="G1631" i="7"/>
  <c r="G1630" i="7"/>
  <c r="G1629" i="7"/>
  <c r="G1628" i="7"/>
  <c r="G1627" i="7"/>
  <c r="G1626" i="7"/>
  <c r="G1625" i="7"/>
  <c r="G1624" i="7"/>
  <c r="G1623" i="7"/>
  <c r="G1622" i="7"/>
  <c r="G1621" i="7"/>
  <c r="G1620" i="7"/>
  <c r="G1619" i="7"/>
  <c r="G1618" i="7"/>
  <c r="G1617" i="7"/>
  <c r="G1616" i="7"/>
  <c r="G1615" i="7"/>
  <c r="G1614" i="7"/>
  <c r="G1613" i="7"/>
  <c r="G1612" i="7"/>
  <c r="G1611" i="7"/>
  <c r="G1610" i="7"/>
  <c r="G1609" i="7"/>
  <c r="G1608" i="7"/>
  <c r="G1607" i="7"/>
  <c r="G1606" i="7"/>
  <c r="G1605" i="7"/>
  <c r="G1604" i="7"/>
  <c r="G1603" i="7"/>
  <c r="G1602" i="7"/>
  <c r="G1601" i="7"/>
  <c r="G1600" i="7"/>
  <c r="G1599" i="7"/>
  <c r="G1598" i="7"/>
  <c r="G1597" i="7"/>
  <c r="G1596" i="7"/>
  <c r="G1595" i="7"/>
  <c r="G1594" i="7"/>
  <c r="G1593" i="7"/>
  <c r="G1592" i="7"/>
  <c r="G1591" i="7"/>
  <c r="G1590" i="7"/>
  <c r="G1589" i="7"/>
  <c r="G1588" i="7"/>
  <c r="G1587" i="7"/>
  <c r="G1586" i="7"/>
  <c r="G1585" i="7"/>
  <c r="G1584" i="7"/>
  <c r="G1583" i="7"/>
  <c r="G1582" i="7"/>
  <c r="G1581" i="7"/>
  <c r="G1580" i="7"/>
  <c r="G1579" i="7"/>
  <c r="G1578" i="7"/>
  <c r="G1577" i="7"/>
  <c r="G1576" i="7"/>
  <c r="G1575" i="7"/>
  <c r="G1574" i="7"/>
  <c r="G1573" i="7"/>
  <c r="G1572" i="7"/>
  <c r="F1571" i="7"/>
  <c r="G1571" i="7" s="1"/>
  <c r="G1570" i="7"/>
  <c r="G1569" i="7"/>
  <c r="G1568" i="7"/>
  <c r="G1567" i="7"/>
  <c r="G1566" i="7"/>
  <c r="G1565" i="7"/>
  <c r="G1564" i="7"/>
  <c r="G1563" i="7"/>
  <c r="G1562" i="7"/>
  <c r="F1561" i="7"/>
  <c r="G1561" i="7" s="1"/>
  <c r="G1560" i="7"/>
  <c r="G1559" i="7"/>
  <c r="G1558" i="7"/>
  <c r="G1557" i="7"/>
  <c r="G1556" i="7"/>
  <c r="G1555" i="7"/>
  <c r="G1554" i="7"/>
  <c r="G1553" i="7"/>
  <c r="G1552" i="7"/>
  <c r="G1551" i="7"/>
  <c r="G1550" i="7"/>
  <c r="G1549" i="7"/>
  <c r="G1548" i="7"/>
  <c r="G1547" i="7"/>
  <c r="G1546" i="7"/>
  <c r="G1545" i="7"/>
  <c r="G1544" i="7"/>
  <c r="G1543" i="7"/>
  <c r="F1543" i="7"/>
  <c r="G1542" i="7"/>
  <c r="G1541" i="7"/>
  <c r="G1540" i="7"/>
  <c r="G1539" i="7"/>
  <c r="G1538" i="7"/>
  <c r="G1537" i="7"/>
  <c r="G1536" i="7"/>
  <c r="G1535" i="7"/>
  <c r="G1534" i="7"/>
  <c r="G1533" i="7"/>
  <c r="G1532" i="7"/>
  <c r="G1531" i="7"/>
  <c r="G1530" i="7"/>
  <c r="G1529" i="7"/>
  <c r="G1528" i="7"/>
  <c r="G1527" i="7"/>
  <c r="G1526" i="7"/>
  <c r="G1525" i="7"/>
  <c r="G1524" i="7"/>
  <c r="G1523" i="7"/>
  <c r="G1522" i="7"/>
  <c r="G1521" i="7"/>
  <c r="G1520" i="7"/>
  <c r="G1519" i="7"/>
  <c r="G1518" i="7"/>
  <c r="G1517" i="7"/>
  <c r="G1516" i="7"/>
  <c r="G1515" i="7"/>
  <c r="G1514" i="7"/>
  <c r="G1513" i="7"/>
  <c r="G1512" i="7"/>
  <c r="G1511" i="7"/>
  <c r="G1510" i="7"/>
  <c r="G1509" i="7"/>
  <c r="G1508" i="7"/>
  <c r="G1507" i="7"/>
  <c r="G1506" i="7"/>
  <c r="G1505" i="7"/>
  <c r="G1504" i="7"/>
  <c r="G1503" i="7"/>
  <c r="G1502" i="7"/>
  <c r="G1501" i="7"/>
  <c r="G1500" i="7"/>
  <c r="G1499" i="7"/>
  <c r="G1498" i="7"/>
  <c r="G1497" i="7"/>
  <c r="G1496" i="7"/>
  <c r="G1495" i="7"/>
  <c r="G1494" i="7"/>
  <c r="G1493" i="7"/>
  <c r="G1492" i="7"/>
  <c r="G1491" i="7"/>
  <c r="G1490" i="7"/>
  <c r="G1489" i="7"/>
  <c r="G1488" i="7"/>
  <c r="G1487" i="7"/>
  <c r="G1486" i="7"/>
  <c r="G1485" i="7"/>
  <c r="G1484" i="7"/>
  <c r="G1483" i="7"/>
  <c r="G1482" i="7"/>
  <c r="G1481" i="7"/>
  <c r="G1480" i="7"/>
  <c r="G1479" i="7"/>
  <c r="G1478" i="7"/>
  <c r="G1477" i="7"/>
  <c r="G1476" i="7"/>
  <c r="G1475" i="7"/>
  <c r="F1474" i="7"/>
  <c r="G1474" i="7" s="1"/>
  <c r="G1473" i="7"/>
  <c r="G1472" i="7"/>
  <c r="G1471" i="7"/>
  <c r="G1470" i="7"/>
  <c r="G1469" i="7"/>
  <c r="G1468" i="7"/>
  <c r="G1467" i="7"/>
  <c r="G1466" i="7"/>
  <c r="G1465" i="7"/>
  <c r="G1464" i="7"/>
  <c r="F1463" i="7"/>
  <c r="G1463" i="7" s="1"/>
  <c r="G1462" i="7"/>
  <c r="G1461" i="7"/>
  <c r="G1460" i="7"/>
  <c r="G1459" i="7"/>
  <c r="G1458" i="7"/>
  <c r="G1457" i="7"/>
  <c r="G1456" i="7"/>
  <c r="G1455" i="7"/>
  <c r="G1454" i="7"/>
  <c r="G1453" i="7"/>
  <c r="G1452" i="7"/>
  <c r="G1451" i="7"/>
  <c r="G1450" i="7"/>
  <c r="G1449" i="7"/>
  <c r="G1448" i="7"/>
  <c r="G1447" i="7"/>
  <c r="G1446" i="7"/>
  <c r="G1445" i="7"/>
  <c r="G1444" i="7"/>
  <c r="G1443" i="7"/>
  <c r="F1443" i="7"/>
  <c r="G1442" i="7"/>
  <c r="G1441" i="7"/>
  <c r="G1440" i="7"/>
  <c r="G1439" i="7"/>
  <c r="G1438" i="7"/>
  <c r="G1437" i="7"/>
  <c r="G1436" i="7"/>
  <c r="G1435" i="7"/>
  <c r="G1434" i="7"/>
  <c r="G1433" i="7"/>
  <c r="G1432" i="7"/>
  <c r="G1431" i="7"/>
  <c r="G1430" i="7"/>
  <c r="G1429" i="7"/>
  <c r="G1428" i="7"/>
  <c r="G1427" i="7"/>
  <c r="G1426" i="7"/>
  <c r="G1425" i="7"/>
  <c r="G1424" i="7"/>
  <c r="G1423" i="7"/>
  <c r="G1422" i="7"/>
  <c r="G1421" i="7"/>
  <c r="G1420" i="7"/>
  <c r="G1419" i="7"/>
  <c r="G1418" i="7"/>
  <c r="G1417" i="7"/>
  <c r="G1416" i="7"/>
  <c r="G1415" i="7"/>
  <c r="G1414" i="7"/>
  <c r="G1413" i="7"/>
  <c r="G1412" i="7"/>
  <c r="G1411" i="7"/>
  <c r="G1410" i="7"/>
  <c r="G1409" i="7"/>
  <c r="G1408" i="7"/>
  <c r="G1407" i="7"/>
  <c r="G1406" i="7"/>
  <c r="G1405" i="7"/>
  <c r="G1404" i="7"/>
  <c r="F1403" i="7"/>
  <c r="G1403" i="7" s="1"/>
  <c r="G1402" i="7"/>
  <c r="G1401" i="7"/>
  <c r="G1400" i="7"/>
  <c r="G1399" i="7"/>
  <c r="G1398" i="7"/>
  <c r="G1397" i="7"/>
  <c r="G1396" i="7"/>
  <c r="G1395" i="7"/>
  <c r="G1394" i="7"/>
  <c r="G1393" i="7"/>
  <c r="G1392" i="7"/>
  <c r="G1391" i="7"/>
  <c r="G1390" i="7"/>
  <c r="G1389" i="7"/>
  <c r="G1388" i="7"/>
  <c r="G1387" i="7"/>
  <c r="G1386" i="7"/>
  <c r="G1385" i="7"/>
  <c r="G1384" i="7"/>
  <c r="G1383" i="7"/>
  <c r="G1382" i="7"/>
  <c r="G1381" i="7"/>
  <c r="F1381" i="7"/>
  <c r="G1380" i="7"/>
  <c r="G1379" i="7"/>
  <c r="G1378" i="7"/>
  <c r="G1377" i="7"/>
  <c r="G1376" i="7"/>
  <c r="G1375" i="7"/>
  <c r="G1374" i="7"/>
  <c r="G1373" i="7"/>
  <c r="G1372" i="7"/>
  <c r="G1371" i="7"/>
  <c r="G1370" i="7"/>
  <c r="G1369" i="7"/>
  <c r="G1368" i="7"/>
  <c r="G1367" i="7"/>
  <c r="G1366" i="7"/>
  <c r="G1365" i="7"/>
  <c r="G1364" i="7"/>
  <c r="G1363" i="7"/>
  <c r="G1362" i="7"/>
  <c r="G1361" i="7"/>
  <c r="G1360" i="7"/>
  <c r="G1359" i="7"/>
  <c r="G1358" i="7"/>
  <c r="G1357" i="7"/>
  <c r="G1356" i="7"/>
  <c r="G1355" i="7"/>
  <c r="G1354" i="7"/>
  <c r="G1353" i="7"/>
  <c r="G1352" i="7"/>
  <c r="G1351" i="7"/>
  <c r="G1350" i="7"/>
  <c r="G1349" i="7"/>
  <c r="G1348" i="7"/>
  <c r="G1347" i="7"/>
  <c r="G1346" i="7"/>
  <c r="F1346" i="7"/>
  <c r="G1345" i="7"/>
  <c r="G1344" i="7"/>
  <c r="G1343" i="7"/>
  <c r="G1342" i="7"/>
  <c r="G1341" i="7"/>
  <c r="G1340" i="7"/>
  <c r="G1339" i="7"/>
  <c r="G1338" i="7"/>
  <c r="G1337" i="7"/>
  <c r="G1336" i="7"/>
  <c r="G1335" i="7"/>
  <c r="G1334" i="7"/>
  <c r="G1333" i="7"/>
  <c r="G1332" i="7"/>
  <c r="G1331" i="7"/>
  <c r="G1330" i="7"/>
  <c r="G1329" i="7"/>
  <c r="G1328" i="7"/>
  <c r="G1327" i="7"/>
  <c r="G1326" i="7"/>
  <c r="G1325" i="7"/>
  <c r="G1324" i="7"/>
  <c r="G1323" i="7"/>
  <c r="G1322" i="7"/>
  <c r="G1321" i="7"/>
  <c r="G1320" i="7"/>
  <c r="G1319" i="7"/>
  <c r="G1318" i="7"/>
  <c r="G1317" i="7"/>
  <c r="G1316" i="7"/>
  <c r="G1315" i="7"/>
  <c r="G1314" i="7"/>
  <c r="G1313" i="7"/>
  <c r="G1312" i="7"/>
  <c r="G1311" i="7"/>
  <c r="G1310" i="7"/>
  <c r="G1309" i="7"/>
  <c r="G1308" i="7"/>
  <c r="G1307" i="7"/>
  <c r="G1306" i="7"/>
  <c r="G1305" i="7"/>
  <c r="G1304" i="7"/>
  <c r="G1303" i="7"/>
  <c r="G1302" i="7"/>
  <c r="G1301" i="7"/>
  <c r="G1300" i="7"/>
  <c r="G1299" i="7"/>
  <c r="G1298" i="7"/>
  <c r="G1297" i="7"/>
  <c r="G1296" i="7"/>
  <c r="G1295" i="7"/>
  <c r="G1294" i="7"/>
  <c r="G1293" i="7"/>
  <c r="G1292" i="7"/>
  <c r="G1291" i="7"/>
  <c r="G1290" i="7"/>
  <c r="G1289" i="7"/>
  <c r="G1288" i="7"/>
  <c r="G1287" i="7"/>
  <c r="G1286" i="7"/>
  <c r="G1285" i="7"/>
  <c r="G1284" i="7"/>
  <c r="G1283" i="7"/>
  <c r="G1282" i="7"/>
  <c r="G1281" i="7"/>
  <c r="G1280" i="7"/>
  <c r="G1279" i="7"/>
  <c r="G1278" i="7"/>
  <c r="G1277" i="7"/>
  <c r="G1276" i="7"/>
  <c r="G1275" i="7"/>
  <c r="G1274" i="7"/>
  <c r="G1273" i="7"/>
  <c r="G1272" i="7"/>
  <c r="G1271" i="7"/>
  <c r="G1270" i="7"/>
  <c r="G1269" i="7"/>
  <c r="G1268" i="7"/>
  <c r="G1267" i="7"/>
  <c r="G1266" i="7"/>
  <c r="G1265" i="7"/>
  <c r="G1264" i="7"/>
  <c r="G1263" i="7"/>
  <c r="G1262" i="7"/>
  <c r="G1261" i="7"/>
  <c r="G1260" i="7"/>
  <c r="G1259" i="7"/>
  <c r="G1258" i="7"/>
  <c r="G1257" i="7"/>
  <c r="G1256" i="7"/>
  <c r="G1255" i="7"/>
  <c r="G1254" i="7"/>
  <c r="G1253" i="7"/>
  <c r="G1252" i="7"/>
  <c r="G1251" i="7"/>
  <c r="G1250" i="7"/>
  <c r="G1249" i="7"/>
  <c r="G1248" i="7"/>
  <c r="G1247" i="7"/>
  <c r="G1246" i="7"/>
  <c r="F1246" i="7"/>
  <c r="G1245" i="7"/>
  <c r="G1244" i="7"/>
  <c r="G1243" i="7"/>
  <c r="G1242" i="7"/>
  <c r="G1241" i="7"/>
  <c r="G1240" i="7"/>
  <c r="G1239" i="7"/>
  <c r="G1238" i="7"/>
  <c r="G1237" i="7"/>
  <c r="G1236" i="7"/>
  <c r="G1235" i="7"/>
  <c r="G1234" i="7"/>
  <c r="G1233" i="7"/>
  <c r="G1232" i="7"/>
  <c r="G1231" i="7"/>
  <c r="G1230" i="7"/>
  <c r="G1229" i="7"/>
  <c r="G1228" i="7"/>
  <c r="G1227" i="7"/>
  <c r="G1226" i="7"/>
  <c r="G1225" i="7"/>
  <c r="G1224" i="7"/>
  <c r="G1223" i="7"/>
  <c r="G1222" i="7"/>
  <c r="F1222" i="7"/>
  <c r="G1221" i="7"/>
  <c r="G1220" i="7"/>
  <c r="G1219" i="7"/>
  <c r="G1218" i="7"/>
  <c r="G1217" i="7"/>
  <c r="G1216" i="7"/>
  <c r="G1215" i="7"/>
  <c r="G1214" i="7"/>
  <c r="G1213" i="7"/>
  <c r="G1212" i="7"/>
  <c r="G1211" i="7"/>
  <c r="G1210" i="7"/>
  <c r="G1209" i="7"/>
  <c r="G1208" i="7"/>
  <c r="G1207" i="7"/>
  <c r="G1206" i="7"/>
  <c r="G1205" i="7"/>
  <c r="G1204" i="7"/>
  <c r="G1203" i="7"/>
  <c r="G1202" i="7"/>
  <c r="G1201" i="7"/>
  <c r="G1200" i="7"/>
  <c r="G1199" i="7"/>
  <c r="G1198" i="7"/>
  <c r="G1197" i="7"/>
  <c r="G1196" i="7"/>
  <c r="G1195" i="7"/>
  <c r="G1194" i="7"/>
  <c r="G1193" i="7"/>
  <c r="G1192" i="7"/>
  <c r="G1191" i="7"/>
  <c r="G1190" i="7"/>
  <c r="G1189" i="7"/>
  <c r="G1188" i="7"/>
  <c r="G1187" i="7"/>
  <c r="G1186" i="7"/>
  <c r="G1185" i="7"/>
  <c r="G1184" i="7"/>
  <c r="G1183" i="7"/>
  <c r="G1182" i="7"/>
  <c r="G1181" i="7"/>
  <c r="G1180" i="7"/>
  <c r="G1179" i="7"/>
  <c r="G1178" i="7"/>
  <c r="G1177" i="7"/>
  <c r="G1176" i="7"/>
  <c r="G1175" i="7"/>
  <c r="G1174" i="7"/>
  <c r="G1173" i="7"/>
  <c r="G1172" i="7"/>
  <c r="G1171" i="7"/>
  <c r="G1170" i="7"/>
  <c r="G1169" i="7"/>
  <c r="G1168" i="7"/>
  <c r="G1167" i="7"/>
  <c r="G1166" i="7"/>
  <c r="G1165" i="7"/>
  <c r="G1164" i="7"/>
  <c r="G1163" i="7"/>
  <c r="G1162" i="7"/>
  <c r="G1161" i="7"/>
  <c r="G1160" i="7"/>
  <c r="G1159" i="7"/>
  <c r="G1158" i="7"/>
  <c r="G1157" i="7"/>
  <c r="G1156" i="7"/>
  <c r="G1155" i="7"/>
  <c r="G1154" i="7"/>
  <c r="G1153" i="7"/>
  <c r="G1152" i="7"/>
  <c r="G1151" i="7"/>
  <c r="G1150" i="7"/>
  <c r="G1149" i="7"/>
  <c r="G1148" i="7"/>
  <c r="G1147" i="7"/>
  <c r="G1146" i="7"/>
  <c r="G1145" i="7"/>
  <c r="G1144" i="7"/>
  <c r="G1143" i="7"/>
  <c r="G1142" i="7"/>
  <c r="G1141" i="7"/>
  <c r="G1140" i="7"/>
  <c r="G1139" i="7"/>
  <c r="G1138" i="7"/>
  <c r="G1137" i="7"/>
  <c r="G1136" i="7"/>
  <c r="G1135" i="7"/>
  <c r="G1134" i="7"/>
  <c r="G1133" i="7"/>
  <c r="G1132" i="7"/>
  <c r="G1131" i="7"/>
  <c r="G1130" i="7"/>
  <c r="G1129" i="7"/>
  <c r="G1128" i="7"/>
  <c r="G1127" i="7"/>
  <c r="G1126" i="7"/>
  <c r="G1125" i="7"/>
  <c r="G1124" i="7"/>
  <c r="G1123" i="7"/>
  <c r="G1122" i="7"/>
  <c r="G1121" i="7"/>
  <c r="G1120" i="7"/>
  <c r="G1119" i="7"/>
  <c r="G1118" i="7"/>
  <c r="G1117" i="7"/>
  <c r="F1117" i="7"/>
  <c r="G1116" i="7"/>
  <c r="G1115" i="7"/>
  <c r="G1114" i="7"/>
  <c r="G1113" i="7"/>
  <c r="G1112" i="7"/>
  <c r="G1111" i="7"/>
  <c r="G1110" i="7"/>
  <c r="G1109" i="7"/>
  <c r="G1108" i="7"/>
  <c r="G1107" i="7"/>
  <c r="G1106" i="7"/>
  <c r="G1105" i="7"/>
  <c r="G1104" i="7"/>
  <c r="F1103" i="7"/>
  <c r="G1103" i="7" s="1"/>
  <c r="G1102" i="7"/>
  <c r="G1101" i="7"/>
  <c r="G1100" i="7"/>
  <c r="G1099" i="7"/>
  <c r="G1098" i="7"/>
  <c r="G1097" i="7"/>
  <c r="G1096" i="7"/>
  <c r="G1095" i="7"/>
  <c r="G1094" i="7"/>
  <c r="G1093" i="7"/>
  <c r="G1092" i="7"/>
  <c r="G1091" i="7"/>
  <c r="F1090" i="7"/>
  <c r="G1090" i="7" s="1"/>
  <c r="G1089" i="7"/>
  <c r="G1088" i="7"/>
  <c r="G1087" i="7"/>
  <c r="G1086" i="7"/>
  <c r="G1085" i="7"/>
  <c r="G1084" i="7"/>
  <c r="G1083" i="7"/>
  <c r="G1082" i="7"/>
  <c r="G1081" i="7"/>
  <c r="G1080" i="7"/>
  <c r="G1079" i="7"/>
  <c r="G1078" i="7"/>
  <c r="G1077" i="7"/>
  <c r="G1076" i="7"/>
  <c r="G1075" i="7"/>
  <c r="G1074" i="7"/>
  <c r="G1073" i="7"/>
  <c r="G1072" i="7"/>
  <c r="G1071" i="7"/>
  <c r="G1070" i="7"/>
  <c r="G1069" i="7"/>
  <c r="G1068" i="7"/>
  <c r="G1067" i="7"/>
  <c r="G1066" i="7"/>
  <c r="G1065" i="7"/>
  <c r="G1064" i="7"/>
  <c r="G1063" i="7"/>
  <c r="F1063" i="7"/>
  <c r="G1062" i="7"/>
  <c r="G1061" i="7"/>
  <c r="G1060" i="7"/>
  <c r="G1059" i="7"/>
  <c r="G1058" i="7"/>
  <c r="G1057" i="7"/>
  <c r="G1056" i="7"/>
  <c r="G1055" i="7"/>
  <c r="G1054" i="7"/>
  <c r="G1053" i="7"/>
  <c r="G1052" i="7"/>
  <c r="G1051" i="7"/>
  <c r="G1050" i="7"/>
  <c r="G1049" i="7"/>
  <c r="G1048" i="7"/>
  <c r="G1047" i="7"/>
  <c r="F1046" i="7"/>
  <c r="G1046" i="7" s="1"/>
  <c r="G1045" i="7"/>
  <c r="G1044" i="7"/>
  <c r="G1043" i="7"/>
  <c r="G1042" i="7"/>
  <c r="G1041" i="7"/>
  <c r="G1040" i="7"/>
  <c r="G1039" i="7"/>
  <c r="G1038" i="7"/>
  <c r="F1038" i="7"/>
  <c r="G1037" i="7"/>
  <c r="G1036" i="7"/>
  <c r="G1035" i="7"/>
  <c r="G1034" i="7"/>
  <c r="G1033" i="7"/>
  <c r="G1032" i="7"/>
  <c r="G1031" i="7"/>
  <c r="G1030" i="7"/>
  <c r="G1029" i="7"/>
  <c r="G1028" i="7"/>
  <c r="G1027" i="7"/>
  <c r="G1026" i="7"/>
  <c r="G1025" i="7"/>
  <c r="G1024" i="7"/>
  <c r="G1023" i="7"/>
  <c r="G1022" i="7"/>
  <c r="G1021" i="7"/>
  <c r="G1020" i="7"/>
  <c r="G1019" i="7"/>
  <c r="G1018" i="7"/>
  <c r="G1017" i="7"/>
  <c r="G1016" i="7"/>
  <c r="G1015" i="7"/>
  <c r="G1014" i="7"/>
  <c r="G1013" i="7"/>
  <c r="G1012" i="7"/>
  <c r="G1011" i="7"/>
  <c r="G1010" i="7"/>
  <c r="G1009" i="7"/>
  <c r="G1008" i="7"/>
  <c r="G1007" i="7"/>
  <c r="G1006" i="7"/>
  <c r="G1005" i="7"/>
  <c r="G1004" i="7"/>
  <c r="G1003" i="7"/>
  <c r="G1002" i="7"/>
  <c r="G1001" i="7"/>
  <c r="G1000" i="7"/>
  <c r="G999" i="7"/>
  <c r="G998" i="7"/>
  <c r="G997" i="7"/>
  <c r="F997" i="7"/>
  <c r="G996" i="7"/>
  <c r="G995" i="7"/>
  <c r="G994" i="7"/>
  <c r="G993" i="7"/>
  <c r="G992" i="7"/>
  <c r="G991" i="7"/>
  <c r="G990" i="7"/>
  <c r="F989" i="7"/>
  <c r="G989" i="7" s="1"/>
  <c r="G988" i="7"/>
  <c r="G987" i="7"/>
  <c r="G986" i="7"/>
  <c r="G985" i="7"/>
  <c r="G984" i="7"/>
  <c r="G983" i="7"/>
  <c r="G982" i="7"/>
  <c r="G981" i="7"/>
  <c r="G980" i="7"/>
  <c r="G979" i="7"/>
  <c r="G978" i="7"/>
  <c r="G977" i="7"/>
  <c r="G976" i="7"/>
  <c r="G975" i="7"/>
  <c r="G974" i="7"/>
  <c r="G973" i="7"/>
  <c r="G972" i="7"/>
  <c r="G971" i="7"/>
  <c r="G970" i="7"/>
  <c r="G969" i="7"/>
  <c r="G968" i="7"/>
  <c r="G967" i="7"/>
  <c r="G966" i="7"/>
  <c r="G965" i="7"/>
  <c r="G964" i="7"/>
  <c r="G963" i="7"/>
  <c r="G962" i="7"/>
  <c r="G961" i="7"/>
  <c r="G960" i="7"/>
  <c r="G959" i="7"/>
  <c r="G958" i="7"/>
  <c r="G957" i="7"/>
  <c r="G956" i="7"/>
  <c r="G955" i="7"/>
  <c r="G954" i="7"/>
  <c r="G953" i="7"/>
  <c r="G952" i="7"/>
  <c r="G951" i="7"/>
  <c r="G950" i="7"/>
  <c r="G949" i="7"/>
  <c r="G948" i="7"/>
  <c r="G947" i="7"/>
  <c r="G946" i="7"/>
  <c r="G945" i="7"/>
  <c r="G944" i="7"/>
  <c r="G943" i="7"/>
  <c r="G942" i="7"/>
  <c r="G941" i="7"/>
  <c r="G940" i="7"/>
  <c r="G939" i="7"/>
  <c r="G938" i="7"/>
  <c r="G937" i="7"/>
  <c r="G936" i="7"/>
  <c r="G935" i="7"/>
  <c r="G934" i="7"/>
  <c r="G933" i="7"/>
  <c r="G932" i="7"/>
  <c r="G931" i="7"/>
  <c r="G930" i="7"/>
  <c r="G929" i="7"/>
  <c r="G928" i="7"/>
  <c r="G927" i="7"/>
  <c r="G926" i="7"/>
  <c r="G925" i="7"/>
  <c r="G924" i="7"/>
  <c r="G923" i="7"/>
  <c r="G922" i="7"/>
  <c r="G921" i="7"/>
  <c r="G920" i="7"/>
  <c r="G919" i="7"/>
  <c r="G918" i="7"/>
  <c r="G917" i="7"/>
  <c r="F916" i="7"/>
  <c r="G916" i="7" s="1"/>
  <c r="G915" i="7"/>
  <c r="G914" i="7"/>
  <c r="G913" i="7"/>
  <c r="G912" i="7"/>
  <c r="G911" i="7"/>
  <c r="G910" i="7"/>
  <c r="G909" i="7"/>
  <c r="G908" i="7"/>
  <c r="G907" i="7"/>
  <c r="G906" i="7"/>
  <c r="F906" i="7"/>
  <c r="G905" i="7"/>
  <c r="G904" i="7"/>
  <c r="G903" i="7"/>
  <c r="F903" i="7"/>
  <c r="G902" i="7"/>
  <c r="F901" i="7"/>
  <c r="G901" i="7" s="1"/>
  <c r="G900" i="7"/>
  <c r="G899" i="7"/>
  <c r="G898" i="7"/>
  <c r="G897" i="7"/>
  <c r="G896" i="7"/>
  <c r="G895" i="7"/>
  <c r="G894" i="7"/>
  <c r="G893" i="7"/>
  <c r="G892" i="7"/>
  <c r="G891" i="7"/>
  <c r="G890" i="7"/>
  <c r="G889" i="7"/>
  <c r="G888" i="7"/>
  <c r="G887" i="7"/>
  <c r="G886" i="7"/>
  <c r="G885" i="7"/>
  <c r="G884" i="7"/>
  <c r="G883" i="7"/>
  <c r="G882" i="7"/>
  <c r="G881" i="7"/>
  <c r="G880" i="7"/>
  <c r="G879" i="7"/>
  <c r="G878" i="7"/>
  <c r="G877" i="7"/>
  <c r="G876" i="7"/>
  <c r="G875" i="7"/>
  <c r="G874" i="7"/>
  <c r="G873" i="7"/>
  <c r="G872" i="7"/>
  <c r="G871" i="7"/>
  <c r="G870" i="7"/>
  <c r="G869" i="7"/>
  <c r="G868" i="7"/>
  <c r="G867" i="7"/>
  <c r="G866" i="7"/>
  <c r="G865" i="7"/>
  <c r="G864" i="7"/>
  <c r="G863" i="7"/>
  <c r="F862" i="7"/>
  <c r="G862" i="7" s="1"/>
  <c r="G861" i="7"/>
  <c r="G860" i="7"/>
  <c r="G859" i="7"/>
  <c r="G858" i="7"/>
  <c r="G857" i="7"/>
  <c r="G856" i="7"/>
  <c r="G855" i="7"/>
  <c r="G854" i="7"/>
  <c r="G853" i="7"/>
  <c r="G852" i="7"/>
  <c r="G851" i="7"/>
  <c r="G850" i="7"/>
  <c r="G849" i="7"/>
  <c r="G848" i="7"/>
  <c r="G847" i="7"/>
  <c r="G846" i="7"/>
  <c r="G845" i="7"/>
  <c r="G844" i="7"/>
  <c r="G843" i="7"/>
  <c r="G842" i="7"/>
  <c r="G841" i="7"/>
  <c r="G840" i="7"/>
  <c r="G839" i="7"/>
  <c r="G838" i="7"/>
  <c r="G837" i="7"/>
  <c r="G836" i="7"/>
  <c r="G835" i="7"/>
  <c r="G834" i="7"/>
  <c r="G833" i="7"/>
  <c r="G832" i="7"/>
  <c r="G831" i="7"/>
  <c r="G830" i="7"/>
  <c r="G829" i="7"/>
  <c r="G828" i="7"/>
  <c r="G827" i="7"/>
  <c r="G826" i="7"/>
  <c r="G825" i="7"/>
  <c r="G824" i="7"/>
  <c r="G823" i="7"/>
  <c r="G822" i="7"/>
  <c r="G821" i="7"/>
  <c r="G820" i="7"/>
  <c r="G819" i="7"/>
  <c r="G818" i="7"/>
  <c r="G817" i="7"/>
  <c r="G816" i="7"/>
  <c r="G815" i="7"/>
  <c r="G814" i="7"/>
  <c r="G813" i="7"/>
  <c r="G812" i="7"/>
  <c r="G811" i="7"/>
  <c r="G810" i="7"/>
  <c r="G809" i="7"/>
  <c r="G808" i="7"/>
  <c r="G807" i="7"/>
  <c r="G806" i="7"/>
  <c r="G805" i="7"/>
  <c r="G804" i="7"/>
  <c r="G803" i="7"/>
  <c r="G802" i="7"/>
  <c r="G801" i="7"/>
  <c r="G800" i="7"/>
  <c r="G799" i="7"/>
  <c r="G798" i="7"/>
  <c r="G797" i="7"/>
  <c r="G796" i="7"/>
  <c r="G795" i="7"/>
  <c r="G794" i="7"/>
  <c r="G793" i="7"/>
  <c r="G792" i="7"/>
  <c r="G791" i="7"/>
  <c r="G790" i="7"/>
  <c r="F789" i="7"/>
  <c r="G789" i="7" s="1"/>
  <c r="G788" i="7"/>
  <c r="G787" i="7"/>
  <c r="G786" i="7"/>
  <c r="G785" i="7"/>
  <c r="F785" i="7"/>
  <c r="G784" i="7"/>
  <c r="G783" i="7"/>
  <c r="G782" i="7"/>
  <c r="G781" i="7"/>
  <c r="G780" i="7"/>
  <c r="G779" i="7"/>
  <c r="G778" i="7"/>
  <c r="F777" i="7"/>
  <c r="G777" i="7" s="1"/>
  <c r="G776" i="7"/>
  <c r="G775" i="7"/>
  <c r="G774" i="7"/>
  <c r="G773" i="7"/>
  <c r="G772" i="7"/>
  <c r="G771" i="7"/>
  <c r="G770" i="7"/>
  <c r="G769" i="7"/>
  <c r="G768" i="7"/>
  <c r="G767" i="7"/>
  <c r="G766" i="7"/>
  <c r="G765" i="7"/>
  <c r="G764" i="7"/>
  <c r="G763" i="7"/>
  <c r="G762" i="7"/>
  <c r="G761" i="7"/>
  <c r="G760" i="7"/>
  <c r="G759" i="7"/>
  <c r="G758" i="7"/>
  <c r="G757" i="7"/>
  <c r="G756" i="7"/>
  <c r="G755" i="7"/>
  <c r="G754" i="7"/>
  <c r="G753" i="7"/>
  <c r="G752" i="7"/>
  <c r="G751" i="7"/>
  <c r="G750" i="7"/>
  <c r="G749" i="7"/>
  <c r="G748" i="7"/>
  <c r="G747" i="7"/>
  <c r="G746" i="7"/>
  <c r="G745" i="7"/>
  <c r="G744" i="7"/>
  <c r="G743" i="7"/>
  <c r="G742" i="7"/>
  <c r="G741" i="7"/>
  <c r="G740" i="7"/>
  <c r="G739" i="7"/>
  <c r="G738" i="7"/>
  <c r="G737" i="7"/>
  <c r="G736" i="7"/>
  <c r="G735" i="7"/>
  <c r="G734" i="7"/>
  <c r="G733" i="7"/>
  <c r="G732" i="7"/>
  <c r="G731" i="7"/>
  <c r="G730" i="7"/>
  <c r="G729" i="7"/>
  <c r="G728" i="7"/>
  <c r="G727" i="7"/>
  <c r="G726" i="7"/>
  <c r="G725" i="7"/>
  <c r="G724" i="7"/>
  <c r="G723" i="7"/>
  <c r="G722" i="7"/>
  <c r="G721" i="7"/>
  <c r="G720" i="7"/>
  <c r="G719" i="7"/>
  <c r="G718" i="7"/>
  <c r="G717" i="7"/>
  <c r="G716" i="7"/>
  <c r="G715" i="7"/>
  <c r="G714" i="7"/>
  <c r="G713" i="7"/>
  <c r="G712" i="7"/>
  <c r="G711" i="7"/>
  <c r="G710" i="7"/>
  <c r="G709" i="7"/>
  <c r="G708" i="7"/>
  <c r="G707" i="7"/>
  <c r="G706" i="7"/>
  <c r="G705" i="7"/>
  <c r="G704" i="7"/>
  <c r="G703" i="7"/>
  <c r="G702" i="7"/>
  <c r="G701" i="7"/>
  <c r="G700" i="7"/>
  <c r="G699" i="7"/>
  <c r="G698" i="7"/>
  <c r="G697" i="7"/>
  <c r="G696" i="7"/>
  <c r="G695" i="7"/>
  <c r="G694" i="7"/>
  <c r="G693" i="7"/>
  <c r="G692" i="7"/>
  <c r="G691" i="7"/>
  <c r="G690" i="7"/>
  <c r="G689" i="7"/>
  <c r="G688" i="7"/>
  <c r="G687" i="7"/>
  <c r="G686" i="7"/>
  <c r="G685" i="7"/>
  <c r="G684" i="7"/>
  <c r="G683" i="7"/>
  <c r="G682" i="7"/>
  <c r="G681" i="7"/>
  <c r="G680" i="7"/>
  <c r="G679" i="7"/>
  <c r="G678" i="7"/>
  <c r="G677" i="7"/>
  <c r="G676" i="7"/>
  <c r="G675" i="7"/>
  <c r="F675" i="7"/>
  <c r="G674" i="7"/>
  <c r="G673" i="7"/>
  <c r="G672" i="7"/>
  <c r="G671" i="7"/>
  <c r="G670" i="7"/>
  <c r="G669" i="7"/>
  <c r="G668" i="7"/>
  <c r="G667" i="7"/>
  <c r="G666" i="7"/>
  <c r="F666" i="7"/>
  <c r="G665" i="7"/>
  <c r="G664" i="7"/>
  <c r="G663" i="7"/>
  <c r="G662" i="7"/>
  <c r="G661" i="7"/>
  <c r="G660" i="7"/>
  <c r="G659" i="7"/>
  <c r="G658" i="7"/>
  <c r="G657" i="7"/>
  <c r="G656" i="7"/>
  <c r="G655" i="7"/>
  <c r="G654" i="7"/>
  <c r="G653" i="7"/>
  <c r="G652" i="7"/>
  <c r="G651" i="7"/>
  <c r="G650" i="7"/>
  <c r="G649" i="7"/>
  <c r="G648" i="7"/>
  <c r="G647" i="7"/>
  <c r="G646" i="7"/>
  <c r="G645" i="7"/>
  <c r="G644" i="7"/>
  <c r="G643" i="7"/>
  <c r="G642" i="7"/>
  <c r="G641" i="7"/>
  <c r="G640" i="7"/>
  <c r="G639" i="7"/>
  <c r="G638" i="7"/>
  <c r="G637" i="7"/>
  <c r="G636" i="7"/>
  <c r="G635" i="7"/>
  <c r="G634" i="7"/>
  <c r="G633" i="7"/>
  <c r="G632" i="7"/>
  <c r="G631" i="7"/>
  <c r="G630" i="7"/>
  <c r="G629" i="7"/>
  <c r="G628" i="7"/>
  <c r="G627" i="7"/>
  <c r="G626" i="7"/>
  <c r="G625" i="7"/>
  <c r="G624" i="7"/>
  <c r="G623" i="7"/>
  <c r="G622" i="7"/>
  <c r="G621" i="7"/>
  <c r="G620" i="7"/>
  <c r="G619" i="7"/>
  <c r="G618" i="7"/>
  <c r="G617" i="7"/>
  <c r="G616" i="7"/>
  <c r="G615" i="7"/>
  <c r="G614" i="7"/>
  <c r="G613" i="7"/>
  <c r="G612" i="7"/>
  <c r="G611" i="7"/>
  <c r="G610" i="7"/>
  <c r="G609" i="7"/>
  <c r="G608" i="7"/>
  <c r="G607" i="7"/>
  <c r="G606" i="7"/>
  <c r="G605" i="7"/>
  <c r="G604" i="7"/>
  <c r="G603" i="7"/>
  <c r="G602" i="7"/>
  <c r="G601" i="7"/>
  <c r="G600" i="7"/>
  <c r="G599" i="7"/>
  <c r="G598" i="7"/>
  <c r="G597" i="7"/>
  <c r="G596" i="7"/>
  <c r="G595" i="7"/>
  <c r="G594" i="7"/>
  <c r="G593" i="7"/>
  <c r="G592" i="7"/>
  <c r="G591" i="7"/>
  <c r="G590" i="7"/>
  <c r="G589" i="7"/>
  <c r="G588" i="7"/>
  <c r="G587" i="7"/>
  <c r="G586" i="7"/>
  <c r="G585" i="7"/>
  <c r="G584" i="7"/>
  <c r="G583" i="7"/>
  <c r="G582" i="7"/>
  <c r="G581" i="7"/>
  <c r="G580" i="7"/>
  <c r="G579" i="7"/>
  <c r="G578" i="7"/>
  <c r="G577" i="7"/>
  <c r="G576" i="7"/>
  <c r="G575" i="7"/>
  <c r="G574" i="7"/>
  <c r="G573" i="7"/>
  <c r="G572" i="7"/>
  <c r="G571" i="7"/>
  <c r="G570" i="7"/>
  <c r="G569" i="7"/>
  <c r="G568" i="7"/>
  <c r="G567" i="7"/>
  <c r="G566" i="7"/>
  <c r="G565" i="7"/>
  <c r="G564" i="7"/>
  <c r="G563" i="7"/>
  <c r="G562" i="7"/>
  <c r="G561" i="7"/>
  <c r="G560" i="7"/>
  <c r="G559" i="7"/>
  <c r="G558" i="7"/>
  <c r="G557" i="7"/>
  <c r="G556" i="7"/>
  <c r="G555" i="7"/>
  <c r="G554" i="7"/>
  <c r="G553" i="7"/>
  <c r="F552" i="7"/>
  <c r="G552" i="7" s="1"/>
  <c r="G551" i="7"/>
  <c r="G550" i="7"/>
  <c r="G549" i="7"/>
  <c r="G548" i="7"/>
  <c r="G547" i="7"/>
  <c r="G546" i="7"/>
  <c r="G545" i="7"/>
  <c r="G544" i="7"/>
  <c r="G543" i="7"/>
  <c r="G542" i="7"/>
  <c r="G541" i="7"/>
  <c r="G540" i="7"/>
  <c r="G539" i="7"/>
  <c r="G538" i="7"/>
  <c r="G537" i="7"/>
  <c r="G536" i="7"/>
  <c r="G535" i="7"/>
  <c r="G534" i="7"/>
  <c r="G533" i="7"/>
  <c r="G532" i="7"/>
  <c r="G531" i="7"/>
  <c r="G530" i="7"/>
  <c r="G529" i="7"/>
  <c r="G528" i="7"/>
  <c r="G527" i="7"/>
  <c r="G526" i="7"/>
  <c r="G525" i="7"/>
  <c r="G524" i="7"/>
  <c r="G523" i="7"/>
  <c r="G522" i="7"/>
  <c r="G521" i="7"/>
  <c r="G520" i="7"/>
  <c r="G519" i="7"/>
  <c r="G518" i="7"/>
  <c r="G517" i="7"/>
  <c r="G516" i="7"/>
  <c r="G515" i="7"/>
  <c r="G514" i="7"/>
  <c r="G513" i="7"/>
  <c r="G512" i="7"/>
  <c r="G511" i="7"/>
  <c r="G510" i="7"/>
  <c r="G509" i="7"/>
  <c r="G508" i="7"/>
  <c r="G507" i="7"/>
  <c r="G506" i="7"/>
  <c r="G505" i="7"/>
  <c r="G504" i="7"/>
  <c r="G503" i="7"/>
  <c r="G502" i="7"/>
  <c r="G501" i="7"/>
  <c r="G500" i="7"/>
  <c r="G499" i="7"/>
  <c r="G498" i="7"/>
  <c r="G497" i="7"/>
  <c r="G496" i="7"/>
  <c r="G495" i="7"/>
  <c r="G494" i="7"/>
  <c r="G493" i="7"/>
  <c r="G492" i="7"/>
  <c r="G491" i="7"/>
  <c r="G490" i="7"/>
  <c r="G489" i="7"/>
  <c r="G488" i="7"/>
  <c r="G487" i="7"/>
  <c r="G486" i="7"/>
  <c r="G485" i="7"/>
  <c r="G484" i="7"/>
  <c r="G483" i="7"/>
  <c r="G482" i="7"/>
  <c r="G481" i="7"/>
  <c r="G480" i="7"/>
  <c r="G479" i="7"/>
  <c r="G478" i="7"/>
  <c r="G477" i="7"/>
  <c r="G476" i="7"/>
  <c r="G475" i="7"/>
  <c r="G474" i="7"/>
  <c r="G473" i="7"/>
  <c r="G472" i="7"/>
  <c r="G471" i="7"/>
  <c r="G470" i="7"/>
  <c r="G469" i="7"/>
  <c r="G468" i="7"/>
  <c r="F467" i="7"/>
  <c r="G467" i="7" s="1"/>
  <c r="G466" i="7"/>
  <c r="G465" i="7"/>
  <c r="G464" i="7"/>
  <c r="G463" i="7"/>
  <c r="G462" i="7"/>
  <c r="G461" i="7"/>
  <c r="G460" i="7"/>
  <c r="G459" i="7"/>
  <c r="G458" i="7"/>
  <c r="G457" i="7"/>
  <c r="G456" i="7"/>
  <c r="G455" i="7"/>
  <c r="G454" i="7"/>
  <c r="G453" i="7"/>
  <c r="G452" i="7"/>
  <c r="G451" i="7"/>
  <c r="G450" i="7"/>
  <c r="G449" i="7"/>
  <c r="G448" i="7"/>
  <c r="G447" i="7"/>
  <c r="G446" i="7"/>
  <c r="G445" i="7"/>
  <c r="G444" i="7"/>
  <c r="G443" i="7"/>
  <c r="G442" i="7"/>
  <c r="G441" i="7"/>
  <c r="G440" i="7"/>
  <c r="G439" i="7"/>
  <c r="F438" i="7"/>
  <c r="G438" i="7" s="1"/>
  <c r="G437" i="7"/>
  <c r="G436" i="7"/>
  <c r="G435" i="7"/>
  <c r="G434" i="7"/>
  <c r="G433" i="7"/>
  <c r="G432" i="7"/>
  <c r="G431" i="7"/>
  <c r="G430" i="7"/>
  <c r="G429" i="7"/>
  <c r="G428" i="7"/>
  <c r="G427" i="7"/>
  <c r="G426" i="7"/>
  <c r="G425" i="7"/>
  <c r="G424" i="7"/>
  <c r="G423" i="7"/>
  <c r="G422" i="7"/>
  <c r="G421" i="7"/>
  <c r="G420" i="7"/>
  <c r="G419" i="7"/>
  <c r="G418" i="7"/>
  <c r="G417" i="7"/>
  <c r="G416" i="7"/>
  <c r="G415" i="7"/>
  <c r="G414" i="7"/>
  <c r="G413" i="7"/>
  <c r="G412" i="7"/>
  <c r="G411" i="7"/>
  <c r="G410" i="7"/>
  <c r="G409" i="7"/>
  <c r="G408" i="7"/>
  <c r="G407" i="7"/>
  <c r="G406" i="7"/>
  <c r="G405" i="7"/>
  <c r="G404" i="7"/>
  <c r="G403" i="7"/>
  <c r="G402" i="7"/>
  <c r="G401" i="7"/>
  <c r="G400" i="7"/>
  <c r="G399" i="7"/>
  <c r="G398" i="7"/>
  <c r="G397" i="7"/>
  <c r="G396" i="7"/>
  <c r="G395" i="7"/>
  <c r="G394" i="7"/>
  <c r="G393" i="7"/>
  <c r="G392" i="7"/>
  <c r="G391" i="7"/>
  <c r="G390" i="7"/>
  <c r="G389" i="7"/>
  <c r="G388" i="7"/>
  <c r="G387" i="7"/>
  <c r="G386" i="7"/>
  <c r="G385" i="7"/>
  <c r="G384" i="7"/>
  <c r="G383" i="7"/>
  <c r="G382" i="7"/>
  <c r="G381" i="7"/>
  <c r="G380" i="7"/>
  <c r="G379" i="7"/>
  <c r="G378" i="7"/>
  <c r="G377" i="7"/>
  <c r="G376" i="7"/>
  <c r="G375" i="7"/>
  <c r="G374" i="7"/>
  <c r="G373" i="7"/>
  <c r="G372" i="7"/>
  <c r="G371" i="7"/>
  <c r="G370" i="7"/>
  <c r="G369" i="7"/>
  <c r="G368" i="7"/>
  <c r="G367" i="7"/>
  <c r="G366" i="7"/>
  <c r="G365" i="7"/>
  <c r="G364" i="7"/>
  <c r="G363" i="7"/>
  <c r="G362" i="7"/>
  <c r="G361" i="7"/>
  <c r="G360" i="7"/>
  <c r="G359" i="7"/>
  <c r="G358" i="7"/>
  <c r="G357" i="7"/>
  <c r="G356" i="7"/>
  <c r="G355" i="7"/>
  <c r="G354" i="7"/>
  <c r="G353" i="7"/>
  <c r="G352" i="7"/>
  <c r="G351" i="7"/>
  <c r="G350" i="7"/>
  <c r="G349" i="7"/>
  <c r="G348" i="7"/>
  <c r="G347" i="7"/>
  <c r="G346" i="7"/>
  <c r="G345" i="7"/>
  <c r="G344" i="7"/>
  <c r="G343" i="7"/>
  <c r="G342" i="7"/>
  <c r="G341" i="7"/>
  <c r="G340" i="7"/>
  <c r="G339" i="7"/>
  <c r="G338" i="7"/>
  <c r="G337" i="7"/>
  <c r="G336" i="7"/>
  <c r="G335" i="7"/>
  <c r="G334" i="7"/>
  <c r="G333" i="7"/>
  <c r="G332" i="7"/>
  <c r="G331" i="7"/>
  <c r="G330" i="7"/>
  <c r="G329" i="7"/>
  <c r="G328" i="7"/>
  <c r="F328" i="7"/>
  <c r="G327" i="7"/>
  <c r="G326" i="7"/>
  <c r="G325" i="7"/>
  <c r="G324" i="7"/>
  <c r="G323" i="7"/>
  <c r="G322" i="7"/>
  <c r="G321" i="7"/>
  <c r="F320" i="7"/>
  <c r="G320" i="7" s="1"/>
  <c r="G319" i="7"/>
  <c r="G318" i="7"/>
  <c r="G317" i="7"/>
  <c r="G316" i="7"/>
  <c r="G315" i="7"/>
  <c r="G314" i="7"/>
  <c r="G313" i="7"/>
  <c r="G312" i="7"/>
  <c r="G311" i="7"/>
  <c r="G310" i="7"/>
  <c r="G309" i="7"/>
  <c r="G308" i="7"/>
  <c r="G307" i="7"/>
  <c r="G306" i="7"/>
  <c r="G305" i="7"/>
  <c r="G304" i="7"/>
  <c r="G303" i="7"/>
  <c r="G302" i="7"/>
  <c r="G301" i="7"/>
  <c r="G300" i="7"/>
  <c r="G299" i="7"/>
  <c r="G298" i="7"/>
  <c r="G297" i="7"/>
  <c r="G296" i="7"/>
  <c r="G295" i="7"/>
  <c r="G294" i="7"/>
  <c r="G293" i="7"/>
  <c r="G292" i="7"/>
  <c r="G291" i="7"/>
  <c r="G290" i="7"/>
  <c r="G289" i="7"/>
  <c r="G288" i="7"/>
  <c r="G287" i="7"/>
  <c r="G286" i="7"/>
  <c r="G285" i="7"/>
  <c r="G284" i="7"/>
  <c r="G283" i="7"/>
  <c r="G282" i="7"/>
  <c r="G281" i="7"/>
  <c r="G280" i="7"/>
  <c r="G279" i="7"/>
  <c r="G278" i="7"/>
  <c r="G277" i="7"/>
  <c r="G276" i="7"/>
  <c r="G275" i="7"/>
  <c r="G274" i="7"/>
  <c r="G273" i="7"/>
  <c r="G272" i="7"/>
  <c r="G271" i="7"/>
  <c r="G270" i="7"/>
  <c r="G269" i="7"/>
  <c r="G268" i="7"/>
  <c r="G267" i="7"/>
  <c r="G266" i="7"/>
  <c r="G265" i="7"/>
  <c r="G264" i="7"/>
  <c r="G263" i="7"/>
  <c r="G262" i="7"/>
  <c r="G261" i="7"/>
  <c r="G260" i="7"/>
  <c r="G259" i="7"/>
  <c r="G258" i="7"/>
  <c r="G257" i="7"/>
  <c r="G256" i="7"/>
  <c r="G255" i="7"/>
  <c r="G254" i="7"/>
  <c r="G253" i="7"/>
  <c r="G252" i="7"/>
  <c r="G251" i="7"/>
  <c r="G250" i="7"/>
  <c r="G249" i="7"/>
  <c r="G248" i="7"/>
  <c r="G247" i="7"/>
  <c r="G246" i="7"/>
  <c r="G245" i="7"/>
  <c r="G244" i="7"/>
  <c r="G243" i="7"/>
  <c r="G242" i="7"/>
  <c r="G241" i="7"/>
  <c r="G240" i="7"/>
  <c r="G239" i="7"/>
  <c r="G238" i="7"/>
  <c r="G237" i="7"/>
  <c r="G236" i="7"/>
  <c r="F236" i="7"/>
  <c r="G235" i="7"/>
  <c r="G234" i="7"/>
  <c r="G233" i="7"/>
  <c r="G232" i="7"/>
  <c r="G231" i="7"/>
  <c r="G230" i="7"/>
  <c r="G229" i="7"/>
  <c r="G228" i="7"/>
  <c r="G227" i="7"/>
  <c r="G226" i="7"/>
  <c r="G225" i="7"/>
  <c r="G224" i="7"/>
  <c r="G223" i="7"/>
  <c r="G222" i="7"/>
  <c r="G221" i="7"/>
  <c r="G220" i="7"/>
  <c r="G219" i="7"/>
  <c r="G218" i="7"/>
  <c r="G217" i="7"/>
  <c r="G216" i="7"/>
  <c r="G215" i="7"/>
  <c r="G214" i="7"/>
  <c r="G213" i="7"/>
  <c r="G212" i="7"/>
  <c r="G211" i="7"/>
  <c r="G210" i="7"/>
  <c r="G209" i="7"/>
  <c r="G208" i="7"/>
  <c r="G207" i="7"/>
  <c r="G206" i="7"/>
  <c r="G205" i="7"/>
  <c r="G204" i="7"/>
  <c r="G203" i="7"/>
  <c r="G202" i="7"/>
  <c r="G201" i="7"/>
  <c r="G200" i="7"/>
  <c r="G199" i="7"/>
  <c r="G198" i="7"/>
  <c r="G197" i="7"/>
  <c r="G196" i="7"/>
  <c r="G195" i="7"/>
  <c r="G194" i="7"/>
  <c r="G193" i="7"/>
  <c r="G192" i="7"/>
  <c r="G191" i="7"/>
  <c r="G190" i="7"/>
  <c r="G189" i="7"/>
  <c r="G188" i="7"/>
  <c r="G187" i="7"/>
  <c r="G186" i="7"/>
  <c r="G185" i="7"/>
  <c r="G184" i="7"/>
  <c r="G183" i="7"/>
  <c r="G182" i="7"/>
  <c r="G181" i="7"/>
  <c r="G180" i="7"/>
  <c r="G179" i="7"/>
  <c r="G178" i="7"/>
  <c r="G177" i="7"/>
  <c r="G176" i="7"/>
  <c r="G175" i="7"/>
  <c r="G174" i="7"/>
  <c r="G173" i="7"/>
  <c r="F172" i="7"/>
  <c r="G172" i="7" s="1"/>
  <c r="G171" i="7"/>
  <c r="G170" i="7"/>
  <c r="G169" i="7"/>
  <c r="G168" i="7"/>
  <c r="G167" i="7"/>
  <c r="G166" i="7"/>
  <c r="G165" i="7"/>
  <c r="G164" i="7"/>
  <c r="G163" i="7"/>
  <c r="G162" i="7"/>
  <c r="F162" i="7"/>
  <c r="G161" i="7"/>
  <c r="G160" i="7"/>
  <c r="G159" i="7"/>
  <c r="G158" i="7"/>
  <c r="G157" i="7"/>
  <c r="G156" i="7"/>
  <c r="G155" i="7"/>
  <c r="G154" i="7"/>
  <c r="F153" i="7"/>
  <c r="G153" i="7" s="1"/>
  <c r="G152" i="7"/>
  <c r="G151" i="7"/>
  <c r="F150" i="7"/>
  <c r="G150" i="7" s="1"/>
  <c r="G149" i="7"/>
  <c r="G148" i="7"/>
  <c r="G147" i="7"/>
  <c r="G146" i="7"/>
  <c r="G145" i="7"/>
  <c r="G144" i="7"/>
  <c r="G143" i="7"/>
  <c r="G142" i="7"/>
  <c r="G141" i="7"/>
  <c r="G140" i="7"/>
  <c r="G139" i="7"/>
  <c r="G138" i="7"/>
  <c r="G137" i="7"/>
  <c r="F137" i="7"/>
  <c r="G136" i="7"/>
  <c r="G135" i="7"/>
  <c r="G134" i="7"/>
  <c r="G133" i="7"/>
  <c r="G132" i="7"/>
  <c r="G131" i="7"/>
  <c r="G130" i="7"/>
  <c r="G129" i="7"/>
  <c r="G128" i="7"/>
  <c r="G127" i="7"/>
  <c r="G126" i="7"/>
  <c r="G125" i="7"/>
  <c r="G124" i="7"/>
  <c r="G123" i="7"/>
  <c r="G122" i="7"/>
  <c r="G121" i="7"/>
  <c r="G120" i="7"/>
  <c r="G119" i="7"/>
  <c r="G118" i="7"/>
  <c r="G117" i="7"/>
  <c r="G116" i="7"/>
  <c r="G115" i="7"/>
  <c r="G114" i="7"/>
  <c r="G113" i="7"/>
  <c r="G112" i="7"/>
  <c r="G111" i="7"/>
  <c r="G110" i="7"/>
  <c r="G109" i="7"/>
  <c r="G108" i="7"/>
  <c r="G107" i="7"/>
  <c r="G106" i="7"/>
  <c r="G105" i="7"/>
  <c r="G104" i="7"/>
  <c r="G103" i="7"/>
  <c r="G102" i="7"/>
  <c r="G101" i="7"/>
  <c r="G100" i="7"/>
  <c r="G99" i="7"/>
  <c r="G98" i="7"/>
  <c r="G97" i="7"/>
  <c r="G96" i="7"/>
  <c r="G95" i="7"/>
  <c r="G94" i="7"/>
  <c r="G93" i="7"/>
  <c r="G92" i="7"/>
  <c r="G91" i="7"/>
  <c r="G90" i="7"/>
  <c r="G89" i="7"/>
  <c r="G88" i="7"/>
  <c r="G87" i="7"/>
  <c r="G86" i="7"/>
  <c r="G85" i="7"/>
  <c r="G84" i="7"/>
  <c r="G83" i="7"/>
  <c r="G82" i="7"/>
  <c r="G81" i="7"/>
  <c r="G80" i="7"/>
  <c r="G79" i="7"/>
  <c r="G78" i="7"/>
  <c r="G77" i="7"/>
  <c r="G76" i="7"/>
  <c r="G75" i="7"/>
  <c r="G74" i="7"/>
  <c r="G73" i="7"/>
  <c r="G72" i="7"/>
  <c r="G71" i="7"/>
  <c r="G70" i="7"/>
  <c r="G69" i="7"/>
  <c r="G68" i="7"/>
  <c r="G67" i="7"/>
  <c r="G66" i="7"/>
  <c r="G65" i="7"/>
  <c r="G64" i="7"/>
  <c r="G63" i="7"/>
  <c r="G62" i="7"/>
  <c r="G61" i="7"/>
  <c r="G60" i="7"/>
  <c r="G59" i="7"/>
  <c r="G58" i="7"/>
  <c r="G57" i="7"/>
  <c r="G56" i="7"/>
  <c r="G55" i="7"/>
  <c r="G54" i="7"/>
  <c r="F54" i="7"/>
  <c r="G53" i="7"/>
  <c r="G52" i="7"/>
  <c r="G51" i="7"/>
  <c r="G50" i="7"/>
  <c r="G49" i="7"/>
  <c r="G48" i="7"/>
  <c r="G47" i="7"/>
  <c r="G46" i="7"/>
  <c r="G45" i="7"/>
  <c r="G44" i="7"/>
  <c r="G43" i="7"/>
  <c r="G42" i="7"/>
  <c r="G41" i="7"/>
  <c r="G40" i="7"/>
  <c r="G39" i="7"/>
  <c r="G38" i="7"/>
  <c r="G37" i="7"/>
  <c r="G36" i="7"/>
  <c r="G35" i="7"/>
  <c r="G34" i="7"/>
  <c r="G33" i="7"/>
  <c r="G32" i="7"/>
  <c r="G31" i="7"/>
  <c r="F30" i="7"/>
  <c r="G30" i="7" s="1"/>
  <c r="G29" i="7"/>
  <c r="G28" i="7"/>
  <c r="G27" i="7"/>
  <c r="G26" i="7"/>
  <c r="G25" i="7"/>
  <c r="G24" i="7"/>
  <c r="G23" i="7"/>
  <c r="G22" i="7"/>
  <c r="G21" i="7"/>
  <c r="G20" i="7"/>
  <c r="G19" i="7"/>
  <c r="G18" i="7"/>
  <c r="G17" i="7"/>
  <c r="G16" i="7"/>
  <c r="F16" i="7"/>
  <c r="F15" i="7"/>
  <c r="G15" i="7" s="1"/>
  <c r="G14" i="7"/>
  <c r="G13" i="7"/>
  <c r="G12" i="7"/>
  <c r="G11" i="7"/>
  <c r="G10" i="7"/>
  <c r="G9" i="7"/>
  <c r="G8" i="7"/>
  <c r="G7" i="7"/>
  <c r="G6" i="7"/>
  <c r="G5" i="7"/>
  <c r="G4" i="7"/>
  <c r="G3" i="7"/>
  <c r="G2" i="7"/>
  <c r="G3232" i="7" l="1"/>
  <c r="E3237" i="7"/>
  <c r="F2669" i="5"/>
  <c r="F3061" i="5" l="1"/>
  <c r="F2741" i="5" l="1"/>
  <c r="F2586" i="5"/>
  <c r="F3328" i="5" l="1"/>
  <c r="F3236" i="5"/>
  <c r="F3216" i="5"/>
  <c r="F2249" i="5"/>
  <c r="F3137" i="5" l="1"/>
  <c r="G3137" i="5" s="1"/>
  <c r="F3103" i="5"/>
  <c r="F3008" i="5"/>
  <c r="F2905" i="5"/>
  <c r="F1891" i="5"/>
  <c r="D3338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F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F3005" i="5"/>
  <c r="G3005" i="5" s="1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F2899" i="5"/>
  <c r="G2899" i="5" s="1"/>
  <c r="G2898" i="5"/>
  <c r="G2897" i="5"/>
  <c r="G2896" i="5"/>
  <c r="F2895" i="5"/>
  <c r="G2895" i="5" s="1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F2847" i="5"/>
  <c r="G2847" i="5" s="1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F2734" i="5"/>
  <c r="F2733" i="5"/>
  <c r="G2733" i="5" s="1"/>
  <c r="G2732" i="5"/>
  <c r="G2731" i="5"/>
  <c r="G2730" i="5"/>
  <c r="G2729" i="5"/>
  <c r="G2728" i="5"/>
  <c r="G2727" i="5"/>
  <c r="G2726" i="5"/>
  <c r="G2725" i="5"/>
  <c r="F2725" i="5"/>
  <c r="F2724" i="5"/>
  <c r="G2724" i="5" s="1"/>
  <c r="G2723" i="5"/>
  <c r="F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F2623" i="5"/>
  <c r="G2622" i="5"/>
  <c r="G2621" i="5"/>
  <c r="G2620" i="5"/>
  <c r="F2619" i="5"/>
  <c r="G2619" i="5" s="1"/>
  <c r="G2618" i="5"/>
  <c r="G2617" i="5"/>
  <c r="G2616" i="5"/>
  <c r="G2615" i="5"/>
  <c r="G2614" i="5"/>
  <c r="G2613" i="5"/>
  <c r="G2612" i="5"/>
  <c r="G2611" i="5"/>
  <c r="G2610" i="5"/>
  <c r="G2609" i="5"/>
  <c r="F2608" i="5"/>
  <c r="G2608" i="5" s="1"/>
  <c r="G2607" i="5"/>
  <c r="F2606" i="5"/>
  <c r="G2606" i="5" s="1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F2590" i="5"/>
  <c r="G2590" i="5" s="1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F2555" i="5"/>
  <c r="G2555" i="5" s="1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F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F2488" i="5"/>
  <c r="G2488" i="5" s="1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F2381" i="5"/>
  <c r="G2381" i="5" s="1"/>
  <c r="F2380" i="5"/>
  <c r="G2380" i="5" s="1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F2283" i="5"/>
  <c r="G2283" i="5" s="1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F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F2130" i="5"/>
  <c r="G2130" i="5" s="1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F2095" i="5"/>
  <c r="G2095" i="5" s="1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F1985" i="5"/>
  <c r="G1984" i="5"/>
  <c r="G1983" i="5"/>
  <c r="G1982" i="5"/>
  <c r="G1981" i="5"/>
  <c r="G1980" i="5"/>
  <c r="G1979" i="5"/>
  <c r="G1978" i="5"/>
  <c r="G1977" i="5"/>
  <c r="G1976" i="5"/>
  <c r="G1975" i="5"/>
  <c r="G1974" i="5"/>
  <c r="F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F1951" i="5"/>
  <c r="G1950" i="5"/>
  <c r="G1949" i="5"/>
  <c r="G1948" i="5"/>
  <c r="G1947" i="5"/>
  <c r="G1946" i="5"/>
  <c r="G1945" i="5"/>
  <c r="G1944" i="5"/>
  <c r="F1943" i="5"/>
  <c r="G1943" i="5" s="1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F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F1815" i="5"/>
  <c r="G1814" i="5"/>
  <c r="G1813" i="5"/>
  <c r="G1812" i="5"/>
  <c r="G1811" i="5"/>
  <c r="G1810" i="5"/>
  <c r="G1809" i="5"/>
  <c r="G1808" i="5"/>
  <c r="G1807" i="5"/>
  <c r="G1806" i="5"/>
  <c r="G1805" i="5"/>
  <c r="G1804" i="5"/>
  <c r="F1803" i="5"/>
  <c r="G1803" i="5" s="1"/>
  <c r="G1802" i="5"/>
  <c r="F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F1703" i="5"/>
  <c r="F1702" i="5"/>
  <c r="G1702" i="5" s="1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F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F1636" i="5"/>
  <c r="G1636" i="5" s="1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F1582" i="5"/>
  <c r="G1582" i="5" s="1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F1453" i="5"/>
  <c r="G1453" i="5" s="1"/>
  <c r="G1452" i="5"/>
  <c r="G1451" i="5"/>
  <c r="G1450" i="5"/>
  <c r="G1449" i="5"/>
  <c r="G1448" i="5"/>
  <c r="G1447" i="5"/>
  <c r="G1446" i="5"/>
  <c r="G1445" i="5"/>
  <c r="G1444" i="5"/>
  <c r="G1443" i="5"/>
  <c r="F1442" i="5"/>
  <c r="G1442" i="5" s="1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F1357" i="5"/>
  <c r="G1357" i="5" s="1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F1332" i="5"/>
  <c r="G1332" i="5" s="1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F1177" i="5"/>
  <c r="G1177" i="5" s="1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F1153" i="5"/>
  <c r="G1152" i="5"/>
  <c r="G1151" i="5"/>
  <c r="G1150" i="5"/>
  <c r="G1149" i="5"/>
  <c r="G1148" i="5"/>
  <c r="F1147" i="5"/>
  <c r="G1147" i="5" s="1"/>
  <c r="G1146" i="5"/>
  <c r="G1145" i="5"/>
  <c r="G1144" i="5"/>
  <c r="G1143" i="5"/>
  <c r="G1142" i="5"/>
  <c r="G1141" i="5"/>
  <c r="F1141" i="5"/>
  <c r="G1140" i="5"/>
  <c r="F1140" i="5"/>
  <c r="G1139" i="5"/>
  <c r="F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F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F1039" i="5"/>
  <c r="G1038" i="5"/>
  <c r="G1037" i="5"/>
  <c r="G1036" i="5"/>
  <c r="G1035" i="5"/>
  <c r="G1034" i="5"/>
  <c r="G1033" i="5"/>
  <c r="G1032" i="5"/>
  <c r="G1031" i="5"/>
  <c r="G1030" i="5"/>
  <c r="F1029" i="5"/>
  <c r="G1029" i="5" s="1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F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F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F701" i="5"/>
  <c r="G700" i="5"/>
  <c r="G699" i="5"/>
  <c r="F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F591" i="5"/>
  <c r="G590" i="5"/>
  <c r="G589" i="5"/>
  <c r="G588" i="5"/>
  <c r="F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F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F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F395" i="5"/>
  <c r="G395" i="5" s="1"/>
  <c r="G394" i="5"/>
  <c r="G393" i="5"/>
  <c r="G392" i="5"/>
  <c r="G391" i="5"/>
  <c r="G390" i="5"/>
  <c r="F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F375" i="5"/>
  <c r="G374" i="5"/>
  <c r="G373" i="5"/>
  <c r="G372" i="5"/>
  <c r="G371" i="5"/>
  <c r="G370" i="5"/>
  <c r="F370" i="5"/>
  <c r="G369" i="5"/>
  <c r="F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F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F252" i="5"/>
  <c r="G252" i="5" s="1"/>
  <c r="G251" i="5"/>
  <c r="F250" i="5"/>
  <c r="G250" i="5" s="1"/>
  <c r="G249" i="5"/>
  <c r="G248" i="5"/>
  <c r="G247" i="5"/>
  <c r="G246" i="5"/>
  <c r="G245" i="5"/>
  <c r="G244" i="5"/>
  <c r="G243" i="5"/>
  <c r="G242" i="5"/>
  <c r="G241" i="5"/>
  <c r="G240" i="5"/>
  <c r="G239" i="5"/>
  <c r="F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F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F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F23" i="5"/>
  <c r="G22" i="5"/>
  <c r="G21" i="5"/>
  <c r="G20" i="5"/>
  <c r="G19" i="5"/>
  <c r="G18" i="5"/>
  <c r="G17" i="5"/>
  <c r="G16" i="5"/>
  <c r="G15" i="5"/>
  <c r="G14" i="5"/>
  <c r="G13" i="5"/>
  <c r="G12" i="5"/>
  <c r="F11" i="5"/>
  <c r="G11" i="5" s="1"/>
  <c r="G10" i="5"/>
  <c r="G9" i="5"/>
  <c r="G8" i="5"/>
  <c r="G7" i="5"/>
  <c r="G6" i="5"/>
  <c r="G5" i="5"/>
  <c r="G4" i="5"/>
  <c r="G3" i="5"/>
  <c r="G2" i="5"/>
  <c r="F2" i="5"/>
  <c r="F3338" i="5" s="1"/>
  <c r="G3338" i="5" l="1"/>
  <c r="E3343" i="5"/>
  <c r="F614" i="4" l="1"/>
  <c r="F3057" i="6" l="1"/>
  <c r="F2828" i="6" l="1"/>
  <c r="F2480" i="4"/>
  <c r="F3435" i="6" l="1"/>
  <c r="F1975" i="6" l="1"/>
  <c r="F3451" i="6" l="1"/>
  <c r="F3446" i="6"/>
  <c r="F3317" i="6"/>
  <c r="F2883" i="6"/>
  <c r="F3441" i="6" l="1"/>
  <c r="F3325" i="6"/>
  <c r="F3279" i="6"/>
  <c r="F3154" i="6"/>
  <c r="F3556" i="6" l="1"/>
  <c r="E3562" i="6" s="1"/>
  <c r="D3556" i="6"/>
  <c r="G3555" i="6"/>
  <c r="G3554" i="6"/>
  <c r="G3553" i="6"/>
  <c r="G3552" i="6"/>
  <c r="G3551" i="6"/>
  <c r="G3550" i="6"/>
  <c r="G3549" i="6"/>
  <c r="G3548" i="6"/>
  <c r="G3547" i="6"/>
  <c r="G3546" i="6"/>
  <c r="G3545" i="6"/>
  <c r="G3544" i="6"/>
  <c r="G3543" i="6"/>
  <c r="G3542" i="6"/>
  <c r="G3541" i="6"/>
  <c r="G3540" i="6"/>
  <c r="G3539" i="6"/>
  <c r="G3538" i="6"/>
  <c r="G3537" i="6"/>
  <c r="G3536" i="6"/>
  <c r="G3535" i="6"/>
  <c r="G3534" i="6"/>
  <c r="G3533" i="6"/>
  <c r="G3532" i="6"/>
  <c r="G3531" i="6"/>
  <c r="G3530" i="6"/>
  <c r="G3529" i="6"/>
  <c r="G3528" i="6"/>
  <c r="G3527" i="6"/>
  <c r="G3526" i="6"/>
  <c r="G3525" i="6"/>
  <c r="G3524" i="6"/>
  <c r="G3523" i="6"/>
  <c r="G3522" i="6"/>
  <c r="G3521" i="6"/>
  <c r="G3520" i="6"/>
  <c r="G3519" i="6"/>
  <c r="G3518" i="6"/>
  <c r="G3517" i="6"/>
  <c r="G3516" i="6"/>
  <c r="G3515" i="6"/>
  <c r="G3514" i="6"/>
  <c r="G3513" i="6"/>
  <c r="G3512" i="6"/>
  <c r="G3511" i="6"/>
  <c r="G3510" i="6"/>
  <c r="G3509" i="6"/>
  <c r="G3508" i="6"/>
  <c r="G3507" i="6"/>
  <c r="G3506" i="6"/>
  <c r="G3505" i="6"/>
  <c r="G3504" i="6"/>
  <c r="G3503" i="6"/>
  <c r="G3502" i="6"/>
  <c r="G3501" i="6"/>
  <c r="G3500" i="6"/>
  <c r="G3499" i="6"/>
  <c r="G3498" i="6"/>
  <c r="G3497" i="6"/>
  <c r="G3496" i="6"/>
  <c r="G3495" i="6"/>
  <c r="G3494" i="6"/>
  <c r="G3493" i="6"/>
  <c r="G3492" i="6"/>
  <c r="G3491" i="6"/>
  <c r="G3490" i="6"/>
  <c r="G3489" i="6"/>
  <c r="G3488" i="6"/>
  <c r="G3487" i="6"/>
  <c r="G3486" i="6"/>
  <c r="G3485" i="6"/>
  <c r="G3484" i="6"/>
  <c r="G3483" i="6"/>
  <c r="G3482" i="6"/>
  <c r="G3481" i="6"/>
  <c r="G3480" i="6"/>
  <c r="G3479" i="6"/>
  <c r="G3478" i="6"/>
  <c r="G3477" i="6"/>
  <c r="G3476" i="6"/>
  <c r="G3475" i="6"/>
  <c r="G3474" i="6"/>
  <c r="G3473" i="6"/>
  <c r="G3472" i="6"/>
  <c r="G3471" i="6"/>
  <c r="G3470" i="6"/>
  <c r="G3469" i="6"/>
  <c r="G3468" i="6"/>
  <c r="G3467" i="6"/>
  <c r="G3466" i="6"/>
  <c r="G3465" i="6"/>
  <c r="G3464" i="6"/>
  <c r="G3463" i="6"/>
  <c r="G3462" i="6"/>
  <c r="G3461" i="6"/>
  <c r="G3460" i="6"/>
  <c r="G3459" i="6"/>
  <c r="G3458" i="6"/>
  <c r="G3457" i="6"/>
  <c r="G3456" i="6"/>
  <c r="G3455" i="6"/>
  <c r="G3454" i="6"/>
  <c r="G3453" i="6"/>
  <c r="G3452" i="6"/>
  <c r="G3451" i="6"/>
  <c r="G3450" i="6"/>
  <c r="G3449" i="6"/>
  <c r="G3448" i="6"/>
  <c r="G3447" i="6"/>
  <c r="G3446" i="6"/>
  <c r="G3445" i="6"/>
  <c r="G3444" i="6"/>
  <c r="G3443" i="6"/>
  <c r="G3442" i="6"/>
  <c r="G3441" i="6"/>
  <c r="G3440" i="6"/>
  <c r="G3439" i="6"/>
  <c r="G3438" i="6"/>
  <c r="G3437" i="6"/>
  <c r="G3436" i="6"/>
  <c r="G3435" i="6"/>
  <c r="G3434" i="6"/>
  <c r="G3433" i="6"/>
  <c r="G3432" i="6"/>
  <c r="G3431" i="6"/>
  <c r="G3430" i="6"/>
  <c r="G3429" i="6"/>
  <c r="G3428" i="6"/>
  <c r="G3427" i="6"/>
  <c r="G3426" i="6"/>
  <c r="G3425" i="6"/>
  <c r="G3424" i="6"/>
  <c r="G3423" i="6"/>
  <c r="G3422" i="6"/>
  <c r="G3421" i="6"/>
  <c r="G3420" i="6"/>
  <c r="G3419" i="6"/>
  <c r="G3418" i="6"/>
  <c r="G3417" i="6"/>
  <c r="G3416" i="6"/>
  <c r="G3415" i="6"/>
  <c r="G3414" i="6"/>
  <c r="G3413" i="6"/>
  <c r="G3412" i="6"/>
  <c r="G3411" i="6"/>
  <c r="G3410" i="6"/>
  <c r="G3409" i="6"/>
  <c r="G3408" i="6"/>
  <c r="G3407" i="6"/>
  <c r="G3406" i="6"/>
  <c r="G3405" i="6"/>
  <c r="G3404" i="6"/>
  <c r="G3403" i="6"/>
  <c r="G3402" i="6"/>
  <c r="G3401" i="6"/>
  <c r="G3400" i="6"/>
  <c r="G3399" i="6"/>
  <c r="G3398" i="6"/>
  <c r="G3397" i="6"/>
  <c r="G3396" i="6"/>
  <c r="G3395" i="6"/>
  <c r="G3394" i="6"/>
  <c r="G3393" i="6"/>
  <c r="G3392" i="6"/>
  <c r="G3391" i="6"/>
  <c r="G3390" i="6"/>
  <c r="G3389" i="6"/>
  <c r="G3388" i="6"/>
  <c r="G3387" i="6"/>
  <c r="G3386" i="6"/>
  <c r="G3385" i="6"/>
  <c r="G3384" i="6"/>
  <c r="G3383" i="6"/>
  <c r="G3382" i="6"/>
  <c r="G3381" i="6"/>
  <c r="G3380" i="6"/>
  <c r="G3379" i="6"/>
  <c r="G3378" i="6"/>
  <c r="G3377" i="6"/>
  <c r="G3376" i="6"/>
  <c r="G3375" i="6"/>
  <c r="G3374" i="6"/>
  <c r="G3373" i="6"/>
  <c r="G3372" i="6"/>
  <c r="G3371" i="6"/>
  <c r="G3370" i="6"/>
  <c r="G3369" i="6"/>
  <c r="G3368" i="6"/>
  <c r="G3367" i="6"/>
  <c r="G3366" i="6"/>
  <c r="G3365" i="6"/>
  <c r="G3364" i="6"/>
  <c r="G3363" i="6"/>
  <c r="G3362" i="6"/>
  <c r="G3361" i="6"/>
  <c r="G3360" i="6"/>
  <c r="G3359" i="6"/>
  <c r="G3358" i="6"/>
  <c r="G3357" i="6"/>
  <c r="G3356" i="6"/>
  <c r="G3355" i="6"/>
  <c r="G3354" i="6"/>
  <c r="G3353" i="6"/>
  <c r="G3352" i="6"/>
  <c r="G3351" i="6"/>
  <c r="G3350" i="6"/>
  <c r="G3349" i="6"/>
  <c r="G3348" i="6"/>
  <c r="G3347" i="6"/>
  <c r="G3346" i="6"/>
  <c r="G3345" i="6"/>
  <c r="G3344" i="6"/>
  <c r="G3343" i="6"/>
  <c r="G3342" i="6"/>
  <c r="G3341" i="6"/>
  <c r="G3340" i="6"/>
  <c r="G3339" i="6"/>
  <c r="G3338" i="6"/>
  <c r="G3337" i="6"/>
  <c r="G3336" i="6"/>
  <c r="G3335" i="6"/>
  <c r="G3334" i="6"/>
  <c r="G3333" i="6"/>
  <c r="G3332" i="6"/>
  <c r="G3331" i="6"/>
  <c r="G3330" i="6"/>
  <c r="G3329" i="6"/>
  <c r="G3328" i="6"/>
  <c r="G3327" i="6"/>
  <c r="G3326" i="6"/>
  <c r="G3325" i="6"/>
  <c r="G3324" i="6"/>
  <c r="G3323" i="6"/>
  <c r="G3322" i="6"/>
  <c r="G3321" i="6"/>
  <c r="G3320" i="6"/>
  <c r="F3319" i="6"/>
  <c r="G3319" i="6" s="1"/>
  <c r="G3318" i="6"/>
  <c r="G3317" i="6"/>
  <c r="G3316" i="6"/>
  <c r="G3315" i="6"/>
  <c r="G3314" i="6"/>
  <c r="G3313" i="6"/>
  <c r="G3312" i="6"/>
  <c r="G3311" i="6"/>
  <c r="G3310" i="6"/>
  <c r="G3309" i="6"/>
  <c r="G3308" i="6"/>
  <c r="G3307" i="6"/>
  <c r="G3306" i="6"/>
  <c r="G3305" i="6"/>
  <c r="G3304" i="6"/>
  <c r="G3303" i="6"/>
  <c r="G3302" i="6"/>
  <c r="G3301" i="6"/>
  <c r="G3300" i="6"/>
  <c r="G3299" i="6"/>
  <c r="G3298" i="6"/>
  <c r="G3297" i="6"/>
  <c r="G3296" i="6"/>
  <c r="G3295" i="6"/>
  <c r="G3294" i="6"/>
  <c r="G3293" i="6"/>
  <c r="G3292" i="6"/>
  <c r="G3291" i="6"/>
  <c r="G3290" i="6"/>
  <c r="G3289" i="6"/>
  <c r="G3288" i="6"/>
  <c r="G3287" i="6"/>
  <c r="G3286" i="6"/>
  <c r="G3285" i="6"/>
  <c r="G3284" i="6"/>
  <c r="G3283" i="6"/>
  <c r="G3282" i="6"/>
  <c r="F3282" i="6"/>
  <c r="G3281" i="6"/>
  <c r="G3280" i="6"/>
  <c r="G3279" i="6"/>
  <c r="G3278" i="6"/>
  <c r="G3277" i="6"/>
  <c r="G3276" i="6"/>
  <c r="G3275" i="6"/>
  <c r="G3274" i="6"/>
  <c r="G3273" i="6"/>
  <c r="G3272" i="6"/>
  <c r="G3271" i="6"/>
  <c r="G3270" i="6"/>
  <c r="G3269" i="6"/>
  <c r="G3268" i="6"/>
  <c r="G3267" i="6"/>
  <c r="G3266" i="6"/>
  <c r="G3265" i="6"/>
  <c r="G3264" i="6"/>
  <c r="G3263" i="6"/>
  <c r="G3262" i="6"/>
  <c r="G3261" i="6"/>
  <c r="G3260" i="6"/>
  <c r="G3259" i="6"/>
  <c r="G3258" i="6"/>
  <c r="G3257" i="6"/>
  <c r="G3256" i="6"/>
  <c r="G3255" i="6"/>
  <c r="G3254" i="6"/>
  <c r="G3253" i="6"/>
  <c r="G3252" i="6"/>
  <c r="G3251" i="6"/>
  <c r="G3250" i="6"/>
  <c r="G3249" i="6"/>
  <c r="G3248" i="6"/>
  <c r="G3247" i="6"/>
  <c r="G3246" i="6"/>
  <c r="G3245" i="6"/>
  <c r="G3244" i="6"/>
  <c r="G3243" i="6"/>
  <c r="G3242" i="6"/>
  <c r="G3241" i="6"/>
  <c r="G3240" i="6"/>
  <c r="G3239" i="6"/>
  <c r="G3238" i="6"/>
  <c r="G3237" i="6"/>
  <c r="G3236" i="6"/>
  <c r="G3235" i="6"/>
  <c r="G3234" i="6"/>
  <c r="G3233" i="6"/>
  <c r="G3232" i="6"/>
  <c r="G3231" i="6"/>
  <c r="G3230" i="6"/>
  <c r="G3229" i="6"/>
  <c r="G3228" i="6"/>
  <c r="G3227" i="6"/>
  <c r="G3226" i="6"/>
  <c r="G3225" i="6"/>
  <c r="G3224" i="6"/>
  <c r="G3223" i="6"/>
  <c r="G3222" i="6"/>
  <c r="G3221" i="6"/>
  <c r="G3220" i="6"/>
  <c r="G3219" i="6"/>
  <c r="G3218" i="6"/>
  <c r="G3217" i="6"/>
  <c r="G3216" i="6"/>
  <c r="G3215" i="6"/>
  <c r="G3214" i="6"/>
  <c r="G3213" i="6"/>
  <c r="G3212" i="6"/>
  <c r="G3211" i="6"/>
  <c r="G3210" i="6"/>
  <c r="G3209" i="6"/>
  <c r="G3208" i="6"/>
  <c r="G3207" i="6"/>
  <c r="G3206" i="6"/>
  <c r="G3205" i="6"/>
  <c r="G3204" i="6"/>
  <c r="G3203" i="6"/>
  <c r="G3202" i="6"/>
  <c r="G3201" i="6"/>
  <c r="G3200" i="6"/>
  <c r="G3199" i="6"/>
  <c r="G3198" i="6"/>
  <c r="G3197" i="6"/>
  <c r="G3196" i="6"/>
  <c r="G3195" i="6"/>
  <c r="G3194" i="6"/>
  <c r="G3193" i="6"/>
  <c r="G3192" i="6"/>
  <c r="G3191" i="6"/>
  <c r="G3190" i="6"/>
  <c r="G3189" i="6"/>
  <c r="G3188" i="6"/>
  <c r="G3187" i="6"/>
  <c r="G3186" i="6"/>
  <c r="G3185" i="6"/>
  <c r="G3184" i="6"/>
  <c r="G3183" i="6"/>
  <c r="G3182" i="6"/>
  <c r="G3181" i="6"/>
  <c r="G3180" i="6"/>
  <c r="G3179" i="6"/>
  <c r="G3178" i="6"/>
  <c r="G3177" i="6"/>
  <c r="G3176" i="6"/>
  <c r="G3175" i="6"/>
  <c r="G3174" i="6"/>
  <c r="G3173" i="6"/>
  <c r="G3172" i="6"/>
  <c r="G3171" i="6"/>
  <c r="G3170" i="6"/>
  <c r="G3169" i="6"/>
  <c r="G3168" i="6"/>
  <c r="G3167" i="6"/>
  <c r="G3166" i="6"/>
  <c r="G3165" i="6"/>
  <c r="G3164" i="6"/>
  <c r="G3163" i="6"/>
  <c r="G3162" i="6"/>
  <c r="G3161" i="6"/>
  <c r="G3160" i="6"/>
  <c r="F3160" i="6"/>
  <c r="G3159" i="6"/>
  <c r="G3158" i="6"/>
  <c r="G3157" i="6"/>
  <c r="G3156" i="6"/>
  <c r="G3155" i="6"/>
  <c r="G3154" i="6"/>
  <c r="G3153" i="6"/>
  <c r="G3152" i="6"/>
  <c r="G3151" i="6"/>
  <c r="G3150" i="6"/>
  <c r="G3149" i="6"/>
  <c r="G3148" i="6"/>
  <c r="G3147" i="6"/>
  <c r="G3146" i="6"/>
  <c r="G3145" i="6"/>
  <c r="G3144" i="6"/>
  <c r="G3143" i="6"/>
  <c r="G3142" i="6"/>
  <c r="G3141" i="6"/>
  <c r="G3140" i="6"/>
  <c r="G3139" i="6"/>
  <c r="G3138" i="6"/>
  <c r="G3137" i="6"/>
  <c r="F3136" i="6"/>
  <c r="G3136" i="6" s="1"/>
  <c r="G3135" i="6"/>
  <c r="F3135" i="6"/>
  <c r="F3134" i="6"/>
  <c r="G3134" i="6" s="1"/>
  <c r="G3133" i="6"/>
  <c r="G3132" i="6"/>
  <c r="G3131" i="6"/>
  <c r="G3130" i="6"/>
  <c r="G3129" i="6"/>
  <c r="F3129" i="6"/>
  <c r="G3128" i="6"/>
  <c r="G3127" i="6"/>
  <c r="G3126" i="6"/>
  <c r="G3125" i="6"/>
  <c r="G3124" i="6"/>
  <c r="G3123" i="6"/>
  <c r="G3122" i="6"/>
  <c r="G3121" i="6"/>
  <c r="G3120" i="6"/>
  <c r="G3119" i="6"/>
  <c r="G3118" i="6"/>
  <c r="G3117" i="6"/>
  <c r="G3116" i="6"/>
  <c r="G3115" i="6"/>
  <c r="G3114" i="6"/>
  <c r="G3113" i="6"/>
  <c r="G3112" i="6"/>
  <c r="G3111" i="6"/>
  <c r="G3110" i="6"/>
  <c r="G3109" i="6"/>
  <c r="G3108" i="6"/>
  <c r="G3107" i="6"/>
  <c r="G3106" i="6"/>
  <c r="G3105" i="6"/>
  <c r="G3104" i="6"/>
  <c r="G3103" i="6"/>
  <c r="G3102" i="6"/>
  <c r="G3101" i="6"/>
  <c r="G3100" i="6"/>
  <c r="G3099" i="6"/>
  <c r="G3098" i="6"/>
  <c r="G3097" i="6"/>
  <c r="G3096" i="6"/>
  <c r="G3095" i="6"/>
  <c r="G3094" i="6"/>
  <c r="G3093" i="6"/>
  <c r="G3092" i="6"/>
  <c r="G3091" i="6"/>
  <c r="G3090" i="6"/>
  <c r="G3089" i="6"/>
  <c r="G3088" i="6"/>
  <c r="G3087" i="6"/>
  <c r="G3086" i="6"/>
  <c r="G3085" i="6"/>
  <c r="G3084" i="6"/>
  <c r="G3083" i="6"/>
  <c r="G3082" i="6"/>
  <c r="G3081" i="6"/>
  <c r="G3080" i="6"/>
  <c r="G3079" i="6"/>
  <c r="G3078" i="6"/>
  <c r="G3077" i="6"/>
  <c r="G3076" i="6"/>
  <c r="G3075" i="6"/>
  <c r="G3074" i="6"/>
  <c r="G3073" i="6"/>
  <c r="G3072" i="6"/>
  <c r="G3071" i="6"/>
  <c r="G3070" i="6"/>
  <c r="G3069" i="6"/>
  <c r="G3068" i="6"/>
  <c r="G3067" i="6"/>
  <c r="G3066" i="6"/>
  <c r="G3065" i="6"/>
  <c r="G3064" i="6"/>
  <c r="G3063" i="6"/>
  <c r="G3062" i="6"/>
  <c r="G3061" i="6"/>
  <c r="G3060" i="6"/>
  <c r="G3059" i="6"/>
  <c r="G3058" i="6"/>
  <c r="G3057" i="6"/>
  <c r="G3056" i="6"/>
  <c r="G3055" i="6"/>
  <c r="G3054" i="6"/>
  <c r="G3053" i="6"/>
  <c r="G3052" i="6"/>
  <c r="G3051" i="6"/>
  <c r="G3050" i="6"/>
  <c r="G3049" i="6"/>
  <c r="G3048" i="6"/>
  <c r="G3047" i="6"/>
  <c r="G3046" i="6"/>
  <c r="G3045" i="6"/>
  <c r="G3044" i="6"/>
  <c r="G3043" i="6"/>
  <c r="G3042" i="6"/>
  <c r="G3041" i="6"/>
  <c r="G3040" i="6"/>
  <c r="G3039" i="6"/>
  <c r="G3038" i="6"/>
  <c r="G3037" i="6"/>
  <c r="G3036" i="6"/>
  <c r="G3035" i="6"/>
  <c r="G3034" i="6"/>
  <c r="G3033" i="6"/>
  <c r="G3032" i="6"/>
  <c r="G3031" i="6"/>
  <c r="G3030" i="6"/>
  <c r="G3029" i="6"/>
  <c r="G3028" i="6"/>
  <c r="G3027" i="6"/>
  <c r="G3026" i="6"/>
  <c r="G3025" i="6"/>
  <c r="G3024" i="6"/>
  <c r="G3023" i="6"/>
  <c r="G3022" i="6"/>
  <c r="G3021" i="6"/>
  <c r="G3020" i="6"/>
  <c r="G3019" i="6"/>
  <c r="G3018" i="6"/>
  <c r="G3017" i="6"/>
  <c r="G3016" i="6"/>
  <c r="G3015" i="6"/>
  <c r="G3014" i="6"/>
  <c r="G3013" i="6"/>
  <c r="G3012" i="6"/>
  <c r="G3011" i="6"/>
  <c r="G3010" i="6"/>
  <c r="G3009" i="6"/>
  <c r="G3008" i="6"/>
  <c r="G3007" i="6"/>
  <c r="G3006" i="6"/>
  <c r="G3005" i="6"/>
  <c r="G3004" i="6"/>
  <c r="G3003" i="6"/>
  <c r="G3002" i="6"/>
  <c r="G3001" i="6"/>
  <c r="G3000" i="6"/>
  <c r="G2999" i="6"/>
  <c r="G2998" i="6"/>
  <c r="G2997" i="6"/>
  <c r="G2996" i="6"/>
  <c r="G2995" i="6"/>
  <c r="G2994" i="6"/>
  <c r="G2993" i="6"/>
  <c r="G2992" i="6"/>
  <c r="G2991" i="6"/>
  <c r="G2990" i="6"/>
  <c r="G2989" i="6"/>
  <c r="G2988" i="6"/>
  <c r="F2988" i="6"/>
  <c r="G2987" i="6"/>
  <c r="G2986" i="6"/>
  <c r="G2985" i="6"/>
  <c r="G2984" i="6"/>
  <c r="G2983" i="6"/>
  <c r="G2982" i="6"/>
  <c r="G2981" i="6"/>
  <c r="G2980" i="6"/>
  <c r="G2979" i="6"/>
  <c r="G2978" i="6"/>
  <c r="G2977" i="6"/>
  <c r="G2976" i="6"/>
  <c r="G2975" i="6"/>
  <c r="G2974" i="6"/>
  <c r="G2973" i="6"/>
  <c r="G2972" i="6"/>
  <c r="G2971" i="6"/>
  <c r="G2970" i="6"/>
  <c r="G2969" i="6"/>
  <c r="G2968" i="6"/>
  <c r="G2967" i="6"/>
  <c r="G2966" i="6"/>
  <c r="G2965" i="6"/>
  <c r="G2964" i="6"/>
  <c r="G2963" i="6"/>
  <c r="G2962" i="6"/>
  <c r="G2961" i="6"/>
  <c r="G2960" i="6"/>
  <c r="G2959" i="6"/>
  <c r="G2958" i="6"/>
  <c r="G2957" i="6"/>
  <c r="G2956" i="6"/>
  <c r="G2955" i="6"/>
  <c r="G2954" i="6"/>
  <c r="G2953" i="6"/>
  <c r="G2952" i="6"/>
  <c r="G2951" i="6"/>
  <c r="G2950" i="6"/>
  <c r="G2949" i="6"/>
  <c r="G2948" i="6"/>
  <c r="G2947" i="6"/>
  <c r="G2946" i="6"/>
  <c r="G2945" i="6"/>
  <c r="G2944" i="6"/>
  <c r="G2943" i="6"/>
  <c r="G2942" i="6"/>
  <c r="G2941" i="6"/>
  <c r="G2940" i="6"/>
  <c r="G2939" i="6"/>
  <c r="G2938" i="6"/>
  <c r="G2937" i="6"/>
  <c r="G2936" i="6"/>
  <c r="G2935" i="6"/>
  <c r="G2934" i="6"/>
  <c r="G2933" i="6"/>
  <c r="G2932" i="6"/>
  <c r="G2931" i="6"/>
  <c r="G2930" i="6"/>
  <c r="G2929" i="6"/>
  <c r="G2928" i="6"/>
  <c r="G2927" i="6"/>
  <c r="G2926" i="6"/>
  <c r="G2925" i="6"/>
  <c r="G2924" i="6"/>
  <c r="G2923" i="6"/>
  <c r="G2922" i="6"/>
  <c r="G2921" i="6"/>
  <c r="G2920" i="6"/>
  <c r="G2919" i="6"/>
  <c r="G2918" i="6"/>
  <c r="G2917" i="6"/>
  <c r="G2916" i="6"/>
  <c r="G2915" i="6"/>
  <c r="G2914" i="6"/>
  <c r="G2913" i="6"/>
  <c r="G2912" i="6"/>
  <c r="G2911" i="6"/>
  <c r="G2910" i="6"/>
  <c r="G2909" i="6"/>
  <c r="G2908" i="6"/>
  <c r="G2907" i="6"/>
  <c r="G2906" i="6"/>
  <c r="G2905" i="6"/>
  <c r="G2904" i="6"/>
  <c r="G2903" i="6"/>
  <c r="G2902" i="6"/>
  <c r="G2901" i="6"/>
  <c r="G2900" i="6"/>
  <c r="G2899" i="6"/>
  <c r="G2898" i="6"/>
  <c r="G2897" i="6"/>
  <c r="G2896" i="6"/>
  <c r="G2895" i="6"/>
  <c r="G2894" i="6"/>
  <c r="G2893" i="6"/>
  <c r="G2892" i="6"/>
  <c r="G2891" i="6"/>
  <c r="G2890" i="6"/>
  <c r="G2889" i="6"/>
  <c r="G2888" i="6"/>
  <c r="G2887" i="6"/>
  <c r="G2886" i="6"/>
  <c r="G2885" i="6"/>
  <c r="G2884" i="6"/>
  <c r="G2883" i="6"/>
  <c r="G2882" i="6"/>
  <c r="G2881" i="6"/>
  <c r="G2880" i="6"/>
  <c r="G2879" i="6"/>
  <c r="G2878" i="6"/>
  <c r="G2877" i="6"/>
  <c r="G2876" i="6"/>
  <c r="G2875" i="6"/>
  <c r="G2874" i="6"/>
  <c r="G2873" i="6"/>
  <c r="G2872" i="6"/>
  <c r="G2871" i="6"/>
  <c r="G2870" i="6"/>
  <c r="G2869" i="6"/>
  <c r="G2868" i="6"/>
  <c r="G2867" i="6"/>
  <c r="G2866" i="6"/>
  <c r="F2866" i="6"/>
  <c r="G2865" i="6"/>
  <c r="G2864" i="6"/>
  <c r="G2863" i="6"/>
  <c r="G2862" i="6"/>
  <c r="G2861" i="6"/>
  <c r="G2860" i="6"/>
  <c r="G2859" i="6"/>
  <c r="G2858" i="6"/>
  <c r="G2857" i="6"/>
  <c r="G2856" i="6"/>
  <c r="G2855" i="6"/>
  <c r="G2854" i="6"/>
  <c r="G2853" i="6"/>
  <c r="G2852" i="6"/>
  <c r="G2851" i="6"/>
  <c r="G2850" i="6"/>
  <c r="G2849" i="6"/>
  <c r="G2848" i="6"/>
  <c r="G2847" i="6"/>
  <c r="G2846" i="6"/>
  <c r="G2845" i="6"/>
  <c r="G2844" i="6"/>
  <c r="G2843" i="6"/>
  <c r="G2842" i="6"/>
  <c r="G2841" i="6"/>
  <c r="G2840" i="6"/>
  <c r="G2839" i="6"/>
  <c r="G2838" i="6"/>
  <c r="G2837" i="6"/>
  <c r="G2836" i="6"/>
  <c r="G2835" i="6"/>
  <c r="G2834" i="6"/>
  <c r="G2833" i="6"/>
  <c r="G2832" i="6"/>
  <c r="G2831" i="6"/>
  <c r="G2830" i="6"/>
  <c r="G2829" i="6"/>
  <c r="G2828" i="6"/>
  <c r="G2827" i="6"/>
  <c r="G2826" i="6"/>
  <c r="G2825" i="6"/>
  <c r="G2824" i="6"/>
  <c r="G2823" i="6"/>
  <c r="G2822" i="6"/>
  <c r="G2821" i="6"/>
  <c r="G2820" i="6"/>
  <c r="G2819" i="6"/>
  <c r="G2818" i="6"/>
  <c r="G2817" i="6"/>
  <c r="G2816" i="6"/>
  <c r="G2815" i="6"/>
  <c r="G2814" i="6"/>
  <c r="G2813" i="6"/>
  <c r="G2812" i="6"/>
  <c r="G2811" i="6"/>
  <c r="G2810" i="6"/>
  <c r="G2809" i="6"/>
  <c r="G2808" i="6"/>
  <c r="G2807" i="6"/>
  <c r="G2806" i="6"/>
  <c r="G2805" i="6"/>
  <c r="G2804" i="6"/>
  <c r="G2803" i="6"/>
  <c r="G2802" i="6"/>
  <c r="G2801" i="6"/>
  <c r="G2800" i="6"/>
  <c r="G2799" i="6"/>
  <c r="G2798" i="6"/>
  <c r="G2797" i="6"/>
  <c r="G2796" i="6"/>
  <c r="G2795" i="6"/>
  <c r="G2794" i="6"/>
  <c r="G2793" i="6"/>
  <c r="G2792" i="6"/>
  <c r="G2791" i="6"/>
  <c r="G2790" i="6"/>
  <c r="G2789" i="6"/>
  <c r="G2788" i="6"/>
  <c r="G2787" i="6"/>
  <c r="G2786" i="6"/>
  <c r="G2785" i="6"/>
  <c r="G2784" i="6"/>
  <c r="G2783" i="6"/>
  <c r="G2782" i="6"/>
  <c r="G2781" i="6"/>
  <c r="G2780" i="6"/>
  <c r="G2779" i="6"/>
  <c r="G2778" i="6"/>
  <c r="G2777" i="6"/>
  <c r="G2776" i="6"/>
  <c r="G2775" i="6"/>
  <c r="G2774" i="6"/>
  <c r="G2773" i="6"/>
  <c r="G2772" i="6"/>
  <c r="G2771" i="6"/>
  <c r="G2770" i="6"/>
  <c r="G2769" i="6"/>
  <c r="G2768" i="6"/>
  <c r="G2767" i="6"/>
  <c r="G2766" i="6"/>
  <c r="G2765" i="6"/>
  <c r="G2764" i="6"/>
  <c r="G2763" i="6"/>
  <c r="G2762" i="6"/>
  <c r="G2761" i="6"/>
  <c r="G2760" i="6"/>
  <c r="G2759" i="6"/>
  <c r="G2758" i="6"/>
  <c r="G2757" i="6"/>
  <c r="G2756" i="6"/>
  <c r="G2755" i="6"/>
  <c r="G2754" i="6"/>
  <c r="G2753" i="6"/>
  <c r="G2752" i="6"/>
  <c r="G2751" i="6"/>
  <c r="G2750" i="6"/>
  <c r="G2749" i="6"/>
  <c r="G2748" i="6"/>
  <c r="G2747" i="6"/>
  <c r="G2746" i="6"/>
  <c r="G2745" i="6"/>
  <c r="G2744" i="6"/>
  <c r="G2743" i="6"/>
  <c r="G2742" i="6"/>
  <c r="G2741" i="6"/>
  <c r="G2740" i="6"/>
  <c r="G2739" i="6"/>
  <c r="G2738" i="6"/>
  <c r="G2737" i="6"/>
  <c r="G2736" i="6"/>
  <c r="G2735" i="6"/>
  <c r="G2734" i="6"/>
  <c r="G2733" i="6"/>
  <c r="F2732" i="6"/>
  <c r="G2732" i="6" s="1"/>
  <c r="G2731" i="6"/>
  <c r="G2730" i="6"/>
  <c r="G2729" i="6"/>
  <c r="G2728" i="6"/>
  <c r="G2727" i="6"/>
  <c r="G2726" i="6"/>
  <c r="G2725" i="6"/>
  <c r="G2724" i="6"/>
  <c r="G2723" i="6"/>
  <c r="G2722" i="6"/>
  <c r="G2721" i="6"/>
  <c r="G2720" i="6"/>
  <c r="G2719" i="6"/>
  <c r="G2718" i="6"/>
  <c r="G2717" i="6"/>
  <c r="G2716" i="6"/>
  <c r="G2715" i="6"/>
  <c r="G2714" i="6"/>
  <c r="G2713" i="6"/>
  <c r="G2712" i="6"/>
  <c r="G2711" i="6"/>
  <c r="G2710" i="6"/>
  <c r="G2709" i="6"/>
  <c r="G2708" i="6"/>
  <c r="G2707" i="6"/>
  <c r="G2706" i="6"/>
  <c r="G2705" i="6"/>
  <c r="G2704" i="6"/>
  <c r="G2703" i="6"/>
  <c r="G2702" i="6"/>
  <c r="G2701" i="6"/>
  <c r="G2700" i="6"/>
  <c r="G2699" i="6"/>
  <c r="G2698" i="6"/>
  <c r="G2697" i="6"/>
  <c r="G2696" i="6"/>
  <c r="G2695" i="6"/>
  <c r="G2694" i="6"/>
  <c r="G2693" i="6"/>
  <c r="G2692" i="6"/>
  <c r="G2691" i="6"/>
  <c r="G2690" i="6"/>
  <c r="G2689" i="6"/>
  <c r="G2688" i="6"/>
  <c r="G2687" i="6"/>
  <c r="G2686" i="6"/>
  <c r="G2685" i="6"/>
  <c r="G2684" i="6"/>
  <c r="G2683" i="6"/>
  <c r="G2682" i="6"/>
  <c r="G2681" i="6"/>
  <c r="G2680" i="6"/>
  <c r="G2679" i="6"/>
  <c r="G2678" i="6"/>
  <c r="G2677" i="6"/>
  <c r="G2676" i="6"/>
  <c r="G2675" i="6"/>
  <c r="G2674" i="6"/>
  <c r="G2673" i="6"/>
  <c r="G2672" i="6"/>
  <c r="G2671" i="6"/>
  <c r="G2670" i="6"/>
  <c r="G2669" i="6"/>
  <c r="G2668" i="6"/>
  <c r="G2667" i="6"/>
  <c r="G2666" i="6"/>
  <c r="G2665" i="6"/>
  <c r="G2664" i="6"/>
  <c r="G2663" i="6"/>
  <c r="G2662" i="6"/>
  <c r="G2661" i="6"/>
  <c r="G2660" i="6"/>
  <c r="G2659" i="6"/>
  <c r="G2658" i="6"/>
  <c r="G2657" i="6"/>
  <c r="G2656" i="6"/>
  <c r="F2656" i="6"/>
  <c r="G2655" i="6"/>
  <c r="G2654" i="6"/>
  <c r="G2653" i="6"/>
  <c r="G2652" i="6"/>
  <c r="G2651" i="6"/>
  <c r="G2650" i="6"/>
  <c r="G2649" i="6"/>
  <c r="G2648" i="6"/>
  <c r="G2647" i="6"/>
  <c r="G2646" i="6"/>
  <c r="G2645" i="6"/>
  <c r="G2644" i="6"/>
  <c r="G2643" i="6"/>
  <c r="G2642" i="6"/>
  <c r="G2641" i="6"/>
  <c r="G2640" i="6"/>
  <c r="G2639" i="6"/>
  <c r="G2638" i="6"/>
  <c r="G2637" i="6"/>
  <c r="F2636" i="6"/>
  <c r="G2636" i="6" s="1"/>
  <c r="G2635" i="6"/>
  <c r="G2634" i="6"/>
  <c r="G2633" i="6"/>
  <c r="G2632" i="6"/>
  <c r="G2631" i="6"/>
  <c r="G2630" i="6"/>
  <c r="G2629" i="6"/>
  <c r="G2628" i="6"/>
  <c r="G2627" i="6"/>
  <c r="G2626" i="6"/>
  <c r="G2625" i="6"/>
  <c r="G2624" i="6"/>
  <c r="G2623" i="6"/>
  <c r="G2622" i="6"/>
  <c r="G2621" i="6"/>
  <c r="F2621" i="6"/>
  <c r="G2620" i="6"/>
  <c r="G2619" i="6"/>
  <c r="G2618" i="6"/>
  <c r="G2617" i="6"/>
  <c r="G2616" i="6"/>
  <c r="G2615" i="6"/>
  <c r="G2614" i="6"/>
  <c r="G2613" i="6"/>
  <c r="G2612" i="6"/>
  <c r="G2611" i="6"/>
  <c r="G2610" i="6"/>
  <c r="G2609" i="6"/>
  <c r="G2608" i="6"/>
  <c r="G2607" i="6"/>
  <c r="G2606" i="6"/>
  <c r="G2605" i="6"/>
  <c r="G2604" i="6"/>
  <c r="G2603" i="6"/>
  <c r="G2602" i="6"/>
  <c r="G2601" i="6"/>
  <c r="G2600" i="6"/>
  <c r="G2599" i="6"/>
  <c r="G2598" i="6"/>
  <c r="G2597" i="6"/>
  <c r="G2596" i="6"/>
  <c r="G2595" i="6"/>
  <c r="G2594" i="6"/>
  <c r="G2593" i="6"/>
  <c r="G2592" i="6"/>
  <c r="G2591" i="6"/>
  <c r="G2590" i="6"/>
  <c r="G2589" i="6"/>
  <c r="G2588" i="6"/>
  <c r="G2587" i="6"/>
  <c r="G2586" i="6"/>
  <c r="G2585" i="6"/>
  <c r="G2584" i="6"/>
  <c r="G2583" i="6"/>
  <c r="G2582" i="6"/>
  <c r="G2581" i="6"/>
  <c r="G2580" i="6"/>
  <c r="G2579" i="6"/>
  <c r="G2578" i="6"/>
  <c r="G2577" i="6"/>
  <c r="G2576" i="6"/>
  <c r="G2575" i="6"/>
  <c r="G2574" i="6"/>
  <c r="G2573" i="6"/>
  <c r="G2572" i="6"/>
  <c r="G2571" i="6"/>
  <c r="G2570" i="6"/>
  <c r="G2569" i="6"/>
  <c r="G2568" i="6"/>
  <c r="G2567" i="6"/>
  <c r="G2566" i="6"/>
  <c r="G2565" i="6"/>
  <c r="G2564" i="6"/>
  <c r="G2563" i="6"/>
  <c r="G2562" i="6"/>
  <c r="G2561" i="6"/>
  <c r="G2560" i="6"/>
  <c r="G2559" i="6"/>
  <c r="G2558" i="6"/>
  <c r="G2557" i="6"/>
  <c r="G2556" i="6"/>
  <c r="G2555" i="6"/>
  <c r="G2554" i="6"/>
  <c r="G2553" i="6"/>
  <c r="G2552" i="6"/>
  <c r="G2551" i="6"/>
  <c r="G2550" i="6"/>
  <c r="G2549" i="6"/>
  <c r="G2548" i="6"/>
  <c r="G2547" i="6"/>
  <c r="G2546" i="6"/>
  <c r="G2545" i="6"/>
  <c r="G2544" i="6"/>
  <c r="G2543" i="6"/>
  <c r="G2542" i="6"/>
  <c r="G2541" i="6"/>
  <c r="G2540" i="6"/>
  <c r="G2539" i="6"/>
  <c r="G2538" i="6"/>
  <c r="G2537" i="6"/>
  <c r="G2536" i="6"/>
  <c r="G2535" i="6"/>
  <c r="G2534" i="6"/>
  <c r="G2533" i="6"/>
  <c r="G2532" i="6"/>
  <c r="G2531" i="6"/>
  <c r="G2530" i="6"/>
  <c r="G2529" i="6"/>
  <c r="G2528" i="6"/>
  <c r="G2527" i="6"/>
  <c r="G2526" i="6"/>
  <c r="G2525" i="6"/>
  <c r="G2524" i="6"/>
  <c r="G2523" i="6"/>
  <c r="G2522" i="6"/>
  <c r="G2521" i="6"/>
  <c r="F2520" i="6"/>
  <c r="G2520" i="6" s="1"/>
  <c r="G2519" i="6"/>
  <c r="G2518" i="6"/>
  <c r="F2517" i="6"/>
  <c r="G2517" i="6" s="1"/>
  <c r="G2516" i="6"/>
  <c r="G2515" i="6"/>
  <c r="G2514" i="6"/>
  <c r="G2513" i="6"/>
  <c r="G2512" i="6"/>
  <c r="G2511" i="6"/>
  <c r="G2510" i="6"/>
  <c r="G2509" i="6"/>
  <c r="G2508" i="6"/>
  <c r="G2507" i="6"/>
  <c r="G2506" i="6"/>
  <c r="G2505" i="6"/>
  <c r="G2504" i="6"/>
  <c r="G2503" i="6"/>
  <c r="G2502" i="6"/>
  <c r="G2501" i="6"/>
  <c r="F2501" i="6"/>
  <c r="G2500" i="6"/>
  <c r="G2499" i="6"/>
  <c r="G2498" i="6"/>
  <c r="G2497" i="6"/>
  <c r="G2496" i="6"/>
  <c r="G2495" i="6"/>
  <c r="G2494" i="6"/>
  <c r="G2493" i="6"/>
  <c r="G2492" i="6"/>
  <c r="G2491" i="6"/>
  <c r="G2490" i="6"/>
  <c r="G2489" i="6"/>
  <c r="F2488" i="6"/>
  <c r="G2488" i="6" s="1"/>
  <c r="G2487" i="6"/>
  <c r="G2486" i="6"/>
  <c r="G2485" i="6"/>
  <c r="G2484" i="6"/>
  <c r="G2483" i="6"/>
  <c r="G2482" i="6"/>
  <c r="G2481" i="6"/>
  <c r="G2480" i="6"/>
  <c r="G2479" i="6"/>
  <c r="G2478" i="6"/>
  <c r="G2477" i="6"/>
  <c r="G2476" i="6"/>
  <c r="G2475" i="6"/>
  <c r="G2474" i="6"/>
  <c r="G2473" i="6"/>
  <c r="G2472" i="6"/>
  <c r="G2471" i="6"/>
  <c r="G2470" i="6"/>
  <c r="G2469" i="6"/>
  <c r="G2468" i="6"/>
  <c r="G2467" i="6"/>
  <c r="G2466" i="6"/>
  <c r="G2465" i="6"/>
  <c r="G2464" i="6"/>
  <c r="G2463" i="6"/>
  <c r="G2462" i="6"/>
  <c r="G2461" i="6"/>
  <c r="G2460" i="6"/>
  <c r="G2459" i="6"/>
  <c r="G2458" i="6"/>
  <c r="G2457" i="6"/>
  <c r="G2456" i="6"/>
  <c r="G2455" i="6"/>
  <c r="G2454" i="6"/>
  <c r="G2453" i="6"/>
  <c r="G2452" i="6"/>
  <c r="G2451" i="6"/>
  <c r="G2450" i="6"/>
  <c r="G2449" i="6"/>
  <c r="G2448" i="6"/>
  <c r="G2447" i="6"/>
  <c r="G2446" i="6"/>
  <c r="G2445" i="6"/>
  <c r="G2444" i="6"/>
  <c r="G2443" i="6"/>
  <c r="G2442" i="6"/>
  <c r="G2441" i="6"/>
  <c r="G2440" i="6"/>
  <c r="G2439" i="6"/>
  <c r="G2438" i="6"/>
  <c r="G2437" i="6"/>
  <c r="G2436" i="6"/>
  <c r="G2435" i="6"/>
  <c r="G2434" i="6"/>
  <c r="G2433" i="6"/>
  <c r="G2432" i="6"/>
  <c r="G2431" i="6"/>
  <c r="G2430" i="6"/>
  <c r="G2429" i="6"/>
  <c r="G2428" i="6"/>
  <c r="G2427" i="6"/>
  <c r="G2426" i="6"/>
  <c r="G2425" i="6"/>
  <c r="G2424" i="6"/>
  <c r="G2423" i="6"/>
  <c r="G2422" i="6"/>
  <c r="G2421" i="6"/>
  <c r="G2420" i="6"/>
  <c r="G2419" i="6"/>
  <c r="G2418" i="6"/>
  <c r="G2417" i="6"/>
  <c r="G2416" i="6"/>
  <c r="G2415" i="6"/>
  <c r="G2414" i="6"/>
  <c r="G2413" i="6"/>
  <c r="G2412" i="6"/>
  <c r="G2411" i="6"/>
  <c r="G2410" i="6"/>
  <c r="G2409" i="6"/>
  <c r="G2408" i="6"/>
  <c r="G2407" i="6"/>
  <c r="G2406" i="6"/>
  <c r="G2405" i="6"/>
  <c r="G2404" i="6"/>
  <c r="G2403" i="6"/>
  <c r="G2402" i="6"/>
  <c r="G2401" i="6"/>
  <c r="G2400" i="6"/>
  <c r="G2399" i="6"/>
  <c r="G2398" i="6"/>
  <c r="G2397" i="6"/>
  <c r="G2396" i="6"/>
  <c r="G2395" i="6"/>
  <c r="G2394" i="6"/>
  <c r="G2393" i="6"/>
  <c r="G2392" i="6"/>
  <c r="G2391" i="6"/>
  <c r="G2390" i="6"/>
  <c r="G2389" i="6"/>
  <c r="G2388" i="6"/>
  <c r="G2387" i="6"/>
  <c r="G2386" i="6"/>
  <c r="G2385" i="6"/>
  <c r="G2384" i="6"/>
  <c r="G2383" i="6"/>
  <c r="G2382" i="6"/>
  <c r="G2381" i="6"/>
  <c r="G2380" i="6"/>
  <c r="G2379" i="6"/>
  <c r="G2378" i="6"/>
  <c r="G2377" i="6"/>
  <c r="G2376" i="6"/>
  <c r="G2375" i="6"/>
  <c r="G2374" i="6"/>
  <c r="G2373" i="6"/>
  <c r="G2372" i="6"/>
  <c r="G2371" i="6"/>
  <c r="G2370" i="6"/>
  <c r="G2369" i="6"/>
  <c r="G2368" i="6"/>
  <c r="G2367" i="6"/>
  <c r="G2366" i="6"/>
  <c r="G2365" i="6"/>
  <c r="G2364" i="6"/>
  <c r="G2363" i="6"/>
  <c r="G2362" i="6"/>
  <c r="G2361" i="6"/>
  <c r="G2360" i="6"/>
  <c r="G2359" i="6"/>
  <c r="G2358" i="6"/>
  <c r="G2357" i="6"/>
  <c r="G2356" i="6"/>
  <c r="G2355" i="6"/>
  <c r="G2354" i="6"/>
  <c r="G2353" i="6"/>
  <c r="G2352" i="6"/>
  <c r="G2351" i="6"/>
  <c r="G2350" i="6"/>
  <c r="G2349" i="6"/>
  <c r="G2348" i="6"/>
  <c r="G2347" i="6"/>
  <c r="G2346" i="6"/>
  <c r="G2345" i="6"/>
  <c r="G2344" i="6"/>
  <c r="G2343" i="6"/>
  <c r="G2342" i="6"/>
  <c r="G2341" i="6"/>
  <c r="G2340" i="6"/>
  <c r="G2339" i="6"/>
  <c r="G2338" i="6"/>
  <c r="G2337" i="6"/>
  <c r="G2336" i="6"/>
  <c r="G2335" i="6"/>
  <c r="G2334" i="6"/>
  <c r="G2333" i="6"/>
  <c r="G2332" i="6"/>
  <c r="G2331" i="6"/>
  <c r="G2330" i="6"/>
  <c r="G2329" i="6"/>
  <c r="G2328" i="6"/>
  <c r="G2327" i="6"/>
  <c r="G2326" i="6"/>
  <c r="G2325" i="6"/>
  <c r="F2324" i="6"/>
  <c r="G2324" i="6" s="1"/>
  <c r="G2323" i="6"/>
  <c r="G2322" i="6"/>
  <c r="G2321" i="6"/>
  <c r="G2320" i="6"/>
  <c r="G2319" i="6"/>
  <c r="G2318" i="6"/>
  <c r="F2317" i="6"/>
  <c r="G2317" i="6" s="1"/>
  <c r="G2316" i="6"/>
  <c r="G2315" i="6"/>
  <c r="G2314" i="6"/>
  <c r="G2313" i="6"/>
  <c r="G2312" i="6"/>
  <c r="G2311" i="6"/>
  <c r="G2310" i="6"/>
  <c r="G2309" i="6"/>
  <c r="G2308" i="6"/>
  <c r="G2307" i="6"/>
  <c r="G2306" i="6"/>
  <c r="G2305" i="6"/>
  <c r="G2304" i="6"/>
  <c r="G2303" i="6"/>
  <c r="G2302" i="6"/>
  <c r="G2301" i="6"/>
  <c r="G2300" i="6"/>
  <c r="F2299" i="6"/>
  <c r="G2299" i="6" s="1"/>
  <c r="G2298" i="6"/>
  <c r="F2297" i="6"/>
  <c r="G2297" i="6" s="1"/>
  <c r="G2296" i="6"/>
  <c r="G2295" i="6"/>
  <c r="G2294" i="6"/>
  <c r="G2293" i="6"/>
  <c r="G2292" i="6"/>
  <c r="G2291" i="6"/>
  <c r="G2290" i="6"/>
  <c r="G2289" i="6"/>
  <c r="G2288" i="6"/>
  <c r="G2287" i="6"/>
  <c r="G2286" i="6"/>
  <c r="G2285" i="6"/>
  <c r="G2284" i="6"/>
  <c r="G2283" i="6"/>
  <c r="G2282" i="6"/>
  <c r="G2281" i="6"/>
  <c r="G2280" i="6"/>
  <c r="G2279" i="6"/>
  <c r="G2278" i="6"/>
  <c r="G2277" i="6"/>
  <c r="G2276" i="6"/>
  <c r="G2275" i="6"/>
  <c r="G2274" i="6"/>
  <c r="G2273" i="6"/>
  <c r="G2272" i="6"/>
  <c r="G2271" i="6"/>
  <c r="G2270" i="6"/>
  <c r="G2269" i="6"/>
  <c r="G2268" i="6"/>
  <c r="G2267" i="6"/>
  <c r="G2266" i="6"/>
  <c r="G2265" i="6"/>
  <c r="G2264" i="6"/>
  <c r="G2263" i="6"/>
  <c r="G2262" i="6"/>
  <c r="G2261" i="6"/>
  <c r="G2260" i="6"/>
  <c r="G2259" i="6"/>
  <c r="G2258" i="6"/>
  <c r="G2257" i="6"/>
  <c r="G2256" i="6"/>
  <c r="G2255" i="6"/>
  <c r="G2254" i="6"/>
  <c r="G2253" i="6"/>
  <c r="G2252" i="6"/>
  <c r="G2251" i="6"/>
  <c r="G2250" i="6"/>
  <c r="G2249" i="6"/>
  <c r="G2248" i="6"/>
  <c r="G2247" i="6"/>
  <c r="G2246" i="6"/>
  <c r="G2245" i="6"/>
  <c r="G2244" i="6"/>
  <c r="G2243" i="6"/>
  <c r="G2242" i="6"/>
  <c r="G2241" i="6"/>
  <c r="G2240" i="6"/>
  <c r="G2239" i="6"/>
  <c r="G2238" i="6"/>
  <c r="G2237" i="6"/>
  <c r="G2236" i="6"/>
  <c r="G2235" i="6"/>
  <c r="G2234" i="6"/>
  <c r="G2233" i="6"/>
  <c r="G2232" i="6"/>
  <c r="G2231" i="6"/>
  <c r="G2230" i="6"/>
  <c r="G2229" i="6"/>
  <c r="G2228" i="6"/>
  <c r="G2227" i="6"/>
  <c r="G2226" i="6"/>
  <c r="G2225" i="6"/>
  <c r="G2224" i="6"/>
  <c r="G2223" i="6"/>
  <c r="G2222" i="6"/>
  <c r="G2221" i="6"/>
  <c r="G2220" i="6"/>
  <c r="G2219" i="6"/>
  <c r="G2218" i="6"/>
  <c r="G2217" i="6"/>
  <c r="G2216" i="6"/>
  <c r="G2215" i="6"/>
  <c r="G2214" i="6"/>
  <c r="G2213" i="6"/>
  <c r="G2212" i="6"/>
  <c r="G2211" i="6"/>
  <c r="G2210" i="6"/>
  <c r="G2209" i="6"/>
  <c r="G2208" i="6"/>
  <c r="G2207" i="6"/>
  <c r="G2206" i="6"/>
  <c r="G2205" i="6"/>
  <c r="G2204" i="6"/>
  <c r="G2203" i="6"/>
  <c r="G2202" i="6"/>
  <c r="G2201" i="6"/>
  <c r="G2200" i="6"/>
  <c r="G2199" i="6"/>
  <c r="G2198" i="6"/>
  <c r="G2197" i="6"/>
  <c r="F2196" i="6"/>
  <c r="G2196" i="6" s="1"/>
  <c r="G2195" i="6"/>
  <c r="G2194" i="6"/>
  <c r="G2193" i="6"/>
  <c r="G2192" i="6"/>
  <c r="G2191" i="6"/>
  <c r="G2190" i="6"/>
  <c r="G2189" i="6"/>
  <c r="G2188" i="6"/>
  <c r="G2187" i="6"/>
  <c r="G2186" i="6"/>
  <c r="G2185" i="6"/>
  <c r="G2184" i="6"/>
  <c r="G2183" i="6"/>
  <c r="F2183" i="6"/>
  <c r="G2182" i="6"/>
  <c r="G2181" i="6"/>
  <c r="G2180" i="6"/>
  <c r="G2179" i="6"/>
  <c r="G2178" i="6"/>
  <c r="G2177" i="6"/>
  <c r="G2176" i="6"/>
  <c r="G2175" i="6"/>
  <c r="G2174" i="6"/>
  <c r="G2173" i="6"/>
  <c r="G2172" i="6"/>
  <c r="G2171" i="6"/>
  <c r="G2170" i="6"/>
  <c r="G2169" i="6"/>
  <c r="G2168" i="6"/>
  <c r="G2167" i="6"/>
  <c r="G2166" i="6"/>
  <c r="G2165" i="6"/>
  <c r="G2164" i="6"/>
  <c r="G2163" i="6"/>
  <c r="G2162" i="6"/>
  <c r="G2161" i="6"/>
  <c r="G2160" i="6"/>
  <c r="G2159" i="6"/>
  <c r="G2158" i="6"/>
  <c r="G2157" i="6"/>
  <c r="G2156" i="6"/>
  <c r="G2155" i="6"/>
  <c r="G2154" i="6"/>
  <c r="G2153" i="6"/>
  <c r="G2152" i="6"/>
  <c r="G2151" i="6"/>
  <c r="G2150" i="6"/>
  <c r="G2149" i="6"/>
  <c r="G2148" i="6"/>
  <c r="G2147" i="6"/>
  <c r="G2146" i="6"/>
  <c r="G2145" i="6"/>
  <c r="G2144" i="6"/>
  <c r="G2143" i="6"/>
  <c r="G2142" i="6"/>
  <c r="G2141" i="6"/>
  <c r="G2140" i="6"/>
  <c r="G2139" i="6"/>
  <c r="G2138" i="6"/>
  <c r="G2137" i="6"/>
  <c r="G2136" i="6"/>
  <c r="G2135" i="6"/>
  <c r="G2134" i="6"/>
  <c r="G2133" i="6"/>
  <c r="G2132" i="6"/>
  <c r="G2131" i="6"/>
  <c r="G2130" i="6"/>
  <c r="G2129" i="6"/>
  <c r="G2128" i="6"/>
  <c r="G2127" i="6"/>
  <c r="G2126" i="6"/>
  <c r="G2125" i="6"/>
  <c r="G2124" i="6"/>
  <c r="G2123" i="6"/>
  <c r="G2122" i="6"/>
  <c r="G2121" i="6"/>
  <c r="G2120" i="6"/>
  <c r="G2119" i="6"/>
  <c r="G2118" i="6"/>
  <c r="G2117" i="6"/>
  <c r="G2116" i="6"/>
  <c r="G2115" i="6"/>
  <c r="G2114" i="6"/>
  <c r="G2113" i="6"/>
  <c r="G2112" i="6"/>
  <c r="G2111" i="6"/>
  <c r="G2110" i="6"/>
  <c r="G2109" i="6"/>
  <c r="G2108" i="6"/>
  <c r="G2107" i="6"/>
  <c r="G2106" i="6"/>
  <c r="G2105" i="6"/>
  <c r="G2104" i="6"/>
  <c r="G2103" i="6"/>
  <c r="G2102" i="6"/>
  <c r="G2101" i="6"/>
  <c r="G2100" i="6"/>
  <c r="G2099" i="6"/>
  <c r="G2098" i="6"/>
  <c r="G2097" i="6"/>
  <c r="G2096" i="6"/>
  <c r="G2095" i="6"/>
  <c r="G2094" i="6"/>
  <c r="G2093" i="6"/>
  <c r="G2092" i="6"/>
  <c r="G2091" i="6"/>
  <c r="G2090" i="6"/>
  <c r="G2089" i="6"/>
  <c r="G2088" i="6"/>
  <c r="G2087" i="6"/>
  <c r="G2086" i="6"/>
  <c r="G2085" i="6"/>
  <c r="G2084" i="6"/>
  <c r="G2083" i="6"/>
  <c r="G2082" i="6"/>
  <c r="G2081" i="6"/>
  <c r="G2080" i="6"/>
  <c r="G2079" i="6"/>
  <c r="G2078" i="6"/>
  <c r="G2077" i="6"/>
  <c r="G2076" i="6"/>
  <c r="G2075" i="6"/>
  <c r="G2074" i="6"/>
  <c r="G2073" i="6"/>
  <c r="G2072" i="6"/>
  <c r="G2071" i="6"/>
  <c r="G2070" i="6"/>
  <c r="G2069" i="6"/>
  <c r="G2068" i="6"/>
  <c r="G2067" i="6"/>
  <c r="G2066" i="6"/>
  <c r="G2065" i="6"/>
  <c r="G2064" i="6"/>
  <c r="G2063" i="6"/>
  <c r="G2062" i="6"/>
  <c r="G2061" i="6"/>
  <c r="G2060" i="6"/>
  <c r="G2059" i="6"/>
  <c r="G2058" i="6"/>
  <c r="G2057" i="6"/>
  <c r="G2056" i="6"/>
  <c r="G2055" i="6"/>
  <c r="G2054" i="6"/>
  <c r="G2053" i="6"/>
  <c r="G2052" i="6"/>
  <c r="G2051" i="6"/>
  <c r="G2050" i="6"/>
  <c r="G2049" i="6"/>
  <c r="G2048" i="6"/>
  <c r="G2047" i="6"/>
  <c r="G2046" i="6"/>
  <c r="G2045" i="6"/>
  <c r="G2044" i="6"/>
  <c r="G2043" i="6"/>
  <c r="G2042" i="6"/>
  <c r="G2041" i="6"/>
  <c r="G2040" i="6"/>
  <c r="G2039" i="6"/>
  <c r="G2038" i="6"/>
  <c r="G2037" i="6"/>
  <c r="G2036" i="6"/>
  <c r="G2035" i="6"/>
  <c r="G2034" i="6"/>
  <c r="G2033" i="6"/>
  <c r="G2032" i="6"/>
  <c r="G2031" i="6"/>
  <c r="G2030" i="6"/>
  <c r="G2029" i="6"/>
  <c r="G2028" i="6"/>
  <c r="G2027" i="6"/>
  <c r="G2026" i="6"/>
  <c r="G2025" i="6"/>
  <c r="G2024" i="6"/>
  <c r="G2023" i="6"/>
  <c r="G2022" i="6"/>
  <c r="G2021" i="6"/>
  <c r="G2020" i="6"/>
  <c r="G2019" i="6"/>
  <c r="G2018" i="6"/>
  <c r="G2017" i="6"/>
  <c r="G2016" i="6"/>
  <c r="G2015" i="6"/>
  <c r="G2014" i="6"/>
  <c r="G2013" i="6"/>
  <c r="F2013" i="6"/>
  <c r="G2012" i="6"/>
  <c r="G2011" i="6"/>
  <c r="G2010" i="6"/>
  <c r="G2009" i="6"/>
  <c r="G2008" i="6"/>
  <c r="G2007" i="6"/>
  <c r="G2006" i="6"/>
  <c r="G2005" i="6"/>
  <c r="G2004" i="6"/>
  <c r="G2003" i="6"/>
  <c r="G2002" i="6"/>
  <c r="G2001" i="6"/>
  <c r="G2000" i="6"/>
  <c r="G1999" i="6"/>
  <c r="G1998" i="6"/>
  <c r="G1997" i="6"/>
  <c r="G1996" i="6"/>
  <c r="G1995" i="6"/>
  <c r="G1994" i="6"/>
  <c r="G1993" i="6"/>
  <c r="G1992" i="6"/>
  <c r="G1991" i="6"/>
  <c r="G1990" i="6"/>
  <c r="G1989" i="6"/>
  <c r="G1988" i="6"/>
  <c r="G1987" i="6"/>
  <c r="G1986" i="6"/>
  <c r="G1985" i="6"/>
  <c r="G1984" i="6"/>
  <c r="G1983" i="6"/>
  <c r="G1982" i="6"/>
  <c r="G1981" i="6"/>
  <c r="G1980" i="6"/>
  <c r="G1979" i="6"/>
  <c r="G1978" i="6"/>
  <c r="G1977" i="6"/>
  <c r="G1976" i="6"/>
  <c r="G1975" i="6"/>
  <c r="G1974" i="6"/>
  <c r="G1973" i="6"/>
  <c r="G1972" i="6"/>
  <c r="G1971" i="6"/>
  <c r="G1970" i="6"/>
  <c r="G1969" i="6"/>
  <c r="G1968" i="6"/>
  <c r="G1967" i="6"/>
  <c r="G1966" i="6"/>
  <c r="G1965" i="6"/>
  <c r="G1964" i="6"/>
  <c r="G1963" i="6"/>
  <c r="G1962" i="6"/>
  <c r="G1961" i="6"/>
  <c r="G1960" i="6"/>
  <c r="G1959" i="6"/>
  <c r="G1958" i="6"/>
  <c r="G1957" i="6"/>
  <c r="G1956" i="6"/>
  <c r="G1955" i="6"/>
  <c r="G1954" i="6"/>
  <c r="G1953" i="6"/>
  <c r="G1952" i="6"/>
  <c r="G1951" i="6"/>
  <c r="G1950" i="6"/>
  <c r="G1949" i="6"/>
  <c r="G1948" i="6"/>
  <c r="G1947" i="6"/>
  <c r="G1946" i="6"/>
  <c r="G1945" i="6"/>
  <c r="G1944" i="6"/>
  <c r="G1943" i="6"/>
  <c r="G1942" i="6"/>
  <c r="F1942" i="6"/>
  <c r="G1941" i="6"/>
  <c r="G1940" i="6"/>
  <c r="G1939" i="6"/>
  <c r="G1938" i="6"/>
  <c r="G1937" i="6"/>
  <c r="G1936" i="6"/>
  <c r="G1935" i="6"/>
  <c r="G1934" i="6"/>
  <c r="G1933" i="6"/>
  <c r="G1932" i="6"/>
  <c r="G1931" i="6"/>
  <c r="G1930" i="6"/>
  <c r="G1929" i="6"/>
  <c r="G1928" i="6"/>
  <c r="G1927" i="6"/>
  <c r="G1926" i="6"/>
  <c r="G1925" i="6"/>
  <c r="G1924" i="6"/>
  <c r="G1923" i="6"/>
  <c r="G1922" i="6"/>
  <c r="G1921" i="6"/>
  <c r="G1920" i="6"/>
  <c r="G1919" i="6"/>
  <c r="G1918" i="6"/>
  <c r="G1917" i="6"/>
  <c r="G1916" i="6"/>
  <c r="G1915" i="6"/>
  <c r="G1914" i="6"/>
  <c r="G1913" i="6"/>
  <c r="G1912" i="6"/>
  <c r="F1912" i="6"/>
  <c r="G1911" i="6"/>
  <c r="G1910" i="6"/>
  <c r="G1909" i="6"/>
  <c r="G1908" i="6"/>
  <c r="G1907" i="6"/>
  <c r="G1906" i="6"/>
  <c r="G1905" i="6"/>
  <c r="G1904" i="6"/>
  <c r="G1903" i="6"/>
  <c r="G1902" i="6"/>
  <c r="G1901" i="6"/>
  <c r="G1900" i="6"/>
  <c r="G1899" i="6"/>
  <c r="G1898" i="6"/>
  <c r="G1897" i="6"/>
  <c r="G1896" i="6"/>
  <c r="G1895" i="6"/>
  <c r="G1894" i="6"/>
  <c r="G1893" i="6"/>
  <c r="G1892" i="6"/>
  <c r="G1891" i="6"/>
  <c r="G1890" i="6"/>
  <c r="G1889" i="6"/>
  <c r="G1888" i="6"/>
  <c r="G1887" i="6"/>
  <c r="G1886" i="6"/>
  <c r="G1885" i="6"/>
  <c r="G1884" i="6"/>
  <c r="G1883" i="6"/>
  <c r="G1882" i="6"/>
  <c r="G1881" i="6"/>
  <c r="G1880" i="6"/>
  <c r="G1879" i="6"/>
  <c r="G1878" i="6"/>
  <c r="G1877" i="6"/>
  <c r="G1876" i="6"/>
  <c r="G1875" i="6"/>
  <c r="G1874" i="6"/>
  <c r="G1873" i="6"/>
  <c r="G1872" i="6"/>
  <c r="G1871" i="6"/>
  <c r="G1870" i="6"/>
  <c r="G1869" i="6"/>
  <c r="G1868" i="6"/>
  <c r="G1867" i="6"/>
  <c r="G1866" i="6"/>
  <c r="G1865" i="6"/>
  <c r="G1864" i="6"/>
  <c r="G1863" i="6"/>
  <c r="G1862" i="6"/>
  <c r="G1861" i="6"/>
  <c r="G1860" i="6"/>
  <c r="G1859" i="6"/>
  <c r="G1858" i="6"/>
  <c r="G1857" i="6"/>
  <c r="G1856" i="6"/>
  <c r="G1855" i="6"/>
  <c r="G1854" i="6"/>
  <c r="G1853" i="6"/>
  <c r="G1852" i="6"/>
  <c r="G1851" i="6"/>
  <c r="G1850" i="6"/>
  <c r="G1849" i="6"/>
  <c r="G1848" i="6"/>
  <c r="G1847" i="6"/>
  <c r="G1846" i="6"/>
  <c r="G1845" i="6"/>
  <c r="G1844" i="6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F1683" i="6"/>
  <c r="G1683" i="6" s="1"/>
  <c r="G1682" i="6"/>
  <c r="G1681" i="6"/>
  <c r="F1680" i="6"/>
  <c r="G1680" i="6" s="1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F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F1553" i="6"/>
  <c r="G1553" i="6" s="1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F1499" i="6"/>
  <c r="G1499" i="6" s="1"/>
  <c r="G1498" i="6"/>
  <c r="F1498" i="6"/>
  <c r="G1497" i="6"/>
  <c r="G1496" i="6"/>
  <c r="G1495" i="6"/>
  <c r="G1494" i="6"/>
  <c r="G1493" i="6"/>
  <c r="G1492" i="6"/>
  <c r="G1491" i="6"/>
  <c r="F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F1351" i="6"/>
  <c r="G1350" i="6"/>
  <c r="G1349" i="6"/>
  <c r="G1348" i="6"/>
  <c r="G1347" i="6"/>
  <c r="G1346" i="6"/>
  <c r="G1345" i="6"/>
  <c r="G1344" i="6"/>
  <c r="G1343" i="6"/>
  <c r="G1342" i="6"/>
  <c r="G1341" i="6"/>
  <c r="G1340" i="6"/>
  <c r="F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F1221" i="6"/>
  <c r="G1221" i="6" s="1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F1118" i="6"/>
  <c r="G1117" i="6"/>
  <c r="G1116" i="6"/>
  <c r="G1115" i="6"/>
  <c r="G1114" i="6"/>
  <c r="G1113" i="6"/>
  <c r="G1112" i="6"/>
  <c r="F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F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F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F860" i="6"/>
  <c r="G860" i="6" s="1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F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F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F788" i="6"/>
  <c r="G788" i="6" s="1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F710" i="6"/>
  <c r="G709" i="6"/>
  <c r="G708" i="6"/>
  <c r="G707" i="6"/>
  <c r="G706" i="6"/>
  <c r="F705" i="6"/>
  <c r="G705" i="6" s="1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F664" i="6"/>
  <c r="G664" i="6" s="1"/>
  <c r="G663" i="6"/>
  <c r="G662" i="6"/>
  <c r="G661" i="6"/>
  <c r="F660" i="6"/>
  <c r="G660" i="6" s="1"/>
  <c r="G659" i="6"/>
  <c r="F659" i="6"/>
  <c r="G658" i="6"/>
  <c r="G657" i="6"/>
  <c r="G656" i="6"/>
  <c r="G655" i="6"/>
  <c r="G654" i="6"/>
  <c r="G653" i="6"/>
  <c r="G652" i="6"/>
  <c r="G651" i="6"/>
  <c r="F650" i="6"/>
  <c r="G650" i="6" s="1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F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F555" i="6"/>
  <c r="G555" i="6" s="1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F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F525" i="6"/>
  <c r="G525" i="6" s="1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F418" i="6"/>
  <c r="G418" i="6" s="1"/>
  <c r="G417" i="6"/>
  <c r="G416" i="6"/>
  <c r="G415" i="6"/>
  <c r="G414" i="6"/>
  <c r="G413" i="6"/>
  <c r="G412" i="6"/>
  <c r="F411" i="6"/>
  <c r="G411" i="6" s="1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F307" i="6"/>
  <c r="G306" i="6"/>
  <c r="G305" i="6"/>
  <c r="G304" i="6"/>
  <c r="G303" i="6"/>
  <c r="G302" i="6"/>
  <c r="G301" i="6"/>
  <c r="G300" i="6"/>
  <c r="F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F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F189" i="6"/>
  <c r="G188" i="6"/>
  <c r="G187" i="6"/>
  <c r="G186" i="6"/>
  <c r="G185" i="6"/>
  <c r="G184" i="6"/>
  <c r="G183" i="6"/>
  <c r="G182" i="6"/>
  <c r="G181" i="6"/>
  <c r="G180" i="6"/>
  <c r="G179" i="6"/>
  <c r="G178" i="6"/>
  <c r="F177" i="6"/>
  <c r="G177" i="6" s="1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F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F55" i="6"/>
  <c r="G55" i="6" s="1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G13" i="6"/>
  <c r="G12" i="6"/>
  <c r="G11" i="6"/>
  <c r="G10" i="6"/>
  <c r="G9" i="6"/>
  <c r="G8" i="6"/>
  <c r="G7" i="6"/>
  <c r="G6" i="6"/>
  <c r="F6" i="6"/>
  <c r="F5" i="6"/>
  <c r="G5" i="6" s="1"/>
  <c r="G4" i="6"/>
  <c r="G3" i="6"/>
  <c r="G2" i="6"/>
  <c r="G3556" i="6" l="1"/>
  <c r="F3331" i="4"/>
  <c r="F3055" i="4" l="1"/>
  <c r="F2497" i="4" l="1"/>
  <c r="F2386" i="4" l="1"/>
  <c r="F3276" i="4" l="1"/>
  <c r="F2707" i="4"/>
  <c r="F3293" i="4" l="1"/>
  <c r="F3239" i="4"/>
  <c r="F3238" i="4"/>
  <c r="F3126" i="4"/>
  <c r="F3098" i="4" l="1"/>
  <c r="D3374" i="4" l="1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F2993" i="4"/>
  <c r="G2993" i="4" s="1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F2977" i="4"/>
  <c r="G2977" i="4" s="1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F2891" i="4"/>
  <c r="G2891" i="4" s="1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F2843" i="4"/>
  <c r="G2843" i="4" s="1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F2757" i="4"/>
  <c r="G2757" i="4" s="1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F2730" i="4"/>
  <c r="G2730" i="4" s="1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F2619" i="4"/>
  <c r="G2619" i="4" s="1"/>
  <c r="G2618" i="4"/>
  <c r="F2617" i="4"/>
  <c r="G2617" i="4" s="1"/>
  <c r="G2616" i="4"/>
  <c r="G2615" i="4"/>
  <c r="G2614" i="4"/>
  <c r="F2614" i="4"/>
  <c r="G2613" i="4"/>
  <c r="G2612" i="4"/>
  <c r="G2611" i="4"/>
  <c r="G2610" i="4"/>
  <c r="F2609" i="4"/>
  <c r="G2609" i="4" s="1"/>
  <c r="G2608" i="4"/>
  <c r="G2607" i="4"/>
  <c r="G2606" i="4"/>
  <c r="G2605" i="4"/>
  <c r="G2604" i="4"/>
  <c r="G2603" i="4"/>
  <c r="G2602" i="4"/>
  <c r="G2601" i="4"/>
  <c r="G2600" i="4"/>
  <c r="F2599" i="4"/>
  <c r="G2599" i="4" s="1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F2559" i="4"/>
  <c r="G2559" i="4" s="1"/>
  <c r="G2558" i="4"/>
  <c r="G2557" i="4"/>
  <c r="F2556" i="4"/>
  <c r="G2556" i="4" s="1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F2453" i="4"/>
  <c r="G2452" i="4"/>
  <c r="G2451" i="4"/>
  <c r="G2450" i="4"/>
  <c r="G2449" i="4"/>
  <c r="F2448" i="4"/>
  <c r="G2448" i="4" s="1"/>
  <c r="G2447" i="4"/>
  <c r="F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F2422" i="4"/>
  <c r="G2422" i="4" s="1"/>
  <c r="G2421" i="4"/>
  <c r="G2420" i="4"/>
  <c r="F2419" i="4"/>
  <c r="G2419" i="4" s="1"/>
  <c r="G2418" i="4"/>
  <c r="F2417" i="4"/>
  <c r="G2417" i="4" s="1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F2286" i="4"/>
  <c r="G2286" i="4" s="1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F2208" i="4"/>
  <c r="G2208" i="4" s="1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F2060" i="4"/>
  <c r="G2060" i="4" s="1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F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F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F1851" i="4"/>
  <c r="G1851" i="4" s="1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F1825" i="4"/>
  <c r="G1825" i="4" s="1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F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F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F1615" i="4"/>
  <c r="G1615" i="4" s="1"/>
  <c r="G1614" i="4"/>
  <c r="G1613" i="4"/>
  <c r="G1612" i="4"/>
  <c r="G1611" i="4"/>
  <c r="G1610" i="4"/>
  <c r="G1609" i="4"/>
  <c r="G1608" i="4"/>
  <c r="F1607" i="4"/>
  <c r="G1607" i="4" s="1"/>
  <c r="G1606" i="4"/>
  <c r="G1605" i="4"/>
  <c r="G1604" i="4"/>
  <c r="G1603" i="4"/>
  <c r="F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F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F1494" i="4"/>
  <c r="G1494" i="4" s="1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F1448" i="4"/>
  <c r="G1448" i="4" s="1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F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F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F1331" i="4"/>
  <c r="G1331" i="4" s="1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F1259" i="4"/>
  <c r="G1259" i="4" s="1"/>
  <c r="G1258" i="4"/>
  <c r="G1257" i="4"/>
  <c r="G1256" i="4"/>
  <c r="G1255" i="4"/>
  <c r="G1254" i="4"/>
  <c r="G1253" i="4"/>
  <c r="G1252" i="4"/>
  <c r="G1251" i="4"/>
  <c r="F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F1167" i="4"/>
  <c r="G1167" i="4" s="1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F1078" i="4"/>
  <c r="G1078" i="4" s="1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F1007" i="4"/>
  <c r="G1007" i="4" s="1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F960" i="4"/>
  <c r="G960" i="4" s="1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F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F927" i="4"/>
  <c r="G927" i="4" s="1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F825" i="4"/>
  <c r="G825" i="4" s="1"/>
  <c r="G824" i="4"/>
  <c r="G823" i="4"/>
  <c r="G822" i="4"/>
  <c r="G821" i="4"/>
  <c r="G820" i="4"/>
  <c r="G819" i="4"/>
  <c r="G818" i="4"/>
  <c r="G817" i="4"/>
  <c r="G816" i="4"/>
  <c r="G815" i="4"/>
  <c r="G814" i="4"/>
  <c r="G813" i="4"/>
  <c r="F812" i="4"/>
  <c r="G812" i="4" s="1"/>
  <c r="G811" i="4"/>
  <c r="G810" i="4"/>
  <c r="G809" i="4"/>
  <c r="G808" i="4"/>
  <c r="G807" i="4"/>
  <c r="G806" i="4"/>
  <c r="F805" i="4"/>
  <c r="G805" i="4" s="1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F664" i="4"/>
  <c r="G664" i="4" s="1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7" i="4"/>
  <c r="G586" i="4"/>
  <c r="G585" i="4"/>
  <c r="G584" i="4"/>
  <c r="G583" i="4"/>
  <c r="G582" i="4"/>
  <c r="F582" i="4"/>
  <c r="G581" i="4"/>
  <c r="G580" i="4"/>
  <c r="G579" i="4"/>
  <c r="G578" i="4"/>
  <c r="G577" i="4"/>
  <c r="G576" i="4"/>
  <c r="G575" i="4"/>
  <c r="G574" i="4"/>
  <c r="G573" i="4"/>
  <c r="G572" i="4"/>
  <c r="G571" i="4"/>
  <c r="G570" i="4"/>
  <c r="G569" i="4"/>
  <c r="G568" i="4"/>
  <c r="G567" i="4"/>
  <c r="G566" i="4"/>
  <c r="G565" i="4"/>
  <c r="G564" i="4"/>
  <c r="G563" i="4"/>
  <c r="G562" i="4"/>
  <c r="G561" i="4"/>
  <c r="G560" i="4"/>
  <c r="G559" i="4"/>
  <c r="G558" i="4"/>
  <c r="G557" i="4"/>
  <c r="G556" i="4"/>
  <c r="G555" i="4"/>
  <c r="G554" i="4"/>
  <c r="G553" i="4"/>
  <c r="G552" i="4"/>
  <c r="G551" i="4"/>
  <c r="G550" i="4"/>
  <c r="G549" i="4"/>
  <c r="G548" i="4"/>
  <c r="G547" i="4"/>
  <c r="G546" i="4"/>
  <c r="F545" i="4"/>
  <c r="G545" i="4" s="1"/>
  <c r="G544" i="4"/>
  <c r="F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F442" i="4"/>
  <c r="G442" i="4" s="1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F319" i="4"/>
  <c r="G319" i="4" s="1"/>
  <c r="G318" i="4"/>
  <c r="G317" i="4"/>
  <c r="G316" i="4"/>
  <c r="G315" i="4"/>
  <c r="G314" i="4"/>
  <c r="G313" i="4"/>
  <c r="G312" i="4"/>
  <c r="G311" i="4"/>
  <c r="G310" i="4"/>
  <c r="G309" i="4"/>
  <c r="G308" i="4"/>
  <c r="G307" i="4"/>
  <c r="F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F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F267" i="4"/>
  <c r="G267" i="4" s="1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F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F169" i="4"/>
  <c r="G169" i="4" s="1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F143" i="4"/>
  <c r="G142" i="4"/>
  <c r="G141" i="4"/>
  <c r="G140" i="4"/>
  <c r="G139" i="4"/>
  <c r="G138" i="4"/>
  <c r="G137" i="4"/>
  <c r="G136" i="4"/>
  <c r="G135" i="4"/>
  <c r="F134" i="4"/>
  <c r="G134" i="4" s="1"/>
  <c r="G133" i="4"/>
  <c r="F132" i="4"/>
  <c r="G132" i="4" s="1"/>
  <c r="G131" i="4"/>
  <c r="F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F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F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F5" i="4"/>
  <c r="F3374" i="4" s="1"/>
  <c r="E3381" i="4" s="1"/>
  <c r="G4" i="4"/>
  <c r="G3" i="4"/>
  <c r="G2" i="4"/>
  <c r="G3374" i="4" l="1"/>
  <c r="Q1118" i="2" l="1"/>
  <c r="F2718" i="3" l="1"/>
  <c r="F912" i="3"/>
  <c r="F3280" i="3" l="1"/>
  <c r="F2348" i="3" l="1"/>
  <c r="F3327" i="3" l="1"/>
  <c r="F3326" i="3"/>
  <c r="F3214" i="3" l="1"/>
  <c r="F1874" i="3" l="1"/>
  <c r="F1265" i="3"/>
  <c r="D3446" i="3" l="1"/>
  <c r="G3444" i="3"/>
  <c r="G3443" i="3"/>
  <c r="G3442" i="3"/>
  <c r="G3441" i="3"/>
  <c r="G3440" i="3"/>
  <c r="G3439" i="3"/>
  <c r="G3438" i="3"/>
  <c r="G3437" i="3"/>
  <c r="G3436" i="3"/>
  <c r="G3435" i="3"/>
  <c r="G3434" i="3"/>
  <c r="G3433" i="3"/>
  <c r="G3432" i="3"/>
  <c r="G3431" i="3"/>
  <c r="G3430" i="3"/>
  <c r="G3429" i="3"/>
  <c r="G3428" i="3"/>
  <c r="G3427" i="3"/>
  <c r="G3426" i="3"/>
  <c r="G3425" i="3"/>
  <c r="G3424" i="3"/>
  <c r="G3423" i="3"/>
  <c r="G3422" i="3"/>
  <c r="G3421" i="3"/>
  <c r="G3420" i="3"/>
  <c r="G3419" i="3"/>
  <c r="G3418" i="3"/>
  <c r="G3417" i="3"/>
  <c r="G3416" i="3"/>
  <c r="G3415" i="3"/>
  <c r="G3414" i="3"/>
  <c r="G3413" i="3"/>
  <c r="G3412" i="3"/>
  <c r="G3411" i="3"/>
  <c r="G3410" i="3"/>
  <c r="G3409" i="3"/>
  <c r="G3408" i="3"/>
  <c r="G3407" i="3"/>
  <c r="G3406" i="3"/>
  <c r="G3405" i="3"/>
  <c r="G3404" i="3"/>
  <c r="G3403" i="3"/>
  <c r="G3402" i="3"/>
  <c r="G3401" i="3"/>
  <c r="G3400" i="3"/>
  <c r="G3399" i="3"/>
  <c r="G3398" i="3"/>
  <c r="G3397" i="3"/>
  <c r="G3396" i="3"/>
  <c r="G3395" i="3"/>
  <c r="G3394" i="3"/>
  <c r="G3393" i="3"/>
  <c r="G3392" i="3"/>
  <c r="G3391" i="3"/>
  <c r="G3390" i="3"/>
  <c r="G3389" i="3"/>
  <c r="G3388" i="3"/>
  <c r="G3387" i="3"/>
  <c r="G3386" i="3"/>
  <c r="G3385" i="3"/>
  <c r="G3384" i="3"/>
  <c r="G3383" i="3"/>
  <c r="G3382" i="3"/>
  <c r="G3381" i="3"/>
  <c r="G3380" i="3"/>
  <c r="G3379" i="3"/>
  <c r="G3378" i="3"/>
  <c r="G3377" i="3"/>
  <c r="G3376" i="3"/>
  <c r="G3375" i="3"/>
  <c r="G3374" i="3"/>
  <c r="G3373" i="3"/>
  <c r="G3372" i="3"/>
  <c r="G3371" i="3"/>
  <c r="G3370" i="3"/>
  <c r="G3369" i="3"/>
  <c r="G3368" i="3"/>
  <c r="G3367" i="3"/>
  <c r="G3366" i="3"/>
  <c r="G3365" i="3"/>
  <c r="G3364" i="3"/>
  <c r="G3363" i="3"/>
  <c r="G3362" i="3"/>
  <c r="G3361" i="3"/>
  <c r="G3360" i="3"/>
  <c r="G3359" i="3"/>
  <c r="G3358" i="3"/>
  <c r="G3357" i="3"/>
  <c r="G3356" i="3"/>
  <c r="G3355" i="3"/>
  <c r="G3354" i="3"/>
  <c r="G3353" i="3"/>
  <c r="G3352" i="3"/>
  <c r="G3351" i="3"/>
  <c r="G3350" i="3"/>
  <c r="G3349" i="3"/>
  <c r="G3348" i="3"/>
  <c r="G3347" i="3"/>
  <c r="G3346" i="3"/>
  <c r="G3345" i="3"/>
  <c r="G3344" i="3"/>
  <c r="G3343" i="3"/>
  <c r="G3342" i="3"/>
  <c r="G3341" i="3"/>
  <c r="G3340" i="3"/>
  <c r="G3339" i="3"/>
  <c r="G3338" i="3"/>
  <c r="G3337" i="3"/>
  <c r="G3336" i="3"/>
  <c r="G3335" i="3"/>
  <c r="G3334" i="3"/>
  <c r="G3333" i="3"/>
  <c r="G3332" i="3"/>
  <c r="G3331" i="3"/>
  <c r="G3330" i="3"/>
  <c r="G3329" i="3"/>
  <c r="G3328" i="3"/>
  <c r="G3327" i="3"/>
  <c r="G3326" i="3"/>
  <c r="G3325" i="3"/>
  <c r="G3324" i="3"/>
  <c r="G3323" i="3"/>
  <c r="G3322" i="3"/>
  <c r="G3321" i="3"/>
  <c r="G3320" i="3"/>
  <c r="G3319" i="3"/>
  <c r="G3318" i="3"/>
  <c r="G3317" i="3"/>
  <c r="G3316" i="3"/>
  <c r="G3315" i="3"/>
  <c r="G3314" i="3"/>
  <c r="G3313" i="3"/>
  <c r="G3312" i="3"/>
  <c r="G3311" i="3"/>
  <c r="G3310" i="3"/>
  <c r="G3309" i="3"/>
  <c r="G3308" i="3"/>
  <c r="G3307" i="3"/>
  <c r="G3306" i="3"/>
  <c r="G3305" i="3"/>
  <c r="G3304" i="3"/>
  <c r="G3303" i="3"/>
  <c r="G3302" i="3"/>
  <c r="G3301" i="3"/>
  <c r="G3300" i="3"/>
  <c r="G3299" i="3"/>
  <c r="G3298" i="3"/>
  <c r="G3297" i="3"/>
  <c r="G3296" i="3"/>
  <c r="G3295" i="3"/>
  <c r="G3294" i="3"/>
  <c r="G3293" i="3"/>
  <c r="G3292" i="3"/>
  <c r="G3291" i="3"/>
  <c r="G3290" i="3"/>
  <c r="G3289" i="3"/>
  <c r="G3288" i="3"/>
  <c r="G3287" i="3"/>
  <c r="G3286" i="3"/>
  <c r="G3285" i="3"/>
  <c r="G3284" i="3"/>
  <c r="G3283" i="3"/>
  <c r="G3282" i="3"/>
  <c r="G3281" i="3"/>
  <c r="G3280" i="3"/>
  <c r="G3279" i="3"/>
  <c r="G3278" i="3"/>
  <c r="G3277" i="3"/>
  <c r="G3276" i="3"/>
  <c r="G3275" i="3"/>
  <c r="G3274" i="3"/>
  <c r="G3273" i="3"/>
  <c r="G3272" i="3"/>
  <c r="G3271" i="3"/>
  <c r="G3270" i="3"/>
  <c r="G3269" i="3"/>
  <c r="G3268" i="3"/>
  <c r="G3267" i="3"/>
  <c r="G3266" i="3"/>
  <c r="G3265" i="3"/>
  <c r="G3264" i="3"/>
  <c r="G3263" i="3"/>
  <c r="G3262" i="3"/>
  <c r="G3261" i="3"/>
  <c r="G3260" i="3"/>
  <c r="G3259" i="3"/>
  <c r="G3258" i="3"/>
  <c r="G3257" i="3"/>
  <c r="G3256" i="3"/>
  <c r="G3255" i="3"/>
  <c r="G3254" i="3"/>
  <c r="G3253" i="3"/>
  <c r="G3252" i="3"/>
  <c r="G3251" i="3"/>
  <c r="G3250" i="3"/>
  <c r="G3249" i="3"/>
  <c r="G3248" i="3"/>
  <c r="G3247" i="3"/>
  <c r="G3246" i="3"/>
  <c r="G3245" i="3"/>
  <c r="G3244" i="3"/>
  <c r="G3243" i="3"/>
  <c r="G3242" i="3"/>
  <c r="G3241" i="3"/>
  <c r="G3240" i="3"/>
  <c r="G3239" i="3"/>
  <c r="G3238" i="3"/>
  <c r="G3237" i="3"/>
  <c r="G3236" i="3"/>
  <c r="G3235" i="3"/>
  <c r="G3234" i="3"/>
  <c r="G3233" i="3"/>
  <c r="G3232" i="3"/>
  <c r="G3231" i="3"/>
  <c r="G3230" i="3"/>
  <c r="G3229" i="3"/>
  <c r="G3228" i="3"/>
  <c r="G3227" i="3"/>
  <c r="G3226" i="3"/>
  <c r="G3225" i="3"/>
  <c r="G3224" i="3"/>
  <c r="G3223" i="3"/>
  <c r="G3222" i="3"/>
  <c r="G3221" i="3"/>
  <c r="G3220" i="3"/>
  <c r="G3219" i="3"/>
  <c r="G3218" i="3"/>
  <c r="G3217" i="3"/>
  <c r="G3216" i="3"/>
  <c r="G3215" i="3"/>
  <c r="G3214" i="3"/>
  <c r="G3213" i="3"/>
  <c r="G3212" i="3"/>
  <c r="G3211" i="3"/>
  <c r="G3210" i="3"/>
  <c r="G3209" i="3"/>
  <c r="G3208" i="3"/>
  <c r="G3207" i="3"/>
  <c r="G3206" i="3"/>
  <c r="G3205" i="3"/>
  <c r="G3204" i="3"/>
  <c r="G3203" i="3"/>
  <c r="G3202" i="3"/>
  <c r="G3201" i="3"/>
  <c r="G3200" i="3"/>
  <c r="G3199" i="3"/>
  <c r="G3198" i="3"/>
  <c r="G3197" i="3"/>
  <c r="G3196" i="3"/>
  <c r="G3195" i="3"/>
  <c r="G3194" i="3"/>
  <c r="G3193" i="3"/>
  <c r="G3192" i="3"/>
  <c r="G3191" i="3"/>
  <c r="G3190" i="3"/>
  <c r="G3189" i="3"/>
  <c r="G3188" i="3"/>
  <c r="G3187" i="3"/>
  <c r="G3186" i="3"/>
  <c r="G3185" i="3"/>
  <c r="G3184" i="3"/>
  <c r="G3183" i="3"/>
  <c r="G3182" i="3"/>
  <c r="G3181" i="3"/>
  <c r="G3180" i="3"/>
  <c r="G3179" i="3"/>
  <c r="G3178" i="3"/>
  <c r="G3177" i="3"/>
  <c r="G3176" i="3"/>
  <c r="G3175" i="3"/>
  <c r="G3174" i="3"/>
  <c r="G3173" i="3"/>
  <c r="G3172" i="3"/>
  <c r="G3171" i="3"/>
  <c r="G3170" i="3"/>
  <c r="G3169" i="3"/>
  <c r="G3168" i="3"/>
  <c r="G3167" i="3"/>
  <c r="G3166" i="3"/>
  <c r="G3165" i="3"/>
  <c r="G3164" i="3"/>
  <c r="G3163" i="3"/>
  <c r="G3162" i="3"/>
  <c r="G3161" i="3"/>
  <c r="G3160" i="3"/>
  <c r="G3159" i="3"/>
  <c r="G3158" i="3"/>
  <c r="G3157" i="3"/>
  <c r="G3156" i="3"/>
  <c r="G3155" i="3"/>
  <c r="G3154" i="3"/>
  <c r="G3153" i="3"/>
  <c r="G3152" i="3"/>
  <c r="G3151" i="3"/>
  <c r="G3150" i="3"/>
  <c r="G3149" i="3"/>
  <c r="G3148" i="3"/>
  <c r="G3147" i="3"/>
  <c r="G3146" i="3"/>
  <c r="G3145" i="3"/>
  <c r="G3144" i="3"/>
  <c r="G3143" i="3"/>
  <c r="G3142" i="3"/>
  <c r="G3141" i="3"/>
  <c r="G3140" i="3"/>
  <c r="G3139" i="3"/>
  <c r="G3138" i="3"/>
  <c r="G3137" i="3"/>
  <c r="G3136" i="3"/>
  <c r="G3135" i="3"/>
  <c r="G3134" i="3"/>
  <c r="G3133" i="3"/>
  <c r="G3132" i="3"/>
  <c r="G3131" i="3"/>
  <c r="G3130" i="3"/>
  <c r="G3129" i="3"/>
  <c r="G3128" i="3"/>
  <c r="G3127" i="3"/>
  <c r="G3126" i="3"/>
  <c r="G3125" i="3"/>
  <c r="G3124" i="3"/>
  <c r="G3123" i="3"/>
  <c r="G3122" i="3"/>
  <c r="G3121" i="3"/>
  <c r="G3120" i="3"/>
  <c r="G3119" i="3"/>
  <c r="G3118" i="3"/>
  <c r="G3117" i="3"/>
  <c r="G3116" i="3"/>
  <c r="G3115" i="3"/>
  <c r="G3114" i="3"/>
  <c r="G3113" i="3"/>
  <c r="G3112" i="3"/>
  <c r="G3111" i="3"/>
  <c r="G3110" i="3"/>
  <c r="G3109" i="3"/>
  <c r="G3108" i="3"/>
  <c r="G3107" i="3"/>
  <c r="G3106" i="3"/>
  <c r="G3105" i="3"/>
  <c r="G3104" i="3"/>
  <c r="G3103" i="3"/>
  <c r="G3102" i="3"/>
  <c r="G3101" i="3"/>
  <c r="G3100" i="3"/>
  <c r="G3099" i="3"/>
  <c r="G3098" i="3"/>
  <c r="G3097" i="3"/>
  <c r="G3096" i="3"/>
  <c r="G3095" i="3"/>
  <c r="G3094" i="3"/>
  <c r="G3093" i="3"/>
  <c r="G3092" i="3"/>
  <c r="G3091" i="3"/>
  <c r="G3090" i="3"/>
  <c r="G3089" i="3"/>
  <c r="G3088" i="3"/>
  <c r="G3087" i="3"/>
  <c r="G3086" i="3"/>
  <c r="G3085" i="3"/>
  <c r="G3084" i="3"/>
  <c r="G3083" i="3"/>
  <c r="G3082" i="3"/>
  <c r="G3081" i="3"/>
  <c r="G3080" i="3"/>
  <c r="G3079" i="3"/>
  <c r="G3078" i="3"/>
  <c r="G3077" i="3"/>
  <c r="G3076" i="3"/>
  <c r="G3075" i="3"/>
  <c r="G3074" i="3"/>
  <c r="G3073" i="3"/>
  <c r="G3072" i="3"/>
  <c r="G3071" i="3"/>
  <c r="G3070" i="3"/>
  <c r="G3069" i="3"/>
  <c r="G3068" i="3"/>
  <c r="G3067" i="3"/>
  <c r="G3066" i="3"/>
  <c r="G3065" i="3"/>
  <c r="G3064" i="3"/>
  <c r="G3063" i="3"/>
  <c r="G3062" i="3"/>
  <c r="G3061" i="3"/>
  <c r="G3060" i="3"/>
  <c r="G3059" i="3"/>
  <c r="G3058" i="3"/>
  <c r="G3057" i="3"/>
  <c r="G3056" i="3"/>
  <c r="G3055" i="3"/>
  <c r="G3054" i="3"/>
  <c r="G3053" i="3"/>
  <c r="G3052" i="3"/>
  <c r="G3051" i="3"/>
  <c r="G3050" i="3"/>
  <c r="G3049" i="3"/>
  <c r="G3048" i="3"/>
  <c r="G3047" i="3"/>
  <c r="G3046" i="3"/>
  <c r="G3045" i="3"/>
  <c r="G3044" i="3"/>
  <c r="G3043" i="3"/>
  <c r="G3042" i="3"/>
  <c r="G3041" i="3"/>
  <c r="G3040" i="3"/>
  <c r="G3039" i="3"/>
  <c r="G3038" i="3"/>
  <c r="G3037" i="3"/>
  <c r="G3036" i="3"/>
  <c r="G3035" i="3"/>
  <c r="G3034" i="3"/>
  <c r="G3033" i="3"/>
  <c r="G3032" i="3"/>
  <c r="G3031" i="3"/>
  <c r="G3030" i="3"/>
  <c r="G3029" i="3"/>
  <c r="G3028" i="3"/>
  <c r="G3027" i="3"/>
  <c r="G3026" i="3"/>
  <c r="G3025" i="3"/>
  <c r="G3024" i="3"/>
  <c r="G3023" i="3"/>
  <c r="G3022" i="3"/>
  <c r="G3021" i="3"/>
  <c r="G3020" i="3"/>
  <c r="G3019" i="3"/>
  <c r="G3018" i="3"/>
  <c r="G3017" i="3"/>
  <c r="G3016" i="3"/>
  <c r="G3015" i="3"/>
  <c r="G3014" i="3"/>
  <c r="G3013" i="3"/>
  <c r="G3012" i="3"/>
  <c r="G3011" i="3"/>
  <c r="G3010" i="3"/>
  <c r="G3009" i="3"/>
  <c r="G3008" i="3"/>
  <c r="G3007" i="3"/>
  <c r="G3006" i="3"/>
  <c r="G3005" i="3"/>
  <c r="G3004" i="3"/>
  <c r="G3003" i="3"/>
  <c r="G3002" i="3"/>
  <c r="G3001" i="3"/>
  <c r="G3000" i="3"/>
  <c r="G2999" i="3"/>
  <c r="G2998" i="3"/>
  <c r="G2997" i="3"/>
  <c r="F2997" i="3"/>
  <c r="G2996" i="3"/>
  <c r="G2995" i="3"/>
  <c r="G2994" i="3"/>
  <c r="G2993" i="3"/>
  <c r="G2992" i="3"/>
  <c r="G2991" i="3"/>
  <c r="G2990" i="3"/>
  <c r="G2989" i="3"/>
  <c r="G2988" i="3"/>
  <c r="G2987" i="3"/>
  <c r="G2986" i="3"/>
  <c r="G2985" i="3"/>
  <c r="G2984" i="3"/>
  <c r="G2983" i="3"/>
  <c r="G2982" i="3"/>
  <c r="G2981" i="3"/>
  <c r="G2980" i="3"/>
  <c r="G2979" i="3"/>
  <c r="G2978" i="3"/>
  <c r="G2977" i="3"/>
  <c r="G2976" i="3"/>
  <c r="G2975" i="3"/>
  <c r="G2974" i="3"/>
  <c r="G2973" i="3"/>
  <c r="G2972" i="3"/>
  <c r="G2971" i="3"/>
  <c r="G2970" i="3"/>
  <c r="G2969" i="3"/>
  <c r="F2968" i="3"/>
  <c r="G2968" i="3" s="1"/>
  <c r="G2967" i="3"/>
  <c r="G2966" i="3"/>
  <c r="G2965" i="3"/>
  <c r="G2964" i="3"/>
  <c r="G2963" i="3"/>
  <c r="G2962" i="3"/>
  <c r="G2961" i="3"/>
  <c r="G2960" i="3"/>
  <c r="G2959" i="3"/>
  <c r="G2958" i="3"/>
  <c r="G2957" i="3"/>
  <c r="G2956" i="3"/>
  <c r="G2955" i="3"/>
  <c r="G2954" i="3"/>
  <c r="G2953" i="3"/>
  <c r="G2952" i="3"/>
  <c r="G2951" i="3"/>
  <c r="G2950" i="3"/>
  <c r="G2949" i="3"/>
  <c r="G2948" i="3"/>
  <c r="G2947" i="3"/>
  <c r="G2946" i="3"/>
  <c r="G2945" i="3"/>
  <c r="G2944" i="3"/>
  <c r="G2943" i="3"/>
  <c r="G2942" i="3"/>
  <c r="G2941" i="3"/>
  <c r="G2940" i="3"/>
  <c r="G2939" i="3"/>
  <c r="G2938" i="3"/>
  <c r="G2937" i="3"/>
  <c r="G2936" i="3"/>
  <c r="G2935" i="3"/>
  <c r="G2934" i="3"/>
  <c r="G2933" i="3"/>
  <c r="G2932" i="3"/>
  <c r="G2931" i="3"/>
  <c r="G2930" i="3"/>
  <c r="G2929" i="3"/>
  <c r="G2928" i="3"/>
  <c r="G2927" i="3"/>
  <c r="G2926" i="3"/>
  <c r="G2925" i="3"/>
  <c r="G2924" i="3"/>
  <c r="G2923" i="3"/>
  <c r="G2922" i="3"/>
  <c r="F2921" i="3"/>
  <c r="G2921" i="3" s="1"/>
  <c r="G2920" i="3"/>
  <c r="G2919" i="3"/>
  <c r="G2918" i="3"/>
  <c r="G2917" i="3"/>
  <c r="G2916" i="3"/>
  <c r="G2915" i="3"/>
  <c r="G2914" i="3"/>
  <c r="G2913" i="3"/>
  <c r="G2912" i="3"/>
  <c r="G2911" i="3"/>
  <c r="G2910" i="3"/>
  <c r="G2909" i="3"/>
  <c r="G2908" i="3"/>
  <c r="G2907" i="3"/>
  <c r="G2906" i="3"/>
  <c r="G2905" i="3"/>
  <c r="G2904" i="3"/>
  <c r="G2903" i="3"/>
  <c r="G2902" i="3"/>
  <c r="G2901" i="3"/>
  <c r="G2900" i="3"/>
  <c r="G2899" i="3"/>
  <c r="G2898" i="3"/>
  <c r="G2897" i="3"/>
  <c r="G2896" i="3"/>
  <c r="G2895" i="3"/>
  <c r="G2894" i="3"/>
  <c r="G2893" i="3"/>
  <c r="G2892" i="3"/>
  <c r="G2891" i="3"/>
  <c r="G2890" i="3"/>
  <c r="G2889" i="3"/>
  <c r="G2888" i="3"/>
  <c r="G2887" i="3"/>
  <c r="G2886" i="3"/>
  <c r="G2885" i="3"/>
  <c r="G2884" i="3"/>
  <c r="G2883" i="3"/>
  <c r="G2882" i="3"/>
  <c r="G2881" i="3"/>
  <c r="G2880" i="3"/>
  <c r="G2879" i="3"/>
  <c r="G2878" i="3"/>
  <c r="G2877" i="3"/>
  <c r="G2876" i="3"/>
  <c r="G2875" i="3"/>
  <c r="G2874" i="3"/>
  <c r="G2873" i="3"/>
  <c r="G2872" i="3"/>
  <c r="G2871" i="3"/>
  <c r="G2870" i="3"/>
  <c r="G2869" i="3"/>
  <c r="G2868" i="3"/>
  <c r="G2867" i="3"/>
  <c r="G2866" i="3"/>
  <c r="G2865" i="3"/>
  <c r="G2864" i="3"/>
  <c r="G2863" i="3"/>
  <c r="G2862" i="3"/>
  <c r="G2861" i="3"/>
  <c r="G2860" i="3"/>
  <c r="G2859" i="3"/>
  <c r="G2858" i="3"/>
  <c r="G2857" i="3"/>
  <c r="G2856" i="3"/>
  <c r="G2855" i="3"/>
  <c r="G2854" i="3"/>
  <c r="G2853" i="3"/>
  <c r="G2852" i="3"/>
  <c r="G2851" i="3"/>
  <c r="G2850" i="3"/>
  <c r="G2849" i="3"/>
  <c r="G2848" i="3"/>
  <c r="G2847" i="3"/>
  <c r="G2846" i="3"/>
  <c r="G2845" i="3"/>
  <c r="G2844" i="3"/>
  <c r="G2843" i="3"/>
  <c r="G2842" i="3"/>
  <c r="G2841" i="3"/>
  <c r="G2840" i="3"/>
  <c r="G2839" i="3"/>
  <c r="G2838" i="3"/>
  <c r="G2837" i="3"/>
  <c r="G2836" i="3"/>
  <c r="G2835" i="3"/>
  <c r="G2834" i="3"/>
  <c r="G2833" i="3"/>
  <c r="G2832" i="3"/>
  <c r="G2831" i="3"/>
  <c r="G2830" i="3"/>
  <c r="G2829" i="3"/>
  <c r="G2828" i="3"/>
  <c r="G2827" i="3"/>
  <c r="G2826" i="3"/>
  <c r="G2825" i="3"/>
  <c r="G2824" i="3"/>
  <c r="G2823" i="3"/>
  <c r="G2822" i="3"/>
  <c r="G2821" i="3"/>
  <c r="G2820" i="3"/>
  <c r="G2819" i="3"/>
  <c r="G2818" i="3"/>
  <c r="G2817" i="3"/>
  <c r="G2816" i="3"/>
  <c r="G2815" i="3"/>
  <c r="G2814" i="3"/>
  <c r="G2813" i="3"/>
  <c r="G2812" i="3"/>
  <c r="G2811" i="3"/>
  <c r="G2810" i="3"/>
  <c r="G2809" i="3"/>
  <c r="G2808" i="3"/>
  <c r="G2807" i="3"/>
  <c r="G2806" i="3"/>
  <c r="G2805" i="3"/>
  <c r="G2804" i="3"/>
  <c r="G2803" i="3"/>
  <c r="G2802" i="3"/>
  <c r="G2801" i="3"/>
  <c r="G2800" i="3"/>
  <c r="G2799" i="3"/>
  <c r="G2798" i="3"/>
  <c r="G2797" i="3"/>
  <c r="G2796" i="3"/>
  <c r="G2795" i="3"/>
  <c r="G2794" i="3"/>
  <c r="G2793" i="3"/>
  <c r="G2792" i="3"/>
  <c r="G2791" i="3"/>
  <c r="G2790" i="3"/>
  <c r="G2789" i="3"/>
  <c r="G2788" i="3"/>
  <c r="G2787" i="3"/>
  <c r="G2786" i="3"/>
  <c r="G2785" i="3"/>
  <c r="G2784" i="3"/>
  <c r="G2783" i="3"/>
  <c r="F2782" i="3"/>
  <c r="G2782" i="3" s="1"/>
  <c r="G2781" i="3"/>
  <c r="G2780" i="3"/>
  <c r="G2779" i="3"/>
  <c r="G2778" i="3"/>
  <c r="G2777" i="3"/>
  <c r="F2777" i="3"/>
  <c r="G2776" i="3"/>
  <c r="G2775" i="3"/>
  <c r="G2774" i="3"/>
  <c r="F2774" i="3"/>
  <c r="G2773" i="3"/>
  <c r="G2772" i="3"/>
  <c r="G2771" i="3"/>
  <c r="G2770" i="3"/>
  <c r="G2769" i="3"/>
  <c r="G2768" i="3"/>
  <c r="G2767" i="3"/>
  <c r="G2766" i="3"/>
  <c r="G2765" i="3"/>
  <c r="G2764" i="3"/>
  <c r="G2763" i="3"/>
  <c r="G2762" i="3"/>
  <c r="G2761" i="3"/>
  <c r="G2760" i="3"/>
  <c r="G2759" i="3"/>
  <c r="G2758" i="3"/>
  <c r="G2757" i="3"/>
  <c r="G2756" i="3"/>
  <c r="G2755" i="3"/>
  <c r="G2754" i="3"/>
  <c r="G2753" i="3"/>
  <c r="G2752" i="3"/>
  <c r="G2751" i="3"/>
  <c r="G2750" i="3"/>
  <c r="G2749" i="3"/>
  <c r="G2748" i="3"/>
  <c r="G2747" i="3"/>
  <c r="G2746" i="3"/>
  <c r="G2745" i="3"/>
  <c r="G2744" i="3"/>
  <c r="G2743" i="3"/>
  <c r="G2742" i="3"/>
  <c r="G2741" i="3"/>
  <c r="G2740" i="3"/>
  <c r="G2739" i="3"/>
  <c r="G2738" i="3"/>
  <c r="G2737" i="3"/>
  <c r="G2736" i="3"/>
  <c r="G2735" i="3"/>
  <c r="G2734" i="3"/>
  <c r="G2733" i="3"/>
  <c r="G2732" i="3"/>
  <c r="G2731" i="3"/>
  <c r="G2730" i="3"/>
  <c r="G2729" i="3"/>
  <c r="G2728" i="3"/>
  <c r="G2727" i="3"/>
  <c r="G2726" i="3"/>
  <c r="G2725" i="3"/>
  <c r="G2724" i="3"/>
  <c r="G2723" i="3"/>
  <c r="G2722" i="3"/>
  <c r="G2721" i="3"/>
  <c r="G2720" i="3"/>
  <c r="G2719" i="3"/>
  <c r="G2718" i="3"/>
  <c r="G2717" i="3"/>
  <c r="G2716" i="3"/>
  <c r="G2715" i="3"/>
  <c r="G2714" i="3"/>
  <c r="G2713" i="3"/>
  <c r="G2712" i="3"/>
  <c r="G2711" i="3"/>
  <c r="G2710" i="3"/>
  <c r="G2709" i="3"/>
  <c r="G2708" i="3"/>
  <c r="G2707" i="3"/>
  <c r="G2706" i="3"/>
  <c r="G2705" i="3"/>
  <c r="G2704" i="3"/>
  <c r="G2703" i="3"/>
  <c r="G2702" i="3"/>
  <c r="G2701" i="3"/>
  <c r="G2700" i="3"/>
  <c r="G2699" i="3"/>
  <c r="G2698" i="3"/>
  <c r="G2697" i="3"/>
  <c r="G2696" i="3"/>
  <c r="G2695" i="3"/>
  <c r="G2694" i="3"/>
  <c r="G2693" i="3"/>
  <c r="G2692" i="3"/>
  <c r="G2691" i="3"/>
  <c r="G2690" i="3"/>
  <c r="G2689" i="3"/>
  <c r="G2688" i="3"/>
  <c r="G2687" i="3"/>
  <c r="G2686" i="3"/>
  <c r="G2685" i="3"/>
  <c r="G2684" i="3"/>
  <c r="G2683" i="3"/>
  <c r="G2682" i="3"/>
  <c r="G2681" i="3"/>
  <c r="G2680" i="3"/>
  <c r="G2679" i="3"/>
  <c r="G2678" i="3"/>
  <c r="G2677" i="3"/>
  <c r="G2676" i="3"/>
  <c r="G2675" i="3"/>
  <c r="G2674" i="3"/>
  <c r="G2673" i="3"/>
  <c r="G2672" i="3"/>
  <c r="G2671" i="3"/>
  <c r="G2670" i="3"/>
  <c r="G2669" i="3"/>
  <c r="G2668" i="3"/>
  <c r="G2667" i="3"/>
  <c r="F2666" i="3"/>
  <c r="G2666" i="3" s="1"/>
  <c r="G2665" i="3"/>
  <c r="G2664" i="3"/>
  <c r="G2663" i="3"/>
  <c r="G2662" i="3"/>
  <c r="G2661" i="3"/>
  <c r="G2660" i="3"/>
  <c r="G2659" i="3"/>
  <c r="G2658" i="3"/>
  <c r="G2657" i="3"/>
  <c r="G2656" i="3"/>
  <c r="F2655" i="3"/>
  <c r="G2655" i="3" s="1"/>
  <c r="G2654" i="3"/>
  <c r="G2653" i="3"/>
  <c r="G2652" i="3"/>
  <c r="G2651" i="3"/>
  <c r="G2650" i="3"/>
  <c r="G2649" i="3"/>
  <c r="G2648" i="3"/>
  <c r="F2647" i="3"/>
  <c r="G2647" i="3" s="1"/>
  <c r="G2646" i="3"/>
  <c r="G2645" i="3"/>
  <c r="G2644" i="3"/>
  <c r="G2643" i="3"/>
  <c r="G2642" i="3"/>
  <c r="G2641" i="3"/>
  <c r="G2640" i="3"/>
  <c r="G2639" i="3"/>
  <c r="G2638" i="3"/>
  <c r="G2637" i="3"/>
  <c r="G2636" i="3"/>
  <c r="G2635" i="3"/>
  <c r="G2634" i="3"/>
  <c r="G2633" i="3"/>
  <c r="G2632" i="3"/>
  <c r="G2631" i="3"/>
  <c r="G2630" i="3"/>
  <c r="G2629" i="3"/>
  <c r="G2628" i="3"/>
  <c r="G2627" i="3"/>
  <c r="G2626" i="3"/>
  <c r="G2625" i="3"/>
  <c r="G2624" i="3"/>
  <c r="G2623" i="3"/>
  <c r="G2622" i="3"/>
  <c r="G2621" i="3"/>
  <c r="G2620" i="3"/>
  <c r="G2619" i="3"/>
  <c r="G2618" i="3"/>
  <c r="G2617" i="3"/>
  <c r="G2616" i="3"/>
  <c r="G2615" i="3"/>
  <c r="G2614" i="3"/>
  <c r="G2613" i="3"/>
  <c r="G2612" i="3"/>
  <c r="G2611" i="3"/>
  <c r="G2610" i="3"/>
  <c r="G2609" i="3"/>
  <c r="G2608" i="3"/>
  <c r="G2607" i="3"/>
  <c r="G2606" i="3"/>
  <c r="G2605" i="3"/>
  <c r="G2604" i="3"/>
  <c r="G2603" i="3"/>
  <c r="G2602" i="3"/>
  <c r="G2601" i="3"/>
  <c r="F2600" i="3"/>
  <c r="G2600" i="3" s="1"/>
  <c r="G2599" i="3"/>
  <c r="G2598" i="3"/>
  <c r="G2597" i="3"/>
  <c r="G2596" i="3"/>
  <c r="G2595" i="3"/>
  <c r="G2594" i="3"/>
  <c r="G2593" i="3"/>
  <c r="G2592" i="3"/>
  <c r="G2591" i="3"/>
  <c r="G2590" i="3"/>
  <c r="G2589" i="3"/>
  <c r="G2588" i="3"/>
  <c r="G2587" i="3"/>
  <c r="G2586" i="3"/>
  <c r="G2585" i="3"/>
  <c r="G2584" i="3"/>
  <c r="G2583" i="3"/>
  <c r="G2582" i="3"/>
  <c r="G2581" i="3"/>
  <c r="G2580" i="3"/>
  <c r="G2579" i="3"/>
  <c r="G2578" i="3"/>
  <c r="G2577" i="3"/>
  <c r="G2576" i="3"/>
  <c r="G2575" i="3"/>
  <c r="G2574" i="3"/>
  <c r="G2573" i="3"/>
  <c r="G2572" i="3"/>
  <c r="G2571" i="3"/>
  <c r="G2570" i="3"/>
  <c r="G2569" i="3"/>
  <c r="G2568" i="3"/>
  <c r="G2567" i="3"/>
  <c r="G2566" i="3"/>
  <c r="G2565" i="3"/>
  <c r="G2564" i="3"/>
  <c r="G2563" i="3"/>
  <c r="G2562" i="3"/>
  <c r="G2561" i="3"/>
  <c r="G2560" i="3"/>
  <c r="G2559" i="3"/>
  <c r="G2558" i="3"/>
  <c r="G2557" i="3"/>
  <c r="G2556" i="3"/>
  <c r="G2555" i="3"/>
  <c r="G2554" i="3"/>
  <c r="G2553" i="3"/>
  <c r="G2552" i="3"/>
  <c r="G2551" i="3"/>
  <c r="G2550" i="3"/>
  <c r="G2549" i="3"/>
  <c r="G2548" i="3"/>
  <c r="G2547" i="3"/>
  <c r="G2546" i="3"/>
  <c r="G2545" i="3"/>
  <c r="G2544" i="3"/>
  <c r="G2543" i="3"/>
  <c r="G2542" i="3"/>
  <c r="G2541" i="3"/>
  <c r="G2540" i="3"/>
  <c r="G2539" i="3"/>
  <c r="G2538" i="3"/>
  <c r="G2537" i="3"/>
  <c r="G2536" i="3"/>
  <c r="G2535" i="3"/>
  <c r="G2534" i="3"/>
  <c r="G2533" i="3"/>
  <c r="G2532" i="3"/>
  <c r="F2532" i="3"/>
  <c r="G2531" i="3"/>
  <c r="G2530" i="3"/>
  <c r="G2529" i="3"/>
  <c r="G2528" i="3"/>
  <c r="G2527" i="3"/>
  <c r="G2526" i="3"/>
  <c r="G2525" i="3"/>
  <c r="G2524" i="3"/>
  <c r="G2523" i="3"/>
  <c r="G2522" i="3"/>
  <c r="G2521" i="3"/>
  <c r="G2520" i="3"/>
  <c r="G2519" i="3"/>
  <c r="G2518" i="3"/>
  <c r="G2517" i="3"/>
  <c r="G2516" i="3"/>
  <c r="G2515" i="3"/>
  <c r="G2514" i="3"/>
  <c r="G2513" i="3"/>
  <c r="G2512" i="3"/>
  <c r="G2511" i="3"/>
  <c r="G2510" i="3"/>
  <c r="G2509" i="3"/>
  <c r="G2508" i="3"/>
  <c r="G2507" i="3"/>
  <c r="G2506" i="3"/>
  <c r="G2505" i="3"/>
  <c r="G2504" i="3"/>
  <c r="G2503" i="3"/>
  <c r="G2502" i="3"/>
  <c r="G2501" i="3"/>
  <c r="G2500" i="3"/>
  <c r="G2499" i="3"/>
  <c r="G2498" i="3"/>
  <c r="G2497" i="3"/>
  <c r="G2496" i="3"/>
  <c r="G2495" i="3"/>
  <c r="G2494" i="3"/>
  <c r="G2493" i="3"/>
  <c r="G2492" i="3"/>
  <c r="G2491" i="3"/>
  <c r="G2490" i="3"/>
  <c r="G2489" i="3"/>
  <c r="G2488" i="3"/>
  <c r="G2487" i="3"/>
  <c r="G2486" i="3"/>
  <c r="G2485" i="3"/>
  <c r="G2484" i="3"/>
  <c r="G2483" i="3"/>
  <c r="G2482" i="3"/>
  <c r="G2481" i="3"/>
  <c r="G2480" i="3"/>
  <c r="G2479" i="3"/>
  <c r="G2478" i="3"/>
  <c r="G2477" i="3"/>
  <c r="G2476" i="3"/>
  <c r="G2475" i="3"/>
  <c r="G2474" i="3"/>
  <c r="G2473" i="3"/>
  <c r="G2472" i="3"/>
  <c r="G2471" i="3"/>
  <c r="G2470" i="3"/>
  <c r="G2469" i="3"/>
  <c r="G2468" i="3"/>
  <c r="G2467" i="3"/>
  <c r="G2466" i="3"/>
  <c r="G2465" i="3"/>
  <c r="G2464" i="3"/>
  <c r="G2463" i="3"/>
  <c r="G2462" i="3"/>
  <c r="G2461" i="3"/>
  <c r="G2460" i="3"/>
  <c r="G2459" i="3"/>
  <c r="G2458" i="3"/>
  <c r="G2457" i="3"/>
  <c r="G2456" i="3"/>
  <c r="G2455" i="3"/>
  <c r="G2454" i="3"/>
  <c r="G2453" i="3"/>
  <c r="G2452" i="3"/>
  <c r="G2451" i="3"/>
  <c r="G2450" i="3"/>
  <c r="G2449" i="3"/>
  <c r="G2448" i="3"/>
  <c r="G2447" i="3"/>
  <c r="G2446" i="3"/>
  <c r="G2445" i="3"/>
  <c r="G2444" i="3"/>
  <c r="G2443" i="3"/>
  <c r="G2442" i="3"/>
  <c r="G2441" i="3"/>
  <c r="G2440" i="3"/>
  <c r="G2439" i="3"/>
  <c r="G2438" i="3"/>
  <c r="G2437" i="3"/>
  <c r="G2436" i="3"/>
  <c r="G2435" i="3"/>
  <c r="G2434" i="3"/>
  <c r="G2433" i="3"/>
  <c r="G2432" i="3"/>
  <c r="G2431" i="3"/>
  <c r="G2430" i="3"/>
  <c r="G2429" i="3"/>
  <c r="G2428" i="3"/>
  <c r="G2427" i="3"/>
  <c r="G2426" i="3"/>
  <c r="G2425" i="3"/>
  <c r="G2424" i="3"/>
  <c r="G2423" i="3"/>
  <c r="G2422" i="3"/>
  <c r="G2421" i="3"/>
  <c r="G2420" i="3"/>
  <c r="G2419" i="3"/>
  <c r="G2418" i="3"/>
  <c r="G2417" i="3"/>
  <c r="G2416" i="3"/>
  <c r="G2415" i="3"/>
  <c r="G2414" i="3"/>
  <c r="G2413" i="3"/>
  <c r="G2412" i="3"/>
  <c r="G2411" i="3"/>
  <c r="G2410" i="3"/>
  <c r="G2409" i="3"/>
  <c r="F2409" i="3"/>
  <c r="G2408" i="3"/>
  <c r="G2407" i="3"/>
  <c r="G2406" i="3"/>
  <c r="G2405" i="3"/>
  <c r="G2404" i="3"/>
  <c r="G2403" i="3"/>
  <c r="G2402" i="3"/>
  <c r="G2401" i="3"/>
  <c r="G2400" i="3"/>
  <c r="G2399" i="3"/>
  <c r="G2398" i="3"/>
  <c r="G2397" i="3"/>
  <c r="G2396" i="3"/>
  <c r="G2395" i="3"/>
  <c r="G2394" i="3"/>
  <c r="G2393" i="3"/>
  <c r="G2392" i="3"/>
  <c r="G2391" i="3"/>
  <c r="G2390" i="3"/>
  <c r="G2389" i="3"/>
  <c r="G2388" i="3"/>
  <c r="G2387" i="3"/>
  <c r="G2386" i="3"/>
  <c r="G2385" i="3"/>
  <c r="G2384" i="3"/>
  <c r="G2383" i="3"/>
  <c r="G2382" i="3"/>
  <c r="G2381" i="3"/>
  <c r="G2380" i="3"/>
  <c r="G2379" i="3"/>
  <c r="G2378" i="3"/>
  <c r="G2377" i="3"/>
  <c r="G2376" i="3"/>
  <c r="G2375" i="3"/>
  <c r="G2374" i="3"/>
  <c r="G2373" i="3"/>
  <c r="G2372" i="3"/>
  <c r="G2371" i="3"/>
  <c r="G2370" i="3"/>
  <c r="G2369" i="3"/>
  <c r="G2368" i="3"/>
  <c r="G2367" i="3"/>
  <c r="G2366" i="3"/>
  <c r="G2365" i="3"/>
  <c r="G2364" i="3"/>
  <c r="G2363" i="3"/>
  <c r="G2362" i="3"/>
  <c r="G2361" i="3"/>
  <c r="G2360" i="3"/>
  <c r="G2359" i="3"/>
  <c r="G2358" i="3"/>
  <c r="G2357" i="3"/>
  <c r="G2356" i="3"/>
  <c r="G2355" i="3"/>
  <c r="G2354" i="3"/>
  <c r="G2353" i="3"/>
  <c r="G2352" i="3"/>
  <c r="G2351" i="3"/>
  <c r="G2350" i="3"/>
  <c r="G2349" i="3"/>
  <c r="G2348" i="3"/>
  <c r="G2347" i="3"/>
  <c r="G2346" i="3"/>
  <c r="G2345" i="3"/>
  <c r="G2344" i="3"/>
  <c r="G2343" i="3"/>
  <c r="G2342" i="3"/>
  <c r="G2341" i="3"/>
  <c r="G2340" i="3"/>
  <c r="G2339" i="3"/>
  <c r="G2338" i="3"/>
  <c r="G2337" i="3"/>
  <c r="G2336" i="3"/>
  <c r="G2335" i="3"/>
  <c r="G2334" i="3"/>
  <c r="G2333" i="3"/>
  <c r="G2332" i="3"/>
  <c r="G2331" i="3"/>
  <c r="G2330" i="3"/>
  <c r="G2329" i="3"/>
  <c r="G2328" i="3"/>
  <c r="G2327" i="3"/>
  <c r="G2326" i="3"/>
  <c r="G2325" i="3"/>
  <c r="G2324" i="3"/>
  <c r="G2323" i="3"/>
  <c r="G2322" i="3"/>
  <c r="G2321" i="3"/>
  <c r="G2320" i="3"/>
  <c r="F2319" i="3"/>
  <c r="G2319" i="3" s="1"/>
  <c r="G2318" i="3"/>
  <c r="G2317" i="3"/>
  <c r="G2316" i="3"/>
  <c r="G2315" i="3"/>
  <c r="G2314" i="3"/>
  <c r="G2313" i="3"/>
  <c r="G2312" i="3"/>
  <c r="G2311" i="3"/>
  <c r="G2310" i="3"/>
  <c r="G2309" i="3"/>
  <c r="G2308" i="3"/>
  <c r="G2307" i="3"/>
  <c r="G2306" i="3"/>
  <c r="G2305" i="3"/>
  <c r="G2304" i="3"/>
  <c r="G2303" i="3"/>
  <c r="G2302" i="3"/>
  <c r="G2301" i="3"/>
  <c r="G2300" i="3"/>
  <c r="G2299" i="3"/>
  <c r="G2298" i="3"/>
  <c r="G2297" i="3"/>
  <c r="G2296" i="3"/>
  <c r="G2295" i="3"/>
  <c r="G2294" i="3"/>
  <c r="G2293" i="3"/>
  <c r="G2292" i="3"/>
  <c r="G2291" i="3"/>
  <c r="G2290" i="3"/>
  <c r="G2289" i="3"/>
  <c r="G2288" i="3"/>
  <c r="G2287" i="3"/>
  <c r="G2286" i="3"/>
  <c r="G2285" i="3"/>
  <c r="G2284" i="3"/>
  <c r="G2283" i="3"/>
  <c r="G2282" i="3"/>
  <c r="G2281" i="3"/>
  <c r="G2280" i="3"/>
  <c r="G2279" i="3"/>
  <c r="G2278" i="3"/>
  <c r="G2277" i="3"/>
  <c r="G2276" i="3"/>
  <c r="G2275" i="3"/>
  <c r="G2274" i="3"/>
  <c r="G2273" i="3"/>
  <c r="G2272" i="3"/>
  <c r="G2271" i="3"/>
  <c r="G2270" i="3"/>
  <c r="G2269" i="3"/>
  <c r="G2268" i="3"/>
  <c r="G2267" i="3"/>
  <c r="G2266" i="3"/>
  <c r="G2265" i="3"/>
  <c r="G2264" i="3"/>
  <c r="G2263" i="3"/>
  <c r="G2262" i="3"/>
  <c r="G2261" i="3"/>
  <c r="G2260" i="3"/>
  <c r="G2259" i="3"/>
  <c r="G2258" i="3"/>
  <c r="G2257" i="3"/>
  <c r="G2256" i="3"/>
  <c r="G2255" i="3"/>
  <c r="G2254" i="3"/>
  <c r="G2253" i="3"/>
  <c r="G2252" i="3"/>
  <c r="G2251" i="3"/>
  <c r="G2250" i="3"/>
  <c r="G2249" i="3"/>
  <c r="G2248" i="3"/>
  <c r="G2247" i="3"/>
  <c r="G2246" i="3"/>
  <c r="G2245" i="3"/>
  <c r="G2244" i="3"/>
  <c r="G2243" i="3"/>
  <c r="G2242" i="3"/>
  <c r="G2241" i="3"/>
  <c r="G2240" i="3"/>
  <c r="G2239" i="3"/>
  <c r="G2238" i="3"/>
  <c r="G2237" i="3"/>
  <c r="G2236" i="3"/>
  <c r="G2235" i="3"/>
  <c r="G2234" i="3"/>
  <c r="G2233" i="3"/>
  <c r="G2232" i="3"/>
  <c r="G2231" i="3"/>
  <c r="G2230" i="3"/>
  <c r="G2229" i="3"/>
  <c r="G2228" i="3"/>
  <c r="G2227" i="3"/>
  <c r="G2226" i="3"/>
  <c r="G2225" i="3"/>
  <c r="G2224" i="3"/>
  <c r="G2223" i="3"/>
  <c r="G2222" i="3"/>
  <c r="G2221" i="3"/>
  <c r="G2220" i="3"/>
  <c r="G2219" i="3"/>
  <c r="G2218" i="3"/>
  <c r="G2217" i="3"/>
  <c r="G2216" i="3"/>
  <c r="G2215" i="3"/>
  <c r="G2214" i="3"/>
  <c r="G2213" i="3"/>
  <c r="F2212" i="3"/>
  <c r="G2212" i="3" s="1"/>
  <c r="G2211" i="3"/>
  <c r="G2210" i="3"/>
  <c r="G2209" i="3"/>
  <c r="G2208" i="3"/>
  <c r="G2207" i="3"/>
  <c r="G2206" i="3"/>
  <c r="G2205" i="3"/>
  <c r="G2204" i="3"/>
  <c r="G2203" i="3"/>
  <c r="G2202" i="3"/>
  <c r="G2201" i="3"/>
  <c r="G2200" i="3"/>
  <c r="G2199" i="3"/>
  <c r="G2198" i="3"/>
  <c r="G2197" i="3"/>
  <c r="G2196" i="3"/>
  <c r="G2195" i="3"/>
  <c r="G2194" i="3"/>
  <c r="G2193" i="3"/>
  <c r="G2192" i="3"/>
  <c r="G2191" i="3"/>
  <c r="G2190" i="3"/>
  <c r="G2189" i="3"/>
  <c r="G2188" i="3"/>
  <c r="F2188" i="3"/>
  <c r="G2187" i="3"/>
  <c r="G2186" i="3"/>
  <c r="G2185" i="3"/>
  <c r="G2184" i="3"/>
  <c r="G2183" i="3"/>
  <c r="G2182" i="3"/>
  <c r="G2181" i="3"/>
  <c r="G2180" i="3"/>
  <c r="G2179" i="3"/>
  <c r="G2178" i="3"/>
  <c r="G2177" i="3"/>
  <c r="G2176" i="3"/>
  <c r="G2175" i="3"/>
  <c r="G2174" i="3"/>
  <c r="G2173" i="3"/>
  <c r="G2172" i="3"/>
  <c r="G2171" i="3"/>
  <c r="G2170" i="3"/>
  <c r="G2169" i="3"/>
  <c r="G2168" i="3"/>
  <c r="G2167" i="3"/>
  <c r="G2166" i="3"/>
  <c r="G2165" i="3"/>
  <c r="G2164" i="3"/>
  <c r="G2163" i="3"/>
  <c r="G2162" i="3"/>
  <c r="G2161" i="3"/>
  <c r="G2160" i="3"/>
  <c r="G2159" i="3"/>
  <c r="G2158" i="3"/>
  <c r="G2157" i="3"/>
  <c r="G2156" i="3"/>
  <c r="G2155" i="3"/>
  <c r="G2154" i="3"/>
  <c r="G2153" i="3"/>
  <c r="G2152" i="3"/>
  <c r="G2151" i="3"/>
  <c r="F2150" i="3"/>
  <c r="G2150" i="3" s="1"/>
  <c r="G2149" i="3"/>
  <c r="F2148" i="3"/>
  <c r="G2148" i="3" s="1"/>
  <c r="G2147" i="3"/>
  <c r="G2146" i="3"/>
  <c r="G2145" i="3"/>
  <c r="G2144" i="3"/>
  <c r="G2143" i="3"/>
  <c r="G2142" i="3"/>
  <c r="G2141" i="3"/>
  <c r="G2140" i="3"/>
  <c r="G2139" i="3"/>
  <c r="F2138" i="3"/>
  <c r="G2138" i="3" s="1"/>
  <c r="G2137" i="3"/>
  <c r="G2136" i="3"/>
  <c r="G2135" i="3"/>
  <c r="G2134" i="3"/>
  <c r="G2133" i="3"/>
  <c r="G2132" i="3"/>
  <c r="G2131" i="3"/>
  <c r="G2130" i="3"/>
  <c r="G2129" i="3"/>
  <c r="G2128" i="3"/>
  <c r="G2127" i="3"/>
  <c r="G2126" i="3"/>
  <c r="G2125" i="3"/>
  <c r="G2124" i="3"/>
  <c r="G2123" i="3"/>
  <c r="G2122" i="3"/>
  <c r="G2121" i="3"/>
  <c r="G2120" i="3"/>
  <c r="G2119" i="3"/>
  <c r="G2118" i="3"/>
  <c r="G2117" i="3"/>
  <c r="G2116" i="3"/>
  <c r="G2115" i="3"/>
  <c r="G2114" i="3"/>
  <c r="G2113" i="3"/>
  <c r="G2112" i="3"/>
  <c r="G2111" i="3"/>
  <c r="G2110" i="3"/>
  <c r="G2109" i="3"/>
  <c r="G2108" i="3"/>
  <c r="G2107" i="3"/>
  <c r="G2106" i="3"/>
  <c r="G2105" i="3"/>
  <c r="G2104" i="3"/>
  <c r="G2103" i="3"/>
  <c r="G2102" i="3"/>
  <c r="G2101" i="3"/>
  <c r="G2100" i="3"/>
  <c r="G2099" i="3"/>
  <c r="G2098" i="3"/>
  <c r="G2097" i="3"/>
  <c r="G2096" i="3"/>
  <c r="G2095" i="3"/>
  <c r="G2094" i="3"/>
  <c r="G2093" i="3"/>
  <c r="G2092" i="3"/>
  <c r="G2091" i="3"/>
  <c r="F2090" i="3"/>
  <c r="G2090" i="3" s="1"/>
  <c r="G2089" i="3"/>
  <c r="G2088" i="3"/>
  <c r="G2087" i="3"/>
  <c r="G2086" i="3"/>
  <c r="G2085" i="3"/>
  <c r="G2084" i="3"/>
  <c r="G2083" i="3"/>
  <c r="G2082" i="3"/>
  <c r="G2081" i="3"/>
  <c r="G2080" i="3"/>
  <c r="G2079" i="3"/>
  <c r="G2078" i="3"/>
  <c r="G2077" i="3"/>
  <c r="G2076" i="3"/>
  <c r="G2075" i="3"/>
  <c r="G2074" i="3"/>
  <c r="G2073" i="3"/>
  <c r="G2072" i="3"/>
  <c r="G2071" i="3"/>
  <c r="G2070" i="3"/>
  <c r="G2069" i="3"/>
  <c r="G2068" i="3"/>
  <c r="G2067" i="3"/>
  <c r="G2066" i="3"/>
  <c r="G2065" i="3"/>
  <c r="G2064" i="3"/>
  <c r="G2063" i="3"/>
  <c r="G2062" i="3"/>
  <c r="G2061" i="3"/>
  <c r="G2060" i="3"/>
  <c r="G2059" i="3"/>
  <c r="G2058" i="3"/>
  <c r="G2057" i="3"/>
  <c r="G2056" i="3"/>
  <c r="G2055" i="3"/>
  <c r="G2054" i="3"/>
  <c r="G2053" i="3"/>
  <c r="G2052" i="3"/>
  <c r="G2051" i="3"/>
  <c r="G2050" i="3"/>
  <c r="G2049" i="3"/>
  <c r="G2048" i="3"/>
  <c r="G2047" i="3"/>
  <c r="G2046" i="3"/>
  <c r="G2045" i="3"/>
  <c r="G2044" i="3"/>
  <c r="G2043" i="3"/>
  <c r="G2042" i="3"/>
  <c r="G2041" i="3"/>
  <c r="G2040" i="3"/>
  <c r="G2039" i="3"/>
  <c r="G2038" i="3"/>
  <c r="G2037" i="3"/>
  <c r="G2036" i="3"/>
  <c r="G2035" i="3"/>
  <c r="G2034" i="3"/>
  <c r="G2033" i="3"/>
  <c r="G2032" i="3"/>
  <c r="G2031" i="3"/>
  <c r="G2030" i="3"/>
  <c r="G2029" i="3"/>
  <c r="F2029" i="3"/>
  <c r="G2028" i="3"/>
  <c r="G2027" i="3"/>
  <c r="G2026" i="3"/>
  <c r="G2025" i="3"/>
  <c r="G2024" i="3"/>
  <c r="G2023" i="3"/>
  <c r="G2022" i="3"/>
  <c r="G2021" i="3"/>
  <c r="G2020" i="3"/>
  <c r="G2019" i="3"/>
  <c r="G2018" i="3"/>
  <c r="F2018" i="3"/>
  <c r="G2017" i="3"/>
  <c r="G2016" i="3"/>
  <c r="G2015" i="3"/>
  <c r="G2014" i="3"/>
  <c r="F2013" i="3"/>
  <c r="G2013" i="3" s="1"/>
  <c r="G2012" i="3"/>
  <c r="G2011" i="3"/>
  <c r="G2010" i="3"/>
  <c r="G2009" i="3"/>
  <c r="G2008" i="3"/>
  <c r="G2007" i="3"/>
  <c r="F2006" i="3"/>
  <c r="G2006" i="3" s="1"/>
  <c r="G2005" i="3"/>
  <c r="G2004" i="3"/>
  <c r="G2003" i="3"/>
  <c r="G2002" i="3"/>
  <c r="G2001" i="3"/>
  <c r="G2000" i="3"/>
  <c r="G1999" i="3"/>
  <c r="G1998" i="3"/>
  <c r="G1997" i="3"/>
  <c r="G1996" i="3"/>
  <c r="G1995" i="3"/>
  <c r="G1994" i="3"/>
  <c r="G1993" i="3"/>
  <c r="G1992" i="3"/>
  <c r="G1991" i="3"/>
  <c r="G1990" i="3"/>
  <c r="G1989" i="3"/>
  <c r="G1988" i="3"/>
  <c r="G1987" i="3"/>
  <c r="G1986" i="3"/>
  <c r="G1985" i="3"/>
  <c r="G1984" i="3"/>
  <c r="G1983" i="3"/>
  <c r="G1982" i="3"/>
  <c r="G1981" i="3"/>
  <c r="G1980" i="3"/>
  <c r="G1979" i="3"/>
  <c r="G1978" i="3"/>
  <c r="G1977" i="3"/>
  <c r="G1976" i="3"/>
  <c r="G1975" i="3"/>
  <c r="G1974" i="3"/>
  <c r="G1973" i="3"/>
  <c r="G1972" i="3"/>
  <c r="G1971" i="3"/>
  <c r="G1970" i="3"/>
  <c r="G1969" i="3"/>
  <c r="G1968" i="3"/>
  <c r="G1967" i="3"/>
  <c r="G1966" i="3"/>
  <c r="G1965" i="3"/>
  <c r="G1964" i="3"/>
  <c r="G1963" i="3"/>
  <c r="G1962" i="3"/>
  <c r="G1961" i="3"/>
  <c r="G1960" i="3"/>
  <c r="G1959" i="3"/>
  <c r="G1958" i="3"/>
  <c r="G1957" i="3"/>
  <c r="G1956" i="3"/>
  <c r="G1955" i="3"/>
  <c r="G1954" i="3"/>
  <c r="G1953" i="3"/>
  <c r="G1952" i="3"/>
  <c r="G1951" i="3"/>
  <c r="G1950" i="3"/>
  <c r="G1949" i="3"/>
  <c r="G1948" i="3"/>
  <c r="G1947" i="3"/>
  <c r="G1946" i="3"/>
  <c r="G1945" i="3"/>
  <c r="G1944" i="3"/>
  <c r="G1943" i="3"/>
  <c r="G1942" i="3"/>
  <c r="G1941" i="3"/>
  <c r="G1940" i="3"/>
  <c r="G1939" i="3"/>
  <c r="G1938" i="3"/>
  <c r="G1937" i="3"/>
  <c r="G1936" i="3"/>
  <c r="G1935" i="3"/>
  <c r="G1934" i="3"/>
  <c r="G1933" i="3"/>
  <c r="G1932" i="3"/>
  <c r="G1931" i="3"/>
  <c r="G1930" i="3"/>
  <c r="G1929" i="3"/>
  <c r="G1928" i="3"/>
  <c r="G1927" i="3"/>
  <c r="G1926" i="3"/>
  <c r="G1925" i="3"/>
  <c r="G1924" i="3"/>
  <c r="G1923" i="3"/>
  <c r="G1922" i="3"/>
  <c r="G1921" i="3"/>
  <c r="G1920" i="3"/>
  <c r="G1919" i="3"/>
  <c r="G1918" i="3"/>
  <c r="G1917" i="3"/>
  <c r="G1916" i="3"/>
  <c r="G1915" i="3"/>
  <c r="G1914" i="3"/>
  <c r="G1913" i="3"/>
  <c r="G1912" i="3"/>
  <c r="G1911" i="3"/>
  <c r="G1910" i="3"/>
  <c r="G1909" i="3"/>
  <c r="G1908" i="3"/>
  <c r="G1907" i="3"/>
  <c r="G1906" i="3"/>
  <c r="G1905" i="3"/>
  <c r="G1904" i="3"/>
  <c r="G1903" i="3"/>
  <c r="G1902" i="3"/>
  <c r="G1901" i="3"/>
  <c r="G1900" i="3"/>
  <c r="F1899" i="3"/>
  <c r="G1899" i="3" s="1"/>
  <c r="G1898" i="3"/>
  <c r="G1897" i="3"/>
  <c r="G1896" i="3"/>
  <c r="G1895" i="3"/>
  <c r="G1894" i="3"/>
  <c r="G1893" i="3"/>
  <c r="G1892" i="3"/>
  <c r="G1891" i="3"/>
  <c r="G1890" i="3"/>
  <c r="G1889" i="3"/>
  <c r="G1888" i="3"/>
  <c r="G1887" i="3"/>
  <c r="G1886" i="3"/>
  <c r="F1886" i="3"/>
  <c r="G1885" i="3"/>
  <c r="G1884" i="3"/>
  <c r="G1883" i="3"/>
  <c r="G1882" i="3"/>
  <c r="G1881" i="3"/>
  <c r="G1880" i="3"/>
  <c r="G1879" i="3"/>
  <c r="G1878" i="3"/>
  <c r="G1877" i="3"/>
  <c r="G1876" i="3"/>
  <c r="G1875" i="3"/>
  <c r="G1874" i="3"/>
  <c r="G1873" i="3"/>
  <c r="G1872" i="3"/>
  <c r="G1871" i="3"/>
  <c r="G1870" i="3"/>
  <c r="G1869" i="3"/>
  <c r="G1868" i="3"/>
  <c r="G1867" i="3"/>
  <c r="G1866" i="3"/>
  <c r="G1865" i="3"/>
  <c r="G1864" i="3"/>
  <c r="G1863" i="3"/>
  <c r="G1862" i="3"/>
  <c r="G1861" i="3"/>
  <c r="G1860" i="3"/>
  <c r="G1859" i="3"/>
  <c r="G1858" i="3"/>
  <c r="G1857" i="3"/>
  <c r="G1856" i="3"/>
  <c r="G1855" i="3"/>
  <c r="G1854" i="3"/>
  <c r="G1853" i="3"/>
  <c r="G1852" i="3"/>
  <c r="G1851" i="3"/>
  <c r="G1850" i="3"/>
  <c r="G1849" i="3"/>
  <c r="G1848" i="3"/>
  <c r="G1847" i="3"/>
  <c r="G1846" i="3"/>
  <c r="G1845" i="3"/>
  <c r="G1844" i="3"/>
  <c r="G1843" i="3"/>
  <c r="G1842" i="3"/>
  <c r="G1841" i="3"/>
  <c r="G1840" i="3"/>
  <c r="G1839" i="3"/>
  <c r="G1838" i="3"/>
  <c r="G1837" i="3"/>
  <c r="G1836" i="3"/>
  <c r="G1835" i="3"/>
  <c r="G1834" i="3"/>
  <c r="G1833" i="3"/>
  <c r="G1832" i="3"/>
  <c r="G1831" i="3"/>
  <c r="G1830" i="3"/>
  <c r="G1829" i="3"/>
  <c r="G1828" i="3"/>
  <c r="G1827" i="3"/>
  <c r="G1826" i="3"/>
  <c r="G1825" i="3"/>
  <c r="G1824" i="3"/>
  <c r="G1823" i="3"/>
  <c r="G1822" i="3"/>
  <c r="G1821" i="3"/>
  <c r="G1820" i="3"/>
  <c r="G1819" i="3"/>
  <c r="G1818" i="3"/>
  <c r="G1817" i="3"/>
  <c r="G1816" i="3"/>
  <c r="G1815" i="3"/>
  <c r="G1814" i="3"/>
  <c r="G1813" i="3"/>
  <c r="G1812" i="3"/>
  <c r="G1811" i="3"/>
  <c r="G1810" i="3"/>
  <c r="G1809" i="3"/>
  <c r="G1808" i="3"/>
  <c r="G1807" i="3"/>
  <c r="G1806" i="3"/>
  <c r="G1805" i="3"/>
  <c r="G1804" i="3"/>
  <c r="G1803" i="3"/>
  <c r="G1802" i="3"/>
  <c r="G1801" i="3"/>
  <c r="G1800" i="3"/>
  <c r="G1799" i="3"/>
  <c r="G1798" i="3"/>
  <c r="G1797" i="3"/>
  <c r="G1796" i="3"/>
  <c r="G1795" i="3"/>
  <c r="G1794" i="3"/>
  <c r="G1793" i="3"/>
  <c r="G1792" i="3"/>
  <c r="G1791" i="3"/>
  <c r="G1790" i="3"/>
  <c r="G1789" i="3"/>
  <c r="G1788" i="3"/>
  <c r="G1787" i="3"/>
  <c r="G1786" i="3"/>
  <c r="G1785" i="3"/>
  <c r="G1784" i="3"/>
  <c r="G1783" i="3"/>
  <c r="G1782" i="3"/>
  <c r="G1781" i="3"/>
  <c r="G1780" i="3"/>
  <c r="G1779" i="3"/>
  <c r="G1778" i="3"/>
  <c r="G1777" i="3"/>
  <c r="G1776" i="3"/>
  <c r="G1775" i="3"/>
  <c r="G1774" i="3"/>
  <c r="G1773" i="3"/>
  <c r="G1772" i="3"/>
  <c r="G1771" i="3"/>
  <c r="G1770" i="3"/>
  <c r="G1769" i="3"/>
  <c r="G1768" i="3"/>
  <c r="G1767" i="3"/>
  <c r="G1766" i="3"/>
  <c r="G1765" i="3"/>
  <c r="G1764" i="3"/>
  <c r="G1763" i="3"/>
  <c r="G1762" i="3"/>
  <c r="G1761" i="3"/>
  <c r="G1760" i="3"/>
  <c r="G1759" i="3"/>
  <c r="G1758" i="3"/>
  <c r="G1757" i="3"/>
  <c r="G1756" i="3"/>
  <c r="G1755" i="3"/>
  <c r="G1754" i="3"/>
  <c r="G1753" i="3"/>
  <c r="G1752" i="3"/>
  <c r="G1751" i="3"/>
  <c r="G1750" i="3"/>
  <c r="G1749" i="3"/>
  <c r="G1748" i="3"/>
  <c r="G1747" i="3"/>
  <c r="G1746" i="3"/>
  <c r="G1745" i="3"/>
  <c r="G1744" i="3"/>
  <c r="G1743" i="3"/>
  <c r="G1742" i="3"/>
  <c r="G1741" i="3"/>
  <c r="G1740" i="3"/>
  <c r="G1739" i="3"/>
  <c r="G1738" i="3"/>
  <c r="G1737" i="3"/>
  <c r="G1736" i="3"/>
  <c r="G1735" i="3"/>
  <c r="G1734" i="3"/>
  <c r="G1733" i="3"/>
  <c r="G1732" i="3"/>
  <c r="G1731" i="3"/>
  <c r="G1730" i="3"/>
  <c r="G1729" i="3"/>
  <c r="G1728" i="3"/>
  <c r="G1727" i="3"/>
  <c r="G1726" i="3"/>
  <c r="G1725" i="3"/>
  <c r="G1724" i="3"/>
  <c r="G1723" i="3"/>
  <c r="G1722" i="3"/>
  <c r="G1721" i="3"/>
  <c r="G1720" i="3"/>
  <c r="G1719" i="3"/>
  <c r="G1718" i="3"/>
  <c r="G1717" i="3"/>
  <c r="G1716" i="3"/>
  <c r="G1715" i="3"/>
  <c r="G1714" i="3"/>
  <c r="G1713" i="3"/>
  <c r="G1712" i="3"/>
  <c r="G1711" i="3"/>
  <c r="G1710" i="3"/>
  <c r="G1709" i="3"/>
  <c r="G1708" i="3"/>
  <c r="G1707" i="3"/>
  <c r="G1706" i="3"/>
  <c r="G1705" i="3"/>
  <c r="G1704" i="3"/>
  <c r="G1703" i="3"/>
  <c r="G1702" i="3"/>
  <c r="G1701" i="3"/>
  <c r="G1700" i="3"/>
  <c r="G1699" i="3"/>
  <c r="G1698" i="3"/>
  <c r="G1697" i="3"/>
  <c r="G1696" i="3"/>
  <c r="G1695" i="3"/>
  <c r="G1694" i="3"/>
  <c r="G1693" i="3"/>
  <c r="G1692" i="3"/>
  <c r="G1691" i="3"/>
  <c r="G1690" i="3"/>
  <c r="G1689" i="3"/>
  <c r="G1688" i="3"/>
  <c r="G1687" i="3"/>
  <c r="G1686" i="3"/>
  <c r="G1685" i="3"/>
  <c r="G1684" i="3"/>
  <c r="G1683" i="3"/>
  <c r="G1682" i="3"/>
  <c r="G1681" i="3"/>
  <c r="G1680" i="3"/>
  <c r="G1679" i="3"/>
  <c r="G1678" i="3"/>
  <c r="G1677" i="3"/>
  <c r="G1676" i="3"/>
  <c r="G1675" i="3"/>
  <c r="G1674" i="3"/>
  <c r="G1673" i="3"/>
  <c r="G1672" i="3"/>
  <c r="G1671" i="3"/>
  <c r="G1670" i="3"/>
  <c r="G1669" i="3"/>
  <c r="G1668" i="3"/>
  <c r="G1667" i="3"/>
  <c r="G1666" i="3"/>
  <c r="G1665" i="3"/>
  <c r="G1664" i="3"/>
  <c r="G1663" i="3"/>
  <c r="G1662" i="3"/>
  <c r="G1661" i="3"/>
  <c r="G1660" i="3"/>
  <c r="G1659" i="3"/>
  <c r="G1658" i="3"/>
  <c r="G1657" i="3"/>
  <c r="G1656" i="3"/>
  <c r="G1655" i="3"/>
  <c r="G1654" i="3"/>
  <c r="G1653" i="3"/>
  <c r="G1652" i="3"/>
  <c r="G1651" i="3"/>
  <c r="F1650" i="3"/>
  <c r="G1650" i="3" s="1"/>
  <c r="G1649" i="3"/>
  <c r="G1648" i="3"/>
  <c r="G1647" i="3"/>
  <c r="G1646" i="3"/>
  <c r="G1645" i="3"/>
  <c r="G1644" i="3"/>
  <c r="G1643" i="3"/>
  <c r="G1642" i="3"/>
  <c r="G1641" i="3"/>
  <c r="G1640" i="3"/>
  <c r="G1639" i="3"/>
  <c r="G1638" i="3"/>
  <c r="G1637" i="3"/>
  <c r="G1636" i="3"/>
  <c r="G1635" i="3"/>
  <c r="G1634" i="3"/>
  <c r="G1633" i="3"/>
  <c r="G1632" i="3"/>
  <c r="G1631" i="3"/>
  <c r="G1630" i="3"/>
  <c r="G1629" i="3"/>
  <c r="G1628" i="3"/>
  <c r="G1627" i="3"/>
  <c r="G1626" i="3"/>
  <c r="G1625" i="3"/>
  <c r="G1624" i="3"/>
  <c r="G1623" i="3"/>
  <c r="G1622" i="3"/>
  <c r="G1621" i="3"/>
  <c r="G1620" i="3"/>
  <c r="G1619" i="3"/>
  <c r="G1618" i="3"/>
  <c r="G1617" i="3"/>
  <c r="G1616" i="3"/>
  <c r="G1615" i="3"/>
  <c r="G1614" i="3"/>
  <c r="G1613" i="3"/>
  <c r="G1612" i="3"/>
  <c r="G1611" i="3"/>
  <c r="G1610" i="3"/>
  <c r="G1609" i="3"/>
  <c r="G1608" i="3"/>
  <c r="G1607" i="3"/>
  <c r="G1606" i="3"/>
  <c r="G1605" i="3"/>
  <c r="G1604" i="3"/>
  <c r="G1603" i="3"/>
  <c r="G1602" i="3"/>
  <c r="G1601" i="3"/>
  <c r="G1600" i="3"/>
  <c r="G1599" i="3"/>
  <c r="G1598" i="3"/>
  <c r="G1597" i="3"/>
  <c r="G1596" i="3"/>
  <c r="G1595" i="3"/>
  <c r="G1594" i="3"/>
  <c r="G1593" i="3"/>
  <c r="G1592" i="3"/>
  <c r="G1591" i="3"/>
  <c r="G1590" i="3"/>
  <c r="G1589" i="3"/>
  <c r="G1588" i="3"/>
  <c r="G1587" i="3"/>
  <c r="G1586" i="3"/>
  <c r="G1585" i="3"/>
  <c r="G1584" i="3"/>
  <c r="G1583" i="3"/>
  <c r="G1582" i="3"/>
  <c r="G1581" i="3"/>
  <c r="G1580" i="3"/>
  <c r="G1579" i="3"/>
  <c r="G1578" i="3"/>
  <c r="G1577" i="3"/>
  <c r="G1576" i="3"/>
  <c r="G1575" i="3"/>
  <c r="G1574" i="3"/>
  <c r="G1573" i="3"/>
  <c r="G1572" i="3"/>
  <c r="G1571" i="3"/>
  <c r="G1570" i="3"/>
  <c r="G1569" i="3"/>
  <c r="G1568" i="3"/>
  <c r="G1567" i="3"/>
  <c r="G1566" i="3"/>
  <c r="G1565" i="3"/>
  <c r="G1564" i="3"/>
  <c r="G1563" i="3"/>
  <c r="G1562" i="3"/>
  <c r="G1561" i="3"/>
  <c r="G1560" i="3"/>
  <c r="G1559" i="3"/>
  <c r="G1558" i="3"/>
  <c r="G1557" i="3"/>
  <c r="G1556" i="3"/>
  <c r="G1555" i="3"/>
  <c r="G1554" i="3"/>
  <c r="G1553" i="3"/>
  <c r="G1552" i="3"/>
  <c r="G1551" i="3"/>
  <c r="G1550" i="3"/>
  <c r="G1549" i="3"/>
  <c r="G1548" i="3"/>
  <c r="G1547" i="3"/>
  <c r="G1546" i="3"/>
  <c r="G1545" i="3"/>
  <c r="G1544" i="3"/>
  <c r="G1543" i="3"/>
  <c r="G1542" i="3"/>
  <c r="G1541" i="3"/>
  <c r="G1540" i="3"/>
  <c r="G1539" i="3"/>
  <c r="G1538" i="3"/>
  <c r="G1537" i="3"/>
  <c r="G1536" i="3"/>
  <c r="G1535" i="3"/>
  <c r="G1534" i="3"/>
  <c r="G1533" i="3"/>
  <c r="G1532" i="3"/>
  <c r="G1531" i="3"/>
  <c r="G1530" i="3"/>
  <c r="G1529" i="3"/>
  <c r="G1528" i="3"/>
  <c r="G1527" i="3"/>
  <c r="G1526" i="3"/>
  <c r="G1525" i="3"/>
  <c r="G1524" i="3"/>
  <c r="G1523" i="3"/>
  <c r="G1522" i="3"/>
  <c r="G1521" i="3"/>
  <c r="G1520" i="3"/>
  <c r="G1519" i="3"/>
  <c r="G1518" i="3"/>
  <c r="G1517" i="3"/>
  <c r="G1516" i="3"/>
  <c r="G1515" i="3"/>
  <c r="G1514" i="3"/>
  <c r="G1513" i="3"/>
  <c r="G1512" i="3"/>
  <c r="G1511" i="3"/>
  <c r="G1510" i="3"/>
  <c r="G1509" i="3"/>
  <c r="G1508" i="3"/>
  <c r="G1507" i="3"/>
  <c r="G1506" i="3"/>
  <c r="G1505" i="3"/>
  <c r="G1504" i="3"/>
  <c r="G1503" i="3"/>
  <c r="G1502" i="3"/>
  <c r="G1501" i="3"/>
  <c r="G1500" i="3"/>
  <c r="G1499" i="3"/>
  <c r="G1498" i="3"/>
  <c r="G1497" i="3"/>
  <c r="G1496" i="3"/>
  <c r="G1495" i="3"/>
  <c r="G1494" i="3"/>
  <c r="G1493" i="3"/>
  <c r="G1492" i="3"/>
  <c r="G1491" i="3"/>
  <c r="G1490" i="3"/>
  <c r="G1489" i="3"/>
  <c r="F1489" i="3"/>
  <c r="G1488" i="3"/>
  <c r="G1487" i="3"/>
  <c r="G1486" i="3"/>
  <c r="G1485" i="3"/>
  <c r="G1484" i="3"/>
  <c r="G1483" i="3"/>
  <c r="G1482" i="3"/>
  <c r="G1481" i="3"/>
  <c r="G1480" i="3"/>
  <c r="G1479" i="3"/>
  <c r="G1478" i="3"/>
  <c r="G1477" i="3"/>
  <c r="G1476" i="3"/>
  <c r="G1475" i="3"/>
  <c r="G1474" i="3"/>
  <c r="G1473" i="3"/>
  <c r="G1472" i="3"/>
  <c r="G1471" i="3"/>
  <c r="G1470" i="3"/>
  <c r="G1469" i="3"/>
  <c r="G1468" i="3"/>
  <c r="G1467" i="3"/>
  <c r="G1466" i="3"/>
  <c r="G1465" i="3"/>
  <c r="G1464" i="3"/>
  <c r="G1463" i="3"/>
  <c r="G1462" i="3"/>
  <c r="G1461" i="3"/>
  <c r="G1460" i="3"/>
  <c r="G1459" i="3"/>
  <c r="G1458" i="3"/>
  <c r="G1457" i="3"/>
  <c r="G1456" i="3"/>
  <c r="G1455" i="3"/>
  <c r="G1454" i="3"/>
  <c r="G1453" i="3"/>
  <c r="G1452" i="3"/>
  <c r="G1451" i="3"/>
  <c r="G1450" i="3"/>
  <c r="G1449" i="3"/>
  <c r="G1448" i="3"/>
  <c r="G1447" i="3"/>
  <c r="G1446" i="3"/>
  <c r="G1445" i="3"/>
  <c r="G1444" i="3"/>
  <c r="G1443" i="3"/>
  <c r="G1442" i="3"/>
  <c r="G1441" i="3"/>
  <c r="G1440" i="3"/>
  <c r="G1439" i="3"/>
  <c r="G1438" i="3"/>
  <c r="G1437" i="3"/>
  <c r="G1436" i="3"/>
  <c r="G1435" i="3"/>
  <c r="G1434" i="3"/>
  <c r="G1433" i="3"/>
  <c r="G1432" i="3"/>
  <c r="G1431" i="3"/>
  <c r="G1430" i="3"/>
  <c r="F1430" i="3"/>
  <c r="G1429" i="3"/>
  <c r="G1428" i="3"/>
  <c r="G1427" i="3"/>
  <c r="G1426" i="3"/>
  <c r="G1425" i="3"/>
  <c r="G1424" i="3"/>
  <c r="G1423" i="3"/>
  <c r="G1422" i="3"/>
  <c r="G1421" i="3"/>
  <c r="G1420" i="3"/>
  <c r="G1419" i="3"/>
  <c r="G1418" i="3"/>
  <c r="G1417" i="3"/>
  <c r="G1416" i="3"/>
  <c r="G1415" i="3"/>
  <c r="G1414" i="3"/>
  <c r="G1413" i="3"/>
  <c r="G1412" i="3"/>
  <c r="G1411" i="3"/>
  <c r="G1410" i="3"/>
  <c r="G1409" i="3"/>
  <c r="F1408" i="3"/>
  <c r="G1408" i="3" s="1"/>
  <c r="G1407" i="3"/>
  <c r="G1406" i="3"/>
  <c r="G1405" i="3"/>
  <c r="G1404" i="3"/>
  <c r="G1403" i="3"/>
  <c r="G1402" i="3"/>
  <c r="G1401" i="3"/>
  <c r="G1400" i="3"/>
  <c r="G1399" i="3"/>
  <c r="G1398" i="3"/>
  <c r="G1397" i="3"/>
  <c r="G1396" i="3"/>
  <c r="G1395" i="3"/>
  <c r="G1394" i="3"/>
  <c r="G1393" i="3"/>
  <c r="G1392" i="3"/>
  <c r="G1391" i="3"/>
  <c r="G1390" i="3"/>
  <c r="G1389" i="3"/>
  <c r="G1388" i="3"/>
  <c r="G1387" i="3"/>
  <c r="G1386" i="3"/>
  <c r="G1385" i="3"/>
  <c r="G1384" i="3"/>
  <c r="G1383" i="3"/>
  <c r="G1382" i="3"/>
  <c r="G1381" i="3"/>
  <c r="G1380" i="3"/>
  <c r="G1379" i="3"/>
  <c r="G1378" i="3"/>
  <c r="G1377" i="3"/>
  <c r="G1376" i="3"/>
  <c r="G1375" i="3"/>
  <c r="G1374" i="3"/>
  <c r="G1373" i="3"/>
  <c r="G1372" i="3"/>
  <c r="G1371" i="3"/>
  <c r="G1370" i="3"/>
  <c r="G1369" i="3"/>
  <c r="G1368" i="3"/>
  <c r="G1367" i="3"/>
  <c r="G1366" i="3"/>
  <c r="G1365" i="3"/>
  <c r="G1364" i="3"/>
  <c r="G1363" i="3"/>
  <c r="G1362" i="3"/>
  <c r="G1361" i="3"/>
  <c r="G1360" i="3"/>
  <c r="G1359" i="3"/>
  <c r="G1358" i="3"/>
  <c r="G1357" i="3"/>
  <c r="G1356" i="3"/>
  <c r="G1355" i="3"/>
  <c r="G1354" i="3"/>
  <c r="G1353" i="3"/>
  <c r="G1352" i="3"/>
  <c r="G1351" i="3"/>
  <c r="G1350" i="3"/>
  <c r="G1349" i="3"/>
  <c r="G1348" i="3"/>
  <c r="G1347" i="3"/>
  <c r="G1346" i="3"/>
  <c r="G1345" i="3"/>
  <c r="G1344" i="3"/>
  <c r="G1343" i="3"/>
  <c r="G1342" i="3"/>
  <c r="G1341" i="3"/>
  <c r="G1340" i="3"/>
  <c r="G1339" i="3"/>
  <c r="G1338" i="3"/>
  <c r="G1337" i="3"/>
  <c r="G1336" i="3"/>
  <c r="G1335" i="3"/>
  <c r="G1334" i="3"/>
  <c r="G1333" i="3"/>
  <c r="G1332" i="3"/>
  <c r="G1331" i="3"/>
  <c r="G1330" i="3"/>
  <c r="G1329" i="3"/>
  <c r="G1328" i="3"/>
  <c r="G1327" i="3"/>
  <c r="G1326" i="3"/>
  <c r="G1325" i="3"/>
  <c r="G1324" i="3"/>
  <c r="G1323" i="3"/>
  <c r="G1322" i="3"/>
  <c r="G1321" i="3"/>
  <c r="G1320" i="3"/>
  <c r="G1319" i="3"/>
  <c r="G1318" i="3"/>
  <c r="G1317" i="3"/>
  <c r="G1316" i="3"/>
  <c r="G1315" i="3"/>
  <c r="G1314" i="3"/>
  <c r="G1313" i="3"/>
  <c r="G1312" i="3"/>
  <c r="G1311" i="3"/>
  <c r="G1310" i="3"/>
  <c r="G1309" i="3"/>
  <c r="G1308" i="3"/>
  <c r="G1307" i="3"/>
  <c r="G1306" i="3"/>
  <c r="G1305" i="3"/>
  <c r="G1304" i="3"/>
  <c r="G1303" i="3"/>
  <c r="G1302" i="3"/>
  <c r="G1301" i="3"/>
  <c r="G1300" i="3"/>
  <c r="G1299" i="3"/>
  <c r="G1298" i="3"/>
  <c r="G1297" i="3"/>
  <c r="G1296" i="3"/>
  <c r="G1295" i="3"/>
  <c r="G1294" i="3"/>
  <c r="G1293" i="3"/>
  <c r="G1292" i="3"/>
  <c r="G1291" i="3"/>
  <c r="G1290" i="3"/>
  <c r="G1289" i="3"/>
  <c r="G1288" i="3"/>
  <c r="G1287" i="3"/>
  <c r="G1286" i="3"/>
  <c r="G1285" i="3"/>
  <c r="G1284" i="3"/>
  <c r="G1283" i="3"/>
  <c r="G1282" i="3"/>
  <c r="G1281" i="3"/>
  <c r="G1280" i="3"/>
  <c r="G1279" i="3"/>
  <c r="G1278" i="3"/>
  <c r="G1277" i="3"/>
  <c r="G1276" i="3"/>
  <c r="G1275" i="3"/>
  <c r="G1274" i="3"/>
  <c r="G1273" i="3"/>
  <c r="G1272" i="3"/>
  <c r="G1271" i="3"/>
  <c r="G1270" i="3"/>
  <c r="G1269" i="3"/>
  <c r="G1268" i="3"/>
  <c r="G1267" i="3"/>
  <c r="G1266" i="3"/>
  <c r="G1265" i="3"/>
  <c r="G1264" i="3"/>
  <c r="G1263" i="3"/>
  <c r="G1262" i="3"/>
  <c r="G1261" i="3"/>
  <c r="G1260" i="3"/>
  <c r="G1259" i="3"/>
  <c r="G1258" i="3"/>
  <c r="G1257" i="3"/>
  <c r="G1256" i="3"/>
  <c r="G1255" i="3"/>
  <c r="G1254" i="3"/>
  <c r="G1253" i="3"/>
  <c r="G1252" i="3"/>
  <c r="G1251" i="3"/>
  <c r="G1250" i="3"/>
  <c r="G1249" i="3"/>
  <c r="G1248" i="3"/>
  <c r="G1247" i="3"/>
  <c r="G1246" i="3"/>
  <c r="G1245" i="3"/>
  <c r="G1244" i="3"/>
  <c r="G1243" i="3"/>
  <c r="G1242" i="3"/>
  <c r="G1241" i="3"/>
  <c r="G1240" i="3"/>
  <c r="G1239" i="3"/>
  <c r="G1238" i="3"/>
  <c r="G1237" i="3"/>
  <c r="G1236" i="3"/>
  <c r="G1235" i="3"/>
  <c r="G1234" i="3"/>
  <c r="G1233" i="3"/>
  <c r="G1232" i="3"/>
  <c r="G1231" i="3"/>
  <c r="G1230" i="3"/>
  <c r="G1229" i="3"/>
  <c r="G1228" i="3"/>
  <c r="G1227" i="3"/>
  <c r="G1226" i="3"/>
  <c r="G1225" i="3"/>
  <c r="F1225" i="3"/>
  <c r="G1224" i="3"/>
  <c r="F1223" i="3"/>
  <c r="G1223" i="3" s="1"/>
  <c r="G1222" i="3"/>
  <c r="G1221" i="3"/>
  <c r="G1220" i="3"/>
  <c r="G1219" i="3"/>
  <c r="G1218" i="3"/>
  <c r="G1217" i="3"/>
  <c r="G1216" i="3"/>
  <c r="G1215" i="3"/>
  <c r="G1214" i="3"/>
  <c r="G1213" i="3"/>
  <c r="G1212" i="3"/>
  <c r="G1211" i="3"/>
  <c r="G1210" i="3"/>
  <c r="G1209" i="3"/>
  <c r="G1208" i="3"/>
  <c r="G1207" i="3"/>
  <c r="G1206" i="3"/>
  <c r="G1205" i="3"/>
  <c r="G1204" i="3"/>
  <c r="G1203" i="3"/>
  <c r="G1202" i="3"/>
  <c r="G1201" i="3"/>
  <c r="G1200" i="3"/>
  <c r="G1199" i="3"/>
  <c r="G1198" i="3"/>
  <c r="G1197" i="3"/>
  <c r="G1196" i="3"/>
  <c r="G1195" i="3"/>
  <c r="G1194" i="3"/>
  <c r="G1193" i="3"/>
  <c r="G1192" i="3"/>
  <c r="G1191" i="3"/>
  <c r="G1190" i="3"/>
  <c r="G1189" i="3"/>
  <c r="G1188" i="3"/>
  <c r="G1187" i="3"/>
  <c r="G1186" i="3"/>
  <c r="G1185" i="3"/>
  <c r="G1184" i="3"/>
  <c r="G1183" i="3"/>
  <c r="G1182" i="3"/>
  <c r="G1181" i="3"/>
  <c r="G1180" i="3"/>
  <c r="G1179" i="3"/>
  <c r="G1178" i="3"/>
  <c r="G1177" i="3"/>
  <c r="G1176" i="3"/>
  <c r="G1175" i="3"/>
  <c r="G1174" i="3"/>
  <c r="G1173" i="3"/>
  <c r="G1172" i="3"/>
  <c r="G1171" i="3"/>
  <c r="G1170" i="3"/>
  <c r="G1169" i="3"/>
  <c r="G1168" i="3"/>
  <c r="G1167" i="3"/>
  <c r="G1166" i="3"/>
  <c r="G1165" i="3"/>
  <c r="G1164" i="3"/>
  <c r="G1163" i="3"/>
  <c r="G1162" i="3"/>
  <c r="G1161" i="3"/>
  <c r="G1160" i="3"/>
  <c r="G1159" i="3"/>
  <c r="G1158" i="3"/>
  <c r="G1157" i="3"/>
  <c r="G1156" i="3"/>
  <c r="G1155" i="3"/>
  <c r="G1154" i="3"/>
  <c r="G1153" i="3"/>
  <c r="G1152" i="3"/>
  <c r="G1151" i="3"/>
  <c r="G1150" i="3"/>
  <c r="G1149" i="3"/>
  <c r="G1148" i="3"/>
  <c r="G1147" i="3"/>
  <c r="G1146" i="3"/>
  <c r="G1145" i="3"/>
  <c r="G1144" i="3"/>
  <c r="G1143" i="3"/>
  <c r="G1142" i="3"/>
  <c r="G1141" i="3"/>
  <c r="G1140" i="3"/>
  <c r="G1139" i="3"/>
  <c r="G1138" i="3"/>
  <c r="G1137" i="3"/>
  <c r="G1136" i="3"/>
  <c r="G1135" i="3"/>
  <c r="G1134" i="3"/>
  <c r="G1133" i="3"/>
  <c r="G1132" i="3"/>
  <c r="G1131" i="3"/>
  <c r="G1130" i="3"/>
  <c r="G1129" i="3"/>
  <c r="G1128" i="3"/>
  <c r="G1127" i="3"/>
  <c r="G1126" i="3"/>
  <c r="G1125" i="3"/>
  <c r="G1124" i="3"/>
  <c r="G1123" i="3"/>
  <c r="G1122" i="3"/>
  <c r="G1121" i="3"/>
  <c r="G1120" i="3"/>
  <c r="G1119" i="3"/>
  <c r="G1118" i="3"/>
  <c r="G1117" i="3"/>
  <c r="G1116" i="3"/>
  <c r="G1115" i="3"/>
  <c r="G1114" i="3"/>
  <c r="G1113" i="3"/>
  <c r="G1112" i="3"/>
  <c r="G1111" i="3"/>
  <c r="F1111" i="3"/>
  <c r="G1110" i="3"/>
  <c r="G1109" i="3"/>
  <c r="G1108" i="3"/>
  <c r="G1107" i="3"/>
  <c r="G1106" i="3"/>
  <c r="G1105" i="3"/>
  <c r="G1104" i="3"/>
  <c r="F1103" i="3"/>
  <c r="G1103" i="3" s="1"/>
  <c r="G1102" i="3"/>
  <c r="G1101" i="3"/>
  <c r="G1100" i="3"/>
  <c r="G1099" i="3"/>
  <c r="G1098" i="3"/>
  <c r="G1097" i="3"/>
  <c r="G1096" i="3"/>
  <c r="G1095" i="3"/>
  <c r="G1094" i="3"/>
  <c r="G1093" i="3"/>
  <c r="G1092" i="3"/>
  <c r="G1091" i="3"/>
  <c r="G1090" i="3"/>
  <c r="G1089" i="3"/>
  <c r="G1088" i="3"/>
  <c r="G1087" i="3"/>
  <c r="G1086" i="3"/>
  <c r="G1085" i="3"/>
  <c r="G1084" i="3"/>
  <c r="G1083" i="3"/>
  <c r="G1082" i="3"/>
  <c r="G1081" i="3"/>
  <c r="G1080" i="3"/>
  <c r="G1079" i="3"/>
  <c r="G1078" i="3"/>
  <c r="G1077" i="3"/>
  <c r="G1076" i="3"/>
  <c r="G1075" i="3"/>
  <c r="G1074" i="3"/>
  <c r="G1073" i="3"/>
  <c r="G1072" i="3"/>
  <c r="G1071" i="3"/>
  <c r="G1070" i="3"/>
  <c r="G1069" i="3"/>
  <c r="G1068" i="3"/>
  <c r="G1067" i="3"/>
  <c r="G1066" i="3"/>
  <c r="G1065" i="3"/>
  <c r="G1064" i="3"/>
  <c r="F1063" i="3"/>
  <c r="G1063" i="3" s="1"/>
  <c r="G1062" i="3"/>
  <c r="G1061" i="3"/>
  <c r="G1060" i="3"/>
  <c r="G1059" i="3"/>
  <c r="G1058" i="3"/>
  <c r="G1057" i="3"/>
  <c r="G1056" i="3"/>
  <c r="G1055" i="3"/>
  <c r="G1054" i="3"/>
  <c r="G1053" i="3"/>
  <c r="G1052" i="3"/>
  <c r="G1051" i="3"/>
  <c r="G1050" i="3"/>
  <c r="G1049" i="3"/>
  <c r="G1048" i="3"/>
  <c r="G1047" i="3"/>
  <c r="G1046" i="3"/>
  <c r="G1045" i="3"/>
  <c r="G1044" i="3"/>
  <c r="G1043" i="3"/>
  <c r="G1042" i="3"/>
  <c r="G1041" i="3"/>
  <c r="G1040" i="3"/>
  <c r="G1039" i="3"/>
  <c r="G1038" i="3"/>
  <c r="G1037" i="3"/>
  <c r="G1036" i="3"/>
  <c r="G1035" i="3"/>
  <c r="G1034" i="3"/>
  <c r="G1033" i="3"/>
  <c r="G1032" i="3"/>
  <c r="G1031" i="3"/>
  <c r="G1030" i="3"/>
  <c r="G1029" i="3"/>
  <c r="G1028" i="3"/>
  <c r="G1027" i="3"/>
  <c r="G1026" i="3"/>
  <c r="G1025" i="3"/>
  <c r="G1024" i="3"/>
  <c r="G1023" i="3"/>
  <c r="G1022" i="3"/>
  <c r="G1021" i="3"/>
  <c r="G1020" i="3"/>
  <c r="G1019" i="3"/>
  <c r="G1018" i="3"/>
  <c r="G1017" i="3"/>
  <c r="G1016" i="3"/>
  <c r="G1015" i="3"/>
  <c r="G1014" i="3"/>
  <c r="G1013" i="3"/>
  <c r="G1012" i="3"/>
  <c r="G1011" i="3"/>
  <c r="G1010" i="3"/>
  <c r="G1009" i="3"/>
  <c r="G1008" i="3"/>
  <c r="G1007" i="3"/>
  <c r="G1006" i="3"/>
  <c r="G1005" i="3"/>
  <c r="G1004" i="3"/>
  <c r="G1003" i="3"/>
  <c r="G1002" i="3"/>
  <c r="G1001" i="3"/>
  <c r="G1000" i="3"/>
  <c r="G999" i="3"/>
  <c r="G998" i="3"/>
  <c r="G997" i="3"/>
  <c r="G996" i="3"/>
  <c r="G995" i="3"/>
  <c r="G994" i="3"/>
  <c r="G993" i="3"/>
  <c r="G992" i="3"/>
  <c r="G991" i="3"/>
  <c r="G990" i="3"/>
  <c r="G989" i="3"/>
  <c r="G988" i="3"/>
  <c r="G987" i="3"/>
  <c r="G986" i="3"/>
  <c r="G985" i="3"/>
  <c r="G984" i="3"/>
  <c r="G983" i="3"/>
  <c r="G982" i="3"/>
  <c r="G981" i="3"/>
  <c r="G980" i="3"/>
  <c r="G979" i="3"/>
  <c r="G978" i="3"/>
  <c r="G977" i="3"/>
  <c r="G976" i="3"/>
  <c r="F975" i="3"/>
  <c r="G975" i="3" s="1"/>
  <c r="G974" i="3"/>
  <c r="G973" i="3"/>
  <c r="G972" i="3"/>
  <c r="G971" i="3"/>
  <c r="G970" i="3"/>
  <c r="G969" i="3"/>
  <c r="G968" i="3"/>
  <c r="G967" i="3"/>
  <c r="G966" i="3"/>
  <c r="G965" i="3"/>
  <c r="G964" i="3"/>
  <c r="G963" i="3"/>
  <c r="G962" i="3"/>
  <c r="G961" i="3"/>
  <c r="G960" i="3"/>
  <c r="G959" i="3"/>
  <c r="G958" i="3"/>
  <c r="G957" i="3"/>
  <c r="G956" i="3"/>
  <c r="G955" i="3"/>
  <c r="G954" i="3"/>
  <c r="G953" i="3"/>
  <c r="G952" i="3"/>
  <c r="G951" i="3"/>
  <c r="G950" i="3"/>
  <c r="G949" i="3"/>
  <c r="G948" i="3"/>
  <c r="G947" i="3"/>
  <c r="G946" i="3"/>
  <c r="G945" i="3"/>
  <c r="G944" i="3"/>
  <c r="G943" i="3"/>
  <c r="G942" i="3"/>
  <c r="G941" i="3"/>
  <c r="G940" i="3"/>
  <c r="G939" i="3"/>
  <c r="G938" i="3"/>
  <c r="G937" i="3"/>
  <c r="G936" i="3"/>
  <c r="G935" i="3"/>
  <c r="G934" i="3"/>
  <c r="G933" i="3"/>
  <c r="G932" i="3"/>
  <c r="G931" i="3"/>
  <c r="G930" i="3"/>
  <c r="G929" i="3"/>
  <c r="G928" i="3"/>
  <c r="G927" i="3"/>
  <c r="G926" i="3"/>
  <c r="G925" i="3"/>
  <c r="G924" i="3"/>
  <c r="G923" i="3"/>
  <c r="G922" i="3"/>
  <c r="G921" i="3"/>
  <c r="G920" i="3"/>
  <c r="G919" i="3"/>
  <c r="G918" i="3"/>
  <c r="G917" i="3"/>
  <c r="G916" i="3"/>
  <c r="G915" i="3"/>
  <c r="G914" i="3"/>
  <c r="G913" i="3"/>
  <c r="G912" i="3"/>
  <c r="G911" i="3"/>
  <c r="G910" i="3"/>
  <c r="G909" i="3"/>
  <c r="G908" i="3"/>
  <c r="G907" i="3"/>
  <c r="G906" i="3"/>
  <c r="G905" i="3"/>
  <c r="G904" i="3"/>
  <c r="G903" i="3"/>
  <c r="G902" i="3"/>
  <c r="G901" i="3"/>
  <c r="G900" i="3"/>
  <c r="G899" i="3"/>
  <c r="G898" i="3"/>
  <c r="G897" i="3"/>
  <c r="G896" i="3"/>
  <c r="G895" i="3"/>
  <c r="G894" i="3"/>
  <c r="G893" i="3"/>
  <c r="G892" i="3"/>
  <c r="G891" i="3"/>
  <c r="G890" i="3"/>
  <c r="G889" i="3"/>
  <c r="G888" i="3"/>
  <c r="G887" i="3"/>
  <c r="G886" i="3"/>
  <c r="G885" i="3"/>
  <c r="G884" i="3"/>
  <c r="G883" i="3"/>
  <c r="G882" i="3"/>
  <c r="G881" i="3"/>
  <c r="G880" i="3"/>
  <c r="G879" i="3"/>
  <c r="G878" i="3"/>
  <c r="G877" i="3"/>
  <c r="G876" i="3"/>
  <c r="G875" i="3"/>
  <c r="G874" i="3"/>
  <c r="G873" i="3"/>
  <c r="G872" i="3"/>
  <c r="G871" i="3"/>
  <c r="G870" i="3"/>
  <c r="G869" i="3"/>
  <c r="G868" i="3"/>
  <c r="G867" i="3"/>
  <c r="G866" i="3"/>
  <c r="G865" i="3"/>
  <c r="G864" i="3"/>
  <c r="G863" i="3"/>
  <c r="G862" i="3"/>
  <c r="G861" i="3"/>
  <c r="G860" i="3"/>
  <c r="G859" i="3"/>
  <c r="G858" i="3"/>
  <c r="G857" i="3"/>
  <c r="G856" i="3"/>
  <c r="G855" i="3"/>
  <c r="G854" i="3"/>
  <c r="G853" i="3"/>
  <c r="G852" i="3"/>
  <c r="G851" i="3"/>
  <c r="G850" i="3"/>
  <c r="F850" i="3"/>
  <c r="G849" i="3"/>
  <c r="G848" i="3"/>
  <c r="G847" i="3"/>
  <c r="G846" i="3"/>
  <c r="G845" i="3"/>
  <c r="G844" i="3"/>
  <c r="G843" i="3"/>
  <c r="G842" i="3"/>
  <c r="G841" i="3"/>
  <c r="G840" i="3"/>
  <c r="G839" i="3"/>
  <c r="G838" i="3"/>
  <c r="G837" i="3"/>
  <c r="G836" i="3"/>
  <c r="G835" i="3"/>
  <c r="G834" i="3"/>
  <c r="G833" i="3"/>
  <c r="G832" i="3"/>
  <c r="G831" i="3"/>
  <c r="G830" i="3"/>
  <c r="G829" i="3"/>
  <c r="G828" i="3"/>
  <c r="G827" i="3"/>
  <c r="G826" i="3"/>
  <c r="G825" i="3"/>
  <c r="G824" i="3"/>
  <c r="G823" i="3"/>
  <c r="G822" i="3"/>
  <c r="G821" i="3"/>
  <c r="G820" i="3"/>
  <c r="G819" i="3"/>
  <c r="G818" i="3"/>
  <c r="G817" i="3"/>
  <c r="G816" i="3"/>
  <c r="G815" i="3"/>
  <c r="G814" i="3"/>
  <c r="G813" i="3"/>
  <c r="G812" i="3"/>
  <c r="G811" i="3"/>
  <c r="G810" i="3"/>
  <c r="G809" i="3"/>
  <c r="G808" i="3"/>
  <c r="G807" i="3"/>
  <c r="G806" i="3"/>
  <c r="G805" i="3"/>
  <c r="G804" i="3"/>
  <c r="G803" i="3"/>
  <c r="G802" i="3"/>
  <c r="G801" i="3"/>
  <c r="G800" i="3"/>
  <c r="G799" i="3"/>
  <c r="G798" i="3"/>
  <c r="G797" i="3"/>
  <c r="G796" i="3"/>
  <c r="G795" i="3"/>
  <c r="G794" i="3"/>
  <c r="G793" i="3"/>
  <c r="G792" i="3"/>
  <c r="G791" i="3"/>
  <c r="G790" i="3"/>
  <c r="G789" i="3"/>
  <c r="G788" i="3"/>
  <c r="G787" i="3"/>
  <c r="G786" i="3"/>
  <c r="G785" i="3"/>
  <c r="G784" i="3"/>
  <c r="G783" i="3"/>
  <c r="G782" i="3"/>
  <c r="G781" i="3"/>
  <c r="G780" i="3"/>
  <c r="G779" i="3"/>
  <c r="G778" i="3"/>
  <c r="G777" i="3"/>
  <c r="G776" i="3"/>
  <c r="G775" i="3"/>
  <c r="G774" i="3"/>
  <c r="G773" i="3"/>
  <c r="G772" i="3"/>
  <c r="G771" i="3"/>
  <c r="G770" i="3"/>
  <c r="G769" i="3"/>
  <c r="G768" i="3"/>
  <c r="G767" i="3"/>
  <c r="G766" i="3"/>
  <c r="G765" i="3"/>
  <c r="G764" i="3"/>
  <c r="G763" i="3"/>
  <c r="G762" i="3"/>
  <c r="G761" i="3"/>
  <c r="G760" i="3"/>
  <c r="G759" i="3"/>
  <c r="G758" i="3"/>
  <c r="G757" i="3"/>
  <c r="G756" i="3"/>
  <c r="G755" i="3"/>
  <c r="F754" i="3"/>
  <c r="G754" i="3" s="1"/>
  <c r="G753" i="3"/>
  <c r="G752" i="3"/>
  <c r="G751" i="3"/>
  <c r="G750" i="3"/>
  <c r="G749" i="3"/>
  <c r="G748" i="3"/>
  <c r="G747" i="3"/>
  <c r="G746" i="3"/>
  <c r="G745" i="3"/>
  <c r="G744" i="3"/>
  <c r="G743" i="3"/>
  <c r="G742" i="3"/>
  <c r="G741" i="3"/>
  <c r="G740" i="3"/>
  <c r="G739" i="3"/>
  <c r="G738" i="3"/>
  <c r="G737" i="3"/>
  <c r="G736" i="3"/>
  <c r="G735" i="3"/>
  <c r="G734" i="3"/>
  <c r="G733" i="3"/>
  <c r="G732" i="3"/>
  <c r="G731" i="3"/>
  <c r="G730" i="3"/>
  <c r="G729" i="3"/>
  <c r="G728" i="3"/>
  <c r="G727" i="3"/>
  <c r="G726" i="3"/>
  <c r="G725" i="3"/>
  <c r="G724" i="3"/>
  <c r="F724" i="3"/>
  <c r="G723" i="3"/>
  <c r="G722" i="3"/>
  <c r="G721" i="3"/>
  <c r="G720" i="3"/>
  <c r="G719" i="3"/>
  <c r="G718" i="3"/>
  <c r="G717" i="3"/>
  <c r="G716" i="3"/>
  <c r="G715" i="3"/>
  <c r="G714" i="3"/>
  <c r="G713" i="3"/>
  <c r="F713" i="3"/>
  <c r="G712" i="3"/>
  <c r="G711" i="3"/>
  <c r="G710" i="3"/>
  <c r="G709" i="3"/>
  <c r="G708" i="3"/>
  <c r="G707" i="3"/>
  <c r="G706" i="3"/>
  <c r="G705" i="3"/>
  <c r="G704" i="3"/>
  <c r="G703" i="3"/>
  <c r="G702" i="3"/>
  <c r="G701" i="3"/>
  <c r="G700" i="3"/>
  <c r="G699" i="3"/>
  <c r="G698" i="3"/>
  <c r="G697" i="3"/>
  <c r="G696" i="3"/>
  <c r="G695" i="3"/>
  <c r="G694" i="3"/>
  <c r="G693" i="3"/>
  <c r="G692" i="3"/>
  <c r="G691" i="3"/>
  <c r="G690" i="3"/>
  <c r="G689" i="3"/>
  <c r="G688" i="3"/>
  <c r="G687" i="3"/>
  <c r="G686" i="3"/>
  <c r="G685" i="3"/>
  <c r="G684" i="3"/>
  <c r="G683" i="3"/>
  <c r="G682" i="3"/>
  <c r="G681" i="3"/>
  <c r="G680" i="3"/>
  <c r="G679" i="3"/>
  <c r="G678" i="3"/>
  <c r="G677" i="3"/>
  <c r="G676" i="3"/>
  <c r="G675" i="3"/>
  <c r="G674" i="3"/>
  <c r="G673" i="3"/>
  <c r="G672" i="3"/>
  <c r="G671" i="3"/>
  <c r="G670" i="3"/>
  <c r="G669" i="3"/>
  <c r="G668" i="3"/>
  <c r="G667" i="3"/>
  <c r="G666" i="3"/>
  <c r="G665" i="3"/>
  <c r="G664" i="3"/>
  <c r="G663" i="3"/>
  <c r="G662" i="3"/>
  <c r="G661" i="3"/>
  <c r="G660" i="3"/>
  <c r="G659" i="3"/>
  <c r="G658" i="3"/>
  <c r="G657" i="3"/>
  <c r="G656" i="3"/>
  <c r="G655" i="3"/>
  <c r="G654" i="3"/>
  <c r="G653" i="3"/>
  <c r="G652" i="3"/>
  <c r="G651" i="3"/>
  <c r="G650" i="3"/>
  <c r="G649" i="3"/>
  <c r="G648" i="3"/>
  <c r="G647" i="3"/>
  <c r="G646" i="3"/>
  <c r="G645" i="3"/>
  <c r="G644" i="3"/>
  <c r="G643" i="3"/>
  <c r="G642" i="3"/>
  <c r="G641" i="3"/>
  <c r="G640" i="3"/>
  <c r="G639" i="3"/>
  <c r="G638" i="3"/>
  <c r="G637" i="3"/>
  <c r="G636" i="3"/>
  <c r="G635" i="3"/>
  <c r="G634" i="3"/>
  <c r="G633" i="3"/>
  <c r="G632" i="3"/>
  <c r="G631" i="3"/>
  <c r="G630" i="3"/>
  <c r="G629" i="3"/>
  <c r="G628" i="3"/>
  <c r="G627" i="3"/>
  <c r="G626" i="3"/>
  <c r="G625" i="3"/>
  <c r="G624" i="3"/>
  <c r="G623" i="3"/>
  <c r="G622" i="3"/>
  <c r="G621" i="3"/>
  <c r="G620" i="3"/>
  <c r="G619" i="3"/>
  <c r="G618" i="3"/>
  <c r="G617" i="3"/>
  <c r="G616" i="3"/>
  <c r="G615" i="3"/>
  <c r="G614" i="3"/>
  <c r="G613" i="3"/>
  <c r="G612" i="3"/>
  <c r="G611" i="3"/>
  <c r="G610" i="3"/>
  <c r="G609" i="3"/>
  <c r="G608" i="3"/>
  <c r="G607" i="3"/>
  <c r="G606" i="3"/>
  <c r="G605" i="3"/>
  <c r="G604" i="3"/>
  <c r="G603" i="3"/>
  <c r="G602" i="3"/>
  <c r="G601" i="3"/>
  <c r="G600" i="3"/>
  <c r="G599" i="3"/>
  <c r="G598" i="3"/>
  <c r="G597" i="3"/>
  <c r="G596" i="3"/>
  <c r="G595" i="3"/>
  <c r="G594" i="3"/>
  <c r="G593" i="3"/>
  <c r="G592" i="3"/>
  <c r="G591" i="3"/>
  <c r="G590" i="3"/>
  <c r="G589" i="3"/>
  <c r="G588" i="3"/>
  <c r="G587" i="3"/>
  <c r="G586" i="3"/>
  <c r="G585" i="3"/>
  <c r="G584" i="3"/>
  <c r="G583" i="3"/>
  <c r="G582" i="3"/>
  <c r="G581" i="3"/>
  <c r="G580" i="3"/>
  <c r="G579" i="3"/>
  <c r="G578" i="3"/>
  <c r="G577" i="3"/>
  <c r="G576" i="3"/>
  <c r="G575" i="3"/>
  <c r="G574" i="3"/>
  <c r="G573" i="3"/>
  <c r="G572" i="3"/>
  <c r="G571" i="3"/>
  <c r="G570" i="3"/>
  <c r="G569" i="3"/>
  <c r="G568" i="3"/>
  <c r="G567" i="3"/>
  <c r="G566" i="3"/>
  <c r="G565" i="3"/>
  <c r="G564" i="3"/>
  <c r="G563" i="3"/>
  <c r="G562" i="3"/>
  <c r="G561" i="3"/>
  <c r="G560" i="3"/>
  <c r="G559" i="3"/>
  <c r="G558" i="3"/>
  <c r="G557" i="3"/>
  <c r="G556" i="3"/>
  <c r="G555" i="3"/>
  <c r="G554" i="3"/>
  <c r="G553" i="3"/>
  <c r="G552" i="3"/>
  <c r="G551" i="3"/>
  <c r="G550" i="3"/>
  <c r="G549" i="3"/>
  <c r="G548" i="3"/>
  <c r="G547" i="3"/>
  <c r="G546" i="3"/>
  <c r="G545" i="3"/>
  <c r="G544" i="3"/>
  <c r="G543" i="3"/>
  <c r="G542" i="3"/>
  <c r="G541" i="3"/>
  <c r="G540" i="3"/>
  <c r="G539" i="3"/>
  <c r="G538" i="3"/>
  <c r="G537" i="3"/>
  <c r="G536" i="3"/>
  <c r="G535" i="3"/>
  <c r="G534" i="3"/>
  <c r="G533" i="3"/>
  <c r="G532" i="3"/>
  <c r="G531" i="3"/>
  <c r="G530" i="3"/>
  <c r="G529" i="3"/>
  <c r="G528" i="3"/>
  <c r="G527" i="3"/>
  <c r="G526" i="3"/>
  <c r="G525" i="3"/>
  <c r="G524" i="3"/>
  <c r="G523" i="3"/>
  <c r="G522" i="3"/>
  <c r="G521" i="3"/>
  <c r="G520" i="3"/>
  <c r="G519" i="3"/>
  <c r="G518" i="3"/>
  <c r="G517" i="3"/>
  <c r="G516" i="3"/>
  <c r="G515" i="3"/>
  <c r="G514" i="3"/>
  <c r="F513" i="3"/>
  <c r="G513" i="3" s="1"/>
  <c r="G512" i="3"/>
  <c r="G511" i="3"/>
  <c r="G510" i="3"/>
  <c r="G509" i="3"/>
  <c r="G508" i="3"/>
  <c r="G507" i="3"/>
  <c r="G506" i="3"/>
  <c r="G505" i="3"/>
  <c r="G504" i="3"/>
  <c r="G503" i="3"/>
  <c r="G502" i="3"/>
  <c r="G501" i="3"/>
  <c r="G500" i="3"/>
  <c r="G499" i="3"/>
  <c r="G498" i="3"/>
  <c r="G497" i="3"/>
  <c r="G496" i="3"/>
  <c r="G495" i="3"/>
  <c r="G494" i="3"/>
  <c r="G493" i="3"/>
  <c r="G492" i="3"/>
  <c r="G491" i="3"/>
  <c r="G490" i="3"/>
  <c r="G489" i="3"/>
  <c r="G488" i="3"/>
  <c r="G487" i="3"/>
  <c r="G486" i="3"/>
  <c r="G485" i="3"/>
  <c r="G484" i="3"/>
  <c r="G483" i="3"/>
  <c r="G482" i="3"/>
  <c r="G481" i="3"/>
  <c r="G480" i="3"/>
  <c r="G479" i="3"/>
  <c r="G478" i="3"/>
  <c r="G477" i="3"/>
  <c r="G476" i="3"/>
  <c r="G475" i="3"/>
  <c r="G474" i="3"/>
  <c r="G473" i="3"/>
  <c r="G472" i="3"/>
  <c r="G471" i="3"/>
  <c r="G470" i="3"/>
  <c r="F469" i="3"/>
  <c r="G469" i="3" s="1"/>
  <c r="G468" i="3"/>
  <c r="G467" i="3"/>
  <c r="G466" i="3"/>
  <c r="G465" i="3"/>
  <c r="G464" i="3"/>
  <c r="G463" i="3"/>
  <c r="G462" i="3"/>
  <c r="G461" i="3"/>
  <c r="G460" i="3"/>
  <c r="G459" i="3"/>
  <c r="G458" i="3"/>
  <c r="G457" i="3"/>
  <c r="F457" i="3"/>
  <c r="G456" i="3"/>
  <c r="F455" i="3"/>
  <c r="G455" i="3" s="1"/>
  <c r="G454" i="3"/>
  <c r="G453" i="3"/>
  <c r="G452" i="3"/>
  <c r="G451" i="3"/>
  <c r="G450" i="3"/>
  <c r="G449" i="3"/>
  <c r="G448" i="3"/>
  <c r="G447" i="3"/>
  <c r="G446" i="3"/>
  <c r="G445" i="3"/>
  <c r="G444" i="3"/>
  <c r="G443" i="3"/>
  <c r="G442" i="3"/>
  <c r="G441" i="3"/>
  <c r="G440" i="3"/>
  <c r="G439" i="3"/>
  <c r="G438" i="3"/>
  <c r="G437" i="3"/>
  <c r="G436" i="3"/>
  <c r="G435" i="3"/>
  <c r="G434" i="3"/>
  <c r="G433" i="3"/>
  <c r="G432" i="3"/>
  <c r="G431" i="3"/>
  <c r="G430" i="3"/>
  <c r="G429" i="3"/>
  <c r="G428" i="3"/>
  <c r="G427" i="3"/>
  <c r="G426" i="3"/>
  <c r="G425" i="3"/>
  <c r="G424" i="3"/>
  <c r="G423" i="3"/>
  <c r="G422" i="3"/>
  <c r="G421" i="3"/>
  <c r="G420" i="3"/>
  <c r="G419" i="3"/>
  <c r="G418" i="3"/>
  <c r="G417" i="3"/>
  <c r="G416" i="3"/>
  <c r="G415" i="3"/>
  <c r="G414" i="3"/>
  <c r="G413" i="3"/>
  <c r="G412" i="3"/>
  <c r="G411" i="3"/>
  <c r="G410" i="3"/>
  <c r="G409" i="3"/>
  <c r="G408" i="3"/>
  <c r="G407" i="3"/>
  <c r="G406" i="3"/>
  <c r="G405" i="3"/>
  <c r="G404" i="3"/>
  <c r="G403" i="3"/>
  <c r="G402" i="3"/>
  <c r="G401" i="3"/>
  <c r="G400" i="3"/>
  <c r="G399" i="3"/>
  <c r="G398" i="3"/>
  <c r="G397" i="3"/>
  <c r="G396" i="3"/>
  <c r="G395" i="3"/>
  <c r="G394" i="3"/>
  <c r="G393" i="3"/>
  <c r="G392" i="3"/>
  <c r="G391" i="3"/>
  <c r="G390" i="3"/>
  <c r="G389" i="3"/>
  <c r="G388" i="3"/>
  <c r="G387" i="3"/>
  <c r="G386" i="3"/>
  <c r="G385" i="3"/>
  <c r="G384" i="3"/>
  <c r="G383" i="3"/>
  <c r="G382" i="3"/>
  <c r="G381" i="3"/>
  <c r="G380" i="3"/>
  <c r="G379" i="3"/>
  <c r="G378" i="3"/>
  <c r="G377" i="3"/>
  <c r="G376" i="3"/>
  <c r="G375" i="3"/>
  <c r="G374" i="3"/>
  <c r="G373" i="3"/>
  <c r="G372" i="3"/>
  <c r="G371" i="3"/>
  <c r="G370" i="3"/>
  <c r="G369" i="3"/>
  <c r="G368" i="3"/>
  <c r="G367" i="3"/>
  <c r="G366" i="3"/>
  <c r="G365" i="3"/>
  <c r="G364" i="3"/>
  <c r="G363" i="3"/>
  <c r="G362" i="3"/>
  <c r="G361" i="3"/>
  <c r="G360" i="3"/>
  <c r="G359" i="3"/>
  <c r="G358" i="3"/>
  <c r="G357" i="3"/>
  <c r="G356" i="3"/>
  <c r="G355" i="3"/>
  <c r="G354" i="3"/>
  <c r="G353" i="3"/>
  <c r="G352" i="3"/>
  <c r="G351" i="3"/>
  <c r="G350" i="3"/>
  <c r="G349" i="3"/>
  <c r="G348" i="3"/>
  <c r="G347" i="3"/>
  <c r="G346" i="3"/>
  <c r="G345" i="3"/>
  <c r="G344" i="3"/>
  <c r="G343" i="3"/>
  <c r="G342" i="3"/>
  <c r="G341" i="3"/>
  <c r="G340" i="3"/>
  <c r="G339" i="3"/>
  <c r="G338" i="3"/>
  <c r="G337" i="3"/>
  <c r="G336" i="3"/>
  <c r="G335" i="3"/>
  <c r="G334" i="3"/>
  <c r="G333" i="3"/>
  <c r="G332" i="3"/>
  <c r="G331" i="3"/>
  <c r="G330" i="3"/>
  <c r="G329" i="3"/>
  <c r="G328" i="3"/>
  <c r="G327" i="3"/>
  <c r="F326" i="3"/>
  <c r="G326" i="3" s="1"/>
  <c r="G325" i="3"/>
  <c r="G324" i="3"/>
  <c r="G323" i="3"/>
  <c r="G322" i="3"/>
  <c r="G321" i="3"/>
  <c r="G320" i="3"/>
  <c r="G319" i="3"/>
  <c r="G318" i="3"/>
  <c r="G317" i="3"/>
  <c r="G316" i="3"/>
  <c r="G315" i="3"/>
  <c r="G314" i="3"/>
  <c r="G313" i="3"/>
  <c r="G312" i="3"/>
  <c r="G311" i="3"/>
  <c r="G310" i="3"/>
  <c r="G309" i="3"/>
  <c r="G308" i="3"/>
  <c r="G307" i="3"/>
  <c r="G306" i="3"/>
  <c r="G305" i="3"/>
  <c r="G304" i="3"/>
  <c r="G303" i="3"/>
  <c r="G302" i="3"/>
  <c r="G301" i="3"/>
  <c r="G300" i="3"/>
  <c r="G299" i="3"/>
  <c r="G298" i="3"/>
  <c r="G297" i="3"/>
  <c r="G296" i="3"/>
  <c r="G295" i="3"/>
  <c r="G294" i="3"/>
  <c r="G293" i="3"/>
  <c r="G292" i="3"/>
  <c r="G291" i="3"/>
  <c r="G290" i="3"/>
  <c r="G289" i="3"/>
  <c r="G288" i="3"/>
  <c r="G287" i="3"/>
  <c r="G286" i="3"/>
  <c r="G285" i="3"/>
  <c r="G284" i="3"/>
  <c r="G283" i="3"/>
  <c r="G282" i="3"/>
  <c r="G281" i="3"/>
  <c r="G280" i="3"/>
  <c r="G279" i="3"/>
  <c r="G278" i="3"/>
  <c r="G277" i="3"/>
  <c r="G276" i="3"/>
  <c r="G275" i="3"/>
  <c r="G274" i="3"/>
  <c r="G273" i="3"/>
  <c r="G272" i="3"/>
  <c r="G271" i="3"/>
  <c r="G270" i="3"/>
  <c r="G269" i="3"/>
  <c r="G268" i="3"/>
  <c r="G267" i="3"/>
  <c r="G266" i="3"/>
  <c r="G265" i="3"/>
  <c r="G264" i="3"/>
  <c r="G263" i="3"/>
  <c r="G262" i="3"/>
  <c r="G261" i="3"/>
  <c r="G260" i="3"/>
  <c r="G259" i="3"/>
  <c r="G258" i="3"/>
  <c r="G257" i="3"/>
  <c r="G256" i="3"/>
  <c r="G255" i="3"/>
  <c r="G254" i="3"/>
  <c r="G253" i="3"/>
  <c r="G252" i="3"/>
  <c r="G251" i="3"/>
  <c r="G250" i="3"/>
  <c r="G249" i="3"/>
  <c r="G248" i="3"/>
  <c r="G247" i="3"/>
  <c r="G246" i="3"/>
  <c r="G245" i="3"/>
  <c r="G244" i="3"/>
  <c r="G243" i="3"/>
  <c r="G242" i="3"/>
  <c r="G241" i="3"/>
  <c r="G240" i="3"/>
  <c r="G239" i="3"/>
  <c r="G238" i="3"/>
  <c r="G237" i="3"/>
  <c r="G236" i="3"/>
  <c r="G235" i="3"/>
  <c r="G234" i="3"/>
  <c r="G233" i="3"/>
  <c r="G232" i="3"/>
  <c r="G231" i="3"/>
  <c r="G230" i="3"/>
  <c r="G229" i="3"/>
  <c r="G228" i="3"/>
  <c r="G227" i="3"/>
  <c r="G226" i="3"/>
  <c r="G225" i="3"/>
  <c r="G224" i="3"/>
  <c r="G223" i="3"/>
  <c r="G222" i="3"/>
  <c r="G221" i="3"/>
  <c r="G220" i="3"/>
  <c r="G219" i="3"/>
  <c r="G218" i="3"/>
  <c r="G217" i="3"/>
  <c r="G216" i="3"/>
  <c r="G215" i="3"/>
  <c r="G214" i="3"/>
  <c r="G213" i="3"/>
  <c r="G212" i="3"/>
  <c r="G211" i="3"/>
  <c r="G210" i="3"/>
  <c r="G209" i="3"/>
  <c r="G208" i="3"/>
  <c r="G207" i="3"/>
  <c r="G206" i="3"/>
  <c r="G205" i="3"/>
  <c r="G204" i="3"/>
  <c r="G203" i="3"/>
  <c r="G202" i="3"/>
  <c r="G201" i="3"/>
  <c r="G200" i="3"/>
  <c r="G199" i="3"/>
  <c r="F199" i="3"/>
  <c r="G198" i="3"/>
  <c r="G197" i="3"/>
  <c r="G196" i="3"/>
  <c r="G195" i="3"/>
  <c r="G194" i="3"/>
  <c r="G193" i="3"/>
  <c r="G192" i="3"/>
  <c r="G191" i="3"/>
  <c r="G190" i="3"/>
  <c r="G189" i="3"/>
  <c r="G188" i="3"/>
  <c r="G187" i="3"/>
  <c r="G186" i="3"/>
  <c r="G185" i="3"/>
  <c r="G184" i="3"/>
  <c r="G183" i="3"/>
  <c r="G182" i="3"/>
  <c r="G181" i="3"/>
  <c r="G180" i="3"/>
  <c r="G179" i="3"/>
  <c r="G178" i="3"/>
  <c r="G177" i="3"/>
  <c r="G176" i="3"/>
  <c r="G175" i="3"/>
  <c r="G174" i="3"/>
  <c r="G173" i="3"/>
  <c r="G172" i="3"/>
  <c r="G171" i="3"/>
  <c r="G170" i="3"/>
  <c r="G169" i="3"/>
  <c r="G168" i="3"/>
  <c r="G167" i="3"/>
  <c r="G166" i="3"/>
  <c r="G165" i="3"/>
  <c r="G164" i="3"/>
  <c r="G163" i="3"/>
  <c r="G162" i="3"/>
  <c r="G161" i="3"/>
  <c r="G160" i="3"/>
  <c r="G159" i="3"/>
  <c r="G158" i="3"/>
  <c r="G157" i="3"/>
  <c r="G156" i="3"/>
  <c r="G155" i="3"/>
  <c r="G154" i="3"/>
  <c r="G153" i="3"/>
  <c r="G152" i="3"/>
  <c r="G151" i="3"/>
  <c r="G150" i="3"/>
  <c r="G149" i="3"/>
  <c r="G148" i="3"/>
  <c r="G147" i="3"/>
  <c r="G146" i="3"/>
  <c r="G145" i="3"/>
  <c r="G144" i="3"/>
  <c r="G143" i="3"/>
  <c r="G142" i="3"/>
  <c r="G141" i="3"/>
  <c r="G140" i="3"/>
  <c r="G139" i="3"/>
  <c r="G138" i="3"/>
  <c r="G137" i="3"/>
  <c r="G136" i="3"/>
  <c r="G135" i="3"/>
  <c r="G134" i="3"/>
  <c r="G133" i="3"/>
  <c r="G132" i="3"/>
  <c r="G131" i="3"/>
  <c r="G130" i="3"/>
  <c r="G129" i="3"/>
  <c r="F129" i="3"/>
  <c r="F3446" i="3" s="1"/>
  <c r="E3452" i="3" s="1"/>
  <c r="G128" i="3"/>
  <c r="G127" i="3"/>
  <c r="G126" i="3"/>
  <c r="G125" i="3"/>
  <c r="G124" i="3"/>
  <c r="G123" i="3"/>
  <c r="G122" i="3"/>
  <c r="G121" i="3"/>
  <c r="G120" i="3"/>
  <c r="G119" i="3"/>
  <c r="G118" i="3"/>
  <c r="G117" i="3"/>
  <c r="G116" i="3"/>
  <c r="G115" i="3"/>
  <c r="G114" i="3"/>
  <c r="G113" i="3"/>
  <c r="G112" i="3"/>
  <c r="G111" i="3"/>
  <c r="G110" i="3"/>
  <c r="G109" i="3"/>
  <c r="G108" i="3"/>
  <c r="G107" i="3"/>
  <c r="G106" i="3"/>
  <c r="G105" i="3"/>
  <c r="G104" i="3"/>
  <c r="G103" i="3"/>
  <c r="G102" i="3"/>
  <c r="G101" i="3"/>
  <c r="G100" i="3"/>
  <c r="G99" i="3"/>
  <c r="G98" i="3"/>
  <c r="G97" i="3"/>
  <c r="G96" i="3"/>
  <c r="G95" i="3"/>
  <c r="G94" i="3"/>
  <c r="G93" i="3"/>
  <c r="G92" i="3"/>
  <c r="G91" i="3"/>
  <c r="G90" i="3"/>
  <c r="G89" i="3"/>
  <c r="G88" i="3"/>
  <c r="G87" i="3"/>
  <c r="G86" i="3"/>
  <c r="G85" i="3"/>
  <c r="G84" i="3"/>
  <c r="G83" i="3"/>
  <c r="G82" i="3"/>
  <c r="G81" i="3"/>
  <c r="G80" i="3"/>
  <c r="G79" i="3"/>
  <c r="G78" i="3"/>
  <c r="G77" i="3"/>
  <c r="G76" i="3"/>
  <c r="G75" i="3"/>
  <c r="G74" i="3"/>
  <c r="G73" i="3"/>
  <c r="G72" i="3"/>
  <c r="G71" i="3"/>
  <c r="G70" i="3"/>
  <c r="G69" i="3"/>
  <c r="G68" i="3"/>
  <c r="G67" i="3"/>
  <c r="G66" i="3"/>
  <c r="G65" i="3"/>
  <c r="G64" i="3"/>
  <c r="G63" i="3"/>
  <c r="G62" i="3"/>
  <c r="G61" i="3"/>
  <c r="G60" i="3"/>
  <c r="G59" i="3"/>
  <c r="G58" i="3"/>
  <c r="G57" i="3"/>
  <c r="G56" i="3"/>
  <c r="G55" i="3"/>
  <c r="G54" i="3"/>
  <c r="G53" i="3"/>
  <c r="G52" i="3"/>
  <c r="G51" i="3"/>
  <c r="G50" i="3"/>
  <c r="G49" i="3"/>
  <c r="G48" i="3"/>
  <c r="G47" i="3"/>
  <c r="G46" i="3"/>
  <c r="G45" i="3"/>
  <c r="G44" i="3"/>
  <c r="G43" i="3"/>
  <c r="G42" i="3"/>
  <c r="G41" i="3"/>
  <c r="G40" i="3"/>
  <c r="G39" i="3"/>
  <c r="G38" i="3"/>
  <c r="G37" i="3"/>
  <c r="G36" i="3"/>
  <c r="G35" i="3"/>
  <c r="G34" i="3"/>
  <c r="G33" i="3"/>
  <c r="G32" i="3"/>
  <c r="G31" i="3"/>
  <c r="G30" i="3"/>
  <c r="G29" i="3"/>
  <c r="G28" i="3"/>
  <c r="G27" i="3"/>
  <c r="G26" i="3"/>
  <c r="G25" i="3"/>
  <c r="G24" i="3"/>
  <c r="G23" i="3"/>
  <c r="G22" i="3"/>
  <c r="G21" i="3"/>
  <c r="G20" i="3"/>
  <c r="G19" i="3"/>
  <c r="G18" i="3"/>
  <c r="G17" i="3"/>
  <c r="G16" i="3"/>
  <c r="G15" i="3"/>
  <c r="G14" i="3"/>
  <c r="G13" i="3"/>
  <c r="G12" i="3"/>
  <c r="G11" i="3"/>
  <c r="G10" i="3"/>
  <c r="G9" i="3"/>
  <c r="G8" i="3"/>
  <c r="G7" i="3"/>
  <c r="G6" i="3"/>
  <c r="G5" i="3"/>
  <c r="G4" i="3"/>
  <c r="G3" i="3"/>
  <c r="G2" i="3"/>
  <c r="G3446" i="3" l="1"/>
  <c r="F2837" i="2" l="1"/>
  <c r="F2568" i="2" l="1"/>
  <c r="F2958" i="2" l="1"/>
  <c r="F2495" i="2" l="1"/>
  <c r="F2191" i="2"/>
  <c r="F3073" i="2" l="1"/>
  <c r="F1749" i="2"/>
  <c r="F3079" i="2" l="1"/>
  <c r="F2900" i="2"/>
  <c r="F3009" i="2" l="1"/>
  <c r="F2902" i="2"/>
  <c r="F2788" i="2"/>
  <c r="D3172" i="2" l="1"/>
  <c r="G3171" i="2"/>
  <c r="G3170" i="2"/>
  <c r="G3169" i="2"/>
  <c r="G3168" i="2"/>
  <c r="G3167" i="2"/>
  <c r="G3166" i="2"/>
  <c r="G3165" i="2"/>
  <c r="G3164" i="2"/>
  <c r="G3163" i="2"/>
  <c r="G3162" i="2"/>
  <c r="G3161" i="2"/>
  <c r="G3160" i="2"/>
  <c r="G3159" i="2"/>
  <c r="G3158" i="2"/>
  <c r="G3157" i="2"/>
  <c r="G3156" i="2"/>
  <c r="G3155" i="2"/>
  <c r="G3154" i="2"/>
  <c r="G3153" i="2"/>
  <c r="G3152" i="2"/>
  <c r="G3151" i="2"/>
  <c r="G3150" i="2"/>
  <c r="G3149" i="2"/>
  <c r="G3148" i="2"/>
  <c r="G3147" i="2"/>
  <c r="G3146" i="2"/>
  <c r="G3145" i="2"/>
  <c r="G3144" i="2"/>
  <c r="G3143" i="2"/>
  <c r="G3142" i="2"/>
  <c r="G3141" i="2"/>
  <c r="G3140" i="2"/>
  <c r="G3139" i="2"/>
  <c r="G3138" i="2"/>
  <c r="G3137" i="2"/>
  <c r="G3136" i="2"/>
  <c r="G3135" i="2"/>
  <c r="G3134" i="2"/>
  <c r="G3133" i="2"/>
  <c r="G3132" i="2"/>
  <c r="G3131" i="2"/>
  <c r="G3130" i="2"/>
  <c r="G3129" i="2"/>
  <c r="G3128" i="2"/>
  <c r="G3127" i="2"/>
  <c r="G3126" i="2"/>
  <c r="G3125" i="2"/>
  <c r="G3124" i="2"/>
  <c r="G3123" i="2"/>
  <c r="G3122" i="2"/>
  <c r="G3121" i="2"/>
  <c r="G3120" i="2"/>
  <c r="G3119" i="2"/>
  <c r="G3118" i="2"/>
  <c r="G3117" i="2"/>
  <c r="G3116" i="2"/>
  <c r="G3115" i="2"/>
  <c r="G3114" i="2"/>
  <c r="G3113" i="2"/>
  <c r="G3112" i="2"/>
  <c r="G3111" i="2"/>
  <c r="G3110" i="2"/>
  <c r="G3109" i="2"/>
  <c r="G3108" i="2"/>
  <c r="G3107" i="2"/>
  <c r="G3106" i="2"/>
  <c r="G3105" i="2"/>
  <c r="G3104" i="2"/>
  <c r="G3103" i="2"/>
  <c r="G3102" i="2"/>
  <c r="G3101" i="2"/>
  <c r="G3100" i="2"/>
  <c r="G3099" i="2"/>
  <c r="G3098" i="2"/>
  <c r="G3097" i="2"/>
  <c r="G3096" i="2"/>
  <c r="G3095" i="2"/>
  <c r="G3094" i="2"/>
  <c r="G3093" i="2"/>
  <c r="G3092" i="2"/>
  <c r="G3091" i="2"/>
  <c r="G3090" i="2"/>
  <c r="G3089" i="2"/>
  <c r="G3088" i="2"/>
  <c r="G3087" i="2"/>
  <c r="G3086" i="2"/>
  <c r="G3085" i="2"/>
  <c r="G3084" i="2"/>
  <c r="G3083" i="2"/>
  <c r="G3082" i="2"/>
  <c r="G3081" i="2"/>
  <c r="G3080" i="2"/>
  <c r="G3079" i="2"/>
  <c r="G3078" i="2"/>
  <c r="G3077" i="2"/>
  <c r="G3076" i="2"/>
  <c r="G3075" i="2"/>
  <c r="G3074" i="2"/>
  <c r="G3073" i="2"/>
  <c r="G3072" i="2"/>
  <c r="G3071" i="2"/>
  <c r="G3070" i="2"/>
  <c r="G3069" i="2"/>
  <c r="G3068" i="2"/>
  <c r="G3067" i="2"/>
  <c r="G3066" i="2"/>
  <c r="G3065" i="2"/>
  <c r="G3064" i="2"/>
  <c r="G3063" i="2"/>
  <c r="G3062" i="2"/>
  <c r="G3061" i="2"/>
  <c r="G3060" i="2"/>
  <c r="G3059" i="2"/>
  <c r="G3058" i="2"/>
  <c r="G3057" i="2"/>
  <c r="G3056" i="2"/>
  <c r="G3055" i="2"/>
  <c r="G3054" i="2"/>
  <c r="G3053" i="2"/>
  <c r="G3052" i="2"/>
  <c r="G3051" i="2"/>
  <c r="G3050" i="2"/>
  <c r="G3049" i="2"/>
  <c r="G3048" i="2"/>
  <c r="G3047" i="2"/>
  <c r="G3046" i="2"/>
  <c r="G3045" i="2"/>
  <c r="G3044" i="2"/>
  <c r="G3043" i="2"/>
  <c r="G3042" i="2"/>
  <c r="G3041" i="2"/>
  <c r="G3040" i="2"/>
  <c r="G3039" i="2"/>
  <c r="G3038" i="2"/>
  <c r="G3037" i="2"/>
  <c r="G3036" i="2"/>
  <c r="G3035" i="2"/>
  <c r="G3034" i="2"/>
  <c r="G3033" i="2"/>
  <c r="G3032" i="2"/>
  <c r="G3031" i="2"/>
  <c r="G3030" i="2"/>
  <c r="G3029" i="2"/>
  <c r="G3028" i="2"/>
  <c r="G3027" i="2"/>
  <c r="G3026" i="2"/>
  <c r="G3025" i="2"/>
  <c r="G3024" i="2"/>
  <c r="G3023" i="2"/>
  <c r="G3022" i="2"/>
  <c r="G3021" i="2"/>
  <c r="G3020" i="2"/>
  <c r="G3019" i="2"/>
  <c r="G3018" i="2"/>
  <c r="G3017" i="2"/>
  <c r="G3016" i="2"/>
  <c r="G3015" i="2"/>
  <c r="G3014" i="2"/>
  <c r="G3013" i="2"/>
  <c r="G3012" i="2"/>
  <c r="G3011" i="2"/>
  <c r="G3010" i="2"/>
  <c r="G3009" i="2"/>
  <c r="G3008" i="2"/>
  <c r="G3007" i="2"/>
  <c r="G3006" i="2"/>
  <c r="G3005" i="2"/>
  <c r="G3004" i="2"/>
  <c r="G3003" i="2"/>
  <c r="G3002" i="2"/>
  <c r="G3001" i="2"/>
  <c r="G3000" i="2"/>
  <c r="G2999" i="2"/>
  <c r="G2998" i="2"/>
  <c r="G2997" i="2"/>
  <c r="G2996" i="2"/>
  <c r="G2995" i="2"/>
  <c r="G2994" i="2"/>
  <c r="G2993" i="2"/>
  <c r="G2992" i="2"/>
  <c r="G2991" i="2"/>
  <c r="G2990" i="2"/>
  <c r="G2989" i="2"/>
  <c r="G2988" i="2"/>
  <c r="G2987" i="2"/>
  <c r="G2986" i="2"/>
  <c r="G2985" i="2"/>
  <c r="G2984" i="2"/>
  <c r="G2983" i="2"/>
  <c r="G2982" i="2"/>
  <c r="G2981" i="2"/>
  <c r="G2980" i="2"/>
  <c r="G2979" i="2"/>
  <c r="G2978" i="2"/>
  <c r="G2977" i="2"/>
  <c r="G2976" i="2"/>
  <c r="G2975" i="2"/>
  <c r="G2974" i="2"/>
  <c r="G2973" i="2"/>
  <c r="G2972" i="2"/>
  <c r="G2971" i="2"/>
  <c r="G2970" i="2"/>
  <c r="G2969" i="2"/>
  <c r="G2968" i="2"/>
  <c r="G2967" i="2"/>
  <c r="G2966" i="2"/>
  <c r="G2965" i="2"/>
  <c r="G2964" i="2"/>
  <c r="G2963" i="2"/>
  <c r="G2962" i="2"/>
  <c r="G2961" i="2"/>
  <c r="G2960" i="2"/>
  <c r="G2959" i="2"/>
  <c r="G2958" i="2"/>
  <c r="G2957" i="2"/>
  <c r="G2956" i="2"/>
  <c r="G2955" i="2"/>
  <c r="G2954" i="2"/>
  <c r="G2953" i="2"/>
  <c r="G2952" i="2"/>
  <c r="G2951" i="2"/>
  <c r="G2950" i="2"/>
  <c r="G2949" i="2"/>
  <c r="G2948" i="2"/>
  <c r="G2947" i="2"/>
  <c r="G2946" i="2"/>
  <c r="G2945" i="2"/>
  <c r="G2944" i="2"/>
  <c r="G2943" i="2"/>
  <c r="G2942" i="2"/>
  <c r="G2941" i="2"/>
  <c r="G2940" i="2"/>
  <c r="G2939" i="2"/>
  <c r="G2938" i="2"/>
  <c r="G2937" i="2"/>
  <c r="G2936" i="2"/>
  <c r="G2935" i="2"/>
  <c r="G2934" i="2"/>
  <c r="G2933" i="2"/>
  <c r="G2932" i="2"/>
  <c r="G2931" i="2"/>
  <c r="G2930" i="2"/>
  <c r="G2929" i="2"/>
  <c r="G2928" i="2"/>
  <c r="G2927" i="2"/>
  <c r="G2926" i="2"/>
  <c r="G2925" i="2"/>
  <c r="G2924" i="2"/>
  <c r="G2923" i="2"/>
  <c r="G2922" i="2"/>
  <c r="G2921" i="2"/>
  <c r="G2920" i="2"/>
  <c r="G2919" i="2"/>
  <c r="G2918" i="2"/>
  <c r="G2917" i="2"/>
  <c r="G2916" i="2"/>
  <c r="G2915" i="2"/>
  <c r="G2914" i="2"/>
  <c r="G2913" i="2"/>
  <c r="G2912" i="2"/>
  <c r="G2911" i="2"/>
  <c r="G2910" i="2"/>
  <c r="G2909" i="2"/>
  <c r="G2908" i="2"/>
  <c r="G2907" i="2"/>
  <c r="G2906" i="2"/>
  <c r="G2905" i="2"/>
  <c r="G2904" i="2"/>
  <c r="G2903" i="2"/>
  <c r="G2902" i="2"/>
  <c r="G2901" i="2"/>
  <c r="G2900" i="2"/>
  <c r="G2899" i="2"/>
  <c r="G2898" i="2"/>
  <c r="G2897" i="2"/>
  <c r="G2896" i="2"/>
  <c r="G2895" i="2"/>
  <c r="G2894" i="2"/>
  <c r="G2893" i="2"/>
  <c r="G2892" i="2"/>
  <c r="G2891" i="2"/>
  <c r="G2890" i="2"/>
  <c r="G2889" i="2"/>
  <c r="G2888" i="2"/>
  <c r="G2887" i="2"/>
  <c r="G2886" i="2"/>
  <c r="G2885" i="2"/>
  <c r="G2884" i="2"/>
  <c r="G2883" i="2"/>
  <c r="G2882" i="2"/>
  <c r="G2881" i="2"/>
  <c r="G2880" i="2"/>
  <c r="G2879" i="2"/>
  <c r="G2878" i="2"/>
  <c r="G2877" i="2"/>
  <c r="G2876" i="2"/>
  <c r="G2875" i="2"/>
  <c r="G2874" i="2"/>
  <c r="G2873" i="2"/>
  <c r="G2872" i="2"/>
  <c r="G2871" i="2"/>
  <c r="G2870" i="2"/>
  <c r="G2869" i="2"/>
  <c r="G2868" i="2"/>
  <c r="G2867" i="2"/>
  <c r="G2866" i="2"/>
  <c r="G2865" i="2"/>
  <c r="G2864" i="2"/>
  <c r="G2863" i="2"/>
  <c r="G2862" i="2"/>
  <c r="G2861" i="2"/>
  <c r="G2860" i="2"/>
  <c r="G2859" i="2"/>
  <c r="G2858" i="2"/>
  <c r="G2857" i="2"/>
  <c r="G2856" i="2"/>
  <c r="G2855" i="2"/>
  <c r="G2854" i="2"/>
  <c r="G2853" i="2"/>
  <c r="G2852" i="2"/>
  <c r="G2851" i="2"/>
  <c r="G2850" i="2"/>
  <c r="G2849" i="2"/>
  <c r="G2848" i="2"/>
  <c r="G2847" i="2"/>
  <c r="G2846" i="2"/>
  <c r="G2845" i="2"/>
  <c r="G2844" i="2"/>
  <c r="G2843" i="2"/>
  <c r="G2842" i="2"/>
  <c r="G2841" i="2"/>
  <c r="G2840" i="2"/>
  <c r="G2839" i="2"/>
  <c r="G2838" i="2"/>
  <c r="G2837" i="2"/>
  <c r="G2836" i="2"/>
  <c r="G2835" i="2"/>
  <c r="G2834" i="2"/>
  <c r="G2833" i="2"/>
  <c r="G2832" i="2"/>
  <c r="G2831" i="2"/>
  <c r="G2830" i="2"/>
  <c r="G2829" i="2"/>
  <c r="G2828" i="2"/>
  <c r="G2827" i="2"/>
  <c r="G2826" i="2"/>
  <c r="G2825" i="2"/>
  <c r="G2824" i="2"/>
  <c r="G2823" i="2"/>
  <c r="G2822" i="2"/>
  <c r="G2821" i="2"/>
  <c r="G2820" i="2"/>
  <c r="G2819" i="2"/>
  <c r="G2818" i="2"/>
  <c r="G2817" i="2"/>
  <c r="G2816" i="2"/>
  <c r="G2815" i="2"/>
  <c r="G2814" i="2"/>
  <c r="G2813" i="2"/>
  <c r="G2812" i="2"/>
  <c r="G2811" i="2"/>
  <c r="G2810" i="2"/>
  <c r="G2809" i="2"/>
  <c r="G2808" i="2"/>
  <c r="G2807" i="2"/>
  <c r="G2806" i="2"/>
  <c r="G2805" i="2"/>
  <c r="G2804" i="2"/>
  <c r="G2803" i="2"/>
  <c r="G2802" i="2"/>
  <c r="G2801" i="2"/>
  <c r="G2800" i="2"/>
  <c r="G2799" i="2"/>
  <c r="G2798" i="2"/>
  <c r="G2797" i="2"/>
  <c r="G2796" i="2"/>
  <c r="G2795" i="2"/>
  <c r="G2794" i="2"/>
  <c r="G2793" i="2"/>
  <c r="G2792" i="2"/>
  <c r="G2791" i="2"/>
  <c r="G2790" i="2"/>
  <c r="G2789" i="2"/>
  <c r="G2788" i="2"/>
  <c r="F2787" i="2"/>
  <c r="G2787" i="2" s="1"/>
  <c r="G2786" i="2"/>
  <c r="G2785" i="2"/>
  <c r="G2784" i="2"/>
  <c r="G2783" i="2"/>
  <c r="G2782" i="2"/>
  <c r="G2781" i="2"/>
  <c r="G2780" i="2"/>
  <c r="G2779" i="2"/>
  <c r="G2778" i="2"/>
  <c r="G2777" i="2"/>
  <c r="G2776" i="2"/>
  <c r="G2775" i="2"/>
  <c r="G2774" i="2"/>
  <c r="G2773" i="2"/>
  <c r="G2772" i="2"/>
  <c r="G2771" i="2"/>
  <c r="G2770" i="2"/>
  <c r="G2769" i="2"/>
  <c r="G2768" i="2"/>
  <c r="G2767" i="2"/>
  <c r="G2766" i="2"/>
  <c r="G2765" i="2"/>
  <c r="G2764" i="2"/>
  <c r="G2763" i="2"/>
  <c r="G2762" i="2"/>
  <c r="G2761" i="2"/>
  <c r="G2760" i="2"/>
  <c r="G2759" i="2"/>
  <c r="G2758" i="2"/>
  <c r="G2757" i="2"/>
  <c r="G2756" i="2"/>
  <c r="G2755" i="2"/>
  <c r="G2754" i="2"/>
  <c r="G2753" i="2"/>
  <c r="G2752" i="2"/>
  <c r="G2751" i="2"/>
  <c r="G2750" i="2"/>
  <c r="G2749" i="2"/>
  <c r="G2748" i="2"/>
  <c r="G2747" i="2"/>
  <c r="G2746" i="2"/>
  <c r="G2745" i="2"/>
  <c r="G2744" i="2"/>
  <c r="G2743" i="2"/>
  <c r="G2742" i="2"/>
  <c r="G2741" i="2"/>
  <c r="G2740" i="2"/>
  <c r="G2739" i="2"/>
  <c r="G2738" i="2"/>
  <c r="G2737" i="2"/>
  <c r="G2736" i="2"/>
  <c r="G2735" i="2"/>
  <c r="G2734" i="2"/>
  <c r="G2733" i="2"/>
  <c r="G2732" i="2"/>
  <c r="G2731" i="2"/>
  <c r="G2730" i="2"/>
  <c r="G2729" i="2"/>
  <c r="G2728" i="2"/>
  <c r="G2727" i="2"/>
  <c r="G2726" i="2"/>
  <c r="G2725" i="2"/>
  <c r="G2724" i="2"/>
  <c r="G2723" i="2"/>
  <c r="G2722" i="2"/>
  <c r="G2721" i="2"/>
  <c r="G2720" i="2"/>
  <c r="G2719" i="2"/>
  <c r="G2718" i="2"/>
  <c r="G2717" i="2"/>
  <c r="G2716" i="2"/>
  <c r="G2715" i="2"/>
  <c r="G2714" i="2"/>
  <c r="G2713" i="2"/>
  <c r="G2712" i="2"/>
  <c r="G2711" i="2"/>
  <c r="G2710" i="2"/>
  <c r="G2709" i="2"/>
  <c r="G2708" i="2"/>
  <c r="G2707" i="2"/>
  <c r="G2706" i="2"/>
  <c r="G2705" i="2"/>
  <c r="G2704" i="2"/>
  <c r="G2703" i="2"/>
  <c r="G2702" i="2"/>
  <c r="G2701" i="2"/>
  <c r="G2700" i="2"/>
  <c r="G2699" i="2"/>
  <c r="G2698" i="2"/>
  <c r="G2697" i="2"/>
  <c r="G2696" i="2"/>
  <c r="G2695" i="2"/>
  <c r="G2694" i="2"/>
  <c r="G2693" i="2"/>
  <c r="G2692" i="2"/>
  <c r="G2691" i="2"/>
  <c r="G2690" i="2"/>
  <c r="G2689" i="2"/>
  <c r="G2688" i="2"/>
  <c r="G2687" i="2"/>
  <c r="G2686" i="2"/>
  <c r="G2685" i="2"/>
  <c r="G2684" i="2"/>
  <c r="G2683" i="2"/>
  <c r="G2682" i="2"/>
  <c r="G2681" i="2"/>
  <c r="G2680" i="2"/>
  <c r="G2679" i="2"/>
  <c r="G2678" i="2"/>
  <c r="G2677" i="2"/>
  <c r="G2676" i="2"/>
  <c r="G2675" i="2"/>
  <c r="G2674" i="2"/>
  <c r="G2673" i="2"/>
  <c r="G2672" i="2"/>
  <c r="G2671" i="2"/>
  <c r="G2670" i="2"/>
  <c r="G2669" i="2"/>
  <c r="G2668" i="2"/>
  <c r="G2667" i="2"/>
  <c r="G2666" i="2"/>
  <c r="G2665" i="2"/>
  <c r="G2664" i="2"/>
  <c r="G2663" i="2"/>
  <c r="G2662" i="2"/>
  <c r="G2661" i="2"/>
  <c r="G2660" i="2"/>
  <c r="G2659" i="2"/>
  <c r="G2658" i="2"/>
  <c r="G2657" i="2"/>
  <c r="G2656" i="2"/>
  <c r="G2655" i="2"/>
  <c r="G2654" i="2"/>
  <c r="G2653" i="2"/>
  <c r="G2652" i="2"/>
  <c r="G2651" i="2"/>
  <c r="G2650" i="2"/>
  <c r="G2649" i="2"/>
  <c r="G2648" i="2"/>
  <c r="G2647" i="2"/>
  <c r="G2646" i="2"/>
  <c r="G2645" i="2"/>
  <c r="G2644" i="2"/>
  <c r="G2643" i="2"/>
  <c r="G2642" i="2"/>
  <c r="G2641" i="2"/>
  <c r="G2640" i="2"/>
  <c r="G2639" i="2"/>
  <c r="G2638" i="2"/>
  <c r="G2637" i="2"/>
  <c r="G2636" i="2"/>
  <c r="G2635" i="2"/>
  <c r="G2634" i="2"/>
  <c r="G2633" i="2"/>
  <c r="G2632" i="2"/>
  <c r="G2631" i="2"/>
  <c r="G2630" i="2"/>
  <c r="G2629" i="2"/>
  <c r="G2628" i="2"/>
  <c r="G2627" i="2"/>
  <c r="G2626" i="2"/>
  <c r="G2625" i="2"/>
  <c r="G2624" i="2"/>
  <c r="G2623" i="2"/>
  <c r="G2622" i="2"/>
  <c r="G2621" i="2"/>
  <c r="G2620" i="2"/>
  <c r="G2619" i="2"/>
  <c r="G2618" i="2"/>
  <c r="G2617" i="2"/>
  <c r="G2616" i="2"/>
  <c r="G2615" i="2"/>
  <c r="G2614" i="2"/>
  <c r="G2613" i="2"/>
  <c r="G2612" i="2"/>
  <c r="G2611" i="2"/>
  <c r="G2610" i="2"/>
  <c r="G2609" i="2"/>
  <c r="G2608" i="2"/>
  <c r="G2607" i="2"/>
  <c r="G2606" i="2"/>
  <c r="G2605" i="2"/>
  <c r="G2604" i="2"/>
  <c r="G2603" i="2"/>
  <c r="G2602" i="2"/>
  <c r="G2601" i="2"/>
  <c r="G2600" i="2"/>
  <c r="G2599" i="2"/>
  <c r="G2598" i="2"/>
  <c r="G2597" i="2"/>
  <c r="G2596" i="2"/>
  <c r="G2595" i="2"/>
  <c r="G2594" i="2"/>
  <c r="G2593" i="2"/>
  <c r="G2592" i="2"/>
  <c r="G2591" i="2"/>
  <c r="G2590" i="2"/>
  <c r="G2589" i="2"/>
  <c r="G2588" i="2"/>
  <c r="G2587" i="2"/>
  <c r="G2586" i="2"/>
  <c r="G2585" i="2"/>
  <c r="G2584" i="2"/>
  <c r="G2583" i="2"/>
  <c r="G2582" i="2"/>
  <c r="G2581" i="2"/>
  <c r="G2580" i="2"/>
  <c r="G2579" i="2"/>
  <c r="G2578" i="2"/>
  <c r="G2577" i="2"/>
  <c r="G2576" i="2"/>
  <c r="G2575" i="2"/>
  <c r="G2574" i="2"/>
  <c r="G2573" i="2"/>
  <c r="G2572" i="2"/>
  <c r="G2571" i="2"/>
  <c r="G2570" i="2"/>
  <c r="G2569" i="2"/>
  <c r="G2568" i="2"/>
  <c r="G2567" i="2"/>
  <c r="G2566" i="2"/>
  <c r="G2565" i="2"/>
  <c r="G2564" i="2"/>
  <c r="G2563" i="2"/>
  <c r="G2562" i="2"/>
  <c r="G2561" i="2"/>
  <c r="G2560" i="2"/>
  <c r="G2559" i="2"/>
  <c r="G2558" i="2"/>
  <c r="G2557" i="2"/>
  <c r="G2556" i="2"/>
  <c r="G2555" i="2"/>
  <c r="G2554" i="2"/>
  <c r="G2553" i="2"/>
  <c r="G2552" i="2"/>
  <c r="G2551" i="2"/>
  <c r="G2550" i="2"/>
  <c r="G2549" i="2"/>
  <c r="G2548" i="2"/>
  <c r="G2547" i="2"/>
  <c r="G2546" i="2"/>
  <c r="G2545" i="2"/>
  <c r="G2544" i="2"/>
  <c r="G2543" i="2"/>
  <c r="G2542" i="2"/>
  <c r="G2541" i="2"/>
  <c r="G2540" i="2"/>
  <c r="G2539" i="2"/>
  <c r="G2538" i="2"/>
  <c r="G2537" i="2"/>
  <c r="G2536" i="2"/>
  <c r="G2535" i="2"/>
  <c r="G2534" i="2"/>
  <c r="G2533" i="2"/>
  <c r="G2532" i="2"/>
  <c r="G2531" i="2"/>
  <c r="G2530" i="2"/>
  <c r="G2529" i="2"/>
  <c r="G2528" i="2"/>
  <c r="G2527" i="2"/>
  <c r="F2526" i="2"/>
  <c r="G2526" i="2" s="1"/>
  <c r="G2525" i="2"/>
  <c r="G2524" i="2"/>
  <c r="G2523" i="2"/>
  <c r="G2522" i="2"/>
  <c r="G2521" i="2"/>
  <c r="G2520" i="2"/>
  <c r="G2519" i="2"/>
  <c r="G2518" i="2"/>
  <c r="G2517" i="2"/>
  <c r="G2516" i="2"/>
  <c r="G2515" i="2"/>
  <c r="F2514" i="2"/>
  <c r="G2514" i="2" s="1"/>
  <c r="G2513" i="2"/>
  <c r="G2512" i="2"/>
  <c r="G2511" i="2"/>
  <c r="G2510" i="2"/>
  <c r="G2509" i="2"/>
  <c r="G2508" i="2"/>
  <c r="G2507" i="2"/>
  <c r="G2506" i="2"/>
  <c r="G2505" i="2"/>
  <c r="G2504" i="2"/>
  <c r="G2503" i="2"/>
  <c r="G2502" i="2"/>
  <c r="G2501" i="2"/>
  <c r="G2500" i="2"/>
  <c r="G2499" i="2"/>
  <c r="G2498" i="2"/>
  <c r="G2497" i="2"/>
  <c r="G2496" i="2"/>
  <c r="G2495" i="2"/>
  <c r="G2494" i="2"/>
  <c r="G2493" i="2"/>
  <c r="G2492" i="2"/>
  <c r="G2491" i="2"/>
  <c r="G2490" i="2"/>
  <c r="G2489" i="2"/>
  <c r="G2488" i="2"/>
  <c r="G2487" i="2"/>
  <c r="G2486" i="2"/>
  <c r="G2485" i="2"/>
  <c r="G2484" i="2"/>
  <c r="G2483" i="2"/>
  <c r="G2482" i="2"/>
  <c r="G2481" i="2"/>
  <c r="G2480" i="2"/>
  <c r="G2479" i="2"/>
  <c r="G2478" i="2"/>
  <c r="G2477" i="2"/>
  <c r="G2476" i="2"/>
  <c r="G2475" i="2"/>
  <c r="G2474" i="2"/>
  <c r="G2473" i="2"/>
  <c r="G2472" i="2"/>
  <c r="G2471" i="2"/>
  <c r="G2470" i="2"/>
  <c r="G2469" i="2"/>
  <c r="G2468" i="2"/>
  <c r="G2467" i="2"/>
  <c r="G2466" i="2"/>
  <c r="G2465" i="2"/>
  <c r="G2464" i="2"/>
  <c r="G2463" i="2"/>
  <c r="G2462" i="2"/>
  <c r="G2461" i="2"/>
  <c r="G2460" i="2"/>
  <c r="G2459" i="2"/>
  <c r="G2458" i="2"/>
  <c r="G2457" i="2"/>
  <c r="G2456" i="2"/>
  <c r="G2455" i="2"/>
  <c r="G2454" i="2"/>
  <c r="G2453" i="2"/>
  <c r="G2452" i="2"/>
  <c r="G2451" i="2"/>
  <c r="G2450" i="2"/>
  <c r="G2449" i="2"/>
  <c r="G2448" i="2"/>
  <c r="G2447" i="2"/>
  <c r="G2446" i="2"/>
  <c r="G2445" i="2"/>
  <c r="G2444" i="2"/>
  <c r="G2443" i="2"/>
  <c r="G2442" i="2"/>
  <c r="G2441" i="2"/>
  <c r="G2440" i="2"/>
  <c r="G2439" i="2"/>
  <c r="G2438" i="2"/>
  <c r="G2437" i="2"/>
  <c r="G2436" i="2"/>
  <c r="G2435" i="2"/>
  <c r="G2434" i="2"/>
  <c r="G2433" i="2"/>
  <c r="G2432" i="2"/>
  <c r="G2431" i="2"/>
  <c r="G2430" i="2"/>
  <c r="G2429" i="2"/>
  <c r="G2428" i="2"/>
  <c r="G2427" i="2"/>
  <c r="G2426" i="2"/>
  <c r="G2425" i="2"/>
  <c r="G2424" i="2"/>
  <c r="G2423" i="2"/>
  <c r="G2422" i="2"/>
  <c r="G2421" i="2"/>
  <c r="G2420" i="2"/>
  <c r="G2419" i="2"/>
  <c r="G2418" i="2"/>
  <c r="G2417" i="2"/>
  <c r="G2416" i="2"/>
  <c r="G2415" i="2"/>
  <c r="G2414" i="2"/>
  <c r="G2413" i="2"/>
  <c r="G2412" i="2"/>
  <c r="G2411" i="2"/>
  <c r="G2410" i="2"/>
  <c r="F2409" i="2"/>
  <c r="G2409" i="2" s="1"/>
  <c r="G2408" i="2"/>
  <c r="G2407" i="2"/>
  <c r="G2406" i="2"/>
  <c r="G2405" i="2"/>
  <c r="G2404" i="2"/>
  <c r="G2403" i="2"/>
  <c r="G2402" i="2"/>
  <c r="G2401" i="2"/>
  <c r="G2400" i="2"/>
  <c r="G2399" i="2"/>
  <c r="G2398" i="2"/>
  <c r="G2397" i="2"/>
  <c r="G2396" i="2"/>
  <c r="G2395" i="2"/>
  <c r="G2394" i="2"/>
  <c r="G2393" i="2"/>
  <c r="G2392" i="2"/>
  <c r="G2391" i="2"/>
  <c r="G2390" i="2"/>
  <c r="G2389" i="2"/>
  <c r="G2388" i="2"/>
  <c r="G2387" i="2"/>
  <c r="G2386" i="2"/>
  <c r="G2385" i="2"/>
  <c r="G2384" i="2"/>
  <c r="G2383" i="2"/>
  <c r="G2382" i="2"/>
  <c r="G2381" i="2"/>
  <c r="G2380" i="2"/>
  <c r="G2379" i="2"/>
  <c r="G2378" i="2"/>
  <c r="G2377" i="2"/>
  <c r="G2376" i="2"/>
  <c r="G2375" i="2"/>
  <c r="G2374" i="2"/>
  <c r="G2373" i="2"/>
  <c r="G2372" i="2"/>
  <c r="G2371" i="2"/>
  <c r="G2370" i="2"/>
  <c r="G2369" i="2"/>
  <c r="G2368" i="2"/>
  <c r="G2367" i="2"/>
  <c r="G2366" i="2"/>
  <c r="G2365" i="2"/>
  <c r="G2364" i="2"/>
  <c r="G2363" i="2"/>
  <c r="G2362" i="2"/>
  <c r="G2361" i="2"/>
  <c r="G2360" i="2"/>
  <c r="G2359" i="2"/>
  <c r="G2358" i="2"/>
  <c r="G2357" i="2"/>
  <c r="G2356" i="2"/>
  <c r="G2355" i="2"/>
  <c r="G2354" i="2"/>
  <c r="G2353" i="2"/>
  <c r="G2352" i="2"/>
  <c r="G2351" i="2"/>
  <c r="G2350" i="2"/>
  <c r="G2349" i="2"/>
  <c r="G2348" i="2"/>
  <c r="G2347" i="2"/>
  <c r="G2346" i="2"/>
  <c r="G2345" i="2"/>
  <c r="G2344" i="2"/>
  <c r="G2343" i="2"/>
  <c r="G2342" i="2"/>
  <c r="G2341" i="2"/>
  <c r="G2340" i="2"/>
  <c r="G2339" i="2"/>
  <c r="G2338" i="2"/>
  <c r="G2337" i="2"/>
  <c r="G2336" i="2"/>
  <c r="G2335" i="2"/>
  <c r="G2334" i="2"/>
  <c r="G2333" i="2"/>
  <c r="G2332" i="2"/>
  <c r="G2331" i="2"/>
  <c r="G2330" i="2"/>
  <c r="G2329" i="2"/>
  <c r="G2328" i="2"/>
  <c r="G2327" i="2"/>
  <c r="G2326" i="2"/>
  <c r="G2325" i="2"/>
  <c r="G2324" i="2"/>
  <c r="G2323" i="2"/>
  <c r="G2322" i="2"/>
  <c r="G2321" i="2"/>
  <c r="G2320" i="2"/>
  <c r="G2319" i="2"/>
  <c r="G2318" i="2"/>
  <c r="G2317" i="2"/>
  <c r="G2316" i="2"/>
  <c r="G2315" i="2"/>
  <c r="G2314" i="2"/>
  <c r="G2313" i="2"/>
  <c r="G2312" i="2"/>
  <c r="G2311" i="2"/>
  <c r="G2310" i="2"/>
  <c r="G2309" i="2"/>
  <c r="G2308" i="2"/>
  <c r="G2307" i="2"/>
  <c r="G2306" i="2"/>
  <c r="G2305" i="2"/>
  <c r="G2304" i="2"/>
  <c r="G2303" i="2"/>
  <c r="G2302" i="2"/>
  <c r="G2301" i="2"/>
  <c r="G2300" i="2"/>
  <c r="G2299" i="2"/>
  <c r="G2298" i="2"/>
  <c r="G2297" i="2"/>
  <c r="G2296" i="2"/>
  <c r="G2295" i="2"/>
  <c r="G2294" i="2"/>
  <c r="G2293" i="2"/>
  <c r="G2292" i="2"/>
  <c r="G2291" i="2"/>
  <c r="G2290" i="2"/>
  <c r="G2289" i="2"/>
  <c r="G2288" i="2"/>
  <c r="G2287" i="2"/>
  <c r="G2286" i="2"/>
  <c r="G2285" i="2"/>
  <c r="G2284" i="2"/>
  <c r="G2283" i="2"/>
  <c r="G2282" i="2"/>
  <c r="G2281" i="2"/>
  <c r="G2280" i="2"/>
  <c r="G2279" i="2"/>
  <c r="G2278" i="2"/>
  <c r="F2277" i="2"/>
  <c r="G2277" i="2" s="1"/>
  <c r="G2276" i="2"/>
  <c r="G2275" i="2"/>
  <c r="G2274" i="2"/>
  <c r="G2273" i="2"/>
  <c r="G2272" i="2"/>
  <c r="G2271" i="2"/>
  <c r="G2270" i="2"/>
  <c r="G2269" i="2"/>
  <c r="F2268" i="2"/>
  <c r="G2268" i="2" s="1"/>
  <c r="G2267" i="2"/>
  <c r="G2266" i="2"/>
  <c r="G2265" i="2"/>
  <c r="G2264" i="2"/>
  <c r="F2263" i="2"/>
  <c r="G2263" i="2" s="1"/>
  <c r="G2262" i="2"/>
  <c r="G2261" i="2"/>
  <c r="G2260" i="2"/>
  <c r="G2259" i="2"/>
  <c r="G2258" i="2"/>
  <c r="G2257" i="2"/>
  <c r="G2256" i="2"/>
  <c r="G2255" i="2"/>
  <c r="G2254" i="2"/>
  <c r="G2253" i="2"/>
  <c r="G2252" i="2"/>
  <c r="G2251" i="2"/>
  <c r="G2250" i="2"/>
  <c r="G2249" i="2"/>
  <c r="G2248" i="2"/>
  <c r="G2247" i="2"/>
  <c r="G2246" i="2"/>
  <c r="G2245" i="2"/>
  <c r="G2244" i="2"/>
  <c r="G2243" i="2"/>
  <c r="G2242" i="2"/>
  <c r="G2241" i="2"/>
  <c r="G2240" i="2"/>
  <c r="G2239" i="2"/>
  <c r="G2238" i="2"/>
  <c r="G2237" i="2"/>
  <c r="G2236" i="2"/>
  <c r="G2235" i="2"/>
  <c r="G2234" i="2"/>
  <c r="G2233" i="2"/>
  <c r="G2232" i="2"/>
  <c r="G2231" i="2"/>
  <c r="G2230" i="2"/>
  <c r="G2229" i="2"/>
  <c r="F2228" i="2"/>
  <c r="G2228" i="2" s="1"/>
  <c r="G2227" i="2"/>
  <c r="G2226" i="2"/>
  <c r="G2225" i="2"/>
  <c r="G2224" i="2"/>
  <c r="G2223" i="2"/>
  <c r="G2222" i="2"/>
  <c r="G2221" i="2"/>
  <c r="G2220" i="2"/>
  <c r="G2219" i="2"/>
  <c r="G2218" i="2"/>
  <c r="G2217" i="2"/>
  <c r="G2216" i="2"/>
  <c r="G2215" i="2"/>
  <c r="G2214" i="2"/>
  <c r="G2213" i="2"/>
  <c r="G2212" i="2"/>
  <c r="G2211" i="2"/>
  <c r="G2210" i="2"/>
  <c r="G2209" i="2"/>
  <c r="G2208" i="2"/>
  <c r="G2207" i="2"/>
  <c r="G2206" i="2"/>
  <c r="G2205" i="2"/>
  <c r="G2204" i="2"/>
  <c r="G2203" i="2"/>
  <c r="G2202" i="2"/>
  <c r="G2201" i="2"/>
  <c r="G2200" i="2"/>
  <c r="G2199" i="2"/>
  <c r="G2198" i="2"/>
  <c r="G2197" i="2"/>
  <c r="G2196" i="2"/>
  <c r="G2195" i="2"/>
  <c r="G2194" i="2"/>
  <c r="G2193" i="2"/>
  <c r="G2192" i="2"/>
  <c r="G2191" i="2"/>
  <c r="G2190" i="2"/>
  <c r="G2189" i="2"/>
  <c r="G2188" i="2"/>
  <c r="G2187" i="2"/>
  <c r="G2186" i="2"/>
  <c r="G2185" i="2"/>
  <c r="G2184" i="2"/>
  <c r="G2183" i="2"/>
  <c r="G2182" i="2"/>
  <c r="G2181" i="2"/>
  <c r="G2180" i="2"/>
  <c r="G2179" i="2"/>
  <c r="G2178" i="2"/>
  <c r="G2177" i="2"/>
  <c r="G2176" i="2"/>
  <c r="G2175" i="2"/>
  <c r="G2174" i="2"/>
  <c r="G2173" i="2"/>
  <c r="G2172" i="2"/>
  <c r="G2171" i="2"/>
  <c r="G2170" i="2"/>
  <c r="G2169" i="2"/>
  <c r="G2168" i="2"/>
  <c r="G2167" i="2"/>
  <c r="G2166" i="2"/>
  <c r="G2165" i="2"/>
  <c r="G2164" i="2"/>
  <c r="G2163" i="2"/>
  <c r="G2162" i="2"/>
  <c r="G2161" i="2"/>
  <c r="G2160" i="2"/>
  <c r="G2159" i="2"/>
  <c r="G2158" i="2"/>
  <c r="G2157" i="2"/>
  <c r="G2156" i="2"/>
  <c r="G2155" i="2"/>
  <c r="G2154" i="2"/>
  <c r="G2153" i="2"/>
  <c r="G2152" i="2"/>
  <c r="G2151" i="2"/>
  <c r="G2150" i="2"/>
  <c r="G2149" i="2"/>
  <c r="G2148" i="2"/>
  <c r="G2147" i="2"/>
  <c r="G2146" i="2"/>
  <c r="G2145" i="2"/>
  <c r="G2144" i="2"/>
  <c r="G2143" i="2"/>
  <c r="G2142" i="2"/>
  <c r="G2141" i="2"/>
  <c r="G2140" i="2"/>
  <c r="G2139" i="2"/>
  <c r="G2138" i="2"/>
  <c r="G2137" i="2"/>
  <c r="G2136" i="2"/>
  <c r="G2135" i="2"/>
  <c r="G2134" i="2"/>
  <c r="G2133" i="2"/>
  <c r="G2132" i="2"/>
  <c r="G2131" i="2"/>
  <c r="G2130" i="2"/>
  <c r="G2129" i="2"/>
  <c r="G2128" i="2"/>
  <c r="G2127" i="2"/>
  <c r="G2126" i="2"/>
  <c r="G2125" i="2"/>
  <c r="G2124" i="2"/>
  <c r="G2123" i="2"/>
  <c r="G2122" i="2"/>
  <c r="G2121" i="2"/>
  <c r="G2120" i="2"/>
  <c r="G2119" i="2"/>
  <c r="G2118" i="2"/>
  <c r="G2117" i="2"/>
  <c r="G2116" i="2"/>
  <c r="G2115" i="2"/>
  <c r="G2114" i="2"/>
  <c r="F2113" i="2"/>
  <c r="G2113" i="2" s="1"/>
  <c r="F2112" i="2"/>
  <c r="G2112" i="2" s="1"/>
  <c r="G2111" i="2"/>
  <c r="G2110" i="2"/>
  <c r="G2109" i="2"/>
  <c r="G2108" i="2"/>
  <c r="G2107" i="2"/>
  <c r="G2106" i="2"/>
  <c r="G2105" i="2"/>
  <c r="G2104" i="2"/>
  <c r="G2103" i="2"/>
  <c r="G2102" i="2"/>
  <c r="G2101" i="2"/>
  <c r="F2100" i="2"/>
  <c r="G2100" i="2" s="1"/>
  <c r="G2099" i="2"/>
  <c r="G2098" i="2"/>
  <c r="F2097" i="2"/>
  <c r="G2097" i="2" s="1"/>
  <c r="G2096" i="2"/>
  <c r="G2095" i="2"/>
  <c r="G2094" i="2"/>
  <c r="G2093" i="2"/>
  <c r="G2092" i="2"/>
  <c r="G2091" i="2"/>
  <c r="G2090" i="2"/>
  <c r="G2089" i="2"/>
  <c r="G2088" i="2"/>
  <c r="G2087" i="2"/>
  <c r="G2086" i="2"/>
  <c r="G2085" i="2"/>
  <c r="G2084" i="2"/>
  <c r="G2083" i="2"/>
  <c r="G2082" i="2"/>
  <c r="G2081" i="2"/>
  <c r="G2080" i="2"/>
  <c r="G2079" i="2"/>
  <c r="G2078" i="2"/>
  <c r="G2077" i="2"/>
  <c r="G2076" i="2"/>
  <c r="G2075" i="2"/>
  <c r="G2074" i="2"/>
  <c r="G2073" i="2"/>
  <c r="G2072" i="2"/>
  <c r="G2071" i="2"/>
  <c r="G2070" i="2"/>
  <c r="G2069" i="2"/>
  <c r="G2068" i="2"/>
  <c r="G2067" i="2"/>
  <c r="G2066" i="2"/>
  <c r="G2065" i="2"/>
  <c r="G2064" i="2"/>
  <c r="G2063" i="2"/>
  <c r="G2062" i="2"/>
  <c r="G2061" i="2"/>
  <c r="G2060" i="2"/>
  <c r="G2059" i="2"/>
  <c r="G2058" i="2"/>
  <c r="G2057" i="2"/>
  <c r="G2056" i="2"/>
  <c r="G2055" i="2"/>
  <c r="G2054" i="2"/>
  <c r="G2053" i="2"/>
  <c r="G2052" i="2"/>
  <c r="F2052" i="2"/>
  <c r="G2051" i="2"/>
  <c r="G2050" i="2"/>
  <c r="G2049" i="2"/>
  <c r="G2048" i="2"/>
  <c r="G2047" i="2"/>
  <c r="G2046" i="2"/>
  <c r="G2045" i="2"/>
  <c r="G2044" i="2"/>
  <c r="G2043" i="2"/>
  <c r="G2042" i="2"/>
  <c r="G2041" i="2"/>
  <c r="G2040" i="2"/>
  <c r="G2039" i="2"/>
  <c r="G2038" i="2"/>
  <c r="G2037" i="2"/>
  <c r="G2036" i="2"/>
  <c r="G2035" i="2"/>
  <c r="G2034" i="2"/>
  <c r="G2033" i="2"/>
  <c r="G2032" i="2"/>
  <c r="G2031" i="2"/>
  <c r="G2030" i="2"/>
  <c r="G2029" i="2"/>
  <c r="G2028" i="2"/>
  <c r="G2027" i="2"/>
  <c r="G2026" i="2"/>
  <c r="G2025" i="2"/>
  <c r="G2024" i="2"/>
  <c r="G2023" i="2"/>
  <c r="G2022" i="2"/>
  <c r="G2021" i="2"/>
  <c r="G2020" i="2"/>
  <c r="G2019" i="2"/>
  <c r="G2018" i="2"/>
  <c r="G2017" i="2"/>
  <c r="G2016" i="2"/>
  <c r="G2015" i="2"/>
  <c r="G2014" i="2"/>
  <c r="G2013" i="2"/>
  <c r="G2012" i="2"/>
  <c r="G2011" i="2"/>
  <c r="G2010" i="2"/>
  <c r="G2009" i="2"/>
  <c r="G2008" i="2"/>
  <c r="G2007" i="2"/>
  <c r="G2006" i="2"/>
  <c r="G2005" i="2"/>
  <c r="G2004" i="2"/>
  <c r="G2003" i="2"/>
  <c r="G2002" i="2"/>
  <c r="G2001" i="2"/>
  <c r="G2000" i="2"/>
  <c r="G1999" i="2"/>
  <c r="G1998" i="2"/>
  <c r="G1997" i="2"/>
  <c r="G1996" i="2"/>
  <c r="G1995" i="2"/>
  <c r="G1994" i="2"/>
  <c r="G1993" i="2"/>
  <c r="G1992" i="2"/>
  <c r="G1991" i="2"/>
  <c r="G1990" i="2"/>
  <c r="G1989" i="2"/>
  <c r="G1988" i="2"/>
  <c r="G1987" i="2"/>
  <c r="G1986" i="2"/>
  <c r="G1985" i="2"/>
  <c r="G1984" i="2"/>
  <c r="G1983" i="2"/>
  <c r="G1982" i="2"/>
  <c r="G1981" i="2"/>
  <c r="G1980" i="2"/>
  <c r="G1979" i="2"/>
  <c r="G1978" i="2"/>
  <c r="G1977" i="2"/>
  <c r="F1976" i="2"/>
  <c r="G1976" i="2" s="1"/>
  <c r="G1975" i="2"/>
  <c r="G1974" i="2"/>
  <c r="G1973" i="2"/>
  <c r="G1972" i="2"/>
  <c r="G1971" i="2"/>
  <c r="G1970" i="2"/>
  <c r="G1969" i="2"/>
  <c r="F1968" i="2"/>
  <c r="G1968" i="2" s="1"/>
  <c r="G1967" i="2"/>
  <c r="G1966" i="2"/>
  <c r="G1965" i="2"/>
  <c r="G1964" i="2"/>
  <c r="G1963" i="2"/>
  <c r="G1962" i="2"/>
  <c r="G1961" i="2"/>
  <c r="G1960" i="2"/>
  <c r="G1959" i="2"/>
  <c r="G1958" i="2"/>
  <c r="G1957" i="2"/>
  <c r="G1956" i="2"/>
  <c r="G1955" i="2"/>
  <c r="G1954" i="2"/>
  <c r="G1953" i="2"/>
  <c r="G1952" i="2"/>
  <c r="G1951" i="2"/>
  <c r="G1950" i="2"/>
  <c r="G1949" i="2"/>
  <c r="G1948" i="2"/>
  <c r="G1947" i="2"/>
  <c r="G1946" i="2"/>
  <c r="G1945" i="2"/>
  <c r="G1944" i="2"/>
  <c r="G1943" i="2"/>
  <c r="G1942" i="2"/>
  <c r="G1941" i="2"/>
  <c r="G1940" i="2"/>
  <c r="G1939" i="2"/>
  <c r="G1938" i="2"/>
  <c r="G1937" i="2"/>
  <c r="G1936" i="2"/>
  <c r="G1935" i="2"/>
  <c r="G1934" i="2"/>
  <c r="G1933" i="2"/>
  <c r="G1932" i="2"/>
  <c r="G1931" i="2"/>
  <c r="G1930" i="2"/>
  <c r="G1929" i="2"/>
  <c r="G1928" i="2"/>
  <c r="G1927" i="2"/>
  <c r="G1926" i="2"/>
  <c r="G1925" i="2"/>
  <c r="G1924" i="2"/>
  <c r="G1923" i="2"/>
  <c r="G1922" i="2"/>
  <c r="G1921" i="2"/>
  <c r="G1920" i="2"/>
  <c r="G1919" i="2"/>
  <c r="G1918" i="2"/>
  <c r="G1917" i="2"/>
  <c r="G1916" i="2"/>
  <c r="G1915" i="2"/>
  <c r="G1914" i="2"/>
  <c r="G1913" i="2"/>
  <c r="G1912" i="2"/>
  <c r="G1911" i="2"/>
  <c r="G1910" i="2"/>
  <c r="G1909" i="2"/>
  <c r="G1908" i="2"/>
  <c r="G1907" i="2"/>
  <c r="G1906" i="2"/>
  <c r="G1905" i="2"/>
  <c r="G1904" i="2"/>
  <c r="G1903" i="2"/>
  <c r="G1902" i="2"/>
  <c r="G1901" i="2"/>
  <c r="G1900" i="2"/>
  <c r="G1899" i="2"/>
  <c r="G1898" i="2"/>
  <c r="G1897" i="2"/>
  <c r="G1896" i="2"/>
  <c r="G1895" i="2"/>
  <c r="G1894" i="2"/>
  <c r="G1893" i="2"/>
  <c r="G1892" i="2"/>
  <c r="G1891" i="2"/>
  <c r="G1890" i="2"/>
  <c r="G1889" i="2"/>
  <c r="G1888" i="2"/>
  <c r="G1887" i="2"/>
  <c r="G1886" i="2"/>
  <c r="G1885" i="2"/>
  <c r="G1884" i="2"/>
  <c r="G1883" i="2"/>
  <c r="G1882" i="2"/>
  <c r="G1881" i="2"/>
  <c r="G1880" i="2"/>
  <c r="G1879" i="2"/>
  <c r="G1878" i="2"/>
  <c r="G1877" i="2"/>
  <c r="G1876" i="2"/>
  <c r="G1875" i="2"/>
  <c r="G1874" i="2"/>
  <c r="G1873" i="2"/>
  <c r="G1872" i="2"/>
  <c r="G1871" i="2"/>
  <c r="G1870" i="2"/>
  <c r="G1869" i="2"/>
  <c r="G1868" i="2"/>
  <c r="G1867" i="2"/>
  <c r="G1866" i="2"/>
  <c r="G1865" i="2"/>
  <c r="G1864" i="2"/>
  <c r="G1863" i="2"/>
  <c r="G1862" i="2"/>
  <c r="G1861" i="2"/>
  <c r="G1860" i="2"/>
  <c r="G1859" i="2"/>
  <c r="G1858" i="2"/>
  <c r="G1857" i="2"/>
  <c r="G1856" i="2"/>
  <c r="G1855" i="2"/>
  <c r="G1854" i="2"/>
  <c r="G1853" i="2"/>
  <c r="G1852" i="2"/>
  <c r="G1851" i="2"/>
  <c r="G1850" i="2"/>
  <c r="G1849" i="2"/>
  <c r="G1848" i="2"/>
  <c r="F1847" i="2"/>
  <c r="G1847" i="2" s="1"/>
  <c r="G1846" i="2"/>
  <c r="G1845" i="2"/>
  <c r="G1844" i="2"/>
  <c r="G1843" i="2"/>
  <c r="G1842" i="2"/>
  <c r="G1841" i="2"/>
  <c r="G1840" i="2"/>
  <c r="G1839" i="2"/>
  <c r="G1838" i="2"/>
  <c r="G1837" i="2"/>
  <c r="G1836" i="2"/>
  <c r="G1835" i="2"/>
  <c r="G1834" i="2"/>
  <c r="G1833" i="2"/>
  <c r="G1832" i="2"/>
  <c r="G1831" i="2"/>
  <c r="G1830" i="2"/>
  <c r="G1829" i="2"/>
  <c r="G1828" i="2"/>
  <c r="G1827" i="2"/>
  <c r="G1826" i="2"/>
  <c r="G1825" i="2"/>
  <c r="G1824" i="2"/>
  <c r="G1823" i="2"/>
  <c r="G1822" i="2"/>
  <c r="G1821" i="2"/>
  <c r="G1820" i="2"/>
  <c r="G1819" i="2"/>
  <c r="G1818" i="2"/>
  <c r="G1817" i="2"/>
  <c r="G1816" i="2"/>
  <c r="G1815" i="2"/>
  <c r="G1814" i="2"/>
  <c r="G1813" i="2"/>
  <c r="G1812" i="2"/>
  <c r="G1811" i="2"/>
  <c r="G1810" i="2"/>
  <c r="G1809" i="2"/>
  <c r="G1808" i="2"/>
  <c r="G1807" i="2"/>
  <c r="G1806" i="2"/>
  <c r="G1805" i="2"/>
  <c r="G1804" i="2"/>
  <c r="G1803" i="2"/>
  <c r="G1802" i="2"/>
  <c r="G1801" i="2"/>
  <c r="G1800" i="2"/>
  <c r="G1799" i="2"/>
  <c r="G1798" i="2"/>
  <c r="G1797" i="2"/>
  <c r="G1796" i="2"/>
  <c r="G1795" i="2"/>
  <c r="G1794" i="2"/>
  <c r="G1793" i="2"/>
  <c r="G1792" i="2"/>
  <c r="G1791" i="2"/>
  <c r="G1790" i="2"/>
  <c r="G1789" i="2"/>
  <c r="G1788" i="2"/>
  <c r="G1787" i="2"/>
  <c r="G1786" i="2"/>
  <c r="G1785" i="2"/>
  <c r="G1784" i="2"/>
  <c r="G1783" i="2"/>
  <c r="G1782" i="2"/>
  <c r="G1781" i="2"/>
  <c r="G1780" i="2"/>
  <c r="G1779" i="2"/>
  <c r="G1778" i="2"/>
  <c r="G1777" i="2"/>
  <c r="G1776" i="2"/>
  <c r="G1775" i="2"/>
  <c r="G1774" i="2"/>
  <c r="G1773" i="2"/>
  <c r="G1772" i="2"/>
  <c r="G1771" i="2"/>
  <c r="G1770" i="2"/>
  <c r="G1769" i="2"/>
  <c r="G1768" i="2"/>
  <c r="G1767" i="2"/>
  <c r="G1766" i="2"/>
  <c r="G1765" i="2"/>
  <c r="G1764" i="2"/>
  <c r="G1763" i="2"/>
  <c r="G1762" i="2"/>
  <c r="G1761" i="2"/>
  <c r="G1760" i="2"/>
  <c r="G1759" i="2"/>
  <c r="G1758" i="2"/>
  <c r="G1757" i="2"/>
  <c r="G1756" i="2"/>
  <c r="G1755" i="2"/>
  <c r="G1754" i="2"/>
  <c r="G1753" i="2"/>
  <c r="G1752" i="2"/>
  <c r="G1751" i="2"/>
  <c r="G1750" i="2"/>
  <c r="G1749" i="2"/>
  <c r="G1748" i="2"/>
  <c r="G1747" i="2"/>
  <c r="G1746" i="2"/>
  <c r="G1745" i="2"/>
  <c r="G1744" i="2"/>
  <c r="G1743" i="2"/>
  <c r="F1742" i="2"/>
  <c r="G1742" i="2" s="1"/>
  <c r="G1741" i="2"/>
  <c r="G1740" i="2"/>
  <c r="G1739" i="2"/>
  <c r="G1738" i="2"/>
  <c r="G1737" i="2"/>
  <c r="G1736" i="2"/>
  <c r="G1735" i="2"/>
  <c r="G1734" i="2"/>
  <c r="G1733" i="2"/>
  <c r="G1732" i="2"/>
  <c r="G1731" i="2"/>
  <c r="G1730" i="2"/>
  <c r="G1729" i="2"/>
  <c r="G1728" i="2"/>
  <c r="G1727" i="2"/>
  <c r="G1726" i="2"/>
  <c r="G1725" i="2"/>
  <c r="G1724" i="2"/>
  <c r="G1723" i="2"/>
  <c r="G1722" i="2"/>
  <c r="G1721" i="2"/>
  <c r="G1720" i="2"/>
  <c r="G1719" i="2"/>
  <c r="G1718" i="2"/>
  <c r="G1717" i="2"/>
  <c r="G1716" i="2"/>
  <c r="G1715" i="2"/>
  <c r="G1714" i="2"/>
  <c r="G1713" i="2"/>
  <c r="G1712" i="2"/>
  <c r="G1711" i="2"/>
  <c r="G1710" i="2"/>
  <c r="G1709" i="2"/>
  <c r="G1708" i="2"/>
  <c r="G1707" i="2"/>
  <c r="G1706" i="2"/>
  <c r="G1705" i="2"/>
  <c r="G1704" i="2"/>
  <c r="G1703" i="2"/>
  <c r="G1702" i="2"/>
  <c r="G1701" i="2"/>
  <c r="G1700" i="2"/>
  <c r="G1699" i="2"/>
  <c r="G1698" i="2"/>
  <c r="G1697" i="2"/>
  <c r="G1696" i="2"/>
  <c r="G1695" i="2"/>
  <c r="G1694" i="2"/>
  <c r="G1693" i="2"/>
  <c r="G1692" i="2"/>
  <c r="G1691" i="2"/>
  <c r="G1690" i="2"/>
  <c r="G1689" i="2"/>
  <c r="G1688" i="2"/>
  <c r="G1687" i="2"/>
  <c r="G1686" i="2"/>
  <c r="G1685" i="2"/>
  <c r="G1684" i="2"/>
  <c r="G1683" i="2"/>
  <c r="G1682" i="2"/>
  <c r="G1681" i="2"/>
  <c r="G1680" i="2"/>
  <c r="G1679" i="2"/>
  <c r="G1678" i="2"/>
  <c r="G1677" i="2"/>
  <c r="G1676" i="2"/>
  <c r="G1675" i="2"/>
  <c r="G1674" i="2"/>
  <c r="G1673" i="2"/>
  <c r="G1672" i="2"/>
  <c r="G1671" i="2"/>
  <c r="G1670" i="2"/>
  <c r="G1669" i="2"/>
  <c r="G1668" i="2"/>
  <c r="G1667" i="2"/>
  <c r="G1666" i="2"/>
  <c r="G1665" i="2"/>
  <c r="G1664" i="2"/>
  <c r="G1663" i="2"/>
  <c r="G1662" i="2"/>
  <c r="G1661" i="2"/>
  <c r="G1660" i="2"/>
  <c r="G1659" i="2"/>
  <c r="G1658" i="2"/>
  <c r="G1657" i="2"/>
  <c r="G1656" i="2"/>
  <c r="G1655" i="2"/>
  <c r="G1654" i="2"/>
  <c r="G1653" i="2"/>
  <c r="G1652" i="2"/>
  <c r="G1651" i="2"/>
  <c r="G1650" i="2"/>
  <c r="G1649" i="2"/>
  <c r="G1648" i="2"/>
  <c r="G1647" i="2"/>
  <c r="G1646" i="2"/>
  <c r="G1645" i="2"/>
  <c r="G1644" i="2"/>
  <c r="G1643" i="2"/>
  <c r="G1642" i="2"/>
  <c r="G1641" i="2"/>
  <c r="G1640" i="2"/>
  <c r="G1639" i="2"/>
  <c r="G1638" i="2"/>
  <c r="G1637" i="2"/>
  <c r="G1636" i="2"/>
  <c r="G1635" i="2"/>
  <c r="G1634" i="2"/>
  <c r="G1633" i="2"/>
  <c r="G1632" i="2"/>
  <c r="G1631" i="2"/>
  <c r="G1630" i="2"/>
  <c r="F1629" i="2"/>
  <c r="G1629" i="2" s="1"/>
  <c r="G1628" i="2"/>
  <c r="G1627" i="2"/>
  <c r="G1626" i="2"/>
  <c r="G1625" i="2"/>
  <c r="G1624" i="2"/>
  <c r="G1623" i="2"/>
  <c r="G1622" i="2"/>
  <c r="G1621" i="2"/>
  <c r="G1620" i="2"/>
  <c r="G1619" i="2"/>
  <c r="G1618" i="2"/>
  <c r="G1617" i="2"/>
  <c r="G1616" i="2"/>
  <c r="G1615" i="2"/>
  <c r="G1614" i="2"/>
  <c r="G1613" i="2"/>
  <c r="G1612" i="2"/>
  <c r="G1611" i="2"/>
  <c r="G1610" i="2"/>
  <c r="G1609" i="2"/>
  <c r="G1608" i="2"/>
  <c r="G1607" i="2"/>
  <c r="G1606" i="2"/>
  <c r="G1605" i="2"/>
  <c r="G1604" i="2"/>
  <c r="G1603" i="2"/>
  <c r="G1602" i="2"/>
  <c r="G1601" i="2"/>
  <c r="G1600" i="2"/>
  <c r="G1599" i="2"/>
  <c r="G1598" i="2"/>
  <c r="G1597" i="2"/>
  <c r="G1596" i="2"/>
  <c r="G1595" i="2"/>
  <c r="G1594" i="2"/>
  <c r="G1593" i="2"/>
  <c r="G1592" i="2"/>
  <c r="G1591" i="2"/>
  <c r="G1590" i="2"/>
  <c r="G1589" i="2"/>
  <c r="F1588" i="2"/>
  <c r="G1588" i="2" s="1"/>
  <c r="G1587" i="2"/>
  <c r="G1586" i="2"/>
  <c r="G1585" i="2"/>
  <c r="G1584" i="2"/>
  <c r="G1583" i="2"/>
  <c r="G1582" i="2"/>
  <c r="G1581" i="2"/>
  <c r="G1580" i="2"/>
  <c r="G1579" i="2"/>
  <c r="G1578" i="2"/>
  <c r="G1577" i="2"/>
  <c r="G1576" i="2"/>
  <c r="G1575" i="2"/>
  <c r="G1574" i="2"/>
  <c r="G1573" i="2"/>
  <c r="G1572" i="2"/>
  <c r="G1571" i="2"/>
  <c r="G1570" i="2"/>
  <c r="G1569" i="2"/>
  <c r="G1568" i="2"/>
  <c r="G1567" i="2"/>
  <c r="G1566" i="2"/>
  <c r="F1565" i="2"/>
  <c r="G1565" i="2" s="1"/>
  <c r="G1564" i="2"/>
  <c r="G1563" i="2"/>
  <c r="G1562" i="2"/>
  <c r="G1561" i="2"/>
  <c r="G1560" i="2"/>
  <c r="G1559" i="2"/>
  <c r="G1558" i="2"/>
  <c r="G1557" i="2"/>
  <c r="G1556" i="2"/>
  <c r="G1555" i="2"/>
  <c r="G1554" i="2"/>
  <c r="G1553" i="2"/>
  <c r="G1552" i="2"/>
  <c r="G1551" i="2"/>
  <c r="G1550" i="2"/>
  <c r="G1549" i="2"/>
  <c r="G1548" i="2"/>
  <c r="G1547" i="2"/>
  <c r="G1546" i="2"/>
  <c r="G1545" i="2"/>
  <c r="G1544" i="2"/>
  <c r="G1543" i="2"/>
  <c r="G1542" i="2"/>
  <c r="G1541" i="2"/>
  <c r="G1540" i="2"/>
  <c r="G1539" i="2"/>
  <c r="G1538" i="2"/>
  <c r="G1537" i="2"/>
  <c r="G1536" i="2"/>
  <c r="G1535" i="2"/>
  <c r="G1534" i="2"/>
  <c r="F1533" i="2"/>
  <c r="G1533" i="2" s="1"/>
  <c r="G1532" i="2"/>
  <c r="G1531" i="2"/>
  <c r="G1530" i="2"/>
  <c r="G1529" i="2"/>
  <c r="G1528" i="2"/>
  <c r="G1527" i="2"/>
  <c r="G1526" i="2"/>
  <c r="G1525" i="2"/>
  <c r="G1524" i="2"/>
  <c r="G1523" i="2"/>
  <c r="G1522" i="2"/>
  <c r="G1521" i="2"/>
  <c r="G1520" i="2"/>
  <c r="F1519" i="2"/>
  <c r="G1519" i="2" s="1"/>
  <c r="G1518" i="2"/>
  <c r="G1517" i="2"/>
  <c r="G1516" i="2"/>
  <c r="G1515" i="2"/>
  <c r="G1514" i="2"/>
  <c r="G1513" i="2"/>
  <c r="G1512" i="2"/>
  <c r="G1511" i="2"/>
  <c r="G1510" i="2"/>
  <c r="G1509" i="2"/>
  <c r="G1508" i="2"/>
  <c r="G1507" i="2"/>
  <c r="G1506" i="2"/>
  <c r="G1505" i="2"/>
  <c r="G1504" i="2"/>
  <c r="G1503" i="2"/>
  <c r="G1502" i="2"/>
  <c r="G1501" i="2"/>
  <c r="G1500" i="2"/>
  <c r="G1499" i="2"/>
  <c r="G1498" i="2"/>
  <c r="F1497" i="2"/>
  <c r="G1497" i="2" s="1"/>
  <c r="G1496" i="2"/>
  <c r="G1495" i="2"/>
  <c r="G1494" i="2"/>
  <c r="G1493" i="2"/>
  <c r="G1492" i="2"/>
  <c r="G1491" i="2"/>
  <c r="G1490" i="2"/>
  <c r="G1489" i="2"/>
  <c r="G1488" i="2"/>
  <c r="G1487" i="2"/>
  <c r="G1486" i="2"/>
  <c r="G1485" i="2"/>
  <c r="G1484" i="2"/>
  <c r="G1483" i="2"/>
  <c r="G1482" i="2"/>
  <c r="G1481" i="2"/>
  <c r="G1480" i="2"/>
  <c r="G1479" i="2"/>
  <c r="G1478" i="2"/>
  <c r="G1477" i="2"/>
  <c r="G1476" i="2"/>
  <c r="G1475" i="2"/>
  <c r="G1474" i="2"/>
  <c r="G1473" i="2"/>
  <c r="G1472" i="2"/>
  <c r="G1471" i="2"/>
  <c r="G1470" i="2"/>
  <c r="G1469" i="2"/>
  <c r="G1468" i="2"/>
  <c r="G1467" i="2"/>
  <c r="G1466" i="2"/>
  <c r="G1465" i="2"/>
  <c r="G1464" i="2"/>
  <c r="G1463" i="2"/>
  <c r="G1462" i="2"/>
  <c r="G1461" i="2"/>
  <c r="G1460" i="2"/>
  <c r="F1459" i="2"/>
  <c r="G1459" i="2" s="1"/>
  <c r="F1458" i="2"/>
  <c r="G1458" i="2" s="1"/>
  <c r="G1457" i="2"/>
  <c r="G1456" i="2"/>
  <c r="G1455" i="2"/>
  <c r="G1454" i="2"/>
  <c r="G1453" i="2"/>
  <c r="G1452" i="2"/>
  <c r="G1451" i="2"/>
  <c r="G1450" i="2"/>
  <c r="G1449" i="2"/>
  <c r="G1448" i="2"/>
  <c r="G1447" i="2"/>
  <c r="G1446" i="2"/>
  <c r="G1445" i="2"/>
  <c r="G1444" i="2"/>
  <c r="G1443" i="2"/>
  <c r="G1442" i="2"/>
  <c r="G1441" i="2"/>
  <c r="G1440" i="2"/>
  <c r="G1439" i="2"/>
  <c r="G1438" i="2"/>
  <c r="G1437" i="2"/>
  <c r="G1436" i="2"/>
  <c r="G1435" i="2"/>
  <c r="G1434" i="2"/>
  <c r="G1433" i="2"/>
  <c r="G1432" i="2"/>
  <c r="G1431" i="2"/>
  <c r="G1430" i="2"/>
  <c r="G1429" i="2"/>
  <c r="G1428" i="2"/>
  <c r="G1427" i="2"/>
  <c r="G1426" i="2"/>
  <c r="G1425" i="2"/>
  <c r="G1424" i="2"/>
  <c r="G1423" i="2"/>
  <c r="G1422" i="2"/>
  <c r="G1421" i="2"/>
  <c r="G1420" i="2"/>
  <c r="G1419" i="2"/>
  <c r="G1418" i="2"/>
  <c r="G1417" i="2"/>
  <c r="F1416" i="2"/>
  <c r="G1416" i="2" s="1"/>
  <c r="G1415" i="2"/>
  <c r="G1414" i="2"/>
  <c r="G1413" i="2"/>
  <c r="G1412" i="2"/>
  <c r="G1411" i="2"/>
  <c r="G1410" i="2"/>
  <c r="G1409" i="2"/>
  <c r="G1408" i="2"/>
  <c r="G1407" i="2"/>
  <c r="G1406" i="2"/>
  <c r="G1405" i="2"/>
  <c r="G1404" i="2"/>
  <c r="G1403" i="2"/>
  <c r="G1402" i="2"/>
  <c r="F1401" i="2"/>
  <c r="G1401" i="2" s="1"/>
  <c r="G1400" i="2"/>
  <c r="G1399" i="2"/>
  <c r="G1398" i="2"/>
  <c r="G1397" i="2"/>
  <c r="G1396" i="2"/>
  <c r="G1395" i="2"/>
  <c r="G1394" i="2"/>
  <c r="G1393" i="2"/>
  <c r="G1392" i="2"/>
  <c r="G1391" i="2"/>
  <c r="G1390" i="2"/>
  <c r="G1389" i="2"/>
  <c r="G1388" i="2"/>
  <c r="G1387" i="2"/>
  <c r="G1386" i="2"/>
  <c r="G1385" i="2"/>
  <c r="G1384" i="2"/>
  <c r="G1383" i="2"/>
  <c r="G1382" i="2"/>
  <c r="G1381" i="2"/>
  <c r="G1380" i="2"/>
  <c r="G1379" i="2"/>
  <c r="G1378" i="2"/>
  <c r="G1377" i="2"/>
  <c r="G1376" i="2"/>
  <c r="G1375" i="2"/>
  <c r="G1374" i="2"/>
  <c r="G1373" i="2"/>
  <c r="G1372" i="2"/>
  <c r="G1371" i="2"/>
  <c r="G1370" i="2"/>
  <c r="F1369" i="2"/>
  <c r="G1369" i="2" s="1"/>
  <c r="G1368" i="2"/>
  <c r="G1367" i="2"/>
  <c r="G1366" i="2"/>
  <c r="G1365" i="2"/>
  <c r="G1364" i="2"/>
  <c r="G1363" i="2"/>
  <c r="G1362" i="2"/>
  <c r="G1361" i="2"/>
  <c r="G1360" i="2"/>
  <c r="G1359" i="2"/>
  <c r="G1358" i="2"/>
  <c r="G1357" i="2"/>
  <c r="G1356" i="2"/>
  <c r="G1355" i="2"/>
  <c r="G1354" i="2"/>
  <c r="G1353" i="2"/>
  <c r="G1352" i="2"/>
  <c r="G1351" i="2"/>
  <c r="G1350" i="2"/>
  <c r="G1349" i="2"/>
  <c r="G1348" i="2"/>
  <c r="G1347" i="2"/>
  <c r="G1346" i="2"/>
  <c r="G1345" i="2"/>
  <c r="G1344" i="2"/>
  <c r="G1343" i="2"/>
  <c r="G1342" i="2"/>
  <c r="G1341" i="2"/>
  <c r="G1340" i="2"/>
  <c r="F1339" i="2"/>
  <c r="G1339" i="2" s="1"/>
  <c r="G1338" i="2"/>
  <c r="G1337" i="2"/>
  <c r="G1336" i="2"/>
  <c r="G1335" i="2"/>
  <c r="G1334" i="2"/>
  <c r="G1333" i="2"/>
  <c r="G1332" i="2"/>
  <c r="G1331" i="2"/>
  <c r="G1330" i="2"/>
  <c r="G1329" i="2"/>
  <c r="G1328" i="2"/>
  <c r="G1327" i="2"/>
  <c r="G1326" i="2"/>
  <c r="G1325" i="2"/>
  <c r="G1324" i="2"/>
  <c r="G1323" i="2"/>
  <c r="G1322" i="2"/>
  <c r="G1321" i="2"/>
  <c r="G1320" i="2"/>
  <c r="G1319" i="2"/>
  <c r="G1318" i="2"/>
  <c r="G1317" i="2"/>
  <c r="G1316" i="2"/>
  <c r="G1315" i="2"/>
  <c r="G1314" i="2"/>
  <c r="G1313" i="2"/>
  <c r="G1312" i="2"/>
  <c r="G1311" i="2"/>
  <c r="G1310" i="2"/>
  <c r="G1309" i="2"/>
  <c r="G1308" i="2"/>
  <c r="G1307" i="2"/>
  <c r="G1306" i="2"/>
  <c r="G1305" i="2"/>
  <c r="G1304" i="2"/>
  <c r="G1303" i="2"/>
  <c r="G1302" i="2"/>
  <c r="G1301" i="2"/>
  <c r="G1300" i="2"/>
  <c r="G1299" i="2"/>
  <c r="G1298" i="2"/>
  <c r="G1297" i="2"/>
  <c r="G1296" i="2"/>
  <c r="G1295" i="2"/>
  <c r="G1294" i="2"/>
  <c r="G1293" i="2"/>
  <c r="G1292" i="2"/>
  <c r="G1291" i="2"/>
  <c r="G1290" i="2"/>
  <c r="G1289" i="2"/>
  <c r="G1288" i="2"/>
  <c r="G1287" i="2"/>
  <c r="G1286" i="2"/>
  <c r="G1285" i="2"/>
  <c r="G1284" i="2"/>
  <c r="G1283" i="2"/>
  <c r="G1282" i="2"/>
  <c r="G1281" i="2"/>
  <c r="G1280" i="2"/>
  <c r="G1279" i="2"/>
  <c r="G1278" i="2"/>
  <c r="G1277" i="2"/>
  <c r="G1276" i="2"/>
  <c r="G1275" i="2"/>
  <c r="G1274" i="2"/>
  <c r="G1273" i="2"/>
  <c r="G1272" i="2"/>
  <c r="G1271" i="2"/>
  <c r="G1270" i="2"/>
  <c r="G1269" i="2"/>
  <c r="G1268" i="2"/>
  <c r="G1267" i="2"/>
  <c r="G1266" i="2"/>
  <c r="G1265" i="2"/>
  <c r="G1264" i="2"/>
  <c r="G1263" i="2"/>
  <c r="G1262" i="2"/>
  <c r="G1261" i="2"/>
  <c r="G1260" i="2"/>
  <c r="G1259" i="2"/>
  <c r="G1258" i="2"/>
  <c r="G1257" i="2"/>
  <c r="G1256" i="2"/>
  <c r="G1255" i="2"/>
  <c r="G1254" i="2"/>
  <c r="G1253" i="2"/>
  <c r="G1252" i="2"/>
  <c r="G1251" i="2"/>
  <c r="G1250" i="2"/>
  <c r="G1249" i="2"/>
  <c r="G1248" i="2"/>
  <c r="G1247" i="2"/>
  <c r="G1246" i="2"/>
  <c r="G1245" i="2"/>
  <c r="G1244" i="2"/>
  <c r="G1243" i="2"/>
  <c r="G1242" i="2"/>
  <c r="G1241" i="2"/>
  <c r="G1240" i="2"/>
  <c r="G1239" i="2"/>
  <c r="G1238" i="2"/>
  <c r="G1237" i="2"/>
  <c r="G1236" i="2"/>
  <c r="G1235" i="2"/>
  <c r="G1234" i="2"/>
  <c r="G1233" i="2"/>
  <c r="G1232" i="2"/>
  <c r="G1231" i="2"/>
  <c r="G1230" i="2"/>
  <c r="G1229" i="2"/>
  <c r="G1228" i="2"/>
  <c r="G1227" i="2"/>
  <c r="G1226" i="2"/>
  <c r="G1225" i="2"/>
  <c r="G1224" i="2"/>
  <c r="G1223" i="2"/>
  <c r="G1222" i="2"/>
  <c r="G1221" i="2"/>
  <c r="G1220" i="2"/>
  <c r="G1219" i="2"/>
  <c r="G1218" i="2"/>
  <c r="G1217" i="2"/>
  <c r="G1216" i="2"/>
  <c r="G1215" i="2"/>
  <c r="G1214" i="2"/>
  <c r="G1213" i="2"/>
  <c r="G1212" i="2"/>
  <c r="G1211" i="2"/>
  <c r="G1210" i="2"/>
  <c r="G1209" i="2"/>
  <c r="G1208" i="2"/>
  <c r="G1207" i="2"/>
  <c r="G1206" i="2"/>
  <c r="G1205" i="2"/>
  <c r="G1204" i="2"/>
  <c r="G1203" i="2"/>
  <c r="G1202" i="2"/>
  <c r="G1201" i="2"/>
  <c r="G1200" i="2"/>
  <c r="G1199" i="2"/>
  <c r="G1198" i="2"/>
  <c r="G1197" i="2"/>
  <c r="G1196" i="2"/>
  <c r="G1195" i="2"/>
  <c r="G1194" i="2"/>
  <c r="G1193" i="2"/>
  <c r="G1192" i="2"/>
  <c r="G1191" i="2"/>
  <c r="G1190" i="2"/>
  <c r="G1189" i="2"/>
  <c r="F1188" i="2"/>
  <c r="G1188" i="2" s="1"/>
  <c r="G1187" i="2"/>
  <c r="G1186" i="2"/>
  <c r="G1185" i="2"/>
  <c r="G1184" i="2"/>
  <c r="G1183" i="2"/>
  <c r="G1182" i="2"/>
  <c r="G1181" i="2"/>
  <c r="G1180" i="2"/>
  <c r="G1179" i="2"/>
  <c r="G1178" i="2"/>
  <c r="G1177" i="2"/>
  <c r="G1176" i="2"/>
  <c r="G1175" i="2"/>
  <c r="G1174" i="2"/>
  <c r="G1173" i="2"/>
  <c r="G1172" i="2"/>
  <c r="G1171" i="2"/>
  <c r="G1170" i="2"/>
  <c r="G1169" i="2"/>
  <c r="G1168" i="2"/>
  <c r="G1167" i="2"/>
  <c r="G1166" i="2"/>
  <c r="G1165" i="2"/>
  <c r="G1164" i="2"/>
  <c r="G1163" i="2"/>
  <c r="G1162" i="2"/>
  <c r="G1161" i="2"/>
  <c r="G1160" i="2"/>
  <c r="G1159" i="2"/>
  <c r="G1158" i="2"/>
  <c r="G1157" i="2"/>
  <c r="G1156" i="2"/>
  <c r="G1155" i="2"/>
  <c r="G1154" i="2"/>
  <c r="G1153" i="2"/>
  <c r="G1152" i="2"/>
  <c r="G1151" i="2"/>
  <c r="G1150" i="2"/>
  <c r="G1149" i="2"/>
  <c r="G1148" i="2"/>
  <c r="G1147" i="2"/>
  <c r="G1146" i="2"/>
  <c r="G1145" i="2"/>
  <c r="G1144" i="2"/>
  <c r="G1143" i="2"/>
  <c r="G1142" i="2"/>
  <c r="G1141" i="2"/>
  <c r="G1140" i="2"/>
  <c r="G1139" i="2"/>
  <c r="G1138" i="2"/>
  <c r="G1137" i="2"/>
  <c r="G1136" i="2"/>
  <c r="G1135" i="2"/>
  <c r="G1134" i="2"/>
  <c r="G1133" i="2"/>
  <c r="G1132" i="2"/>
  <c r="G1131" i="2"/>
  <c r="G1130" i="2"/>
  <c r="G1129" i="2"/>
  <c r="G1128" i="2"/>
  <c r="G1127" i="2"/>
  <c r="G1126" i="2"/>
  <c r="G1125" i="2"/>
  <c r="G1124" i="2"/>
  <c r="G1123" i="2"/>
  <c r="G1122" i="2"/>
  <c r="G1121" i="2"/>
  <c r="G1120" i="2"/>
  <c r="G1119" i="2"/>
  <c r="G1118" i="2"/>
  <c r="G1117" i="2"/>
  <c r="G1116" i="2"/>
  <c r="G1115" i="2"/>
  <c r="G1114" i="2"/>
  <c r="G1113" i="2"/>
  <c r="G1112" i="2"/>
  <c r="G1111" i="2"/>
  <c r="G1110" i="2"/>
  <c r="G1109" i="2"/>
  <c r="G1108" i="2"/>
  <c r="G1107" i="2"/>
  <c r="G1106" i="2"/>
  <c r="G1105" i="2"/>
  <c r="G1104" i="2"/>
  <c r="G1103" i="2"/>
  <c r="G1102" i="2"/>
  <c r="G1101" i="2"/>
  <c r="G1100" i="2"/>
  <c r="G1099" i="2"/>
  <c r="G1098" i="2"/>
  <c r="G1097" i="2"/>
  <c r="G1096" i="2"/>
  <c r="G1095" i="2"/>
  <c r="G1094" i="2"/>
  <c r="G1093" i="2"/>
  <c r="G1092" i="2"/>
  <c r="G1091" i="2"/>
  <c r="G1090" i="2"/>
  <c r="G1089" i="2"/>
  <c r="G1088" i="2"/>
  <c r="G1087" i="2"/>
  <c r="G1086" i="2"/>
  <c r="G1085" i="2"/>
  <c r="G1084" i="2"/>
  <c r="G1083" i="2"/>
  <c r="G1082" i="2"/>
  <c r="G1081" i="2"/>
  <c r="G1080" i="2"/>
  <c r="G1079" i="2"/>
  <c r="G1078" i="2"/>
  <c r="G1077" i="2"/>
  <c r="G1076" i="2"/>
  <c r="G1075" i="2"/>
  <c r="G1074" i="2"/>
  <c r="G1073" i="2"/>
  <c r="G1072" i="2"/>
  <c r="F1071" i="2"/>
  <c r="G1071" i="2" s="1"/>
  <c r="G1070" i="2"/>
  <c r="G1069" i="2"/>
  <c r="G1068" i="2"/>
  <c r="G1067" i="2"/>
  <c r="G1066" i="2"/>
  <c r="G1065" i="2"/>
  <c r="G1064" i="2"/>
  <c r="G1063" i="2"/>
  <c r="F1062" i="2"/>
  <c r="G1062" i="2" s="1"/>
  <c r="G1061" i="2"/>
  <c r="G1060" i="2"/>
  <c r="G1059" i="2"/>
  <c r="G1058" i="2"/>
  <c r="G1057" i="2"/>
  <c r="G1056" i="2"/>
  <c r="G1055" i="2"/>
  <c r="G1054" i="2"/>
  <c r="G1053" i="2"/>
  <c r="G1052" i="2"/>
  <c r="G1051" i="2"/>
  <c r="G1050" i="2"/>
  <c r="G1049" i="2"/>
  <c r="G1048" i="2"/>
  <c r="G1047" i="2"/>
  <c r="G1046" i="2"/>
  <c r="G1045" i="2"/>
  <c r="G1044" i="2"/>
  <c r="G1043" i="2"/>
  <c r="G1042" i="2"/>
  <c r="G1041" i="2"/>
  <c r="G1040" i="2"/>
  <c r="G1039" i="2"/>
  <c r="G1038" i="2"/>
  <c r="G1037" i="2"/>
  <c r="G1036" i="2"/>
  <c r="G1035" i="2"/>
  <c r="G1034" i="2"/>
  <c r="G1033" i="2"/>
  <c r="G1032" i="2"/>
  <c r="G1031" i="2"/>
  <c r="G1030" i="2"/>
  <c r="G1029" i="2"/>
  <c r="G1028" i="2"/>
  <c r="G1027" i="2"/>
  <c r="G1026" i="2"/>
  <c r="G1025" i="2"/>
  <c r="G1024" i="2"/>
  <c r="G1023" i="2"/>
  <c r="G1022" i="2"/>
  <c r="G1021" i="2"/>
  <c r="G1020" i="2"/>
  <c r="G1019" i="2"/>
  <c r="G1018" i="2"/>
  <c r="G1017" i="2"/>
  <c r="G1016" i="2"/>
  <c r="G1015" i="2"/>
  <c r="G1014" i="2"/>
  <c r="G1013" i="2"/>
  <c r="G1012" i="2"/>
  <c r="G1011" i="2"/>
  <c r="G1010" i="2"/>
  <c r="G1009" i="2"/>
  <c r="G1008" i="2"/>
  <c r="G1007" i="2"/>
  <c r="G1006" i="2"/>
  <c r="G1005" i="2"/>
  <c r="G1004" i="2"/>
  <c r="G1003" i="2"/>
  <c r="G1002" i="2"/>
  <c r="G1001" i="2"/>
  <c r="G1000" i="2"/>
  <c r="G999" i="2"/>
  <c r="G998" i="2"/>
  <c r="G997" i="2"/>
  <c r="G996" i="2"/>
  <c r="G995" i="2"/>
  <c r="G994" i="2"/>
  <c r="G993" i="2"/>
  <c r="G992" i="2"/>
  <c r="G991" i="2"/>
  <c r="G990" i="2"/>
  <c r="G989" i="2"/>
  <c r="G988" i="2"/>
  <c r="G987" i="2"/>
  <c r="G986" i="2"/>
  <c r="G985" i="2"/>
  <c r="G984" i="2"/>
  <c r="G983" i="2"/>
  <c r="G982" i="2"/>
  <c r="G981" i="2"/>
  <c r="G980" i="2"/>
  <c r="G979" i="2"/>
  <c r="G978" i="2"/>
  <c r="G977" i="2"/>
  <c r="G976" i="2"/>
  <c r="G975" i="2"/>
  <c r="G974" i="2"/>
  <c r="G973" i="2"/>
  <c r="G972" i="2"/>
  <c r="G971" i="2"/>
  <c r="G970" i="2"/>
  <c r="G969" i="2"/>
  <c r="G968" i="2"/>
  <c r="G967" i="2"/>
  <c r="G966" i="2"/>
  <c r="G965" i="2"/>
  <c r="G964" i="2"/>
  <c r="G963" i="2"/>
  <c r="G962" i="2"/>
  <c r="G961" i="2"/>
  <c r="G960" i="2"/>
  <c r="G959" i="2"/>
  <c r="G958" i="2"/>
  <c r="G957" i="2"/>
  <c r="G956" i="2"/>
  <c r="G955" i="2"/>
  <c r="G954" i="2"/>
  <c r="G953" i="2"/>
  <c r="G952" i="2"/>
  <c r="G951" i="2"/>
  <c r="G950" i="2"/>
  <c r="G949" i="2"/>
  <c r="G948" i="2"/>
  <c r="G947" i="2"/>
  <c r="G946" i="2"/>
  <c r="G945" i="2"/>
  <c r="G944" i="2"/>
  <c r="G943" i="2"/>
  <c r="G942" i="2"/>
  <c r="G941" i="2"/>
  <c r="G940" i="2"/>
  <c r="G939" i="2"/>
  <c r="G938" i="2"/>
  <c r="G937" i="2"/>
  <c r="G936" i="2"/>
  <c r="G935" i="2"/>
  <c r="G934" i="2"/>
  <c r="G933" i="2"/>
  <c r="G932" i="2"/>
  <c r="G931" i="2"/>
  <c r="G930" i="2"/>
  <c r="G929" i="2"/>
  <c r="G928" i="2"/>
  <c r="G927" i="2"/>
  <c r="G926" i="2"/>
  <c r="G925" i="2"/>
  <c r="G924" i="2"/>
  <c r="G923" i="2"/>
  <c r="G922" i="2"/>
  <c r="G921" i="2"/>
  <c r="G920" i="2"/>
  <c r="G919" i="2"/>
  <c r="G918" i="2"/>
  <c r="G917" i="2"/>
  <c r="G916" i="2"/>
  <c r="G915" i="2"/>
  <c r="G914" i="2"/>
  <c r="G913" i="2"/>
  <c r="G912" i="2"/>
  <c r="G911" i="2"/>
  <c r="G910" i="2"/>
  <c r="G909" i="2"/>
  <c r="G908" i="2"/>
  <c r="G907" i="2"/>
  <c r="G906" i="2"/>
  <c r="G905" i="2"/>
  <c r="G904" i="2"/>
  <c r="G903" i="2"/>
  <c r="G902" i="2"/>
  <c r="G901" i="2"/>
  <c r="G900" i="2"/>
  <c r="G899" i="2"/>
  <c r="G898" i="2"/>
  <c r="G897" i="2"/>
  <c r="G896" i="2"/>
  <c r="G895" i="2"/>
  <c r="G894" i="2"/>
  <c r="G893" i="2"/>
  <c r="G892" i="2"/>
  <c r="G891" i="2"/>
  <c r="G890" i="2"/>
  <c r="G889" i="2"/>
  <c r="G888" i="2"/>
  <c r="G887" i="2"/>
  <c r="G886" i="2"/>
  <c r="G885" i="2"/>
  <c r="G884" i="2"/>
  <c r="G883" i="2"/>
  <c r="G882" i="2"/>
  <c r="G881" i="2"/>
  <c r="G880" i="2"/>
  <c r="G879" i="2"/>
  <c r="G878" i="2"/>
  <c r="G877" i="2"/>
  <c r="G876" i="2"/>
  <c r="G875" i="2"/>
  <c r="G874" i="2"/>
  <c r="G873" i="2"/>
  <c r="G872" i="2"/>
  <c r="G871" i="2"/>
  <c r="G870" i="2"/>
  <c r="G869" i="2"/>
  <c r="G868" i="2"/>
  <c r="G867" i="2"/>
  <c r="G866" i="2"/>
  <c r="G865" i="2"/>
  <c r="G864" i="2"/>
  <c r="G863" i="2"/>
  <c r="G862" i="2"/>
  <c r="G861" i="2"/>
  <c r="G860" i="2"/>
  <c r="G859" i="2"/>
  <c r="G858" i="2"/>
  <c r="G857" i="2"/>
  <c r="G856" i="2"/>
  <c r="G855" i="2"/>
  <c r="G854" i="2"/>
  <c r="G853" i="2"/>
  <c r="G852" i="2"/>
  <c r="G851" i="2"/>
  <c r="G850" i="2"/>
  <c r="G849" i="2"/>
  <c r="G848" i="2"/>
  <c r="G847" i="2"/>
  <c r="G846" i="2"/>
  <c r="G845" i="2"/>
  <c r="G844" i="2"/>
  <c r="G843" i="2"/>
  <c r="G842" i="2"/>
  <c r="G841" i="2"/>
  <c r="G840" i="2"/>
  <c r="G839" i="2"/>
  <c r="G838" i="2"/>
  <c r="G837" i="2"/>
  <c r="G836" i="2"/>
  <c r="G835" i="2"/>
  <c r="G834" i="2"/>
  <c r="G833" i="2"/>
  <c r="G832" i="2"/>
  <c r="G831" i="2"/>
  <c r="G830" i="2"/>
  <c r="G829" i="2"/>
  <c r="G828" i="2"/>
  <c r="G827" i="2"/>
  <c r="G826" i="2"/>
  <c r="G825" i="2"/>
  <c r="G824" i="2"/>
  <c r="G823" i="2"/>
  <c r="G822" i="2"/>
  <c r="G821" i="2"/>
  <c r="G820" i="2"/>
  <c r="G819" i="2"/>
  <c r="G818" i="2"/>
  <c r="G817" i="2"/>
  <c r="G816" i="2"/>
  <c r="G815" i="2"/>
  <c r="G814" i="2"/>
  <c r="G813" i="2"/>
  <c r="G812" i="2"/>
  <c r="G811" i="2"/>
  <c r="G810" i="2"/>
  <c r="G809" i="2"/>
  <c r="G808" i="2"/>
  <c r="F807" i="2"/>
  <c r="G807" i="2" s="1"/>
  <c r="G806" i="2"/>
  <c r="G805" i="2"/>
  <c r="G804" i="2"/>
  <c r="G803" i="2"/>
  <c r="G802" i="2"/>
  <c r="G801" i="2"/>
  <c r="G800" i="2"/>
  <c r="G799" i="2"/>
  <c r="G798" i="2"/>
  <c r="G797" i="2"/>
  <c r="G796" i="2"/>
  <c r="G795" i="2"/>
  <c r="G794" i="2"/>
  <c r="G793" i="2"/>
  <c r="G792" i="2"/>
  <c r="G791" i="2"/>
  <c r="G790" i="2"/>
  <c r="G789" i="2"/>
  <c r="G788" i="2"/>
  <c r="G787" i="2"/>
  <c r="G786" i="2"/>
  <c r="G785" i="2"/>
  <c r="G784" i="2"/>
  <c r="G783" i="2"/>
  <c r="G782" i="2"/>
  <c r="G781" i="2"/>
  <c r="G780" i="2"/>
  <c r="G779" i="2"/>
  <c r="G778" i="2"/>
  <c r="G777" i="2"/>
  <c r="G776" i="2"/>
  <c r="G775" i="2"/>
  <c r="G774" i="2"/>
  <c r="G773" i="2"/>
  <c r="G772" i="2"/>
  <c r="G771" i="2"/>
  <c r="G770" i="2"/>
  <c r="G769" i="2"/>
  <c r="G768" i="2"/>
  <c r="G767" i="2"/>
  <c r="G766" i="2"/>
  <c r="G765" i="2"/>
  <c r="G764" i="2"/>
  <c r="G763" i="2"/>
  <c r="G762" i="2"/>
  <c r="G761" i="2"/>
  <c r="G760" i="2"/>
  <c r="G759" i="2"/>
  <c r="G758" i="2"/>
  <c r="G757" i="2"/>
  <c r="G756" i="2"/>
  <c r="G755" i="2"/>
  <c r="G754" i="2"/>
  <c r="G753" i="2"/>
  <c r="G752" i="2"/>
  <c r="G751" i="2"/>
  <c r="G750" i="2"/>
  <c r="G749" i="2"/>
  <c r="G748" i="2"/>
  <c r="G747" i="2"/>
  <c r="G746" i="2"/>
  <c r="G745" i="2"/>
  <c r="G744" i="2"/>
  <c r="G743" i="2"/>
  <c r="G742" i="2"/>
  <c r="G741" i="2"/>
  <c r="G740" i="2"/>
  <c r="G739" i="2"/>
  <c r="G738" i="2"/>
  <c r="G737" i="2"/>
  <c r="G736" i="2"/>
  <c r="G735" i="2"/>
  <c r="G734" i="2"/>
  <c r="G733" i="2"/>
  <c r="G732" i="2"/>
  <c r="G731" i="2"/>
  <c r="G730" i="2"/>
  <c r="G729" i="2"/>
  <c r="G728" i="2"/>
  <c r="G727" i="2"/>
  <c r="G726" i="2"/>
  <c r="G725" i="2"/>
  <c r="G724" i="2"/>
  <c r="G723" i="2"/>
  <c r="G722" i="2"/>
  <c r="G721" i="2"/>
  <c r="G720" i="2"/>
  <c r="G719" i="2"/>
  <c r="G718" i="2"/>
  <c r="F717" i="2"/>
  <c r="G717" i="2" s="1"/>
  <c r="G716" i="2"/>
  <c r="F715" i="2"/>
  <c r="G715" i="2" s="1"/>
  <c r="G714" i="2"/>
  <c r="G713" i="2"/>
  <c r="G712" i="2"/>
  <c r="G711" i="2"/>
  <c r="G710" i="2"/>
  <c r="G709" i="2"/>
  <c r="G708" i="2"/>
  <c r="G707" i="2"/>
  <c r="G706" i="2"/>
  <c r="G705" i="2"/>
  <c r="G704" i="2"/>
  <c r="G703" i="2"/>
  <c r="G702" i="2"/>
  <c r="G701" i="2"/>
  <c r="G700" i="2"/>
  <c r="F699" i="2"/>
  <c r="G699" i="2" s="1"/>
  <c r="G698" i="2"/>
  <c r="G697" i="2"/>
  <c r="F696" i="2"/>
  <c r="G696" i="2" s="1"/>
  <c r="G695" i="2"/>
  <c r="G694" i="2"/>
  <c r="G693" i="2"/>
  <c r="G692" i="2"/>
  <c r="G691" i="2"/>
  <c r="G690" i="2"/>
  <c r="G689" i="2"/>
  <c r="G688" i="2"/>
  <c r="G687" i="2"/>
  <c r="G686" i="2"/>
  <c r="G685" i="2"/>
  <c r="G684" i="2"/>
  <c r="G683" i="2"/>
  <c r="G682" i="2"/>
  <c r="G681" i="2"/>
  <c r="G680" i="2"/>
  <c r="G679" i="2"/>
  <c r="G678" i="2"/>
  <c r="G677" i="2"/>
  <c r="G676" i="2"/>
  <c r="G675" i="2"/>
  <c r="G674" i="2"/>
  <c r="G673" i="2"/>
  <c r="G672" i="2"/>
  <c r="G671" i="2"/>
  <c r="G670" i="2"/>
  <c r="G669" i="2"/>
  <c r="G668" i="2"/>
  <c r="G667" i="2"/>
  <c r="G666" i="2"/>
  <c r="G665" i="2"/>
  <c r="G664" i="2"/>
  <c r="G663" i="2"/>
  <c r="G662" i="2"/>
  <c r="G661" i="2"/>
  <c r="G660" i="2"/>
  <c r="G659" i="2"/>
  <c r="G658" i="2"/>
  <c r="G657" i="2"/>
  <c r="G656" i="2"/>
  <c r="G655" i="2"/>
  <c r="G654" i="2"/>
  <c r="G653" i="2"/>
  <c r="G652" i="2"/>
  <c r="G651" i="2"/>
  <c r="G650" i="2"/>
  <c r="G649" i="2"/>
  <c r="G648" i="2"/>
  <c r="G647" i="2"/>
  <c r="G646" i="2"/>
  <c r="G645" i="2"/>
  <c r="G644" i="2"/>
  <c r="G643" i="2"/>
  <c r="G642" i="2"/>
  <c r="G641" i="2"/>
  <c r="G640" i="2"/>
  <c r="G639" i="2"/>
  <c r="G638" i="2"/>
  <c r="G637" i="2"/>
  <c r="G636" i="2"/>
  <c r="G635" i="2"/>
  <c r="G634" i="2"/>
  <c r="G633" i="2"/>
  <c r="G632" i="2"/>
  <c r="G631" i="2"/>
  <c r="G630" i="2"/>
  <c r="G629" i="2"/>
  <c r="G628" i="2"/>
  <c r="G627" i="2"/>
  <c r="G626" i="2"/>
  <c r="G625" i="2"/>
  <c r="G624" i="2"/>
  <c r="G623" i="2"/>
  <c r="G622" i="2"/>
  <c r="G621" i="2"/>
  <c r="G620" i="2"/>
  <c r="G619" i="2"/>
  <c r="G618" i="2"/>
  <c r="G617" i="2"/>
  <c r="G616" i="2"/>
  <c r="G615" i="2"/>
  <c r="G614" i="2"/>
  <c r="G613" i="2"/>
  <c r="G612" i="2"/>
  <c r="G611" i="2"/>
  <c r="G610" i="2"/>
  <c r="G609" i="2"/>
  <c r="G608" i="2"/>
  <c r="G607" i="2"/>
  <c r="G606" i="2"/>
  <c r="G605" i="2"/>
  <c r="G604" i="2"/>
  <c r="G603" i="2"/>
  <c r="G602" i="2"/>
  <c r="G601" i="2"/>
  <c r="G600" i="2"/>
  <c r="G599" i="2"/>
  <c r="G598" i="2"/>
  <c r="G597" i="2"/>
  <c r="G596" i="2"/>
  <c r="G595" i="2"/>
  <c r="G594" i="2"/>
  <c r="G593" i="2"/>
  <c r="G592" i="2"/>
  <c r="G591" i="2"/>
  <c r="G590" i="2"/>
  <c r="G589" i="2"/>
  <c r="G588" i="2"/>
  <c r="G587" i="2"/>
  <c r="G586" i="2"/>
  <c r="G585" i="2"/>
  <c r="G584" i="2"/>
  <c r="G583" i="2"/>
  <c r="G582" i="2"/>
  <c r="G581" i="2"/>
  <c r="G580" i="2"/>
  <c r="G579" i="2"/>
  <c r="G578" i="2"/>
  <c r="G577" i="2"/>
  <c r="G576" i="2"/>
  <c r="G575" i="2"/>
  <c r="G574" i="2"/>
  <c r="G573" i="2"/>
  <c r="G572" i="2"/>
  <c r="G571" i="2"/>
  <c r="G570" i="2"/>
  <c r="G569" i="2"/>
  <c r="G568" i="2"/>
  <c r="G567" i="2"/>
  <c r="G566" i="2"/>
  <c r="G565" i="2"/>
  <c r="G564" i="2"/>
  <c r="G563" i="2"/>
  <c r="G562" i="2"/>
  <c r="G561" i="2"/>
  <c r="G560" i="2"/>
  <c r="G559" i="2"/>
  <c r="G558" i="2"/>
  <c r="G557" i="2"/>
  <c r="G556" i="2"/>
  <c r="G555" i="2"/>
  <c r="G554" i="2"/>
  <c r="G553" i="2"/>
  <c r="G552" i="2"/>
  <c r="G551" i="2"/>
  <c r="G550" i="2"/>
  <c r="G549" i="2"/>
  <c r="G548" i="2"/>
  <c r="G547" i="2"/>
  <c r="G546" i="2"/>
  <c r="G545" i="2"/>
  <c r="G544" i="2"/>
  <c r="F543" i="2"/>
  <c r="G543" i="2" s="1"/>
  <c r="G542" i="2"/>
  <c r="G541" i="2"/>
  <c r="F540" i="2"/>
  <c r="G540" i="2" s="1"/>
  <c r="G539" i="2"/>
  <c r="G538" i="2"/>
  <c r="G537" i="2"/>
  <c r="G536" i="2"/>
  <c r="G535" i="2"/>
  <c r="G534" i="2"/>
  <c r="G533" i="2"/>
  <c r="G532" i="2"/>
  <c r="G531" i="2"/>
  <c r="G530" i="2"/>
  <c r="G529" i="2"/>
  <c r="G528" i="2"/>
  <c r="G527" i="2"/>
  <c r="G526" i="2"/>
  <c r="G525" i="2"/>
  <c r="G524" i="2"/>
  <c r="G523" i="2"/>
  <c r="F522" i="2"/>
  <c r="G522" i="2" s="1"/>
  <c r="G521" i="2"/>
  <c r="G520" i="2"/>
  <c r="G519" i="2"/>
  <c r="G518" i="2"/>
  <c r="F517" i="2"/>
  <c r="G517" i="2" s="1"/>
  <c r="G516" i="2"/>
  <c r="G515" i="2"/>
  <c r="G514" i="2"/>
  <c r="G513" i="2"/>
  <c r="G512" i="2"/>
  <c r="G511" i="2"/>
  <c r="G510" i="2"/>
  <c r="G509" i="2"/>
  <c r="G508" i="2"/>
  <c r="G507" i="2"/>
  <c r="G506" i="2"/>
  <c r="G505" i="2"/>
  <c r="G504" i="2"/>
  <c r="G503" i="2"/>
  <c r="G502" i="2"/>
  <c r="G501" i="2"/>
  <c r="G500" i="2"/>
  <c r="G499" i="2"/>
  <c r="G498" i="2"/>
  <c r="G497" i="2"/>
  <c r="G496" i="2"/>
  <c r="G495" i="2"/>
  <c r="G494" i="2"/>
  <c r="G493" i="2"/>
  <c r="G492" i="2"/>
  <c r="G491" i="2"/>
  <c r="G490" i="2"/>
  <c r="G489" i="2"/>
  <c r="G488" i="2"/>
  <c r="G487" i="2"/>
  <c r="G486" i="2"/>
  <c r="G485" i="2"/>
  <c r="G484" i="2"/>
  <c r="G483" i="2"/>
  <c r="G482" i="2"/>
  <c r="G481" i="2"/>
  <c r="G480" i="2"/>
  <c r="G479" i="2"/>
  <c r="G478" i="2"/>
  <c r="G477" i="2"/>
  <c r="G476" i="2"/>
  <c r="G475" i="2"/>
  <c r="G474" i="2"/>
  <c r="G473" i="2"/>
  <c r="G472" i="2"/>
  <c r="G471" i="2"/>
  <c r="G470" i="2"/>
  <c r="G469" i="2"/>
  <c r="G468" i="2"/>
  <c r="G467" i="2"/>
  <c r="G466" i="2"/>
  <c r="G465" i="2"/>
  <c r="G464" i="2"/>
  <c r="G463" i="2"/>
  <c r="G462" i="2"/>
  <c r="G461" i="2"/>
  <c r="G460" i="2"/>
  <c r="G459" i="2"/>
  <c r="G458" i="2"/>
  <c r="G457" i="2"/>
  <c r="G456" i="2"/>
  <c r="G455" i="2"/>
  <c r="G454" i="2"/>
  <c r="G453" i="2"/>
  <c r="G452" i="2"/>
  <c r="G451" i="2"/>
  <c r="G450" i="2"/>
  <c r="G449" i="2"/>
  <c r="G448" i="2"/>
  <c r="G447" i="2"/>
  <c r="G446" i="2"/>
  <c r="G445" i="2"/>
  <c r="G444" i="2"/>
  <c r="G443" i="2"/>
  <c r="G442" i="2"/>
  <c r="G441" i="2"/>
  <c r="G440" i="2"/>
  <c r="G439" i="2"/>
  <c r="G438" i="2"/>
  <c r="G437" i="2"/>
  <c r="G436" i="2"/>
  <c r="G435" i="2"/>
  <c r="G434" i="2"/>
  <c r="G433" i="2"/>
  <c r="G432" i="2"/>
  <c r="G431" i="2"/>
  <c r="G430" i="2"/>
  <c r="G429" i="2"/>
  <c r="G428" i="2"/>
  <c r="G427" i="2"/>
  <c r="G426" i="2"/>
  <c r="G425" i="2"/>
  <c r="G424" i="2"/>
  <c r="G423" i="2"/>
  <c r="G422" i="2"/>
  <c r="G421" i="2"/>
  <c r="G420" i="2"/>
  <c r="G419" i="2"/>
  <c r="G418" i="2"/>
  <c r="G417" i="2"/>
  <c r="G416" i="2"/>
  <c r="G415" i="2"/>
  <c r="G414" i="2"/>
  <c r="G413" i="2"/>
  <c r="G412" i="2"/>
  <c r="G411" i="2"/>
  <c r="G410" i="2"/>
  <c r="G409" i="2"/>
  <c r="G408" i="2"/>
  <c r="G407" i="2"/>
  <c r="G406" i="2"/>
  <c r="G405" i="2"/>
  <c r="G404" i="2"/>
  <c r="G403" i="2"/>
  <c r="G402" i="2"/>
  <c r="G401" i="2"/>
  <c r="G400" i="2"/>
  <c r="G399" i="2"/>
  <c r="G398" i="2"/>
  <c r="G397" i="2"/>
  <c r="G396" i="2"/>
  <c r="G395" i="2"/>
  <c r="G394" i="2"/>
  <c r="G393" i="2"/>
  <c r="G392" i="2"/>
  <c r="G391" i="2"/>
  <c r="G390" i="2"/>
  <c r="G389" i="2"/>
  <c r="F388" i="2"/>
  <c r="G388" i="2" s="1"/>
  <c r="G387" i="2"/>
  <c r="G386" i="2"/>
  <c r="G385" i="2"/>
  <c r="F384" i="2"/>
  <c r="G384" i="2" s="1"/>
  <c r="G383" i="2"/>
  <c r="G382" i="2"/>
  <c r="G381" i="2"/>
  <c r="G380" i="2"/>
  <c r="G379" i="2"/>
  <c r="G378" i="2"/>
  <c r="G377" i="2"/>
  <c r="G376" i="2"/>
  <c r="G375" i="2"/>
  <c r="G374" i="2"/>
  <c r="G373" i="2"/>
  <c r="G372" i="2"/>
  <c r="G371" i="2"/>
  <c r="G370" i="2"/>
  <c r="G369" i="2"/>
  <c r="G368" i="2"/>
  <c r="G367" i="2"/>
  <c r="G366" i="2"/>
  <c r="G365" i="2"/>
  <c r="G364" i="2"/>
  <c r="G363" i="2"/>
  <c r="G362" i="2"/>
  <c r="G361" i="2"/>
  <c r="G360" i="2"/>
  <c r="G359" i="2"/>
  <c r="G358" i="2"/>
  <c r="G357" i="2"/>
  <c r="G356" i="2"/>
  <c r="G355" i="2"/>
  <c r="G354" i="2"/>
  <c r="G353" i="2"/>
  <c r="G352" i="2"/>
  <c r="G351" i="2"/>
  <c r="G350" i="2"/>
  <c r="G349" i="2"/>
  <c r="G348" i="2"/>
  <c r="G347" i="2"/>
  <c r="G346" i="2"/>
  <c r="G345" i="2"/>
  <c r="G344" i="2"/>
  <c r="G343" i="2"/>
  <c r="G342" i="2"/>
  <c r="F341" i="2"/>
  <c r="G341" i="2" s="1"/>
  <c r="G340" i="2"/>
  <c r="G339" i="2"/>
  <c r="G338" i="2"/>
  <c r="G337" i="2"/>
  <c r="G336" i="2"/>
  <c r="G335" i="2"/>
  <c r="G334" i="2"/>
  <c r="G333" i="2"/>
  <c r="G332" i="2"/>
  <c r="G331" i="2"/>
  <c r="G330" i="2"/>
  <c r="G329" i="2"/>
  <c r="G328" i="2"/>
  <c r="G327" i="2"/>
  <c r="G326" i="2"/>
  <c r="G325" i="2"/>
  <c r="G324" i="2"/>
  <c r="G323" i="2"/>
  <c r="G322" i="2"/>
  <c r="G321" i="2"/>
  <c r="G320" i="2"/>
  <c r="G319" i="2"/>
  <c r="G318" i="2"/>
  <c r="G317" i="2"/>
  <c r="G316" i="2"/>
  <c r="G315" i="2"/>
  <c r="G314" i="2"/>
  <c r="G313" i="2"/>
  <c r="G312" i="2"/>
  <c r="G311" i="2"/>
  <c r="G310" i="2"/>
  <c r="G309" i="2"/>
  <c r="G308" i="2"/>
  <c r="G307" i="2"/>
  <c r="G306" i="2"/>
  <c r="G305" i="2"/>
  <c r="G304" i="2"/>
  <c r="G303" i="2"/>
  <c r="G302" i="2"/>
  <c r="G301" i="2"/>
  <c r="G300" i="2"/>
  <c r="G299" i="2"/>
  <c r="G298" i="2"/>
  <c r="F297" i="2"/>
  <c r="G297" i="2" s="1"/>
  <c r="G296" i="2"/>
  <c r="G295" i="2"/>
  <c r="G294" i="2"/>
  <c r="G293" i="2"/>
  <c r="G292" i="2"/>
  <c r="G291" i="2"/>
  <c r="G290" i="2"/>
  <c r="G289" i="2"/>
  <c r="G288" i="2"/>
  <c r="G287" i="2"/>
  <c r="G286" i="2"/>
  <c r="G285" i="2"/>
  <c r="G284" i="2"/>
  <c r="G283" i="2"/>
  <c r="G282" i="2"/>
  <c r="G281" i="2"/>
  <c r="G280" i="2"/>
  <c r="G279" i="2"/>
  <c r="G278" i="2"/>
  <c r="G277" i="2"/>
  <c r="G276" i="2"/>
  <c r="G275" i="2"/>
  <c r="G274" i="2"/>
  <c r="G273" i="2"/>
  <c r="G272" i="2"/>
  <c r="F271" i="2"/>
  <c r="G271" i="2" s="1"/>
  <c r="G270" i="2"/>
  <c r="G269" i="2"/>
  <c r="G268" i="2"/>
  <c r="G267" i="2"/>
  <c r="G266" i="2"/>
  <c r="G265" i="2"/>
  <c r="G264" i="2"/>
  <c r="G263" i="2"/>
  <c r="G262" i="2"/>
  <c r="G261" i="2"/>
  <c r="G260" i="2"/>
  <c r="G259" i="2"/>
  <c r="F259" i="2"/>
  <c r="G258" i="2"/>
  <c r="G257" i="2"/>
  <c r="G256" i="2"/>
  <c r="G255" i="2"/>
  <c r="G254" i="2"/>
  <c r="G253" i="2"/>
  <c r="G252" i="2"/>
  <c r="F251" i="2"/>
  <c r="G251" i="2" s="1"/>
  <c r="F250" i="2"/>
  <c r="G250" i="2" s="1"/>
  <c r="G249" i="2"/>
  <c r="G248" i="2"/>
  <c r="G247" i="2"/>
  <c r="G246" i="2"/>
  <c r="G245" i="2"/>
  <c r="G244" i="2"/>
  <c r="G243" i="2"/>
  <c r="G242" i="2"/>
  <c r="G241" i="2"/>
  <c r="G240" i="2"/>
  <c r="G239" i="2"/>
  <c r="G238" i="2"/>
  <c r="G237" i="2"/>
  <c r="G236" i="2"/>
  <c r="G235" i="2"/>
  <c r="G234" i="2"/>
  <c r="G233" i="2"/>
  <c r="G232" i="2"/>
  <c r="G231" i="2"/>
  <c r="G230" i="2"/>
  <c r="G229" i="2"/>
  <c r="G228" i="2"/>
  <c r="G227" i="2"/>
  <c r="G226" i="2"/>
  <c r="G225" i="2"/>
  <c r="G224" i="2"/>
  <c r="G223" i="2"/>
  <c r="G222" i="2"/>
  <c r="G221" i="2"/>
  <c r="G220" i="2"/>
  <c r="G219" i="2"/>
  <c r="G218" i="2"/>
  <c r="G217" i="2"/>
  <c r="G216" i="2"/>
  <c r="G215" i="2"/>
  <c r="G214" i="2"/>
  <c r="G213" i="2"/>
  <c r="G212" i="2"/>
  <c r="G211" i="2"/>
  <c r="G210" i="2"/>
  <c r="G209" i="2"/>
  <c r="G208" i="2"/>
  <c r="G207" i="2"/>
  <c r="G206" i="2"/>
  <c r="G205" i="2"/>
  <c r="G204" i="2"/>
  <c r="G203" i="2"/>
  <c r="G202" i="2"/>
  <c r="G201" i="2"/>
  <c r="G200" i="2"/>
  <c r="G199" i="2"/>
  <c r="G198" i="2"/>
  <c r="G197" i="2"/>
  <c r="G196" i="2"/>
  <c r="G195" i="2"/>
  <c r="G194" i="2"/>
  <c r="G193" i="2"/>
  <c r="G192" i="2"/>
  <c r="G191" i="2"/>
  <c r="G190" i="2"/>
  <c r="G189" i="2"/>
  <c r="G188" i="2"/>
  <c r="G187" i="2"/>
  <c r="G186" i="2"/>
  <c r="G185" i="2"/>
  <c r="G184" i="2"/>
  <c r="G183" i="2"/>
  <c r="G182" i="2"/>
  <c r="G181" i="2"/>
  <c r="G180" i="2"/>
  <c r="G179" i="2"/>
  <c r="G178" i="2"/>
  <c r="G177" i="2"/>
  <c r="G176" i="2"/>
  <c r="G175" i="2"/>
  <c r="G174" i="2"/>
  <c r="G173" i="2"/>
  <c r="G172" i="2"/>
  <c r="G171" i="2"/>
  <c r="G170" i="2"/>
  <c r="G169" i="2"/>
  <c r="G168" i="2"/>
  <c r="G167" i="2"/>
  <c r="G166" i="2"/>
  <c r="G165" i="2"/>
  <c r="G164" i="2"/>
  <c r="G163" i="2"/>
  <c r="G162" i="2"/>
  <c r="G161" i="2"/>
  <c r="G160" i="2"/>
  <c r="G159" i="2"/>
  <c r="G158" i="2"/>
  <c r="G157" i="2"/>
  <c r="G156" i="2"/>
  <c r="G155" i="2"/>
  <c r="G154" i="2"/>
  <c r="G153" i="2"/>
  <c r="G152" i="2"/>
  <c r="G151" i="2"/>
  <c r="G150" i="2"/>
  <c r="G149" i="2"/>
  <c r="G148" i="2"/>
  <c r="G147" i="2"/>
  <c r="G146" i="2"/>
  <c r="G145" i="2"/>
  <c r="G144" i="2"/>
  <c r="F143" i="2"/>
  <c r="G143" i="2" s="1"/>
  <c r="G142" i="2"/>
  <c r="G141" i="2"/>
  <c r="G140" i="2"/>
  <c r="G139" i="2"/>
  <c r="G138" i="2"/>
  <c r="G137" i="2"/>
  <c r="G136" i="2"/>
  <c r="G135" i="2"/>
  <c r="G134" i="2"/>
  <c r="G133" i="2"/>
  <c r="G132" i="2"/>
  <c r="G131" i="2"/>
  <c r="G130" i="2"/>
  <c r="G129" i="2"/>
  <c r="F128" i="2"/>
  <c r="G128" i="2" s="1"/>
  <c r="G127" i="2"/>
  <c r="G126" i="2"/>
  <c r="G125" i="2"/>
  <c r="G124" i="2"/>
  <c r="G123" i="2"/>
  <c r="G122" i="2"/>
  <c r="G121" i="2"/>
  <c r="G120" i="2"/>
  <c r="G119" i="2"/>
  <c r="G118" i="2"/>
  <c r="G117" i="2"/>
  <c r="G116" i="2"/>
  <c r="G115" i="2"/>
  <c r="G114" i="2"/>
  <c r="G113" i="2"/>
  <c r="G112" i="2"/>
  <c r="G111" i="2"/>
  <c r="G110" i="2"/>
  <c r="G109" i="2"/>
  <c r="G108" i="2"/>
  <c r="G107" i="2"/>
  <c r="G106" i="2"/>
  <c r="G105" i="2"/>
  <c r="G104" i="2"/>
  <c r="G103" i="2"/>
  <c r="G102" i="2"/>
  <c r="G101" i="2"/>
  <c r="G100" i="2"/>
  <c r="G99" i="2"/>
  <c r="G98" i="2"/>
  <c r="G97" i="2"/>
  <c r="G96" i="2"/>
  <c r="G95" i="2"/>
  <c r="G94" i="2"/>
  <c r="G93" i="2"/>
  <c r="G92" i="2"/>
  <c r="G91" i="2"/>
  <c r="G90" i="2"/>
  <c r="G89" i="2"/>
  <c r="G88" i="2"/>
  <c r="G87" i="2"/>
  <c r="G86" i="2"/>
  <c r="G85" i="2"/>
  <c r="G84" i="2"/>
  <c r="G83" i="2"/>
  <c r="G82" i="2"/>
  <c r="G81" i="2"/>
  <c r="G80" i="2"/>
  <c r="G79" i="2"/>
  <c r="G78" i="2"/>
  <c r="G77" i="2"/>
  <c r="G76" i="2"/>
  <c r="G75" i="2"/>
  <c r="G74" i="2"/>
  <c r="G73" i="2"/>
  <c r="G72" i="2"/>
  <c r="G71" i="2"/>
  <c r="G70" i="2"/>
  <c r="G69" i="2"/>
  <c r="G68" i="2"/>
  <c r="G67" i="2"/>
  <c r="G66" i="2"/>
  <c r="G65" i="2"/>
  <c r="G64" i="2"/>
  <c r="G63" i="2"/>
  <c r="G62" i="2"/>
  <c r="G61" i="2"/>
  <c r="G60" i="2"/>
  <c r="G59" i="2"/>
  <c r="G58" i="2"/>
  <c r="G57" i="2"/>
  <c r="G56" i="2"/>
  <c r="G55" i="2"/>
  <c r="G54" i="2"/>
  <c r="G53" i="2"/>
  <c r="G52" i="2"/>
  <c r="G51" i="2"/>
  <c r="G50" i="2"/>
  <c r="G49" i="2"/>
  <c r="G48" i="2"/>
  <c r="G47" i="2"/>
  <c r="G46" i="2"/>
  <c r="G45" i="2"/>
  <c r="G44" i="2"/>
  <c r="G43" i="2"/>
  <c r="G42" i="2"/>
  <c r="G41" i="2"/>
  <c r="G40" i="2"/>
  <c r="G39" i="2"/>
  <c r="G38" i="2"/>
  <c r="G37" i="2"/>
  <c r="G36" i="2"/>
  <c r="G35" i="2"/>
  <c r="G34" i="2"/>
  <c r="G33" i="2"/>
  <c r="G32" i="2"/>
  <c r="G31" i="2"/>
  <c r="G30" i="2"/>
  <c r="G29" i="2"/>
  <c r="G28" i="2"/>
  <c r="G27" i="2"/>
  <c r="G26" i="2"/>
  <c r="G25" i="2"/>
  <c r="G24" i="2"/>
  <c r="G23" i="2"/>
  <c r="G22" i="2"/>
  <c r="G21" i="2"/>
  <c r="G20" i="2"/>
  <c r="G19" i="2"/>
  <c r="G18" i="2"/>
  <c r="G17" i="2"/>
  <c r="G16" i="2"/>
  <c r="F15" i="2"/>
  <c r="G15" i="2" s="1"/>
  <c r="G14" i="2"/>
  <c r="G13" i="2"/>
  <c r="G12" i="2"/>
  <c r="G11" i="2"/>
  <c r="G10" i="2"/>
  <c r="G9" i="2"/>
  <c r="G8" i="2"/>
  <c r="G7" i="2"/>
  <c r="G6" i="2"/>
  <c r="G5" i="2"/>
  <c r="G4" i="2"/>
  <c r="G3" i="2"/>
  <c r="G2" i="2"/>
  <c r="F3172" i="2" l="1"/>
  <c r="E3177" i="2" s="1"/>
  <c r="G3172" i="2"/>
  <c r="F3041" i="1"/>
  <c r="F2275" i="1" l="1"/>
  <c r="F3137" i="1" l="1"/>
  <c r="F3109" i="1" l="1"/>
  <c r="F2045" i="1"/>
  <c r="F2946" i="1" l="1"/>
  <c r="F2956" i="1" l="1"/>
  <c r="F2815" i="1"/>
  <c r="F3239" i="1" l="1"/>
  <c r="E3245" i="1" s="1"/>
  <c r="D3239" i="1"/>
  <c r="G3238" i="1"/>
  <c r="G3237" i="1"/>
  <c r="G3236" i="1"/>
  <c r="G3235" i="1"/>
  <c r="G3234" i="1"/>
  <c r="G3233" i="1"/>
  <c r="G3232" i="1"/>
  <c r="G3231" i="1"/>
  <c r="G3230" i="1"/>
  <c r="G3229" i="1"/>
  <c r="G3228" i="1"/>
  <c r="G3227" i="1"/>
  <c r="G3226" i="1"/>
  <c r="G3225" i="1"/>
  <c r="G3224" i="1"/>
  <c r="G3223" i="1"/>
  <c r="G3222" i="1"/>
  <c r="G3221" i="1"/>
  <c r="G3220" i="1"/>
  <c r="G3219" i="1"/>
  <c r="G3218" i="1"/>
  <c r="G3217" i="1"/>
  <c r="G3216" i="1"/>
  <c r="G3215" i="1"/>
  <c r="G3214" i="1"/>
  <c r="G3213" i="1"/>
  <c r="G3212" i="1"/>
  <c r="G3211" i="1"/>
  <c r="G3210" i="1"/>
  <c r="G3209" i="1"/>
  <c r="G3208" i="1"/>
  <c r="G3207" i="1"/>
  <c r="G3206" i="1"/>
  <c r="G3205" i="1"/>
  <c r="G3204" i="1"/>
  <c r="G3203" i="1"/>
  <c r="G3202" i="1"/>
  <c r="G3201" i="1"/>
  <c r="G3200" i="1"/>
  <c r="G3199" i="1"/>
  <c r="G3198" i="1"/>
  <c r="G3197" i="1"/>
  <c r="G3196" i="1"/>
  <c r="G3195" i="1"/>
  <c r="G3194" i="1"/>
  <c r="G3193" i="1"/>
  <c r="G3192" i="1"/>
  <c r="G3191" i="1"/>
  <c r="G3190" i="1"/>
  <c r="G3189" i="1"/>
  <c r="G3188" i="1"/>
  <c r="G3187" i="1"/>
  <c r="G3186" i="1"/>
  <c r="G3185" i="1"/>
  <c r="G3184" i="1"/>
  <c r="G3183" i="1"/>
  <c r="G3182" i="1"/>
  <c r="G3181" i="1"/>
  <c r="G3180" i="1"/>
  <c r="G3179" i="1"/>
  <c r="G3178" i="1"/>
  <c r="G3177" i="1"/>
  <c r="G3176" i="1"/>
  <c r="G3175" i="1"/>
  <c r="G3174" i="1"/>
  <c r="G3173" i="1"/>
  <c r="G3172" i="1"/>
  <c r="G3171" i="1"/>
  <c r="G3170" i="1"/>
  <c r="G3169" i="1"/>
  <c r="G3168" i="1"/>
  <c r="G3167" i="1"/>
  <c r="G3166" i="1"/>
  <c r="G3165" i="1"/>
  <c r="G3164" i="1"/>
  <c r="G3163" i="1"/>
  <c r="G3162" i="1"/>
  <c r="G3161" i="1"/>
  <c r="G3160" i="1"/>
  <c r="G3159" i="1"/>
  <c r="G3158" i="1"/>
  <c r="G3157" i="1"/>
  <c r="G3156" i="1"/>
  <c r="G3155" i="1"/>
  <c r="G3154" i="1"/>
  <c r="G3153" i="1"/>
  <c r="G3152" i="1"/>
  <c r="G3151" i="1"/>
  <c r="G3150" i="1"/>
  <c r="G3149" i="1"/>
  <c r="G3148" i="1"/>
  <c r="G3147" i="1"/>
  <c r="G3146" i="1"/>
  <c r="G3145" i="1"/>
  <c r="G3144" i="1"/>
  <c r="G3143" i="1"/>
  <c r="G3142" i="1"/>
  <c r="G3141" i="1"/>
  <c r="G3140" i="1"/>
  <c r="G3139" i="1"/>
  <c r="G3138" i="1"/>
  <c r="G3137" i="1"/>
  <c r="G3136" i="1"/>
  <c r="G3135" i="1"/>
  <c r="G3134" i="1"/>
  <c r="G3133" i="1"/>
  <c r="G3132" i="1"/>
  <c r="G3131" i="1"/>
  <c r="G3130" i="1"/>
  <c r="G3129" i="1"/>
  <c r="G3128" i="1"/>
  <c r="G3127" i="1"/>
  <c r="G3126" i="1"/>
  <c r="G3125" i="1"/>
  <c r="G3124" i="1"/>
  <c r="G3123" i="1"/>
  <c r="G3122" i="1"/>
  <c r="G3121" i="1"/>
  <c r="G3120" i="1"/>
  <c r="G3119" i="1"/>
  <c r="G3118" i="1"/>
  <c r="G3117" i="1"/>
  <c r="G3116" i="1"/>
  <c r="G3115" i="1"/>
  <c r="G3114" i="1"/>
  <c r="G3113" i="1"/>
  <c r="G3112" i="1"/>
  <c r="G3111" i="1"/>
  <c r="G3110" i="1"/>
  <c r="G3109" i="1"/>
  <c r="G3108" i="1"/>
  <c r="G3107" i="1"/>
  <c r="G3106" i="1"/>
  <c r="G3105" i="1"/>
  <c r="G3104" i="1"/>
  <c r="G3103" i="1"/>
  <c r="G3102" i="1"/>
  <c r="G3101" i="1"/>
  <c r="G3100" i="1"/>
  <c r="G3099" i="1"/>
  <c r="G3098" i="1"/>
  <c r="G3097" i="1"/>
  <c r="G3096" i="1"/>
  <c r="G3095" i="1"/>
  <c r="G3094" i="1"/>
  <c r="G3093" i="1"/>
  <c r="G3092" i="1"/>
  <c r="G3091" i="1"/>
  <c r="G3090" i="1"/>
  <c r="G3089" i="1"/>
  <c r="G3088" i="1"/>
  <c r="G3087" i="1"/>
  <c r="G3086" i="1"/>
  <c r="G3085" i="1"/>
  <c r="G3084" i="1"/>
  <c r="G3083" i="1"/>
  <c r="G3082" i="1"/>
  <c r="G3081" i="1"/>
  <c r="G3080" i="1"/>
  <c r="G3079" i="1"/>
  <c r="G3078" i="1"/>
  <c r="G3077" i="1"/>
  <c r="G3076" i="1"/>
  <c r="G3075" i="1"/>
  <c r="G3074" i="1"/>
  <c r="G3073" i="1"/>
  <c r="G3072" i="1"/>
  <c r="G3071" i="1"/>
  <c r="G3070" i="1"/>
  <c r="G3069" i="1"/>
  <c r="G3068" i="1"/>
  <c r="G3067" i="1"/>
  <c r="G3066" i="1"/>
  <c r="G3065" i="1"/>
  <c r="G3064" i="1"/>
  <c r="G3063" i="1"/>
  <c r="G3062" i="1"/>
  <c r="G3061" i="1"/>
  <c r="G3060" i="1"/>
  <c r="G3059" i="1"/>
  <c r="G3058" i="1"/>
  <c r="G3057" i="1"/>
  <c r="G3056" i="1"/>
  <c r="G3055" i="1"/>
  <c r="G3054" i="1"/>
  <c r="G3053" i="1"/>
  <c r="G3052" i="1"/>
  <c r="G3051" i="1"/>
  <c r="G3050" i="1"/>
  <c r="G3049" i="1"/>
  <c r="G3048" i="1"/>
  <c r="G3047" i="1"/>
  <c r="G3046" i="1"/>
  <c r="G3045" i="1"/>
  <c r="G3044" i="1"/>
  <c r="G3043" i="1"/>
  <c r="G3042" i="1"/>
  <c r="G3041" i="1"/>
  <c r="G3040" i="1"/>
  <c r="G3039" i="1"/>
  <c r="G3038" i="1"/>
  <c r="G3037" i="1"/>
  <c r="G3036" i="1"/>
  <c r="G3035" i="1"/>
  <c r="G3034" i="1"/>
  <c r="G3033" i="1"/>
  <c r="G3032" i="1"/>
  <c r="G3031" i="1"/>
  <c r="G3030" i="1"/>
  <c r="G3029" i="1"/>
  <c r="G3028" i="1"/>
  <c r="G3027" i="1"/>
  <c r="G3026" i="1"/>
  <c r="G3025" i="1"/>
  <c r="G3024" i="1"/>
  <c r="G3023" i="1"/>
  <c r="G3022" i="1"/>
  <c r="G3021" i="1"/>
  <c r="G3020" i="1"/>
  <c r="G3019" i="1"/>
  <c r="G3018" i="1"/>
  <c r="G3017" i="1"/>
  <c r="G3016" i="1"/>
  <c r="G3015" i="1"/>
  <c r="G3014" i="1"/>
  <c r="G3013" i="1"/>
  <c r="G3012" i="1"/>
  <c r="G3011" i="1"/>
  <c r="G3010" i="1"/>
  <c r="G3009" i="1"/>
  <c r="G3008" i="1"/>
  <c r="G3007" i="1"/>
  <c r="G3006" i="1"/>
  <c r="G3005" i="1"/>
  <c r="G3004" i="1"/>
  <c r="G3003" i="1"/>
  <c r="G3002" i="1"/>
  <c r="G3001" i="1"/>
  <c r="G3000" i="1"/>
  <c r="G2999" i="1"/>
  <c r="G2998" i="1"/>
  <c r="G2997" i="1"/>
  <c r="G2996" i="1"/>
  <c r="G2995" i="1"/>
  <c r="G2994" i="1"/>
  <c r="G2993" i="1"/>
  <c r="G2992" i="1"/>
  <c r="G2991" i="1"/>
  <c r="G2990" i="1"/>
  <c r="G2989" i="1"/>
  <c r="G2988" i="1"/>
  <c r="G2987" i="1"/>
  <c r="G2986" i="1"/>
  <c r="G2985" i="1"/>
  <c r="G2984" i="1"/>
  <c r="G2983" i="1"/>
  <c r="G2982" i="1"/>
  <c r="G2981" i="1"/>
  <c r="G2980" i="1"/>
  <c r="G2979" i="1"/>
  <c r="G2978" i="1"/>
  <c r="G2977" i="1"/>
  <c r="G2976" i="1"/>
  <c r="G2975" i="1"/>
  <c r="G2974" i="1"/>
  <c r="G2973" i="1"/>
  <c r="G2972" i="1"/>
  <c r="G2971" i="1"/>
  <c r="G2970" i="1"/>
  <c r="G2969" i="1"/>
  <c r="G2968" i="1"/>
  <c r="G2967" i="1"/>
  <c r="G2966" i="1"/>
  <c r="G2965" i="1"/>
  <c r="G2964" i="1"/>
  <c r="G2963" i="1"/>
  <c r="G2962" i="1"/>
  <c r="G2961" i="1"/>
  <c r="G2960" i="1"/>
  <c r="G2959" i="1"/>
  <c r="G2958" i="1"/>
  <c r="G2957" i="1"/>
  <c r="G2956" i="1"/>
  <c r="G2955" i="1"/>
  <c r="G2954" i="1"/>
  <c r="G2953" i="1"/>
  <c r="G2952" i="1"/>
  <c r="G2951" i="1"/>
  <c r="G2950" i="1"/>
  <c r="G2949" i="1"/>
  <c r="G2948" i="1"/>
  <c r="G2947" i="1"/>
  <c r="G2946" i="1"/>
  <c r="G2945" i="1"/>
  <c r="G2944" i="1"/>
  <c r="G2943" i="1"/>
  <c r="G2942" i="1"/>
  <c r="G2941" i="1"/>
  <c r="G2940" i="1"/>
  <c r="G2939" i="1"/>
  <c r="G2938" i="1"/>
  <c r="G2937" i="1"/>
  <c r="G2936" i="1"/>
  <c r="G2935" i="1"/>
  <c r="G2934" i="1"/>
  <c r="G2933" i="1"/>
  <c r="G2932" i="1"/>
  <c r="G2931" i="1"/>
  <c r="F2930" i="1"/>
  <c r="G2930" i="1" s="1"/>
  <c r="G2929" i="1"/>
  <c r="G2928" i="1"/>
  <c r="G2927" i="1"/>
  <c r="G2926" i="1"/>
  <c r="G2925" i="1"/>
  <c r="G2924" i="1"/>
  <c r="G2923" i="1"/>
  <c r="G2922" i="1"/>
  <c r="G2921" i="1"/>
  <c r="G2920" i="1"/>
  <c r="G2919" i="1"/>
  <c r="G2918" i="1"/>
  <c r="G2917" i="1"/>
  <c r="G2916" i="1"/>
  <c r="G2915" i="1"/>
  <c r="G2914" i="1"/>
  <c r="G2913" i="1"/>
  <c r="G2912" i="1"/>
  <c r="G2911" i="1"/>
  <c r="G2910" i="1"/>
  <c r="G2909" i="1"/>
  <c r="G2908" i="1"/>
  <c r="G2907" i="1"/>
  <c r="G2906" i="1"/>
  <c r="G2905" i="1"/>
  <c r="G2904" i="1"/>
  <c r="G2903" i="1"/>
  <c r="G2902" i="1"/>
  <c r="G2901" i="1"/>
  <c r="G2900" i="1"/>
  <c r="G2899" i="1"/>
  <c r="G2898" i="1"/>
  <c r="G2897" i="1"/>
  <c r="G2896" i="1"/>
  <c r="G2895" i="1"/>
  <c r="G2894" i="1"/>
  <c r="G2893" i="1"/>
  <c r="G2892" i="1"/>
  <c r="G2891" i="1"/>
  <c r="G2890" i="1"/>
  <c r="G2889" i="1"/>
  <c r="G2888" i="1"/>
  <c r="G2887" i="1"/>
  <c r="G2886" i="1"/>
  <c r="G2885" i="1"/>
  <c r="G2884" i="1"/>
  <c r="G2883" i="1"/>
  <c r="G2882" i="1"/>
  <c r="G2881" i="1"/>
  <c r="G2880" i="1"/>
  <c r="G2879" i="1"/>
  <c r="G2878" i="1"/>
  <c r="G2877" i="1"/>
  <c r="G2876" i="1"/>
  <c r="G2875" i="1"/>
  <c r="G2874" i="1"/>
  <c r="G2873" i="1"/>
  <c r="G2872" i="1"/>
  <c r="G2871" i="1"/>
  <c r="G2870" i="1"/>
  <c r="G2869" i="1"/>
  <c r="G2868" i="1"/>
  <c r="G2867" i="1"/>
  <c r="G2866" i="1"/>
  <c r="G2865" i="1"/>
  <c r="G2864" i="1"/>
  <c r="G2863" i="1"/>
  <c r="G2862" i="1"/>
  <c r="G2861" i="1"/>
  <c r="G2860" i="1"/>
  <c r="G2859" i="1"/>
  <c r="G2858" i="1"/>
  <c r="G2857" i="1"/>
  <c r="G2856" i="1"/>
  <c r="G2855" i="1"/>
  <c r="G2854" i="1"/>
  <c r="G2853" i="1"/>
  <c r="G2852" i="1"/>
  <c r="G2851" i="1"/>
  <c r="G2850" i="1"/>
  <c r="G2849" i="1"/>
  <c r="G2848" i="1"/>
  <c r="G2847" i="1"/>
  <c r="G2846" i="1"/>
  <c r="G2845" i="1"/>
  <c r="G2844" i="1"/>
  <c r="G2843" i="1"/>
  <c r="G2842" i="1"/>
  <c r="G2841" i="1"/>
  <c r="G2840" i="1"/>
  <c r="G2839" i="1"/>
  <c r="G2838" i="1"/>
  <c r="G2837" i="1"/>
  <c r="G2836" i="1"/>
  <c r="G2835" i="1"/>
  <c r="G2834" i="1"/>
  <c r="G2833" i="1"/>
  <c r="G2832" i="1"/>
  <c r="G2831" i="1"/>
  <c r="G2830" i="1"/>
  <c r="G2829" i="1"/>
  <c r="G2828" i="1"/>
  <c r="G2827" i="1"/>
  <c r="G2826" i="1"/>
  <c r="G2825" i="1"/>
  <c r="G2824" i="1"/>
  <c r="G2823" i="1"/>
  <c r="G2822" i="1"/>
  <c r="G2821" i="1"/>
  <c r="G2820" i="1"/>
  <c r="G2819" i="1"/>
  <c r="G2818" i="1"/>
  <c r="G2817" i="1"/>
  <c r="G2816" i="1"/>
  <c r="G2815" i="1"/>
  <c r="G2814" i="1"/>
  <c r="G2813" i="1"/>
  <c r="G2812" i="1"/>
  <c r="G2811" i="1"/>
  <c r="G2810" i="1"/>
  <c r="G2809" i="1"/>
  <c r="G2808" i="1"/>
  <c r="G2807" i="1"/>
  <c r="G2806" i="1"/>
  <c r="G2805" i="1"/>
  <c r="G2804" i="1"/>
  <c r="G2803" i="1"/>
  <c r="G2802" i="1"/>
  <c r="G2801" i="1"/>
  <c r="G2800" i="1"/>
  <c r="G2799" i="1"/>
  <c r="G2798" i="1"/>
  <c r="G2797" i="1"/>
  <c r="G2796" i="1"/>
  <c r="G2795" i="1"/>
  <c r="G2794" i="1"/>
  <c r="G2793" i="1"/>
  <c r="G2792" i="1"/>
  <c r="G2791" i="1"/>
  <c r="G2790" i="1"/>
  <c r="G2789" i="1"/>
  <c r="G2788" i="1"/>
  <c r="G2787" i="1"/>
  <c r="G2786" i="1"/>
  <c r="G2785" i="1"/>
  <c r="G2784" i="1"/>
  <c r="G2783" i="1"/>
  <c r="G2782" i="1"/>
  <c r="G2781" i="1"/>
  <c r="G2780" i="1"/>
  <c r="G2779" i="1"/>
  <c r="G2778" i="1"/>
  <c r="G2777" i="1"/>
  <c r="G2776" i="1"/>
  <c r="G2775" i="1"/>
  <c r="G2774" i="1"/>
  <c r="G2773" i="1"/>
  <c r="G2772" i="1"/>
  <c r="G2771" i="1"/>
  <c r="G2770" i="1"/>
  <c r="G2769" i="1"/>
  <c r="G2768" i="1"/>
  <c r="G2767" i="1"/>
  <c r="G2766" i="1"/>
  <c r="G2765" i="1"/>
  <c r="G2764" i="1"/>
  <c r="G2763" i="1"/>
  <c r="G2762" i="1"/>
  <c r="G2761" i="1"/>
  <c r="G2760" i="1"/>
  <c r="G2759" i="1"/>
  <c r="G2758" i="1"/>
  <c r="G2757" i="1"/>
  <c r="G2756" i="1"/>
  <c r="G2755" i="1"/>
  <c r="G2754" i="1"/>
  <c r="G2753" i="1"/>
  <c r="G2752" i="1"/>
  <c r="G2751" i="1"/>
  <c r="G2750" i="1"/>
  <c r="G2749" i="1"/>
  <c r="G2748" i="1"/>
  <c r="G2747" i="1"/>
  <c r="G2746" i="1"/>
  <c r="G2745" i="1"/>
  <c r="G2744" i="1"/>
  <c r="G2743" i="1"/>
  <c r="G2742" i="1"/>
  <c r="G2741" i="1"/>
  <c r="G2740" i="1"/>
  <c r="G2739" i="1"/>
  <c r="G2738" i="1"/>
  <c r="G2737" i="1"/>
  <c r="G2736" i="1"/>
  <c r="G2735" i="1"/>
  <c r="G2734" i="1"/>
  <c r="G2733" i="1"/>
  <c r="G2732" i="1"/>
  <c r="G2731" i="1"/>
  <c r="G2730" i="1"/>
  <c r="G2729" i="1"/>
  <c r="G2728" i="1"/>
  <c r="G2727" i="1"/>
  <c r="G2726" i="1"/>
  <c r="G2725" i="1"/>
  <c r="G2724" i="1"/>
  <c r="G2723" i="1"/>
  <c r="G2722" i="1"/>
  <c r="G2721" i="1"/>
  <c r="G2720" i="1"/>
  <c r="G2719" i="1"/>
  <c r="G2718" i="1"/>
  <c r="G2717" i="1"/>
  <c r="G2716" i="1"/>
  <c r="G2715" i="1"/>
  <c r="G2714" i="1"/>
  <c r="F2713" i="1"/>
  <c r="G2713" i="1" s="1"/>
  <c r="G2712" i="1"/>
  <c r="G2711" i="1"/>
  <c r="G2710" i="1"/>
  <c r="G2709" i="1"/>
  <c r="G2708" i="1"/>
  <c r="G2707" i="1"/>
  <c r="G2706" i="1"/>
  <c r="G2705" i="1"/>
  <c r="G2704" i="1"/>
  <c r="G2703" i="1"/>
  <c r="G2702" i="1"/>
  <c r="G2701" i="1"/>
  <c r="G2700" i="1"/>
  <c r="G2699" i="1"/>
  <c r="G2698" i="1"/>
  <c r="G2697" i="1"/>
  <c r="G2696" i="1"/>
  <c r="G2695" i="1"/>
  <c r="G2694" i="1"/>
  <c r="G2693" i="1"/>
  <c r="G2692" i="1"/>
  <c r="G2691" i="1"/>
  <c r="G2690" i="1"/>
  <c r="G2689" i="1"/>
  <c r="G2688" i="1"/>
  <c r="G2687" i="1"/>
  <c r="G2686" i="1"/>
  <c r="G2685" i="1"/>
  <c r="G2684" i="1"/>
  <c r="G2683" i="1"/>
  <c r="G2682" i="1"/>
  <c r="G2681" i="1"/>
  <c r="G2680" i="1"/>
  <c r="G2679" i="1"/>
  <c r="G2678" i="1"/>
  <c r="G2677" i="1"/>
  <c r="G2676" i="1"/>
  <c r="G2675" i="1"/>
  <c r="G2674" i="1"/>
  <c r="G2673" i="1"/>
  <c r="G2672" i="1"/>
  <c r="G2671" i="1"/>
  <c r="G2670" i="1"/>
  <c r="G2669" i="1"/>
  <c r="G2668" i="1"/>
  <c r="G2667" i="1"/>
  <c r="G2666" i="1"/>
  <c r="G2665" i="1"/>
  <c r="G2664" i="1"/>
  <c r="G2663" i="1"/>
  <c r="G2662" i="1"/>
  <c r="G2661" i="1"/>
  <c r="G2660" i="1"/>
  <c r="G2659" i="1"/>
  <c r="G2658" i="1"/>
  <c r="G2657" i="1"/>
  <c r="G2656" i="1"/>
  <c r="G2655" i="1"/>
  <c r="G2654" i="1"/>
  <c r="G2653" i="1"/>
  <c r="G2652" i="1"/>
  <c r="G2651" i="1"/>
  <c r="G2650" i="1"/>
  <c r="G2649" i="1"/>
  <c r="G2648" i="1"/>
  <c r="G2647" i="1"/>
  <c r="G2646" i="1"/>
  <c r="G2645" i="1"/>
  <c r="G2644" i="1"/>
  <c r="G2643" i="1"/>
  <c r="G2642" i="1"/>
  <c r="G2641" i="1"/>
  <c r="G2640" i="1"/>
  <c r="G2639" i="1"/>
  <c r="G2638" i="1"/>
  <c r="G2637" i="1"/>
  <c r="G2636" i="1"/>
  <c r="G2635" i="1"/>
  <c r="G2634" i="1"/>
  <c r="G2633" i="1"/>
  <c r="G2632" i="1"/>
  <c r="G2631" i="1"/>
  <c r="G2630" i="1"/>
  <c r="G2629" i="1"/>
  <c r="G2628" i="1"/>
  <c r="G2627" i="1"/>
  <c r="G2626" i="1"/>
  <c r="G2625" i="1"/>
  <c r="G2624" i="1"/>
  <c r="G2623" i="1"/>
  <c r="G2622" i="1"/>
  <c r="G2621" i="1"/>
  <c r="G2620" i="1"/>
  <c r="G2619" i="1"/>
  <c r="G2618" i="1"/>
  <c r="G2617" i="1"/>
  <c r="G2616" i="1"/>
  <c r="G2615" i="1"/>
  <c r="G2614" i="1"/>
  <c r="G2613" i="1"/>
  <c r="G2612" i="1"/>
  <c r="G2611" i="1"/>
  <c r="G2610" i="1"/>
  <c r="G2609" i="1"/>
  <c r="G2608" i="1"/>
  <c r="G2607" i="1"/>
  <c r="G2606" i="1"/>
  <c r="F2605" i="1"/>
  <c r="G2605" i="1" s="1"/>
  <c r="G2604" i="1"/>
  <c r="G2603" i="1"/>
  <c r="G2602" i="1"/>
  <c r="G2601" i="1"/>
  <c r="G2600" i="1"/>
  <c r="G2599" i="1"/>
  <c r="G2598" i="1"/>
  <c r="G2597" i="1"/>
  <c r="G2596" i="1"/>
  <c r="G2595" i="1"/>
  <c r="G2594" i="1"/>
  <c r="G2593" i="1"/>
  <c r="G2592" i="1"/>
  <c r="G2591" i="1"/>
  <c r="G2590" i="1"/>
  <c r="G2589" i="1"/>
  <c r="G2588" i="1"/>
  <c r="F2588" i="1"/>
  <c r="G2587" i="1"/>
  <c r="G2586" i="1"/>
  <c r="G2585" i="1"/>
  <c r="G2584" i="1"/>
  <c r="G2583" i="1"/>
  <c r="G2582" i="1"/>
  <c r="G2581" i="1"/>
  <c r="G2580" i="1"/>
  <c r="G2579" i="1"/>
  <c r="G2578" i="1"/>
  <c r="G2577" i="1"/>
  <c r="G2576" i="1"/>
  <c r="G2575" i="1"/>
  <c r="G2574" i="1"/>
  <c r="G2573" i="1"/>
  <c r="G2572" i="1"/>
  <c r="G2571" i="1"/>
  <c r="G2570" i="1"/>
  <c r="G2569" i="1"/>
  <c r="G2568" i="1"/>
  <c r="G2567" i="1"/>
  <c r="G2566" i="1"/>
  <c r="G2565" i="1"/>
  <c r="G2564" i="1"/>
  <c r="G2563" i="1"/>
  <c r="G2562" i="1"/>
  <c r="G2561" i="1"/>
  <c r="G2560" i="1"/>
  <c r="G2559" i="1"/>
  <c r="G2558" i="1"/>
  <c r="G2557" i="1"/>
  <c r="G2556" i="1"/>
  <c r="G2555" i="1"/>
  <c r="G2554" i="1"/>
  <c r="G2553" i="1"/>
  <c r="G2552" i="1"/>
  <c r="G2551" i="1"/>
  <c r="G2550" i="1"/>
  <c r="G2549" i="1"/>
  <c r="G2548" i="1"/>
  <c r="G2547" i="1"/>
  <c r="G2546" i="1"/>
  <c r="G2545" i="1"/>
  <c r="G2544" i="1"/>
  <c r="G2543" i="1"/>
  <c r="G2542" i="1"/>
  <c r="G2541" i="1"/>
  <c r="G2540" i="1"/>
  <c r="G2539" i="1"/>
  <c r="G2538" i="1"/>
  <c r="G2537" i="1"/>
  <c r="G2536" i="1"/>
  <c r="G2535" i="1"/>
  <c r="G2534" i="1"/>
  <c r="G2533" i="1"/>
  <c r="G2532" i="1"/>
  <c r="G2531" i="1"/>
  <c r="G2530" i="1"/>
  <c r="G2529" i="1"/>
  <c r="G2528" i="1"/>
  <c r="G2527" i="1"/>
  <c r="G2526" i="1"/>
  <c r="G2525" i="1"/>
  <c r="G2524" i="1"/>
  <c r="G2523" i="1"/>
  <c r="G2522" i="1"/>
  <c r="G2521" i="1"/>
  <c r="G2520" i="1"/>
  <c r="G2519" i="1"/>
  <c r="G2518" i="1"/>
  <c r="G2517" i="1"/>
  <c r="G2516" i="1"/>
  <c r="G2515" i="1"/>
  <c r="G2514" i="1"/>
  <c r="G2513" i="1"/>
  <c r="G2512" i="1"/>
  <c r="G2511" i="1"/>
  <c r="G2510" i="1"/>
  <c r="G2509" i="1"/>
  <c r="G2508" i="1"/>
  <c r="F2508" i="1"/>
  <c r="G2507" i="1"/>
  <c r="G2506" i="1"/>
  <c r="G2505" i="1"/>
  <c r="G2504" i="1"/>
  <c r="G2503" i="1"/>
  <c r="G2502" i="1"/>
  <c r="G2501" i="1"/>
  <c r="G2500" i="1"/>
  <c r="G2499" i="1"/>
  <c r="G2498" i="1"/>
  <c r="G2497" i="1"/>
  <c r="G2496" i="1"/>
  <c r="G2495" i="1"/>
  <c r="G2494" i="1"/>
  <c r="G2493" i="1"/>
  <c r="G2492" i="1"/>
  <c r="G2491" i="1"/>
  <c r="G2490" i="1"/>
  <c r="G2489" i="1"/>
  <c r="G2488" i="1"/>
  <c r="G2487" i="1"/>
  <c r="G2486" i="1"/>
  <c r="G2485" i="1"/>
  <c r="G2484" i="1"/>
  <c r="G2483" i="1"/>
  <c r="G2482" i="1"/>
  <c r="G2481" i="1"/>
  <c r="G2480" i="1"/>
  <c r="G2479" i="1"/>
  <c r="G2478" i="1"/>
  <c r="G2477" i="1"/>
  <c r="G2476" i="1"/>
  <c r="G2475" i="1"/>
  <c r="G2474" i="1"/>
  <c r="G2473" i="1"/>
  <c r="G2472" i="1"/>
  <c r="G2471" i="1"/>
  <c r="G2470" i="1"/>
  <c r="G2469" i="1"/>
  <c r="G2468" i="1"/>
  <c r="G2467" i="1"/>
  <c r="G2466" i="1"/>
  <c r="G2465" i="1"/>
  <c r="G2464" i="1"/>
  <c r="G2463" i="1"/>
  <c r="G2462" i="1"/>
  <c r="G2461" i="1"/>
  <c r="G2460" i="1"/>
  <c r="G2459" i="1"/>
  <c r="G2458" i="1"/>
  <c r="G2457" i="1"/>
  <c r="G2456" i="1"/>
  <c r="G2455" i="1"/>
  <c r="G2454" i="1"/>
  <c r="G2453" i="1"/>
  <c r="G2452" i="1"/>
  <c r="G2451" i="1"/>
  <c r="G2450" i="1"/>
  <c r="G2449" i="1"/>
  <c r="G2448" i="1"/>
  <c r="G2447" i="1"/>
  <c r="G2446" i="1"/>
  <c r="G2445" i="1"/>
  <c r="G2444" i="1"/>
  <c r="G2443" i="1"/>
  <c r="G2442" i="1"/>
  <c r="G2441" i="1"/>
  <c r="G2440" i="1"/>
  <c r="G2439" i="1"/>
  <c r="G2438" i="1"/>
  <c r="G2437" i="1"/>
  <c r="G2436" i="1"/>
  <c r="G2435" i="1"/>
  <c r="G2434" i="1"/>
  <c r="G2433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F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F2372" i="1"/>
  <c r="G2372" i="1" s="1"/>
  <c r="G2371" i="1"/>
  <c r="G2370" i="1"/>
  <c r="G2369" i="1"/>
  <c r="G2368" i="1"/>
  <c r="G2367" i="1"/>
  <c r="G2366" i="1"/>
  <c r="G2365" i="1"/>
  <c r="G2364" i="1"/>
  <c r="F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F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2297" i="1"/>
  <c r="G2296" i="1"/>
  <c r="G2295" i="1"/>
  <c r="G2294" i="1"/>
  <c r="G2293" i="1"/>
  <c r="G2292" i="1"/>
  <c r="G2291" i="1"/>
  <c r="G2290" i="1"/>
  <c r="G2289" i="1"/>
  <c r="G2288" i="1"/>
  <c r="G2287" i="1"/>
  <c r="G2286" i="1"/>
  <c r="G2285" i="1"/>
  <c r="G2284" i="1"/>
  <c r="G2283" i="1"/>
  <c r="G2282" i="1"/>
  <c r="G2281" i="1"/>
  <c r="G2280" i="1"/>
  <c r="G2279" i="1"/>
  <c r="G2278" i="1"/>
  <c r="G2277" i="1"/>
  <c r="G2276" i="1"/>
  <c r="G2275" i="1"/>
  <c r="G2274" i="1"/>
  <c r="G2273" i="1"/>
  <c r="G2272" i="1"/>
  <c r="G2271" i="1"/>
  <c r="G2270" i="1"/>
  <c r="G2269" i="1"/>
  <c r="G2268" i="1"/>
  <c r="G2267" i="1"/>
  <c r="G2266" i="1"/>
  <c r="G2265" i="1"/>
  <c r="G2264" i="1"/>
  <c r="G2263" i="1"/>
  <c r="G2262" i="1"/>
  <c r="G2261" i="1"/>
  <c r="G2260" i="1"/>
  <c r="G2259" i="1"/>
  <c r="G2258" i="1"/>
  <c r="G2257" i="1"/>
  <c r="G2256" i="1"/>
  <c r="G2255" i="1"/>
  <c r="G2254" i="1"/>
  <c r="G2253" i="1"/>
  <c r="G2252" i="1"/>
  <c r="G2251" i="1"/>
  <c r="G2250" i="1"/>
  <c r="G2249" i="1"/>
  <c r="G2248" i="1"/>
  <c r="G2247" i="1"/>
  <c r="G2246" i="1"/>
  <c r="G2245" i="1"/>
  <c r="G2244" i="1"/>
  <c r="F2243" i="1"/>
  <c r="G2243" i="1" s="1"/>
  <c r="G2242" i="1"/>
  <c r="G2241" i="1"/>
  <c r="G2240" i="1"/>
  <c r="G2239" i="1"/>
  <c r="G2238" i="1"/>
  <c r="G2237" i="1"/>
  <c r="G2236" i="1"/>
  <c r="G2235" i="1"/>
  <c r="G2234" i="1"/>
  <c r="G2233" i="1"/>
  <c r="G2232" i="1"/>
  <c r="G2231" i="1"/>
  <c r="G2230" i="1"/>
  <c r="G2229" i="1"/>
  <c r="F2228" i="1"/>
  <c r="G2228" i="1" s="1"/>
  <c r="G2227" i="1"/>
  <c r="G2226" i="1"/>
  <c r="G2225" i="1"/>
  <c r="G2224" i="1"/>
  <c r="G2223" i="1"/>
  <c r="G2222" i="1"/>
  <c r="G2221" i="1"/>
  <c r="G2220" i="1"/>
  <c r="F2220" i="1"/>
  <c r="G2219" i="1"/>
  <c r="G2218" i="1"/>
  <c r="G2217" i="1"/>
  <c r="G2216" i="1"/>
  <c r="G2215" i="1"/>
  <c r="G2214" i="1"/>
  <c r="G2213" i="1"/>
  <c r="G2212" i="1"/>
  <c r="G2211" i="1"/>
  <c r="G2210" i="1"/>
  <c r="G2209" i="1"/>
  <c r="F2209" i="1"/>
  <c r="G2208" i="1"/>
  <c r="G2207" i="1"/>
  <c r="G2206" i="1"/>
  <c r="G2205" i="1"/>
  <c r="G2204" i="1"/>
  <c r="G2203" i="1"/>
  <c r="G2202" i="1"/>
  <c r="G2201" i="1"/>
  <c r="G2200" i="1"/>
  <c r="G2199" i="1"/>
  <c r="G2198" i="1"/>
  <c r="G2197" i="1"/>
  <c r="G2196" i="1"/>
  <c r="G2195" i="1"/>
  <c r="G2194" i="1"/>
  <c r="G2193" i="1"/>
  <c r="F2192" i="1"/>
  <c r="G2192" i="1" s="1"/>
  <c r="G2191" i="1"/>
  <c r="G2190" i="1"/>
  <c r="G2189" i="1"/>
  <c r="G2188" i="1"/>
  <c r="G2187" i="1"/>
  <c r="G2186" i="1"/>
  <c r="G2185" i="1"/>
  <c r="G2184" i="1"/>
  <c r="G2183" i="1"/>
  <c r="G2182" i="1"/>
  <c r="G2181" i="1"/>
  <c r="G2180" i="1"/>
  <c r="G2179" i="1"/>
  <c r="G2178" i="1"/>
  <c r="G2177" i="1"/>
  <c r="G2176" i="1"/>
  <c r="G2175" i="1"/>
  <c r="G2174" i="1"/>
  <c r="G2173" i="1"/>
  <c r="G2172" i="1"/>
  <c r="G2171" i="1"/>
  <c r="G2170" i="1"/>
  <c r="G2169" i="1"/>
  <c r="G2168" i="1"/>
  <c r="G2167" i="1"/>
  <c r="G2166" i="1"/>
  <c r="G2165" i="1"/>
  <c r="G2164" i="1"/>
  <c r="G2163" i="1"/>
  <c r="G2162" i="1"/>
  <c r="G2161" i="1"/>
  <c r="G2160" i="1"/>
  <c r="G2159" i="1"/>
  <c r="G2158" i="1"/>
  <c r="G2157" i="1"/>
  <c r="G2156" i="1"/>
  <c r="G2155" i="1"/>
  <c r="G2154" i="1"/>
  <c r="G2153" i="1"/>
  <c r="G2152" i="1"/>
  <c r="G2151" i="1"/>
  <c r="G2150" i="1"/>
  <c r="G2149" i="1"/>
  <c r="G2148" i="1"/>
  <c r="G2147" i="1"/>
  <c r="G2146" i="1"/>
  <c r="G2145" i="1"/>
  <c r="G2144" i="1"/>
  <c r="G2143" i="1"/>
  <c r="G2142" i="1"/>
  <c r="G2141" i="1"/>
  <c r="G2140" i="1"/>
  <c r="G2139" i="1"/>
  <c r="G2138" i="1"/>
  <c r="G2137" i="1"/>
  <c r="G2136" i="1"/>
  <c r="G2135" i="1"/>
  <c r="G2134" i="1"/>
  <c r="G2133" i="1"/>
  <c r="G2132" i="1"/>
  <c r="G2131" i="1"/>
  <c r="G2130" i="1"/>
  <c r="G2129" i="1"/>
  <c r="G2128" i="1"/>
  <c r="G2127" i="1"/>
  <c r="G2126" i="1"/>
  <c r="G2125" i="1"/>
  <c r="G2124" i="1"/>
  <c r="G2123" i="1"/>
  <c r="G2122" i="1"/>
  <c r="G2121" i="1"/>
  <c r="F2120" i="1"/>
  <c r="G2120" i="1" s="1"/>
  <c r="G2119" i="1"/>
  <c r="G2118" i="1"/>
  <c r="G2117" i="1"/>
  <c r="G2116" i="1"/>
  <c r="G2115" i="1"/>
  <c r="G2114" i="1"/>
  <c r="G2113" i="1"/>
  <c r="G2112" i="1"/>
  <c r="G2111" i="1"/>
  <c r="G2110" i="1"/>
  <c r="G2109" i="1"/>
  <c r="G2108" i="1"/>
  <c r="G2107" i="1"/>
  <c r="G2106" i="1"/>
  <c r="G2105" i="1"/>
  <c r="G2104" i="1"/>
  <c r="G2103" i="1"/>
  <c r="G2102" i="1"/>
  <c r="G2101" i="1"/>
  <c r="G2100" i="1"/>
  <c r="G2099" i="1"/>
  <c r="G2098" i="1"/>
  <c r="G2097" i="1"/>
  <c r="G2096" i="1"/>
  <c r="G2095" i="1"/>
  <c r="G2094" i="1"/>
  <c r="F2093" i="1"/>
  <c r="G2093" i="1" s="1"/>
  <c r="G2092" i="1"/>
  <c r="G2091" i="1"/>
  <c r="G2090" i="1"/>
  <c r="G2089" i="1"/>
  <c r="G2088" i="1"/>
  <c r="G2087" i="1"/>
  <c r="G2086" i="1"/>
  <c r="G2085" i="1"/>
  <c r="G2084" i="1"/>
  <c r="G2083" i="1"/>
  <c r="G2082" i="1"/>
  <c r="G2081" i="1"/>
  <c r="G2080" i="1"/>
  <c r="G2079" i="1"/>
  <c r="G2078" i="1"/>
  <c r="G2077" i="1"/>
  <c r="G2076" i="1"/>
  <c r="G2075" i="1"/>
  <c r="G2074" i="1"/>
  <c r="G2073" i="1"/>
  <c r="G2072" i="1"/>
  <c r="G2071" i="1"/>
  <c r="G2070" i="1"/>
  <c r="G2069" i="1"/>
  <c r="G2068" i="1"/>
  <c r="G2067" i="1"/>
  <c r="G2066" i="1"/>
  <c r="G2065" i="1"/>
  <c r="G2064" i="1"/>
  <c r="G2063" i="1"/>
  <c r="G2062" i="1"/>
  <c r="G2061" i="1"/>
  <c r="G2060" i="1"/>
  <c r="G2059" i="1"/>
  <c r="G2058" i="1"/>
  <c r="G2057" i="1"/>
  <c r="G2056" i="1"/>
  <c r="G2055" i="1"/>
  <c r="G2054" i="1"/>
  <c r="G2053" i="1"/>
  <c r="G2052" i="1"/>
  <c r="G2051" i="1"/>
  <c r="G2050" i="1"/>
  <c r="G2049" i="1"/>
  <c r="G2048" i="1"/>
  <c r="G2047" i="1"/>
  <c r="G2046" i="1"/>
  <c r="G2045" i="1"/>
  <c r="G2044" i="1"/>
  <c r="G2043" i="1"/>
  <c r="G2042" i="1"/>
  <c r="G2041" i="1"/>
  <c r="G2040" i="1"/>
  <c r="G2039" i="1"/>
  <c r="G2038" i="1"/>
  <c r="G2037" i="1"/>
  <c r="G2036" i="1"/>
  <c r="F2035" i="1"/>
  <c r="G2035" i="1" s="1"/>
  <c r="G2034" i="1"/>
  <c r="G2033" i="1"/>
  <c r="G2032" i="1"/>
  <c r="G2031" i="1"/>
  <c r="G2030" i="1"/>
  <c r="G2029" i="1"/>
  <c r="G2028" i="1"/>
  <c r="G2027" i="1"/>
  <c r="G2026" i="1"/>
  <c r="G2025" i="1"/>
  <c r="G2024" i="1"/>
  <c r="G2023" i="1"/>
  <c r="G2022" i="1"/>
  <c r="G2021" i="1"/>
  <c r="G2020" i="1"/>
  <c r="G2019" i="1"/>
  <c r="G2018" i="1"/>
  <c r="G2017" i="1"/>
  <c r="G2016" i="1"/>
  <c r="G2015" i="1"/>
  <c r="G2014" i="1"/>
  <c r="G2013" i="1"/>
  <c r="G2012" i="1"/>
  <c r="G2011" i="1"/>
  <c r="G2010" i="1"/>
  <c r="G2009" i="1"/>
  <c r="G2008" i="1"/>
  <c r="G2007" i="1"/>
  <c r="G2006" i="1"/>
  <c r="G2005" i="1"/>
  <c r="G2004" i="1"/>
  <c r="G2003" i="1"/>
  <c r="G2002" i="1"/>
  <c r="G2001" i="1"/>
  <c r="G2000" i="1"/>
  <c r="G1999" i="1"/>
  <c r="G1998" i="1"/>
  <c r="G1997" i="1"/>
  <c r="G1996" i="1"/>
  <c r="G1995" i="1"/>
  <c r="G1994" i="1"/>
  <c r="G1993" i="1"/>
  <c r="G1992" i="1"/>
  <c r="G1991" i="1"/>
  <c r="G1990" i="1"/>
  <c r="G1989" i="1"/>
  <c r="G1988" i="1"/>
  <c r="G1987" i="1"/>
  <c r="G1986" i="1"/>
  <c r="G1985" i="1"/>
  <c r="G1984" i="1"/>
  <c r="G1983" i="1"/>
  <c r="G1982" i="1"/>
  <c r="G1981" i="1"/>
  <c r="G1980" i="1"/>
  <c r="G1979" i="1"/>
  <c r="G1978" i="1"/>
  <c r="G1977" i="1"/>
  <c r="G1976" i="1"/>
  <c r="G1975" i="1"/>
  <c r="G1974" i="1"/>
  <c r="G1973" i="1"/>
  <c r="G1972" i="1"/>
  <c r="G1971" i="1"/>
  <c r="G1970" i="1"/>
  <c r="G1969" i="1"/>
  <c r="G1968" i="1"/>
  <c r="G1967" i="1"/>
  <c r="G1966" i="1"/>
  <c r="G1965" i="1"/>
  <c r="G1964" i="1"/>
  <c r="G1963" i="1"/>
  <c r="G1962" i="1"/>
  <c r="G1961" i="1"/>
  <c r="G1960" i="1"/>
  <c r="G1959" i="1"/>
  <c r="G1958" i="1"/>
  <c r="G1957" i="1"/>
  <c r="G1956" i="1"/>
  <c r="G1955" i="1"/>
  <c r="G1954" i="1"/>
  <c r="G1953" i="1"/>
  <c r="G1952" i="1"/>
  <c r="G1951" i="1"/>
  <c r="G1950" i="1"/>
  <c r="G1949" i="1"/>
  <c r="G1948" i="1"/>
  <c r="G1947" i="1"/>
  <c r="G1946" i="1"/>
  <c r="F1946" i="1"/>
  <c r="G1945" i="1"/>
  <c r="G1944" i="1"/>
  <c r="G1943" i="1"/>
  <c r="G1942" i="1"/>
  <c r="G1941" i="1"/>
  <c r="G1940" i="1"/>
  <c r="G1939" i="1"/>
  <c r="G1938" i="1"/>
  <c r="G1937" i="1"/>
  <c r="G1936" i="1"/>
  <c r="G1935" i="1"/>
  <c r="G1934" i="1"/>
  <c r="G1933" i="1"/>
  <c r="G1932" i="1"/>
  <c r="G1931" i="1"/>
  <c r="G1930" i="1"/>
  <c r="G1929" i="1"/>
  <c r="G1928" i="1"/>
  <c r="G1927" i="1"/>
  <c r="G1926" i="1"/>
  <c r="G1925" i="1"/>
  <c r="G1924" i="1"/>
  <c r="G1923" i="1"/>
  <c r="G1922" i="1"/>
  <c r="G1921" i="1"/>
  <c r="G1920" i="1"/>
  <c r="G1919" i="1"/>
  <c r="G1918" i="1"/>
  <c r="G1917" i="1"/>
  <c r="G1916" i="1"/>
  <c r="G1915" i="1"/>
  <c r="G1914" i="1"/>
  <c r="G1913" i="1"/>
  <c r="G1912" i="1"/>
  <c r="G1911" i="1"/>
  <c r="G1910" i="1"/>
  <c r="G1909" i="1"/>
  <c r="G1908" i="1"/>
  <c r="G1907" i="1"/>
  <c r="G1906" i="1"/>
  <c r="G1905" i="1"/>
  <c r="G1904" i="1"/>
  <c r="G1903" i="1"/>
  <c r="G1902" i="1"/>
  <c r="G1901" i="1"/>
  <c r="G1900" i="1"/>
  <c r="G1899" i="1"/>
  <c r="G1898" i="1"/>
  <c r="G1897" i="1"/>
  <c r="G1896" i="1"/>
  <c r="G1895" i="1"/>
  <c r="G1894" i="1"/>
  <c r="G1893" i="1"/>
  <c r="G1892" i="1"/>
  <c r="G1891" i="1"/>
  <c r="G1890" i="1"/>
  <c r="G1889" i="1"/>
  <c r="G1888" i="1"/>
  <c r="G1887" i="1"/>
  <c r="G1886" i="1"/>
  <c r="G1885" i="1"/>
  <c r="G1884" i="1"/>
  <c r="G1883" i="1"/>
  <c r="G1882" i="1"/>
  <c r="G1881" i="1"/>
  <c r="G1880" i="1"/>
  <c r="G1879" i="1"/>
  <c r="G1878" i="1"/>
  <c r="G1877" i="1"/>
  <c r="G1876" i="1"/>
  <c r="G1875" i="1"/>
  <c r="G1874" i="1"/>
  <c r="G1873" i="1"/>
  <c r="G1872" i="1"/>
  <c r="G1871" i="1"/>
  <c r="G1870" i="1"/>
  <c r="G1869" i="1"/>
  <c r="G1868" i="1"/>
  <c r="G1867" i="1"/>
  <c r="G1866" i="1"/>
  <c r="G1865" i="1"/>
  <c r="G1864" i="1"/>
  <c r="G1863" i="1"/>
  <c r="G1862" i="1"/>
  <c r="G1861" i="1"/>
  <c r="G1860" i="1"/>
  <c r="G1859" i="1"/>
  <c r="G1858" i="1"/>
  <c r="G1857" i="1"/>
  <c r="G1856" i="1"/>
  <c r="G1855" i="1"/>
  <c r="G1854" i="1"/>
  <c r="G1853" i="1"/>
  <c r="G1852" i="1"/>
  <c r="G1851" i="1"/>
  <c r="G1850" i="1"/>
  <c r="G1849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1836" i="1"/>
  <c r="G1835" i="1"/>
  <c r="F1835" i="1"/>
  <c r="G1834" i="1"/>
  <c r="G1833" i="1"/>
  <c r="F1833" i="1"/>
  <c r="G1832" i="1"/>
  <c r="G1831" i="1"/>
  <c r="G1830" i="1"/>
  <c r="G1829" i="1"/>
  <c r="G1828" i="1"/>
  <c r="G1827" i="1"/>
  <c r="G1826" i="1"/>
  <c r="F1826" i="1"/>
  <c r="G1825" i="1"/>
  <c r="G1824" i="1"/>
  <c r="G1823" i="1"/>
  <c r="G1822" i="1"/>
  <c r="G1821" i="1"/>
  <c r="G1820" i="1"/>
  <c r="G1819" i="1"/>
  <c r="G1818" i="1"/>
  <c r="G1817" i="1"/>
  <c r="G1816" i="1"/>
  <c r="G1815" i="1"/>
  <c r="G1814" i="1"/>
  <c r="G1813" i="1"/>
  <c r="G1812" i="1"/>
  <c r="G1811" i="1"/>
  <c r="G1810" i="1"/>
  <c r="G1809" i="1"/>
  <c r="G1808" i="1"/>
  <c r="G1807" i="1"/>
  <c r="G1806" i="1"/>
  <c r="G1805" i="1"/>
  <c r="G1804" i="1"/>
  <c r="G1803" i="1"/>
  <c r="G1802" i="1"/>
  <c r="G1801" i="1"/>
  <c r="G1800" i="1"/>
  <c r="G1799" i="1"/>
  <c r="G1798" i="1"/>
  <c r="G1797" i="1"/>
  <c r="G1796" i="1"/>
  <c r="G1795" i="1"/>
  <c r="G1794" i="1"/>
  <c r="G1793" i="1"/>
  <c r="G1792" i="1"/>
  <c r="G1791" i="1"/>
  <c r="G1790" i="1"/>
  <c r="G1789" i="1"/>
  <c r="G1788" i="1"/>
  <c r="G1787" i="1"/>
  <c r="G1786" i="1"/>
  <c r="G1785" i="1"/>
  <c r="G1784" i="1"/>
  <c r="G1783" i="1"/>
  <c r="G1782" i="1"/>
  <c r="G1781" i="1"/>
  <c r="G1780" i="1"/>
  <c r="G1779" i="1"/>
  <c r="G1778" i="1"/>
  <c r="G1777" i="1"/>
  <c r="G1776" i="1"/>
  <c r="G1775" i="1"/>
  <c r="G1774" i="1"/>
  <c r="G1773" i="1"/>
  <c r="G1772" i="1"/>
  <c r="G1771" i="1"/>
  <c r="G1770" i="1"/>
  <c r="G1769" i="1"/>
  <c r="G1768" i="1"/>
  <c r="G1767" i="1"/>
  <c r="G1766" i="1"/>
  <c r="G1765" i="1"/>
  <c r="G1764" i="1"/>
  <c r="G1763" i="1"/>
  <c r="G1762" i="1"/>
  <c r="G1761" i="1"/>
  <c r="G1760" i="1"/>
  <c r="G1759" i="1"/>
  <c r="G1758" i="1"/>
  <c r="G1757" i="1"/>
  <c r="G1756" i="1"/>
  <c r="G1755" i="1"/>
  <c r="G1754" i="1"/>
  <c r="G1753" i="1"/>
  <c r="G1752" i="1"/>
  <c r="G1751" i="1"/>
  <c r="G1750" i="1"/>
  <c r="G1749" i="1"/>
  <c r="G1748" i="1"/>
  <c r="G1747" i="1"/>
  <c r="G1746" i="1"/>
  <c r="G1745" i="1"/>
  <c r="G1744" i="1"/>
  <c r="G1743" i="1"/>
  <c r="G1742" i="1"/>
  <c r="G1741" i="1"/>
  <c r="G1740" i="1"/>
  <c r="G1739" i="1"/>
  <c r="G1738" i="1"/>
  <c r="G1737" i="1"/>
  <c r="G1736" i="1"/>
  <c r="G1735" i="1"/>
  <c r="F1735" i="1"/>
  <c r="G1734" i="1"/>
  <c r="F1733" i="1"/>
  <c r="G1733" i="1" s="1"/>
  <c r="G1732" i="1"/>
  <c r="G1731" i="1"/>
  <c r="G1730" i="1"/>
  <c r="G1729" i="1"/>
  <c r="G1728" i="1"/>
  <c r="G1727" i="1"/>
  <c r="G1726" i="1"/>
  <c r="G1725" i="1"/>
  <c r="G1724" i="1"/>
  <c r="G1723" i="1"/>
  <c r="F1722" i="1"/>
  <c r="G1722" i="1" s="1"/>
  <c r="G1721" i="1"/>
  <c r="G1720" i="1"/>
  <c r="G1719" i="1"/>
  <c r="G1718" i="1"/>
  <c r="G1717" i="1"/>
  <c r="G1716" i="1"/>
  <c r="G1715" i="1"/>
  <c r="G1714" i="1"/>
  <c r="G1713" i="1"/>
  <c r="G1712" i="1"/>
  <c r="G1711" i="1"/>
  <c r="G1710" i="1"/>
  <c r="G1709" i="1"/>
  <c r="G1708" i="1"/>
  <c r="G1707" i="1"/>
  <c r="G1706" i="1"/>
  <c r="G1705" i="1"/>
  <c r="G1704" i="1"/>
  <c r="G1703" i="1"/>
  <c r="G1702" i="1"/>
  <c r="G1701" i="1"/>
  <c r="G1700" i="1"/>
  <c r="G1699" i="1"/>
  <c r="G1698" i="1"/>
  <c r="G1697" i="1"/>
  <c r="G1696" i="1"/>
  <c r="G1695" i="1"/>
  <c r="G1694" i="1"/>
  <c r="G1693" i="1"/>
  <c r="G1692" i="1"/>
  <c r="G1691" i="1"/>
  <c r="G1690" i="1"/>
  <c r="G1689" i="1"/>
  <c r="G1688" i="1"/>
  <c r="G1687" i="1"/>
  <c r="G1686" i="1"/>
  <c r="G1685" i="1"/>
  <c r="G1684" i="1"/>
  <c r="G1683" i="1"/>
  <c r="G1682" i="1"/>
  <c r="G1681" i="1"/>
  <c r="G1680" i="1"/>
  <c r="G1679" i="1"/>
  <c r="G1678" i="1"/>
  <c r="G1677" i="1"/>
  <c r="G1676" i="1"/>
  <c r="G1675" i="1"/>
  <c r="G1674" i="1"/>
  <c r="G1673" i="1"/>
  <c r="G1672" i="1"/>
  <c r="G1671" i="1"/>
  <c r="G1670" i="1"/>
  <c r="G1669" i="1"/>
  <c r="G1668" i="1"/>
  <c r="F1667" i="1"/>
  <c r="G1667" i="1" s="1"/>
  <c r="G1666" i="1"/>
  <c r="G1665" i="1"/>
  <c r="G1664" i="1"/>
  <c r="G1663" i="1"/>
  <c r="G1662" i="1"/>
  <c r="G1661" i="1"/>
  <c r="G1660" i="1"/>
  <c r="G1659" i="1"/>
  <c r="G1658" i="1"/>
  <c r="G1657" i="1"/>
  <c r="G1656" i="1"/>
  <c r="G1655" i="1"/>
  <c r="G1654" i="1"/>
  <c r="G1653" i="1"/>
  <c r="G1652" i="1"/>
  <c r="G1651" i="1"/>
  <c r="G1650" i="1"/>
  <c r="G1649" i="1"/>
  <c r="G1648" i="1"/>
  <c r="G1647" i="1"/>
  <c r="G1646" i="1"/>
  <c r="G1645" i="1"/>
  <c r="G1644" i="1"/>
  <c r="G1643" i="1"/>
  <c r="G1642" i="1"/>
  <c r="G1641" i="1"/>
  <c r="G1640" i="1"/>
  <c r="G1639" i="1"/>
  <c r="G1638" i="1"/>
  <c r="G1637" i="1"/>
  <c r="G1636" i="1"/>
  <c r="G1635" i="1"/>
  <c r="G1634" i="1"/>
  <c r="G1633" i="1"/>
  <c r="G1632" i="1"/>
  <c r="G1631" i="1"/>
  <c r="G1630" i="1"/>
  <c r="G1629" i="1"/>
  <c r="G1628" i="1"/>
  <c r="G1627" i="1"/>
  <c r="G1626" i="1"/>
  <c r="G1625" i="1"/>
  <c r="G1624" i="1"/>
  <c r="G1623" i="1"/>
  <c r="G1622" i="1"/>
  <c r="G1621" i="1"/>
  <c r="G1620" i="1"/>
  <c r="G1619" i="1"/>
  <c r="G1618" i="1"/>
  <c r="G1617" i="1"/>
  <c r="G1616" i="1"/>
  <c r="G1615" i="1"/>
  <c r="G1614" i="1"/>
  <c r="G1613" i="1"/>
  <c r="G1612" i="1"/>
  <c r="G1611" i="1"/>
  <c r="G1610" i="1"/>
  <c r="G1609" i="1"/>
  <c r="G1608" i="1"/>
  <c r="G1607" i="1"/>
  <c r="G1606" i="1"/>
  <c r="F1605" i="1"/>
  <c r="G1605" i="1" s="1"/>
  <c r="G1604" i="1"/>
  <c r="G1603" i="1"/>
  <c r="G1602" i="1"/>
  <c r="G1601" i="1"/>
  <c r="G1600" i="1"/>
  <c r="G1599" i="1"/>
  <c r="G1598" i="1"/>
  <c r="G1597" i="1"/>
  <c r="G1596" i="1"/>
  <c r="G1595" i="1"/>
  <c r="G1594" i="1"/>
  <c r="G1593" i="1"/>
  <c r="G1592" i="1"/>
  <c r="G1591" i="1"/>
  <c r="F1590" i="1"/>
  <c r="G1590" i="1" s="1"/>
  <c r="G1589" i="1"/>
  <c r="G1588" i="1"/>
  <c r="G1587" i="1"/>
  <c r="G1586" i="1"/>
  <c r="G1585" i="1"/>
  <c r="G1584" i="1"/>
  <c r="G1583" i="1"/>
  <c r="G1582" i="1"/>
  <c r="G1581" i="1"/>
  <c r="G1580" i="1"/>
  <c r="F1580" i="1"/>
  <c r="G1579" i="1"/>
  <c r="G1578" i="1"/>
  <c r="F1578" i="1"/>
  <c r="G1577" i="1"/>
  <c r="G1576" i="1"/>
  <c r="G1575" i="1"/>
  <c r="G1574" i="1"/>
  <c r="G1573" i="1"/>
  <c r="G1572" i="1"/>
  <c r="G1571" i="1"/>
  <c r="G1570" i="1"/>
  <c r="G1569" i="1"/>
  <c r="G1568" i="1"/>
  <c r="G1567" i="1"/>
  <c r="G1566" i="1"/>
  <c r="G1565" i="1"/>
  <c r="G1564" i="1"/>
  <c r="G1563" i="1"/>
  <c r="G1562" i="1"/>
  <c r="G1561" i="1"/>
  <c r="G1560" i="1"/>
  <c r="G1559" i="1"/>
  <c r="G1558" i="1"/>
  <c r="G1557" i="1"/>
  <c r="G1556" i="1"/>
  <c r="G1555" i="1"/>
  <c r="G1554" i="1"/>
  <c r="G1553" i="1"/>
  <c r="G1552" i="1"/>
  <c r="G1551" i="1"/>
  <c r="G1550" i="1"/>
  <c r="G1549" i="1"/>
  <c r="G1548" i="1"/>
  <c r="G1547" i="1"/>
  <c r="G1546" i="1"/>
  <c r="G1545" i="1"/>
  <c r="G1544" i="1"/>
  <c r="G1543" i="1"/>
  <c r="G1542" i="1"/>
  <c r="G1541" i="1"/>
  <c r="G1540" i="1"/>
  <c r="G1539" i="1"/>
  <c r="G1538" i="1"/>
  <c r="G1537" i="1"/>
  <c r="G1536" i="1"/>
  <c r="G1535" i="1"/>
  <c r="G1534" i="1"/>
  <c r="G1533" i="1"/>
  <c r="G1532" i="1"/>
  <c r="G1531" i="1"/>
  <c r="G1530" i="1"/>
  <c r="G1529" i="1"/>
  <c r="G1528" i="1"/>
  <c r="G1527" i="1"/>
  <c r="G1526" i="1"/>
  <c r="G1525" i="1"/>
  <c r="G1524" i="1"/>
  <c r="G1523" i="1"/>
  <c r="G1522" i="1"/>
  <c r="G1521" i="1"/>
  <c r="G1520" i="1"/>
  <c r="G1519" i="1"/>
  <c r="G1518" i="1"/>
  <c r="G1517" i="1"/>
  <c r="G1516" i="1"/>
  <c r="G1515" i="1"/>
  <c r="G1514" i="1"/>
  <c r="G1513" i="1"/>
  <c r="G1512" i="1"/>
  <c r="G1511" i="1"/>
  <c r="G1510" i="1"/>
  <c r="G1509" i="1"/>
  <c r="G1508" i="1"/>
  <c r="G1507" i="1"/>
  <c r="G1506" i="1"/>
  <c r="G1505" i="1"/>
  <c r="G1504" i="1"/>
  <c r="G1503" i="1"/>
  <c r="G1502" i="1"/>
  <c r="G1501" i="1"/>
  <c r="G1500" i="1"/>
  <c r="G1499" i="1"/>
  <c r="G1498" i="1"/>
  <c r="G1497" i="1"/>
  <c r="G1496" i="1"/>
  <c r="G1495" i="1"/>
  <c r="G1494" i="1"/>
  <c r="G1493" i="1"/>
  <c r="G1492" i="1"/>
  <c r="G1491" i="1"/>
  <c r="G1490" i="1"/>
  <c r="G1489" i="1"/>
  <c r="G1488" i="1"/>
  <c r="G1487" i="1"/>
  <c r="G1486" i="1"/>
  <c r="G1485" i="1"/>
  <c r="G1484" i="1"/>
  <c r="G1483" i="1"/>
  <c r="G1482" i="1"/>
  <c r="G1481" i="1"/>
  <c r="G1480" i="1"/>
  <c r="G1479" i="1"/>
  <c r="G1478" i="1"/>
  <c r="G1477" i="1"/>
  <c r="G1476" i="1"/>
  <c r="G1475" i="1"/>
  <c r="G1474" i="1"/>
  <c r="G1473" i="1"/>
  <c r="G1472" i="1"/>
  <c r="G1471" i="1"/>
  <c r="G1470" i="1"/>
  <c r="G1469" i="1"/>
  <c r="G1468" i="1"/>
  <c r="G1467" i="1"/>
  <c r="G1466" i="1"/>
  <c r="G1465" i="1"/>
  <c r="G1464" i="1"/>
  <c r="G1463" i="1"/>
  <c r="G1462" i="1"/>
  <c r="G1461" i="1"/>
  <c r="G1460" i="1"/>
  <c r="G1459" i="1"/>
  <c r="G1458" i="1"/>
  <c r="G1457" i="1"/>
  <c r="G1456" i="1"/>
  <c r="G1455" i="1"/>
  <c r="G1454" i="1"/>
  <c r="G1453" i="1"/>
  <c r="G1452" i="1"/>
  <c r="G1451" i="1"/>
  <c r="G1450" i="1"/>
  <c r="G1449" i="1"/>
  <c r="G1448" i="1"/>
  <c r="G1447" i="1"/>
  <c r="G1446" i="1"/>
  <c r="G1445" i="1"/>
  <c r="G1444" i="1"/>
  <c r="G1443" i="1"/>
  <c r="G1442" i="1"/>
  <c r="G1441" i="1"/>
  <c r="G1440" i="1"/>
  <c r="G1439" i="1"/>
  <c r="G1438" i="1"/>
  <c r="G1437" i="1"/>
  <c r="G1436" i="1"/>
  <c r="G1435" i="1"/>
  <c r="G1434" i="1"/>
  <c r="G1433" i="1"/>
  <c r="F1432" i="1"/>
  <c r="G1432" i="1" s="1"/>
  <c r="G1431" i="1"/>
  <c r="G1430" i="1"/>
  <c r="G1429" i="1"/>
  <c r="G1428" i="1"/>
  <c r="G1427" i="1"/>
  <c r="G1426" i="1"/>
  <c r="G1425" i="1"/>
  <c r="G1424" i="1"/>
  <c r="G1423" i="1"/>
  <c r="G1422" i="1"/>
  <c r="G1421" i="1"/>
  <c r="G1420" i="1"/>
  <c r="G1419" i="1"/>
  <c r="G1418" i="1"/>
  <c r="G1417" i="1"/>
  <c r="G1416" i="1"/>
  <c r="G1415" i="1"/>
  <c r="G1414" i="1"/>
  <c r="G1413" i="1"/>
  <c r="G1412" i="1"/>
  <c r="G1411" i="1"/>
  <c r="G1410" i="1"/>
  <c r="G1409" i="1"/>
  <c r="G1408" i="1"/>
  <c r="G1407" i="1"/>
  <c r="F1406" i="1"/>
  <c r="G1406" i="1" s="1"/>
  <c r="G1405" i="1"/>
  <c r="G1404" i="1"/>
  <c r="G1403" i="1"/>
  <c r="G1402" i="1"/>
  <c r="G1401" i="1"/>
  <c r="G1400" i="1"/>
  <c r="G1399" i="1"/>
  <c r="G1398" i="1"/>
  <c r="G1397" i="1"/>
  <c r="G1396" i="1"/>
  <c r="G1395" i="1"/>
  <c r="G1394" i="1"/>
  <c r="G1393" i="1"/>
  <c r="G1392" i="1"/>
  <c r="G1391" i="1"/>
  <c r="G1390" i="1"/>
  <c r="G1389" i="1"/>
  <c r="G1388" i="1"/>
  <c r="G1387" i="1"/>
  <c r="G1386" i="1"/>
  <c r="G1385" i="1"/>
  <c r="G1384" i="1"/>
  <c r="G1383" i="1"/>
  <c r="G1382" i="1"/>
  <c r="G1381" i="1"/>
  <c r="G1380" i="1"/>
  <c r="G1379" i="1"/>
  <c r="G1378" i="1"/>
  <c r="G1377" i="1"/>
  <c r="G1376" i="1"/>
  <c r="G1375" i="1"/>
  <c r="G1374" i="1"/>
  <c r="G1373" i="1"/>
  <c r="G1372" i="1"/>
  <c r="G1371" i="1"/>
  <c r="G1370" i="1"/>
  <c r="G1369" i="1"/>
  <c r="G1368" i="1"/>
  <c r="G1367" i="1"/>
  <c r="G1366" i="1"/>
  <c r="G1365" i="1"/>
  <c r="G1364" i="1"/>
  <c r="G1363" i="1"/>
  <c r="G1362" i="1"/>
  <c r="G1361" i="1"/>
  <c r="G1360" i="1"/>
  <c r="G1359" i="1"/>
  <c r="G1358" i="1"/>
  <c r="G1357" i="1"/>
  <c r="G1356" i="1"/>
  <c r="G1355" i="1"/>
  <c r="G1354" i="1"/>
  <c r="G1353" i="1"/>
  <c r="G1352" i="1"/>
  <c r="G1351" i="1"/>
  <c r="G1350" i="1"/>
  <c r="G1349" i="1"/>
  <c r="G1348" i="1"/>
  <c r="G1347" i="1"/>
  <c r="G1346" i="1"/>
  <c r="G1345" i="1"/>
  <c r="G1344" i="1"/>
  <c r="G1343" i="1"/>
  <c r="G1342" i="1"/>
  <c r="G1341" i="1"/>
  <c r="G1340" i="1"/>
  <c r="G1339" i="1"/>
  <c r="G1338" i="1"/>
  <c r="G1337" i="1"/>
  <c r="G1336" i="1"/>
  <c r="G1335" i="1"/>
  <c r="G1334" i="1"/>
  <c r="G1333" i="1"/>
  <c r="G1332" i="1"/>
  <c r="G1331" i="1"/>
  <c r="G1330" i="1"/>
  <c r="G1329" i="1"/>
  <c r="G1328" i="1"/>
  <c r="G1327" i="1"/>
  <c r="G1326" i="1"/>
  <c r="G1325" i="1"/>
  <c r="G1324" i="1"/>
  <c r="G1323" i="1"/>
  <c r="G1322" i="1"/>
  <c r="G1321" i="1"/>
  <c r="G1320" i="1"/>
  <c r="G1319" i="1"/>
  <c r="G1318" i="1"/>
  <c r="G1317" i="1"/>
  <c r="G1316" i="1"/>
  <c r="G1315" i="1"/>
  <c r="G1314" i="1"/>
  <c r="G1313" i="1"/>
  <c r="G1312" i="1"/>
  <c r="G1311" i="1"/>
  <c r="G1310" i="1"/>
  <c r="G1309" i="1"/>
  <c r="G1308" i="1"/>
  <c r="G1307" i="1"/>
  <c r="G1306" i="1"/>
  <c r="G1305" i="1"/>
  <c r="G1304" i="1"/>
  <c r="G1303" i="1"/>
  <c r="G1302" i="1"/>
  <c r="G1301" i="1"/>
  <c r="G1300" i="1"/>
  <c r="G1299" i="1"/>
  <c r="G1298" i="1"/>
  <c r="G1297" i="1"/>
  <c r="G1296" i="1"/>
  <c r="G1295" i="1"/>
  <c r="G1294" i="1"/>
  <c r="G1293" i="1"/>
  <c r="G1292" i="1"/>
  <c r="G1291" i="1"/>
  <c r="G1290" i="1"/>
  <c r="G1289" i="1"/>
  <c r="F1288" i="1"/>
  <c r="G1288" i="1" s="1"/>
  <c r="G1287" i="1"/>
  <c r="F1287" i="1"/>
  <c r="G1286" i="1"/>
  <c r="G1285" i="1"/>
  <c r="G1284" i="1"/>
  <c r="G1283" i="1"/>
  <c r="G1282" i="1"/>
  <c r="G1281" i="1"/>
  <c r="G1280" i="1"/>
  <c r="G1279" i="1"/>
  <c r="G1278" i="1"/>
  <c r="G1277" i="1"/>
  <c r="G1276" i="1"/>
  <c r="G1275" i="1"/>
  <c r="G1274" i="1"/>
  <c r="G1273" i="1"/>
  <c r="G1272" i="1"/>
  <c r="G1271" i="1"/>
  <c r="G1270" i="1"/>
  <c r="G1269" i="1"/>
  <c r="G1268" i="1"/>
  <c r="G1267" i="1"/>
  <c r="G1266" i="1"/>
  <c r="G1265" i="1"/>
  <c r="G1264" i="1"/>
  <c r="G1263" i="1"/>
  <c r="G1262" i="1"/>
  <c r="G1261" i="1"/>
  <c r="G1260" i="1"/>
  <c r="G1259" i="1"/>
  <c r="G1258" i="1"/>
  <c r="G1257" i="1"/>
  <c r="G1256" i="1"/>
  <c r="G1255" i="1"/>
  <c r="G1254" i="1"/>
  <c r="G1253" i="1"/>
  <c r="G1252" i="1"/>
  <c r="G1251" i="1"/>
  <c r="G1250" i="1"/>
  <c r="G1249" i="1"/>
  <c r="G1248" i="1"/>
  <c r="G1247" i="1"/>
  <c r="G1246" i="1"/>
  <c r="G1245" i="1"/>
  <c r="G1244" i="1"/>
  <c r="G1243" i="1"/>
  <c r="G1242" i="1"/>
  <c r="G1241" i="1"/>
  <c r="G1240" i="1"/>
  <c r="G1239" i="1"/>
  <c r="G1238" i="1"/>
  <c r="G1237" i="1"/>
  <c r="G1236" i="1"/>
  <c r="G1235" i="1"/>
  <c r="G1234" i="1"/>
  <c r="G1233" i="1"/>
  <c r="G1232" i="1"/>
  <c r="G1231" i="1"/>
  <c r="G1230" i="1"/>
  <c r="G1229" i="1"/>
  <c r="G1228" i="1"/>
  <c r="G1227" i="1"/>
  <c r="G1226" i="1"/>
  <c r="G1225" i="1"/>
  <c r="G1224" i="1"/>
  <c r="G1223" i="1"/>
  <c r="G1222" i="1"/>
  <c r="G1221" i="1"/>
  <c r="G1220" i="1"/>
  <c r="G1219" i="1"/>
  <c r="G1218" i="1"/>
  <c r="G1217" i="1"/>
  <c r="G1216" i="1"/>
  <c r="G1215" i="1"/>
  <c r="G1214" i="1"/>
  <c r="G1213" i="1"/>
  <c r="G1212" i="1"/>
  <c r="G1211" i="1"/>
  <c r="G1210" i="1"/>
  <c r="G1209" i="1"/>
  <c r="G1208" i="1"/>
  <c r="G1207" i="1"/>
  <c r="G1206" i="1"/>
  <c r="G1205" i="1"/>
  <c r="G1204" i="1"/>
  <c r="G1203" i="1"/>
  <c r="G1202" i="1"/>
  <c r="G1201" i="1"/>
  <c r="G1200" i="1"/>
  <c r="G1199" i="1"/>
  <c r="G1198" i="1"/>
  <c r="G1197" i="1"/>
  <c r="G1196" i="1"/>
  <c r="G1195" i="1"/>
  <c r="G1194" i="1"/>
  <c r="G1193" i="1"/>
  <c r="G1192" i="1"/>
  <c r="G1191" i="1"/>
  <c r="G1190" i="1"/>
  <c r="G1189" i="1"/>
  <c r="G1188" i="1"/>
  <c r="G1187" i="1"/>
  <c r="G1186" i="1"/>
  <c r="G1185" i="1"/>
  <c r="G1184" i="1"/>
  <c r="G1183" i="1"/>
  <c r="G1182" i="1"/>
  <c r="G1181" i="1"/>
  <c r="G1180" i="1"/>
  <c r="G1179" i="1"/>
  <c r="G1178" i="1"/>
  <c r="G1177" i="1"/>
  <c r="G1176" i="1"/>
  <c r="G1175" i="1"/>
  <c r="G1174" i="1"/>
  <c r="G1173" i="1"/>
  <c r="G1172" i="1"/>
  <c r="G1171" i="1"/>
  <c r="F1171" i="1"/>
  <c r="G1170" i="1"/>
  <c r="G1169" i="1"/>
  <c r="G1168" i="1"/>
  <c r="G1167" i="1"/>
  <c r="G1166" i="1"/>
  <c r="G1165" i="1"/>
  <c r="G1164" i="1"/>
  <c r="G1163" i="1"/>
  <c r="G1162" i="1"/>
  <c r="G1161" i="1"/>
  <c r="G1160" i="1"/>
  <c r="G1159" i="1"/>
  <c r="G1158" i="1"/>
  <c r="G1157" i="1"/>
  <c r="G1156" i="1"/>
  <c r="G1155" i="1"/>
  <c r="G1154" i="1"/>
  <c r="G1153" i="1"/>
  <c r="G1152" i="1"/>
  <c r="F1152" i="1"/>
  <c r="G1151" i="1"/>
  <c r="G1150" i="1"/>
  <c r="G1149" i="1"/>
  <c r="G1148" i="1"/>
  <c r="G1147" i="1"/>
  <c r="G1146" i="1"/>
  <c r="G1145" i="1"/>
  <c r="G1144" i="1"/>
  <c r="G1143" i="1"/>
  <c r="G1142" i="1"/>
  <c r="G1141" i="1"/>
  <c r="G1140" i="1"/>
  <c r="G1139" i="1"/>
  <c r="G1138" i="1"/>
  <c r="G1137" i="1"/>
  <c r="G1136" i="1"/>
  <c r="G1135" i="1"/>
  <c r="G1134" i="1"/>
  <c r="G1133" i="1"/>
  <c r="G1132" i="1"/>
  <c r="G1131" i="1"/>
  <c r="G1130" i="1"/>
  <c r="G1129" i="1"/>
  <c r="G1128" i="1"/>
  <c r="G1127" i="1"/>
  <c r="G1126" i="1"/>
  <c r="G1125" i="1"/>
  <c r="G1124" i="1"/>
  <c r="G1123" i="1"/>
  <c r="G1122" i="1"/>
  <c r="G1121" i="1"/>
  <c r="G1120" i="1"/>
  <c r="G1119" i="1"/>
  <c r="G1118" i="1"/>
  <c r="G1117" i="1"/>
  <c r="G1116" i="1"/>
  <c r="G1115" i="1"/>
  <c r="G1114" i="1"/>
  <c r="G1113" i="1"/>
  <c r="G1112" i="1"/>
  <c r="F1111" i="1"/>
  <c r="G1111" i="1" s="1"/>
  <c r="G1110" i="1"/>
  <c r="G1109" i="1"/>
  <c r="G1108" i="1"/>
  <c r="G1107" i="1"/>
  <c r="G1106" i="1"/>
  <c r="G1105" i="1"/>
  <c r="G1104" i="1"/>
  <c r="G1103" i="1"/>
  <c r="G1102" i="1"/>
  <c r="G1101" i="1"/>
  <c r="G1100" i="1"/>
  <c r="G1099" i="1"/>
  <c r="G1098" i="1"/>
  <c r="G1097" i="1"/>
  <c r="G1096" i="1"/>
  <c r="G1095" i="1"/>
  <c r="G1094" i="1"/>
  <c r="G1093" i="1"/>
  <c r="G1092" i="1"/>
  <c r="G1091" i="1"/>
  <c r="G1090" i="1"/>
  <c r="G1089" i="1"/>
  <c r="G1088" i="1"/>
  <c r="G1087" i="1"/>
  <c r="G1086" i="1"/>
  <c r="G1085" i="1"/>
  <c r="G1084" i="1"/>
  <c r="G1083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F1057" i="1"/>
  <c r="G1057" i="1" s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F953" i="1"/>
  <c r="G953" i="1" s="1"/>
  <c r="G952" i="1"/>
  <c r="G951" i="1"/>
  <c r="G950" i="1"/>
  <c r="G949" i="1"/>
  <c r="G948" i="1"/>
  <c r="G947" i="1"/>
  <c r="G946" i="1"/>
  <c r="G945" i="1"/>
  <c r="G944" i="1"/>
  <c r="G943" i="1"/>
  <c r="G942" i="1"/>
  <c r="G941" i="1"/>
  <c r="G940" i="1"/>
  <c r="G939" i="1"/>
  <c r="G938" i="1"/>
  <c r="G937" i="1"/>
  <c r="G936" i="1"/>
  <c r="G935" i="1"/>
  <c r="G934" i="1"/>
  <c r="G933" i="1"/>
  <c r="G932" i="1"/>
  <c r="G931" i="1"/>
  <c r="G930" i="1"/>
  <c r="G929" i="1"/>
  <c r="G928" i="1"/>
  <c r="G927" i="1"/>
  <c r="G926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908" i="1"/>
  <c r="G907" i="1"/>
  <c r="G906" i="1"/>
  <c r="G905" i="1"/>
  <c r="G904" i="1"/>
  <c r="G903" i="1"/>
  <c r="G902" i="1"/>
  <c r="G901" i="1"/>
  <c r="G900" i="1"/>
  <c r="G899" i="1"/>
  <c r="G898" i="1"/>
  <c r="G897" i="1"/>
  <c r="G896" i="1"/>
  <c r="G895" i="1"/>
  <c r="G894" i="1"/>
  <c r="G893" i="1"/>
  <c r="G892" i="1"/>
  <c r="G891" i="1"/>
  <c r="G890" i="1"/>
  <c r="G889" i="1"/>
  <c r="G888" i="1"/>
  <c r="G887" i="1"/>
  <c r="G886" i="1"/>
  <c r="G885" i="1"/>
  <c r="G884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865" i="1"/>
  <c r="G864" i="1"/>
  <c r="G863" i="1"/>
  <c r="G862" i="1"/>
  <c r="G861" i="1"/>
  <c r="G860" i="1"/>
  <c r="G859" i="1"/>
  <c r="G858" i="1"/>
  <c r="G857" i="1"/>
  <c r="G856" i="1"/>
  <c r="G855" i="1"/>
  <c r="G854" i="1"/>
  <c r="G853" i="1"/>
  <c r="G852" i="1"/>
  <c r="G851" i="1"/>
  <c r="G850" i="1"/>
  <c r="G849" i="1"/>
  <c r="G848" i="1"/>
  <c r="F848" i="1"/>
  <c r="G847" i="1"/>
  <c r="G846" i="1"/>
  <c r="G845" i="1"/>
  <c r="G844" i="1"/>
  <c r="G843" i="1"/>
  <c r="G842" i="1"/>
  <c r="G841" i="1"/>
  <c r="G840" i="1"/>
  <c r="G839" i="1"/>
  <c r="G838" i="1"/>
  <c r="G837" i="1"/>
  <c r="G836" i="1"/>
  <c r="G835" i="1"/>
  <c r="G834" i="1"/>
  <c r="F834" i="1"/>
  <c r="G833" i="1"/>
  <c r="G832" i="1"/>
  <c r="G831" i="1"/>
  <c r="G830" i="1"/>
  <c r="G829" i="1"/>
  <c r="G828" i="1"/>
  <c r="G827" i="1"/>
  <c r="G826" i="1"/>
  <c r="G825" i="1"/>
  <c r="G824" i="1"/>
  <c r="G823" i="1"/>
  <c r="G822" i="1"/>
  <c r="G821" i="1"/>
  <c r="G820" i="1"/>
  <c r="G819" i="1"/>
  <c r="G818" i="1"/>
  <c r="G817" i="1"/>
  <c r="G816" i="1"/>
  <c r="G815" i="1"/>
  <c r="G814" i="1"/>
  <c r="G813" i="1"/>
  <c r="G812" i="1"/>
  <c r="G811" i="1"/>
  <c r="G810" i="1"/>
  <c r="G809" i="1"/>
  <c r="G808" i="1"/>
  <c r="G807" i="1"/>
  <c r="G806" i="1"/>
  <c r="G805" i="1"/>
  <c r="G804" i="1"/>
  <c r="G803" i="1"/>
  <c r="G802" i="1"/>
  <c r="G801" i="1"/>
  <c r="G800" i="1"/>
  <c r="G799" i="1"/>
  <c r="G798" i="1"/>
  <c r="G797" i="1"/>
  <c r="G796" i="1"/>
  <c r="G795" i="1"/>
  <c r="G794" i="1"/>
  <c r="G793" i="1"/>
  <c r="G792" i="1"/>
  <c r="G791" i="1"/>
  <c r="G790" i="1"/>
  <c r="G789" i="1"/>
  <c r="G788" i="1"/>
  <c r="G787" i="1"/>
  <c r="G786" i="1"/>
  <c r="G785" i="1"/>
  <c r="G784" i="1"/>
  <c r="G783" i="1"/>
  <c r="G782" i="1"/>
  <c r="G781" i="1"/>
  <c r="G780" i="1"/>
  <c r="G779" i="1"/>
  <c r="G778" i="1"/>
  <c r="G777" i="1"/>
  <c r="G776" i="1"/>
  <c r="G775" i="1"/>
  <c r="G774" i="1"/>
  <c r="F774" i="1"/>
  <c r="G773" i="1"/>
  <c r="G772" i="1"/>
  <c r="G771" i="1"/>
  <c r="G770" i="1"/>
  <c r="G769" i="1"/>
  <c r="G768" i="1"/>
  <c r="G767" i="1"/>
  <c r="G766" i="1"/>
  <c r="G765" i="1"/>
  <c r="G764" i="1"/>
  <c r="G763" i="1"/>
  <c r="G762" i="1"/>
  <c r="G761" i="1"/>
  <c r="G760" i="1"/>
  <c r="G759" i="1"/>
  <c r="G758" i="1"/>
  <c r="G757" i="1"/>
  <c r="G756" i="1"/>
  <c r="G755" i="1"/>
  <c r="G754" i="1"/>
  <c r="G753" i="1"/>
  <c r="G752" i="1"/>
  <c r="G751" i="1"/>
  <c r="G750" i="1"/>
  <c r="G749" i="1"/>
  <c r="G748" i="1"/>
  <c r="G747" i="1"/>
  <c r="G746" i="1"/>
  <c r="G745" i="1"/>
  <c r="G744" i="1"/>
  <c r="G743" i="1"/>
  <c r="G742" i="1"/>
  <c r="G741" i="1"/>
  <c r="G740" i="1"/>
  <c r="G739" i="1"/>
  <c r="G738" i="1"/>
  <c r="G737" i="1"/>
  <c r="G736" i="1"/>
  <c r="G735" i="1"/>
  <c r="G734" i="1"/>
  <c r="G733" i="1"/>
  <c r="G732" i="1"/>
  <c r="G731" i="1"/>
  <c r="G730" i="1"/>
  <c r="G729" i="1"/>
  <c r="G728" i="1"/>
  <c r="G727" i="1"/>
  <c r="G726" i="1"/>
  <c r="G725" i="1"/>
  <c r="G724" i="1"/>
  <c r="G723" i="1"/>
  <c r="G722" i="1"/>
  <c r="G721" i="1"/>
  <c r="G720" i="1"/>
  <c r="G719" i="1"/>
  <c r="G718" i="1"/>
  <c r="G717" i="1"/>
  <c r="G716" i="1"/>
  <c r="G715" i="1"/>
  <c r="G714" i="1"/>
  <c r="G713" i="1"/>
  <c r="G712" i="1"/>
  <c r="G711" i="1"/>
  <c r="G710" i="1"/>
  <c r="G709" i="1"/>
  <c r="G708" i="1"/>
  <c r="G707" i="1"/>
  <c r="G706" i="1"/>
  <c r="G705" i="1"/>
  <c r="G704" i="1"/>
  <c r="G703" i="1"/>
  <c r="G702" i="1"/>
  <c r="G701" i="1"/>
  <c r="G700" i="1"/>
  <c r="G699" i="1"/>
  <c r="G698" i="1"/>
  <c r="G697" i="1"/>
  <c r="G696" i="1"/>
  <c r="G695" i="1"/>
  <c r="G694" i="1"/>
  <c r="G693" i="1"/>
  <c r="G692" i="1"/>
  <c r="G691" i="1"/>
  <c r="G690" i="1"/>
  <c r="G689" i="1"/>
  <c r="G688" i="1"/>
  <c r="G687" i="1"/>
  <c r="G686" i="1"/>
  <c r="G685" i="1"/>
  <c r="G684" i="1"/>
  <c r="G683" i="1"/>
  <c r="G682" i="1"/>
  <c r="G681" i="1"/>
  <c r="G680" i="1"/>
  <c r="G679" i="1"/>
  <c r="G678" i="1"/>
  <c r="G677" i="1"/>
  <c r="G676" i="1"/>
  <c r="G675" i="1"/>
  <c r="F674" i="1"/>
  <c r="G674" i="1" s="1"/>
  <c r="G673" i="1"/>
  <c r="G672" i="1"/>
  <c r="G671" i="1"/>
  <c r="F670" i="1"/>
  <c r="G670" i="1" s="1"/>
  <c r="G669" i="1"/>
  <c r="G668" i="1"/>
  <c r="G667" i="1"/>
  <c r="G666" i="1"/>
  <c r="G665" i="1"/>
  <c r="G664" i="1"/>
  <c r="G663" i="1"/>
  <c r="G662" i="1"/>
  <c r="G661" i="1"/>
  <c r="G660" i="1"/>
  <c r="G659" i="1"/>
  <c r="G658" i="1"/>
  <c r="G657" i="1"/>
  <c r="G656" i="1"/>
  <c r="G655" i="1"/>
  <c r="G654" i="1"/>
  <c r="G653" i="1"/>
  <c r="G652" i="1"/>
  <c r="G651" i="1"/>
  <c r="G650" i="1"/>
  <c r="G649" i="1"/>
  <c r="F648" i="1"/>
  <c r="G648" i="1" s="1"/>
  <c r="G647" i="1"/>
  <c r="G646" i="1"/>
  <c r="G645" i="1"/>
  <c r="G644" i="1"/>
  <c r="G643" i="1"/>
  <c r="G642" i="1"/>
  <c r="F641" i="1"/>
  <c r="G641" i="1" s="1"/>
  <c r="G640" i="1"/>
  <c r="G639" i="1"/>
  <c r="G638" i="1"/>
  <c r="G637" i="1"/>
  <c r="G636" i="1"/>
  <c r="G635" i="1"/>
  <c r="G634" i="1"/>
  <c r="G633" i="1"/>
  <c r="G632" i="1"/>
  <c r="G631" i="1"/>
  <c r="G630" i="1"/>
  <c r="G629" i="1"/>
  <c r="G628" i="1"/>
  <c r="G627" i="1"/>
  <c r="G626" i="1"/>
  <c r="G625" i="1"/>
  <c r="G624" i="1"/>
  <c r="G623" i="1"/>
  <c r="G622" i="1"/>
  <c r="G621" i="1"/>
  <c r="G620" i="1"/>
  <c r="G619" i="1"/>
  <c r="G618" i="1"/>
  <c r="G617" i="1"/>
  <c r="G616" i="1"/>
  <c r="G615" i="1"/>
  <c r="G614" i="1"/>
  <c r="G613" i="1"/>
  <c r="G612" i="1"/>
  <c r="G611" i="1"/>
  <c r="G610" i="1"/>
  <c r="G609" i="1"/>
  <c r="G608" i="1"/>
  <c r="G607" i="1"/>
  <c r="G606" i="1"/>
  <c r="G605" i="1"/>
  <c r="G604" i="1"/>
  <c r="G603" i="1"/>
  <c r="G602" i="1"/>
  <c r="G601" i="1"/>
  <c r="G600" i="1"/>
  <c r="G599" i="1"/>
  <c r="G598" i="1"/>
  <c r="G597" i="1"/>
  <c r="G596" i="1"/>
  <c r="G595" i="1"/>
  <c r="G594" i="1"/>
  <c r="G593" i="1"/>
  <c r="G592" i="1"/>
  <c r="G591" i="1"/>
  <c r="G590" i="1"/>
  <c r="G589" i="1"/>
  <c r="G588" i="1"/>
  <c r="G587" i="1"/>
  <c r="G586" i="1"/>
  <c r="G585" i="1"/>
  <c r="G584" i="1"/>
  <c r="G583" i="1"/>
  <c r="G582" i="1"/>
  <c r="G581" i="1"/>
  <c r="G580" i="1"/>
  <c r="G579" i="1"/>
  <c r="G578" i="1"/>
  <c r="G577" i="1"/>
  <c r="G576" i="1"/>
  <c r="G575" i="1"/>
  <c r="G574" i="1"/>
  <c r="G573" i="1"/>
  <c r="G572" i="1"/>
  <c r="G571" i="1"/>
  <c r="G570" i="1"/>
  <c r="G569" i="1"/>
  <c r="G568" i="1"/>
  <c r="G567" i="1"/>
  <c r="G566" i="1"/>
  <c r="G565" i="1"/>
  <c r="G564" i="1"/>
  <c r="G563" i="1"/>
  <c r="G562" i="1"/>
  <c r="G561" i="1"/>
  <c r="G560" i="1"/>
  <c r="G559" i="1"/>
  <c r="G558" i="1"/>
  <c r="G557" i="1"/>
  <c r="G556" i="1"/>
  <c r="G555" i="1"/>
  <c r="G554" i="1"/>
  <c r="G553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538" i="1"/>
  <c r="G537" i="1"/>
  <c r="G536" i="1"/>
  <c r="G535" i="1"/>
  <c r="G534" i="1"/>
  <c r="G533" i="1"/>
  <c r="G532" i="1"/>
  <c r="G531" i="1"/>
  <c r="G530" i="1"/>
  <c r="G529" i="1"/>
  <c r="G528" i="1"/>
  <c r="G527" i="1"/>
  <c r="G526" i="1"/>
  <c r="G525" i="1"/>
  <c r="G524" i="1"/>
  <c r="F524" i="1"/>
  <c r="G523" i="1"/>
  <c r="G522" i="1"/>
  <c r="G521" i="1"/>
  <c r="G520" i="1"/>
  <c r="G519" i="1"/>
  <c r="G518" i="1"/>
  <c r="G517" i="1"/>
  <c r="G516" i="1"/>
  <c r="G515" i="1"/>
  <c r="G514" i="1"/>
  <c r="G513" i="1"/>
  <c r="G512" i="1"/>
  <c r="G511" i="1"/>
  <c r="G510" i="1"/>
  <c r="G509" i="1"/>
  <c r="G508" i="1"/>
  <c r="G507" i="1"/>
  <c r="G506" i="1"/>
  <c r="G505" i="1"/>
  <c r="G504" i="1"/>
  <c r="G503" i="1"/>
  <c r="G502" i="1"/>
  <c r="G501" i="1"/>
  <c r="G500" i="1"/>
  <c r="G499" i="1"/>
  <c r="G498" i="1"/>
  <c r="G497" i="1"/>
  <c r="G496" i="1"/>
  <c r="G495" i="1"/>
  <c r="G494" i="1"/>
  <c r="G493" i="1"/>
  <c r="G492" i="1"/>
  <c r="G491" i="1"/>
  <c r="G490" i="1"/>
  <c r="G489" i="1"/>
  <c r="F489" i="1"/>
  <c r="G488" i="1"/>
  <c r="G487" i="1"/>
  <c r="G486" i="1"/>
  <c r="G485" i="1"/>
  <c r="G484" i="1"/>
  <c r="G483" i="1"/>
  <c r="G482" i="1"/>
  <c r="G481" i="1"/>
  <c r="G480" i="1"/>
  <c r="G479" i="1"/>
  <c r="G478" i="1"/>
  <c r="G477" i="1"/>
  <c r="G476" i="1"/>
  <c r="G475" i="1"/>
  <c r="G474" i="1"/>
  <c r="G473" i="1"/>
  <c r="G472" i="1"/>
  <c r="G471" i="1"/>
  <c r="G470" i="1"/>
  <c r="G469" i="1"/>
  <c r="G468" i="1"/>
  <c r="G467" i="1"/>
  <c r="G466" i="1"/>
  <c r="G465" i="1"/>
  <c r="G464" i="1"/>
  <c r="G463" i="1"/>
  <c r="G462" i="1"/>
  <c r="G461" i="1"/>
  <c r="G460" i="1"/>
  <c r="G459" i="1"/>
  <c r="G458" i="1"/>
  <c r="G457" i="1"/>
  <c r="G456" i="1"/>
  <c r="G455" i="1"/>
  <c r="G454" i="1"/>
  <c r="G453" i="1"/>
  <c r="G452" i="1"/>
  <c r="G451" i="1"/>
  <c r="G450" i="1"/>
  <c r="G449" i="1"/>
  <c r="G448" i="1"/>
  <c r="G447" i="1"/>
  <c r="G446" i="1"/>
  <c r="G445" i="1"/>
  <c r="G444" i="1"/>
  <c r="G443" i="1"/>
  <c r="G442" i="1"/>
  <c r="G441" i="1"/>
  <c r="G440" i="1"/>
  <c r="G439" i="1"/>
  <c r="G438" i="1"/>
  <c r="G437" i="1"/>
  <c r="G436" i="1"/>
  <c r="G435" i="1"/>
  <c r="G434" i="1"/>
  <c r="G433" i="1"/>
  <c r="G432" i="1"/>
  <c r="G431" i="1"/>
  <c r="G430" i="1"/>
  <c r="G429" i="1"/>
  <c r="G428" i="1"/>
  <c r="G427" i="1"/>
  <c r="G426" i="1"/>
  <c r="G425" i="1"/>
  <c r="G424" i="1"/>
  <c r="G423" i="1"/>
  <c r="G422" i="1"/>
  <c r="G421" i="1"/>
  <c r="F421" i="1"/>
  <c r="G420" i="1"/>
  <c r="G419" i="1"/>
  <c r="G418" i="1"/>
  <c r="G417" i="1"/>
  <c r="G416" i="1"/>
  <c r="G415" i="1"/>
  <c r="G414" i="1"/>
  <c r="G413" i="1"/>
  <c r="G412" i="1"/>
  <c r="G411" i="1"/>
  <c r="G410" i="1"/>
  <c r="F410" i="1"/>
  <c r="G409" i="1"/>
  <c r="G408" i="1"/>
  <c r="G407" i="1"/>
  <c r="G406" i="1"/>
  <c r="G405" i="1"/>
  <c r="G404" i="1"/>
  <c r="G403" i="1"/>
  <c r="G402" i="1"/>
  <c r="G401" i="1"/>
  <c r="G400" i="1"/>
  <c r="G399" i="1"/>
  <c r="G398" i="1"/>
  <c r="G397" i="1"/>
  <c r="G396" i="1"/>
  <c r="G395" i="1"/>
  <c r="G394" i="1"/>
  <c r="G393" i="1"/>
  <c r="G392" i="1"/>
  <c r="G391" i="1"/>
  <c r="G390" i="1"/>
  <c r="G389" i="1"/>
  <c r="G388" i="1"/>
  <c r="G387" i="1"/>
  <c r="G386" i="1"/>
  <c r="G385" i="1"/>
  <c r="G384" i="1"/>
  <c r="G383" i="1"/>
  <c r="G382" i="1"/>
  <c r="G381" i="1"/>
  <c r="G380" i="1"/>
  <c r="G379" i="1"/>
  <c r="G378" i="1"/>
  <c r="G377" i="1"/>
  <c r="G376" i="1"/>
  <c r="G375" i="1"/>
  <c r="G374" i="1"/>
  <c r="G373" i="1"/>
  <c r="G372" i="1"/>
  <c r="G371" i="1"/>
  <c r="G370" i="1"/>
  <c r="G369" i="1"/>
  <c r="G368" i="1"/>
  <c r="G367" i="1"/>
  <c r="G366" i="1"/>
  <c r="G365" i="1"/>
  <c r="G364" i="1"/>
  <c r="G363" i="1"/>
  <c r="G362" i="1"/>
  <c r="G361" i="1"/>
  <c r="G360" i="1"/>
  <c r="G359" i="1"/>
  <c r="F359" i="1"/>
  <c r="G358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344" i="1"/>
  <c r="G343" i="1"/>
  <c r="G342" i="1"/>
  <c r="G341" i="1"/>
  <c r="G340" i="1"/>
  <c r="G339" i="1"/>
  <c r="G338" i="1"/>
  <c r="G337" i="1"/>
  <c r="G336" i="1"/>
  <c r="G335" i="1"/>
  <c r="G334" i="1"/>
  <c r="G333" i="1"/>
  <c r="G332" i="1"/>
  <c r="G331" i="1"/>
  <c r="G330" i="1"/>
  <c r="G329" i="1"/>
  <c r="G328" i="1"/>
  <c r="G327" i="1"/>
  <c r="G326" i="1"/>
  <c r="G325" i="1"/>
  <c r="G324" i="1"/>
  <c r="G323" i="1"/>
  <c r="G322" i="1"/>
  <c r="G321" i="1"/>
  <c r="G320" i="1"/>
  <c r="G319" i="1"/>
  <c r="G318" i="1"/>
  <c r="G317" i="1"/>
  <c r="G316" i="1"/>
  <c r="G315" i="1"/>
  <c r="G314" i="1"/>
  <c r="G313" i="1"/>
  <c r="G312" i="1"/>
  <c r="G311" i="1"/>
  <c r="F310" i="1"/>
  <c r="G310" i="1" s="1"/>
  <c r="G309" i="1"/>
  <c r="G308" i="1"/>
  <c r="G307" i="1"/>
  <c r="G306" i="1"/>
  <c r="G305" i="1"/>
  <c r="G304" i="1"/>
  <c r="G303" i="1"/>
  <c r="G302" i="1"/>
  <c r="G301" i="1"/>
  <c r="G300" i="1"/>
  <c r="G299" i="1"/>
  <c r="G298" i="1"/>
  <c r="G297" i="1"/>
  <c r="G296" i="1"/>
  <c r="G295" i="1"/>
  <c r="G294" i="1"/>
  <c r="G293" i="1"/>
  <c r="F292" i="1"/>
  <c r="G292" i="1" s="1"/>
  <c r="G291" i="1"/>
  <c r="G290" i="1"/>
  <c r="G289" i="1"/>
  <c r="G288" i="1"/>
  <c r="G287" i="1"/>
  <c r="G286" i="1"/>
  <c r="G285" i="1"/>
  <c r="G284" i="1"/>
  <c r="G283" i="1"/>
  <c r="G282" i="1"/>
  <c r="G281" i="1"/>
  <c r="G280" i="1"/>
  <c r="G279" i="1"/>
  <c r="G278" i="1"/>
  <c r="G277" i="1"/>
  <c r="G276" i="1"/>
  <c r="G275" i="1"/>
  <c r="G274" i="1"/>
  <c r="G273" i="1"/>
  <c r="G272" i="1"/>
  <c r="G271" i="1"/>
  <c r="G270" i="1"/>
  <c r="G269" i="1"/>
  <c r="G268" i="1"/>
  <c r="G267" i="1"/>
  <c r="G266" i="1"/>
  <c r="G265" i="1"/>
  <c r="G264" i="1"/>
  <c r="G263" i="1"/>
  <c r="G262" i="1"/>
  <c r="G261" i="1"/>
  <c r="G260" i="1"/>
  <c r="G259" i="1"/>
  <c r="G258" i="1"/>
  <c r="G257" i="1"/>
  <c r="G256" i="1"/>
  <c r="G255" i="1"/>
  <c r="G254" i="1"/>
  <c r="G253" i="1"/>
  <c r="G252" i="1"/>
  <c r="G251" i="1"/>
  <c r="G250" i="1"/>
  <c r="G249" i="1"/>
  <c r="G248" i="1"/>
  <c r="G247" i="1"/>
  <c r="G246" i="1"/>
  <c r="G245" i="1"/>
  <c r="G244" i="1"/>
  <c r="G243" i="1"/>
  <c r="G242" i="1"/>
  <c r="G241" i="1"/>
  <c r="G240" i="1"/>
  <c r="G239" i="1"/>
  <c r="G238" i="1"/>
  <c r="G237" i="1"/>
  <c r="G236" i="1"/>
  <c r="G235" i="1"/>
  <c r="G234" i="1"/>
  <c r="G233" i="1"/>
  <c r="G232" i="1"/>
  <c r="G231" i="1"/>
  <c r="G230" i="1"/>
  <c r="G229" i="1"/>
  <c r="G228" i="1"/>
  <c r="G227" i="1"/>
  <c r="G226" i="1"/>
  <c r="G225" i="1"/>
  <c r="G224" i="1"/>
  <c r="G223" i="1"/>
  <c r="G222" i="1"/>
  <c r="G221" i="1"/>
  <c r="G220" i="1"/>
  <c r="G219" i="1"/>
  <c r="G218" i="1"/>
  <c r="G217" i="1"/>
  <c r="G216" i="1"/>
  <c r="G215" i="1"/>
  <c r="G214" i="1"/>
  <c r="G213" i="1"/>
  <c r="G212" i="1"/>
  <c r="G211" i="1"/>
  <c r="G210" i="1"/>
  <c r="G209" i="1"/>
  <c r="G208" i="1"/>
  <c r="G207" i="1"/>
  <c r="G206" i="1"/>
  <c r="G205" i="1"/>
  <c r="G204" i="1"/>
  <c r="G203" i="1"/>
  <c r="G202" i="1"/>
  <c r="G201" i="1"/>
  <c r="G200" i="1"/>
  <c r="G199" i="1"/>
  <c r="G198" i="1"/>
  <c r="G197" i="1"/>
  <c r="G196" i="1"/>
  <c r="G195" i="1"/>
  <c r="G194" i="1"/>
  <c r="G193" i="1"/>
  <c r="G192" i="1"/>
  <c r="G191" i="1"/>
  <c r="G190" i="1"/>
  <c r="G189" i="1"/>
  <c r="G188" i="1"/>
  <c r="G187" i="1"/>
  <c r="G186" i="1"/>
  <c r="G185" i="1"/>
  <c r="G184" i="1"/>
  <c r="G183" i="1"/>
  <c r="G182" i="1"/>
  <c r="G181" i="1"/>
  <c r="G180" i="1"/>
  <c r="G179" i="1"/>
  <c r="G178" i="1"/>
  <c r="G177" i="1"/>
  <c r="G176" i="1"/>
  <c r="G175" i="1"/>
  <c r="G174" i="1"/>
  <c r="G173" i="1"/>
  <c r="G172" i="1"/>
  <c r="G171" i="1"/>
  <c r="G170" i="1"/>
  <c r="G169" i="1"/>
  <c r="G168" i="1"/>
  <c r="G167" i="1"/>
  <c r="G166" i="1"/>
  <c r="G165" i="1"/>
  <c r="G164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151" i="1"/>
  <c r="G150" i="1"/>
  <c r="G149" i="1"/>
  <c r="G148" i="1"/>
  <c r="G147" i="1"/>
  <c r="G146" i="1"/>
  <c r="G145" i="1"/>
  <c r="G144" i="1"/>
  <c r="G143" i="1"/>
  <c r="G142" i="1"/>
  <c r="G141" i="1"/>
  <c r="G140" i="1"/>
  <c r="G139" i="1"/>
  <c r="G138" i="1"/>
  <c r="G137" i="1"/>
  <c r="G136" i="1"/>
  <c r="G135" i="1"/>
  <c r="G134" i="1"/>
  <c r="G133" i="1"/>
  <c r="G132" i="1"/>
  <c r="G131" i="1"/>
  <c r="G130" i="1"/>
  <c r="G129" i="1"/>
  <c r="G128" i="1"/>
  <c r="G127" i="1"/>
  <c r="G126" i="1"/>
  <c r="G125" i="1"/>
  <c r="G124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110" i="1"/>
  <c r="G109" i="1"/>
  <c r="G108" i="1"/>
  <c r="G107" i="1"/>
  <c r="G106" i="1"/>
  <c r="G105" i="1"/>
  <c r="G104" i="1"/>
  <c r="G103" i="1"/>
  <c r="G102" i="1"/>
  <c r="G101" i="1"/>
  <c r="G100" i="1"/>
  <c r="G99" i="1"/>
  <c r="G98" i="1"/>
  <c r="G97" i="1"/>
  <c r="G96" i="1"/>
  <c r="G95" i="1"/>
  <c r="G94" i="1"/>
  <c r="G93" i="1"/>
  <c r="G92" i="1"/>
  <c r="G91" i="1"/>
  <c r="G90" i="1"/>
  <c r="G89" i="1"/>
  <c r="G88" i="1"/>
  <c r="G87" i="1"/>
  <c r="G86" i="1"/>
  <c r="G85" i="1"/>
  <c r="G84" i="1"/>
  <c r="G83" i="1"/>
  <c r="G82" i="1"/>
  <c r="G81" i="1"/>
  <c r="G80" i="1"/>
  <c r="G79" i="1"/>
  <c r="G78" i="1"/>
  <c r="G77" i="1"/>
  <c r="G76" i="1"/>
  <c r="G75" i="1"/>
  <c r="G74" i="1"/>
  <c r="G73" i="1"/>
  <c r="G72" i="1"/>
  <c r="G71" i="1"/>
  <c r="G70" i="1"/>
  <c r="G69" i="1"/>
  <c r="G68" i="1"/>
  <c r="G67" i="1"/>
  <c r="G66" i="1"/>
  <c r="G65" i="1"/>
  <c r="F64" i="1"/>
  <c r="G64" i="1" s="1"/>
  <c r="G63" i="1"/>
  <c r="G62" i="1"/>
  <c r="G61" i="1"/>
  <c r="G60" i="1"/>
  <c r="G59" i="1"/>
  <c r="G58" i="1"/>
  <c r="G57" i="1"/>
  <c r="G56" i="1"/>
  <c r="G55" i="1"/>
  <c r="G54" i="1"/>
  <c r="G53" i="1"/>
  <c r="G52" i="1"/>
  <c r="G51" i="1"/>
  <c r="F51" i="1"/>
  <c r="G50" i="1"/>
  <c r="G49" i="1"/>
  <c r="G48" i="1"/>
  <c r="G47" i="1"/>
  <c r="G46" i="1"/>
  <c r="G45" i="1"/>
  <c r="G44" i="1"/>
  <c r="G43" i="1"/>
  <c r="G42" i="1"/>
  <c r="G41" i="1"/>
  <c r="G40" i="1"/>
  <c r="G39" i="1"/>
  <c r="G38" i="1"/>
  <c r="G37" i="1"/>
  <c r="G36" i="1"/>
  <c r="G35" i="1"/>
  <c r="G34" i="1"/>
  <c r="G33" i="1"/>
  <c r="G32" i="1"/>
  <c r="G31" i="1"/>
  <c r="G30" i="1"/>
  <c r="G29" i="1"/>
  <c r="G28" i="1"/>
  <c r="G27" i="1"/>
  <c r="G26" i="1"/>
  <c r="G25" i="1"/>
  <c r="G24" i="1"/>
  <c r="G23" i="1"/>
  <c r="G22" i="1"/>
  <c r="G21" i="1"/>
  <c r="G20" i="1"/>
  <c r="G19" i="1"/>
  <c r="G18" i="1"/>
  <c r="G17" i="1"/>
  <c r="F17" i="1"/>
  <c r="G16" i="1"/>
  <c r="G15" i="1"/>
  <c r="G14" i="1"/>
  <c r="G13" i="1"/>
  <c r="G12" i="1"/>
  <c r="G11" i="1"/>
  <c r="G10" i="1"/>
  <c r="G9" i="1"/>
  <c r="G8" i="1"/>
  <c r="G7" i="1"/>
  <c r="G6" i="1"/>
  <c r="G5" i="1"/>
  <c r="G4" i="1"/>
  <c r="G3" i="1"/>
  <c r="G2" i="1"/>
  <c r="G3239" i="1" l="1"/>
</calcChain>
</file>

<file path=xl/sharedStrings.xml><?xml version="1.0" encoding="utf-8"?>
<sst xmlns="http://schemas.openxmlformats.org/spreadsheetml/2006/main" count="81049" uniqueCount="28008">
  <si>
    <t>Fecha</t>
  </si>
  <si>
    <t>Folio-Serie</t>
  </si>
  <si>
    <t>Nombre-Cliente</t>
  </si>
  <si>
    <t>Importe</t>
  </si>
  <si>
    <t>Fecha-Pago</t>
  </si>
  <si>
    <t>Pagado</t>
  </si>
  <si>
    <t>Saldo</t>
  </si>
  <si>
    <t>Estado</t>
  </si>
  <si>
    <t>C-7364</t>
  </si>
  <si>
    <t>(728)MANUEL MOTA</t>
  </si>
  <si>
    <t>PAGADA</t>
  </si>
  <si>
    <t>C-7365</t>
  </si>
  <si>
    <t>(780)JAVIER MARTINEZ SANCHEZ</t>
  </si>
  <si>
    <t>C-7366</t>
  </si>
  <si>
    <t>(832)RUBEN PEREZ CHABACANO</t>
  </si>
  <si>
    <t>C-7367</t>
  </si>
  <si>
    <t>(254)IRENE CASTILLO</t>
  </si>
  <si>
    <t>C-7368</t>
  </si>
  <si>
    <t>(790)POLLERIA TORRES</t>
  </si>
  <si>
    <t>C-7369</t>
  </si>
  <si>
    <t>(804)ALDAIR CASTRO</t>
  </si>
  <si>
    <t>C-7370</t>
  </si>
  <si>
    <t>(493)GIL 5 MAYO</t>
  </si>
  <si>
    <t>C-7371</t>
  </si>
  <si>
    <t>(117)NARCISO ROMERO CAMALEON</t>
  </si>
  <si>
    <t>C-7372</t>
  </si>
  <si>
    <t>C-7373</t>
  </si>
  <si>
    <t>(292)NERY</t>
  </si>
  <si>
    <t>C-7374</t>
  </si>
  <si>
    <t>(803)ISRAEL CORONA</t>
  </si>
  <si>
    <t>C-7375</t>
  </si>
  <si>
    <t>(533)VENTA DE MOSTRADOR</t>
  </si>
  <si>
    <t>C-7376</t>
  </si>
  <si>
    <t>(273)EMANUEL CABALLO</t>
  </si>
  <si>
    <t>C-7377</t>
  </si>
  <si>
    <t>(244)MARIA LUISA  AGUILAR</t>
  </si>
  <si>
    <t>C-7378</t>
  </si>
  <si>
    <t>(833)MARCIAL ZEPEDA</t>
  </si>
  <si>
    <t>C-7379</t>
  </si>
  <si>
    <t>(633)DOÑA LETY</t>
  </si>
  <si>
    <t>3-Ene-22--4-Ene-22</t>
  </si>
  <si>
    <t>C-7380</t>
  </si>
  <si>
    <t>C-7381</t>
  </si>
  <si>
    <t>(77)GERARDO PULIDO</t>
  </si>
  <si>
    <t>C-7382</t>
  </si>
  <si>
    <t>(130)JUAN DE LA ROSA</t>
  </si>
  <si>
    <t>C-7383</t>
  </si>
  <si>
    <t>(494)OMAR REYES</t>
  </si>
  <si>
    <t>C-7384</t>
  </si>
  <si>
    <t>(816)ISRAEL HERNANDEZ MORENO</t>
  </si>
  <si>
    <t>C-7385</t>
  </si>
  <si>
    <t>(247)SALOME</t>
  </si>
  <si>
    <t>C-7386</t>
  </si>
  <si>
    <t>(687)OMAR HERNANDEZ</t>
  </si>
  <si>
    <t>C-7387</t>
  </si>
  <si>
    <t>C-7388</t>
  </si>
  <si>
    <t>(646)SANTIAGO HERRADURA</t>
  </si>
  <si>
    <t>C-7389</t>
  </si>
  <si>
    <t>(282)EDGAR PALMA</t>
  </si>
  <si>
    <t>C-7390</t>
  </si>
  <si>
    <t>(660)JOSE JUQUILA</t>
  </si>
  <si>
    <t>C-7391</t>
  </si>
  <si>
    <t>(180)FELIX CEREZO</t>
  </si>
  <si>
    <t>C-7392</t>
  </si>
  <si>
    <t>(520)SERGIO JUQUILITA</t>
  </si>
  <si>
    <t>C-7393</t>
  </si>
  <si>
    <t>C-7394</t>
  </si>
  <si>
    <t>(303)SRA CORONA</t>
  </si>
  <si>
    <t>C-7395</t>
  </si>
  <si>
    <t>(839)RESTAURANT EL TEOTON</t>
  </si>
  <si>
    <t>C-7396</t>
  </si>
  <si>
    <t>(851)ALEJANDRO RAMIREZ</t>
  </si>
  <si>
    <t>C-7397</t>
  </si>
  <si>
    <t>C-7398</t>
  </si>
  <si>
    <t>C-7399</t>
  </si>
  <si>
    <t>(698)LA PRINCESITA DE CHOLULA</t>
  </si>
  <si>
    <t>C-7400</t>
  </si>
  <si>
    <t>C-7401</t>
  </si>
  <si>
    <t>C-7402</t>
  </si>
  <si>
    <t>(23)ALVARO MEZA</t>
  </si>
  <si>
    <t>C-7403</t>
  </si>
  <si>
    <t>C-7404</t>
  </si>
  <si>
    <t>C-7405</t>
  </si>
  <si>
    <t>(691)ISMAEL MARTINEZ HERNANDEZ</t>
  </si>
  <si>
    <t>C-7406</t>
  </si>
  <si>
    <t>(551)MARIO VILLA POSADAS</t>
  </si>
  <si>
    <t>C-7407</t>
  </si>
  <si>
    <t>(268)BURRO NORTEÑO</t>
  </si>
  <si>
    <t>C-7408</t>
  </si>
  <si>
    <t>(771)SALVADOR 5 MAYO</t>
  </si>
  <si>
    <t>C-7409</t>
  </si>
  <si>
    <t>(828)BAGDAD CENTRO</t>
  </si>
  <si>
    <t>C-7410</t>
  </si>
  <si>
    <t>(662)ROJO CENTENO</t>
  </si>
  <si>
    <t>C-7411</t>
  </si>
  <si>
    <t>(746)CARLOS CASTRO</t>
  </si>
  <si>
    <t>C-7412</t>
  </si>
  <si>
    <t>(527)EDGAR ZOQUIAPA</t>
  </si>
  <si>
    <t>C-7413</t>
  </si>
  <si>
    <t>(643)LA PRINCESA</t>
  </si>
  <si>
    <t>5-Ene-22--6-Ene-22</t>
  </si>
  <si>
    <t>C-7414</t>
  </si>
  <si>
    <t>C-7415</t>
  </si>
  <si>
    <t>C-7416</t>
  </si>
  <si>
    <t>C-7417</t>
  </si>
  <si>
    <t>(450)FOX</t>
  </si>
  <si>
    <t>C-7418</t>
  </si>
  <si>
    <t>(297)ZAPATA  JUQUILA</t>
  </si>
  <si>
    <t>C-7419</t>
  </si>
  <si>
    <t>(431)ADRIAN</t>
  </si>
  <si>
    <t>C-7420</t>
  </si>
  <si>
    <t>(480)BENITO FOX</t>
  </si>
  <si>
    <t>C-7421</t>
  </si>
  <si>
    <t>C-7422</t>
  </si>
  <si>
    <t>(138)FERNANDO DEL 5 DE MAYO</t>
  </si>
  <si>
    <t>C-7423</t>
  </si>
  <si>
    <t>(856)MIGUEL 5 MAYO</t>
  </si>
  <si>
    <t>C-7424</t>
  </si>
  <si>
    <t>(875)JUVE 5 DE MAYO</t>
  </si>
  <si>
    <t>C-7425</t>
  </si>
  <si>
    <t>(702)SEBASTIAN</t>
  </si>
  <si>
    <t>C-7426</t>
  </si>
  <si>
    <t>6-Ene-22--7-Ene-22</t>
  </si>
  <si>
    <t>C-7427</t>
  </si>
  <si>
    <t>C-7428</t>
  </si>
  <si>
    <t>(865)CARNICERIA CHAVE</t>
  </si>
  <si>
    <t>C-7429</t>
  </si>
  <si>
    <t>(113)SAGRADO CORAZON HEROES</t>
  </si>
  <si>
    <t>C-7430</t>
  </si>
  <si>
    <t>(144)SAGRADO 14 SUR</t>
  </si>
  <si>
    <t>C-7431</t>
  </si>
  <si>
    <t>(186)SR MARIO</t>
  </si>
  <si>
    <t>C-7432</t>
  </si>
  <si>
    <t>(87)EMMANUEL ALFONSO SALAZAR</t>
  </si>
  <si>
    <t>C-7433</t>
  </si>
  <si>
    <t>(110)SAGRADO CORAZON CENTRO</t>
  </si>
  <si>
    <t>C-7434</t>
  </si>
  <si>
    <t>(713)LIBRADO DE JESUS</t>
  </si>
  <si>
    <t>C-7435</t>
  </si>
  <si>
    <t>C-7436</t>
  </si>
  <si>
    <t>(868)SAGRADO GRANJAS</t>
  </si>
  <si>
    <t>C-7437</t>
  </si>
  <si>
    <t>(204)ABASTO DE 4 CARNES SUC.  ZAVALETA</t>
  </si>
  <si>
    <t>C-7438</t>
  </si>
  <si>
    <t>(708)EL SAGRARIO</t>
  </si>
  <si>
    <t>C-7439</t>
  </si>
  <si>
    <t>(122)PATY FLORES</t>
  </si>
  <si>
    <t>C-7440</t>
  </si>
  <si>
    <t>C-7441</t>
  </si>
  <si>
    <t>(289)JORGE</t>
  </si>
  <si>
    <t>C-7442</t>
  </si>
  <si>
    <t>(739)CARNICERIA RASTRO</t>
  </si>
  <si>
    <t>C-7443</t>
  </si>
  <si>
    <t>C-7444</t>
  </si>
  <si>
    <t>(88)CENTRO COMERCIAL ALATRISTE</t>
  </si>
  <si>
    <t>C-7445</t>
  </si>
  <si>
    <t>C-7446</t>
  </si>
  <si>
    <t>(723)SELECTAS 2 LOMA VERDE</t>
  </si>
  <si>
    <t>C-7447</t>
  </si>
  <si>
    <t>(724)CARNICERIA DELI</t>
  </si>
  <si>
    <t>C-7448</t>
  </si>
  <si>
    <t>(246)MARIBEL MEZA</t>
  </si>
  <si>
    <t>C-7449</t>
  </si>
  <si>
    <t>C-7450</t>
  </si>
  <si>
    <t>C-7451</t>
  </si>
  <si>
    <t>C-7452</t>
  </si>
  <si>
    <t>C-7453</t>
  </si>
  <si>
    <t>(128)HUGO LOPEZ</t>
  </si>
  <si>
    <t>C-7454</t>
  </si>
  <si>
    <t>(637)COYOTE</t>
  </si>
  <si>
    <t>C-7455</t>
  </si>
  <si>
    <t>C-7456</t>
  </si>
  <si>
    <t>C-7457</t>
  </si>
  <si>
    <t>(325)CARLOS TEHUACAN</t>
  </si>
  <si>
    <t>C-7458</t>
  </si>
  <si>
    <t>(363)ADRIAN JUAREZ</t>
  </si>
  <si>
    <t>C-7459</t>
  </si>
  <si>
    <t>C-7460</t>
  </si>
  <si>
    <t>C-7461</t>
  </si>
  <si>
    <t>(137)HARBANO</t>
  </si>
  <si>
    <t>C-7462</t>
  </si>
  <si>
    <t>(415)VIKI</t>
  </si>
  <si>
    <t>C-7463</t>
  </si>
  <si>
    <t>(478)CARNICERIA BARBIE</t>
  </si>
  <si>
    <t>C-7464</t>
  </si>
  <si>
    <t>(85)JOSE LUIS JUAREZ</t>
  </si>
  <si>
    <t>C-7465</t>
  </si>
  <si>
    <t>C-7466</t>
  </si>
  <si>
    <r>
      <t xml:space="preserve">(533)VENTA DE MOSTRADOR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</si>
  <si>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CANCELADA</t>
  </si>
  <si>
    <t>C-7467</t>
  </si>
  <si>
    <t>(449)MOISES ARCE</t>
  </si>
  <si>
    <t>C-7468</t>
  </si>
  <si>
    <t>(770)JAIME GARRIDO HERNANDEZ</t>
  </si>
  <si>
    <t>C-7469</t>
  </si>
  <si>
    <t>C-7470</t>
  </si>
  <si>
    <t>(225)ABASTOS DE 4 CARNES SA DE CV SUC. HERRADURA</t>
  </si>
  <si>
    <t>C-7471</t>
  </si>
  <si>
    <t>(111)SAGRADO CORAZON MORILLOTLA</t>
  </si>
  <si>
    <t>C-7472</t>
  </si>
  <si>
    <t>(623)COMPAITO</t>
  </si>
  <si>
    <t>C-7473</t>
  </si>
  <si>
    <t>(681)PEDRO JIMENEZ</t>
  </si>
  <si>
    <t>C-7474</t>
  </si>
  <si>
    <t>(730)MATILDE VALENCIA</t>
  </si>
  <si>
    <t>C-7475</t>
  </si>
  <si>
    <t>(208)SUPER DE LAS LOMAS VITORINO</t>
  </si>
  <si>
    <t>C-7476</t>
  </si>
  <si>
    <t>(831)SUPER OFERTAS VICTORINO</t>
  </si>
  <si>
    <t>C-7477</t>
  </si>
  <si>
    <t>(722)JOSE ANTONIO</t>
  </si>
  <si>
    <t>C-7478</t>
  </si>
  <si>
    <t>(38)SUPER SERVICIO</t>
  </si>
  <si>
    <t>C-7479</t>
  </si>
  <si>
    <t>(710)ERIK</t>
  </si>
  <si>
    <t>C-7480</t>
  </si>
  <si>
    <t>(844)ABRAHAM PALALIA</t>
  </si>
  <si>
    <t>C-7481</t>
  </si>
  <si>
    <t>(423)SUPER DESCUENTO VICTORINO</t>
  </si>
  <si>
    <t>C-7482</t>
  </si>
  <si>
    <r>
      <t>(750)CAMILO NEALTICAN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</si>
  <si>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C-7483</t>
  </si>
  <si>
    <t>(157)CARNITAS DON TOÑO DE CLAVIJERO</t>
  </si>
  <si>
    <t>C-7484</t>
  </si>
  <si>
    <t>(153)JUAN APANGO</t>
  </si>
  <si>
    <t>C-7485</t>
  </si>
  <si>
    <t>(638)EDGAR JIMENEZ</t>
  </si>
  <si>
    <t>C-7486</t>
  </si>
  <si>
    <t>(226)RODOLFO LINARES</t>
  </si>
  <si>
    <t>C-7487</t>
  </si>
  <si>
    <t>(788)RUBEN SAUCEDO</t>
  </si>
  <si>
    <t>C-7488</t>
  </si>
  <si>
    <t>C-7489</t>
  </si>
  <si>
    <t>(717)ALFREDO RAMIREZ</t>
  </si>
  <si>
    <t>C-7490</t>
  </si>
  <si>
    <t>(878)MARC ELINO SANCHEZ TORRES</t>
  </si>
  <si>
    <t>C-7491</t>
  </si>
  <si>
    <t>(585)GABRIEL APANGO</t>
  </si>
  <si>
    <t>C-7492</t>
  </si>
  <si>
    <t>C-7493</t>
  </si>
  <si>
    <t>(219)GIOVANNI RIOS</t>
  </si>
  <si>
    <t>C-7494</t>
  </si>
  <si>
    <t>C-7495</t>
  </si>
  <si>
    <t>C-7496</t>
  </si>
  <si>
    <t>(556)BRAZILIAN BUFFET</t>
  </si>
  <si>
    <t>C-7497</t>
  </si>
  <si>
    <t>(879)GUADALUPE VARGAS</t>
  </si>
  <si>
    <t>C-7498</t>
  </si>
  <si>
    <t>C-7499</t>
  </si>
  <si>
    <t>(375)JAIME HERNANDEZ</t>
  </si>
  <si>
    <t>C-7500</t>
  </si>
  <si>
    <t>(869)TACOS RIQUIS</t>
  </si>
  <si>
    <t>C-7501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</si>
  <si>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>CANCELADA</t>
    </r>
  </si>
  <si>
    <t>C-7502</t>
  </si>
  <si>
    <r>
      <t>(533)VENTA DE MOSTRADOR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</si>
  <si>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Fisica ES LA 7194 la c7502 se uso 30 Dic 2021</t>
  </si>
  <si>
    <t>C-7503</t>
  </si>
  <si>
    <t>Fisica ES LA 7195 la c7503 se uso 30 Dic 2021</t>
  </si>
  <si>
    <t>C-7504</t>
  </si>
  <si>
    <t>C-7505</t>
  </si>
  <si>
    <t>(750)CAMILO NEALTICAN</t>
  </si>
  <si>
    <t>C-7506</t>
  </si>
  <si>
    <t>(80)CAMPRA</t>
  </si>
  <si>
    <t>C-7507</t>
  </si>
  <si>
    <t>C-7508</t>
  </si>
  <si>
    <t>(824)EZEQUIEL JIMENEZ</t>
  </si>
  <si>
    <t>C-7509</t>
  </si>
  <si>
    <t>C-7510</t>
  </si>
  <si>
    <t>(359)JAIME MASTRANZO</t>
  </si>
  <si>
    <t>C-7511</t>
  </si>
  <si>
    <t>(880)RICARDO LEDO</t>
  </si>
  <si>
    <t>C-7512</t>
  </si>
  <si>
    <t>(136)RICARDO DELEITA</t>
  </si>
  <si>
    <t>C-7513</t>
  </si>
  <si>
    <t>(725)ABASTO DE 4 CARNES SA DE CV 11 SUR</t>
  </si>
  <si>
    <t>C-7514</t>
  </si>
  <si>
    <r>
      <t xml:space="preserve">(868)SAGRADO GRANJAS  </t>
    </r>
    <r>
      <rPr>
        <b/>
        <sz val="11"/>
        <color rgb="FFFF0000"/>
        <rFont val="Calibri"/>
        <family val="2"/>
        <scheme val="minor"/>
      </rPr>
      <t>CANCELADA</t>
    </r>
  </si>
  <si>
    <t>C-7515</t>
  </si>
  <si>
    <t>C-7516</t>
  </si>
  <si>
    <t>(64)CARBONCITO</t>
  </si>
  <si>
    <t>C-7517</t>
  </si>
  <si>
    <t>(9)EL PASTORCITO I</t>
  </si>
  <si>
    <t>C-7518</t>
  </si>
  <si>
    <t>(10)EL PASTORCITO II</t>
  </si>
  <si>
    <t>C-7519</t>
  </si>
  <si>
    <t>(293)JUDITH URBY</t>
  </si>
  <si>
    <t>C-7520</t>
  </si>
  <si>
    <t>C-7521</t>
  </si>
  <si>
    <t>(311)ALBERTO ARROYO</t>
  </si>
  <si>
    <t>C-7522</t>
  </si>
  <si>
    <t>(443)PERLA RIOS</t>
  </si>
  <si>
    <t>C-7523</t>
  </si>
  <si>
    <t>C-7524</t>
  </si>
  <si>
    <t>C-7525</t>
  </si>
  <si>
    <t>C-7526</t>
  </si>
  <si>
    <t>(306)JAVIER HERRERA</t>
  </si>
  <si>
    <t>C-7527</t>
  </si>
  <si>
    <t>(100)SILVIA RAMOS MARLEN</t>
  </si>
  <si>
    <t>C-7528</t>
  </si>
  <si>
    <t>C-7529</t>
  </si>
  <si>
    <t>(718)VENANCIO EUGENIO SANCHEZ</t>
  </si>
  <si>
    <t>C-7530</t>
  </si>
  <si>
    <t>(264)FRANCISCO  SANCHEZ</t>
  </si>
  <si>
    <t>C-7531</t>
  </si>
  <si>
    <t>C-7532</t>
  </si>
  <si>
    <t>C-7533</t>
  </si>
  <si>
    <t>C-7534</t>
  </si>
  <si>
    <t>C-7535</t>
  </si>
  <si>
    <t>C-7536</t>
  </si>
  <si>
    <t>C-7537</t>
  </si>
  <si>
    <t>C-7538</t>
  </si>
  <si>
    <t>(114)SAGRADO CORAZON ZAVALETA</t>
  </si>
  <si>
    <t>C-7539</t>
  </si>
  <si>
    <t>(775)ANDRES AVILA</t>
  </si>
  <si>
    <t>C-7540</t>
  </si>
  <si>
    <t>C-7541</t>
  </si>
  <si>
    <t>C-7542</t>
  </si>
  <si>
    <t>C-7543</t>
  </si>
  <si>
    <t>(595)LOMA VERDE</t>
  </si>
  <si>
    <t>C-7544</t>
  </si>
  <si>
    <t>C-7545</t>
  </si>
  <si>
    <t>C-7546</t>
  </si>
  <si>
    <t>C-7547</t>
  </si>
  <si>
    <t>C-7548</t>
  </si>
  <si>
    <t>C-7549</t>
  </si>
  <si>
    <t>(711)NACHO</t>
  </si>
  <si>
    <t>C-7550</t>
  </si>
  <si>
    <t>C-7551</t>
  </si>
  <si>
    <t>C-7552</t>
  </si>
  <si>
    <t>C-7553</t>
  </si>
  <si>
    <t>C-7554</t>
  </si>
  <si>
    <t>C-7555</t>
  </si>
  <si>
    <t>(458)SAGRADO 3 CRUCES</t>
  </si>
  <si>
    <t>C-7556</t>
  </si>
  <si>
    <t>C-7557</t>
  </si>
  <si>
    <t>C-7558</t>
  </si>
  <si>
    <t>C-7559</t>
  </si>
  <si>
    <t>C-7560</t>
  </si>
  <si>
    <t>(565)SAGRADO DE LAS TORRES</t>
  </si>
  <si>
    <t>C-7561</t>
  </si>
  <si>
    <t>C-7562</t>
  </si>
  <si>
    <t>C-7563</t>
  </si>
  <si>
    <t>C-7564</t>
  </si>
  <si>
    <t>C-7565</t>
  </si>
  <si>
    <t>(468)CHINOS</t>
  </si>
  <si>
    <t>C-7566</t>
  </si>
  <si>
    <t>C-7567</t>
  </si>
  <si>
    <t>(699)ISRAEL PADILLA  HABANA</t>
  </si>
  <si>
    <t>C-7568</t>
  </si>
  <si>
    <r>
      <t xml:space="preserve">(501)ESTELA GONZALEZ  </t>
    </r>
    <r>
      <rPr>
        <b/>
        <sz val="11"/>
        <color rgb="FFFF0000"/>
        <rFont val="Calibri"/>
        <family val="2"/>
        <scheme val="minor"/>
      </rPr>
      <t>CANCELADA</t>
    </r>
  </si>
  <si>
    <t>se sustituyo x la 7569</t>
  </si>
  <si>
    <t>C-7569</t>
  </si>
  <si>
    <t>(501)ESTELA GONZALEZ</t>
  </si>
  <si>
    <t>C-7570</t>
  </si>
  <si>
    <t>C-7571</t>
  </si>
  <si>
    <t>C-7572</t>
  </si>
  <si>
    <t>(745)SAGRADO CORAZON  GAVILANES</t>
  </si>
  <si>
    <t>C-7573</t>
  </si>
  <si>
    <t>(234)ANTONIO JUAREZ</t>
  </si>
  <si>
    <t>C-7574</t>
  </si>
  <si>
    <t>C-7575</t>
  </si>
  <si>
    <t>C-7576</t>
  </si>
  <si>
    <t>C-7577</t>
  </si>
  <si>
    <t>C-7578</t>
  </si>
  <si>
    <t>(384)MARIO MASTRANZO</t>
  </si>
  <si>
    <t>C-7579</t>
  </si>
  <si>
    <t>C-7580</t>
  </si>
  <si>
    <t>(853)JOSE LUIS</t>
  </si>
  <si>
    <t>C-7581</t>
  </si>
  <si>
    <t>C-7582</t>
  </si>
  <si>
    <t>(590)CARNICERIA HUGO´S</t>
  </si>
  <si>
    <t>C-7583</t>
  </si>
  <si>
    <t>(366)SALVADOR PAZ</t>
  </si>
  <si>
    <t>C-7584</t>
  </si>
  <si>
    <t>(118)LUIS GUILLERMO ZALASAR ANDRADE</t>
  </si>
  <si>
    <t>C-7585</t>
  </si>
  <si>
    <t>C-7586</t>
  </si>
  <si>
    <t>C-7587</t>
  </si>
  <si>
    <t>C-7588</t>
  </si>
  <si>
    <t>(510)JAVIER APIZACO</t>
  </si>
  <si>
    <t>C-7589</t>
  </si>
  <si>
    <t>(836)JACINTO HERNANDEZ</t>
  </si>
  <si>
    <t>C-7590</t>
  </si>
  <si>
    <t>C-7591</t>
  </si>
  <si>
    <t>C-7592</t>
  </si>
  <si>
    <t>C-7593</t>
  </si>
  <si>
    <t>C-7594</t>
  </si>
  <si>
    <t>C-7595</t>
  </si>
  <si>
    <t>C-7596</t>
  </si>
  <si>
    <t>C-7597</t>
  </si>
  <si>
    <t>C-7598</t>
  </si>
  <si>
    <t>(703)CARNICERIA  ABRAHAM</t>
  </si>
  <si>
    <t>C-7599</t>
  </si>
  <si>
    <t>C-7600</t>
  </si>
  <si>
    <t>C-7601</t>
  </si>
  <si>
    <t>(618)CORAZON DE BRASIL SANTA ANA</t>
  </si>
  <si>
    <t>C-7602</t>
  </si>
  <si>
    <t>C-7603</t>
  </si>
  <si>
    <t>C-7604</t>
  </si>
  <si>
    <t>(858)CORAZON DE BRASIL LA NORIA</t>
  </si>
  <si>
    <t>C-7605</t>
  </si>
  <si>
    <t>(657)CORAZON DE BRASIL CENTRO</t>
  </si>
  <si>
    <t>C-7606</t>
  </si>
  <si>
    <t>C-7607</t>
  </si>
  <si>
    <t>C-7608</t>
  </si>
  <si>
    <t>C-7609</t>
  </si>
  <si>
    <t>(266)CRISTIAN-GRACIELA</t>
  </si>
  <si>
    <t>C-7610</t>
  </si>
  <si>
    <t>(218)PROSUBCA S.A DE C.V</t>
  </si>
  <si>
    <t>C-7611</t>
  </si>
  <si>
    <t>C-7612</t>
  </si>
  <si>
    <t>C-7613</t>
  </si>
  <si>
    <t>C-7614</t>
  </si>
  <si>
    <t>(93)ALB&amp;CIA</t>
  </si>
  <si>
    <t>C-7615</t>
  </si>
  <si>
    <t>C-7616</t>
  </si>
  <si>
    <t>C-7617</t>
  </si>
  <si>
    <t>C-7618</t>
  </si>
  <si>
    <t>(678)MAURO LOPEZ XIMELLO</t>
  </si>
  <si>
    <t>C-7619</t>
  </si>
  <si>
    <t>(71)ARCADIO LEDO RAMIREZ</t>
  </si>
  <si>
    <t>C-7620</t>
  </si>
  <si>
    <t>C-7621</t>
  </si>
  <si>
    <t>C-7622</t>
  </si>
  <si>
    <t>C-7623</t>
  </si>
  <si>
    <t>(549) JAIME ESPINOZA</t>
  </si>
  <si>
    <t>C-7624</t>
  </si>
  <si>
    <t>C-7625</t>
  </si>
  <si>
    <t>C-7626</t>
  </si>
  <si>
    <t>C-7627</t>
  </si>
  <si>
    <t>(188)EL POBLANITO</t>
  </si>
  <si>
    <t>C-7628</t>
  </si>
  <si>
    <t>(83)LOS PRIMOS</t>
  </si>
  <si>
    <t>C-7629</t>
  </si>
  <si>
    <t>(409)JOVANY CUATEPOTZO</t>
  </si>
  <si>
    <t>C-7630</t>
  </si>
  <si>
    <t>C-7631</t>
  </si>
  <si>
    <t>C-7632</t>
  </si>
  <si>
    <t>C-7633</t>
  </si>
  <si>
    <t>(177)PRODUCTO PARA AVES Y ANIMALES SA DE CV</t>
  </si>
  <si>
    <t>C-7634</t>
  </si>
  <si>
    <t>(811)BENJAMIN</t>
  </si>
  <si>
    <t>C-7635</t>
  </si>
  <si>
    <t>C-7636</t>
  </si>
  <si>
    <t>(822)ARNULFO CRUZ BAUTISTA</t>
  </si>
  <si>
    <t>C-7637</t>
  </si>
  <si>
    <t>C-7638</t>
  </si>
  <si>
    <t>(682)TAQUERIA HORNITOS</t>
  </si>
  <si>
    <t>C-7639</t>
  </si>
  <si>
    <t>(344)ALEJANDRO HERNANDEZ PEREZ</t>
  </si>
  <si>
    <t>C-7640</t>
  </si>
  <si>
    <t>(800)CAMERINO  GONZALEZ</t>
  </si>
  <si>
    <t>C-7641</t>
  </si>
  <si>
    <t>(685)VERONICA</t>
  </si>
  <si>
    <t>C-7642</t>
  </si>
  <si>
    <t>C-7643</t>
  </si>
  <si>
    <t>(860)JORGE ENRIQUE MARTINEZ ALONSO</t>
  </si>
  <si>
    <t>C-7644</t>
  </si>
  <si>
    <t>(16)ENRIQUE MARTINEZ</t>
  </si>
  <si>
    <t>C-7645</t>
  </si>
  <si>
    <t>(315)BERNARDO JIMENEZ MARTINEZ</t>
  </si>
  <si>
    <t>C-7646</t>
  </si>
  <si>
    <t>(809)JAIME LOPEZ</t>
  </si>
  <si>
    <t>C-7647</t>
  </si>
  <si>
    <t>C-7648</t>
  </si>
  <si>
    <t>(748)HECTOR HERNANDEZ</t>
  </si>
  <si>
    <t>C-7649</t>
  </si>
  <si>
    <t>C-7650</t>
  </si>
  <si>
    <t>C-7651</t>
  </si>
  <si>
    <t>(255)VALENTIN ARCE</t>
  </si>
  <si>
    <t>C-7652</t>
  </si>
  <si>
    <t>C-7653</t>
  </si>
  <si>
    <t>(412)LUIS LUNA</t>
  </si>
  <si>
    <t>C-7654</t>
  </si>
  <si>
    <t>(592)RENE</t>
  </si>
  <si>
    <t>C-7655</t>
  </si>
  <si>
    <t>C-7656</t>
  </si>
  <si>
    <t>C-7657</t>
  </si>
  <si>
    <t>C-7658</t>
  </si>
  <si>
    <t>C-7659</t>
  </si>
  <si>
    <t>(491)ANGEL FLORES</t>
  </si>
  <si>
    <t>C-7660</t>
  </si>
  <si>
    <t>C-7661</t>
  </si>
  <si>
    <t>(701)JULIO CESAR  GONZALEZ</t>
  </si>
  <si>
    <t>C-7662</t>
  </si>
  <si>
    <t>C-7663</t>
  </si>
  <si>
    <t>C-7664</t>
  </si>
  <si>
    <t>C-7665</t>
  </si>
  <si>
    <t>C-7666</t>
  </si>
  <si>
    <t>C-7667</t>
  </si>
  <si>
    <t>(194)FABIAN MACHORRO</t>
  </si>
  <si>
    <t>C-7668</t>
  </si>
  <si>
    <t>C-7669</t>
  </si>
  <si>
    <t>C-7670</t>
  </si>
  <si>
    <t>C-7671</t>
  </si>
  <si>
    <t>C-7672</t>
  </si>
  <si>
    <t>7-Ene-22--8-Ene-22</t>
  </si>
  <si>
    <t>C-7673</t>
  </si>
  <si>
    <t>C-7674</t>
  </si>
  <si>
    <t>C-7675</t>
  </si>
  <si>
    <t>(410)CELSO</t>
  </si>
  <si>
    <t>C-7676</t>
  </si>
  <si>
    <t>C-7677</t>
  </si>
  <si>
    <t>C-7678</t>
  </si>
  <si>
    <t>C-7679</t>
  </si>
  <si>
    <t>C-7680</t>
  </si>
  <si>
    <t>C-7681</t>
  </si>
  <si>
    <t>C-7682</t>
  </si>
  <si>
    <t>C-7683</t>
  </si>
  <si>
    <t>C-7684</t>
  </si>
  <si>
    <t>C-7685</t>
  </si>
  <si>
    <t>C-7686</t>
  </si>
  <si>
    <t>(863)JAIRO</t>
  </si>
  <si>
    <t>C-7687</t>
  </si>
  <si>
    <t>C-7688</t>
  </si>
  <si>
    <t>C-7689</t>
  </si>
  <si>
    <t>C-7690</t>
  </si>
  <si>
    <t>(373)MARIA LUISA TELLEZ LOMA VERDE</t>
  </si>
  <si>
    <t>C-7691</t>
  </si>
  <si>
    <t>(44)JAVIER ROCHA</t>
  </si>
  <si>
    <t>C-7692</t>
  </si>
  <si>
    <t>C-7693</t>
  </si>
  <si>
    <t>C-7694</t>
  </si>
  <si>
    <t>C-7695</t>
  </si>
  <si>
    <t>(8)CARNICERIA QUETZALCUAPAN</t>
  </si>
  <si>
    <t>C-7696</t>
  </si>
  <si>
    <t>C-7697</t>
  </si>
  <si>
    <t>(330)PANCHO ALTEPEJI</t>
  </si>
  <si>
    <t>C-7698</t>
  </si>
  <si>
    <t>C-7699</t>
  </si>
  <si>
    <t>C-7700</t>
  </si>
  <si>
    <t>C-7701</t>
  </si>
  <si>
    <t>C-7702</t>
  </si>
  <si>
    <t>C-7703</t>
  </si>
  <si>
    <t>C-7704</t>
  </si>
  <si>
    <t>C-7705</t>
  </si>
  <si>
    <t>C-7706</t>
  </si>
  <si>
    <t>C-7707</t>
  </si>
  <si>
    <t>C-7708</t>
  </si>
  <si>
    <t>C-7709</t>
  </si>
  <si>
    <t>(32)ANGEL ALFONSO</t>
  </si>
  <si>
    <t>C-7710</t>
  </si>
  <si>
    <t>C-7711</t>
  </si>
  <si>
    <t>C-7712</t>
  </si>
  <si>
    <t>C-7713</t>
  </si>
  <si>
    <t>C-7714</t>
  </si>
  <si>
    <t>C-7715</t>
  </si>
  <si>
    <t>C-7716</t>
  </si>
  <si>
    <t>C-7717</t>
  </si>
  <si>
    <t>C-7718</t>
  </si>
  <si>
    <t>C-7719</t>
  </si>
  <si>
    <t>C-7720</t>
  </si>
  <si>
    <t>(881)SANTIAGO ROMERO</t>
  </si>
  <si>
    <t>C-7721</t>
  </si>
  <si>
    <t>(98)FERNANDO GALICIA</t>
  </si>
  <si>
    <t>C-7722</t>
  </si>
  <si>
    <t>C-7723</t>
  </si>
  <si>
    <t>C-7724</t>
  </si>
  <si>
    <t>C-7725</t>
  </si>
  <si>
    <t>C-7726</t>
  </si>
  <si>
    <t>C-7727</t>
  </si>
  <si>
    <t>(164)ALFONSO BONILLA</t>
  </si>
  <si>
    <t>C-7728</t>
  </si>
  <si>
    <t>C-7729</t>
  </si>
  <si>
    <t>C-7730</t>
  </si>
  <si>
    <t>C-7731</t>
  </si>
  <si>
    <t>C-7732</t>
  </si>
  <si>
    <t>C-7733</t>
  </si>
  <si>
    <t>C-7734</t>
  </si>
  <si>
    <t>C-7735</t>
  </si>
  <si>
    <t>C-7736</t>
  </si>
  <si>
    <t>C-7737</t>
  </si>
  <si>
    <t>C-7738</t>
  </si>
  <si>
    <t>C-7739</t>
  </si>
  <si>
    <t>C-7740</t>
  </si>
  <si>
    <t>(205)DON JULIO</t>
  </si>
  <si>
    <t>C-7741</t>
  </si>
  <si>
    <t>C-7742</t>
  </si>
  <si>
    <t>C-7743</t>
  </si>
  <si>
    <t>C-7744</t>
  </si>
  <si>
    <t>C-7745</t>
  </si>
  <si>
    <t>C-7746</t>
  </si>
  <si>
    <t>(815)FRANCISCO PRADO</t>
  </si>
  <si>
    <t>C-7747</t>
  </si>
  <si>
    <t>C-7748</t>
  </si>
  <si>
    <t>C-7749</t>
  </si>
  <si>
    <t>(404)JOSE FLORES</t>
  </si>
  <si>
    <t>C-7750</t>
  </si>
  <si>
    <t>C-7751</t>
  </si>
  <si>
    <t>C-7752</t>
  </si>
  <si>
    <t>C-7753</t>
  </si>
  <si>
    <t>(31)JAVIER LUNA</t>
  </si>
  <si>
    <t>C-7754</t>
  </si>
  <si>
    <t>C-7755</t>
  </si>
  <si>
    <t>C-7756</t>
  </si>
  <si>
    <t>C-7757</t>
  </si>
  <si>
    <t>(61)RAFAEL PRADO</t>
  </si>
  <si>
    <t>C-7758</t>
  </si>
  <si>
    <t>C-7759</t>
  </si>
  <si>
    <t>C-7760</t>
  </si>
  <si>
    <t>C-7761</t>
  </si>
  <si>
    <t>C-7762</t>
  </si>
  <si>
    <t>C-7763</t>
  </si>
  <si>
    <t>C-7764</t>
  </si>
  <si>
    <t>(651)NEALTICAN YOLANDA</t>
  </si>
  <si>
    <t>C-7765</t>
  </si>
  <si>
    <t>C-7766</t>
  </si>
  <si>
    <t>C-7767</t>
  </si>
  <si>
    <t>C-7768</t>
  </si>
  <si>
    <t>(263)LEONARDO SANCHEZ</t>
  </si>
  <si>
    <t>C-7769</t>
  </si>
  <si>
    <t>(680)TARIMAS</t>
  </si>
  <si>
    <t>C-7770</t>
  </si>
  <si>
    <t>C-7771</t>
  </si>
  <si>
    <t>C-7772</t>
  </si>
  <si>
    <t>C-7773</t>
  </si>
  <si>
    <t>C-7774</t>
  </si>
  <si>
    <t>(374)FRANCISCO (ROMERO VARGAS)</t>
  </si>
  <si>
    <t>C-7775</t>
  </si>
  <si>
    <t>C-7776</t>
  </si>
  <si>
    <t>C-7777</t>
  </si>
  <si>
    <t>C-7778</t>
  </si>
  <si>
    <t>C-7779</t>
  </si>
  <si>
    <t>C-7780</t>
  </si>
  <si>
    <t>C-7781</t>
  </si>
  <si>
    <t>C-7782</t>
  </si>
  <si>
    <t>C-7783</t>
  </si>
  <si>
    <t>8-Ene-22--9-Ene-22</t>
  </si>
  <si>
    <t>C-7784</t>
  </si>
  <si>
    <t>C-7785</t>
  </si>
  <si>
    <t>C-7786</t>
  </si>
  <si>
    <t>C-7787</t>
  </si>
  <si>
    <t>C-7788</t>
  </si>
  <si>
    <t>C-7789</t>
  </si>
  <si>
    <t>C-7790</t>
  </si>
  <si>
    <t>C-7791</t>
  </si>
  <si>
    <t>C-7792</t>
  </si>
  <si>
    <t>C-7793</t>
  </si>
  <si>
    <t>C-7794</t>
  </si>
  <si>
    <t>C-7795</t>
  </si>
  <si>
    <t>C-7796</t>
  </si>
  <si>
    <t>C-7797</t>
  </si>
  <si>
    <t>C-7798</t>
  </si>
  <si>
    <t>C-7799</t>
  </si>
  <si>
    <t>C-7800</t>
  </si>
  <si>
    <t>C-7801</t>
  </si>
  <si>
    <t>(679)JUANA CASTILLO</t>
  </si>
  <si>
    <t>C-7802</t>
  </si>
  <si>
    <t>C-7803</t>
  </si>
  <si>
    <t>C-7804</t>
  </si>
  <si>
    <t>C-7805</t>
  </si>
  <si>
    <t>C-7806</t>
  </si>
  <si>
    <t>C-7807</t>
  </si>
  <si>
    <t>(141)RODOLFO ZOQUIAPA</t>
  </si>
  <si>
    <t>C-7808</t>
  </si>
  <si>
    <t>C-7809</t>
  </si>
  <si>
    <t>C-7810</t>
  </si>
  <si>
    <t>C-7811</t>
  </si>
  <si>
    <t>C-7812</t>
  </si>
  <si>
    <t>C-7813</t>
  </si>
  <si>
    <t>C-7814</t>
  </si>
  <si>
    <t>C-7815</t>
  </si>
  <si>
    <t>C-7816</t>
  </si>
  <si>
    <t>(48)PORFIRIO CRUZ</t>
  </si>
  <si>
    <t>C-7817</t>
  </si>
  <si>
    <t>C-7818</t>
  </si>
  <si>
    <t>C-7819</t>
  </si>
  <si>
    <t>C-7820</t>
  </si>
  <si>
    <t>C-7821</t>
  </si>
  <si>
    <t>(451)SERGIO LEDO</t>
  </si>
  <si>
    <t>C-7822</t>
  </si>
  <si>
    <t>C-7823</t>
  </si>
  <si>
    <t>C-7824</t>
  </si>
  <si>
    <t>C-7825</t>
  </si>
  <si>
    <t>C-7826</t>
  </si>
  <si>
    <t>C-7827</t>
  </si>
  <si>
    <t>C-7828</t>
  </si>
  <si>
    <t>C-7829</t>
  </si>
  <si>
    <t>C-7830</t>
  </si>
  <si>
    <t>C-7831</t>
  </si>
  <si>
    <t>(89)MAQUILA DE CHULETA</t>
  </si>
  <si>
    <t>C-7832</t>
  </si>
  <si>
    <t>C-7833</t>
  </si>
  <si>
    <t>C-7834</t>
  </si>
  <si>
    <t>C-7835</t>
  </si>
  <si>
    <t>C-7836</t>
  </si>
  <si>
    <t>C-7837</t>
  </si>
  <si>
    <t>C-7838</t>
  </si>
  <si>
    <t>C-7839</t>
  </si>
  <si>
    <t>C-7840</t>
  </si>
  <si>
    <t>C-7841</t>
  </si>
  <si>
    <t>C-7842</t>
  </si>
  <si>
    <t>C-7843</t>
  </si>
  <si>
    <r>
      <t xml:space="preserve">(363)ADRIAN JUAREZ  </t>
    </r>
    <r>
      <rPr>
        <b/>
        <sz val="11"/>
        <color rgb="FFFF0000"/>
        <rFont val="Calibri"/>
        <family val="2"/>
        <scheme val="minor"/>
      </rPr>
      <t>CANCELADA</t>
    </r>
  </si>
  <si>
    <t>se sustituyo x la 7825</t>
  </si>
  <si>
    <t>C-7844</t>
  </si>
  <si>
    <t>C-7845</t>
  </si>
  <si>
    <t>(781)GIOVANY TITLA</t>
  </si>
  <si>
    <t>C-7846</t>
  </si>
  <si>
    <t>C-7847</t>
  </si>
  <si>
    <t>C-7848</t>
  </si>
  <si>
    <t>C-7849</t>
  </si>
  <si>
    <t>(416)JUAN CARLOS CARMONA</t>
  </si>
  <si>
    <t>C-7850</t>
  </si>
  <si>
    <t>C-7851</t>
  </si>
  <si>
    <t>15-Ene-22--20-Ene-22</t>
  </si>
  <si>
    <t>C-7852</t>
  </si>
  <si>
    <t>C-7853</t>
  </si>
  <si>
    <t>C-7854</t>
  </si>
  <si>
    <t>(621)CONCHITA</t>
  </si>
  <si>
    <t>C-7855</t>
  </si>
  <si>
    <t>(429)MAQUILA</t>
  </si>
  <si>
    <t>C-7856</t>
  </si>
  <si>
    <t>C-7857</t>
  </si>
  <si>
    <t>(841)MARGARITO (SANTA MARIA)</t>
  </si>
  <si>
    <t>C-7858</t>
  </si>
  <si>
    <t>C-7859</t>
  </si>
  <si>
    <t>C-7860</t>
  </si>
  <si>
    <t>C-7861</t>
  </si>
  <si>
    <t>C-7862</t>
  </si>
  <si>
    <t>C-7863</t>
  </si>
  <si>
    <t>C-7864</t>
  </si>
  <si>
    <t>C-7865</t>
  </si>
  <si>
    <t>C-7866</t>
  </si>
  <si>
    <t>C-7867</t>
  </si>
  <si>
    <t>C-7868</t>
  </si>
  <si>
    <t>C-7869</t>
  </si>
  <si>
    <t>C-7870</t>
  </si>
  <si>
    <t>(684)TLAXCALANCINGO</t>
  </si>
  <si>
    <t>C-7871</t>
  </si>
  <si>
    <t>C-7872</t>
  </si>
  <si>
    <t>(222)ARTURO SANCHEZ</t>
  </si>
  <si>
    <t>C-7873</t>
  </si>
  <si>
    <t>C-7874</t>
  </si>
  <si>
    <t>C-7875</t>
  </si>
  <si>
    <t>C-7876</t>
  </si>
  <si>
    <t>C-7877</t>
  </si>
  <si>
    <t>C-7878</t>
  </si>
  <si>
    <t>C-7879</t>
  </si>
  <si>
    <t>C-7880</t>
  </si>
  <si>
    <t>C-7881</t>
  </si>
  <si>
    <t>C-7882</t>
  </si>
  <si>
    <t>C-7883</t>
  </si>
  <si>
    <t>C-7884</t>
  </si>
  <si>
    <t>C-7885</t>
  </si>
  <si>
    <t>C-7886</t>
  </si>
  <si>
    <t>9-Ene-22--11-Ene-22</t>
  </si>
  <si>
    <t>C-7887</t>
  </si>
  <si>
    <t>C-7888</t>
  </si>
  <si>
    <t>C-7889</t>
  </si>
  <si>
    <t>C-7890</t>
  </si>
  <si>
    <t>C-7891</t>
  </si>
  <si>
    <t>C-7892</t>
  </si>
  <si>
    <t>C-7893</t>
  </si>
  <si>
    <t>C-7894</t>
  </si>
  <si>
    <t>C-7895</t>
  </si>
  <si>
    <t>C-7896</t>
  </si>
  <si>
    <t>C-7897</t>
  </si>
  <si>
    <t>C-7898</t>
  </si>
  <si>
    <t>C-7899</t>
  </si>
  <si>
    <t>C-7900</t>
  </si>
  <si>
    <t>C-7901</t>
  </si>
  <si>
    <t>C-7902</t>
  </si>
  <si>
    <t>C-7903</t>
  </si>
  <si>
    <t>C-7904</t>
  </si>
  <si>
    <t>C-7905</t>
  </si>
  <si>
    <t>C-7906</t>
  </si>
  <si>
    <t>C-7907</t>
  </si>
  <si>
    <t>C-7908</t>
  </si>
  <si>
    <t>C-7909</t>
  </si>
  <si>
    <t>C-7910</t>
  </si>
  <si>
    <t>C-7911</t>
  </si>
  <si>
    <t>C-7912</t>
  </si>
  <si>
    <t>C-7913</t>
  </si>
  <si>
    <t>C-7914</t>
  </si>
  <si>
    <t>C-7915</t>
  </si>
  <si>
    <t>(630)GUILLERMO FLORES</t>
  </si>
  <si>
    <t>C-7916</t>
  </si>
  <si>
    <r>
      <t xml:space="preserve">(745)SAGRADO CORAZON  GAVILANES  </t>
    </r>
    <r>
      <rPr>
        <b/>
        <sz val="11"/>
        <color rgb="FFFF0000"/>
        <rFont val="Calibri"/>
        <family val="2"/>
        <scheme val="minor"/>
      </rPr>
      <t>CANCELADA</t>
    </r>
  </si>
  <si>
    <t>C-7917</t>
  </si>
  <si>
    <r>
      <t xml:space="preserve">(853)JOSE LUIS   </t>
    </r>
    <r>
      <rPr>
        <b/>
        <sz val="11"/>
        <color rgb="FFFF0000"/>
        <rFont val="Calibri"/>
        <family val="2"/>
        <scheme val="minor"/>
      </rPr>
      <t>CANCELADA</t>
    </r>
  </si>
  <si>
    <t>C-7918</t>
  </si>
  <si>
    <t>C-7919</t>
  </si>
  <si>
    <t>C-7920</t>
  </si>
  <si>
    <t>C-7921</t>
  </si>
  <si>
    <t>C-7922</t>
  </si>
  <si>
    <t>C-7923</t>
  </si>
  <si>
    <t>C-7924</t>
  </si>
  <si>
    <t>C-7925</t>
  </si>
  <si>
    <t>C-7926</t>
  </si>
  <si>
    <t>C-7927</t>
  </si>
  <si>
    <t>C-7928</t>
  </si>
  <si>
    <t>C-7929</t>
  </si>
  <si>
    <t>C-7930</t>
  </si>
  <si>
    <t>C-7931</t>
  </si>
  <si>
    <t>C-7932</t>
  </si>
  <si>
    <t>C-7933</t>
  </si>
  <si>
    <t>C-7934</t>
  </si>
  <si>
    <t>C-7935</t>
  </si>
  <si>
    <t>C-7936</t>
  </si>
  <si>
    <t>C-7937</t>
  </si>
  <si>
    <t>(594)JAVIER</t>
  </si>
  <si>
    <t>C-7938</t>
  </si>
  <si>
    <t>(360)MANUEL REYES</t>
  </si>
  <si>
    <t>C-7939</t>
  </si>
  <si>
    <t>C-7940</t>
  </si>
  <si>
    <t>C-7941</t>
  </si>
  <si>
    <t>C-7942</t>
  </si>
  <si>
    <t>C-7943</t>
  </si>
  <si>
    <t>C-7944</t>
  </si>
  <si>
    <t>C-7945</t>
  </si>
  <si>
    <t>C-7946</t>
  </si>
  <si>
    <t>C-7947</t>
  </si>
  <si>
    <t>C-7948</t>
  </si>
  <si>
    <t>(106)ISRAEL TORRES</t>
  </si>
  <si>
    <t>C-7949</t>
  </si>
  <si>
    <t>C-7950</t>
  </si>
  <si>
    <t>C-7951</t>
  </si>
  <si>
    <t>C-7952</t>
  </si>
  <si>
    <t>C-7953</t>
  </si>
  <si>
    <t>C-7954</t>
  </si>
  <si>
    <t>C-7955</t>
  </si>
  <si>
    <t>C-7956</t>
  </si>
  <si>
    <t>C-7957</t>
  </si>
  <si>
    <t>C-7958</t>
  </si>
  <si>
    <t>C-7959</t>
  </si>
  <si>
    <t>C-7960</t>
  </si>
  <si>
    <t>C-7961</t>
  </si>
  <si>
    <t>C-7962</t>
  </si>
  <si>
    <t>C-7963</t>
  </si>
  <si>
    <t>C-7964</t>
  </si>
  <si>
    <t>C-7965</t>
  </si>
  <si>
    <t>C-7966</t>
  </si>
  <si>
    <t>C-7967</t>
  </si>
  <si>
    <t>C-7968</t>
  </si>
  <si>
    <t>C-7969</t>
  </si>
  <si>
    <t>C-7970</t>
  </si>
  <si>
    <t>C-7971</t>
  </si>
  <si>
    <t>C-7972</t>
  </si>
  <si>
    <t>(290)GABRIEL TUXPAN</t>
  </si>
  <si>
    <t>C-7973</t>
  </si>
  <si>
    <t>C-7974</t>
  </si>
  <si>
    <t>(653)MOISES GONZALEZ</t>
  </si>
  <si>
    <t>C-7975</t>
  </si>
  <si>
    <t>(570)RAUL LEDO</t>
  </si>
  <si>
    <t>C-7976</t>
  </si>
  <si>
    <t>C-7977</t>
  </si>
  <si>
    <t>C-7978</t>
  </si>
  <si>
    <t>(610)BRAULIO APANGO</t>
  </si>
  <si>
    <t>C-7979</t>
  </si>
  <si>
    <t>C-7980</t>
  </si>
  <si>
    <t>C-7981</t>
  </si>
  <si>
    <t>C-7982</t>
  </si>
  <si>
    <t>C-7983</t>
  </si>
  <si>
    <t>C-7984</t>
  </si>
  <si>
    <t>C-7985</t>
  </si>
  <si>
    <t>(842)DELFINA COLOHUA CONTRERAS</t>
  </si>
  <si>
    <t>C-7986</t>
  </si>
  <si>
    <t>(683)KARINA MARTINEZ</t>
  </si>
  <si>
    <t>C-7987</t>
  </si>
  <si>
    <t>C-7988</t>
  </si>
  <si>
    <t>C-7989</t>
  </si>
  <si>
    <t>C-7990</t>
  </si>
  <si>
    <t>C-7991</t>
  </si>
  <si>
    <t>C-7992</t>
  </si>
  <si>
    <t>C-7993</t>
  </si>
  <si>
    <t>C-7994</t>
  </si>
  <si>
    <t>C-7995</t>
  </si>
  <si>
    <t>C-7996</t>
  </si>
  <si>
    <t>(181)DARIO TIRO</t>
  </si>
  <si>
    <t>C-7997</t>
  </si>
  <si>
    <t>(42)JESUS RUIZ</t>
  </si>
  <si>
    <t>C-7998</t>
  </si>
  <si>
    <t>C-7999</t>
  </si>
  <si>
    <t>(60)SEBASTIAN NEALTICAN</t>
  </si>
  <si>
    <t>C-8000</t>
  </si>
  <si>
    <t>C-8001</t>
  </si>
  <si>
    <t>(789)JAVIER CUAMATZI</t>
  </si>
  <si>
    <t>C-8002</t>
  </si>
  <si>
    <t>C-8003</t>
  </si>
  <si>
    <t>14-Ene-22--22-Ene-22</t>
  </si>
  <si>
    <t>C-8004</t>
  </si>
  <si>
    <t>C-8005</t>
  </si>
  <si>
    <t>C-8006</t>
  </si>
  <si>
    <t>C-8007</t>
  </si>
  <si>
    <t>C-8008</t>
  </si>
  <si>
    <t>(693)DESILDERIO ZOQUIAPAN</t>
  </si>
  <si>
    <t>C-8009</t>
  </si>
  <si>
    <t>C-8010</t>
  </si>
  <si>
    <t>9-Ene-22--10-Ene-22</t>
  </si>
  <si>
    <t>C-8011</t>
  </si>
  <si>
    <t>C-8012</t>
  </si>
  <si>
    <t>C-8013</t>
  </si>
  <si>
    <t>C-8014</t>
  </si>
  <si>
    <t>C-8015</t>
  </si>
  <si>
    <t>C-8016</t>
  </si>
  <si>
    <t>C-8017</t>
  </si>
  <si>
    <t>C-8018</t>
  </si>
  <si>
    <t>C-8019</t>
  </si>
  <si>
    <t>C-8020</t>
  </si>
  <si>
    <t>C-8021</t>
  </si>
  <si>
    <t>C-8022</t>
  </si>
  <si>
    <t>C-8023</t>
  </si>
  <si>
    <t>C-8024</t>
  </si>
  <si>
    <t>C-8025</t>
  </si>
  <si>
    <t>C-8026</t>
  </si>
  <si>
    <t>C-8027</t>
  </si>
  <si>
    <t>C-8028</t>
  </si>
  <si>
    <t>C-8029</t>
  </si>
  <si>
    <t>C-8030</t>
  </si>
  <si>
    <t>C-8031</t>
  </si>
  <si>
    <t>C-8032</t>
  </si>
  <si>
    <t>12-Ene-22--14-Ene-22</t>
  </si>
  <si>
    <t>C-8033</t>
  </si>
  <si>
    <t xml:space="preserve">          </t>
  </si>
  <si>
    <t>C-8034</t>
  </si>
  <si>
    <t>C-8035</t>
  </si>
  <si>
    <t>(299)CHARLY</t>
  </si>
  <si>
    <t>C-8036</t>
  </si>
  <si>
    <t>11-Ene-22--12-Ene-22</t>
  </si>
  <si>
    <t>C-8037</t>
  </si>
  <si>
    <t>C-8038</t>
  </si>
  <si>
    <t>C-8039</t>
  </si>
  <si>
    <t>(700)ESTEBAN AZCATL</t>
  </si>
  <si>
    <t>C-8040</t>
  </si>
  <si>
    <t>C-8041</t>
  </si>
  <si>
    <t>C-8042</t>
  </si>
  <si>
    <t>C-8043</t>
  </si>
  <si>
    <t>C-8044</t>
  </si>
  <si>
    <t>C-8045</t>
  </si>
  <si>
    <t>C-8046</t>
  </si>
  <si>
    <t>(497)HORTENCIA</t>
  </si>
  <si>
    <t>C-8047</t>
  </si>
  <si>
    <t>(99)JAVIER ( LA FORTUNA)</t>
  </si>
  <si>
    <t>C-8048</t>
  </si>
  <si>
    <t>C-8049</t>
  </si>
  <si>
    <t>C-8050</t>
  </si>
  <si>
    <t>C-8051</t>
  </si>
  <si>
    <t>C-8052</t>
  </si>
  <si>
    <t>C-8053</t>
  </si>
  <si>
    <t>C-8054</t>
  </si>
  <si>
    <t>C-8055</t>
  </si>
  <si>
    <t>C-8056</t>
  </si>
  <si>
    <t>C-8057</t>
  </si>
  <si>
    <t>C-8058</t>
  </si>
  <si>
    <t>C-8059</t>
  </si>
  <si>
    <t>C-8060</t>
  </si>
  <si>
    <t>C-8061</t>
  </si>
  <si>
    <t>C-8062</t>
  </si>
  <si>
    <t>C-8063</t>
  </si>
  <si>
    <t>C-8064</t>
  </si>
  <si>
    <r>
      <t xml:space="preserve">(638)EDGAR JIMENEZ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</si>
  <si>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8081</t>
  </si>
  <si>
    <t>C-8065</t>
  </si>
  <si>
    <t>C-8066</t>
  </si>
  <si>
    <t>C-8067</t>
  </si>
  <si>
    <t>C-8068</t>
  </si>
  <si>
    <t>C-8069</t>
  </si>
  <si>
    <t>C-8070</t>
  </si>
  <si>
    <t>C-8071</t>
  </si>
  <si>
    <t>C-8072</t>
  </si>
  <si>
    <t>C-8073</t>
  </si>
  <si>
    <t>C-8074</t>
  </si>
  <si>
    <t>C-8075</t>
  </si>
  <si>
    <t>C-8076</t>
  </si>
  <si>
    <t>(753)LA PRINCESA DOLAR TLAX</t>
  </si>
  <si>
    <t>C-8077</t>
  </si>
  <si>
    <t>C-8078</t>
  </si>
  <si>
    <t>(206)SAN BARTOLO</t>
  </si>
  <si>
    <t>C-8079</t>
  </si>
  <si>
    <t>C-8080</t>
  </si>
  <si>
    <t>C-8081</t>
  </si>
  <si>
    <t>C-8082</t>
  </si>
  <si>
    <t>C-8083</t>
  </si>
  <si>
    <t>C-8084</t>
  </si>
  <si>
    <t>C-8085</t>
  </si>
  <si>
    <t>C-8086</t>
  </si>
  <si>
    <t>C-8087</t>
  </si>
  <si>
    <t>C-8088</t>
  </si>
  <si>
    <t>C-8089</t>
  </si>
  <si>
    <t>C-8090</t>
  </si>
  <si>
    <t>C-8091</t>
  </si>
  <si>
    <t>C-8092</t>
  </si>
  <si>
    <t>C-8093</t>
  </si>
  <si>
    <t>C-8094</t>
  </si>
  <si>
    <t>C-8095</t>
  </si>
  <si>
    <t>C-8096</t>
  </si>
  <si>
    <t>C-8097</t>
  </si>
  <si>
    <t>C-8098</t>
  </si>
  <si>
    <t>C-8099</t>
  </si>
  <si>
    <t>C-8100</t>
  </si>
  <si>
    <t>C-8101</t>
  </si>
  <si>
    <t>C-8102</t>
  </si>
  <si>
    <t>(515)RAUL LEDO RAMIREZ</t>
  </si>
  <si>
    <t>C-8103</t>
  </si>
  <si>
    <t>C-8104</t>
  </si>
  <si>
    <t>C-8105</t>
  </si>
  <si>
    <t>C-8106</t>
  </si>
  <si>
    <t>C-8107</t>
  </si>
  <si>
    <t>C-8108</t>
  </si>
  <si>
    <t>C-8109</t>
  </si>
  <si>
    <t>C-8110</t>
  </si>
  <si>
    <t>(86)FLORES</t>
  </si>
  <si>
    <t>C-8111</t>
  </si>
  <si>
    <t>C-8112</t>
  </si>
  <si>
    <t>C-8113</t>
  </si>
  <si>
    <t>C-8114</t>
  </si>
  <si>
    <t>(104)ROGELIO  HERRERIAS</t>
  </si>
  <si>
    <t>C-8115</t>
  </si>
  <si>
    <t>C-8116</t>
  </si>
  <si>
    <t>C-8117</t>
  </si>
  <si>
    <t>C-8118</t>
  </si>
  <si>
    <t>C-8119</t>
  </si>
  <si>
    <t>C-8120</t>
  </si>
  <si>
    <t>C-8121</t>
  </si>
  <si>
    <t>(252)ROBERTO FLORES</t>
  </si>
  <si>
    <t>C-8122</t>
  </si>
  <si>
    <t>C-8123</t>
  </si>
  <si>
    <t>C-8124</t>
  </si>
  <si>
    <t>C-8125</t>
  </si>
  <si>
    <t>(179)SERRANO</t>
  </si>
  <si>
    <t>C-8126</t>
  </si>
  <si>
    <t>C-8127</t>
  </si>
  <si>
    <t>C-8128</t>
  </si>
  <si>
    <t>C-8129</t>
  </si>
  <si>
    <t>C-8130</t>
  </si>
  <si>
    <t>C-8131</t>
  </si>
  <si>
    <t>C-8132</t>
  </si>
  <si>
    <t>C-8133</t>
  </si>
  <si>
    <t>C-8134</t>
  </si>
  <si>
    <t>C-8135</t>
  </si>
  <si>
    <t>C-8136</t>
  </si>
  <si>
    <t>10-Ene-22--12-Ene-22</t>
  </si>
  <si>
    <t>C-8137</t>
  </si>
  <si>
    <t>C-8138</t>
  </si>
  <si>
    <t>C-8139</t>
  </si>
  <si>
    <t>C-8140</t>
  </si>
  <si>
    <t>(882)JESUS MADRID</t>
  </si>
  <si>
    <t>C-8141</t>
  </si>
  <si>
    <t>C-8142</t>
  </si>
  <si>
    <t>C-8143</t>
  </si>
  <si>
    <t>C-8144</t>
  </si>
  <si>
    <t>C-8145</t>
  </si>
  <si>
    <t>C-8146</t>
  </si>
  <si>
    <t>C-8147</t>
  </si>
  <si>
    <t>C-8148</t>
  </si>
  <si>
    <t>C-8149</t>
  </si>
  <si>
    <t>C-8150</t>
  </si>
  <si>
    <t>C-8151</t>
  </si>
  <si>
    <t>C-8152</t>
  </si>
  <si>
    <t>C-8153</t>
  </si>
  <si>
    <t>C-8154</t>
  </si>
  <si>
    <t>C-8155</t>
  </si>
  <si>
    <t>C-8156</t>
  </si>
  <si>
    <t>C-8157</t>
  </si>
  <si>
    <t>C-8158</t>
  </si>
  <si>
    <t>C-8159</t>
  </si>
  <si>
    <t>C-8160</t>
  </si>
  <si>
    <t>C-8161</t>
  </si>
  <si>
    <t>C-8162</t>
  </si>
  <si>
    <t>C-8163</t>
  </si>
  <si>
    <t>C-8164</t>
  </si>
  <si>
    <t>C-8165</t>
  </si>
  <si>
    <t>(522)SR CORONA</t>
  </si>
  <si>
    <t>C-8166</t>
  </si>
  <si>
    <t>C-8167</t>
  </si>
  <si>
    <t>C-8168</t>
  </si>
  <si>
    <t>C-8169</t>
  </si>
  <si>
    <t>C-8170</t>
  </si>
  <si>
    <t>C-8171</t>
  </si>
  <si>
    <t>C-8172</t>
  </si>
  <si>
    <t>C-8173</t>
  </si>
  <si>
    <t>C-8174</t>
  </si>
  <si>
    <t>C-8175</t>
  </si>
  <si>
    <t>C-8176</t>
  </si>
  <si>
    <t>C-8177</t>
  </si>
  <si>
    <t>C-8178</t>
  </si>
  <si>
    <t>C-8179</t>
  </si>
  <si>
    <t>C-8180</t>
  </si>
  <si>
    <t>C-8181</t>
  </si>
  <si>
    <t>C-8182</t>
  </si>
  <si>
    <t>C-8183</t>
  </si>
  <si>
    <t>C-8184</t>
  </si>
  <si>
    <t>C-8185</t>
  </si>
  <si>
    <t>C-8186</t>
  </si>
  <si>
    <t>C-8187</t>
  </si>
  <si>
    <t>C-8188</t>
  </si>
  <si>
    <t>C-8189</t>
  </si>
  <si>
    <t>C-8190</t>
  </si>
  <si>
    <t>C-8191</t>
  </si>
  <si>
    <t>C-8192</t>
  </si>
  <si>
    <t>C-8193</t>
  </si>
  <si>
    <t>C-8194</t>
  </si>
  <si>
    <t>C-8195</t>
  </si>
  <si>
    <t>C-8196</t>
  </si>
  <si>
    <t>C-8197</t>
  </si>
  <si>
    <t>C-8198</t>
  </si>
  <si>
    <t>C-8199</t>
  </si>
  <si>
    <t>C-8200</t>
  </si>
  <si>
    <t>C-8201</t>
  </si>
  <si>
    <t>C-8202</t>
  </si>
  <si>
    <t>C-8203</t>
  </si>
  <si>
    <t>C-8204</t>
  </si>
  <si>
    <t>C-8205</t>
  </si>
  <si>
    <t>C-8206</t>
  </si>
  <si>
    <t>C-8207</t>
  </si>
  <si>
    <t>C-8208</t>
  </si>
  <si>
    <t>C-8209</t>
  </si>
  <si>
    <t>C-8210</t>
  </si>
  <si>
    <t>13-Ene-22--14-Ene-22</t>
  </si>
  <si>
    <t>C-8211</t>
  </si>
  <si>
    <t>C-8212</t>
  </si>
  <si>
    <t>C-8213</t>
  </si>
  <si>
    <t>C-8214</t>
  </si>
  <si>
    <t>C-8215</t>
  </si>
  <si>
    <t>C-8216</t>
  </si>
  <si>
    <t>C-8217</t>
  </si>
  <si>
    <r>
      <t xml:space="preserve">(8)CARNICERIA QUETZALCUAPAN  </t>
    </r>
    <r>
      <rPr>
        <b/>
        <sz val="11"/>
        <color rgb="FFFF0000"/>
        <rFont val="Calibri"/>
        <family val="2"/>
        <scheme val="minor"/>
      </rPr>
      <t>CANCELADA</t>
    </r>
  </si>
  <si>
    <t>se sustituyo x la 8280</t>
  </si>
  <si>
    <t>C-8218</t>
  </si>
  <si>
    <t>C-8219</t>
  </si>
  <si>
    <t>C-8220</t>
  </si>
  <si>
    <t>C-8221</t>
  </si>
  <si>
    <t>C-8222</t>
  </si>
  <si>
    <t>C-8223</t>
  </si>
  <si>
    <t>C-8224</t>
  </si>
  <si>
    <t>C-8225</t>
  </si>
  <si>
    <t>C-8226</t>
  </si>
  <si>
    <t>C-8227</t>
  </si>
  <si>
    <t>C-8228</t>
  </si>
  <si>
    <t>C-8229</t>
  </si>
  <si>
    <t>C-8230</t>
  </si>
  <si>
    <t>C-8231</t>
  </si>
  <si>
    <t>C-8232</t>
  </si>
  <si>
    <t>C-8233</t>
  </si>
  <si>
    <t>C-8234</t>
  </si>
  <si>
    <t>C-8235</t>
  </si>
  <si>
    <t>C-8236</t>
  </si>
  <si>
    <t>C-8237</t>
  </si>
  <si>
    <t>C-8238</t>
  </si>
  <si>
    <t>C-8239</t>
  </si>
  <si>
    <t>C-8240</t>
  </si>
  <si>
    <t>C-8241</t>
  </si>
  <si>
    <t>C-8242</t>
  </si>
  <si>
    <t>C-8243</t>
  </si>
  <si>
    <t>C-8244</t>
  </si>
  <si>
    <t>C-8245</t>
  </si>
  <si>
    <t>C-8246</t>
  </si>
  <si>
    <t>C-8247</t>
  </si>
  <si>
    <t>C-8248</t>
  </si>
  <si>
    <t>C-8249</t>
  </si>
  <si>
    <t>C-8250</t>
  </si>
  <si>
    <t>C-8251</t>
  </si>
  <si>
    <t>C-8252</t>
  </si>
  <si>
    <t>C-8253</t>
  </si>
  <si>
    <t>C-8254</t>
  </si>
  <si>
    <t>C-8255</t>
  </si>
  <si>
    <t>C-8256</t>
  </si>
  <si>
    <t>C-8257</t>
  </si>
  <si>
    <t>C-8258</t>
  </si>
  <si>
    <t>C-8259</t>
  </si>
  <si>
    <t>C-8260</t>
  </si>
  <si>
    <t>C-8261</t>
  </si>
  <si>
    <t>C-8262</t>
  </si>
  <si>
    <t>C-8263</t>
  </si>
  <si>
    <t>C-8264</t>
  </si>
  <si>
    <t>C-8265</t>
  </si>
  <si>
    <t>C-8266</t>
  </si>
  <si>
    <t>C-8267</t>
  </si>
  <si>
    <t>C-8268</t>
  </si>
  <si>
    <t>C-8269</t>
  </si>
  <si>
    <t>C-8270</t>
  </si>
  <si>
    <t>C-8271</t>
  </si>
  <si>
    <t>(749)TEODORO GAMEZ</t>
  </si>
  <si>
    <t>C-8272</t>
  </si>
  <si>
    <t>C-8273</t>
  </si>
  <si>
    <t>C-8274</t>
  </si>
  <si>
    <t>C-8275</t>
  </si>
  <si>
    <t>C-8276</t>
  </si>
  <si>
    <t>C-8277</t>
  </si>
  <si>
    <t>C-8278</t>
  </si>
  <si>
    <t>C-8279</t>
  </si>
  <si>
    <t>C-8280</t>
  </si>
  <si>
    <t>C-8281</t>
  </si>
  <si>
    <t>C-8282</t>
  </si>
  <si>
    <t>C-8283</t>
  </si>
  <si>
    <t>(90)SOLEDAD VAZQUEZ</t>
  </si>
  <si>
    <t>C-8284</t>
  </si>
  <si>
    <t>C-8285</t>
  </si>
  <si>
    <t>C-8286</t>
  </si>
  <si>
    <t>C-8287</t>
  </si>
  <si>
    <t>C-8288</t>
  </si>
  <si>
    <t>C-8289</t>
  </si>
  <si>
    <t>C-8290</t>
  </si>
  <si>
    <t>C-8291</t>
  </si>
  <si>
    <t>C-8292</t>
  </si>
  <si>
    <t>C-8293</t>
  </si>
  <si>
    <t>C-8294</t>
  </si>
  <si>
    <t>C-8295</t>
  </si>
  <si>
    <t>C-8296</t>
  </si>
  <si>
    <t>C-8297</t>
  </si>
  <si>
    <t>C-8298</t>
  </si>
  <si>
    <t>C-8299</t>
  </si>
  <si>
    <t>C-8300</t>
  </si>
  <si>
    <t>C-8301</t>
  </si>
  <si>
    <t>C-8302</t>
  </si>
  <si>
    <t>C-8303</t>
  </si>
  <si>
    <t>C-8304</t>
  </si>
  <si>
    <t>C-8305</t>
  </si>
  <si>
    <t>C-8306</t>
  </si>
  <si>
    <t>C-8307</t>
  </si>
  <si>
    <t>C-8308</t>
  </si>
  <si>
    <t>C-8309</t>
  </si>
  <si>
    <t>C-8310</t>
  </si>
  <si>
    <t>C-8311</t>
  </si>
  <si>
    <t>C-8312</t>
  </si>
  <si>
    <t>C-8313</t>
  </si>
  <si>
    <t>C-8314</t>
  </si>
  <si>
    <t>C-8315</t>
  </si>
  <si>
    <t>12-Ene-22--13-Ene-22</t>
  </si>
  <si>
    <t>C-8316</t>
  </si>
  <si>
    <t>C-8317</t>
  </si>
  <si>
    <t>C-8318</t>
  </si>
  <si>
    <t>C-8319</t>
  </si>
  <si>
    <t>C-8320</t>
  </si>
  <si>
    <t>C-8321</t>
  </si>
  <si>
    <t>C-8322</t>
  </si>
  <si>
    <t>C-8323</t>
  </si>
  <si>
    <t>C-8324</t>
  </si>
  <si>
    <t>C-8325</t>
  </si>
  <si>
    <t>C-8326</t>
  </si>
  <si>
    <t>C-8327</t>
  </si>
  <si>
    <t>C-8328</t>
  </si>
  <si>
    <t>C-8329</t>
  </si>
  <si>
    <t>C-8330</t>
  </si>
  <si>
    <t>C-8331</t>
  </si>
  <si>
    <t>(92)JOSE LUNA</t>
  </si>
  <si>
    <t>C-8332</t>
  </si>
  <si>
    <t>(546)MAURICIO HERNANDEZ</t>
  </si>
  <si>
    <t>C-8333</t>
  </si>
  <si>
    <t>C-8334</t>
  </si>
  <si>
    <t>C-8335</t>
  </si>
  <si>
    <t>C-8336</t>
  </si>
  <si>
    <t>C-8337</t>
  </si>
  <si>
    <t>C-8338</t>
  </si>
  <si>
    <t>C-8339</t>
  </si>
  <si>
    <t>C-8340</t>
  </si>
  <si>
    <t>C-8341</t>
  </si>
  <si>
    <t>C-8342</t>
  </si>
  <si>
    <t>C-8343</t>
  </si>
  <si>
    <t>C-8344</t>
  </si>
  <si>
    <t>C-8345</t>
  </si>
  <si>
    <t>C-8346</t>
  </si>
  <si>
    <t>C-8347</t>
  </si>
  <si>
    <t>C-8348</t>
  </si>
  <si>
    <t>C-8349</t>
  </si>
  <si>
    <t>C-8350</t>
  </si>
  <si>
    <t>C-8351</t>
  </si>
  <si>
    <t>C-8352</t>
  </si>
  <si>
    <t>C-8353</t>
  </si>
  <si>
    <t>C-8354</t>
  </si>
  <si>
    <t>C-8355</t>
  </si>
  <si>
    <t>C-8356</t>
  </si>
  <si>
    <t>C-8357</t>
  </si>
  <si>
    <t>(221)JUANA PORTILLO</t>
  </si>
  <si>
    <t>C-8358</t>
  </si>
  <si>
    <t>C-8359</t>
  </si>
  <si>
    <t>C-8360</t>
  </si>
  <si>
    <r>
      <t>(204)ABASTO DE 4 CARNES SUC.  ZAVALETA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</si>
  <si>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8361</t>
  </si>
  <si>
    <t>C-8361</t>
  </si>
  <si>
    <t>C-8362</t>
  </si>
  <si>
    <t>C-8363</t>
  </si>
  <si>
    <t>C-8364</t>
  </si>
  <si>
    <t>(418)ARTURO XIQUE</t>
  </si>
  <si>
    <t>C-8365</t>
  </si>
  <si>
    <t>C-8366</t>
  </si>
  <si>
    <t>C-8367</t>
  </si>
  <si>
    <t>C-8368</t>
  </si>
  <si>
    <r>
      <t>(225)ABASTOS DE 4 CARNES SA DE CV SUC. HERRADURA</t>
    </r>
    <r>
      <rPr>
        <b/>
        <sz val="11"/>
        <color rgb="FFFF0000"/>
        <rFont val="Calibri"/>
        <family val="2"/>
        <scheme val="minor"/>
      </rPr>
      <t xml:space="preserve">  CANCELADA</t>
    </r>
  </si>
  <si>
    <t>se sustituyo x la 8369</t>
  </si>
  <si>
    <t>C-8369</t>
  </si>
  <si>
    <t>C-8370</t>
  </si>
  <si>
    <t>C-8371</t>
  </si>
  <si>
    <t>C-8372</t>
  </si>
  <si>
    <t>C-8373</t>
  </si>
  <si>
    <t>C-8374</t>
  </si>
  <si>
    <t>C-8375</t>
  </si>
  <si>
    <t>C-8376</t>
  </si>
  <si>
    <t>C-8377</t>
  </si>
  <si>
    <t>C-8378</t>
  </si>
  <si>
    <t>C-8379</t>
  </si>
  <si>
    <t>C-8380</t>
  </si>
  <si>
    <t>C-8381</t>
  </si>
  <si>
    <t>C-8382</t>
  </si>
  <si>
    <t>C-8383</t>
  </si>
  <si>
    <t>(705)CARNICERIA LA NUEVA</t>
  </si>
  <si>
    <t>C-8384</t>
  </si>
  <si>
    <t>C-8385</t>
  </si>
  <si>
    <t>C-8386</t>
  </si>
  <si>
    <t>C-8387</t>
  </si>
  <si>
    <t>(124)MIGUEL XOCHIHUATL</t>
  </si>
  <si>
    <t>C-8388</t>
  </si>
  <si>
    <t>C-8389</t>
  </si>
  <si>
    <t>C-8390</t>
  </si>
  <si>
    <t>C-8391</t>
  </si>
  <si>
    <t>C-8392</t>
  </si>
  <si>
    <t>C-8393</t>
  </si>
  <si>
    <t>C-8394</t>
  </si>
  <si>
    <t>C-8395</t>
  </si>
  <si>
    <t>C-8396</t>
  </si>
  <si>
    <t>C-8397</t>
  </si>
  <si>
    <t>(322)JOSE GUILLERMO PEREZ</t>
  </si>
  <si>
    <t>C-8398</t>
  </si>
  <si>
    <t>C-8399</t>
  </si>
  <si>
    <t>C-8400</t>
  </si>
  <si>
    <t>C-8401</t>
  </si>
  <si>
    <t>C-8402</t>
  </si>
  <si>
    <t>C-8403</t>
  </si>
  <si>
    <t>C-8404</t>
  </si>
  <si>
    <t>C-8405</t>
  </si>
  <si>
    <t>C-8406</t>
  </si>
  <si>
    <t>C-8407</t>
  </si>
  <si>
    <t>C-8408</t>
  </si>
  <si>
    <t>C-8409</t>
  </si>
  <si>
    <t>C-8410</t>
  </si>
  <si>
    <t>C-8411</t>
  </si>
  <si>
    <t>C-8412</t>
  </si>
  <si>
    <t>C-8413</t>
  </si>
  <si>
    <t>C-8414</t>
  </si>
  <si>
    <t>C-8415</t>
  </si>
  <si>
    <t>C-8416</t>
  </si>
  <si>
    <t>C-8417</t>
  </si>
  <si>
    <t>C-8418</t>
  </si>
  <si>
    <t>C-8419</t>
  </si>
  <si>
    <t>14-Ene-22--15-Ene-22</t>
  </si>
  <si>
    <t>C-8420</t>
  </si>
  <si>
    <t>C-8421</t>
  </si>
  <si>
    <t>(120)MIGUEL ANGEL MORENO</t>
  </si>
  <si>
    <t>C-8422</t>
  </si>
  <si>
    <t>C-8423</t>
  </si>
  <si>
    <t>C-8424</t>
  </si>
  <si>
    <t>C-8425</t>
  </si>
  <si>
    <t>C-8426</t>
  </si>
  <si>
    <t>C-8427</t>
  </si>
  <si>
    <t>C-8428</t>
  </si>
  <si>
    <t>C-8429</t>
  </si>
  <si>
    <t>C-8430</t>
  </si>
  <si>
    <t>C-8431</t>
  </si>
  <si>
    <t>(883)MEXICAN FOOD</t>
  </si>
  <si>
    <t>C-8432</t>
  </si>
  <si>
    <t>C-8433</t>
  </si>
  <si>
    <t>C-8434</t>
  </si>
  <si>
    <t>C-8435</t>
  </si>
  <si>
    <t>C-8436</t>
  </si>
  <si>
    <t>C-8437</t>
  </si>
  <si>
    <t>C-8438</t>
  </si>
  <si>
    <t>C-8439</t>
  </si>
  <si>
    <t>C-8440</t>
  </si>
  <si>
    <t>C-8441</t>
  </si>
  <si>
    <t>C-8442</t>
  </si>
  <si>
    <t>(47)NOE COYOTL</t>
  </si>
  <si>
    <t>C-8443</t>
  </si>
  <si>
    <t>C-8444</t>
  </si>
  <si>
    <t>C-8445</t>
  </si>
  <si>
    <t>C-8446</t>
  </si>
  <si>
    <t>C-8447</t>
  </si>
  <si>
    <t>C-8448</t>
  </si>
  <si>
    <t>C-8449</t>
  </si>
  <si>
    <t>C-8450</t>
  </si>
  <si>
    <t>C-8451</t>
  </si>
  <si>
    <t>C-8452</t>
  </si>
  <si>
    <t>C-8453</t>
  </si>
  <si>
    <t>C-8454</t>
  </si>
  <si>
    <t>C-8455</t>
  </si>
  <si>
    <t>C-8456</t>
  </si>
  <si>
    <t>C-8457</t>
  </si>
  <si>
    <t>(34)HILDA LUNA</t>
  </si>
  <si>
    <t>C-8458</t>
  </si>
  <si>
    <t>C-8459</t>
  </si>
  <si>
    <t>C-8460</t>
  </si>
  <si>
    <t>C-8461</t>
  </si>
  <si>
    <t>C-8462</t>
  </si>
  <si>
    <t>C-8463</t>
  </si>
  <si>
    <t>C-8464</t>
  </si>
  <si>
    <t>C-8465</t>
  </si>
  <si>
    <t>C-8466</t>
  </si>
  <si>
    <t>C-8467</t>
  </si>
  <si>
    <t>C-8468</t>
  </si>
  <si>
    <t>C-8469</t>
  </si>
  <si>
    <t>C-8470</t>
  </si>
  <si>
    <t>C-8471</t>
  </si>
  <si>
    <t>C-8472</t>
  </si>
  <si>
    <t>C-8473</t>
  </si>
  <si>
    <t>27-Ene-22--29-Ene-22</t>
  </si>
  <si>
    <t>C-8474</t>
  </si>
  <si>
    <t>C-8475</t>
  </si>
  <si>
    <t>C-8476</t>
  </si>
  <si>
    <t>C-8477</t>
  </si>
  <si>
    <t>C-8478</t>
  </si>
  <si>
    <t>C-8479</t>
  </si>
  <si>
    <t>C-8480</t>
  </si>
  <si>
    <t>C-8481</t>
  </si>
  <si>
    <t>C-8482</t>
  </si>
  <si>
    <t>C-8483</t>
  </si>
  <si>
    <t>C-8484</t>
  </si>
  <si>
    <t>C-8485</t>
  </si>
  <si>
    <t>C-8486</t>
  </si>
  <si>
    <t>C-8487</t>
  </si>
  <si>
    <t>C-8488</t>
  </si>
  <si>
    <t>C-8489</t>
  </si>
  <si>
    <r>
      <t xml:space="preserve">(591)JULIO  </t>
    </r>
    <r>
      <rPr>
        <b/>
        <sz val="11"/>
        <color rgb="FFFF0000"/>
        <rFont val="Calibri"/>
        <family val="2"/>
        <scheme val="minor"/>
      </rPr>
      <t>CANCELADA</t>
    </r>
  </si>
  <si>
    <t>C-8490</t>
  </si>
  <si>
    <t>C-8491</t>
  </si>
  <si>
    <t>C-8492</t>
  </si>
  <si>
    <t>C-8493</t>
  </si>
  <si>
    <t>C-8494</t>
  </si>
  <si>
    <t>C-8495</t>
  </si>
  <si>
    <t>C-8496</t>
  </si>
  <si>
    <t>C-8497</t>
  </si>
  <si>
    <t>(542)HUGO HERNANDEZ BOTELLO</t>
  </si>
  <si>
    <t>C-8498</t>
  </si>
  <si>
    <t>C-8499</t>
  </si>
  <si>
    <t>C-8500</t>
  </si>
  <si>
    <t>C-8501</t>
  </si>
  <si>
    <t>C-8502</t>
  </si>
  <si>
    <t>C-8503</t>
  </si>
  <si>
    <t>C-8504</t>
  </si>
  <si>
    <t>C-8505</t>
  </si>
  <si>
    <t>C-8506</t>
  </si>
  <si>
    <t>C-8507</t>
  </si>
  <si>
    <t>C-8508</t>
  </si>
  <si>
    <t>C-8509</t>
  </si>
  <si>
    <t>C-8510</t>
  </si>
  <si>
    <t>C-8511</t>
  </si>
  <si>
    <t>C-8512</t>
  </si>
  <si>
    <t>(275)LEONARDO</t>
  </si>
  <si>
    <t>C-8513</t>
  </si>
  <si>
    <t>C-8514</t>
  </si>
  <si>
    <t>13-Ene-22--21-Ene-22</t>
  </si>
  <si>
    <t>C-8515</t>
  </si>
  <si>
    <t>C-8516</t>
  </si>
  <si>
    <t>C-8517</t>
  </si>
  <si>
    <t>C-8518</t>
  </si>
  <si>
    <t>C-8519</t>
  </si>
  <si>
    <t>C-8520</t>
  </si>
  <si>
    <t>C-8521</t>
  </si>
  <si>
    <t>C-8522</t>
  </si>
  <si>
    <t>C-8523</t>
  </si>
  <si>
    <t>C-8524</t>
  </si>
  <si>
    <t>C-8525</t>
  </si>
  <si>
    <t>C-8526</t>
  </si>
  <si>
    <t>C-8527</t>
  </si>
  <si>
    <t>C-8528</t>
  </si>
  <si>
    <t>C-8529</t>
  </si>
  <si>
    <t>C-8530</t>
  </si>
  <si>
    <t>C-8531</t>
  </si>
  <si>
    <t>C-8532</t>
  </si>
  <si>
    <t>C-8533</t>
  </si>
  <si>
    <t>15-Ene-22--17-Ene-22</t>
  </si>
  <si>
    <t>C-8534</t>
  </si>
  <si>
    <t>C-8535</t>
  </si>
  <si>
    <t>C-8536</t>
  </si>
  <si>
    <t>C-8537</t>
  </si>
  <si>
    <t>C-8538</t>
  </si>
  <si>
    <t>C-8539</t>
  </si>
  <si>
    <t>C-8540</t>
  </si>
  <si>
    <t>C-8541</t>
  </si>
  <si>
    <t>C-8542</t>
  </si>
  <si>
    <t>C-8543</t>
  </si>
  <si>
    <t>C-8544</t>
  </si>
  <si>
    <r>
      <t xml:space="preserve">  (739)CARNICERIA RASTRO</t>
    </r>
    <r>
      <rPr>
        <b/>
        <sz val="11"/>
        <color rgb="FFFF0000"/>
        <rFont val="Calibri"/>
        <family val="2"/>
        <scheme val="minor"/>
      </rPr>
      <t xml:space="preserve">   CANCELADA</t>
    </r>
  </si>
  <si>
    <t>C-8545</t>
  </si>
  <si>
    <t>C-8546</t>
  </si>
  <si>
    <t>C-8547</t>
  </si>
  <si>
    <t>C-8548</t>
  </si>
  <si>
    <t>C-8549</t>
  </si>
  <si>
    <t>C-8550</t>
  </si>
  <si>
    <t>C-8551</t>
  </si>
  <si>
    <t>C-8552</t>
  </si>
  <si>
    <t>(82)JULIO MC</t>
  </si>
  <si>
    <t>C-8553</t>
  </si>
  <si>
    <t>C-8554</t>
  </si>
  <si>
    <t>C-8555</t>
  </si>
  <si>
    <t>C-8556</t>
  </si>
  <si>
    <t>C-8557</t>
  </si>
  <si>
    <t>C-8558</t>
  </si>
  <si>
    <t>C-8559</t>
  </si>
  <si>
    <t>C-8560</t>
  </si>
  <si>
    <t>(2)LUIS LOPEZ</t>
  </si>
  <si>
    <t>C-8561</t>
  </si>
  <si>
    <t>C-8562</t>
  </si>
  <si>
    <t>C-8563</t>
  </si>
  <si>
    <t>C-8564</t>
  </si>
  <si>
    <t>C-8565</t>
  </si>
  <si>
    <t>C-8566</t>
  </si>
  <si>
    <t>C-8567</t>
  </si>
  <si>
    <t>C-8568</t>
  </si>
  <si>
    <t>C-8569</t>
  </si>
  <si>
    <t>C-8570</t>
  </si>
  <si>
    <t>C-8571</t>
  </si>
  <si>
    <r>
      <t>(373)MARIA LUISA TELLEZ LOMA VERDE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</si>
  <si>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C-8572</t>
  </si>
  <si>
    <t>C-8573</t>
  </si>
  <si>
    <t>(829)SAU PAULO</t>
  </si>
  <si>
    <t>C-8574</t>
  </si>
  <si>
    <t>C-8575</t>
  </si>
  <si>
    <t>C-8576</t>
  </si>
  <si>
    <t>C-8577</t>
  </si>
  <si>
    <t>C-8578</t>
  </si>
  <si>
    <t>C-8579</t>
  </si>
  <si>
    <t>C-8580</t>
  </si>
  <si>
    <t>C-8581</t>
  </si>
  <si>
    <t>C-8582</t>
  </si>
  <si>
    <t>C-8583</t>
  </si>
  <si>
    <t>C-8584</t>
  </si>
  <si>
    <t>C-8585</t>
  </si>
  <si>
    <t>C-8586</t>
  </si>
  <si>
    <t>C-8587</t>
  </si>
  <si>
    <t>C-8588</t>
  </si>
  <si>
    <t>C-8589</t>
  </si>
  <si>
    <t>C-8590</t>
  </si>
  <si>
    <t>C-8591</t>
  </si>
  <si>
    <t>C-8592</t>
  </si>
  <si>
    <t>C-8593</t>
  </si>
  <si>
    <t>C-8594</t>
  </si>
  <si>
    <t>C-8595</t>
  </si>
  <si>
    <t>C-8596</t>
  </si>
  <si>
    <t>C-8597</t>
  </si>
  <si>
    <t>C-8598</t>
  </si>
  <si>
    <t>C-8599</t>
  </si>
  <si>
    <t>C-8600</t>
  </si>
  <si>
    <t>C-8601</t>
  </si>
  <si>
    <t>C-8602</t>
  </si>
  <si>
    <t>C-8603</t>
  </si>
  <si>
    <t>C-8604</t>
  </si>
  <si>
    <t>(827)MERCADO GUADALUPE APIZACO</t>
  </si>
  <si>
    <t>C-8605</t>
  </si>
  <si>
    <t>C-8606</t>
  </si>
  <si>
    <t>C-8607</t>
  </si>
  <si>
    <t>C-8608</t>
  </si>
  <si>
    <t>C-8609</t>
  </si>
  <si>
    <t>C-8610</t>
  </si>
  <si>
    <t>C-8611</t>
  </si>
  <si>
    <t>C-8612</t>
  </si>
  <si>
    <t>C-8613</t>
  </si>
  <si>
    <t>C-8614</t>
  </si>
  <si>
    <t>C-8615</t>
  </si>
  <si>
    <t>C-8616</t>
  </si>
  <si>
    <t>C-8617</t>
  </si>
  <si>
    <t>C-8618</t>
  </si>
  <si>
    <t>C-8619</t>
  </si>
  <si>
    <t>C-8620</t>
  </si>
  <si>
    <t>C-8621</t>
  </si>
  <si>
    <t>C-8622</t>
  </si>
  <si>
    <t>C-8623</t>
  </si>
  <si>
    <t>C-8624</t>
  </si>
  <si>
    <t>(96)ALMA</t>
  </si>
  <si>
    <t>C-8625</t>
  </si>
  <si>
    <t>C-8626</t>
  </si>
  <si>
    <t>C-8627</t>
  </si>
  <si>
    <t>C-8628</t>
  </si>
  <si>
    <t>C-8629</t>
  </si>
  <si>
    <t>C-8630</t>
  </si>
  <si>
    <t>C-8631</t>
  </si>
  <si>
    <t>C-8632</t>
  </si>
  <si>
    <t>C-8633</t>
  </si>
  <si>
    <t>C-8634</t>
  </si>
  <si>
    <t>C-8635</t>
  </si>
  <si>
    <t>C-8636</t>
  </si>
  <si>
    <t>C-8637</t>
  </si>
  <si>
    <t>C-8638</t>
  </si>
  <si>
    <t>C-8639</t>
  </si>
  <si>
    <t>C-8640</t>
  </si>
  <si>
    <t>C-8641</t>
  </si>
  <si>
    <t>C-8642</t>
  </si>
  <si>
    <t>C-8643</t>
  </si>
  <si>
    <t>C-8644</t>
  </si>
  <si>
    <t>C-8645</t>
  </si>
  <si>
    <t>C-8646</t>
  </si>
  <si>
    <t>C-8647</t>
  </si>
  <si>
    <t>C-8648</t>
  </si>
  <si>
    <t>C-8649</t>
  </si>
  <si>
    <t>17-Ene-22--18-Ene-22</t>
  </si>
  <si>
    <t>C-8650</t>
  </si>
  <si>
    <t>15-Ene-22--16-Ene-22</t>
  </si>
  <si>
    <t>C-8651</t>
  </si>
  <si>
    <t>C-8652</t>
  </si>
  <si>
    <t>C-8653</t>
  </si>
  <si>
    <t>C-8654</t>
  </si>
  <si>
    <t>C-8655</t>
  </si>
  <si>
    <t>C-8656</t>
  </si>
  <si>
    <t>C-8657</t>
  </si>
  <si>
    <t>C-8658</t>
  </si>
  <si>
    <t>C-8659</t>
  </si>
  <si>
    <t>C-8660</t>
  </si>
  <si>
    <t>C-8661</t>
  </si>
  <si>
    <t>C-8662</t>
  </si>
  <si>
    <t>C-8663</t>
  </si>
  <si>
    <t>C-8664</t>
  </si>
  <si>
    <t>C-8665</t>
  </si>
  <si>
    <t>C-8666</t>
  </si>
  <si>
    <t>C-8667</t>
  </si>
  <si>
    <t>C-8668</t>
  </si>
  <si>
    <t>C-8669</t>
  </si>
  <si>
    <t>C-8670</t>
  </si>
  <si>
    <t>C-8671</t>
  </si>
  <si>
    <t>C-8672</t>
  </si>
  <si>
    <t>C-8673</t>
  </si>
  <si>
    <t>C-8674</t>
  </si>
  <si>
    <t>C-8675</t>
  </si>
  <si>
    <t>C-8676</t>
  </si>
  <si>
    <t>C-8677</t>
  </si>
  <si>
    <t>C-8678</t>
  </si>
  <si>
    <t>C-8679</t>
  </si>
  <si>
    <t>C-8680</t>
  </si>
  <si>
    <t>C-8681</t>
  </si>
  <si>
    <t>C-8682</t>
  </si>
  <si>
    <t>C-8683</t>
  </si>
  <si>
    <t>C-8684</t>
  </si>
  <si>
    <t>C-8685</t>
  </si>
  <si>
    <t>C-8686</t>
  </si>
  <si>
    <t>C-8687</t>
  </si>
  <si>
    <t>C-8688</t>
  </si>
  <si>
    <t>C-8689</t>
  </si>
  <si>
    <t>C-8690</t>
  </si>
  <si>
    <t>C-8691</t>
  </si>
  <si>
    <t>C-8692</t>
  </si>
  <si>
    <t>C-8693</t>
  </si>
  <si>
    <t>(56)JUQUILITA</t>
  </si>
  <si>
    <t>C-8694</t>
  </si>
  <si>
    <t>C-8695</t>
  </si>
  <si>
    <t>C-8696</t>
  </si>
  <si>
    <t>C-8697</t>
  </si>
  <si>
    <t>C-8698</t>
  </si>
  <si>
    <t>C-8699</t>
  </si>
  <si>
    <t>C-8700</t>
  </si>
  <si>
    <t>C-8701</t>
  </si>
  <si>
    <t>C-8702</t>
  </si>
  <si>
    <t>C-8703</t>
  </si>
  <si>
    <t>C-8704</t>
  </si>
  <si>
    <t>C-8705</t>
  </si>
  <si>
    <t>C-8706</t>
  </si>
  <si>
    <t>(37)JUAN ARRIAGA</t>
  </si>
  <si>
    <t>C-8707</t>
  </si>
  <si>
    <t>C-8708</t>
  </si>
  <si>
    <t>C-8709</t>
  </si>
  <si>
    <t>C-8710</t>
  </si>
  <si>
    <t>C-8711</t>
  </si>
  <si>
    <t>(818)LA PRINCESITA</t>
  </si>
  <si>
    <t>C-8712</t>
  </si>
  <si>
    <t>C-8713</t>
  </si>
  <si>
    <t>C-8714</t>
  </si>
  <si>
    <t>C-8715</t>
  </si>
  <si>
    <t>C-8716</t>
  </si>
  <si>
    <t>C-8717</t>
  </si>
  <si>
    <t>C-8718</t>
  </si>
  <si>
    <t>C-8719</t>
  </si>
  <si>
    <t>C-8720</t>
  </si>
  <si>
    <t>C-8721</t>
  </si>
  <si>
    <t>C-8722</t>
  </si>
  <si>
    <t>C-8723</t>
  </si>
  <si>
    <t>C-8724</t>
  </si>
  <si>
    <t>C-8725</t>
  </si>
  <si>
    <t>C-8726</t>
  </si>
  <si>
    <t>C-8727</t>
  </si>
  <si>
    <t>C-8728</t>
  </si>
  <si>
    <t>C-8729</t>
  </si>
  <si>
    <t>C-8730</t>
  </si>
  <si>
    <t>C-8731</t>
  </si>
  <si>
    <t>C-8732</t>
  </si>
  <si>
    <t>C-8733</t>
  </si>
  <si>
    <t>C-8734</t>
  </si>
  <si>
    <t>C-8735</t>
  </si>
  <si>
    <t>C-8736</t>
  </si>
  <si>
    <t>(819)VIRIDIANA LOZA</t>
  </si>
  <si>
    <t>C-8737</t>
  </si>
  <si>
    <t>C-8738</t>
  </si>
  <si>
    <t>C-8739</t>
  </si>
  <si>
    <t>C-8740</t>
  </si>
  <si>
    <t>C-8741</t>
  </si>
  <si>
    <t>C-8742</t>
  </si>
  <si>
    <t>C-8743</t>
  </si>
  <si>
    <t>C-8744</t>
  </si>
  <si>
    <t>C-8745</t>
  </si>
  <si>
    <t>C-8746</t>
  </si>
  <si>
    <t>C-8747</t>
  </si>
  <si>
    <t>C-8748</t>
  </si>
  <si>
    <t>C-8749</t>
  </si>
  <si>
    <t>C-8750</t>
  </si>
  <si>
    <t>C-8751</t>
  </si>
  <si>
    <t>C-8752</t>
  </si>
  <si>
    <t>C-8753</t>
  </si>
  <si>
    <t>C-8754</t>
  </si>
  <si>
    <t>PARCIAL</t>
  </si>
  <si>
    <t>C-8755</t>
  </si>
  <si>
    <t>C-8756</t>
  </si>
  <si>
    <t>C-8757</t>
  </si>
  <si>
    <t>C-8758</t>
  </si>
  <si>
    <t>C-8759</t>
  </si>
  <si>
    <t>C-8760</t>
  </si>
  <si>
    <t>C-8761</t>
  </si>
  <si>
    <t>C-8762</t>
  </si>
  <si>
    <t>C-8763</t>
  </si>
  <si>
    <t>C-8764</t>
  </si>
  <si>
    <t>(758)RODOLFO BALLINAS</t>
  </si>
  <si>
    <t>C-8765</t>
  </si>
  <si>
    <t>C-8766</t>
  </si>
  <si>
    <t>C-8767</t>
  </si>
  <si>
    <t>C-8768</t>
  </si>
  <si>
    <t>C-8769</t>
  </si>
  <si>
    <t>C-8770</t>
  </si>
  <si>
    <t>C-8771</t>
  </si>
  <si>
    <t>C-8772</t>
  </si>
  <si>
    <t>C-8773</t>
  </si>
  <si>
    <t>C-8774</t>
  </si>
  <si>
    <t>C-8775</t>
  </si>
  <si>
    <t>C-8776</t>
  </si>
  <si>
    <t>C-8777</t>
  </si>
  <si>
    <t>C-8778</t>
  </si>
  <si>
    <t>C-8779</t>
  </si>
  <si>
    <t>C-8780</t>
  </si>
  <si>
    <t>C-8781</t>
  </si>
  <si>
    <t>C-8782</t>
  </si>
  <si>
    <t>C-8783</t>
  </si>
  <si>
    <t>C-8784</t>
  </si>
  <si>
    <t>C-8785</t>
  </si>
  <si>
    <t>C-8786</t>
  </si>
  <si>
    <t>C-8787</t>
  </si>
  <si>
    <t>C-8788</t>
  </si>
  <si>
    <t>C-8789</t>
  </si>
  <si>
    <t>C-8790</t>
  </si>
  <si>
    <t>C-8791</t>
  </si>
  <si>
    <t>C-8792</t>
  </si>
  <si>
    <t>C-8793</t>
  </si>
  <si>
    <t>C-8794</t>
  </si>
  <si>
    <t>18-Ene-22--19-Ene-22</t>
  </si>
  <si>
    <t>C-8795</t>
  </si>
  <si>
    <t>C-8796</t>
  </si>
  <si>
    <t>C-8797</t>
  </si>
  <si>
    <t>C-8798</t>
  </si>
  <si>
    <t>C-8799</t>
  </si>
  <si>
    <t>C-8800</t>
  </si>
  <si>
    <t>C-8801</t>
  </si>
  <si>
    <t>C-8802</t>
  </si>
  <si>
    <t>C-8803</t>
  </si>
  <si>
    <t>C-8804</t>
  </si>
  <si>
    <t>C-8805</t>
  </si>
  <si>
    <t>C-8806</t>
  </si>
  <si>
    <t>C-8807</t>
  </si>
  <si>
    <t>C-8808</t>
  </si>
  <si>
    <t>C-8809</t>
  </si>
  <si>
    <t>C-8810</t>
  </si>
  <si>
    <t>C-8811</t>
  </si>
  <si>
    <t>C-8812</t>
  </si>
  <si>
    <t>C-8813</t>
  </si>
  <si>
    <t>C-8814</t>
  </si>
  <si>
    <t>C-8815</t>
  </si>
  <si>
    <t>C-8816</t>
  </si>
  <si>
    <t>C-8817</t>
  </si>
  <si>
    <t>C-8818</t>
  </si>
  <si>
    <t>C-8819</t>
  </si>
  <si>
    <t>C-8820</t>
  </si>
  <si>
    <t>C-8821</t>
  </si>
  <si>
    <t>C-8822</t>
  </si>
  <si>
    <t>C-8823</t>
  </si>
  <si>
    <t>C-8824</t>
  </si>
  <si>
    <t>C-8825</t>
  </si>
  <si>
    <t>C-8826</t>
  </si>
  <si>
    <t>C-8827</t>
  </si>
  <si>
    <t>C-8828</t>
  </si>
  <si>
    <t>C-8829</t>
  </si>
  <si>
    <t>C-8830</t>
  </si>
  <si>
    <t>C-8831</t>
  </si>
  <si>
    <t>C-8832</t>
  </si>
  <si>
    <t>C-8833</t>
  </si>
  <si>
    <t>C-8834</t>
  </si>
  <si>
    <t>C-8835</t>
  </si>
  <si>
    <t>C-8836</t>
  </si>
  <si>
    <t>C-8837</t>
  </si>
  <si>
    <t>C-8838</t>
  </si>
  <si>
    <t>C-8839</t>
  </si>
  <si>
    <t>C-8840</t>
  </si>
  <si>
    <t>C-8841</t>
  </si>
  <si>
    <t>C-8842</t>
  </si>
  <si>
    <t>C-8843</t>
  </si>
  <si>
    <t>C-8844</t>
  </si>
  <si>
    <t>C-8845</t>
  </si>
  <si>
    <t>C-8846</t>
  </si>
  <si>
    <t>C-8847</t>
  </si>
  <si>
    <t>C-8848</t>
  </si>
  <si>
    <t>C-8849</t>
  </si>
  <si>
    <t>C-8850</t>
  </si>
  <si>
    <t>C-8851</t>
  </si>
  <si>
    <t>C-8852</t>
  </si>
  <si>
    <t>C-8853</t>
  </si>
  <si>
    <t>C-8854</t>
  </si>
  <si>
    <t>C-8855</t>
  </si>
  <si>
    <t>C-8856</t>
  </si>
  <si>
    <t>C-8857</t>
  </si>
  <si>
    <r>
      <t xml:space="preserve">(137)HARBANO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</si>
  <si>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C-8858</t>
  </si>
  <si>
    <t>C-8859</t>
  </si>
  <si>
    <t>C-8860</t>
  </si>
  <si>
    <t>C-8861</t>
  </si>
  <si>
    <t>C-8862</t>
  </si>
  <si>
    <t>C-8863</t>
  </si>
  <si>
    <t>C-8864</t>
  </si>
  <si>
    <t>C-8865</t>
  </si>
  <si>
    <t>C-8866</t>
  </si>
  <si>
    <t>C-8867</t>
  </si>
  <si>
    <t>C-8868</t>
  </si>
  <si>
    <t>C-8869</t>
  </si>
  <si>
    <t>C-8870</t>
  </si>
  <si>
    <t>C-8871</t>
  </si>
  <si>
    <t>C-8872</t>
  </si>
  <si>
    <t>C-8873</t>
  </si>
  <si>
    <t>C-8874</t>
  </si>
  <si>
    <t>C-8875</t>
  </si>
  <si>
    <t>C-8876</t>
  </si>
  <si>
    <t>C-8877</t>
  </si>
  <si>
    <t>C-8878</t>
  </si>
  <si>
    <t>C-8879</t>
  </si>
  <si>
    <t>C-8880</t>
  </si>
  <si>
    <t>C-8881</t>
  </si>
  <si>
    <t>C-8882</t>
  </si>
  <si>
    <t>C-8883</t>
  </si>
  <si>
    <t>C-8884</t>
  </si>
  <si>
    <t>C-8885</t>
  </si>
  <si>
    <t>C-8886</t>
  </si>
  <si>
    <t>C-8887</t>
  </si>
  <si>
    <t>C-8888</t>
  </si>
  <si>
    <t>C-8889</t>
  </si>
  <si>
    <t>C-8890</t>
  </si>
  <si>
    <t>C-8891</t>
  </si>
  <si>
    <t>C-8892</t>
  </si>
  <si>
    <t>C-8893</t>
  </si>
  <si>
    <t>C-8894</t>
  </si>
  <si>
    <t>C-8895</t>
  </si>
  <si>
    <t>C-8896</t>
  </si>
  <si>
    <r>
      <t xml:space="preserve">(780)JAVIER MARTINEZ SANCHEZ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</si>
  <si>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8911</t>
  </si>
  <si>
    <t>C-8897</t>
  </si>
  <si>
    <t>C-8898</t>
  </si>
  <si>
    <t>C-8899</t>
  </si>
  <si>
    <t>C-8900</t>
  </si>
  <si>
    <t>C-8901</t>
  </si>
  <si>
    <t>C-8902</t>
  </si>
  <si>
    <t>C-8903</t>
  </si>
  <si>
    <t>C-8904</t>
  </si>
  <si>
    <t>C-8905</t>
  </si>
  <si>
    <t>C-8906</t>
  </si>
  <si>
    <t>C-8907</t>
  </si>
  <si>
    <t>C-8908</t>
  </si>
  <si>
    <t>C-8909</t>
  </si>
  <si>
    <t>C-8910</t>
  </si>
  <si>
    <t>C-8911</t>
  </si>
  <si>
    <t>C-8912</t>
  </si>
  <si>
    <t>C-8913</t>
  </si>
  <si>
    <t>C-8914</t>
  </si>
  <si>
    <t>C-8915</t>
  </si>
  <si>
    <t>C-8916</t>
  </si>
  <si>
    <t>C-8917</t>
  </si>
  <si>
    <t>C-8918</t>
  </si>
  <si>
    <t>C-8919</t>
  </si>
  <si>
    <t>C-8920</t>
  </si>
  <si>
    <t>C-8921</t>
  </si>
  <si>
    <t>C-8922</t>
  </si>
  <si>
    <t>C-8923</t>
  </si>
  <si>
    <t>C-8924</t>
  </si>
  <si>
    <t>C-8925</t>
  </si>
  <si>
    <t>C-8926</t>
  </si>
  <si>
    <t>C-8927</t>
  </si>
  <si>
    <t>C-8928</t>
  </si>
  <si>
    <t>C-8929</t>
  </si>
  <si>
    <t>C-8930</t>
  </si>
  <si>
    <t>C-8931</t>
  </si>
  <si>
    <r>
      <t xml:space="preserve">(254)IRENE CASTILLO  </t>
    </r>
    <r>
      <rPr>
        <b/>
        <sz val="11"/>
        <color rgb="FFFF0000"/>
        <rFont val="Calibri"/>
        <family val="2"/>
        <scheme val="minor"/>
      </rPr>
      <t>CANCELADA</t>
    </r>
  </si>
  <si>
    <t>se sustituyo x la 8932</t>
  </si>
  <si>
    <t>C-8932</t>
  </si>
  <si>
    <t>C-8933</t>
  </si>
  <si>
    <t>C-8934</t>
  </si>
  <si>
    <t>C-8935</t>
  </si>
  <si>
    <t>C-8936</t>
  </si>
  <si>
    <t>C-8937</t>
  </si>
  <si>
    <t>C-8938</t>
  </si>
  <si>
    <t>C-8939</t>
  </si>
  <si>
    <t>C-8940</t>
  </si>
  <si>
    <t>19-Ene-22--20-Ene-22</t>
  </si>
  <si>
    <t>C-8941</t>
  </si>
  <si>
    <t>C-8942</t>
  </si>
  <si>
    <t>C-8943</t>
  </si>
  <si>
    <t>C-8944</t>
  </si>
  <si>
    <t>C-8945</t>
  </si>
  <si>
    <t>C-8946</t>
  </si>
  <si>
    <t>C-8947</t>
  </si>
  <si>
    <t>C-8948</t>
  </si>
  <si>
    <t>C-8949</t>
  </si>
  <si>
    <t>C-8950</t>
  </si>
  <si>
    <t>C-8951</t>
  </si>
  <si>
    <t>C-8952</t>
  </si>
  <si>
    <t>18-Ene-22--20-Ene-22</t>
  </si>
  <si>
    <t>C-8953</t>
  </si>
  <si>
    <t>C-8954</t>
  </si>
  <si>
    <t>C-8955</t>
  </si>
  <si>
    <t>C-8956</t>
  </si>
  <si>
    <t>(245)GABRIEL CLEMENTE</t>
  </si>
  <si>
    <t>C-8957</t>
  </si>
  <si>
    <t>C-8958</t>
  </si>
  <si>
    <t>C-8959</t>
  </si>
  <si>
    <t>C-8960</t>
  </si>
  <si>
    <t>C-8961</t>
  </si>
  <si>
    <t>C-8962</t>
  </si>
  <si>
    <t>(308)AUSENCIO</t>
  </si>
  <si>
    <t>C-8963</t>
  </si>
  <si>
    <t>C-8964</t>
  </si>
  <si>
    <t>C-8965</t>
  </si>
  <si>
    <t>C-8966</t>
  </si>
  <si>
    <t>C-8967</t>
  </si>
  <si>
    <t>C-8968</t>
  </si>
  <si>
    <t>C-8969</t>
  </si>
  <si>
    <t>C-8970</t>
  </si>
  <si>
    <t>C-8971</t>
  </si>
  <si>
    <t>C-8972</t>
  </si>
  <si>
    <t>C-8973</t>
  </si>
  <si>
    <t>C-8974</t>
  </si>
  <si>
    <t>C-8975</t>
  </si>
  <si>
    <t>C-8976</t>
  </si>
  <si>
    <t>C-8977</t>
  </si>
  <si>
    <t>C-8978</t>
  </si>
  <si>
    <t>C-8979</t>
  </si>
  <si>
    <t>C-8980</t>
  </si>
  <si>
    <t>C-8981</t>
  </si>
  <si>
    <t>C-8982</t>
  </si>
  <si>
    <t>C-8983</t>
  </si>
  <si>
    <t>C-8984</t>
  </si>
  <si>
    <t>C-8985</t>
  </si>
  <si>
    <t>C-8986</t>
  </si>
  <si>
    <t>C-8987</t>
  </si>
  <si>
    <t>C-8988</t>
  </si>
  <si>
    <t>C-8989</t>
  </si>
  <si>
    <t>C-8990</t>
  </si>
  <si>
    <t>C-8991</t>
  </si>
  <si>
    <t>C-8992</t>
  </si>
  <si>
    <t>C-8993</t>
  </si>
  <si>
    <t>C-8994</t>
  </si>
  <si>
    <t>C-8995</t>
  </si>
  <si>
    <t>C-8996</t>
  </si>
  <si>
    <t>C-8997</t>
  </si>
  <si>
    <t>C-8998</t>
  </si>
  <si>
    <t>C-8999</t>
  </si>
  <si>
    <t>C-9000</t>
  </si>
  <si>
    <t>C-9001</t>
  </si>
  <si>
    <t>C-9002</t>
  </si>
  <si>
    <t>C-9003</t>
  </si>
  <si>
    <t>C-9004</t>
  </si>
  <si>
    <t>C-9005</t>
  </si>
  <si>
    <t>C-9006</t>
  </si>
  <si>
    <t>C-9007</t>
  </si>
  <si>
    <t>C-9008</t>
  </si>
  <si>
    <t>C-9009</t>
  </si>
  <si>
    <t>C-9010</t>
  </si>
  <si>
    <t>C-9011</t>
  </si>
  <si>
    <t>C-9012</t>
  </si>
  <si>
    <t>(495)RODOLFO LINARES JR</t>
  </si>
  <si>
    <t>C-9013</t>
  </si>
  <si>
    <t>C-9014</t>
  </si>
  <si>
    <t>C-9015</t>
  </si>
  <si>
    <t>C-9016</t>
  </si>
  <si>
    <t>C-9017</t>
  </si>
  <si>
    <t>(593)CARNES SELECTAS</t>
  </si>
  <si>
    <t>C-9018</t>
  </si>
  <si>
    <t>C-9019</t>
  </si>
  <si>
    <t>C-9020</t>
  </si>
  <si>
    <t>C-9021</t>
  </si>
  <si>
    <t>C-9022</t>
  </si>
  <si>
    <t>C-9023</t>
  </si>
  <si>
    <t>C-9024</t>
  </si>
  <si>
    <t>C-9025</t>
  </si>
  <si>
    <t>C-9026</t>
  </si>
  <si>
    <t>C-9027</t>
  </si>
  <si>
    <t>C-9028</t>
  </si>
  <si>
    <t>C-9029</t>
  </si>
  <si>
    <t>20-Ene-22--24-Ene-22</t>
  </si>
  <si>
    <t>C-9030</t>
  </si>
  <si>
    <t>C-9031</t>
  </si>
  <si>
    <t>(884)FERNANDO ROSAS FILOMENO</t>
  </si>
  <si>
    <t>C-9032</t>
  </si>
  <si>
    <t>C-9033</t>
  </si>
  <si>
    <t>C-9034</t>
  </si>
  <si>
    <t>C-9035</t>
  </si>
  <si>
    <t>C-9036</t>
  </si>
  <si>
    <t>C-9037</t>
  </si>
  <si>
    <t>C-9038</t>
  </si>
  <si>
    <t>C-9039</t>
  </si>
  <si>
    <t>C-9040</t>
  </si>
  <si>
    <t>C-9041</t>
  </si>
  <si>
    <t>(361)SILVANO</t>
  </si>
  <si>
    <t>C-9042</t>
  </si>
  <si>
    <t>C-9043</t>
  </si>
  <si>
    <t>C-9044</t>
  </si>
  <si>
    <t>C-9045</t>
  </si>
  <si>
    <t>C-9046</t>
  </si>
  <si>
    <t>C-9047</t>
  </si>
  <si>
    <t>C-9048</t>
  </si>
  <si>
    <t>C-9049</t>
  </si>
  <si>
    <t>C-9050</t>
  </si>
  <si>
    <r>
      <t xml:space="preserve">(781)GIOVANY TITLA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</si>
  <si>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C-9051</t>
  </si>
  <si>
    <t>C-9052</t>
  </si>
  <si>
    <t>C-9053</t>
  </si>
  <si>
    <t>C-9054</t>
  </si>
  <si>
    <t>C-9055</t>
  </si>
  <si>
    <t>C-9056</t>
  </si>
  <si>
    <t>C-9057</t>
  </si>
  <si>
    <t>C-9058</t>
  </si>
  <si>
    <t>C-9059</t>
  </si>
  <si>
    <t>C-9060</t>
  </si>
  <si>
    <t>C-9061</t>
  </si>
  <si>
    <t>(203)ASO ALIMENTOS</t>
  </si>
  <si>
    <t>C-9062</t>
  </si>
  <si>
    <t>C-9063</t>
  </si>
  <si>
    <t>C-9064</t>
  </si>
  <si>
    <t>C-9065</t>
  </si>
  <si>
    <t>C-9066</t>
  </si>
  <si>
    <t>C-9067</t>
  </si>
  <si>
    <t>(95)PROLEDO</t>
  </si>
  <si>
    <t>C-9068</t>
  </si>
  <si>
    <t>C-9069</t>
  </si>
  <si>
    <t>C-9070</t>
  </si>
  <si>
    <t>C-9071</t>
  </si>
  <si>
    <t>C-9072</t>
  </si>
  <si>
    <t>C-9073</t>
  </si>
  <si>
    <t>C-9074</t>
  </si>
  <si>
    <t>(51)LA PERA</t>
  </si>
  <si>
    <t>C-9075</t>
  </si>
  <si>
    <t>C-9076</t>
  </si>
  <si>
    <t>C-9077</t>
  </si>
  <si>
    <t>C-9078</t>
  </si>
  <si>
    <t>C-9079</t>
  </si>
  <si>
    <t>C-9080</t>
  </si>
  <si>
    <r>
      <t xml:space="preserve">(111)SAGRADO CORAZON MORILLOTLA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</si>
  <si>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C-9081</t>
  </si>
  <si>
    <t>C-9082</t>
  </si>
  <si>
    <t>C-9083</t>
  </si>
  <si>
    <t>C-9084</t>
  </si>
  <si>
    <t>19-Ene-22--22-Ene-22</t>
  </si>
  <si>
    <t>C-9085</t>
  </si>
  <si>
    <t>C-9086</t>
  </si>
  <si>
    <t>C-9087</t>
  </si>
  <si>
    <t>C-9088</t>
  </si>
  <si>
    <r>
      <t xml:space="preserve">(875)JUVE 5 DE MAYO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</si>
  <si>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C-9089</t>
  </si>
  <si>
    <r>
      <t xml:space="preserve">(728)MANUEL MOTA 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</si>
  <si>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9094</t>
  </si>
  <si>
    <t>C-9090</t>
  </si>
  <si>
    <t>C-9091</t>
  </si>
  <si>
    <t>C-9092</t>
  </si>
  <si>
    <t>C-9093</t>
  </si>
  <si>
    <t>C-9094</t>
  </si>
  <si>
    <t>C-9095</t>
  </si>
  <si>
    <t>C-9096</t>
  </si>
  <si>
    <t>C-9097</t>
  </si>
  <si>
    <t>21-Ene-22--23-Ene-22</t>
  </si>
  <si>
    <t>C-9098</t>
  </si>
  <si>
    <t>C-9099</t>
  </si>
  <si>
    <t>C-9100</t>
  </si>
  <si>
    <t>C-9101</t>
  </si>
  <si>
    <t>C-9102</t>
  </si>
  <si>
    <t>C-9103</t>
  </si>
  <si>
    <t>C-9104</t>
  </si>
  <si>
    <t>C-9105</t>
  </si>
  <si>
    <t>C-9106</t>
  </si>
  <si>
    <t>(821)MIGUEL GONZALEZ BAEZ</t>
  </si>
  <si>
    <t>C-9107</t>
  </si>
  <si>
    <t>C-9108</t>
  </si>
  <si>
    <t>C-9109</t>
  </si>
  <si>
    <t>C-9110</t>
  </si>
  <si>
    <t>C-9111</t>
  </si>
  <si>
    <t>C-9112</t>
  </si>
  <si>
    <t>C-9113</t>
  </si>
  <si>
    <t>C-9114</t>
  </si>
  <si>
    <t>C-9115</t>
  </si>
  <si>
    <t>C-9116</t>
  </si>
  <si>
    <t>C-9117</t>
  </si>
  <si>
    <t>C-9118</t>
  </si>
  <si>
    <t>C-9119</t>
  </si>
  <si>
    <t>C-9120</t>
  </si>
  <si>
    <t>C-9121</t>
  </si>
  <si>
    <t>C-9122</t>
  </si>
  <si>
    <t>C-9123</t>
  </si>
  <si>
    <t>C-9124</t>
  </si>
  <si>
    <t>C-9125</t>
  </si>
  <si>
    <t>C-9126</t>
  </si>
  <si>
    <t>C-9127</t>
  </si>
  <si>
    <t>C-9128</t>
  </si>
  <si>
    <t>C-9129</t>
  </si>
  <si>
    <t>C-9130</t>
  </si>
  <si>
    <t>C-9131</t>
  </si>
  <si>
    <t>C-9132</t>
  </si>
  <si>
    <t>C-9133</t>
  </si>
  <si>
    <t>C-9134</t>
  </si>
  <si>
    <t>C-9135</t>
  </si>
  <si>
    <t>C-9136</t>
  </si>
  <si>
    <r>
      <t xml:space="preserve">(117)NARCISO ROMERO CAMALEON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</si>
  <si>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C-9137</t>
  </si>
  <si>
    <t>C-9138</t>
  </si>
  <si>
    <t>C-9139</t>
  </si>
  <si>
    <t>C-9140</t>
  </si>
  <si>
    <t>C-9141</t>
  </si>
  <si>
    <t>C-9142</t>
  </si>
  <si>
    <t>C-9143</t>
  </si>
  <si>
    <t>C-9144</t>
  </si>
  <si>
    <t>(276)LEONARDO LINARES</t>
  </si>
  <si>
    <t>C-9145</t>
  </si>
  <si>
    <t>C-9146</t>
  </si>
  <si>
    <t>C-9147</t>
  </si>
  <si>
    <t>C-9148</t>
  </si>
  <si>
    <t>C-9149</t>
  </si>
  <si>
    <t>C-9150</t>
  </si>
  <si>
    <t>C-9151</t>
  </si>
  <si>
    <t>C-9152</t>
  </si>
  <si>
    <t>C-9153</t>
  </si>
  <si>
    <t>C-9154</t>
  </si>
  <si>
    <t>C-9155</t>
  </si>
  <si>
    <t>C-9156</t>
  </si>
  <si>
    <t>C-9157</t>
  </si>
  <si>
    <t>C-9158</t>
  </si>
  <si>
    <t>C-9159</t>
  </si>
  <si>
    <t>C-9160</t>
  </si>
  <si>
    <t>C-9161</t>
  </si>
  <si>
    <t>C-9162</t>
  </si>
  <si>
    <t>C-9163</t>
  </si>
  <si>
    <t>C-9164</t>
  </si>
  <si>
    <t>C-9165</t>
  </si>
  <si>
    <t>C-9166</t>
  </si>
  <si>
    <t>C-9167</t>
  </si>
  <si>
    <t>C-9168</t>
  </si>
  <si>
    <t>(649)VICTOR LOPEZ</t>
  </si>
  <si>
    <t>C-9169</t>
  </si>
  <si>
    <t>C-9170</t>
  </si>
  <si>
    <t>C-9171</t>
  </si>
  <si>
    <t>C-9172</t>
  </si>
  <si>
    <t>C-9173</t>
  </si>
  <si>
    <t>C-9174</t>
  </si>
  <si>
    <t>C-9175</t>
  </si>
  <si>
    <t>C-9176</t>
  </si>
  <si>
    <t>C-9177</t>
  </si>
  <si>
    <t>C-9178</t>
  </si>
  <si>
    <t>C-9179</t>
  </si>
  <si>
    <t>(472)GUILLERMINA ZOQUIAPAN</t>
  </si>
  <si>
    <t>C-9180</t>
  </si>
  <si>
    <t>C-9181</t>
  </si>
  <si>
    <t>C-9182</t>
  </si>
  <si>
    <t>C-9183</t>
  </si>
  <si>
    <t>(577)MARICELA HERNANDEZ</t>
  </si>
  <si>
    <t>C-9184</t>
  </si>
  <si>
    <t>C-9185</t>
  </si>
  <si>
    <t>C-9186</t>
  </si>
  <si>
    <t>C-9187</t>
  </si>
  <si>
    <t>C-9188</t>
  </si>
  <si>
    <t>20-Ene-22--21-Ene-22</t>
  </si>
  <si>
    <t>C-9189</t>
  </si>
  <si>
    <t>C-9190</t>
  </si>
  <si>
    <t>C-9191</t>
  </si>
  <si>
    <t>(489)LEONEL PILOTZI</t>
  </si>
  <si>
    <t>C-9192</t>
  </si>
  <si>
    <t>C-9193</t>
  </si>
  <si>
    <t>C-9194</t>
  </si>
  <si>
    <t>C-9195</t>
  </si>
  <si>
    <t>21-Ene-22--22-Ene-22</t>
  </si>
  <si>
    <t>C-9196</t>
  </si>
  <si>
    <t>C-9197</t>
  </si>
  <si>
    <t>C-9198</t>
  </si>
  <si>
    <t>C-9199</t>
  </si>
  <si>
    <t>C-9200</t>
  </si>
  <si>
    <t>C-9201</t>
  </si>
  <si>
    <t>C-9202</t>
  </si>
  <si>
    <t>C-9203</t>
  </si>
  <si>
    <t>C-9204</t>
  </si>
  <si>
    <t>C-9205</t>
  </si>
  <si>
    <t>C-9206</t>
  </si>
  <si>
    <t>C-9207</t>
  </si>
  <si>
    <t>C-9208</t>
  </si>
  <si>
    <t>C-9209</t>
  </si>
  <si>
    <t>C-9210</t>
  </si>
  <si>
    <t>C-9211</t>
  </si>
  <si>
    <r>
      <t xml:space="preserve">(204)ABASTO DE 4 CARNES SUC. 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</si>
  <si>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C-9212</t>
  </si>
  <si>
    <t>C-9213</t>
  </si>
  <si>
    <t>C-9214</t>
  </si>
  <si>
    <t>C-9215</t>
  </si>
  <si>
    <t>C-9216</t>
  </si>
  <si>
    <t>C-9217</t>
  </si>
  <si>
    <t>C-9218</t>
  </si>
  <si>
    <t>C-9219</t>
  </si>
  <si>
    <t>C-9220</t>
  </si>
  <si>
    <r>
      <t xml:space="preserve">(234)ANTONIO JUAREZ   </t>
    </r>
    <r>
      <rPr>
        <b/>
        <sz val="11"/>
        <color rgb="FFFF0000"/>
        <rFont val="Calibri"/>
        <family val="2"/>
        <scheme val="minor"/>
      </rPr>
      <t>CANCELADA</t>
    </r>
  </si>
  <si>
    <t>C-9221</t>
  </si>
  <si>
    <t>C-9222</t>
  </si>
  <si>
    <t>C-9223</t>
  </si>
  <si>
    <t>C-9224</t>
  </si>
  <si>
    <t>C-9225</t>
  </si>
  <si>
    <t>C-9226</t>
  </si>
  <si>
    <t>C-9227</t>
  </si>
  <si>
    <t>C-9228</t>
  </si>
  <si>
    <t>C-9229</t>
  </si>
  <si>
    <t>C-9230</t>
  </si>
  <si>
    <t>C-9231</t>
  </si>
  <si>
    <r>
      <t>(865)CARNICERIA CHAVE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</si>
  <si>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C-9232</t>
  </si>
  <si>
    <t>C-9233</t>
  </si>
  <si>
    <t>C-9234</t>
  </si>
  <si>
    <t>C-9235</t>
  </si>
  <si>
    <t>C-9236</t>
  </si>
  <si>
    <t>C-9237</t>
  </si>
  <si>
    <t>C-9238</t>
  </si>
  <si>
    <t>C-9239</t>
  </si>
  <si>
    <t>C-9240</t>
  </si>
  <si>
    <t>C-9241</t>
  </si>
  <si>
    <t>C-9242</t>
  </si>
  <si>
    <t>C-9243</t>
  </si>
  <si>
    <t>C-9244</t>
  </si>
  <si>
    <t>C-9245</t>
  </si>
  <si>
    <t>C-9246</t>
  </si>
  <si>
    <t>C-9247</t>
  </si>
  <si>
    <t>C-9248</t>
  </si>
  <si>
    <t>C-9249</t>
  </si>
  <si>
    <t>C-9250</t>
  </si>
  <si>
    <t>C-9251</t>
  </si>
  <si>
    <t>C-9252</t>
  </si>
  <si>
    <t>C-9253</t>
  </si>
  <si>
    <t>C-9254</t>
  </si>
  <si>
    <t>C-9255</t>
  </si>
  <si>
    <t>C-9256</t>
  </si>
  <si>
    <t>C-9257</t>
  </si>
  <si>
    <t>C-9258</t>
  </si>
  <si>
    <t>C-9259</t>
  </si>
  <si>
    <t>C-9260</t>
  </si>
  <si>
    <t>(721)JOSE LUIS FLORES</t>
  </si>
  <si>
    <t>C-9261</t>
  </si>
  <si>
    <t>C-9262</t>
  </si>
  <si>
    <t>C-9263</t>
  </si>
  <si>
    <t>C-9264</t>
  </si>
  <si>
    <t>C-9265</t>
  </si>
  <si>
    <t>C-9266</t>
  </si>
  <si>
    <t>C-9267</t>
  </si>
  <si>
    <r>
      <t xml:space="preserve">(585)GABRIEL APANGO   </t>
    </r>
    <r>
      <rPr>
        <b/>
        <sz val="11"/>
        <color rgb="FFFF0000"/>
        <rFont val="Calibri"/>
        <family val="2"/>
        <scheme val="minor"/>
      </rPr>
      <t>CANCELADA</t>
    </r>
  </si>
  <si>
    <t>C-9268</t>
  </si>
  <si>
    <t>C-9269</t>
  </si>
  <si>
    <t>C-9270</t>
  </si>
  <si>
    <t>C-9271</t>
  </si>
  <si>
    <t>C-9272</t>
  </si>
  <si>
    <t>C-9273</t>
  </si>
  <si>
    <t>C-9274</t>
  </si>
  <si>
    <t>C-9275</t>
  </si>
  <si>
    <t>C-9276</t>
  </si>
  <si>
    <t>C-9277</t>
  </si>
  <si>
    <t>C-9278</t>
  </si>
  <si>
    <t>C-9279</t>
  </si>
  <si>
    <t>C-9280</t>
  </si>
  <si>
    <t>C-9281</t>
  </si>
  <si>
    <t>C-9282</t>
  </si>
  <si>
    <t>C-9283</t>
  </si>
  <si>
    <t>C-9284</t>
  </si>
  <si>
    <t>C-9285</t>
  </si>
  <si>
    <t>C-9286</t>
  </si>
  <si>
    <t>C-9287</t>
  </si>
  <si>
    <t>C-9288</t>
  </si>
  <si>
    <t>C-9289</t>
  </si>
  <si>
    <t>C-9290</t>
  </si>
  <si>
    <t>C-9291</t>
  </si>
  <si>
    <r>
      <t xml:space="preserve">(136)RICARDO DELEITA   </t>
    </r>
    <r>
      <rPr>
        <b/>
        <sz val="11"/>
        <color rgb="FFFF0000"/>
        <rFont val="Calibri"/>
        <family val="2"/>
        <scheme val="minor"/>
      </rPr>
      <t>CANCELADO</t>
    </r>
  </si>
  <si>
    <t>C-9292</t>
  </si>
  <si>
    <t>C-9293</t>
  </si>
  <si>
    <t>C-9294</t>
  </si>
  <si>
    <t>C-9295</t>
  </si>
  <si>
    <t>C-9296</t>
  </si>
  <si>
    <t>C-9297</t>
  </si>
  <si>
    <t>C-9298</t>
  </si>
  <si>
    <t>C-9299</t>
  </si>
  <si>
    <t>C-9300</t>
  </si>
  <si>
    <t>C-9301</t>
  </si>
  <si>
    <t>C-9302</t>
  </si>
  <si>
    <t>C-9303</t>
  </si>
  <si>
    <t>C-9304</t>
  </si>
  <si>
    <t>C-9305</t>
  </si>
  <si>
    <t>C-9306</t>
  </si>
  <si>
    <t>C-9307</t>
  </si>
  <si>
    <t>C-9308</t>
  </si>
  <si>
    <t>21-Ene-22--22-Ene-22--23-Ene--22</t>
  </si>
  <si>
    <t>C-9309</t>
  </si>
  <si>
    <t>C-9310</t>
  </si>
  <si>
    <t>C-9311</t>
  </si>
  <si>
    <t>C-9312</t>
  </si>
  <si>
    <t>C-9313</t>
  </si>
  <si>
    <t>C-9314</t>
  </si>
  <si>
    <t>C-9315</t>
  </si>
  <si>
    <t>C-9316</t>
  </si>
  <si>
    <t>C-9317</t>
  </si>
  <si>
    <t>C-9318</t>
  </si>
  <si>
    <t>C-9319</t>
  </si>
  <si>
    <t>C-9320</t>
  </si>
  <si>
    <t>C-9321</t>
  </si>
  <si>
    <t>C-9322</t>
  </si>
  <si>
    <t>C-9323</t>
  </si>
  <si>
    <t>C-9324</t>
  </si>
  <si>
    <t>C-9325</t>
  </si>
  <si>
    <t>C-9326</t>
  </si>
  <si>
    <t>C-9327</t>
  </si>
  <si>
    <t>C-9328</t>
  </si>
  <si>
    <t>C-9329</t>
  </si>
  <si>
    <t>C-9330</t>
  </si>
  <si>
    <r>
      <t xml:space="preserve">(790)POLLERIA TORRES   </t>
    </r>
    <r>
      <rPr>
        <b/>
        <sz val="11"/>
        <color rgb="FFFF0000"/>
        <rFont val="Calibri"/>
        <family val="2"/>
        <scheme val="minor"/>
      </rPr>
      <t>CANCELADA</t>
    </r>
  </si>
  <si>
    <t>se sustituyo x la 9334</t>
  </si>
  <si>
    <t>C-9331</t>
  </si>
  <si>
    <t>C-9332</t>
  </si>
  <si>
    <t>C-9333</t>
  </si>
  <si>
    <t>C-9334</t>
  </si>
  <si>
    <t>C-9335</t>
  </si>
  <si>
    <t>C-9336</t>
  </si>
  <si>
    <t>C-9337</t>
  </si>
  <si>
    <t>C-9338</t>
  </si>
  <si>
    <t>C-9339</t>
  </si>
  <si>
    <t>C-9340</t>
  </si>
  <si>
    <t>C-9341</t>
  </si>
  <si>
    <t>C-9342</t>
  </si>
  <si>
    <t>C-9343</t>
  </si>
  <si>
    <t>C-9344</t>
  </si>
  <si>
    <t>C-9345</t>
  </si>
  <si>
    <t>C-9346</t>
  </si>
  <si>
    <t>C-9347</t>
  </si>
  <si>
    <t>C-9348</t>
  </si>
  <si>
    <t>C-9349</t>
  </si>
  <si>
    <t>C-9350</t>
  </si>
  <si>
    <t>C-9351</t>
  </si>
  <si>
    <r>
      <t xml:space="preserve">(234)ANTONIO JUAREZ 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</si>
  <si>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C-9352</t>
  </si>
  <si>
    <t>C-9353</t>
  </si>
  <si>
    <t>C-9354</t>
  </si>
  <si>
    <t>C-9355</t>
  </si>
  <si>
    <t>C-9356</t>
  </si>
  <si>
    <t>C-9357</t>
  </si>
  <si>
    <t>C-9358</t>
  </si>
  <si>
    <t>C-9359</t>
  </si>
  <si>
    <t>C-9360</t>
  </si>
  <si>
    <t>C-9361</t>
  </si>
  <si>
    <t>C-9362</t>
  </si>
  <si>
    <t>C-9363</t>
  </si>
  <si>
    <t>C-9364</t>
  </si>
  <si>
    <t>C-9365</t>
  </si>
  <si>
    <t>C-9366</t>
  </si>
  <si>
    <t>C-9367</t>
  </si>
  <si>
    <t>C-9368</t>
  </si>
  <si>
    <t>C-9369</t>
  </si>
  <si>
    <r>
      <t xml:space="preserve">(494)OMAR REYES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</si>
  <si>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9375</t>
  </si>
  <si>
    <t>C-9370</t>
  </si>
  <si>
    <t>C-9371</t>
  </si>
  <si>
    <t>C-9372</t>
  </si>
  <si>
    <t>C-9373</t>
  </si>
  <si>
    <t>C-9374</t>
  </si>
  <si>
    <t>C-9375</t>
  </si>
  <si>
    <t>C-9376</t>
  </si>
  <si>
    <t>C-9377</t>
  </si>
  <si>
    <t>C-9378</t>
  </si>
  <si>
    <t>C-9379</t>
  </si>
  <si>
    <t>C-9380</t>
  </si>
  <si>
    <t>C-9381</t>
  </si>
  <si>
    <r>
      <t xml:space="preserve">(841)MARGARITO (SANTA MARIA)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</si>
  <si>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C-9382</t>
  </si>
  <si>
    <t>C-9383</t>
  </si>
  <si>
    <t>C-9384</t>
  </si>
  <si>
    <t>C-9385</t>
  </si>
  <si>
    <t>C-9386</t>
  </si>
  <si>
    <t>C-9387</t>
  </si>
  <si>
    <t>(125)ISRAEL LEDO</t>
  </si>
  <si>
    <t>C-9388</t>
  </si>
  <si>
    <t>C-9389</t>
  </si>
  <si>
    <t>C-9390</t>
  </si>
  <si>
    <t>C-9391</t>
  </si>
  <si>
    <t>C-9392</t>
  </si>
  <si>
    <t>(220)ANGEL RIOS</t>
  </si>
  <si>
    <t>C-9393</t>
  </si>
  <si>
    <t>C-9394</t>
  </si>
  <si>
    <t>C-9395</t>
  </si>
  <si>
    <t>C-9396</t>
  </si>
  <si>
    <t>C-9397</t>
  </si>
  <si>
    <t>22-Ene-22--28-Ene-22</t>
  </si>
  <si>
    <t>C-9398</t>
  </si>
  <si>
    <t>C-9399</t>
  </si>
  <si>
    <t>C-9400</t>
  </si>
  <si>
    <t>(848)MARIA GUADALUPE CORTES</t>
  </si>
  <si>
    <t>C-9401</t>
  </si>
  <si>
    <t>C-9402</t>
  </si>
  <si>
    <t>C-9403</t>
  </si>
  <si>
    <t>C-9404</t>
  </si>
  <si>
    <t>C-9405</t>
  </si>
  <si>
    <t>C-9406</t>
  </si>
  <si>
    <t>C-9407</t>
  </si>
  <si>
    <t>C-9408</t>
  </si>
  <si>
    <t>C-9409</t>
  </si>
  <si>
    <t>C-9410</t>
  </si>
  <si>
    <t>C-9411</t>
  </si>
  <si>
    <t>C-9412</t>
  </si>
  <si>
    <t>C-9413</t>
  </si>
  <si>
    <t>C-9414</t>
  </si>
  <si>
    <t>C-9415</t>
  </si>
  <si>
    <t>C-9416</t>
  </si>
  <si>
    <t>C-9417</t>
  </si>
  <si>
    <t>C-9418</t>
  </si>
  <si>
    <t>C-9419</t>
  </si>
  <si>
    <t>C-9420</t>
  </si>
  <si>
    <t>C-9421</t>
  </si>
  <si>
    <t>C-9422</t>
  </si>
  <si>
    <t>C-9423</t>
  </si>
  <si>
    <t>C-9424</t>
  </si>
  <si>
    <t>C-9425</t>
  </si>
  <si>
    <t>C-9426</t>
  </si>
  <si>
    <t>C-9427</t>
  </si>
  <si>
    <t>C-9428</t>
  </si>
  <si>
    <t>C-9429</t>
  </si>
  <si>
    <t>C-9430</t>
  </si>
  <si>
    <t>C-9431</t>
  </si>
  <si>
    <t>C-9432</t>
  </si>
  <si>
    <t>C-9433</t>
  </si>
  <si>
    <t>C-9434</t>
  </si>
  <si>
    <t>C-9435</t>
  </si>
  <si>
    <t>C-9436</t>
  </si>
  <si>
    <t>C-9437</t>
  </si>
  <si>
    <t>C-9438</t>
  </si>
  <si>
    <t>C-9439</t>
  </si>
  <si>
    <t>C-9440</t>
  </si>
  <si>
    <t>C-9441</t>
  </si>
  <si>
    <t>C-9442</t>
  </si>
  <si>
    <t>C-9443</t>
  </si>
  <si>
    <t>C-9444</t>
  </si>
  <si>
    <t>C-9445</t>
  </si>
  <si>
    <t>C-9446</t>
  </si>
  <si>
    <t>C-9447</t>
  </si>
  <si>
    <t>C-9448</t>
  </si>
  <si>
    <t>C-9449</t>
  </si>
  <si>
    <t>C-9450</t>
  </si>
  <si>
    <t>C-9451</t>
  </si>
  <si>
    <t>C-9452</t>
  </si>
  <si>
    <t>C-9453</t>
  </si>
  <si>
    <t>C-9454</t>
  </si>
  <si>
    <t>C-9455</t>
  </si>
  <si>
    <t>22-Ene-22--23-Ene-22</t>
  </si>
  <si>
    <t>C-9456</t>
  </si>
  <si>
    <t>C-9457</t>
  </si>
  <si>
    <t>C-9458</t>
  </si>
  <si>
    <t>C-9459</t>
  </si>
  <si>
    <t>C-9460</t>
  </si>
  <si>
    <t>C-9461</t>
  </si>
  <si>
    <t>C-9462</t>
  </si>
  <si>
    <t>C-9463</t>
  </si>
  <si>
    <t>C-9464</t>
  </si>
  <si>
    <t>C-9465</t>
  </si>
  <si>
    <t>C-9466</t>
  </si>
  <si>
    <t>C-9467</t>
  </si>
  <si>
    <t>C-9468</t>
  </si>
  <si>
    <t>C-9469</t>
  </si>
  <si>
    <t>C-9470</t>
  </si>
  <si>
    <t>C-9471</t>
  </si>
  <si>
    <t>C-9472</t>
  </si>
  <si>
    <t>C-9473</t>
  </si>
  <si>
    <t>C-9474</t>
  </si>
  <si>
    <t>C-9475</t>
  </si>
  <si>
    <t>C-9476</t>
  </si>
  <si>
    <t>C-9477</t>
  </si>
  <si>
    <t>C-9478</t>
  </si>
  <si>
    <t>C-9479</t>
  </si>
  <si>
    <t>C-9480</t>
  </si>
  <si>
    <t>C-9481</t>
  </si>
  <si>
    <t>C-9482</t>
  </si>
  <si>
    <t>21-Ene-22--28-Ene-22</t>
  </si>
  <si>
    <t>C-9483</t>
  </si>
  <si>
    <t>C-9484</t>
  </si>
  <si>
    <t>C-9485</t>
  </si>
  <si>
    <t>C-9486</t>
  </si>
  <si>
    <t>C-9487</t>
  </si>
  <si>
    <t>C-9488</t>
  </si>
  <si>
    <t>C-9489</t>
  </si>
  <si>
    <t>C-9490</t>
  </si>
  <si>
    <t>C-9491</t>
  </si>
  <si>
    <t>C-9492</t>
  </si>
  <si>
    <t>C-9493</t>
  </si>
  <si>
    <t>C-9494</t>
  </si>
  <si>
    <t>C-9495</t>
  </si>
  <si>
    <t>C-9496</t>
  </si>
  <si>
    <t>C-9497</t>
  </si>
  <si>
    <t>C-9498</t>
  </si>
  <si>
    <t>C-9499</t>
  </si>
  <si>
    <t>C-9500</t>
  </si>
  <si>
    <t>C-9501</t>
  </si>
  <si>
    <t>C-9502</t>
  </si>
  <si>
    <t>C-9503</t>
  </si>
  <si>
    <t>C-9504</t>
  </si>
  <si>
    <t>C-9505</t>
  </si>
  <si>
    <t>C-9506</t>
  </si>
  <si>
    <t>C-9507</t>
  </si>
  <si>
    <t>C-9508</t>
  </si>
  <si>
    <t>C-9509</t>
  </si>
  <si>
    <t>C-9510</t>
  </si>
  <si>
    <t>C-9511</t>
  </si>
  <si>
    <t>C-9512</t>
  </si>
  <si>
    <t>C-9513</t>
  </si>
  <si>
    <t>C-9514</t>
  </si>
  <si>
    <t>C-9515</t>
  </si>
  <si>
    <t>C-9516</t>
  </si>
  <si>
    <t>C-9517</t>
  </si>
  <si>
    <t>C-9518</t>
  </si>
  <si>
    <t>C-9519</t>
  </si>
  <si>
    <t>C-9520</t>
  </si>
  <si>
    <t>C-9521</t>
  </si>
  <si>
    <t>C-9522</t>
  </si>
  <si>
    <t>C-9523</t>
  </si>
  <si>
    <t>C-9524</t>
  </si>
  <si>
    <t>C-9525</t>
  </si>
  <si>
    <t>C-9526</t>
  </si>
  <si>
    <t>C-9527</t>
  </si>
  <si>
    <t>C-9528</t>
  </si>
  <si>
    <t>C-9529</t>
  </si>
  <si>
    <t>C-9530</t>
  </si>
  <si>
    <t>C-9531</t>
  </si>
  <si>
    <t>C-9532</t>
  </si>
  <si>
    <t>C-9533</t>
  </si>
  <si>
    <t>C-9534</t>
  </si>
  <si>
    <t>C-9535</t>
  </si>
  <si>
    <t>C-9536</t>
  </si>
  <si>
    <t>C-9537</t>
  </si>
  <si>
    <t>C-9538</t>
  </si>
  <si>
    <t>C-9539</t>
  </si>
  <si>
    <t>C-9540</t>
  </si>
  <si>
    <t>C-9541</t>
  </si>
  <si>
    <t>C-9542</t>
  </si>
  <si>
    <t>C-9543</t>
  </si>
  <si>
    <t>C-9544</t>
  </si>
  <si>
    <t>C-9545</t>
  </si>
  <si>
    <t>C-9546</t>
  </si>
  <si>
    <t>C-9547</t>
  </si>
  <si>
    <t>C-9548</t>
  </si>
  <si>
    <t>C-9549</t>
  </si>
  <si>
    <t>C-9550</t>
  </si>
  <si>
    <t>C-9551</t>
  </si>
  <si>
    <t>C-9552</t>
  </si>
  <si>
    <t>C-9553</t>
  </si>
  <si>
    <t>C-9554</t>
  </si>
  <si>
    <t>23-Ene-22--24-Ene-22</t>
  </si>
  <si>
    <t>C-9555</t>
  </si>
  <si>
    <t>C-9556</t>
  </si>
  <si>
    <t>C-9557</t>
  </si>
  <si>
    <t>C-9558</t>
  </si>
  <si>
    <t>C-9559</t>
  </si>
  <si>
    <t>C-9560</t>
  </si>
  <si>
    <t>C-9561</t>
  </si>
  <si>
    <t>C-9562</t>
  </si>
  <si>
    <t>C-9563</t>
  </si>
  <si>
    <t>C-9564</t>
  </si>
  <si>
    <t>C-9565</t>
  </si>
  <si>
    <t>C-9566</t>
  </si>
  <si>
    <t>(741)TOÑO MACHORRO</t>
  </si>
  <si>
    <t>C-9567</t>
  </si>
  <si>
    <t>C-9568</t>
  </si>
  <si>
    <t>C-9569</t>
  </si>
  <si>
    <t>C-9570</t>
  </si>
  <si>
    <t>C-9571</t>
  </si>
  <si>
    <t>24-Ene-21--26-Ene-22--27-Ene-22</t>
  </si>
  <si>
    <t>C-9572</t>
  </si>
  <si>
    <t>C-9573</t>
  </si>
  <si>
    <t>C-9574</t>
  </si>
  <si>
    <t>C-9575</t>
  </si>
  <si>
    <t>C-9576</t>
  </si>
  <si>
    <t>C-9577</t>
  </si>
  <si>
    <t>C-9578</t>
  </si>
  <si>
    <t>C-9579</t>
  </si>
  <si>
    <t>C-9580</t>
  </si>
  <si>
    <t>C-9581</t>
  </si>
  <si>
    <t>C-9582</t>
  </si>
  <si>
    <t>23-Ene-22--26-Ene-22</t>
  </si>
  <si>
    <t>C-9583</t>
  </si>
  <si>
    <t>C-9584</t>
  </si>
  <si>
    <t>C-9585</t>
  </si>
  <si>
    <t>C-9586</t>
  </si>
  <si>
    <t>C-9587</t>
  </si>
  <si>
    <t>C-9588</t>
  </si>
  <si>
    <t>C-9589</t>
  </si>
  <si>
    <t>C-9590</t>
  </si>
  <si>
    <t>24-Ene-22--25-Ene-22</t>
  </si>
  <si>
    <t>C-9591</t>
  </si>
  <si>
    <t>C-9592</t>
  </si>
  <si>
    <t>C-9593</t>
  </si>
  <si>
    <t>C-9594</t>
  </si>
  <si>
    <t>C-9595</t>
  </si>
  <si>
    <t>C-9596</t>
  </si>
  <si>
    <t>C-9597</t>
  </si>
  <si>
    <t>C-9598</t>
  </si>
  <si>
    <t>C-9599</t>
  </si>
  <si>
    <t>C-9600</t>
  </si>
  <si>
    <t>C-9601</t>
  </si>
  <si>
    <t>C-9602</t>
  </si>
  <si>
    <t>C-9603</t>
  </si>
  <si>
    <t>C-9604</t>
  </si>
  <si>
    <t>C-9605</t>
  </si>
  <si>
    <t>25-Ene-22--26-Ene-22</t>
  </si>
  <si>
    <t>C-9606</t>
  </si>
  <si>
    <t>C-9607</t>
  </si>
  <si>
    <t>C-9608</t>
  </si>
  <si>
    <t>C-9609</t>
  </si>
  <si>
    <t>C-9610</t>
  </si>
  <si>
    <t>C-9611</t>
  </si>
  <si>
    <t>C-9612</t>
  </si>
  <si>
    <t>C-9613</t>
  </si>
  <si>
    <t>C-9614</t>
  </si>
  <si>
    <t>C-9615</t>
  </si>
  <si>
    <t>C-9616</t>
  </si>
  <si>
    <t>C-9617</t>
  </si>
  <si>
    <t>C-9618</t>
  </si>
  <si>
    <r>
      <t xml:space="preserve">(110)SAGRADO CORAZON CENTRO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</si>
  <si>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9640</t>
  </si>
  <si>
    <t>C-9619</t>
  </si>
  <si>
    <t>C-9620</t>
  </si>
  <si>
    <t>C-9621</t>
  </si>
  <si>
    <t>C-9622</t>
  </si>
  <si>
    <t>C-9623</t>
  </si>
  <si>
    <t>C-9624</t>
  </si>
  <si>
    <t>C-9625</t>
  </si>
  <si>
    <t>C-9626</t>
  </si>
  <si>
    <t>C-9627</t>
  </si>
  <si>
    <t>C-9628</t>
  </si>
  <si>
    <t>C-9629</t>
  </si>
  <si>
    <t>C-9630</t>
  </si>
  <si>
    <t>C-9631</t>
  </si>
  <si>
    <t>C-9632</t>
  </si>
  <si>
    <t>C-9633</t>
  </si>
  <si>
    <t>C-9634</t>
  </si>
  <si>
    <t>C-9635</t>
  </si>
  <si>
    <t>C-9636</t>
  </si>
  <si>
    <t>C-9637</t>
  </si>
  <si>
    <t>C-9638</t>
  </si>
  <si>
    <t>C-9639</t>
  </si>
  <si>
    <t>C-9640</t>
  </si>
  <si>
    <t>C-9641</t>
  </si>
  <si>
    <t>C-9642</t>
  </si>
  <si>
    <t>C-9643</t>
  </si>
  <si>
    <t>C-9644</t>
  </si>
  <si>
    <t>C-9645</t>
  </si>
  <si>
    <t>C-9646</t>
  </si>
  <si>
    <t>C-9647</t>
  </si>
  <si>
    <t>C-9648</t>
  </si>
  <si>
    <t>C-9649</t>
  </si>
  <si>
    <t>C-9650</t>
  </si>
  <si>
    <t>C-9651</t>
  </si>
  <si>
    <t>C-9652</t>
  </si>
  <si>
    <t>C-9653</t>
  </si>
  <si>
    <t>C-9654</t>
  </si>
  <si>
    <t>C-9655</t>
  </si>
  <si>
    <t>C-9656</t>
  </si>
  <si>
    <t>C-9657</t>
  </si>
  <si>
    <t>C-9658</t>
  </si>
  <si>
    <t>C-9659</t>
  </si>
  <si>
    <t>C-9660</t>
  </si>
  <si>
    <t>C-9661</t>
  </si>
  <si>
    <t>C-9662</t>
  </si>
  <si>
    <t>C-9663</t>
  </si>
  <si>
    <t>C-9664</t>
  </si>
  <si>
    <t>C-9665</t>
  </si>
  <si>
    <t>C-9666</t>
  </si>
  <si>
    <t>C-9667</t>
  </si>
  <si>
    <t>C-9668</t>
  </si>
  <si>
    <t>C-9669</t>
  </si>
  <si>
    <t>C-9670</t>
  </si>
  <si>
    <t>C-9671</t>
  </si>
  <si>
    <t>C-9672</t>
  </si>
  <si>
    <t>C-9673</t>
  </si>
  <si>
    <t>C-9674</t>
  </si>
  <si>
    <t>C-9675</t>
  </si>
  <si>
    <t>C-9676</t>
  </si>
  <si>
    <t>C-9677</t>
  </si>
  <si>
    <t>C-9678</t>
  </si>
  <si>
    <t>C-9679</t>
  </si>
  <si>
    <t>C-9680</t>
  </si>
  <si>
    <t>C-9681</t>
  </si>
  <si>
    <t>C-9682</t>
  </si>
  <si>
    <t>C-9683</t>
  </si>
  <si>
    <t>C-9684</t>
  </si>
  <si>
    <t>C-9685</t>
  </si>
  <si>
    <t>C-9686</t>
  </si>
  <si>
    <t>C-9687</t>
  </si>
  <si>
    <t>24-Ene-22--26-Ene-22</t>
  </si>
  <si>
    <t>C-9688</t>
  </si>
  <si>
    <t>C-9689</t>
  </si>
  <si>
    <t>C-9690</t>
  </si>
  <si>
    <t>C-9691</t>
  </si>
  <si>
    <t>C-9692</t>
  </si>
  <si>
    <t>C-9693</t>
  </si>
  <si>
    <t>C-9694</t>
  </si>
  <si>
    <t>C-9695</t>
  </si>
  <si>
    <t>C-9696</t>
  </si>
  <si>
    <t>C-9697</t>
  </si>
  <si>
    <t>C-9698</t>
  </si>
  <si>
    <t>C-9699</t>
  </si>
  <si>
    <t>C-9700</t>
  </si>
  <si>
    <t>C-9701</t>
  </si>
  <si>
    <t>C-9702</t>
  </si>
  <si>
    <t>C-9703</t>
  </si>
  <si>
    <t>C-9704</t>
  </si>
  <si>
    <t>C-9705</t>
  </si>
  <si>
    <t>C-9706</t>
  </si>
  <si>
    <t>C-9707</t>
  </si>
  <si>
    <t>C-9708</t>
  </si>
  <si>
    <t>C-9709</t>
  </si>
  <si>
    <t>C-9710</t>
  </si>
  <si>
    <t>C-9711</t>
  </si>
  <si>
    <t>C-9712</t>
  </si>
  <si>
    <t>C-9713</t>
  </si>
  <si>
    <t>C-9714</t>
  </si>
  <si>
    <t>C-9715</t>
  </si>
  <si>
    <t>C-9716</t>
  </si>
  <si>
    <t>C-9717</t>
  </si>
  <si>
    <t>C-9718</t>
  </si>
  <si>
    <t>C-9719</t>
  </si>
  <si>
    <t>C-9720</t>
  </si>
  <si>
    <t>C-9721</t>
  </si>
  <si>
    <t>C-9722</t>
  </si>
  <si>
    <t>C-9723</t>
  </si>
  <si>
    <t>C-9724</t>
  </si>
  <si>
    <t>C-9725</t>
  </si>
  <si>
    <t>C-9726</t>
  </si>
  <si>
    <t>26-Ene-22--27-Ene-22</t>
  </si>
  <si>
    <t>C-9727</t>
  </si>
  <si>
    <t>C-9728</t>
  </si>
  <si>
    <t>C-9729</t>
  </si>
  <si>
    <t>C-9730</t>
  </si>
  <si>
    <t>C-9731</t>
  </si>
  <si>
    <t>C-9732</t>
  </si>
  <si>
    <t>C-9733</t>
  </si>
  <si>
    <r>
      <t xml:space="preserve">(592)RENE    </t>
    </r>
    <r>
      <rPr>
        <b/>
        <sz val="11"/>
        <color rgb="FFFF0000"/>
        <rFont val="Calibri"/>
        <family val="2"/>
        <scheme val="minor"/>
      </rPr>
      <t>CANCELADA</t>
    </r>
  </si>
  <si>
    <t>se sustiyo x la 9734</t>
  </si>
  <si>
    <t>C-9734</t>
  </si>
  <si>
    <t>27-Ene-22--28-Ene-22</t>
  </si>
  <si>
    <t>C-9735</t>
  </si>
  <si>
    <t>C-9736</t>
  </si>
  <si>
    <t>C-9737</t>
  </si>
  <si>
    <t>C-9738</t>
  </si>
  <si>
    <t>C-9739</t>
  </si>
  <si>
    <t>C-9740</t>
  </si>
  <si>
    <t>C-9741</t>
  </si>
  <si>
    <t>C-9742</t>
  </si>
  <si>
    <t>C-9743</t>
  </si>
  <si>
    <t>C-9744</t>
  </si>
  <si>
    <t>C-9745</t>
  </si>
  <si>
    <t>C-9746</t>
  </si>
  <si>
    <t>C-9747</t>
  </si>
  <si>
    <t>C-9748</t>
  </si>
  <si>
    <t>C-9749</t>
  </si>
  <si>
    <t>C-9750</t>
  </si>
  <si>
    <t>C-9751</t>
  </si>
  <si>
    <t>C-9752</t>
  </si>
  <si>
    <t>C-9753</t>
  </si>
  <si>
    <t>C-9754</t>
  </si>
  <si>
    <t>C-9755</t>
  </si>
  <si>
    <r>
      <t>(713)LIBRADO DE JESUS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</si>
  <si>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C-9756</t>
  </si>
  <si>
    <t>C-9757</t>
  </si>
  <si>
    <t>C-9758</t>
  </si>
  <si>
    <t>C-9759</t>
  </si>
  <si>
    <t>C-9760</t>
  </si>
  <si>
    <t>C-9761</t>
  </si>
  <si>
    <t>C-9762</t>
  </si>
  <si>
    <t>C-9763</t>
  </si>
  <si>
    <t>C-9764</t>
  </si>
  <si>
    <t>C-9765</t>
  </si>
  <si>
    <t>C-9766</t>
  </si>
  <si>
    <t>C-9767</t>
  </si>
  <si>
    <t>C-9768</t>
  </si>
  <si>
    <t>C-9769</t>
  </si>
  <si>
    <t>C-9770</t>
  </si>
  <si>
    <t>(505)ALAN</t>
  </si>
  <si>
    <t>C-9771</t>
  </si>
  <si>
    <t>C-9772</t>
  </si>
  <si>
    <t>C-9773</t>
  </si>
  <si>
    <t>C-9774</t>
  </si>
  <si>
    <t>C-9775</t>
  </si>
  <si>
    <t>C-9776</t>
  </si>
  <si>
    <t>C-9777</t>
  </si>
  <si>
    <t>C-9778</t>
  </si>
  <si>
    <t>C-9779</t>
  </si>
  <si>
    <t>C-9780</t>
  </si>
  <si>
    <t>C-9781</t>
  </si>
  <si>
    <t>C-9782</t>
  </si>
  <si>
    <t>C-9783</t>
  </si>
  <si>
    <t>C-9784</t>
  </si>
  <si>
    <t>C-9785</t>
  </si>
  <si>
    <t>C-9786</t>
  </si>
  <si>
    <t>C-9787</t>
  </si>
  <si>
    <t>C-9788</t>
  </si>
  <si>
    <t>C-9789</t>
  </si>
  <si>
    <t>C-9790</t>
  </si>
  <si>
    <t>C-9791</t>
  </si>
  <si>
    <t>C-9792</t>
  </si>
  <si>
    <t>C-9793</t>
  </si>
  <si>
    <t>(530)GERARDO FIGUEROA</t>
  </si>
  <si>
    <t>C-9794</t>
  </si>
  <si>
    <t>C-9795</t>
  </si>
  <si>
    <t>C-9796</t>
  </si>
  <si>
    <t>C-9797</t>
  </si>
  <si>
    <t>C-9798</t>
  </si>
  <si>
    <t>C-9799</t>
  </si>
  <si>
    <t>C-9800</t>
  </si>
  <si>
    <t>C-9801</t>
  </si>
  <si>
    <t>C-9802</t>
  </si>
  <si>
    <t>C-9803</t>
  </si>
  <si>
    <t>C-9804</t>
  </si>
  <si>
    <t>C-9805</t>
  </si>
  <si>
    <t>C-9806</t>
  </si>
  <si>
    <t>C-9807</t>
  </si>
  <si>
    <t>C-9808</t>
  </si>
  <si>
    <t>C-9809</t>
  </si>
  <si>
    <t>C-9810</t>
  </si>
  <si>
    <t>C-9811</t>
  </si>
  <si>
    <t>C-9812</t>
  </si>
  <si>
    <t>C-9813</t>
  </si>
  <si>
    <t>C-9814</t>
  </si>
  <si>
    <t>C-9815</t>
  </si>
  <si>
    <t>C-9816</t>
  </si>
  <si>
    <t>C-9817</t>
  </si>
  <si>
    <t>C-9818</t>
  </si>
  <si>
    <t>C-9819</t>
  </si>
  <si>
    <t>C-9820</t>
  </si>
  <si>
    <t>C-9821</t>
  </si>
  <si>
    <t>25/01/2022</t>
  </si>
  <si>
    <t>C-9822</t>
  </si>
  <si>
    <t>C-9823</t>
  </si>
  <si>
    <t>C-9824</t>
  </si>
  <si>
    <t>C-9825</t>
  </si>
  <si>
    <t>C-9826</t>
  </si>
  <si>
    <t>C-9827</t>
  </si>
  <si>
    <t>C-9828</t>
  </si>
  <si>
    <t>C-9829</t>
  </si>
  <si>
    <t>C-9830</t>
  </si>
  <si>
    <t>C-9831</t>
  </si>
  <si>
    <t>C-9832</t>
  </si>
  <si>
    <t>C-9833</t>
  </si>
  <si>
    <t>C-9834</t>
  </si>
  <si>
    <t>C-9835</t>
  </si>
  <si>
    <t>C-9836</t>
  </si>
  <si>
    <t>C-9837</t>
  </si>
  <si>
    <t>C-9838</t>
  </si>
  <si>
    <t>C-9839</t>
  </si>
  <si>
    <t>C-9840</t>
  </si>
  <si>
    <t>C-9841</t>
  </si>
  <si>
    <t>C-9842</t>
  </si>
  <si>
    <t>C-9843</t>
  </si>
  <si>
    <t>C-9844</t>
  </si>
  <si>
    <t>C-9845</t>
  </si>
  <si>
    <r>
      <t xml:space="preserve">(2)LUIS LOPEZ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</si>
  <si>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C-9846</t>
  </si>
  <si>
    <t>C-9847</t>
  </si>
  <si>
    <t>C-9848</t>
  </si>
  <si>
    <t>C-9849</t>
  </si>
  <si>
    <t>C-9850</t>
  </si>
  <si>
    <t>C-9851</t>
  </si>
  <si>
    <t>C-9852</t>
  </si>
  <si>
    <t>C-9853</t>
  </si>
  <si>
    <t>C-9854</t>
  </si>
  <si>
    <t>C-9855</t>
  </si>
  <si>
    <t>C-9856</t>
  </si>
  <si>
    <t>C-9857</t>
  </si>
  <si>
    <t>C-9858</t>
  </si>
  <si>
    <t>C-9859</t>
  </si>
  <si>
    <t>C-9860</t>
  </si>
  <si>
    <r>
      <t xml:space="preserve">(691)ISMAEL MARTINEZ HERNANDEZ    </t>
    </r>
    <r>
      <rPr>
        <b/>
        <sz val="11"/>
        <color rgb="FFFF0000"/>
        <rFont val="Calibri"/>
        <family val="2"/>
        <scheme val="minor"/>
      </rPr>
      <t>CANCELADA</t>
    </r>
  </si>
  <si>
    <t>se sustiyo x la 9900</t>
  </si>
  <si>
    <t>C-9861</t>
  </si>
  <si>
    <t>C-9862</t>
  </si>
  <si>
    <t>C-9863</t>
  </si>
  <si>
    <t>C-9864</t>
  </si>
  <si>
    <t>C-9865</t>
  </si>
  <si>
    <t>C-9866</t>
  </si>
  <si>
    <t>C-9867</t>
  </si>
  <si>
    <t>C-9868</t>
  </si>
  <si>
    <t>C-9869</t>
  </si>
  <si>
    <t>C-9870</t>
  </si>
  <si>
    <t>26-Ene-22--28-Ene-22</t>
  </si>
  <si>
    <t>C-9871</t>
  </si>
  <si>
    <t>C-9872</t>
  </si>
  <si>
    <t>C-9873</t>
  </si>
  <si>
    <t>C-9874</t>
  </si>
  <si>
    <t>C-9875</t>
  </si>
  <si>
    <t>C-9876</t>
  </si>
  <si>
    <t>C-9877</t>
  </si>
  <si>
    <t>C-9878</t>
  </si>
  <si>
    <t>C-9879</t>
  </si>
  <si>
    <t>C-9880</t>
  </si>
  <si>
    <t>C-9881</t>
  </si>
  <si>
    <t>C-9882</t>
  </si>
  <si>
    <t>C-9883</t>
  </si>
  <si>
    <t>C-9884</t>
  </si>
  <si>
    <t>C-9885</t>
  </si>
  <si>
    <t>C-9886</t>
  </si>
  <si>
    <t>C-9887</t>
  </si>
  <si>
    <t>C-9888</t>
  </si>
  <si>
    <r>
      <t xml:space="preserve">(113)SAGRADO CORAZON HEROES   </t>
    </r>
    <r>
      <rPr>
        <b/>
        <sz val="11"/>
        <color rgb="FFFF0000"/>
        <rFont val="Calibri"/>
        <family val="2"/>
        <scheme val="minor"/>
      </rPr>
      <t>CANCELADA</t>
    </r>
  </si>
  <si>
    <t>C-9889</t>
  </si>
  <si>
    <t>C-9890</t>
  </si>
  <si>
    <t>C-9891</t>
  </si>
  <si>
    <t>C-9892</t>
  </si>
  <si>
    <t>C-9893</t>
  </si>
  <si>
    <t>C-9894</t>
  </si>
  <si>
    <t>C-9895</t>
  </si>
  <si>
    <t>C-9896</t>
  </si>
  <si>
    <t>C-9897</t>
  </si>
  <si>
    <t>C-9898</t>
  </si>
  <si>
    <t>C-9899</t>
  </si>
  <si>
    <t>C-9900</t>
  </si>
  <si>
    <t>C-9901</t>
  </si>
  <si>
    <t>C-9902</t>
  </si>
  <si>
    <t>C-9903</t>
  </si>
  <si>
    <t>C-9904</t>
  </si>
  <si>
    <t>C-9905</t>
  </si>
  <si>
    <t>C-9906</t>
  </si>
  <si>
    <t>C-9907</t>
  </si>
  <si>
    <t>C-9908</t>
  </si>
  <si>
    <t>C-9909</t>
  </si>
  <si>
    <t>C-9910</t>
  </si>
  <si>
    <t>C-9911</t>
  </si>
  <si>
    <t>C-9912</t>
  </si>
  <si>
    <t>C-9913</t>
  </si>
  <si>
    <t>C-9914</t>
  </si>
  <si>
    <t>C-9915</t>
  </si>
  <si>
    <t>C-9916</t>
  </si>
  <si>
    <t>C-9917</t>
  </si>
  <si>
    <t>C-9918</t>
  </si>
  <si>
    <t>C-9919</t>
  </si>
  <si>
    <t>C-9920</t>
  </si>
  <si>
    <t>C-9921</t>
  </si>
  <si>
    <t>C-9922</t>
  </si>
  <si>
    <t>C-9923</t>
  </si>
  <si>
    <t>C-9924</t>
  </si>
  <si>
    <t>C-9925</t>
  </si>
  <si>
    <t>C-9926</t>
  </si>
  <si>
    <t>C-9927</t>
  </si>
  <si>
    <t>C-9928</t>
  </si>
  <si>
    <t>C-9929</t>
  </si>
  <si>
    <t>C-9930</t>
  </si>
  <si>
    <t>C-9931</t>
  </si>
  <si>
    <t>C-9932</t>
  </si>
  <si>
    <t>C-9933</t>
  </si>
  <si>
    <t>C-9934</t>
  </si>
  <si>
    <t>C-9935</t>
  </si>
  <si>
    <t>C-9936</t>
  </si>
  <si>
    <t>C-9937</t>
  </si>
  <si>
    <t>C-9938</t>
  </si>
  <si>
    <t>C-9939</t>
  </si>
  <si>
    <t>C-9940</t>
  </si>
  <si>
    <t>C-9941</t>
  </si>
  <si>
    <r>
      <t>(152)PEDRO RAMIRO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</si>
  <si>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C-9942</t>
  </si>
  <si>
    <t>(152)PEDRO RAMIRO</t>
  </si>
  <si>
    <t>C-9943</t>
  </si>
  <si>
    <t>C-9944</t>
  </si>
  <si>
    <t>C-9945</t>
  </si>
  <si>
    <t>C-9946</t>
  </si>
  <si>
    <t>C-9947</t>
  </si>
  <si>
    <t>C-9948</t>
  </si>
  <si>
    <t>C-9949</t>
  </si>
  <si>
    <r>
      <t xml:space="preserve">(592)RENE  </t>
    </r>
    <r>
      <rPr>
        <b/>
        <sz val="11"/>
        <color rgb="FFFF0000"/>
        <rFont val="Calibri"/>
        <family val="2"/>
        <scheme val="minor"/>
      </rPr>
      <t>CANCELADO</t>
    </r>
  </si>
  <si>
    <t>C-9950</t>
  </si>
  <si>
    <t>C-9951</t>
  </si>
  <si>
    <t>C-9952</t>
  </si>
  <si>
    <t>C-9953</t>
  </si>
  <si>
    <t>C-9954</t>
  </si>
  <si>
    <t>C-9955</t>
  </si>
  <si>
    <t>C-9956</t>
  </si>
  <si>
    <t>C-9957</t>
  </si>
  <si>
    <t>C-9958</t>
  </si>
  <si>
    <t>C-9959</t>
  </si>
  <si>
    <t>C-9960</t>
  </si>
  <si>
    <t>C-9961</t>
  </si>
  <si>
    <t>C-9962</t>
  </si>
  <si>
    <t>C-9963</t>
  </si>
  <si>
    <t>C-9964</t>
  </si>
  <si>
    <t>C-9965</t>
  </si>
  <si>
    <t>C-9966</t>
  </si>
  <si>
    <t>C-9967</t>
  </si>
  <si>
    <t>28-Ene-22--30-Ene-22</t>
  </si>
  <si>
    <t>C-9968</t>
  </si>
  <si>
    <t>C-9969</t>
  </si>
  <si>
    <t>C-9970</t>
  </si>
  <si>
    <t>C-9971</t>
  </si>
  <si>
    <t>C-9972</t>
  </si>
  <si>
    <t>C-9973</t>
  </si>
  <si>
    <t>C-9974</t>
  </si>
  <si>
    <t>C-9975</t>
  </si>
  <si>
    <t>C-9976</t>
  </si>
  <si>
    <t>C-9977</t>
  </si>
  <si>
    <t>C-9978</t>
  </si>
  <si>
    <t>C-9979</t>
  </si>
  <si>
    <t>C-9980</t>
  </si>
  <si>
    <t>C-9981</t>
  </si>
  <si>
    <t>C-9982</t>
  </si>
  <si>
    <t>C-9983</t>
  </si>
  <si>
    <t>C-9984</t>
  </si>
  <si>
    <t>C-9985</t>
  </si>
  <si>
    <t>C-9986</t>
  </si>
  <si>
    <t>C-9987</t>
  </si>
  <si>
    <t>C-9988</t>
  </si>
  <si>
    <t>C-9989</t>
  </si>
  <si>
    <t>C-9990</t>
  </si>
  <si>
    <t>C-9991</t>
  </si>
  <si>
    <t>C-9992</t>
  </si>
  <si>
    <t>C-9993</t>
  </si>
  <si>
    <t>C-9994</t>
  </si>
  <si>
    <t>C-9995</t>
  </si>
  <si>
    <t>C-9996</t>
  </si>
  <si>
    <t>C-9997</t>
  </si>
  <si>
    <t>C-9998</t>
  </si>
  <si>
    <t>C-9999</t>
  </si>
  <si>
    <t>C-10000</t>
  </si>
  <si>
    <t>C-10001</t>
  </si>
  <si>
    <t>C-10002</t>
  </si>
  <si>
    <t>C-10003</t>
  </si>
  <si>
    <t>C-10004</t>
  </si>
  <si>
    <t>C-10005</t>
  </si>
  <si>
    <t>C-10006</t>
  </si>
  <si>
    <t>C-10007</t>
  </si>
  <si>
    <t>C-10008</t>
  </si>
  <si>
    <t>C-10009</t>
  </si>
  <si>
    <t>C-10010</t>
  </si>
  <si>
    <t>C-10011</t>
  </si>
  <si>
    <t>C-10012</t>
  </si>
  <si>
    <t>C-10013</t>
  </si>
  <si>
    <t>C-10014</t>
  </si>
  <si>
    <t>C-10015</t>
  </si>
  <si>
    <t>C-10016</t>
  </si>
  <si>
    <t>C-10017</t>
  </si>
  <si>
    <t>C-10018</t>
  </si>
  <si>
    <t>C-10019</t>
  </si>
  <si>
    <t>C-10020</t>
  </si>
  <si>
    <t>C-10021</t>
  </si>
  <si>
    <t>C-10022</t>
  </si>
  <si>
    <t>C-10023</t>
  </si>
  <si>
    <t>C-10024</t>
  </si>
  <si>
    <t>C-10025</t>
  </si>
  <si>
    <t>C-10026</t>
  </si>
  <si>
    <t>C-10027</t>
  </si>
  <si>
    <t>C-10028</t>
  </si>
  <si>
    <t>C-10029</t>
  </si>
  <si>
    <t>C-10030</t>
  </si>
  <si>
    <t>C-10031</t>
  </si>
  <si>
    <t>C-10032</t>
  </si>
  <si>
    <t>C-10033</t>
  </si>
  <si>
    <t>C-10034</t>
  </si>
  <si>
    <t>C-10035</t>
  </si>
  <si>
    <t>C-10036</t>
  </si>
  <si>
    <t>C-10037</t>
  </si>
  <si>
    <t>C-10038</t>
  </si>
  <si>
    <t>C-10039</t>
  </si>
  <si>
    <t>C-10040</t>
  </si>
  <si>
    <t>C-10041</t>
  </si>
  <si>
    <t>C-10042</t>
  </si>
  <si>
    <t>C-10043</t>
  </si>
  <si>
    <t>C-10044</t>
  </si>
  <si>
    <t>C-10045</t>
  </si>
  <si>
    <t>C-10046</t>
  </si>
  <si>
    <t>C-10047</t>
  </si>
  <si>
    <t>C-10048</t>
  </si>
  <si>
    <t>C-10049</t>
  </si>
  <si>
    <t>C-10050</t>
  </si>
  <si>
    <t>C-10051</t>
  </si>
  <si>
    <t>C-10052</t>
  </si>
  <si>
    <t>C-10053</t>
  </si>
  <si>
    <t>C-10054</t>
  </si>
  <si>
    <t>C-10055</t>
  </si>
  <si>
    <t>C-10056</t>
  </si>
  <si>
    <t>C-10057</t>
  </si>
  <si>
    <t>C-10058</t>
  </si>
  <si>
    <t>C-10059</t>
  </si>
  <si>
    <t>C-10060</t>
  </si>
  <si>
    <t>C-10061</t>
  </si>
  <si>
    <t>C-10062</t>
  </si>
  <si>
    <t>C-10063</t>
  </si>
  <si>
    <t>C-10064</t>
  </si>
  <si>
    <t>C-10065</t>
  </si>
  <si>
    <t>C-10066</t>
  </si>
  <si>
    <t>C-10067</t>
  </si>
  <si>
    <t>C-10068</t>
  </si>
  <si>
    <t>C-10069</t>
  </si>
  <si>
    <t>C-10070</t>
  </si>
  <si>
    <t>C-10071</t>
  </si>
  <si>
    <t>C-10072</t>
  </si>
  <si>
    <t>C-10073</t>
  </si>
  <si>
    <t>C-10074</t>
  </si>
  <si>
    <t>C-10075</t>
  </si>
  <si>
    <t>28-Ene-22--29-Ene-22</t>
  </si>
  <si>
    <t>C-10076</t>
  </si>
  <si>
    <t>C-10077</t>
  </si>
  <si>
    <t>C-10078</t>
  </si>
  <si>
    <t>C-10079</t>
  </si>
  <si>
    <t>C-10080</t>
  </si>
  <si>
    <t>C-10081</t>
  </si>
  <si>
    <t>C-10082</t>
  </si>
  <si>
    <t>C-10083</t>
  </si>
  <si>
    <t>C-10084</t>
  </si>
  <si>
    <t>C-10085</t>
  </si>
  <si>
    <t>C-10086</t>
  </si>
  <si>
    <t>C-10087</t>
  </si>
  <si>
    <r>
      <t xml:space="preserve">(739)CARNICERIA RASTRO  </t>
    </r>
    <r>
      <rPr>
        <b/>
        <sz val="11"/>
        <color rgb="FFFF0000"/>
        <rFont val="Calibri"/>
        <family val="2"/>
        <scheme val="minor"/>
      </rPr>
      <t>CANCELADA</t>
    </r>
  </si>
  <si>
    <t>se sustiyo x la 10139</t>
  </si>
  <si>
    <t>C-10088</t>
  </si>
  <si>
    <t>C-10089</t>
  </si>
  <si>
    <t>C-10090</t>
  </si>
  <si>
    <t>C-10091</t>
  </si>
  <si>
    <t>C-10092</t>
  </si>
  <si>
    <t>C-10093</t>
  </si>
  <si>
    <t>C-10094</t>
  </si>
  <si>
    <t>C-10095</t>
  </si>
  <si>
    <t>C-10096</t>
  </si>
  <si>
    <t>C-10097</t>
  </si>
  <si>
    <t>C-10098</t>
  </si>
  <si>
    <t>C-10099</t>
  </si>
  <si>
    <t>C-10100</t>
  </si>
  <si>
    <t>C-10101</t>
  </si>
  <si>
    <t>C-10102</t>
  </si>
  <si>
    <t>C-10103</t>
  </si>
  <si>
    <t>C-10104</t>
  </si>
  <si>
    <t>C-10105</t>
  </si>
  <si>
    <t>C-10106</t>
  </si>
  <si>
    <t>C-10107</t>
  </si>
  <si>
    <t>C-10108</t>
  </si>
  <si>
    <t>C-10109</t>
  </si>
  <si>
    <t>C-10110</t>
  </si>
  <si>
    <t>C-10111</t>
  </si>
  <si>
    <t>C-10112</t>
  </si>
  <si>
    <t>27/01/2022</t>
  </si>
  <si>
    <t>C-10113</t>
  </si>
  <si>
    <t>C-10114</t>
  </si>
  <si>
    <t>C-10115</t>
  </si>
  <si>
    <t>C-10116</t>
  </si>
  <si>
    <t>C-10117</t>
  </si>
  <si>
    <t>C-10118</t>
  </si>
  <si>
    <t>C-10119</t>
  </si>
  <si>
    <t>C-10120</t>
  </si>
  <si>
    <t>C-10121</t>
  </si>
  <si>
    <t>C-10122</t>
  </si>
  <si>
    <t>C-10123</t>
  </si>
  <si>
    <t>C-10124</t>
  </si>
  <si>
    <t>C-10125</t>
  </si>
  <si>
    <t>C-10126</t>
  </si>
  <si>
    <t>C-10127</t>
  </si>
  <si>
    <t>C-10128</t>
  </si>
  <si>
    <t>C-10129</t>
  </si>
  <si>
    <t>C-10130</t>
  </si>
  <si>
    <t>C-10131</t>
  </si>
  <si>
    <t>C-10132</t>
  </si>
  <si>
    <t>C-10133</t>
  </si>
  <si>
    <t>C-10134</t>
  </si>
  <si>
    <t>C-10135</t>
  </si>
  <si>
    <t>C-10136</t>
  </si>
  <si>
    <t>C-10137</t>
  </si>
  <si>
    <t>C-10138</t>
  </si>
  <si>
    <t>C-10139</t>
  </si>
  <si>
    <t>C-10140</t>
  </si>
  <si>
    <t>C-10141</t>
  </si>
  <si>
    <t>C-10142</t>
  </si>
  <si>
    <t>C-10143</t>
  </si>
  <si>
    <t>C-10144</t>
  </si>
  <si>
    <t>C-10145</t>
  </si>
  <si>
    <t>C-10146</t>
  </si>
  <si>
    <t>C-10147</t>
  </si>
  <si>
    <t>C-10148</t>
  </si>
  <si>
    <t>C-10149</t>
  </si>
  <si>
    <t>C-10150</t>
  </si>
  <si>
    <t>C-10151</t>
  </si>
  <si>
    <t>(726)GRUPO DISTRIBUIDOR CARHISA SA DE CV</t>
  </si>
  <si>
    <t>C-10152</t>
  </si>
  <si>
    <t>C-10153</t>
  </si>
  <si>
    <t>C-10154</t>
  </si>
  <si>
    <t>C-10155</t>
  </si>
  <si>
    <t>C-10156</t>
  </si>
  <si>
    <t>C-10157</t>
  </si>
  <si>
    <t>C-10158</t>
  </si>
  <si>
    <t>C-10159</t>
  </si>
  <si>
    <t>C-10160</t>
  </si>
  <si>
    <t>C-10161</t>
  </si>
  <si>
    <t>C-10162</t>
  </si>
  <si>
    <t>C-10163</t>
  </si>
  <si>
    <t>C-10164</t>
  </si>
  <si>
    <t>C-10165</t>
  </si>
  <si>
    <t>C-10166</t>
  </si>
  <si>
    <t>C-10167</t>
  </si>
  <si>
    <t>C-10168</t>
  </si>
  <si>
    <t>C-10169</t>
  </si>
  <si>
    <t>C-10170</t>
  </si>
  <si>
    <t>C-10171</t>
  </si>
  <si>
    <t>C-10172</t>
  </si>
  <si>
    <t>C-10173</t>
  </si>
  <si>
    <t>C-10174</t>
  </si>
  <si>
    <t>C-10175</t>
  </si>
  <si>
    <r>
      <t xml:space="preserve">(816)ISRAEL HERNANDEZ MORENO  </t>
    </r>
    <r>
      <rPr>
        <b/>
        <sz val="11"/>
        <color rgb="FFFF0000"/>
        <rFont val="Calibri"/>
        <family val="2"/>
        <scheme val="minor"/>
      </rPr>
      <t>CANCELADA</t>
    </r>
  </si>
  <si>
    <t>C-10176</t>
  </si>
  <si>
    <t>C-10177</t>
  </si>
  <si>
    <t>C-10178</t>
  </si>
  <si>
    <t>C-10179</t>
  </si>
  <si>
    <t>C-10180</t>
  </si>
  <si>
    <t>C-10181</t>
  </si>
  <si>
    <t>C-10182</t>
  </si>
  <si>
    <t>C-10183</t>
  </si>
  <si>
    <t>C-10184</t>
  </si>
  <si>
    <t>C-10185</t>
  </si>
  <si>
    <t>C-10186</t>
  </si>
  <si>
    <t>C-10187</t>
  </si>
  <si>
    <t>C-10188</t>
  </si>
  <si>
    <t>C-10189</t>
  </si>
  <si>
    <t>C-10190</t>
  </si>
  <si>
    <t>C-10191</t>
  </si>
  <si>
    <t>C-10192</t>
  </si>
  <si>
    <t>C-10193</t>
  </si>
  <si>
    <t>C-10194</t>
  </si>
  <si>
    <t>C-10195</t>
  </si>
  <si>
    <t>C-10196</t>
  </si>
  <si>
    <t>C-10197</t>
  </si>
  <si>
    <t>C-10198</t>
  </si>
  <si>
    <t>C-10199</t>
  </si>
  <si>
    <t>C-10200</t>
  </si>
  <si>
    <t>C-10201</t>
  </si>
  <si>
    <t>C-10202</t>
  </si>
  <si>
    <t>C-10203</t>
  </si>
  <si>
    <t>C-10204</t>
  </si>
  <si>
    <t>C-10205</t>
  </si>
  <si>
    <t>C-10206</t>
  </si>
  <si>
    <t>C-10207</t>
  </si>
  <si>
    <t>C-10208</t>
  </si>
  <si>
    <t>C-10209</t>
  </si>
  <si>
    <t>C-10210</t>
  </si>
  <si>
    <t>C-10211</t>
  </si>
  <si>
    <t>C-10212</t>
  </si>
  <si>
    <t>C-10213</t>
  </si>
  <si>
    <t>C-10214</t>
  </si>
  <si>
    <t>C-10215</t>
  </si>
  <si>
    <t>C-10216</t>
  </si>
  <si>
    <t>C-10217</t>
  </si>
  <si>
    <t>C-10218</t>
  </si>
  <si>
    <t>C-10219</t>
  </si>
  <si>
    <t>C-10220</t>
  </si>
  <si>
    <t>C-10221</t>
  </si>
  <si>
    <t>C-10222</t>
  </si>
  <si>
    <t>C-10223</t>
  </si>
  <si>
    <t>C-10224</t>
  </si>
  <si>
    <t>C-10225</t>
  </si>
  <si>
    <t>C-10226</t>
  </si>
  <si>
    <t>C-10227</t>
  </si>
  <si>
    <t>C-10228</t>
  </si>
  <si>
    <t>C-10229</t>
  </si>
  <si>
    <t>C-10230</t>
  </si>
  <si>
    <t>C-10231</t>
  </si>
  <si>
    <t>C-10232</t>
  </si>
  <si>
    <t>C-10233</t>
  </si>
  <si>
    <t>C-10234</t>
  </si>
  <si>
    <t>C-10235</t>
  </si>
  <si>
    <t>C-10236</t>
  </si>
  <si>
    <t>C-10237</t>
  </si>
  <si>
    <t>C-10238</t>
  </si>
  <si>
    <t>C-10239</t>
  </si>
  <si>
    <t>C-10240</t>
  </si>
  <si>
    <t>C-10241</t>
  </si>
  <si>
    <t>C-10242</t>
  </si>
  <si>
    <t>C-10243</t>
  </si>
  <si>
    <t>C-10244</t>
  </si>
  <si>
    <t>C-10245</t>
  </si>
  <si>
    <t>C-10246</t>
  </si>
  <si>
    <t>C-10247</t>
  </si>
  <si>
    <t>C-10248</t>
  </si>
  <si>
    <t>C-10249</t>
  </si>
  <si>
    <t>C-10250</t>
  </si>
  <si>
    <t>C-10251</t>
  </si>
  <si>
    <t>C-10252</t>
  </si>
  <si>
    <t>C-10253</t>
  </si>
  <si>
    <t>C-10254</t>
  </si>
  <si>
    <t>C-10255</t>
  </si>
  <si>
    <t>C-10256</t>
  </si>
  <si>
    <t>C-10257</t>
  </si>
  <si>
    <r>
      <t>(831)SUPER OFERTAS VICTORINO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</si>
  <si>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C-10258</t>
  </si>
  <si>
    <t>C-10259</t>
  </si>
  <si>
    <t>C-10260</t>
  </si>
  <si>
    <t>C-10261</t>
  </si>
  <si>
    <t>C-10262</t>
  </si>
  <si>
    <t>C-10263</t>
  </si>
  <si>
    <t>C-10264</t>
  </si>
  <si>
    <t>C-10265</t>
  </si>
  <si>
    <t>C-10266</t>
  </si>
  <si>
    <t>C-10267</t>
  </si>
  <si>
    <t>C-10268</t>
  </si>
  <si>
    <t>C-10269</t>
  </si>
  <si>
    <t>C-10270</t>
  </si>
  <si>
    <t>C-10271</t>
  </si>
  <si>
    <t>C-10272</t>
  </si>
  <si>
    <t>C-10273</t>
  </si>
  <si>
    <t>C-10274</t>
  </si>
  <si>
    <t>C-10275</t>
  </si>
  <si>
    <r>
      <t xml:space="preserve">(725)ABASTO DE 4 CARNES SA DE CV 11 SUR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</si>
  <si>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sustiyo x la 10287</t>
  </si>
  <si>
    <t>C-10276</t>
  </si>
  <si>
    <t>C-10277</t>
  </si>
  <si>
    <t>C-10278</t>
  </si>
  <si>
    <t>C-10279</t>
  </si>
  <si>
    <t>C-10280</t>
  </si>
  <si>
    <t>C-10281</t>
  </si>
  <si>
    <t>C-10282</t>
  </si>
  <si>
    <t>C-10283</t>
  </si>
  <si>
    <t>C-10284</t>
  </si>
  <si>
    <t>C-10285</t>
  </si>
  <si>
    <t>C-10286</t>
  </si>
  <si>
    <t>C-10287</t>
  </si>
  <si>
    <t>C-10288</t>
  </si>
  <si>
    <t>C-10289</t>
  </si>
  <si>
    <t>C-10290</t>
  </si>
  <si>
    <t>C-10291</t>
  </si>
  <si>
    <t>(284)DESIDERIO BAUTISTA</t>
  </si>
  <si>
    <t>C-10292</t>
  </si>
  <si>
    <t>29-Ene-22--30-Ene-22</t>
  </si>
  <si>
    <t>C-10293</t>
  </si>
  <si>
    <t>C-10294</t>
  </si>
  <si>
    <t>C-10295</t>
  </si>
  <si>
    <t>C-10296</t>
  </si>
  <si>
    <t>C-10297</t>
  </si>
  <si>
    <t>C-10298</t>
  </si>
  <si>
    <t>C-10299</t>
  </si>
  <si>
    <t>C-10300</t>
  </si>
  <si>
    <t>C-10301</t>
  </si>
  <si>
    <t>C-10302</t>
  </si>
  <si>
    <t>C-10303</t>
  </si>
  <si>
    <t>C-10304</t>
  </si>
  <si>
    <t>C-10305</t>
  </si>
  <si>
    <t>C-10306</t>
  </si>
  <si>
    <t>C-10307</t>
  </si>
  <si>
    <t>C-10308</t>
  </si>
  <si>
    <t>C-10309</t>
  </si>
  <si>
    <t>C-10310</t>
  </si>
  <si>
    <t>C-10311</t>
  </si>
  <si>
    <t>C-10312</t>
  </si>
  <si>
    <t>C-10313</t>
  </si>
  <si>
    <t>C-10314</t>
  </si>
  <si>
    <t>C-10315</t>
  </si>
  <si>
    <t>C-10316</t>
  </si>
  <si>
    <t>C-10317</t>
  </si>
  <si>
    <t>C-10318</t>
  </si>
  <si>
    <t>C-10319</t>
  </si>
  <si>
    <t>C-10320</t>
  </si>
  <si>
    <t>C-10321</t>
  </si>
  <si>
    <t>C-10322</t>
  </si>
  <si>
    <t>C-10323</t>
  </si>
  <si>
    <t>C-10324</t>
  </si>
  <si>
    <t>C-10325</t>
  </si>
  <si>
    <t>C-10326</t>
  </si>
  <si>
    <t>C-10327</t>
  </si>
  <si>
    <t>C-10328</t>
  </si>
  <si>
    <t>C-10329</t>
  </si>
  <si>
    <t>C-10330</t>
  </si>
  <si>
    <t>C-10331</t>
  </si>
  <si>
    <t>C-10332</t>
  </si>
  <si>
    <t>C-10333</t>
  </si>
  <si>
    <t>C-10334</t>
  </si>
  <si>
    <t>C-10335</t>
  </si>
  <si>
    <t>C-10336</t>
  </si>
  <si>
    <t>C-10337</t>
  </si>
  <si>
    <t>C-10338</t>
  </si>
  <si>
    <t>C-10339</t>
  </si>
  <si>
    <t>C-10340</t>
  </si>
  <si>
    <t>C-10341</t>
  </si>
  <si>
    <t>C-10342</t>
  </si>
  <si>
    <t>C-10343</t>
  </si>
  <si>
    <t>C-10344</t>
  </si>
  <si>
    <t>C-10345</t>
  </si>
  <si>
    <t>C-10346</t>
  </si>
  <si>
    <t>C-10347</t>
  </si>
  <si>
    <t>C-10348</t>
  </si>
  <si>
    <t>C-10349</t>
  </si>
  <si>
    <t>C-10350</t>
  </si>
  <si>
    <t>C-10351</t>
  </si>
  <si>
    <t>C-10352</t>
  </si>
  <si>
    <t>C-10353</t>
  </si>
  <si>
    <t>C-10354</t>
  </si>
  <si>
    <t>C-10355</t>
  </si>
  <si>
    <t>C-10356</t>
  </si>
  <si>
    <t>C-10357</t>
  </si>
  <si>
    <t>C-10358</t>
  </si>
  <si>
    <t>C-10359</t>
  </si>
  <si>
    <t>C-10360</t>
  </si>
  <si>
    <t>C-10361</t>
  </si>
  <si>
    <t>C-10362</t>
  </si>
  <si>
    <t>C-10363</t>
  </si>
  <si>
    <t>C-10364</t>
  </si>
  <si>
    <t>C-10365</t>
  </si>
  <si>
    <t>C-10366</t>
  </si>
  <si>
    <t>C-10367</t>
  </si>
  <si>
    <t>C-10368</t>
  </si>
  <si>
    <t>C-10369</t>
  </si>
  <si>
    <t>(845)YOSHIO LARA</t>
  </si>
  <si>
    <t>C-10370</t>
  </si>
  <si>
    <t>C-10371</t>
  </si>
  <si>
    <t>C-10372</t>
  </si>
  <si>
    <t>C-10373</t>
  </si>
  <si>
    <t>C-10374</t>
  </si>
  <si>
    <t>C-10375</t>
  </si>
  <si>
    <t>C-10376</t>
  </si>
  <si>
    <t>C-10377</t>
  </si>
  <si>
    <t>C-10378</t>
  </si>
  <si>
    <t>C-10379</t>
  </si>
  <si>
    <t>C-10380</t>
  </si>
  <si>
    <t>C-10381</t>
  </si>
  <si>
    <t>C-10382</t>
  </si>
  <si>
    <t>C-10383</t>
  </si>
  <si>
    <t>C-10384</t>
  </si>
  <si>
    <t>C-10385</t>
  </si>
  <si>
    <t>C-10386</t>
  </si>
  <si>
    <t>C-10387</t>
  </si>
  <si>
    <t>C-10388</t>
  </si>
  <si>
    <t>C-10389</t>
  </si>
  <si>
    <t>C-10390</t>
  </si>
  <si>
    <t>C-10391</t>
  </si>
  <si>
    <t>C-10392</t>
  </si>
  <si>
    <t>C-10393</t>
  </si>
  <si>
    <t>C-10394</t>
  </si>
  <si>
    <t>C-10395</t>
  </si>
  <si>
    <t>C-10396</t>
  </si>
  <si>
    <t>C-10397</t>
  </si>
  <si>
    <t>C-10398</t>
  </si>
  <si>
    <t>C-10399</t>
  </si>
  <si>
    <t>C-10400</t>
  </si>
  <si>
    <t>C-10401</t>
  </si>
  <si>
    <t>C-10402</t>
  </si>
  <si>
    <t>C-10403</t>
  </si>
  <si>
    <t>C-10404</t>
  </si>
  <si>
    <t>C-10405</t>
  </si>
  <si>
    <t>C-10406</t>
  </si>
  <si>
    <t>C-10407</t>
  </si>
  <si>
    <t>C-10408</t>
  </si>
  <si>
    <t>C-10409</t>
  </si>
  <si>
    <t>C-10410</t>
  </si>
  <si>
    <t>C-10411</t>
  </si>
  <si>
    <t>C-10412</t>
  </si>
  <si>
    <t>C-10413</t>
  </si>
  <si>
    <t>C-10414</t>
  </si>
  <si>
    <t>C-10415</t>
  </si>
  <si>
    <t>C-10416</t>
  </si>
  <si>
    <t>C-10417</t>
  </si>
  <si>
    <t>C-10418</t>
  </si>
  <si>
    <t>C-10419</t>
  </si>
  <si>
    <t>C-10420</t>
  </si>
  <si>
    <t>C-10421</t>
  </si>
  <si>
    <t>C-10422</t>
  </si>
  <si>
    <r>
      <t xml:space="preserve">(533)VENTA DE MOSTRADOR 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</si>
  <si>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C-10423</t>
  </si>
  <si>
    <t>C-10424</t>
  </si>
  <si>
    <t>C-10425</t>
  </si>
  <si>
    <t>C-10426</t>
  </si>
  <si>
    <t>C-10427</t>
  </si>
  <si>
    <t>C-10428</t>
  </si>
  <si>
    <t>C-10429</t>
  </si>
  <si>
    <t>C-10430</t>
  </si>
  <si>
    <t>C-10431</t>
  </si>
  <si>
    <t>C-10432</t>
  </si>
  <si>
    <t>C-10433</t>
  </si>
  <si>
    <t>C-10434</t>
  </si>
  <si>
    <t>C-10435</t>
  </si>
  <si>
    <t>C-10436</t>
  </si>
  <si>
    <t>C-10437</t>
  </si>
  <si>
    <t>C-10438</t>
  </si>
  <si>
    <t>C-10439</t>
  </si>
  <si>
    <t>C-10440</t>
  </si>
  <si>
    <t>C-10441</t>
  </si>
  <si>
    <t>C-10442</t>
  </si>
  <si>
    <t>C-10443</t>
  </si>
  <si>
    <t>C-10444</t>
  </si>
  <si>
    <t>C-10445</t>
  </si>
  <si>
    <t>C-10446</t>
  </si>
  <si>
    <t>C-10447</t>
  </si>
  <si>
    <t>C-10448</t>
  </si>
  <si>
    <t>C-10449</t>
  </si>
  <si>
    <t>C-10450</t>
  </si>
  <si>
    <t>C-10451</t>
  </si>
  <si>
    <t>C-10452</t>
  </si>
  <si>
    <t>C-10453</t>
  </si>
  <si>
    <t>C-10454</t>
  </si>
  <si>
    <t>C-10455</t>
  </si>
  <si>
    <t>C-10456</t>
  </si>
  <si>
    <t>C-10457</t>
  </si>
  <si>
    <t>C-10458</t>
  </si>
  <si>
    <t>C-10459</t>
  </si>
  <si>
    <t>C-10460</t>
  </si>
  <si>
    <t>C-10461</t>
  </si>
  <si>
    <t>C-10462</t>
  </si>
  <si>
    <t>C-10463</t>
  </si>
  <si>
    <t>C-10464</t>
  </si>
  <si>
    <t>C-10465</t>
  </si>
  <si>
    <t>C-10466</t>
  </si>
  <si>
    <t>C-10467</t>
  </si>
  <si>
    <t>C-10468</t>
  </si>
  <si>
    <t>C-10469</t>
  </si>
  <si>
    <t>C-10470</t>
  </si>
  <si>
    <t>C-10471</t>
  </si>
  <si>
    <t>C-10472</t>
  </si>
  <si>
    <t>C-10473</t>
  </si>
  <si>
    <t>C-10474</t>
  </si>
  <si>
    <t>C-10475</t>
  </si>
  <si>
    <t>C-10476</t>
  </si>
  <si>
    <t>C-10477</t>
  </si>
  <si>
    <t>C-10478</t>
  </si>
  <si>
    <t>C-10479</t>
  </si>
  <si>
    <t>C-10480</t>
  </si>
  <si>
    <t>C-10481</t>
  </si>
  <si>
    <t>C-10482</t>
  </si>
  <si>
    <t>C-10483</t>
  </si>
  <si>
    <t>C-10484</t>
  </si>
  <si>
    <t>C-10485</t>
  </si>
  <si>
    <t>C-10486</t>
  </si>
  <si>
    <t>C-10487</t>
  </si>
  <si>
    <t>C-10488</t>
  </si>
  <si>
    <t>C-10489</t>
  </si>
  <si>
    <t>C-10490</t>
  </si>
  <si>
    <t>C-10491</t>
  </si>
  <si>
    <t>C-10492</t>
  </si>
  <si>
    <t>C-10493</t>
  </si>
  <si>
    <t>C-10494</t>
  </si>
  <si>
    <t>C-10495</t>
  </si>
  <si>
    <t>C-10496</t>
  </si>
  <si>
    <t>C-10497</t>
  </si>
  <si>
    <t>C-10498</t>
  </si>
  <si>
    <t>C-10499</t>
  </si>
  <si>
    <t>C-10500</t>
  </si>
  <si>
    <t>C-10501</t>
  </si>
  <si>
    <t>C-10502</t>
  </si>
  <si>
    <t>C-10503</t>
  </si>
  <si>
    <t>C-10504</t>
  </si>
  <si>
    <t>C-10505</t>
  </si>
  <si>
    <t>C-10506</t>
  </si>
  <si>
    <t>C-10507</t>
  </si>
  <si>
    <t>C-10508</t>
  </si>
  <si>
    <t>se sustituyo x la 10509</t>
  </si>
  <si>
    <t>C-10509</t>
  </si>
  <si>
    <t>C-10510</t>
  </si>
  <si>
    <t>C-10511</t>
  </si>
  <si>
    <t>C-10512</t>
  </si>
  <si>
    <t>C-10513</t>
  </si>
  <si>
    <t>C-10514</t>
  </si>
  <si>
    <t>C-10515</t>
  </si>
  <si>
    <t>(421)MARCO SANCHEZ</t>
  </si>
  <si>
    <t>C-10516</t>
  </si>
  <si>
    <t>C-10517</t>
  </si>
  <si>
    <t>C-10518</t>
  </si>
  <si>
    <t>C-10519</t>
  </si>
  <si>
    <t>C-10520</t>
  </si>
  <si>
    <t>C-10521</t>
  </si>
  <si>
    <t>C-10522</t>
  </si>
  <si>
    <r>
      <t>(725)ABASTO DE 4 CARNES SA DE CV 11 SUR</t>
    </r>
    <r>
      <rPr>
        <b/>
        <sz val="11"/>
        <color rgb="FFFF0000"/>
        <rFont val="Calibri"/>
        <family val="2"/>
        <scheme val="minor"/>
      </rPr>
      <t xml:space="preserve">  CANCELADA</t>
    </r>
  </si>
  <si>
    <t>C-10523</t>
  </si>
  <si>
    <t>C-10524</t>
  </si>
  <si>
    <t>C-10525</t>
  </si>
  <si>
    <t>C-10526</t>
  </si>
  <si>
    <t>C-10527</t>
  </si>
  <si>
    <t>C-10528</t>
  </si>
  <si>
    <t>C-10529</t>
  </si>
  <si>
    <t>C-10530</t>
  </si>
  <si>
    <t>C-10531</t>
  </si>
  <si>
    <t>C-10532</t>
  </si>
  <si>
    <t>C-10533</t>
  </si>
  <si>
    <r>
      <t xml:space="preserve">(114)SAGRADO CORAZON ZAVALETA  </t>
    </r>
    <r>
      <rPr>
        <b/>
        <sz val="11"/>
        <color rgb="FFFF0000"/>
        <rFont val="Calibri"/>
        <family val="2"/>
        <scheme val="minor"/>
      </rPr>
      <t>CANCELADA</t>
    </r>
  </si>
  <si>
    <t>C-10534</t>
  </si>
  <si>
    <t>C-10535</t>
  </si>
  <si>
    <t>C-10536</t>
  </si>
  <si>
    <t>C-10537</t>
  </si>
  <si>
    <t>C-10538</t>
  </si>
  <si>
    <t>C-10539</t>
  </si>
  <si>
    <t>C-10540</t>
  </si>
  <si>
    <t>C-10541</t>
  </si>
  <si>
    <t>C-10542</t>
  </si>
  <si>
    <t>C-10543</t>
  </si>
  <si>
    <t>C-10544</t>
  </si>
  <si>
    <t>C-10545</t>
  </si>
  <si>
    <t>C-10546</t>
  </si>
  <si>
    <t>C-10547</t>
  </si>
  <si>
    <t>C-10548</t>
  </si>
  <si>
    <t>C-10549</t>
  </si>
  <si>
    <t>C-10550</t>
  </si>
  <si>
    <t>C-10551</t>
  </si>
  <si>
    <t>C-10552</t>
  </si>
  <si>
    <t>C-10553</t>
  </si>
  <si>
    <t>C-10554</t>
  </si>
  <si>
    <t>C-10555</t>
  </si>
  <si>
    <t>C-10556</t>
  </si>
  <si>
    <t>C-10557</t>
  </si>
  <si>
    <t>C-10558</t>
  </si>
  <si>
    <t>C-10559</t>
  </si>
  <si>
    <t>C-10560</t>
  </si>
  <si>
    <t>C-10561</t>
  </si>
  <si>
    <t>C-10562</t>
  </si>
  <si>
    <t>C-10563</t>
  </si>
  <si>
    <t>C-10564</t>
  </si>
  <si>
    <t>C-10565</t>
  </si>
  <si>
    <t>C-10566</t>
  </si>
  <si>
    <t>C-10567</t>
  </si>
  <si>
    <t>C-10568</t>
  </si>
  <si>
    <t>C-10569</t>
  </si>
  <si>
    <t>C-10570</t>
  </si>
  <si>
    <t>C-10571</t>
  </si>
  <si>
    <r>
      <t xml:space="preserve">(114)SAGRADO CORAZON ZAVALETA </t>
    </r>
    <r>
      <rPr>
        <b/>
        <sz val="11"/>
        <color rgb="FFFF0000"/>
        <rFont val="Calibri"/>
        <family val="2"/>
        <scheme val="minor"/>
      </rPr>
      <t xml:space="preserve"> CANCELADA</t>
    </r>
  </si>
  <si>
    <t>C-10572</t>
  </si>
  <si>
    <t>C-10573</t>
  </si>
  <si>
    <t>C-10574</t>
  </si>
  <si>
    <r>
      <t xml:space="preserve">(449)MOISES ARCE  </t>
    </r>
    <r>
      <rPr>
        <b/>
        <sz val="11"/>
        <color rgb="FFFF0000"/>
        <rFont val="Calibri"/>
        <family val="2"/>
        <scheme val="minor"/>
      </rPr>
      <t>CANCELADA</t>
    </r>
  </si>
  <si>
    <t>C-10575</t>
  </si>
  <si>
    <t>C-10576</t>
  </si>
  <si>
    <t>C-10577</t>
  </si>
  <si>
    <t>C-10578</t>
  </si>
  <si>
    <t>C-10579</t>
  </si>
  <si>
    <t>C-10580</t>
  </si>
  <si>
    <t>C-10581</t>
  </si>
  <si>
    <t>C-10582</t>
  </si>
  <si>
    <r>
      <t xml:space="preserve">(725)ABASTO DE 4 CARNES SA DE CV 11 SUR  </t>
    </r>
    <r>
      <rPr>
        <b/>
        <sz val="11"/>
        <color rgb="FFFF0000"/>
        <rFont val="Calibri"/>
        <family val="2"/>
        <scheme val="minor"/>
      </rPr>
      <t>CANCELADA</t>
    </r>
  </si>
  <si>
    <t>C-10583</t>
  </si>
  <si>
    <t>C-10584</t>
  </si>
  <si>
    <t>C-10585</t>
  </si>
  <si>
    <t>C-10586</t>
  </si>
  <si>
    <t>C-10587</t>
  </si>
  <si>
    <t>C-10588</t>
  </si>
  <si>
    <t>C-10589</t>
  </si>
  <si>
    <t>C-10590</t>
  </si>
  <si>
    <t>C-10591</t>
  </si>
  <si>
    <t>C-10592</t>
  </si>
  <si>
    <t>C-10593</t>
  </si>
  <si>
    <t>C-10594</t>
  </si>
  <si>
    <t>C-10595</t>
  </si>
  <si>
    <t>C-10596</t>
  </si>
  <si>
    <t>C-10597</t>
  </si>
  <si>
    <t>C-10598</t>
  </si>
  <si>
    <t>C-10599</t>
  </si>
  <si>
    <t>C-10600</t>
  </si>
  <si>
    <t>30-Ene-22--1-Feb-22</t>
  </si>
  <si>
    <t>1-Feb-22--2-Feb-22</t>
  </si>
  <si>
    <t>31-Ene-22--3-Feb-22</t>
  </si>
  <si>
    <t>2-Feb-22--3-Feb-22</t>
  </si>
  <si>
    <t>2-Feb-22--4-Feb-22</t>
  </si>
  <si>
    <t>28-Ene-22--5-Feb-22</t>
  </si>
  <si>
    <r>
      <t xml:space="preserve">(832)RUBEN PEREZ CHABACANO </t>
    </r>
    <r>
      <rPr>
        <b/>
        <sz val="11"/>
        <color rgb="FFFF0000"/>
        <rFont val="Calibri"/>
        <family val="2"/>
        <scheme val="minor"/>
      </rPr>
      <t xml:space="preserve"> CANCELADA</t>
    </r>
  </si>
  <si>
    <t>se sustituyo x la 10408</t>
  </si>
  <si>
    <t>5-Feb-22--11-Feb-22</t>
  </si>
  <si>
    <t>C-10601</t>
  </si>
  <si>
    <t>C-10602</t>
  </si>
  <si>
    <t>C-10603</t>
  </si>
  <si>
    <t>C-10604</t>
  </si>
  <si>
    <t>C-10605</t>
  </si>
  <si>
    <r>
      <t>(789)JAVIER CUAMATZI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</si>
  <si>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C-10606</t>
  </si>
  <si>
    <t>C-10607</t>
  </si>
  <si>
    <t>C-10608</t>
  </si>
  <si>
    <t>C-10609</t>
  </si>
  <si>
    <t>C-10610</t>
  </si>
  <si>
    <t>C-10611</t>
  </si>
  <si>
    <t>C-10612</t>
  </si>
  <si>
    <t>C-10613</t>
  </si>
  <si>
    <t>C-10614</t>
  </si>
  <si>
    <t>C-10615</t>
  </si>
  <si>
    <t>C-10616</t>
  </si>
  <si>
    <t>C-10617</t>
  </si>
  <si>
    <t>C-10618</t>
  </si>
  <si>
    <t>C-10619</t>
  </si>
  <si>
    <t>C-10620</t>
  </si>
  <si>
    <t>C-10621</t>
  </si>
  <si>
    <t>C-10622</t>
  </si>
  <si>
    <t>C-10623</t>
  </si>
  <si>
    <t>C-10624</t>
  </si>
  <si>
    <t>C-10625</t>
  </si>
  <si>
    <t>C-10626</t>
  </si>
  <si>
    <t>C-10627</t>
  </si>
  <si>
    <t>C-10628</t>
  </si>
  <si>
    <t>C-10629</t>
  </si>
  <si>
    <t>C-10630</t>
  </si>
  <si>
    <t>C-10631</t>
  </si>
  <si>
    <r>
      <t xml:space="preserve">(868)SAGRADO GRANJAS  </t>
    </r>
    <r>
      <rPr>
        <b/>
        <sz val="12"/>
        <color rgb="FFFF0000"/>
        <rFont val="Calibri"/>
        <family val="2"/>
        <scheme val="minor"/>
      </rPr>
      <t>CANCELADA</t>
    </r>
  </si>
  <si>
    <t>C-10632</t>
  </si>
  <si>
    <t>C-10633</t>
  </si>
  <si>
    <t>C-10634</t>
  </si>
  <si>
    <r>
      <t xml:space="preserve">(113)SAGRADO CORAZON HEROES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</si>
  <si>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cambio x la 10724</t>
  </si>
  <si>
    <t>C-10635</t>
  </si>
  <si>
    <t>C-10636</t>
  </si>
  <si>
    <r>
      <t xml:space="preserve">(144)SAGRADO 14 SUR  </t>
    </r>
    <r>
      <rPr>
        <b/>
        <sz val="12"/>
        <color rgb="FFFF0000"/>
        <rFont val="Calibri"/>
        <family val="2"/>
        <scheme val="minor"/>
      </rPr>
      <t>CANCELADA</t>
    </r>
  </si>
  <si>
    <t>se cambio x la 10722</t>
  </si>
  <si>
    <t>C-10637</t>
  </si>
  <si>
    <t>C-10638</t>
  </si>
  <si>
    <t>C-10639</t>
  </si>
  <si>
    <t>C-10640</t>
  </si>
  <si>
    <t>C-10641</t>
  </si>
  <si>
    <t>C-10642</t>
  </si>
  <si>
    <t>C-10643</t>
  </si>
  <si>
    <t>C-10644</t>
  </si>
  <si>
    <t>C-10645</t>
  </si>
  <si>
    <t>C-10646</t>
  </si>
  <si>
    <t>C-10647</t>
  </si>
  <si>
    <t>C-10648</t>
  </si>
  <si>
    <t>C-10649</t>
  </si>
  <si>
    <t>C-10650</t>
  </si>
  <si>
    <t>C-10651</t>
  </si>
  <si>
    <t>C-10652</t>
  </si>
  <si>
    <t>C-10653</t>
  </si>
  <si>
    <t>C-10654</t>
  </si>
  <si>
    <t>C-10655</t>
  </si>
  <si>
    <t>C-10656</t>
  </si>
  <si>
    <t>C-10657</t>
  </si>
  <si>
    <t>C-10658</t>
  </si>
  <si>
    <t>C-10659</t>
  </si>
  <si>
    <t>C-10660</t>
  </si>
  <si>
    <t>C-10661</t>
  </si>
  <si>
    <t>C-10662</t>
  </si>
  <si>
    <t>C-10663</t>
  </si>
  <si>
    <t>C-10664</t>
  </si>
  <si>
    <t>C-10665</t>
  </si>
  <si>
    <t>C-10666</t>
  </si>
  <si>
    <t>C-10667</t>
  </si>
  <si>
    <t>C-10668</t>
  </si>
  <si>
    <t>C-10669</t>
  </si>
  <si>
    <t>C-10670</t>
  </si>
  <si>
    <t>C-10671</t>
  </si>
  <si>
    <t>C-10672</t>
  </si>
  <si>
    <t>C-10673</t>
  </si>
  <si>
    <t>C-10674</t>
  </si>
  <si>
    <t>C-10675</t>
  </si>
  <si>
    <t>C-10676</t>
  </si>
  <si>
    <t>C-10677</t>
  </si>
  <si>
    <t>C-10678</t>
  </si>
  <si>
    <t>C-10679</t>
  </si>
  <si>
    <t>C-10680</t>
  </si>
  <si>
    <t>C-10681</t>
  </si>
  <si>
    <t>C-10682</t>
  </si>
  <si>
    <t>C-10683</t>
  </si>
  <si>
    <t>C-10684</t>
  </si>
  <si>
    <t>C-10685</t>
  </si>
  <si>
    <t>C-10686</t>
  </si>
  <si>
    <t>C-10687</t>
  </si>
  <si>
    <t>C-10688</t>
  </si>
  <si>
    <t>C-10689</t>
  </si>
  <si>
    <t>C-10690</t>
  </si>
  <si>
    <t>(41)ALBERTO LOPEZ</t>
  </si>
  <si>
    <t>C-10691</t>
  </si>
  <si>
    <t>C-10692</t>
  </si>
  <si>
    <t>C-10693</t>
  </si>
  <si>
    <t>C-10694</t>
  </si>
  <si>
    <t>C-10695</t>
  </si>
  <si>
    <t>C-10696</t>
  </si>
  <si>
    <t>C-10697</t>
  </si>
  <si>
    <t>C-10698</t>
  </si>
  <si>
    <t>C-10699</t>
  </si>
  <si>
    <t>C-10700</t>
  </si>
  <si>
    <t>C-10701</t>
  </si>
  <si>
    <t>C-10702</t>
  </si>
  <si>
    <t>C-10703</t>
  </si>
  <si>
    <t>C-10704</t>
  </si>
  <si>
    <t>C-10705</t>
  </si>
  <si>
    <t>C-10706</t>
  </si>
  <si>
    <t>C-10707</t>
  </si>
  <si>
    <t>C-10708</t>
  </si>
  <si>
    <t>C-10709</t>
  </si>
  <si>
    <t>C-10710</t>
  </si>
  <si>
    <t>C-10711</t>
  </si>
  <si>
    <t>C-10712</t>
  </si>
  <si>
    <t>C-10713</t>
  </si>
  <si>
    <t>C-10714</t>
  </si>
  <si>
    <t>C-10715</t>
  </si>
  <si>
    <t>C-10716</t>
  </si>
  <si>
    <t>C-10717</t>
  </si>
  <si>
    <t>C-10718</t>
  </si>
  <si>
    <t>C-10719</t>
  </si>
  <si>
    <t>C-10720</t>
  </si>
  <si>
    <t>C-10721</t>
  </si>
  <si>
    <t>C-10722</t>
  </si>
  <si>
    <t>C-10723</t>
  </si>
  <si>
    <t>C-10724</t>
  </si>
  <si>
    <t>C-10725</t>
  </si>
  <si>
    <t>C-10726</t>
  </si>
  <si>
    <t>C-10727</t>
  </si>
  <si>
    <t>3-Feb-22--4-Feb-22</t>
  </si>
  <si>
    <t>C-10728</t>
  </si>
  <si>
    <t>C-10729</t>
  </si>
  <si>
    <t>C-10730</t>
  </si>
  <si>
    <t>C-10731</t>
  </si>
  <si>
    <t>C-10732</t>
  </si>
  <si>
    <t>C-10733</t>
  </si>
  <si>
    <t>C-10734</t>
  </si>
  <si>
    <t>C-10735</t>
  </si>
  <si>
    <t>C-10736</t>
  </si>
  <si>
    <t>C-10737</t>
  </si>
  <si>
    <t>C-10738</t>
  </si>
  <si>
    <t>C-10739</t>
  </si>
  <si>
    <t>C-10740</t>
  </si>
  <si>
    <t>C-10741</t>
  </si>
  <si>
    <t>C-10742</t>
  </si>
  <si>
    <t>4-Feb-22--6-Feb-22</t>
  </si>
  <si>
    <t>C-10743</t>
  </si>
  <si>
    <t>C-10744</t>
  </si>
  <si>
    <t>C-10745</t>
  </si>
  <si>
    <t>C-10746</t>
  </si>
  <si>
    <t>C-10747</t>
  </si>
  <si>
    <t>C-10748</t>
  </si>
  <si>
    <t>C-10749</t>
  </si>
  <si>
    <t>C-10750</t>
  </si>
  <si>
    <t>C-10751</t>
  </si>
  <si>
    <t>C-10752</t>
  </si>
  <si>
    <t>C-10753</t>
  </si>
  <si>
    <t>C-10754</t>
  </si>
  <si>
    <t>C-10755</t>
  </si>
  <si>
    <t>C-10756</t>
  </si>
  <si>
    <t>C-10757</t>
  </si>
  <si>
    <t>C-10758</t>
  </si>
  <si>
    <t>C-10759</t>
  </si>
  <si>
    <t>C-10760</t>
  </si>
  <si>
    <t>C-10761</t>
  </si>
  <si>
    <t>C-10762</t>
  </si>
  <si>
    <t>C-10763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</si>
  <si>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>CANCELADA</t>
    </r>
  </si>
  <si>
    <t>C-10764</t>
  </si>
  <si>
    <t>C-10765</t>
  </si>
  <si>
    <t>C-10766</t>
  </si>
  <si>
    <t>C-10767</t>
  </si>
  <si>
    <t>C-10768</t>
  </si>
  <si>
    <t>C-10769</t>
  </si>
  <si>
    <t>C-10770</t>
  </si>
  <si>
    <t>C-10771</t>
  </si>
  <si>
    <t>C-10772</t>
  </si>
  <si>
    <t>C-10773</t>
  </si>
  <si>
    <t>C-10774</t>
  </si>
  <si>
    <t>C-10775</t>
  </si>
  <si>
    <t>C-10776</t>
  </si>
  <si>
    <t>C-10777</t>
  </si>
  <si>
    <t>C-10778</t>
  </si>
  <si>
    <t>C-10779</t>
  </si>
  <si>
    <t>C-10780</t>
  </si>
  <si>
    <t>C-10781</t>
  </si>
  <si>
    <t>C-10782</t>
  </si>
  <si>
    <t>C-10783</t>
  </si>
  <si>
    <t>C-10784</t>
  </si>
  <si>
    <t>C-10785</t>
  </si>
  <si>
    <t>C-10786</t>
  </si>
  <si>
    <t>C-10787</t>
  </si>
  <si>
    <t>C-10788</t>
  </si>
  <si>
    <t>C-10789</t>
  </si>
  <si>
    <t>C-10790</t>
  </si>
  <si>
    <t>C-10791</t>
  </si>
  <si>
    <t>C-10792</t>
  </si>
  <si>
    <t>C-10793</t>
  </si>
  <si>
    <t>C-10794</t>
  </si>
  <si>
    <t>C-10795</t>
  </si>
  <si>
    <t>C-10796</t>
  </si>
  <si>
    <t>C-10797</t>
  </si>
  <si>
    <t>C-10798</t>
  </si>
  <si>
    <t>C-10799</t>
  </si>
  <si>
    <t>C-10800</t>
  </si>
  <si>
    <t>C-10801</t>
  </si>
  <si>
    <t>C-10802</t>
  </si>
  <si>
    <t>C-10803</t>
  </si>
  <si>
    <t>C-10804</t>
  </si>
  <si>
    <t>C-10805</t>
  </si>
  <si>
    <t>C-10806</t>
  </si>
  <si>
    <t>C-10807</t>
  </si>
  <si>
    <t>C-10808</t>
  </si>
  <si>
    <t>C-10809</t>
  </si>
  <si>
    <t>C-10810</t>
  </si>
  <si>
    <t>C-10811</t>
  </si>
  <si>
    <t>C-10812</t>
  </si>
  <si>
    <t>C-10813</t>
  </si>
  <si>
    <t>C-10814</t>
  </si>
  <si>
    <t>C-10815</t>
  </si>
  <si>
    <t>C-10816</t>
  </si>
  <si>
    <t>C-10817</t>
  </si>
  <si>
    <t>C-10818</t>
  </si>
  <si>
    <t>C-10819</t>
  </si>
  <si>
    <t>C-10820</t>
  </si>
  <si>
    <t>C-10821</t>
  </si>
  <si>
    <t>C-10822</t>
  </si>
  <si>
    <t>C-10823</t>
  </si>
  <si>
    <t>C-10824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</si>
  <si>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>CANCELADA</t>
    </r>
  </si>
  <si>
    <t>C-10825</t>
  </si>
  <si>
    <t>C-10826</t>
  </si>
  <si>
    <t>C-10827</t>
  </si>
  <si>
    <t>C-10828</t>
  </si>
  <si>
    <t>C-10829</t>
  </si>
  <si>
    <t>C-10830</t>
  </si>
  <si>
    <t>C-10831</t>
  </si>
  <si>
    <t>C-10832</t>
  </si>
  <si>
    <t>C-10833</t>
  </si>
  <si>
    <t>C-10834</t>
  </si>
  <si>
    <t>C-10835</t>
  </si>
  <si>
    <t>C-10836</t>
  </si>
  <si>
    <t>C-10837</t>
  </si>
  <si>
    <t>C-10838</t>
  </si>
  <si>
    <t>(115)LUIS HERRERA</t>
  </si>
  <si>
    <t>C-10839</t>
  </si>
  <si>
    <t>C-10840</t>
  </si>
  <si>
    <t>C-10841</t>
  </si>
  <si>
    <t>C-10842</t>
  </si>
  <si>
    <t>C-10843</t>
  </si>
  <si>
    <t>C-10844</t>
  </si>
  <si>
    <t>C-10845</t>
  </si>
  <si>
    <t>C-10846</t>
  </si>
  <si>
    <t>C-10847</t>
  </si>
  <si>
    <t>C-10848</t>
  </si>
  <si>
    <t>C-10849</t>
  </si>
  <si>
    <t>4-Feb-22--5-Feb-22</t>
  </si>
  <si>
    <t>C-10850</t>
  </si>
  <si>
    <t>C-10851</t>
  </si>
  <si>
    <t>C-10852</t>
  </si>
  <si>
    <t>C-10853</t>
  </si>
  <si>
    <t>C-10854</t>
  </si>
  <si>
    <t>C-10855</t>
  </si>
  <si>
    <t>C-10856</t>
  </si>
  <si>
    <t>C-10857</t>
  </si>
  <si>
    <t>C-10858</t>
  </si>
  <si>
    <t>6-Feb-22--7-Feb-22</t>
  </si>
  <si>
    <t>C-10859</t>
  </si>
  <si>
    <t>C-10860</t>
  </si>
  <si>
    <t>C-10861</t>
  </si>
  <si>
    <t>C-10862</t>
  </si>
  <si>
    <t>C-10863</t>
  </si>
  <si>
    <t>C-10864</t>
  </si>
  <si>
    <t>C-10865</t>
  </si>
  <si>
    <t>C-10866</t>
  </si>
  <si>
    <t>C-10867</t>
  </si>
  <si>
    <t>C-10868</t>
  </si>
  <si>
    <t>C-10869</t>
  </si>
  <si>
    <t>C-10870</t>
  </si>
  <si>
    <t>C-10871</t>
  </si>
  <si>
    <t>C-10872</t>
  </si>
  <si>
    <t>C-10873</t>
  </si>
  <si>
    <t>C-10874</t>
  </si>
  <si>
    <t>C-10875</t>
  </si>
  <si>
    <t>C-10876</t>
  </si>
  <si>
    <t>C-10877</t>
  </si>
  <si>
    <t>C-10878</t>
  </si>
  <si>
    <t>C-10879</t>
  </si>
  <si>
    <t>C-10880</t>
  </si>
  <si>
    <t>C-10881</t>
  </si>
  <si>
    <t>C-10882</t>
  </si>
  <si>
    <t>C-10883</t>
  </si>
  <si>
    <t>C-10884</t>
  </si>
  <si>
    <t>C-10885</t>
  </si>
  <si>
    <t>C-10886</t>
  </si>
  <si>
    <t>C-10887</t>
  </si>
  <si>
    <t>C-10888</t>
  </si>
  <si>
    <t>C-10889</t>
  </si>
  <si>
    <t>C-10890</t>
  </si>
  <si>
    <t>C-10891</t>
  </si>
  <si>
    <t>C-10892</t>
  </si>
  <si>
    <t>C-10893</t>
  </si>
  <si>
    <t>C-10894</t>
  </si>
  <si>
    <t>C-10895</t>
  </si>
  <si>
    <t>C-10896</t>
  </si>
  <si>
    <t>11-Feb-22--18-Feb-22</t>
  </si>
  <si>
    <t>C-10897</t>
  </si>
  <si>
    <t>C-10898</t>
  </si>
  <si>
    <t>C-10899</t>
  </si>
  <si>
    <t>C-10900</t>
  </si>
  <si>
    <t>C-10901</t>
  </si>
  <si>
    <t>C-10902</t>
  </si>
  <si>
    <t>C-10903</t>
  </si>
  <si>
    <t>C-10904</t>
  </si>
  <si>
    <t>C-10905</t>
  </si>
  <si>
    <t>(826)LUIS ALBERTO SERRANO</t>
  </si>
  <si>
    <t>C-10906</t>
  </si>
  <si>
    <t>C-10907</t>
  </si>
  <si>
    <t>C-10908</t>
  </si>
  <si>
    <t>C-10909</t>
  </si>
  <si>
    <t>C-10910</t>
  </si>
  <si>
    <t>C-10911</t>
  </si>
  <si>
    <t>C-10912</t>
  </si>
  <si>
    <t>C-10913</t>
  </si>
  <si>
    <t>C-10914</t>
  </si>
  <si>
    <t>C-10915</t>
  </si>
  <si>
    <r>
      <t xml:space="preserve">(415)VIKI   </t>
    </r>
    <r>
      <rPr>
        <b/>
        <sz val="12"/>
        <color rgb="FFFF0000"/>
        <rFont val="Calibri"/>
        <family val="2"/>
        <scheme val="minor"/>
      </rPr>
      <t>CANCELADA</t>
    </r>
  </si>
  <si>
    <t>se sustituyo x la 10918</t>
  </si>
  <si>
    <t>C-10916</t>
  </si>
  <si>
    <t>C-10917</t>
  </si>
  <si>
    <t>C-10918</t>
  </si>
  <si>
    <t>C-10919</t>
  </si>
  <si>
    <t>C-10920</t>
  </si>
  <si>
    <t>C-10921</t>
  </si>
  <si>
    <t>C-10922</t>
  </si>
  <si>
    <t>C-10923</t>
  </si>
  <si>
    <t>C-10924</t>
  </si>
  <si>
    <t>C-10925</t>
  </si>
  <si>
    <t>C-10926</t>
  </si>
  <si>
    <t>C-10927</t>
  </si>
  <si>
    <t>C-10928</t>
  </si>
  <si>
    <t>C-10929</t>
  </si>
  <si>
    <t>C-10930</t>
  </si>
  <si>
    <t>(838)ANTOJITO POBLANO</t>
  </si>
  <si>
    <t>C-10931</t>
  </si>
  <si>
    <t>C-10932</t>
  </si>
  <si>
    <t>C-10933</t>
  </si>
  <si>
    <t>C-10934</t>
  </si>
  <si>
    <t>C-10935</t>
  </si>
  <si>
    <t>C-10936</t>
  </si>
  <si>
    <t>C-10937</t>
  </si>
  <si>
    <t>C-10938</t>
  </si>
  <si>
    <t>C-10939</t>
  </si>
  <si>
    <t>C-10940</t>
  </si>
  <si>
    <t>13-Feb-22--17-Feb-22--22-Feb-22</t>
  </si>
  <si>
    <t>C-10941</t>
  </si>
  <si>
    <t>C-10942</t>
  </si>
  <si>
    <t>C-10943</t>
  </si>
  <si>
    <t>C-10944</t>
  </si>
  <si>
    <t>C-10945</t>
  </si>
  <si>
    <t>C-10946</t>
  </si>
  <si>
    <t>C-10947</t>
  </si>
  <si>
    <t>C-10948</t>
  </si>
  <si>
    <t>C-10949</t>
  </si>
  <si>
    <t>C-10950</t>
  </si>
  <si>
    <t>C-10951</t>
  </si>
  <si>
    <t>C-10952</t>
  </si>
  <si>
    <t>C-10953</t>
  </si>
  <si>
    <t>C-10954</t>
  </si>
  <si>
    <t>(600)MIGUEL RAMIREZ</t>
  </si>
  <si>
    <t>C-10955</t>
  </si>
  <si>
    <t>(72)JUANITA  LEDO</t>
  </si>
  <si>
    <t>C-10956</t>
  </si>
  <si>
    <t>C-10957</t>
  </si>
  <si>
    <t>C-10958</t>
  </si>
  <si>
    <t>C-10959</t>
  </si>
  <si>
    <t>C-10960</t>
  </si>
  <si>
    <t>C-10961</t>
  </si>
  <si>
    <t>C-10962</t>
  </si>
  <si>
    <t>C-10963</t>
  </si>
  <si>
    <t>C-10964</t>
  </si>
  <si>
    <t>C-10965</t>
  </si>
  <si>
    <t>C-10966</t>
  </si>
  <si>
    <t>C-10967</t>
  </si>
  <si>
    <t>C-10968</t>
  </si>
  <si>
    <t>C-10969</t>
  </si>
  <si>
    <t>C-10970</t>
  </si>
  <si>
    <t>C-10971</t>
  </si>
  <si>
    <t>C-10972</t>
  </si>
  <si>
    <t>C-10973</t>
  </si>
  <si>
    <t>C-10974</t>
  </si>
  <si>
    <t>C-10975</t>
  </si>
  <si>
    <t>C-10976</t>
  </si>
  <si>
    <t>C-10977</t>
  </si>
  <si>
    <t>C-10978</t>
  </si>
  <si>
    <t>C-10979</t>
  </si>
  <si>
    <t>C-10980</t>
  </si>
  <si>
    <t>C-10981</t>
  </si>
  <si>
    <t>C-10982</t>
  </si>
  <si>
    <t>C-10983</t>
  </si>
  <si>
    <t>7-Feb-22--8-Feb-22</t>
  </si>
  <si>
    <t>C-10984</t>
  </si>
  <si>
    <t>C-10985</t>
  </si>
  <si>
    <t>C-10986</t>
  </si>
  <si>
    <t>C-10987</t>
  </si>
  <si>
    <t>5-Feb-22--6-Feb-22</t>
  </si>
  <si>
    <t>C-10988</t>
  </si>
  <si>
    <t>C-10989</t>
  </si>
  <si>
    <t>C-10990</t>
  </si>
  <si>
    <t>C-10991</t>
  </si>
  <si>
    <t>C-10992</t>
  </si>
  <si>
    <t>C-10993</t>
  </si>
  <si>
    <t>C-10994</t>
  </si>
  <si>
    <t>C-10995</t>
  </si>
  <si>
    <t>C-10996</t>
  </si>
  <si>
    <t>C-10997</t>
  </si>
  <si>
    <t>C-10998</t>
  </si>
  <si>
    <t>C-10999</t>
  </si>
  <si>
    <t>C-11000</t>
  </si>
  <si>
    <t>C-11001</t>
  </si>
  <si>
    <t>C-11002</t>
  </si>
  <si>
    <t>C-11003</t>
  </si>
  <si>
    <t>C-11004</t>
  </si>
  <si>
    <t>C-11005</t>
  </si>
  <si>
    <t>C-11006</t>
  </si>
  <si>
    <t>C-11007</t>
  </si>
  <si>
    <t>C-11008</t>
  </si>
  <si>
    <t>C-11009</t>
  </si>
  <si>
    <t>C-11010</t>
  </si>
  <si>
    <t>C-11011</t>
  </si>
  <si>
    <t>C-11012</t>
  </si>
  <si>
    <t>C-11013</t>
  </si>
  <si>
    <t>C-11014</t>
  </si>
  <si>
    <t>C-11015</t>
  </si>
  <si>
    <t>C-11016</t>
  </si>
  <si>
    <t>C-11017</t>
  </si>
  <si>
    <t>C-11018</t>
  </si>
  <si>
    <t>C-11019</t>
  </si>
  <si>
    <t>C-11020</t>
  </si>
  <si>
    <t>C-11021</t>
  </si>
  <si>
    <t>C-11022</t>
  </si>
  <si>
    <t>C-11023</t>
  </si>
  <si>
    <t>C-11024</t>
  </si>
  <si>
    <t>C-11025</t>
  </si>
  <si>
    <t>C-11026</t>
  </si>
  <si>
    <t>C-11027</t>
  </si>
  <si>
    <t>C-11028</t>
  </si>
  <si>
    <t>C-11029</t>
  </si>
  <si>
    <t>C-11030</t>
  </si>
  <si>
    <t>C-11031</t>
  </si>
  <si>
    <t>C-11032</t>
  </si>
  <si>
    <t>C-11033</t>
  </si>
  <si>
    <t>C-11034</t>
  </si>
  <si>
    <t>C-11035</t>
  </si>
  <si>
    <t>C-11036</t>
  </si>
  <si>
    <t>C-11037</t>
  </si>
  <si>
    <t>C-11038</t>
  </si>
  <si>
    <t>C-11039</t>
  </si>
  <si>
    <t>C-11040</t>
  </si>
  <si>
    <t>C-11041</t>
  </si>
  <si>
    <t>C-11042</t>
  </si>
  <si>
    <t>C-11043</t>
  </si>
  <si>
    <t>C-11044</t>
  </si>
  <si>
    <t>C-11045</t>
  </si>
  <si>
    <t>C-11046</t>
  </si>
  <si>
    <t>C-11047</t>
  </si>
  <si>
    <t>C-11048</t>
  </si>
  <si>
    <t>C-11049</t>
  </si>
  <si>
    <t>C-11050</t>
  </si>
  <si>
    <t>C-11051</t>
  </si>
  <si>
    <t>C-11052</t>
  </si>
  <si>
    <t>C-11053</t>
  </si>
  <si>
    <t>C-11054</t>
  </si>
  <si>
    <t>(156)JOSE LUIS LUCERO</t>
  </si>
  <si>
    <t>C-11055</t>
  </si>
  <si>
    <t>C-11056</t>
  </si>
  <si>
    <t>C-11057</t>
  </si>
  <si>
    <t>C-11058</t>
  </si>
  <si>
    <t>C-11059</t>
  </si>
  <si>
    <t>C-11060</t>
  </si>
  <si>
    <t>(585)AURORA GALAN</t>
  </si>
  <si>
    <t>C-11061</t>
  </si>
  <si>
    <t>C-11062</t>
  </si>
  <si>
    <t>C-11063</t>
  </si>
  <si>
    <t>C-11064</t>
  </si>
  <si>
    <t>C-11065</t>
  </si>
  <si>
    <t>C-11066</t>
  </si>
  <si>
    <t>C-11067</t>
  </si>
  <si>
    <t>C-11068</t>
  </si>
  <si>
    <t>C-11069</t>
  </si>
  <si>
    <r>
      <t>(556)BRAZILIAN BUFFET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</si>
  <si>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C-11070</t>
  </si>
  <si>
    <t>C-11071</t>
  </si>
  <si>
    <t>C-11072</t>
  </si>
  <si>
    <t>C-11073</t>
  </si>
  <si>
    <t>C-11074</t>
  </si>
  <si>
    <t>C-11075</t>
  </si>
  <si>
    <t>C-11076</t>
  </si>
  <si>
    <t>C-11077</t>
  </si>
  <si>
    <t>C-11078</t>
  </si>
  <si>
    <t>C-11079</t>
  </si>
  <si>
    <t>C-11080</t>
  </si>
  <si>
    <t>C-11081</t>
  </si>
  <si>
    <t>C-11082</t>
  </si>
  <si>
    <t>C-11083</t>
  </si>
  <si>
    <t>C-11084</t>
  </si>
  <si>
    <r>
      <t xml:space="preserve">(710)ERIK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</si>
  <si>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C-11085</t>
  </si>
  <si>
    <t>C-11086</t>
  </si>
  <si>
    <t>C-11087</t>
  </si>
  <si>
    <t>C-11088</t>
  </si>
  <si>
    <t>C-11089</t>
  </si>
  <si>
    <t>C-11090</t>
  </si>
  <si>
    <t>C-11091</t>
  </si>
  <si>
    <t>C-11092</t>
  </si>
  <si>
    <t>C-11093</t>
  </si>
  <si>
    <t>C-11094</t>
  </si>
  <si>
    <t>C-11095</t>
  </si>
  <si>
    <t>C-11096</t>
  </si>
  <si>
    <t>C-11097</t>
  </si>
  <si>
    <t>C-11098</t>
  </si>
  <si>
    <t>C-11099</t>
  </si>
  <si>
    <t>C-11100</t>
  </si>
  <si>
    <t>C-11101</t>
  </si>
  <si>
    <t>C-11102</t>
  </si>
  <si>
    <t>C-11103</t>
  </si>
  <si>
    <t>C-11104</t>
  </si>
  <si>
    <t>C-11105</t>
  </si>
  <si>
    <t>C-11106</t>
  </si>
  <si>
    <t>C-11107</t>
  </si>
  <si>
    <t>C-11108</t>
  </si>
  <si>
    <t>C-11109</t>
  </si>
  <si>
    <t>C-11110</t>
  </si>
  <si>
    <t>C-11111</t>
  </si>
  <si>
    <t>C-11112</t>
  </si>
  <si>
    <t>C-11113</t>
  </si>
  <si>
    <t>C-11114</t>
  </si>
  <si>
    <t>C-11115</t>
  </si>
  <si>
    <t>C-11116</t>
  </si>
  <si>
    <t>C-11117</t>
  </si>
  <si>
    <t>C-11118</t>
  </si>
  <si>
    <t>C-11119</t>
  </si>
  <si>
    <t>C-11120</t>
  </si>
  <si>
    <t>C-11121</t>
  </si>
  <si>
    <t>6-Feb-22--8-Feb-22</t>
  </si>
  <si>
    <t>C-11122</t>
  </si>
  <si>
    <t>C-11123</t>
  </si>
  <si>
    <r>
      <t xml:space="preserve">(23)ALVARO MEZA  </t>
    </r>
    <r>
      <rPr>
        <b/>
        <sz val="12"/>
        <color rgb="FFFF0000"/>
        <rFont val="Calibri"/>
        <family val="2"/>
        <scheme val="minor"/>
      </rPr>
      <t>CANCELADA</t>
    </r>
  </si>
  <si>
    <t>C-11124</t>
  </si>
  <si>
    <t>C-11125</t>
  </si>
  <si>
    <t>C-11126</t>
  </si>
  <si>
    <t>C-11127</t>
  </si>
  <si>
    <t>C-11128</t>
  </si>
  <si>
    <t>C-11129</t>
  </si>
  <si>
    <t>C-11130</t>
  </si>
  <si>
    <t>C-11131</t>
  </si>
  <si>
    <t>C-11132</t>
  </si>
  <si>
    <t>C-11133</t>
  </si>
  <si>
    <t>C-11134</t>
  </si>
  <si>
    <t>C-11135</t>
  </si>
  <si>
    <t>C-11136</t>
  </si>
  <si>
    <t>C-11137</t>
  </si>
  <si>
    <t>C-11138</t>
  </si>
  <si>
    <t>C-11139</t>
  </si>
  <si>
    <t>C-11140</t>
  </si>
  <si>
    <r>
      <t xml:space="preserve">(643)LA PRINCESA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</si>
  <si>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11399</t>
  </si>
  <si>
    <t>C-11141</t>
  </si>
  <si>
    <t>C-11142</t>
  </si>
  <si>
    <t>8-Feb-22--9-Feb-22</t>
  </si>
  <si>
    <t>C-11143</t>
  </si>
  <si>
    <t>C-11144</t>
  </si>
  <si>
    <t>C-11145</t>
  </si>
  <si>
    <t>C-11146</t>
  </si>
  <si>
    <t>C-11147</t>
  </si>
  <si>
    <t>C-11148</t>
  </si>
  <si>
    <t>C-11149</t>
  </si>
  <si>
    <t>C-11150</t>
  </si>
  <si>
    <t>C-11151</t>
  </si>
  <si>
    <t>C-11152</t>
  </si>
  <si>
    <t>C-11153</t>
  </si>
  <si>
    <t>C-11154</t>
  </si>
  <si>
    <t>C-11155</t>
  </si>
  <si>
    <t>C-11156</t>
  </si>
  <si>
    <t>C-11157</t>
  </si>
  <si>
    <t>C-11158</t>
  </si>
  <si>
    <t>C-11159</t>
  </si>
  <si>
    <t>C-11160</t>
  </si>
  <si>
    <t>C-11161</t>
  </si>
  <si>
    <t>C-11162</t>
  </si>
  <si>
    <t>C-11163</t>
  </si>
  <si>
    <t>C-11164</t>
  </si>
  <si>
    <t>C-11165</t>
  </si>
  <si>
    <t>C-11166</t>
  </si>
  <si>
    <t>C-11167</t>
  </si>
  <si>
    <t>C-11168</t>
  </si>
  <si>
    <t>C-11169</t>
  </si>
  <si>
    <t>C-11170</t>
  </si>
  <si>
    <t>C-11171</t>
  </si>
  <si>
    <t>C-11172</t>
  </si>
  <si>
    <t>C-11173</t>
  </si>
  <si>
    <t>C-11174</t>
  </si>
  <si>
    <t>C-11175</t>
  </si>
  <si>
    <t>C-11176</t>
  </si>
  <si>
    <t>C-11177</t>
  </si>
  <si>
    <t>C-11178</t>
  </si>
  <si>
    <t>C-11179</t>
  </si>
  <si>
    <t>C-11180</t>
  </si>
  <si>
    <t>C-11181</t>
  </si>
  <si>
    <t>C-11182</t>
  </si>
  <si>
    <t>C-11183</t>
  </si>
  <si>
    <t>C-11184</t>
  </si>
  <si>
    <t>C-11185</t>
  </si>
  <si>
    <t>C-11186</t>
  </si>
  <si>
    <t>C-11187</t>
  </si>
  <si>
    <t>C-11188</t>
  </si>
  <si>
    <t>C-11189</t>
  </si>
  <si>
    <t>(688)FINCA  REAL</t>
  </si>
  <si>
    <t>C-11190</t>
  </si>
  <si>
    <t>C-11191</t>
  </si>
  <si>
    <t>C-11192</t>
  </si>
  <si>
    <t>C-11193</t>
  </si>
  <si>
    <t>C-11194</t>
  </si>
  <si>
    <t>C-11195</t>
  </si>
  <si>
    <t>C-11196</t>
  </si>
  <si>
    <t>C-11197</t>
  </si>
  <si>
    <t>C-11198</t>
  </si>
  <si>
    <t>C-11199</t>
  </si>
  <si>
    <t>C-11200</t>
  </si>
  <si>
    <t>C-11201</t>
  </si>
  <si>
    <t>C-11202</t>
  </si>
  <si>
    <t>C-11203</t>
  </si>
  <si>
    <t>C-11204</t>
  </si>
  <si>
    <t>C-11205</t>
  </si>
  <si>
    <t>C-11206</t>
  </si>
  <si>
    <t>C-11207</t>
  </si>
  <si>
    <t>C-11208</t>
  </si>
  <si>
    <t>C-11209</t>
  </si>
  <si>
    <t>C-11210</t>
  </si>
  <si>
    <t>C-11211</t>
  </si>
  <si>
    <t>C-11212</t>
  </si>
  <si>
    <t>C-11213</t>
  </si>
  <si>
    <t>C-11214</t>
  </si>
  <si>
    <t>C-11215</t>
  </si>
  <si>
    <t>C-11216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</si>
  <si>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</si>
  <si>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11219</t>
  </si>
  <si>
    <t>C-11217</t>
  </si>
  <si>
    <t>C-11218</t>
  </si>
  <si>
    <t>C-11219</t>
  </si>
  <si>
    <t>C-11220</t>
  </si>
  <si>
    <t>C-11221</t>
  </si>
  <si>
    <t>C-11222</t>
  </si>
  <si>
    <t>C-11223</t>
  </si>
  <si>
    <r>
      <t xml:space="preserve">(585)AURORA GALAN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</si>
  <si>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C-11224</t>
  </si>
  <si>
    <t>C-11225</t>
  </si>
  <si>
    <t>C-11226</t>
  </si>
  <si>
    <t>C-11227</t>
  </si>
  <si>
    <t>C-11228</t>
  </si>
  <si>
    <t>C-11229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</si>
  <si>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</si>
  <si>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C-11230</t>
  </si>
  <si>
    <t>C-11231</t>
  </si>
  <si>
    <t>C-11232</t>
  </si>
  <si>
    <t>C-11233</t>
  </si>
  <si>
    <t>C-11234</t>
  </si>
  <si>
    <t>C-11235</t>
  </si>
  <si>
    <t>C-11236</t>
  </si>
  <si>
    <t>C-11237</t>
  </si>
  <si>
    <t>C-11238</t>
  </si>
  <si>
    <t>C-11239</t>
  </si>
  <si>
    <t>C-11240</t>
  </si>
  <si>
    <t>C-11241</t>
  </si>
  <si>
    <t>C-11242</t>
  </si>
  <si>
    <t>C-11243</t>
  </si>
  <si>
    <t>C-11244</t>
  </si>
  <si>
    <t>C-11245</t>
  </si>
  <si>
    <t>C-11246</t>
  </si>
  <si>
    <t>C-11247</t>
  </si>
  <si>
    <t>C-11248</t>
  </si>
  <si>
    <t>C-11249</t>
  </si>
  <si>
    <t>C-11250</t>
  </si>
  <si>
    <t>C-11251</t>
  </si>
  <si>
    <t>C-11252</t>
  </si>
  <si>
    <r>
      <t>(204)ABASTO DE 4 CARNES SUC.  ZAVALETA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</si>
  <si>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C-11253</t>
  </si>
  <si>
    <t>C-11254</t>
  </si>
  <si>
    <t>C-11255</t>
  </si>
  <si>
    <t>C-11256</t>
  </si>
  <si>
    <t>C-11257</t>
  </si>
  <si>
    <t>C-11258</t>
  </si>
  <si>
    <t>C-11259</t>
  </si>
  <si>
    <t>C-11260</t>
  </si>
  <si>
    <t>C-11261</t>
  </si>
  <si>
    <t>C-11262</t>
  </si>
  <si>
    <t>C-11263</t>
  </si>
  <si>
    <t>C-11264</t>
  </si>
  <si>
    <t>C-11265</t>
  </si>
  <si>
    <t>C-11266</t>
  </si>
  <si>
    <t>C-11267</t>
  </si>
  <si>
    <t>C-11268</t>
  </si>
  <si>
    <t>C-11269</t>
  </si>
  <si>
    <t>C-11270</t>
  </si>
  <si>
    <t>C-11271</t>
  </si>
  <si>
    <t>C-11272</t>
  </si>
  <si>
    <t>C-11273</t>
  </si>
  <si>
    <t>C-11274</t>
  </si>
  <si>
    <t>C-11275</t>
  </si>
  <si>
    <t>C-11276</t>
  </si>
  <si>
    <t>C-11277</t>
  </si>
  <si>
    <t>C-11278</t>
  </si>
  <si>
    <t>C-11279</t>
  </si>
  <si>
    <t>C-11280</t>
  </si>
  <si>
    <t>C-11281</t>
  </si>
  <si>
    <t>C-11282</t>
  </si>
  <si>
    <t>C-11283</t>
  </si>
  <si>
    <t>C-11284</t>
  </si>
  <si>
    <t>C-11285</t>
  </si>
  <si>
    <t>C-11286</t>
  </si>
  <si>
    <t>C-11287</t>
  </si>
  <si>
    <t>C-11288</t>
  </si>
  <si>
    <t>C-11289</t>
  </si>
  <si>
    <t>C-11290</t>
  </si>
  <si>
    <t>C-11291</t>
  </si>
  <si>
    <t>C-11292</t>
  </si>
  <si>
    <t>C-11293</t>
  </si>
  <si>
    <t>C-11294</t>
  </si>
  <si>
    <t>C-11295</t>
  </si>
  <si>
    <t>10-Feb-22--11-Feb-22--12-Feb-22</t>
  </si>
  <si>
    <t>C-11296</t>
  </si>
  <si>
    <t>C-11297</t>
  </si>
  <si>
    <t>C-11298</t>
  </si>
  <si>
    <t>8-Feb-22--10-Feb-22</t>
  </si>
  <si>
    <t>C-11299</t>
  </si>
  <si>
    <t>C-11300</t>
  </si>
  <si>
    <t>C-11301</t>
  </si>
  <si>
    <t>C-11302</t>
  </si>
  <si>
    <t>C-11303</t>
  </si>
  <si>
    <t>C-11304</t>
  </si>
  <si>
    <t>C-11305</t>
  </si>
  <si>
    <t>C-11306</t>
  </si>
  <si>
    <t>C-11307</t>
  </si>
  <si>
    <t>C-11308</t>
  </si>
  <si>
    <t>C-11309</t>
  </si>
  <si>
    <t>C-11310</t>
  </si>
  <si>
    <t>C-11311</t>
  </si>
  <si>
    <t>C-11312</t>
  </si>
  <si>
    <t>C-11313</t>
  </si>
  <si>
    <t>C-11314</t>
  </si>
  <si>
    <t>7-Feb-22--9-Feb-22</t>
  </si>
  <si>
    <t>C-11315</t>
  </si>
  <si>
    <t>C-11316</t>
  </si>
  <si>
    <t>8-Feb-22--11-Feb-22</t>
  </si>
  <si>
    <t>C-11317</t>
  </si>
  <si>
    <t>C-11318</t>
  </si>
  <si>
    <t>C-11319</t>
  </si>
  <si>
    <t>C-11320</t>
  </si>
  <si>
    <t>C-11321</t>
  </si>
  <si>
    <t>C-11322</t>
  </si>
  <si>
    <t>C-11323</t>
  </si>
  <si>
    <t>C-11324</t>
  </si>
  <si>
    <t>C-11325</t>
  </si>
  <si>
    <t>C-11326</t>
  </si>
  <si>
    <t>C-11327</t>
  </si>
  <si>
    <t>C-11328</t>
  </si>
  <si>
    <t>C-11329</t>
  </si>
  <si>
    <t>C-11330</t>
  </si>
  <si>
    <t>C-11331</t>
  </si>
  <si>
    <t>C-11332</t>
  </si>
  <si>
    <t>C-11333</t>
  </si>
  <si>
    <t>C-11334</t>
  </si>
  <si>
    <t>C-11335</t>
  </si>
  <si>
    <t>C-11336</t>
  </si>
  <si>
    <t>C-11337</t>
  </si>
  <si>
    <t>C-11338</t>
  </si>
  <si>
    <t>C-11339</t>
  </si>
  <si>
    <t>C-11340</t>
  </si>
  <si>
    <t>C-11341</t>
  </si>
  <si>
    <t>C-11342</t>
  </si>
  <si>
    <t>C-11343</t>
  </si>
  <si>
    <t>C-11344</t>
  </si>
  <si>
    <t>C-11345</t>
  </si>
  <si>
    <t>C-11346</t>
  </si>
  <si>
    <t>C-11347</t>
  </si>
  <si>
    <t>C-11348</t>
  </si>
  <si>
    <t>C-11349</t>
  </si>
  <si>
    <t>C-11350</t>
  </si>
  <si>
    <t>C-11351</t>
  </si>
  <si>
    <t>C-11352</t>
  </si>
  <si>
    <t>C-11353</t>
  </si>
  <si>
    <t>C-11354</t>
  </si>
  <si>
    <t>C-11355</t>
  </si>
  <si>
    <t>C-11356</t>
  </si>
  <si>
    <t>C-11357</t>
  </si>
  <si>
    <t>C-11358</t>
  </si>
  <si>
    <t>C-11359</t>
  </si>
  <si>
    <t>C-11360</t>
  </si>
  <si>
    <t>C-11361</t>
  </si>
  <si>
    <t>C-11362</t>
  </si>
  <si>
    <t>C-11363</t>
  </si>
  <si>
    <t>C-11364</t>
  </si>
  <si>
    <t>C-11365</t>
  </si>
  <si>
    <t>C-11366</t>
  </si>
  <si>
    <t>C-11367</t>
  </si>
  <si>
    <t>C-11368</t>
  </si>
  <si>
    <t>C-11369</t>
  </si>
  <si>
    <t>C-11370</t>
  </si>
  <si>
    <t>C-11371</t>
  </si>
  <si>
    <t>C-11372</t>
  </si>
  <si>
    <t>C-11373</t>
  </si>
  <si>
    <t>C-11374</t>
  </si>
  <si>
    <t>07/02/2022</t>
  </si>
  <si>
    <t>C-11375</t>
  </si>
  <si>
    <t>C-11376</t>
  </si>
  <si>
    <t>C-11377</t>
  </si>
  <si>
    <t>C-11378</t>
  </si>
  <si>
    <t>C-11379</t>
  </si>
  <si>
    <t>C-11380</t>
  </si>
  <si>
    <t>C-11381</t>
  </si>
  <si>
    <t>C-11382</t>
  </si>
  <si>
    <t>C-11383</t>
  </si>
  <si>
    <t>C-11384</t>
  </si>
  <si>
    <t>C-11385</t>
  </si>
  <si>
    <t>C-11386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</si>
  <si>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>CANCELADA</t>
    </r>
  </si>
  <si>
    <t>C-11387</t>
  </si>
  <si>
    <t>C-11388</t>
  </si>
  <si>
    <t>C-11389</t>
  </si>
  <si>
    <t>C-11390</t>
  </si>
  <si>
    <t>C-11391</t>
  </si>
  <si>
    <t>C-11392</t>
  </si>
  <si>
    <t>C-11393</t>
  </si>
  <si>
    <t>C-11394</t>
  </si>
  <si>
    <t>C-11395</t>
  </si>
  <si>
    <t>C-11396</t>
  </si>
  <si>
    <t>C-11397</t>
  </si>
  <si>
    <t>(267)ULISES</t>
  </si>
  <si>
    <t>C-11398</t>
  </si>
  <si>
    <t>C-11399</t>
  </si>
  <si>
    <t>C-11400</t>
  </si>
  <si>
    <t>C-11401</t>
  </si>
  <si>
    <t>C-11402</t>
  </si>
  <si>
    <t>C-11403</t>
  </si>
  <si>
    <t>C-11404</t>
  </si>
  <si>
    <t>C-11405</t>
  </si>
  <si>
    <t>(517)JESUS POTRERO</t>
  </si>
  <si>
    <t>C-11406</t>
  </si>
  <si>
    <t>14-Feb-22--16-Feb-22</t>
  </si>
  <si>
    <t>C-11407</t>
  </si>
  <si>
    <t>C-11408</t>
  </si>
  <si>
    <t>C-11409</t>
  </si>
  <si>
    <t>C-11410</t>
  </si>
  <si>
    <t>C-11411</t>
  </si>
  <si>
    <t>C-11412</t>
  </si>
  <si>
    <t>C-11413</t>
  </si>
  <si>
    <t>C-11414</t>
  </si>
  <si>
    <t>C-11415</t>
  </si>
  <si>
    <t>C-11416</t>
  </si>
  <si>
    <t>C-11417</t>
  </si>
  <si>
    <t>C-11418</t>
  </si>
  <si>
    <t>C-11419</t>
  </si>
  <si>
    <t>C-11420</t>
  </si>
  <si>
    <t>C-11421</t>
  </si>
  <si>
    <t>C-11422</t>
  </si>
  <si>
    <t>C-11423</t>
  </si>
  <si>
    <t>C-11424</t>
  </si>
  <si>
    <t>(313)ISMAEL MACHORRO</t>
  </si>
  <si>
    <t>C-11425</t>
  </si>
  <si>
    <t>C-11426</t>
  </si>
  <si>
    <t>C-11427</t>
  </si>
  <si>
    <t>C-11428</t>
  </si>
  <si>
    <t>C-11429</t>
  </si>
  <si>
    <t>C-11430</t>
  </si>
  <si>
    <t>C-11431</t>
  </si>
  <si>
    <t>C-11432</t>
  </si>
  <si>
    <t>C-11433</t>
  </si>
  <si>
    <t>C-11434</t>
  </si>
  <si>
    <t>C-11435</t>
  </si>
  <si>
    <t>C-11436</t>
  </si>
  <si>
    <t>C-11437</t>
  </si>
  <si>
    <t>C-11438</t>
  </si>
  <si>
    <t>C-11439</t>
  </si>
  <si>
    <t>C-11440</t>
  </si>
  <si>
    <t>C-11441</t>
  </si>
  <si>
    <t>C-11442</t>
  </si>
  <si>
    <t>C-11443</t>
  </si>
  <si>
    <t>C-11444</t>
  </si>
  <si>
    <t>C-11445</t>
  </si>
  <si>
    <t>C-11446</t>
  </si>
  <si>
    <t>C-11447</t>
  </si>
  <si>
    <t>C-11448</t>
  </si>
  <si>
    <t>C-11449</t>
  </si>
  <si>
    <t>C-11450</t>
  </si>
  <si>
    <t>C-11451</t>
  </si>
  <si>
    <t>C-11452</t>
  </si>
  <si>
    <t>C-11453</t>
  </si>
  <si>
    <t>C-11454</t>
  </si>
  <si>
    <t>C-11455</t>
  </si>
  <si>
    <t>C-11456</t>
  </si>
  <si>
    <t>C-11457</t>
  </si>
  <si>
    <t>C-11458</t>
  </si>
  <si>
    <t>C-11459</t>
  </si>
  <si>
    <t>C-11460</t>
  </si>
  <si>
    <t>C-11461</t>
  </si>
  <si>
    <t>C-11462</t>
  </si>
  <si>
    <t>C-11463</t>
  </si>
  <si>
    <t>C-11464</t>
  </si>
  <si>
    <t>C-11465</t>
  </si>
  <si>
    <t>C-11466</t>
  </si>
  <si>
    <t>C-11467</t>
  </si>
  <si>
    <r>
      <t xml:space="preserve">(556)BRAZILIAN BUFFET  </t>
    </r>
    <r>
      <rPr>
        <b/>
        <sz val="12"/>
        <color rgb="FFFF0000"/>
        <rFont val="Calibri"/>
        <family val="2"/>
        <scheme val="minor"/>
      </rPr>
      <t>CANCELADA</t>
    </r>
  </si>
  <si>
    <t>se sustituyo x la 11469</t>
  </si>
  <si>
    <t>C-11468</t>
  </si>
  <si>
    <t>C-11469</t>
  </si>
  <si>
    <t>C-11470</t>
  </si>
  <si>
    <t>C-11471</t>
  </si>
  <si>
    <t>C-11472</t>
  </si>
  <si>
    <t>C-11473</t>
  </si>
  <si>
    <t>C-11474</t>
  </si>
  <si>
    <t>C-11475</t>
  </si>
  <si>
    <t>C-11476</t>
  </si>
  <si>
    <t>C-11477</t>
  </si>
  <si>
    <t>C-11478</t>
  </si>
  <si>
    <t>C-11479</t>
  </si>
  <si>
    <t>C-11480</t>
  </si>
  <si>
    <t>C-11481</t>
  </si>
  <si>
    <t>C-11482</t>
  </si>
  <si>
    <t>C-11483</t>
  </si>
  <si>
    <t>C-11484</t>
  </si>
  <si>
    <t>C-11485</t>
  </si>
  <si>
    <t>C-11486</t>
  </si>
  <si>
    <t>C-11487</t>
  </si>
  <si>
    <t>C-11488</t>
  </si>
  <si>
    <t>C-11489</t>
  </si>
  <si>
    <t>C-11490</t>
  </si>
  <si>
    <t>C-11491</t>
  </si>
  <si>
    <t>C-11492</t>
  </si>
  <si>
    <t>C-11493</t>
  </si>
  <si>
    <t>C-11494</t>
  </si>
  <si>
    <t>C-11495</t>
  </si>
  <si>
    <t>C-11496</t>
  </si>
  <si>
    <t>C-11497</t>
  </si>
  <si>
    <t>C-11498</t>
  </si>
  <si>
    <t>C-11499</t>
  </si>
  <si>
    <t>C-11500</t>
  </si>
  <si>
    <t>C-11501</t>
  </si>
  <si>
    <t>C-11502</t>
  </si>
  <si>
    <t>C-11503</t>
  </si>
  <si>
    <t>C-11504</t>
  </si>
  <si>
    <t>C-11505</t>
  </si>
  <si>
    <t>C-11506</t>
  </si>
  <si>
    <t>C-11507</t>
  </si>
  <si>
    <t>C-11508</t>
  </si>
  <si>
    <r>
      <t xml:space="preserve">(80)CAMPRA  </t>
    </r>
    <r>
      <rPr>
        <b/>
        <sz val="12"/>
        <color rgb="FFFF0000"/>
        <rFont val="Calibri"/>
        <family val="2"/>
        <scheme val="minor"/>
      </rPr>
      <t>CANCELADA</t>
    </r>
  </si>
  <si>
    <t>se sustituyo x la 11509</t>
  </si>
  <si>
    <t>C-11509</t>
  </si>
  <si>
    <t>C-11510</t>
  </si>
  <si>
    <t>C-11511</t>
  </si>
  <si>
    <t>C-11512</t>
  </si>
  <si>
    <t>C-11513</t>
  </si>
  <si>
    <t>C-11514</t>
  </si>
  <si>
    <t>C-11515</t>
  </si>
  <si>
    <t>C-11516</t>
  </si>
  <si>
    <t>C-11517</t>
  </si>
  <si>
    <t>C-11518</t>
  </si>
  <si>
    <t>C-11519</t>
  </si>
  <si>
    <t>C-11520</t>
  </si>
  <si>
    <t>C-11521</t>
  </si>
  <si>
    <t>C-11522</t>
  </si>
  <si>
    <t>C-11523</t>
  </si>
  <si>
    <t>C-11524</t>
  </si>
  <si>
    <t>C-11525</t>
  </si>
  <si>
    <t>C-11526</t>
  </si>
  <si>
    <t>C-11527</t>
  </si>
  <si>
    <t>C-11528</t>
  </si>
  <si>
    <t>C-11529</t>
  </si>
  <si>
    <t>C-11530</t>
  </si>
  <si>
    <t>C-11531</t>
  </si>
  <si>
    <t>C-11532</t>
  </si>
  <si>
    <t>C-11533</t>
  </si>
  <si>
    <t>C-11534</t>
  </si>
  <si>
    <t>C-11535</t>
  </si>
  <si>
    <t>C-11536</t>
  </si>
  <si>
    <t>C-11537</t>
  </si>
  <si>
    <t>C-11538</t>
  </si>
  <si>
    <t>C-11539</t>
  </si>
  <si>
    <t>C-11540</t>
  </si>
  <si>
    <t>C-11541</t>
  </si>
  <si>
    <t>C-11542</t>
  </si>
  <si>
    <t>C-11543</t>
  </si>
  <si>
    <t>C-11544</t>
  </si>
  <si>
    <t>C-11545</t>
  </si>
  <si>
    <t>C-11546</t>
  </si>
  <si>
    <t>C-11547</t>
  </si>
  <si>
    <t>(251)CARLOS  PEREZ</t>
  </si>
  <si>
    <t>C-11548</t>
  </si>
  <si>
    <t>C-11549</t>
  </si>
  <si>
    <t>C-11550</t>
  </si>
  <si>
    <t>C-11551</t>
  </si>
  <si>
    <t>C-11552</t>
  </si>
  <si>
    <t>C-11553</t>
  </si>
  <si>
    <t>C-11554</t>
  </si>
  <si>
    <t>C-11555</t>
  </si>
  <si>
    <t>C-11556</t>
  </si>
  <si>
    <t>C-11557</t>
  </si>
  <si>
    <t>C-11558</t>
  </si>
  <si>
    <t>C-11559</t>
  </si>
  <si>
    <t>C-11560</t>
  </si>
  <si>
    <t>C-11561</t>
  </si>
  <si>
    <t>C-11562</t>
  </si>
  <si>
    <t>C-11563</t>
  </si>
  <si>
    <t>C-11564</t>
  </si>
  <si>
    <t>C-11565</t>
  </si>
  <si>
    <t>C-11566</t>
  </si>
  <si>
    <t>C-11567</t>
  </si>
  <si>
    <t>C-11568</t>
  </si>
  <si>
    <t>C-11569</t>
  </si>
  <si>
    <t>C-11570</t>
  </si>
  <si>
    <t>C-11571</t>
  </si>
  <si>
    <t>C-11572</t>
  </si>
  <si>
    <t>C-11573</t>
  </si>
  <si>
    <t>C-11574</t>
  </si>
  <si>
    <t>C-11575</t>
  </si>
  <si>
    <t>C-11576</t>
  </si>
  <si>
    <t>C-11577</t>
  </si>
  <si>
    <t>C-11578</t>
  </si>
  <si>
    <t>C-11579</t>
  </si>
  <si>
    <t>C-11580</t>
  </si>
  <si>
    <t>C-11581</t>
  </si>
  <si>
    <t>C-11582</t>
  </si>
  <si>
    <t>C-11583</t>
  </si>
  <si>
    <t>C-11584</t>
  </si>
  <si>
    <t>C-11585</t>
  </si>
  <si>
    <t>C-11586</t>
  </si>
  <si>
    <t>C-11587</t>
  </si>
  <si>
    <t>C-11588</t>
  </si>
  <si>
    <t>C-11589</t>
  </si>
  <si>
    <t>C-11590</t>
  </si>
  <si>
    <t>C-11591</t>
  </si>
  <si>
    <t>C-11592</t>
  </si>
  <si>
    <t>C-11593</t>
  </si>
  <si>
    <t>C-11594</t>
  </si>
  <si>
    <t>C-11595</t>
  </si>
  <si>
    <t>C-11596</t>
  </si>
  <si>
    <t>C-11597</t>
  </si>
  <si>
    <t>C-11598</t>
  </si>
  <si>
    <t>C-11599</t>
  </si>
  <si>
    <t>C-11600</t>
  </si>
  <si>
    <t>C-11601</t>
  </si>
  <si>
    <t>C-11602</t>
  </si>
  <si>
    <r>
      <t xml:space="preserve">(208)SUPER DE LAS LOMAS VITORINO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</si>
  <si>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C-11603</t>
  </si>
  <si>
    <t>C-11604</t>
  </si>
  <si>
    <t>C-11605</t>
  </si>
  <si>
    <t>C-11606</t>
  </si>
  <si>
    <t>C-11607</t>
  </si>
  <si>
    <t>C-11608</t>
  </si>
  <si>
    <t>C-11609</t>
  </si>
  <si>
    <t>C-11610</t>
  </si>
  <si>
    <t>C-11611</t>
  </si>
  <si>
    <t>C-11612</t>
  </si>
  <si>
    <t>C-11613</t>
  </si>
  <si>
    <t>C-11614</t>
  </si>
  <si>
    <t>C-11615</t>
  </si>
  <si>
    <t>C-11616</t>
  </si>
  <si>
    <t>C-11617</t>
  </si>
  <si>
    <t>C-11618</t>
  </si>
  <si>
    <t>C-11619</t>
  </si>
  <si>
    <r>
      <t>(637)COYOTE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</si>
  <si>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11620</t>
  </si>
  <si>
    <t>C-11620</t>
  </si>
  <si>
    <t>C-11621</t>
  </si>
  <si>
    <t>C-11622</t>
  </si>
  <si>
    <t>C-11623</t>
  </si>
  <si>
    <t>C-11624</t>
  </si>
  <si>
    <t>C-11625</t>
  </si>
  <si>
    <t>C-11626</t>
  </si>
  <si>
    <t>C-11627</t>
  </si>
  <si>
    <t>se sustituyo x la 11628</t>
  </si>
  <si>
    <t>C-11628</t>
  </si>
  <si>
    <t>C-11629</t>
  </si>
  <si>
    <t>C-11630</t>
  </si>
  <si>
    <t>C-11631</t>
  </si>
  <si>
    <t>C-11632</t>
  </si>
  <si>
    <t>C-11633</t>
  </si>
  <si>
    <t>C-11634</t>
  </si>
  <si>
    <t>C-11635</t>
  </si>
  <si>
    <t>C-11636</t>
  </si>
  <si>
    <t>C-11637</t>
  </si>
  <si>
    <t>C-11638</t>
  </si>
  <si>
    <t>C-11639</t>
  </si>
  <si>
    <t>C-11640</t>
  </si>
  <si>
    <t>C-11641</t>
  </si>
  <si>
    <t>C-11642</t>
  </si>
  <si>
    <t>C-11643</t>
  </si>
  <si>
    <t>C-11644</t>
  </si>
  <si>
    <t>C-11645</t>
  </si>
  <si>
    <t>C-11646</t>
  </si>
  <si>
    <t>C-11647</t>
  </si>
  <si>
    <t>C-11648</t>
  </si>
  <si>
    <t>C-11649</t>
  </si>
  <si>
    <t>C-11650</t>
  </si>
  <si>
    <t>C-11651</t>
  </si>
  <si>
    <t>C-11652</t>
  </si>
  <si>
    <t>C-11653</t>
  </si>
  <si>
    <t>C-11654</t>
  </si>
  <si>
    <t>C-11655</t>
  </si>
  <si>
    <t>C-11656</t>
  </si>
  <si>
    <t>C-11657</t>
  </si>
  <si>
    <t>C-11658</t>
  </si>
  <si>
    <t>C-11659</t>
  </si>
  <si>
    <t>C-11660</t>
  </si>
  <si>
    <t>C-11661</t>
  </si>
  <si>
    <t>11-Feb-22--12-Feb-22</t>
  </si>
  <si>
    <t>C-11662</t>
  </si>
  <si>
    <t>C-11663</t>
  </si>
  <si>
    <t>C-11664</t>
  </si>
  <si>
    <t>C-11665</t>
  </si>
  <si>
    <t>C-11666</t>
  </si>
  <si>
    <t>C-11667</t>
  </si>
  <si>
    <t>C-11668</t>
  </si>
  <si>
    <t>C-11669</t>
  </si>
  <si>
    <t>C-11670</t>
  </si>
  <si>
    <t>13-Feb-22--15-Feb-22</t>
  </si>
  <si>
    <t>C-11671</t>
  </si>
  <si>
    <t>C-11672</t>
  </si>
  <si>
    <t>C-11673</t>
  </si>
  <si>
    <t>C-11674</t>
  </si>
  <si>
    <t>C-11675</t>
  </si>
  <si>
    <t>C-11676</t>
  </si>
  <si>
    <t>C-11677</t>
  </si>
  <si>
    <t>C-11678</t>
  </si>
  <si>
    <t>C-11679</t>
  </si>
  <si>
    <t>C-11680</t>
  </si>
  <si>
    <t>C-11681</t>
  </si>
  <si>
    <t>C-11682</t>
  </si>
  <si>
    <t>C-11683</t>
  </si>
  <si>
    <t>C-11684</t>
  </si>
  <si>
    <t>C-11685</t>
  </si>
  <si>
    <t>C-11686</t>
  </si>
  <si>
    <t>C-11687</t>
  </si>
  <si>
    <t>C-11688</t>
  </si>
  <si>
    <t>C-11689</t>
  </si>
  <si>
    <t>C-11690</t>
  </si>
  <si>
    <t>C-11691</t>
  </si>
  <si>
    <t>C-11692</t>
  </si>
  <si>
    <t>C-11693</t>
  </si>
  <si>
    <t>C-11694</t>
  </si>
  <si>
    <t>C-11695</t>
  </si>
  <si>
    <t>C-11696</t>
  </si>
  <si>
    <t>C-11697</t>
  </si>
  <si>
    <t>C-11698</t>
  </si>
  <si>
    <t>C-11699</t>
  </si>
  <si>
    <t>C-11700</t>
  </si>
  <si>
    <t>C-11701</t>
  </si>
  <si>
    <t>C-11702</t>
  </si>
  <si>
    <t>/  /</t>
  </si>
  <si>
    <t>EN CREDITO</t>
  </si>
  <si>
    <t>C-11703</t>
  </si>
  <si>
    <t>C-11704</t>
  </si>
  <si>
    <t>C-11705</t>
  </si>
  <si>
    <t>C-11706</t>
  </si>
  <si>
    <t>C-11707</t>
  </si>
  <si>
    <t>C-11708</t>
  </si>
  <si>
    <t>C-11709</t>
  </si>
  <si>
    <t>C-11710</t>
  </si>
  <si>
    <t>C-11711</t>
  </si>
  <si>
    <t>C-11712</t>
  </si>
  <si>
    <t>C-11713</t>
  </si>
  <si>
    <t>C-11714</t>
  </si>
  <si>
    <t>C-11715</t>
  </si>
  <si>
    <t>C-11716</t>
  </si>
  <si>
    <t>C-11717</t>
  </si>
  <si>
    <t>C-11718</t>
  </si>
  <si>
    <t>C-11719</t>
  </si>
  <si>
    <t>C-11720</t>
  </si>
  <si>
    <t>C-11721</t>
  </si>
  <si>
    <t>C-11722</t>
  </si>
  <si>
    <t>C-11723</t>
  </si>
  <si>
    <t>C-11724</t>
  </si>
  <si>
    <t>C-11725</t>
  </si>
  <si>
    <t>C-11726</t>
  </si>
  <si>
    <t>C-11727</t>
  </si>
  <si>
    <t>C-11728</t>
  </si>
  <si>
    <t>C-11729</t>
  </si>
  <si>
    <t>C-11730</t>
  </si>
  <si>
    <t>C-11731</t>
  </si>
  <si>
    <t>C-11732</t>
  </si>
  <si>
    <t>C-11733</t>
  </si>
  <si>
    <t>C-11734</t>
  </si>
  <si>
    <t>C-11735</t>
  </si>
  <si>
    <t>C-11736</t>
  </si>
  <si>
    <t>C-11737</t>
  </si>
  <si>
    <t>C-11738</t>
  </si>
  <si>
    <t>C-11739</t>
  </si>
  <si>
    <t>C-11740</t>
  </si>
  <si>
    <t>C-11741</t>
  </si>
  <si>
    <t>C-11742</t>
  </si>
  <si>
    <t>C-11743</t>
  </si>
  <si>
    <t>C-11744</t>
  </si>
  <si>
    <t>C-11745</t>
  </si>
  <si>
    <t>C-11746</t>
  </si>
  <si>
    <t>C-11747</t>
  </si>
  <si>
    <t>C-11748</t>
  </si>
  <si>
    <t>C-11749</t>
  </si>
  <si>
    <t>C-11750</t>
  </si>
  <si>
    <t>C-11751</t>
  </si>
  <si>
    <t>C-11752</t>
  </si>
  <si>
    <t>C-11753</t>
  </si>
  <si>
    <t>C-11754</t>
  </si>
  <si>
    <t>C-11755</t>
  </si>
  <si>
    <t>C-11756</t>
  </si>
  <si>
    <t>C-11757</t>
  </si>
  <si>
    <t>C-11758</t>
  </si>
  <si>
    <t>C-11759</t>
  </si>
  <si>
    <t>C-11760</t>
  </si>
  <si>
    <t>C-11761</t>
  </si>
  <si>
    <t>C-11762</t>
  </si>
  <si>
    <t>C-11763</t>
  </si>
  <si>
    <t>C-11764</t>
  </si>
  <si>
    <t>C-11765</t>
  </si>
  <si>
    <t>C-11766</t>
  </si>
  <si>
    <t>C-11767</t>
  </si>
  <si>
    <t>C-11768</t>
  </si>
  <si>
    <t>C-11769</t>
  </si>
  <si>
    <t>C-11770</t>
  </si>
  <si>
    <t>C-11771</t>
  </si>
  <si>
    <t>C-11772</t>
  </si>
  <si>
    <t>C-11773</t>
  </si>
  <si>
    <t>C-11774</t>
  </si>
  <si>
    <t>C-11775</t>
  </si>
  <si>
    <t>C-11776</t>
  </si>
  <si>
    <t>C-11777</t>
  </si>
  <si>
    <t>C-11778</t>
  </si>
  <si>
    <t>C-11779</t>
  </si>
  <si>
    <t>C-11780</t>
  </si>
  <si>
    <t>C-11781</t>
  </si>
  <si>
    <t>C-11782</t>
  </si>
  <si>
    <t>C-11783</t>
  </si>
  <si>
    <t>C-11784</t>
  </si>
  <si>
    <t>C-11785</t>
  </si>
  <si>
    <t>C-11786</t>
  </si>
  <si>
    <t>C-11787</t>
  </si>
  <si>
    <t>12-Feb-22--13-Feb-22</t>
  </si>
  <si>
    <t>C-11788</t>
  </si>
  <si>
    <t>C-11789</t>
  </si>
  <si>
    <t>C-11790</t>
  </si>
  <si>
    <t>C-11791</t>
  </si>
  <si>
    <t>C-11792</t>
  </si>
  <si>
    <t>C-11793</t>
  </si>
  <si>
    <t>C-11794</t>
  </si>
  <si>
    <t>C-11795</t>
  </si>
  <si>
    <t>C-11796</t>
  </si>
  <si>
    <t>C-11797</t>
  </si>
  <si>
    <t>C-11798</t>
  </si>
  <si>
    <t>C-11799</t>
  </si>
  <si>
    <t>C-11800</t>
  </si>
  <si>
    <t>C-11801</t>
  </si>
  <si>
    <t>C-11802</t>
  </si>
  <si>
    <t>C-11803</t>
  </si>
  <si>
    <t>C-11804</t>
  </si>
  <si>
    <t>C-11805</t>
  </si>
  <si>
    <t>C-11806</t>
  </si>
  <si>
    <t>C-11807</t>
  </si>
  <si>
    <t>C-11808</t>
  </si>
  <si>
    <t>C-11809</t>
  </si>
  <si>
    <t>C-11810</t>
  </si>
  <si>
    <t>C-11811</t>
  </si>
  <si>
    <t>C-11812</t>
  </si>
  <si>
    <t>C-11813</t>
  </si>
  <si>
    <t>C-11814</t>
  </si>
  <si>
    <t>C-11815</t>
  </si>
  <si>
    <t>C-11816</t>
  </si>
  <si>
    <t>C-11817</t>
  </si>
  <si>
    <t>C-11818</t>
  </si>
  <si>
    <t>C-11819</t>
  </si>
  <si>
    <t>C-11820</t>
  </si>
  <si>
    <t>C-11821</t>
  </si>
  <si>
    <t>C-11822</t>
  </si>
  <si>
    <t>C-11823</t>
  </si>
  <si>
    <t>C-11824</t>
  </si>
  <si>
    <t>C-11825</t>
  </si>
  <si>
    <t>C-11826</t>
  </si>
  <si>
    <t>C-11827</t>
  </si>
  <si>
    <t>C-11828</t>
  </si>
  <si>
    <t>C-11829</t>
  </si>
  <si>
    <t>C-11830</t>
  </si>
  <si>
    <t>C-11831</t>
  </si>
  <si>
    <t>C-11832</t>
  </si>
  <si>
    <t>C-11833</t>
  </si>
  <si>
    <t>C-11834</t>
  </si>
  <si>
    <t>C-11835</t>
  </si>
  <si>
    <t>C-11836</t>
  </si>
  <si>
    <t>C-11837</t>
  </si>
  <si>
    <t>C-11838</t>
  </si>
  <si>
    <t>C-11839</t>
  </si>
  <si>
    <t>C-11840</t>
  </si>
  <si>
    <t>C-11841</t>
  </si>
  <si>
    <t>C-11842</t>
  </si>
  <si>
    <t>C-11843</t>
  </si>
  <si>
    <t>C-11844</t>
  </si>
  <si>
    <t>C-11845</t>
  </si>
  <si>
    <t>C-11846</t>
  </si>
  <si>
    <t>C-11847</t>
  </si>
  <si>
    <t>C-11848</t>
  </si>
  <si>
    <t>C-11849</t>
  </si>
  <si>
    <t>C-11850</t>
  </si>
  <si>
    <t>C-11851</t>
  </si>
  <si>
    <t>C-11852</t>
  </si>
  <si>
    <t>C-11853</t>
  </si>
  <si>
    <t>C-11854</t>
  </si>
  <si>
    <t>C-11855</t>
  </si>
  <si>
    <t>C-11856</t>
  </si>
  <si>
    <t>C-11857</t>
  </si>
  <si>
    <t>C-11858</t>
  </si>
  <si>
    <t>C-11859</t>
  </si>
  <si>
    <t>C-11860</t>
  </si>
  <si>
    <t>C-11861</t>
  </si>
  <si>
    <t>C-11862</t>
  </si>
  <si>
    <t>C-11863</t>
  </si>
  <si>
    <t>C-11864</t>
  </si>
  <si>
    <t>C-11865</t>
  </si>
  <si>
    <t>C-11866</t>
  </si>
  <si>
    <t>C-11867</t>
  </si>
  <si>
    <t>C-11868</t>
  </si>
  <si>
    <t>C-11869</t>
  </si>
  <si>
    <r>
      <t xml:space="preserve">(708)EL SAGRARIO  </t>
    </r>
    <r>
      <rPr>
        <b/>
        <sz val="12"/>
        <color rgb="FFFF0000"/>
        <rFont val="Calibri"/>
        <family val="2"/>
        <scheme val="minor"/>
      </rPr>
      <t>CANCELADA</t>
    </r>
  </si>
  <si>
    <t>C-11870</t>
  </si>
  <si>
    <t>C-11871</t>
  </si>
  <si>
    <t>C-11872</t>
  </si>
  <si>
    <t>C-11873</t>
  </si>
  <si>
    <t>C-11874</t>
  </si>
  <si>
    <t>C-11875</t>
  </si>
  <si>
    <t>C-11876</t>
  </si>
  <si>
    <t>C-11877</t>
  </si>
  <si>
    <t>C-11878</t>
  </si>
  <si>
    <t>C-11879</t>
  </si>
  <si>
    <t>C-11880</t>
  </si>
  <si>
    <t>C-11881</t>
  </si>
  <si>
    <t>C-11882</t>
  </si>
  <si>
    <t>C-11883</t>
  </si>
  <si>
    <t>C-11884</t>
  </si>
  <si>
    <t>C-11885</t>
  </si>
  <si>
    <t>C-11886</t>
  </si>
  <si>
    <t>C-11887</t>
  </si>
  <si>
    <t>C-11888</t>
  </si>
  <si>
    <t>C-11889</t>
  </si>
  <si>
    <t>C-11890</t>
  </si>
  <si>
    <t>C-11891</t>
  </si>
  <si>
    <t>C-11892</t>
  </si>
  <si>
    <t>C-11893</t>
  </si>
  <si>
    <t>C-11894</t>
  </si>
  <si>
    <t>C-11895</t>
  </si>
  <si>
    <t>C-11896</t>
  </si>
  <si>
    <t>C-11897</t>
  </si>
  <si>
    <t>C-11898</t>
  </si>
  <si>
    <t>C-11899</t>
  </si>
  <si>
    <t>C-11900</t>
  </si>
  <si>
    <t>C-11901</t>
  </si>
  <si>
    <t>C-11902</t>
  </si>
  <si>
    <t>C-11903</t>
  </si>
  <si>
    <t>C-11904</t>
  </si>
  <si>
    <t>C-11905</t>
  </si>
  <si>
    <t>C-11906</t>
  </si>
  <si>
    <t>C-11907</t>
  </si>
  <si>
    <t>C-11908</t>
  </si>
  <si>
    <t>C-11909</t>
  </si>
  <si>
    <t>C-11910</t>
  </si>
  <si>
    <t>C-11911</t>
  </si>
  <si>
    <t>C-11912</t>
  </si>
  <si>
    <t>C-11913</t>
  </si>
  <si>
    <t>C-11914</t>
  </si>
  <si>
    <t>C-11915</t>
  </si>
  <si>
    <t>C-11916</t>
  </si>
  <si>
    <t>C-11917</t>
  </si>
  <si>
    <t>C-11918</t>
  </si>
  <si>
    <t>C-11919</t>
  </si>
  <si>
    <t>C-11920</t>
  </si>
  <si>
    <t>C-11921</t>
  </si>
  <si>
    <t>C-11922</t>
  </si>
  <si>
    <t>C-11923</t>
  </si>
  <si>
    <t>C-11924</t>
  </si>
  <si>
    <t>C-11925</t>
  </si>
  <si>
    <t>C-11926</t>
  </si>
  <si>
    <t>C-11927</t>
  </si>
  <si>
    <t>C-11928</t>
  </si>
  <si>
    <t>(591)JULIO</t>
  </si>
  <si>
    <t>C-11929</t>
  </si>
  <si>
    <t>C-11930</t>
  </si>
  <si>
    <t>C-11931</t>
  </si>
  <si>
    <t>C-11932</t>
  </si>
  <si>
    <t>C-11933</t>
  </si>
  <si>
    <t>C-11934</t>
  </si>
  <si>
    <t>C-11935</t>
  </si>
  <si>
    <t>C-11936</t>
  </si>
  <si>
    <t>C-11937</t>
  </si>
  <si>
    <t>C-11938</t>
  </si>
  <si>
    <t>15-Feb-22--16-Feb-22</t>
  </si>
  <si>
    <t>C-11939</t>
  </si>
  <si>
    <t>C-11940</t>
  </si>
  <si>
    <r>
      <t xml:space="preserve">(246)MARIBEL MEZA  </t>
    </r>
    <r>
      <rPr>
        <b/>
        <sz val="12"/>
        <color rgb="FFFF0000"/>
        <rFont val="Calibri"/>
        <family val="2"/>
        <scheme val="minor"/>
      </rPr>
      <t>CANCELADA</t>
    </r>
  </si>
  <si>
    <t>C-11941</t>
  </si>
  <si>
    <t>C-11942</t>
  </si>
  <si>
    <r>
      <t xml:space="preserve">(254)IRENE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</si>
  <si>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11946</t>
  </si>
  <si>
    <t>C-11943</t>
  </si>
  <si>
    <t>C-11944</t>
  </si>
  <si>
    <t>C-11945</t>
  </si>
  <si>
    <t>C-11946</t>
  </si>
  <si>
    <t>C-11947</t>
  </si>
  <si>
    <t>C-11948</t>
  </si>
  <si>
    <t>C-11949</t>
  </si>
  <si>
    <t>C-11950</t>
  </si>
  <si>
    <t>C-11951</t>
  </si>
  <si>
    <t>C-11952</t>
  </si>
  <si>
    <t>C-11953</t>
  </si>
  <si>
    <t>C-11954</t>
  </si>
  <si>
    <t>C-11955</t>
  </si>
  <si>
    <t>C-11956</t>
  </si>
  <si>
    <t>C-11957</t>
  </si>
  <si>
    <t>C-11958</t>
  </si>
  <si>
    <t>C-11959</t>
  </si>
  <si>
    <t>C-11960</t>
  </si>
  <si>
    <t>C-11961</t>
  </si>
  <si>
    <t>C-11962</t>
  </si>
  <si>
    <t>C-11963</t>
  </si>
  <si>
    <t>C-11964</t>
  </si>
  <si>
    <t>C-11965</t>
  </si>
  <si>
    <t>C-11966</t>
  </si>
  <si>
    <t>C-11967</t>
  </si>
  <si>
    <t>C-11968</t>
  </si>
  <si>
    <t>C-11969</t>
  </si>
  <si>
    <t>C-11970</t>
  </si>
  <si>
    <t>C-11971</t>
  </si>
  <si>
    <t>C-11972</t>
  </si>
  <si>
    <t>C-11973</t>
  </si>
  <si>
    <t>C-11974</t>
  </si>
  <si>
    <t>C-11975</t>
  </si>
  <si>
    <t>C-11976</t>
  </si>
  <si>
    <t>C-11977</t>
  </si>
  <si>
    <t>C-11978</t>
  </si>
  <si>
    <t>C-11979</t>
  </si>
  <si>
    <t>C-11980</t>
  </si>
  <si>
    <t>C-11981</t>
  </si>
  <si>
    <t>C-11982</t>
  </si>
  <si>
    <t>C-11983</t>
  </si>
  <si>
    <t>C-11984</t>
  </si>
  <si>
    <t>C-11985</t>
  </si>
  <si>
    <t>C-11986</t>
  </si>
  <si>
    <t>C-11987</t>
  </si>
  <si>
    <t>C-11988</t>
  </si>
  <si>
    <t>C-11989</t>
  </si>
  <si>
    <t>C-11990</t>
  </si>
  <si>
    <t>C-11991</t>
  </si>
  <si>
    <t>C-11992</t>
  </si>
  <si>
    <t>C-11993</t>
  </si>
  <si>
    <t>C-11994</t>
  </si>
  <si>
    <t>C-11995</t>
  </si>
  <si>
    <t>C-11996</t>
  </si>
  <si>
    <t>C-11997</t>
  </si>
  <si>
    <t>C-11998</t>
  </si>
  <si>
    <t>C-11999</t>
  </si>
  <si>
    <t>C-12000</t>
  </si>
  <si>
    <t>18-Feb-22--25-Feb-22</t>
  </si>
  <si>
    <t>C-12001</t>
  </si>
  <si>
    <t>C-12002</t>
  </si>
  <si>
    <t>C-12003</t>
  </si>
  <si>
    <t>C-12004</t>
  </si>
  <si>
    <t>C-12005</t>
  </si>
  <si>
    <t>(19)ANGEL MARQUEZ</t>
  </si>
  <si>
    <t>C-12006</t>
  </si>
  <si>
    <t>C-12007</t>
  </si>
  <si>
    <t>C-12008</t>
  </si>
  <si>
    <t>C-12009</t>
  </si>
  <si>
    <t>C-12010</t>
  </si>
  <si>
    <t>C-12011</t>
  </si>
  <si>
    <t>C-12012</t>
  </si>
  <si>
    <t>C-12013</t>
  </si>
  <si>
    <t>C-12014</t>
  </si>
  <si>
    <t>C-12015</t>
  </si>
  <si>
    <t>13-Feb-22--14-Feb-22</t>
  </si>
  <si>
    <t>C-12016</t>
  </si>
  <si>
    <t>C-12017</t>
  </si>
  <si>
    <t>C-12018</t>
  </si>
  <si>
    <t>C-12019</t>
  </si>
  <si>
    <t>C-12020</t>
  </si>
  <si>
    <t>C-12021</t>
  </si>
  <si>
    <t>C-12022</t>
  </si>
  <si>
    <t>C-12023</t>
  </si>
  <si>
    <t>C-12024</t>
  </si>
  <si>
    <t>C-12025</t>
  </si>
  <si>
    <t>C-12026</t>
  </si>
  <si>
    <t>C-12027</t>
  </si>
  <si>
    <t>C-12028</t>
  </si>
  <si>
    <t>C-12029</t>
  </si>
  <si>
    <t>C-12030</t>
  </si>
  <si>
    <t>C-12031</t>
  </si>
  <si>
    <t>C-12032</t>
  </si>
  <si>
    <t>C-12033</t>
  </si>
  <si>
    <t>C-12034</t>
  </si>
  <si>
    <t>C-12035</t>
  </si>
  <si>
    <t>C-12036</t>
  </si>
  <si>
    <t>C-12037</t>
  </si>
  <si>
    <t>C-12038</t>
  </si>
  <si>
    <t>C-12039</t>
  </si>
  <si>
    <t>C-12040</t>
  </si>
  <si>
    <t>C-12041</t>
  </si>
  <si>
    <t>C-12042</t>
  </si>
  <si>
    <t>C-12043</t>
  </si>
  <si>
    <t>C-12044</t>
  </si>
  <si>
    <t>C-12045</t>
  </si>
  <si>
    <t>C-12046</t>
  </si>
  <si>
    <t>C-12047</t>
  </si>
  <si>
    <t>C-12048</t>
  </si>
  <si>
    <t>C-12049</t>
  </si>
  <si>
    <t>C-12050</t>
  </si>
  <si>
    <t>C-12051</t>
  </si>
  <si>
    <t>C-12052</t>
  </si>
  <si>
    <t>C-12053</t>
  </si>
  <si>
    <t>C-12054</t>
  </si>
  <si>
    <t>C-12055</t>
  </si>
  <si>
    <t>C-12056</t>
  </si>
  <si>
    <t>C-12057</t>
  </si>
  <si>
    <t>14-Feb-22--15-Feb-22</t>
  </si>
  <si>
    <t>C-12058</t>
  </si>
  <si>
    <t>C-12059</t>
  </si>
  <si>
    <t>C-12060</t>
  </si>
  <si>
    <t>C-12061</t>
  </si>
  <si>
    <t>C-12062</t>
  </si>
  <si>
    <t>C-12063</t>
  </si>
  <si>
    <t>C-12064</t>
  </si>
  <si>
    <t>C-12065</t>
  </si>
  <si>
    <t>C-12066</t>
  </si>
  <si>
    <t>C-12067</t>
  </si>
  <si>
    <t>C-12068</t>
  </si>
  <si>
    <t>C-12069</t>
  </si>
  <si>
    <t>C-12070</t>
  </si>
  <si>
    <t>C-12071</t>
  </si>
  <si>
    <t>C-12072</t>
  </si>
  <si>
    <t>C-12073</t>
  </si>
  <si>
    <t>C-12074</t>
  </si>
  <si>
    <t>C-12075</t>
  </si>
  <si>
    <t>C-12076</t>
  </si>
  <si>
    <t>C-12077</t>
  </si>
  <si>
    <t>(229)OMAR JESUS TECHALOTZI MASTRANZO</t>
  </si>
  <si>
    <t>C-12078</t>
  </si>
  <si>
    <t>C-12079</t>
  </si>
  <si>
    <t>C-12080</t>
  </si>
  <si>
    <t>C-12081</t>
  </si>
  <si>
    <t>C-12082</t>
  </si>
  <si>
    <t>C-12083</t>
  </si>
  <si>
    <t>C-12084</t>
  </si>
  <si>
    <t>C-12085</t>
  </si>
  <si>
    <t>C-12086</t>
  </si>
  <si>
    <t>C-12087</t>
  </si>
  <si>
    <t>C-12088</t>
  </si>
  <si>
    <t>C-12089</t>
  </si>
  <si>
    <t>C-12090</t>
  </si>
  <si>
    <t>C-12091</t>
  </si>
  <si>
    <t>C-12092</t>
  </si>
  <si>
    <t>(885)LA PERLA</t>
  </si>
  <si>
    <t>C-12093</t>
  </si>
  <si>
    <t>C-12094</t>
  </si>
  <si>
    <r>
      <t xml:space="preserve">(284)DESIDERIO BAUTISTA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</si>
  <si>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C-12095</t>
  </si>
  <si>
    <t>C-12096</t>
  </si>
  <si>
    <t>16-Feb-22--17-Feb-22</t>
  </si>
  <si>
    <t>C-12097</t>
  </si>
  <si>
    <t>C-12098</t>
  </si>
  <si>
    <t>C-12099</t>
  </si>
  <si>
    <t>C-12100</t>
  </si>
  <si>
    <t>C-12101</t>
  </si>
  <si>
    <t>C-12102</t>
  </si>
  <si>
    <t>C-12103</t>
  </si>
  <si>
    <t>(720)ALVARO LOPEZ</t>
  </si>
  <si>
    <t>C-12104</t>
  </si>
  <si>
    <t>C-12105</t>
  </si>
  <si>
    <t>C-12106</t>
  </si>
  <si>
    <t>C-12107</t>
  </si>
  <si>
    <t>C-12108</t>
  </si>
  <si>
    <t>C-12109</t>
  </si>
  <si>
    <t>C-12110</t>
  </si>
  <si>
    <t>C-12111</t>
  </si>
  <si>
    <t>(442)MIGUEL MORELOS</t>
  </si>
  <si>
    <t>C-12112</t>
  </si>
  <si>
    <t>C-12113</t>
  </si>
  <si>
    <t>C-12114</t>
  </si>
  <si>
    <t>C-12115</t>
  </si>
  <si>
    <t>C-12116</t>
  </si>
  <si>
    <t>C-12117</t>
  </si>
  <si>
    <t>C-12118</t>
  </si>
  <si>
    <t>15-Feb-22--18-Feb-22</t>
  </si>
  <si>
    <t>C-12119</t>
  </si>
  <si>
    <t>C-12120</t>
  </si>
  <si>
    <t>C-12121</t>
  </si>
  <si>
    <t>C-12122</t>
  </si>
  <si>
    <t>C-12123</t>
  </si>
  <si>
    <t>C-12124</t>
  </si>
  <si>
    <t>C-12125</t>
  </si>
  <si>
    <t>C-12126</t>
  </si>
  <si>
    <t>C-12127</t>
  </si>
  <si>
    <t>C-12128</t>
  </si>
  <si>
    <t>C-12129</t>
  </si>
  <si>
    <t>C-12130</t>
  </si>
  <si>
    <t>C-12131</t>
  </si>
  <si>
    <t>C-12132</t>
  </si>
  <si>
    <t>14-Feb-22--23-Feb-22</t>
  </si>
  <si>
    <t>C-12133</t>
  </si>
  <si>
    <t>C-12134</t>
  </si>
  <si>
    <t>C-12135</t>
  </si>
  <si>
    <t>C-12136</t>
  </si>
  <si>
    <t>C-12137</t>
  </si>
  <si>
    <t>C-12138</t>
  </si>
  <si>
    <t>C-12139</t>
  </si>
  <si>
    <t>C-12140</t>
  </si>
  <si>
    <t>C-12141</t>
  </si>
  <si>
    <t>C-12142</t>
  </si>
  <si>
    <t>C-12143</t>
  </si>
  <si>
    <t>C-12144</t>
  </si>
  <si>
    <t>C-12145</t>
  </si>
  <si>
    <t>C-12146</t>
  </si>
  <si>
    <t>C-12147</t>
  </si>
  <si>
    <t>C-12148</t>
  </si>
  <si>
    <t>C-12149</t>
  </si>
  <si>
    <t>C-12150</t>
  </si>
  <si>
    <t>C-12151</t>
  </si>
  <si>
    <t>C-12152</t>
  </si>
  <si>
    <t>C-12153</t>
  </si>
  <si>
    <t>C-12154</t>
  </si>
  <si>
    <r>
      <t xml:space="preserve">(38)SUPER SERVICIO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</si>
  <si>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C-12155</t>
  </si>
  <si>
    <t>C-12156</t>
  </si>
  <si>
    <t>C-12157</t>
  </si>
  <si>
    <t>C-12158</t>
  </si>
  <si>
    <t>C-12159</t>
  </si>
  <si>
    <t>C-12160</t>
  </si>
  <si>
    <t>C-12161</t>
  </si>
  <si>
    <t>C-12162</t>
  </si>
  <si>
    <t>C-12163</t>
  </si>
  <si>
    <t>C-12164</t>
  </si>
  <si>
    <t>19-Feb-22--25-Feb-22</t>
  </si>
  <si>
    <t>C-12165</t>
  </si>
  <si>
    <t>C-12166</t>
  </si>
  <si>
    <t>C-12167</t>
  </si>
  <si>
    <t>C-12168</t>
  </si>
  <si>
    <t>C-12169</t>
  </si>
  <si>
    <t>C-12170</t>
  </si>
  <si>
    <t>C-12171</t>
  </si>
  <si>
    <t>C-12172</t>
  </si>
  <si>
    <t>C-12173</t>
  </si>
  <si>
    <t>C-12174</t>
  </si>
  <si>
    <t>C-12175</t>
  </si>
  <si>
    <t>C-12176</t>
  </si>
  <si>
    <t>C-12177</t>
  </si>
  <si>
    <t>C-12178</t>
  </si>
  <si>
    <t>C-12179</t>
  </si>
  <si>
    <t>C-12180</t>
  </si>
  <si>
    <t>C-12181</t>
  </si>
  <si>
    <t>C-12182</t>
  </si>
  <si>
    <t>C-12183</t>
  </si>
  <si>
    <t>C-12184</t>
  </si>
  <si>
    <t>C-12185</t>
  </si>
  <si>
    <t>C-12186</t>
  </si>
  <si>
    <t>C-12187</t>
  </si>
  <si>
    <t>C-12188</t>
  </si>
  <si>
    <t>C-12189</t>
  </si>
  <si>
    <t>C-12190</t>
  </si>
  <si>
    <t>C-12191</t>
  </si>
  <si>
    <t>C-12192</t>
  </si>
  <si>
    <t>C-12193</t>
  </si>
  <si>
    <t>C-12194</t>
  </si>
  <si>
    <t>C-12195</t>
  </si>
  <si>
    <t>C-12196</t>
  </si>
  <si>
    <t>C-12197</t>
  </si>
  <si>
    <t>C-12198</t>
  </si>
  <si>
    <t>C-12199</t>
  </si>
  <si>
    <t>C-12200</t>
  </si>
  <si>
    <t>C-12201</t>
  </si>
  <si>
    <t>C-12202</t>
  </si>
  <si>
    <t>C-12203</t>
  </si>
  <si>
    <t>C-12204</t>
  </si>
  <si>
    <t>C-12205</t>
  </si>
  <si>
    <t>C-12206</t>
  </si>
  <si>
    <t>C-12207</t>
  </si>
  <si>
    <t>C-12208</t>
  </si>
  <si>
    <t>C-12209</t>
  </si>
  <si>
    <t>C-12210</t>
  </si>
  <si>
    <t>C-12211</t>
  </si>
  <si>
    <t>(886)PASTORCITO 1 NUEVO</t>
  </si>
  <si>
    <t>C-12212</t>
  </si>
  <si>
    <t>C-12213</t>
  </si>
  <si>
    <t>C-12214</t>
  </si>
  <si>
    <t>C-12215</t>
  </si>
  <si>
    <t>C-12216</t>
  </si>
  <si>
    <t>C-12217</t>
  </si>
  <si>
    <t>C-12218</t>
  </si>
  <si>
    <t>C-12219</t>
  </si>
  <si>
    <t>C-12220</t>
  </si>
  <si>
    <t>C-12221</t>
  </si>
  <si>
    <t>C-12222</t>
  </si>
  <si>
    <t>C-12223</t>
  </si>
  <si>
    <t>C-12224</t>
  </si>
  <si>
    <t>C-12225</t>
  </si>
  <si>
    <t>C-12226</t>
  </si>
  <si>
    <t>C-12227</t>
  </si>
  <si>
    <t>C-12228</t>
  </si>
  <si>
    <t>16-Feb-22--18-Feb-22</t>
  </si>
  <si>
    <t>C-12229</t>
  </si>
  <si>
    <t>C-12230</t>
  </si>
  <si>
    <t>C-12231</t>
  </si>
  <si>
    <t>C-12232</t>
  </si>
  <si>
    <t>C-12233</t>
  </si>
  <si>
    <t>C-12234</t>
  </si>
  <si>
    <t>C-12235</t>
  </si>
  <si>
    <t>C-12236</t>
  </si>
  <si>
    <t>C-12237</t>
  </si>
  <si>
    <t>C-12238</t>
  </si>
  <si>
    <t>C-12239</t>
  </si>
  <si>
    <r>
      <t xml:space="preserve">(780)JAVIER MARTINEZ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</si>
  <si>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12245</t>
  </si>
  <si>
    <t>C-12240</t>
  </si>
  <si>
    <t>C-12241</t>
  </si>
  <si>
    <t>C-12242</t>
  </si>
  <si>
    <t>C-12243</t>
  </si>
  <si>
    <t>C-12244</t>
  </si>
  <si>
    <t>C-12245</t>
  </si>
  <si>
    <t>C-12246</t>
  </si>
  <si>
    <t>C-12247</t>
  </si>
  <si>
    <t>C-12248</t>
  </si>
  <si>
    <t>C-12249</t>
  </si>
  <si>
    <t>C-12250</t>
  </si>
  <si>
    <t>C-12251</t>
  </si>
  <si>
    <t>C-12252</t>
  </si>
  <si>
    <t>C-12253</t>
  </si>
  <si>
    <t>C-12254</t>
  </si>
  <si>
    <t>C-12255</t>
  </si>
  <si>
    <t>C-12256</t>
  </si>
  <si>
    <t>C-12257</t>
  </si>
  <si>
    <t>C-12258</t>
  </si>
  <si>
    <t>C-12259</t>
  </si>
  <si>
    <t>C-12260</t>
  </si>
  <si>
    <t>C-12261</t>
  </si>
  <si>
    <t>C-12262</t>
  </si>
  <si>
    <t>C-12263</t>
  </si>
  <si>
    <t>C-12264</t>
  </si>
  <si>
    <t>C-12265</t>
  </si>
  <si>
    <t>C-12266</t>
  </si>
  <si>
    <t>C-12267</t>
  </si>
  <si>
    <t>C-12268</t>
  </si>
  <si>
    <t>C-12269</t>
  </si>
  <si>
    <t>C-12270</t>
  </si>
  <si>
    <t>C-12271</t>
  </si>
  <si>
    <t>C-12272</t>
  </si>
  <si>
    <t>C-12273</t>
  </si>
  <si>
    <t>C-12274</t>
  </si>
  <si>
    <t>C-12275</t>
  </si>
  <si>
    <t>C-12276</t>
  </si>
  <si>
    <t>C-12277</t>
  </si>
  <si>
    <t>C-12278</t>
  </si>
  <si>
    <t>C-12279</t>
  </si>
  <si>
    <t>C-12280</t>
  </si>
  <si>
    <t>C-12281</t>
  </si>
  <si>
    <t>C-12282</t>
  </si>
  <si>
    <t>C-12283</t>
  </si>
  <si>
    <t>C-12284</t>
  </si>
  <si>
    <t>C-12285</t>
  </si>
  <si>
    <t>C-12286</t>
  </si>
  <si>
    <t>C-12287</t>
  </si>
  <si>
    <t>C-12288</t>
  </si>
  <si>
    <t>C-12289</t>
  </si>
  <si>
    <t>C-12290</t>
  </si>
  <si>
    <t>C-12291</t>
  </si>
  <si>
    <t>C-12292</t>
  </si>
  <si>
    <t>C-12293</t>
  </si>
  <si>
    <t>C-12294</t>
  </si>
  <si>
    <t>C-12295</t>
  </si>
  <si>
    <t>C-12296</t>
  </si>
  <si>
    <t>C-12297</t>
  </si>
  <si>
    <t>C-12298</t>
  </si>
  <si>
    <t>C-12299</t>
  </si>
  <si>
    <t>C-12300</t>
  </si>
  <si>
    <t>15/02/2022</t>
  </si>
  <si>
    <t>C-12301</t>
  </si>
  <si>
    <t>C-12302</t>
  </si>
  <si>
    <t>C-12303</t>
  </si>
  <si>
    <t>C-12304</t>
  </si>
  <si>
    <t>C-12305</t>
  </si>
  <si>
    <t>C-12306</t>
  </si>
  <si>
    <t>C-12307</t>
  </si>
  <si>
    <t>C-12308</t>
  </si>
  <si>
    <t>C-12309</t>
  </si>
  <si>
    <t>C-12310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</si>
  <si>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>CANCELADA</t>
    </r>
  </si>
  <si>
    <t>C-12311</t>
  </si>
  <si>
    <t>C-12312</t>
  </si>
  <si>
    <t>C-12313</t>
  </si>
  <si>
    <t>C-12314</t>
  </si>
  <si>
    <t>C-12315</t>
  </si>
  <si>
    <t>C-12316</t>
  </si>
  <si>
    <t>C-12317</t>
  </si>
  <si>
    <t>C-12318</t>
  </si>
  <si>
    <t>C-12319</t>
  </si>
  <si>
    <t>C-12320</t>
  </si>
  <si>
    <t>C-12321</t>
  </si>
  <si>
    <t>C-12322</t>
  </si>
  <si>
    <t>C-12323</t>
  </si>
  <si>
    <r>
      <t xml:space="preserve">(225)ABASTOS DE 4 CARNES SA DE CV SUC.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</si>
  <si>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C-12324</t>
  </si>
  <si>
    <t>C-12325</t>
  </si>
  <si>
    <t>C-12326</t>
  </si>
  <si>
    <t>C-12327</t>
  </si>
  <si>
    <t>C-12328</t>
  </si>
  <si>
    <t>C-12329</t>
  </si>
  <si>
    <t>C-12330</t>
  </si>
  <si>
    <t>C-12331</t>
  </si>
  <si>
    <t>C-12332</t>
  </si>
  <si>
    <t>C-12333</t>
  </si>
  <si>
    <t>C-12334</t>
  </si>
  <si>
    <t>C-12335</t>
  </si>
  <si>
    <t>C-12336</t>
  </si>
  <si>
    <t>C-12337</t>
  </si>
  <si>
    <t>C-12338</t>
  </si>
  <si>
    <t>C-12339</t>
  </si>
  <si>
    <t>C-12340</t>
  </si>
  <si>
    <t>C-12341</t>
  </si>
  <si>
    <t>18-Feb-22--19-Feb-22</t>
  </si>
  <si>
    <t>C-12342</t>
  </si>
  <si>
    <t>C-12343</t>
  </si>
  <si>
    <t>C-12344</t>
  </si>
  <si>
    <t>C-12345</t>
  </si>
  <si>
    <t>C-12346</t>
  </si>
  <si>
    <t>C-12347</t>
  </si>
  <si>
    <t>C-12348</t>
  </si>
  <si>
    <t>C-12349</t>
  </si>
  <si>
    <t>C-12350</t>
  </si>
  <si>
    <t>C-12351</t>
  </si>
  <si>
    <t>C-12352</t>
  </si>
  <si>
    <t>C-12353</t>
  </si>
  <si>
    <t>C-12354</t>
  </si>
  <si>
    <t>C-12355</t>
  </si>
  <si>
    <t>C-12356</t>
  </si>
  <si>
    <t>C-12357</t>
  </si>
  <si>
    <t>C-12358</t>
  </si>
  <si>
    <t>C-12359</t>
  </si>
  <si>
    <t>C-12360</t>
  </si>
  <si>
    <t>C-12361</t>
  </si>
  <si>
    <t>C-12362</t>
  </si>
  <si>
    <t>C-12363</t>
  </si>
  <si>
    <t>C-12364</t>
  </si>
  <si>
    <t>C-12365</t>
  </si>
  <si>
    <t>C-12366</t>
  </si>
  <si>
    <t>C-12367</t>
  </si>
  <si>
    <t>C-12368</t>
  </si>
  <si>
    <t>C-12369</t>
  </si>
  <si>
    <t>C-12370</t>
  </si>
  <si>
    <t>C-12371</t>
  </si>
  <si>
    <t>C-12372</t>
  </si>
  <si>
    <t>C-12373</t>
  </si>
  <si>
    <t>C-12374</t>
  </si>
  <si>
    <t>C-12375</t>
  </si>
  <si>
    <t>C-12376</t>
  </si>
  <si>
    <t>C-12377</t>
  </si>
  <si>
    <t>C-12378</t>
  </si>
  <si>
    <r>
      <t xml:space="preserve">(833)MARCIAL ZEPEDA  </t>
    </r>
    <r>
      <rPr>
        <b/>
        <sz val="12"/>
        <color rgb="FFFF0000"/>
        <rFont val="Calibri"/>
        <family val="2"/>
        <scheme val="minor"/>
      </rPr>
      <t>CANCELADA</t>
    </r>
  </si>
  <si>
    <t>se sustituyo x la  12379</t>
  </si>
  <si>
    <t>C-12379</t>
  </si>
  <si>
    <t>C-12380</t>
  </si>
  <si>
    <t>C-12381</t>
  </si>
  <si>
    <t>C-12382</t>
  </si>
  <si>
    <t>C-12383</t>
  </si>
  <si>
    <t>C-12384</t>
  </si>
  <si>
    <t>C-12385</t>
  </si>
  <si>
    <t>C-12386</t>
  </si>
  <si>
    <t>C-12387</t>
  </si>
  <si>
    <t>C-12388</t>
  </si>
  <si>
    <t>C-12389</t>
  </si>
  <si>
    <t>C-12390</t>
  </si>
  <si>
    <t>C-12391</t>
  </si>
  <si>
    <t>C-12392</t>
  </si>
  <si>
    <t>C-12393</t>
  </si>
  <si>
    <t>C-12394</t>
  </si>
  <si>
    <t>C-12395</t>
  </si>
  <si>
    <t>C-12396</t>
  </si>
  <si>
    <t>C-12397</t>
  </si>
  <si>
    <t>C-12398</t>
  </si>
  <si>
    <r>
      <t xml:space="preserve">(472)GUILLERMINA ZOQUIAPAN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</si>
  <si>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C-12399</t>
  </si>
  <si>
    <t>C-12400</t>
  </si>
  <si>
    <t>C-12401</t>
  </si>
  <si>
    <t>C-12402</t>
  </si>
  <si>
    <t>C-12403</t>
  </si>
  <si>
    <t>C-12404</t>
  </si>
  <si>
    <t>C-12405</t>
  </si>
  <si>
    <t>C-12406</t>
  </si>
  <si>
    <t>C-12407</t>
  </si>
  <si>
    <t>C-12408</t>
  </si>
  <si>
    <t>C-12409</t>
  </si>
  <si>
    <t>C-12410</t>
  </si>
  <si>
    <t>C-12411</t>
  </si>
  <si>
    <t>C-12412</t>
  </si>
  <si>
    <t>C-12413</t>
  </si>
  <si>
    <t>C-12414</t>
  </si>
  <si>
    <t>C-12415</t>
  </si>
  <si>
    <t>C-12416</t>
  </si>
  <si>
    <t>C-12417</t>
  </si>
  <si>
    <t>C-12418</t>
  </si>
  <si>
    <t>C-12419</t>
  </si>
  <si>
    <t>C-12420</t>
  </si>
  <si>
    <t>C-12421</t>
  </si>
  <si>
    <t>C-12422</t>
  </si>
  <si>
    <t>C-12423</t>
  </si>
  <si>
    <t>C-12424</t>
  </si>
  <si>
    <t>C-12425</t>
  </si>
  <si>
    <t>C-12426</t>
  </si>
  <si>
    <t>C-12427</t>
  </si>
  <si>
    <t>C-12428</t>
  </si>
  <si>
    <t>C-12429</t>
  </si>
  <si>
    <t>C-12430</t>
  </si>
  <si>
    <t>C-12431</t>
  </si>
  <si>
    <t>C-12432</t>
  </si>
  <si>
    <t>C-12433</t>
  </si>
  <si>
    <t>C-12434</t>
  </si>
  <si>
    <t>C-12435</t>
  </si>
  <si>
    <t>C-12436</t>
  </si>
  <si>
    <t>C-12437</t>
  </si>
  <si>
    <t>C-12438</t>
  </si>
  <si>
    <t>C-12439</t>
  </si>
  <si>
    <t>C-12440</t>
  </si>
  <si>
    <t>C-12441</t>
  </si>
  <si>
    <t>C-12442</t>
  </si>
  <si>
    <t>C-12443</t>
  </si>
  <si>
    <t>C-12444</t>
  </si>
  <si>
    <t>C-12445</t>
  </si>
  <si>
    <t>C-12446</t>
  </si>
  <si>
    <t>19-Feb-22--20-Feb-22</t>
  </si>
  <si>
    <t>C-12447</t>
  </si>
  <si>
    <t>C-12448</t>
  </si>
  <si>
    <t>C-12449</t>
  </si>
  <si>
    <t>C-12450</t>
  </si>
  <si>
    <t>C-12451</t>
  </si>
  <si>
    <t>C-12452</t>
  </si>
  <si>
    <t>C-12453</t>
  </si>
  <si>
    <t>C-12454</t>
  </si>
  <si>
    <t>C-12455</t>
  </si>
  <si>
    <t>C-12456</t>
  </si>
  <si>
    <t>C-12457</t>
  </si>
  <si>
    <t>C-12458</t>
  </si>
  <si>
    <t>C-12459</t>
  </si>
  <si>
    <t>C-12460</t>
  </si>
  <si>
    <t>C-12461</t>
  </si>
  <si>
    <t>C-12462</t>
  </si>
  <si>
    <t>C-12463</t>
  </si>
  <si>
    <t>C-12464</t>
  </si>
  <si>
    <t>C-12465</t>
  </si>
  <si>
    <t>C-12466</t>
  </si>
  <si>
    <t>C-12467</t>
  </si>
  <si>
    <t>C-12468</t>
  </si>
  <si>
    <t>C-12469</t>
  </si>
  <si>
    <t>C-12470</t>
  </si>
  <si>
    <t>C-12471</t>
  </si>
  <si>
    <t>C-12472</t>
  </si>
  <si>
    <t>C-12473</t>
  </si>
  <si>
    <t>C-12474</t>
  </si>
  <si>
    <t>(539)ALFREDO ZAMBRANO</t>
  </si>
  <si>
    <t>C-12475</t>
  </si>
  <si>
    <t>C-12476</t>
  </si>
  <si>
    <t>C-12477</t>
  </si>
  <si>
    <t>C-12478</t>
  </si>
  <si>
    <t>C-12479</t>
  </si>
  <si>
    <t>C-12480</t>
  </si>
  <si>
    <t>C-12481</t>
  </si>
  <si>
    <t>C-12482</t>
  </si>
  <si>
    <t>C-12483</t>
  </si>
  <si>
    <t>C-12484</t>
  </si>
  <si>
    <t>C-12485</t>
  </si>
  <si>
    <t>C-12486</t>
  </si>
  <si>
    <t>C-12487</t>
  </si>
  <si>
    <t>C-12488</t>
  </si>
  <si>
    <t>C-12489</t>
  </si>
  <si>
    <t>C-12490</t>
  </si>
  <si>
    <t>C-12491</t>
  </si>
  <si>
    <t>C-12492</t>
  </si>
  <si>
    <t>C-12493</t>
  </si>
  <si>
    <t>C-12494</t>
  </si>
  <si>
    <t>C-12495</t>
  </si>
  <si>
    <t>C-12496</t>
  </si>
  <si>
    <t>C-12497</t>
  </si>
  <si>
    <t>C-12498</t>
  </si>
  <si>
    <t>C-12499</t>
  </si>
  <si>
    <t>C-12500</t>
  </si>
  <si>
    <t>C-12501</t>
  </si>
  <si>
    <t>C-12502</t>
  </si>
  <si>
    <t>C-12503</t>
  </si>
  <si>
    <r>
      <t xml:space="preserve">(841)MARGARITO (SANTA MARIA)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</si>
  <si>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C-12504</t>
  </si>
  <si>
    <t>C-12505</t>
  </si>
  <si>
    <t>C-12506</t>
  </si>
  <si>
    <t>C-12507</t>
  </si>
  <si>
    <t>C-12508</t>
  </si>
  <si>
    <t>C-12509</t>
  </si>
  <si>
    <t>C-12510</t>
  </si>
  <si>
    <t>C-12511</t>
  </si>
  <si>
    <t>C-12512</t>
  </si>
  <si>
    <t>C-12513</t>
  </si>
  <si>
    <t>C-12514</t>
  </si>
  <si>
    <t>C-12515</t>
  </si>
  <si>
    <t>C-12516</t>
  </si>
  <si>
    <t>C-12517</t>
  </si>
  <si>
    <t>C-12518</t>
  </si>
  <si>
    <t>C-12519</t>
  </si>
  <si>
    <t>C-12520</t>
  </si>
  <si>
    <t>C-12521</t>
  </si>
  <si>
    <t>C-12522</t>
  </si>
  <si>
    <t>C-12523</t>
  </si>
  <si>
    <t>C-12524</t>
  </si>
  <si>
    <t>C-12525</t>
  </si>
  <si>
    <t>C-12526</t>
  </si>
  <si>
    <t>C-12527</t>
  </si>
  <si>
    <t>C-12528</t>
  </si>
  <si>
    <t>C-12529</t>
  </si>
  <si>
    <t>C-12530</t>
  </si>
  <si>
    <t>C-12531</t>
  </si>
  <si>
    <t>C-12532</t>
  </si>
  <si>
    <t>C-12533</t>
  </si>
  <si>
    <t>C-12534</t>
  </si>
  <si>
    <t>C-12535</t>
  </si>
  <si>
    <t>C-12536</t>
  </si>
  <si>
    <t>C-12537</t>
  </si>
  <si>
    <t>C-12538</t>
  </si>
  <si>
    <t>C-12539</t>
  </si>
  <si>
    <t>C-12540</t>
  </si>
  <si>
    <t>C-12541</t>
  </si>
  <si>
    <t>C-12542</t>
  </si>
  <si>
    <t>C-12543</t>
  </si>
  <si>
    <t>C-12544</t>
  </si>
  <si>
    <t>C-12545</t>
  </si>
  <si>
    <t>C-12546</t>
  </si>
  <si>
    <t>(433)FERNANDO ROMERO</t>
  </si>
  <si>
    <t>C-12547</t>
  </si>
  <si>
    <t>C-12548</t>
  </si>
  <si>
    <t>C-12549</t>
  </si>
  <si>
    <t>C-12550</t>
  </si>
  <si>
    <t>C-12551</t>
  </si>
  <si>
    <t>C-12552</t>
  </si>
  <si>
    <t>C-12553</t>
  </si>
  <si>
    <t>C-12554</t>
  </si>
  <si>
    <t>C-12555</t>
  </si>
  <si>
    <t>C-12556</t>
  </si>
  <si>
    <t>C-12557</t>
  </si>
  <si>
    <t>C-12558</t>
  </si>
  <si>
    <t>C-12559</t>
  </si>
  <si>
    <t>C-12560</t>
  </si>
  <si>
    <t>C-12561</t>
  </si>
  <si>
    <t>C-12562</t>
  </si>
  <si>
    <t>C-12563</t>
  </si>
  <si>
    <t>C-12564</t>
  </si>
  <si>
    <t>C-12565</t>
  </si>
  <si>
    <t>C-12566</t>
  </si>
  <si>
    <t>C-12567</t>
  </si>
  <si>
    <t>20-Feb-22--21-Feb-22</t>
  </si>
  <si>
    <t>C-12568</t>
  </si>
  <si>
    <t>C-12569</t>
  </si>
  <si>
    <t>C-12570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</si>
  <si>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>CANCELADA</t>
    </r>
  </si>
  <si>
    <t>C-12571</t>
  </si>
  <si>
    <t>C-12572</t>
  </si>
  <si>
    <t>C-12573</t>
  </si>
  <si>
    <t>(727)BETO 5 MAYO</t>
  </si>
  <si>
    <t>C-12574</t>
  </si>
  <si>
    <t>C-12575</t>
  </si>
  <si>
    <t>C-12576</t>
  </si>
  <si>
    <t>C-12577</t>
  </si>
  <si>
    <t>C-12578</t>
  </si>
  <si>
    <t>C-12579</t>
  </si>
  <si>
    <t>C-12580</t>
  </si>
  <si>
    <t>C-12581</t>
  </si>
  <si>
    <t>C-12582</t>
  </si>
  <si>
    <t>C-12583</t>
  </si>
  <si>
    <t>C-12584</t>
  </si>
  <si>
    <t>C-12585</t>
  </si>
  <si>
    <t>C-12586</t>
  </si>
  <si>
    <t>C-12587</t>
  </si>
  <si>
    <t>C-12588</t>
  </si>
  <si>
    <t>C-12589</t>
  </si>
  <si>
    <t>C-12590</t>
  </si>
  <si>
    <t>C-12591</t>
  </si>
  <si>
    <t>C-12592</t>
  </si>
  <si>
    <t>C-12593</t>
  </si>
  <si>
    <t>C-12594</t>
  </si>
  <si>
    <t>C-12595</t>
  </si>
  <si>
    <t>C-12596</t>
  </si>
  <si>
    <t>C-12597</t>
  </si>
  <si>
    <r>
      <t xml:space="preserve">(750)CAMILO NEALTICAN  </t>
    </r>
    <r>
      <rPr>
        <b/>
        <sz val="12"/>
        <color rgb="FFFF0000"/>
        <rFont val="Calibri"/>
        <family val="2"/>
        <scheme val="minor"/>
      </rPr>
      <t>CANCELADA</t>
    </r>
  </si>
  <si>
    <t>C-12598</t>
  </si>
  <si>
    <t>C-12599</t>
  </si>
  <si>
    <t>C-12600</t>
  </si>
  <si>
    <t>C-12601</t>
  </si>
  <si>
    <t>C-12602</t>
  </si>
  <si>
    <t>C-12603</t>
  </si>
  <si>
    <t>C-12604</t>
  </si>
  <si>
    <t>C-12605</t>
  </si>
  <si>
    <t>C-12606</t>
  </si>
  <si>
    <t>C-12607</t>
  </si>
  <si>
    <t>C-12608</t>
  </si>
  <si>
    <t>C-12609</t>
  </si>
  <si>
    <t>C-12610</t>
  </si>
  <si>
    <t>C-12611</t>
  </si>
  <si>
    <t>C-12612</t>
  </si>
  <si>
    <t>C-12613</t>
  </si>
  <si>
    <t>C-12614</t>
  </si>
  <si>
    <t>C-12615</t>
  </si>
  <si>
    <t>C-12616</t>
  </si>
  <si>
    <t>C-12617</t>
  </si>
  <si>
    <t>C-12618</t>
  </si>
  <si>
    <t>C-12619</t>
  </si>
  <si>
    <t>C-12620</t>
  </si>
  <si>
    <t>C-12621</t>
  </si>
  <si>
    <t>C-12622</t>
  </si>
  <si>
    <t>C-12623</t>
  </si>
  <si>
    <t>C-12624</t>
  </si>
  <si>
    <t>C-12625</t>
  </si>
  <si>
    <t>C-12626</t>
  </si>
  <si>
    <t>C-12627</t>
  </si>
  <si>
    <t>C-12628</t>
  </si>
  <si>
    <t>C-12629</t>
  </si>
  <si>
    <t>C-12630</t>
  </si>
  <si>
    <t>C-12631</t>
  </si>
  <si>
    <t>C-12632</t>
  </si>
  <si>
    <t>C-12633</t>
  </si>
  <si>
    <t>C-12634</t>
  </si>
  <si>
    <t>C-12635</t>
  </si>
  <si>
    <t>C-12636</t>
  </si>
  <si>
    <t>C-12637</t>
  </si>
  <si>
    <t>C-12638</t>
  </si>
  <si>
    <t>C-12639</t>
  </si>
  <si>
    <t>C-12640</t>
  </si>
  <si>
    <t>C-12641</t>
  </si>
  <si>
    <t>C-12642</t>
  </si>
  <si>
    <t>C-12643</t>
  </si>
  <si>
    <t>C-12644</t>
  </si>
  <si>
    <t>C-12645</t>
  </si>
  <si>
    <t>C-12646</t>
  </si>
  <si>
    <t>C-12647</t>
  </si>
  <si>
    <t>C-12648</t>
  </si>
  <si>
    <t>C-12649</t>
  </si>
  <si>
    <t>C-12650</t>
  </si>
  <si>
    <t>C-12651</t>
  </si>
  <si>
    <t>19-Feb-22--22-Feb-22</t>
  </si>
  <si>
    <t>C-12652</t>
  </si>
  <si>
    <t>C-12653</t>
  </si>
  <si>
    <t>C-12654</t>
  </si>
  <si>
    <t>C-12655</t>
  </si>
  <si>
    <r>
      <t>(879)GUADALUPE VARGAS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</si>
  <si>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C-12656</t>
  </si>
  <si>
    <t>C-12657</t>
  </si>
  <si>
    <t>C-12658</t>
  </si>
  <si>
    <t>C-12659</t>
  </si>
  <si>
    <t>C-12660</t>
  </si>
  <si>
    <t>C-12661</t>
  </si>
  <si>
    <t>(158)MINERVA  PEREZ HERNANDEZ</t>
  </si>
  <si>
    <t>C-12662</t>
  </si>
  <si>
    <t>C-12663</t>
  </si>
  <si>
    <t>C-12664</t>
  </si>
  <si>
    <t>C-12665</t>
  </si>
  <si>
    <t>C-12666</t>
  </si>
  <si>
    <t>C-12667</t>
  </si>
  <si>
    <t>C-12668</t>
  </si>
  <si>
    <r>
      <t xml:space="preserve">(551)MARIO VILLA POSADAS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</si>
  <si>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C-12669</t>
  </si>
  <si>
    <t>C-12670</t>
  </si>
  <si>
    <t>C-12671</t>
  </si>
  <si>
    <t>C-12672</t>
  </si>
  <si>
    <t>C-12673</t>
  </si>
  <si>
    <t>C-12674</t>
  </si>
  <si>
    <t>C-12675</t>
  </si>
  <si>
    <t>C-12676</t>
  </si>
  <si>
    <t>C-12677</t>
  </si>
  <si>
    <t>C-12678</t>
  </si>
  <si>
    <t>C-12679</t>
  </si>
  <si>
    <t>C-12680</t>
  </si>
  <si>
    <t>C-12681</t>
  </si>
  <si>
    <t>C-12682</t>
  </si>
  <si>
    <t>C-12683</t>
  </si>
  <si>
    <t>C-12684</t>
  </si>
  <si>
    <t>C-12685</t>
  </si>
  <si>
    <t>C-12686</t>
  </si>
  <si>
    <t>C-12687</t>
  </si>
  <si>
    <t>C-12688</t>
  </si>
  <si>
    <t>C-12689</t>
  </si>
  <si>
    <t>C-12690</t>
  </si>
  <si>
    <t>C-12691</t>
  </si>
  <si>
    <t>C-12692</t>
  </si>
  <si>
    <t>C-12693</t>
  </si>
  <si>
    <t>C-12694</t>
  </si>
  <si>
    <t>C-12695</t>
  </si>
  <si>
    <t>C-12696</t>
  </si>
  <si>
    <t>C-12697</t>
  </si>
  <si>
    <t>C-12698</t>
  </si>
  <si>
    <t>C-12699</t>
  </si>
  <si>
    <t>20-Feb-22--22-Feb-22</t>
  </si>
  <si>
    <t>C-12700</t>
  </si>
  <si>
    <t>C-12701</t>
  </si>
  <si>
    <t>C-12702</t>
  </si>
  <si>
    <t>C-12703</t>
  </si>
  <si>
    <t>C-12704</t>
  </si>
  <si>
    <t>C-12705</t>
  </si>
  <si>
    <t>C-12706</t>
  </si>
  <si>
    <t>(583)JAVIER  LOS PERICOS</t>
  </si>
  <si>
    <t>C-12707</t>
  </si>
  <si>
    <t>C-12708</t>
  </si>
  <si>
    <t>C-12709</t>
  </si>
  <si>
    <t>C-12710</t>
  </si>
  <si>
    <t>C-12711</t>
  </si>
  <si>
    <t>21-Feb-22--22-Feb-22</t>
  </si>
  <si>
    <t>C-12712</t>
  </si>
  <si>
    <t>22-Feb-22--23-Feb-22</t>
  </si>
  <si>
    <t>C-12713</t>
  </si>
  <si>
    <t>(474)SERGIO</t>
  </si>
  <si>
    <t>C-12714</t>
  </si>
  <si>
    <t>C-12715</t>
  </si>
  <si>
    <t>C-12716</t>
  </si>
  <si>
    <t>C-12717</t>
  </si>
  <si>
    <t>C-12718</t>
  </si>
  <si>
    <t>C-12719</t>
  </si>
  <si>
    <t>C-12720</t>
  </si>
  <si>
    <t>C-12721</t>
  </si>
  <si>
    <t>C-12722</t>
  </si>
  <si>
    <t>C-12723</t>
  </si>
  <si>
    <t>C-12724</t>
  </si>
  <si>
    <t>C-12725</t>
  </si>
  <si>
    <t>C-12726</t>
  </si>
  <si>
    <t>C-12727</t>
  </si>
  <si>
    <t>C-12728</t>
  </si>
  <si>
    <t>C-12729</t>
  </si>
  <si>
    <t>C-12730</t>
  </si>
  <si>
    <t>C-12731</t>
  </si>
  <si>
    <t>C-12732</t>
  </si>
  <si>
    <t>C-12733</t>
  </si>
  <si>
    <t>C-12734</t>
  </si>
  <si>
    <t>C-12735</t>
  </si>
  <si>
    <t>C-12736</t>
  </si>
  <si>
    <t>C-12737</t>
  </si>
  <si>
    <t>C-12738</t>
  </si>
  <si>
    <t>C-12739</t>
  </si>
  <si>
    <t>C-12740</t>
  </si>
  <si>
    <t>C-12741</t>
  </si>
  <si>
    <t>C-12742</t>
  </si>
  <si>
    <t>C-12743</t>
  </si>
  <si>
    <t>C-12744</t>
  </si>
  <si>
    <t>(529)HENRIK  REYES</t>
  </si>
  <si>
    <t>C-12745</t>
  </si>
  <si>
    <t>C-12746</t>
  </si>
  <si>
    <t>C-12747</t>
  </si>
  <si>
    <t>C-12748</t>
  </si>
  <si>
    <t>C-12749</t>
  </si>
  <si>
    <t>C-12750</t>
  </si>
  <si>
    <t>C-12751</t>
  </si>
  <si>
    <t>C-12752</t>
  </si>
  <si>
    <t>C-12753</t>
  </si>
  <si>
    <t>C-12754</t>
  </si>
  <si>
    <t>C-12755</t>
  </si>
  <si>
    <t>C-12756</t>
  </si>
  <si>
    <t>C-12757</t>
  </si>
  <si>
    <t>C-12758</t>
  </si>
  <si>
    <t>C-12759</t>
  </si>
  <si>
    <t>C-12760</t>
  </si>
  <si>
    <t>C-12761</t>
  </si>
  <si>
    <t>C-12762</t>
  </si>
  <si>
    <t>C-12763</t>
  </si>
  <si>
    <t>C-12764</t>
  </si>
  <si>
    <t>C-12765</t>
  </si>
  <si>
    <t>C-12766</t>
  </si>
  <si>
    <t>C-12767</t>
  </si>
  <si>
    <t>C-12768</t>
  </si>
  <si>
    <t>C-12769</t>
  </si>
  <si>
    <t>C-12770</t>
  </si>
  <si>
    <t>C-12771</t>
  </si>
  <si>
    <t>C-12772</t>
  </si>
  <si>
    <t>C-12773</t>
  </si>
  <si>
    <t>C-12774</t>
  </si>
  <si>
    <t>C-12775</t>
  </si>
  <si>
    <t>C-12776</t>
  </si>
  <si>
    <t>C-12777</t>
  </si>
  <si>
    <t>C-12778</t>
  </si>
  <si>
    <t>C-12779</t>
  </si>
  <si>
    <t>C-12780</t>
  </si>
  <si>
    <t>C-12781</t>
  </si>
  <si>
    <t>C-12782</t>
  </si>
  <si>
    <t>C-12783</t>
  </si>
  <si>
    <t>C-12784</t>
  </si>
  <si>
    <t>C-12785</t>
  </si>
  <si>
    <t>C-12786</t>
  </si>
  <si>
    <t>C-12787</t>
  </si>
  <si>
    <t>19/02/2022</t>
  </si>
  <si>
    <t>C-12788</t>
  </si>
  <si>
    <r>
      <t>(851)ALEJANDRO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</si>
  <si>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C-12789</t>
  </si>
  <si>
    <t>C-12790</t>
  </si>
  <si>
    <t>C-12791</t>
  </si>
  <si>
    <t>C-12792</t>
  </si>
  <si>
    <t>C-12793</t>
  </si>
  <si>
    <t>C-12794</t>
  </si>
  <si>
    <t>C-12795</t>
  </si>
  <si>
    <t>C-12796</t>
  </si>
  <si>
    <t>C-12797</t>
  </si>
  <si>
    <t>C-12798</t>
  </si>
  <si>
    <t>C-12799</t>
  </si>
  <si>
    <t>C-12800</t>
  </si>
  <si>
    <t>C-12801</t>
  </si>
  <si>
    <t>C-12802</t>
  </si>
  <si>
    <t>C-12803</t>
  </si>
  <si>
    <t>C-12804</t>
  </si>
  <si>
    <t>C-12805</t>
  </si>
  <si>
    <t>(346)EL GRAN TACO</t>
  </si>
  <si>
    <t>C-12806</t>
  </si>
  <si>
    <t>C-12807</t>
  </si>
  <si>
    <t>C-12808</t>
  </si>
  <si>
    <t>C-12809</t>
  </si>
  <si>
    <t>C-12810</t>
  </si>
  <si>
    <t>C-12811</t>
  </si>
  <si>
    <t>C-12812</t>
  </si>
  <si>
    <t>C-12813</t>
  </si>
  <si>
    <t>C-12814</t>
  </si>
  <si>
    <t>C-12815</t>
  </si>
  <si>
    <t>C-12816</t>
  </si>
  <si>
    <t>C-12817</t>
  </si>
  <si>
    <t>C-12818</t>
  </si>
  <si>
    <t>C-12819</t>
  </si>
  <si>
    <t>C-12820</t>
  </si>
  <si>
    <t>C-12821</t>
  </si>
  <si>
    <t>C-12822</t>
  </si>
  <si>
    <t>C-12823</t>
  </si>
  <si>
    <t>C-12824</t>
  </si>
  <si>
    <t>C-12825</t>
  </si>
  <si>
    <t>C-12826</t>
  </si>
  <si>
    <t>C-12827</t>
  </si>
  <si>
    <t>21-Feb-22--23-Feb-22</t>
  </si>
  <si>
    <t>C-12828</t>
  </si>
  <si>
    <t>C-12829</t>
  </si>
  <si>
    <t>C-12830</t>
  </si>
  <si>
    <t>C-12831</t>
  </si>
  <si>
    <t>C-12832</t>
  </si>
  <si>
    <t>C-12833</t>
  </si>
  <si>
    <t>C-12834</t>
  </si>
  <si>
    <t>C-12835</t>
  </si>
  <si>
    <t>C-12836</t>
  </si>
  <si>
    <t>C-12837</t>
  </si>
  <si>
    <t>C-12838</t>
  </si>
  <si>
    <t>C-12839</t>
  </si>
  <si>
    <t>C-12840</t>
  </si>
  <si>
    <t>C-12841</t>
  </si>
  <si>
    <t>C-12842</t>
  </si>
  <si>
    <t>C-12843</t>
  </si>
  <si>
    <t>C-12844</t>
  </si>
  <si>
    <t>C-12845</t>
  </si>
  <si>
    <t>C-12846</t>
  </si>
  <si>
    <t>C-12847</t>
  </si>
  <si>
    <t>C-12848</t>
  </si>
  <si>
    <t>C-12849</t>
  </si>
  <si>
    <t>C-12850</t>
  </si>
  <si>
    <t>C-12851</t>
  </si>
  <si>
    <t>C-12852</t>
  </si>
  <si>
    <t>C-12853</t>
  </si>
  <si>
    <t>C-12854</t>
  </si>
  <si>
    <t>C-12855</t>
  </si>
  <si>
    <t>C-12856</t>
  </si>
  <si>
    <t>C-12857</t>
  </si>
  <si>
    <t>C-12858</t>
  </si>
  <si>
    <t>C-12859</t>
  </si>
  <si>
    <t>C-12860</t>
  </si>
  <si>
    <t>C-12861</t>
  </si>
  <si>
    <t>C-12862</t>
  </si>
  <si>
    <t>23-Feb-22--24-Feb-22</t>
  </si>
  <si>
    <t>C-12863</t>
  </si>
  <si>
    <t>C-12864</t>
  </si>
  <si>
    <t>C-12865</t>
  </si>
  <si>
    <t>C-12866</t>
  </si>
  <si>
    <t>C-12867</t>
  </si>
  <si>
    <t>25-Feb-22--26-Feb-22</t>
  </si>
  <si>
    <t>C-12868</t>
  </si>
  <si>
    <t>C-12869</t>
  </si>
  <si>
    <t>C-12870</t>
  </si>
  <si>
    <t>C-12871</t>
  </si>
  <si>
    <t>C-12872</t>
  </si>
  <si>
    <t>C-12873</t>
  </si>
  <si>
    <t>C-12874</t>
  </si>
  <si>
    <t>C-12875</t>
  </si>
  <si>
    <t>C-12876</t>
  </si>
  <si>
    <t>C-12877</t>
  </si>
  <si>
    <t>C-12878</t>
  </si>
  <si>
    <t>C-12879</t>
  </si>
  <si>
    <t>C-12880</t>
  </si>
  <si>
    <t>C-12881</t>
  </si>
  <si>
    <t>C-12882</t>
  </si>
  <si>
    <r>
      <t>(591)JULIO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</si>
  <si>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C-12883</t>
  </si>
  <si>
    <t>C-12884</t>
  </si>
  <si>
    <t>C-12885</t>
  </si>
  <si>
    <t>C-12886</t>
  </si>
  <si>
    <t>C-12887</t>
  </si>
  <si>
    <t>C-12888</t>
  </si>
  <si>
    <t>C-12889</t>
  </si>
  <si>
    <t>C-12890</t>
  </si>
  <si>
    <t>C-12891</t>
  </si>
  <si>
    <t>C-12892</t>
  </si>
  <si>
    <t>C-12893</t>
  </si>
  <si>
    <t>C-12894</t>
  </si>
  <si>
    <t>C-12895</t>
  </si>
  <si>
    <t>C-12896</t>
  </si>
  <si>
    <t>C-12897</t>
  </si>
  <si>
    <t>C-12898</t>
  </si>
  <si>
    <t>C-12899</t>
  </si>
  <si>
    <t>C-12900</t>
  </si>
  <si>
    <t>C-12901</t>
  </si>
  <si>
    <t>C-12902</t>
  </si>
  <si>
    <t>C-12903</t>
  </si>
  <si>
    <t>C-12904</t>
  </si>
  <si>
    <t>C-12905</t>
  </si>
  <si>
    <t>C-12906</t>
  </si>
  <si>
    <t>C-12907</t>
  </si>
  <si>
    <t>C-12908</t>
  </si>
  <si>
    <t>C-12909</t>
  </si>
  <si>
    <t>C-12910</t>
  </si>
  <si>
    <t>C-12911</t>
  </si>
  <si>
    <t>C-12912</t>
  </si>
  <si>
    <t>C-12913</t>
  </si>
  <si>
    <t>C-12914</t>
  </si>
  <si>
    <t>C-12915</t>
  </si>
  <si>
    <t>C-12916</t>
  </si>
  <si>
    <t>C-12917</t>
  </si>
  <si>
    <t>C-12918</t>
  </si>
  <si>
    <t>C-12919</t>
  </si>
  <si>
    <t>C-12920</t>
  </si>
  <si>
    <t>C-12921</t>
  </si>
  <si>
    <t>C-12922</t>
  </si>
  <si>
    <t>C-12923</t>
  </si>
  <si>
    <t>C-12924</t>
  </si>
  <si>
    <t>C-12925</t>
  </si>
  <si>
    <t>C-12926</t>
  </si>
  <si>
    <t>C-12927</t>
  </si>
  <si>
    <t>C-12928</t>
  </si>
  <si>
    <t>C-12929</t>
  </si>
  <si>
    <t>C-12930</t>
  </si>
  <si>
    <t>C-12931</t>
  </si>
  <si>
    <t>C-12932</t>
  </si>
  <si>
    <t>C-12933</t>
  </si>
  <si>
    <t>C-12934</t>
  </si>
  <si>
    <t>C-12935</t>
  </si>
  <si>
    <t>C-12936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</si>
  <si>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>CANCELADA</t>
    </r>
  </si>
  <si>
    <t>se sustituyo x la  12941</t>
  </si>
  <si>
    <t>C-12937</t>
  </si>
  <si>
    <t>C-12938</t>
  </si>
  <si>
    <t>C-12939</t>
  </si>
  <si>
    <t>C-12940</t>
  </si>
  <si>
    <t>(528)EMILIO LOPEZ</t>
  </si>
  <si>
    <t>C-12941</t>
  </si>
  <si>
    <t>C-12942</t>
  </si>
  <si>
    <t>C-12943</t>
  </si>
  <si>
    <t>C-12944</t>
  </si>
  <si>
    <t>C-12945</t>
  </si>
  <si>
    <t>C-12946</t>
  </si>
  <si>
    <t>C-12947</t>
  </si>
  <si>
    <t>C-12948</t>
  </si>
  <si>
    <t>C-12949</t>
  </si>
  <si>
    <t>C-12950</t>
  </si>
  <si>
    <t>C-12951</t>
  </si>
  <si>
    <t>C-12952</t>
  </si>
  <si>
    <t>C-12953</t>
  </si>
  <si>
    <t>C-12954</t>
  </si>
  <si>
    <t>C-12955</t>
  </si>
  <si>
    <t>C-12956</t>
  </si>
  <si>
    <t>C-12957</t>
  </si>
  <si>
    <t>C-12958</t>
  </si>
  <si>
    <t>C-12959</t>
  </si>
  <si>
    <t>C-12960</t>
  </si>
  <si>
    <t>C-12961</t>
  </si>
  <si>
    <t>C-12962</t>
  </si>
  <si>
    <t>C-12963</t>
  </si>
  <si>
    <t>C-12964</t>
  </si>
  <si>
    <t>C-12965</t>
  </si>
  <si>
    <t>C-12966</t>
  </si>
  <si>
    <t>C-12967</t>
  </si>
  <si>
    <t>C-12968</t>
  </si>
  <si>
    <t>C-12969</t>
  </si>
  <si>
    <t>C-12970</t>
  </si>
  <si>
    <t>C-12971</t>
  </si>
  <si>
    <t>C-12972</t>
  </si>
  <si>
    <t>C-12973</t>
  </si>
  <si>
    <t>C-12974</t>
  </si>
  <si>
    <t>C-12975</t>
  </si>
  <si>
    <t>C-12976</t>
  </si>
  <si>
    <r>
      <t>(429)MAQUILA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</si>
  <si>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C-12977</t>
  </si>
  <si>
    <t>C-12978</t>
  </si>
  <si>
    <t>(887)ROBERTO CASTRO</t>
  </si>
  <si>
    <t>C-12979</t>
  </si>
  <si>
    <t>C-12980</t>
  </si>
  <si>
    <t>C-12981</t>
  </si>
  <si>
    <t>C-12982</t>
  </si>
  <si>
    <t>C-12983</t>
  </si>
  <si>
    <t>C-12984</t>
  </si>
  <si>
    <t>C-12985</t>
  </si>
  <si>
    <t>C-12986</t>
  </si>
  <si>
    <t>C-12987</t>
  </si>
  <si>
    <t>C-12988</t>
  </si>
  <si>
    <t>C-12989</t>
  </si>
  <si>
    <t>C-12990</t>
  </si>
  <si>
    <t>C-12991</t>
  </si>
  <si>
    <t>C-12992</t>
  </si>
  <si>
    <t>C-12993</t>
  </si>
  <si>
    <t>C-12994</t>
  </si>
  <si>
    <t>C-12995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</si>
  <si>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>CANCELADA</t>
    </r>
  </si>
  <si>
    <t>se sustituyo x la  13102</t>
  </si>
  <si>
    <t>C-12996</t>
  </si>
  <si>
    <t>C-12997</t>
  </si>
  <si>
    <t>C-12998</t>
  </si>
  <si>
    <t>C-12999</t>
  </si>
  <si>
    <t>C-13000</t>
  </si>
  <si>
    <t>C-13001</t>
  </si>
  <si>
    <t>C-13002</t>
  </si>
  <si>
    <t>C-13003</t>
  </si>
  <si>
    <t>C-13004</t>
  </si>
  <si>
    <t>C-13005</t>
  </si>
  <si>
    <t>C-13006</t>
  </si>
  <si>
    <t>C-13007</t>
  </si>
  <si>
    <t>C-13008</t>
  </si>
  <si>
    <t>22-Feb-22--24-Feb-22</t>
  </si>
  <si>
    <t>C-13009</t>
  </si>
  <si>
    <t>C-13010</t>
  </si>
  <si>
    <t>C-13011</t>
  </si>
  <si>
    <t>C-13012</t>
  </si>
  <si>
    <t>C-13013</t>
  </si>
  <si>
    <t>C-13014</t>
  </si>
  <si>
    <t>C-13015</t>
  </si>
  <si>
    <t>C-13016</t>
  </si>
  <si>
    <t>C-13017</t>
  </si>
  <si>
    <t>C-13018</t>
  </si>
  <si>
    <t>C-13019</t>
  </si>
  <si>
    <t>C-13020</t>
  </si>
  <si>
    <t>C-13021</t>
  </si>
  <si>
    <t>C-13022</t>
  </si>
  <si>
    <t>C-13023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</si>
  <si>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 xml:space="preserve">CANCELADA                   </t>
    </r>
  </si>
  <si>
    <t>se sustituyo x la  13024</t>
  </si>
  <si>
    <t>C-13024</t>
  </si>
  <si>
    <t>C-13025</t>
  </si>
  <si>
    <t>C-13026</t>
  </si>
  <si>
    <t>C-13027</t>
  </si>
  <si>
    <t>C-13028</t>
  </si>
  <si>
    <t>C-13029</t>
  </si>
  <si>
    <t>C-13030</t>
  </si>
  <si>
    <t>C-13031</t>
  </si>
  <si>
    <t>C-13032</t>
  </si>
  <si>
    <t>C-13033</t>
  </si>
  <si>
    <t>C-13034</t>
  </si>
  <si>
    <t>C-13035</t>
  </si>
  <si>
    <t>C-13036</t>
  </si>
  <si>
    <t>C-13037</t>
  </si>
  <si>
    <t>C-13038</t>
  </si>
  <si>
    <t>C-13039</t>
  </si>
  <si>
    <t>C-13040</t>
  </si>
  <si>
    <t>C-13041</t>
  </si>
  <si>
    <t>C-13042</t>
  </si>
  <si>
    <t>C-13043</t>
  </si>
  <si>
    <t>C-13044</t>
  </si>
  <si>
    <t>C-13045</t>
  </si>
  <si>
    <t>C-13046</t>
  </si>
  <si>
    <t>C-13047</t>
  </si>
  <si>
    <t>C-13048</t>
  </si>
  <si>
    <t>C-13049</t>
  </si>
  <si>
    <t>C-13050</t>
  </si>
  <si>
    <t>C-13051</t>
  </si>
  <si>
    <t>C-13052</t>
  </si>
  <si>
    <t>C-13053</t>
  </si>
  <si>
    <t>C-13054</t>
  </si>
  <si>
    <t>C-13055</t>
  </si>
  <si>
    <t>C-13056</t>
  </si>
  <si>
    <t>C-13057</t>
  </si>
  <si>
    <t>C-13058</t>
  </si>
  <si>
    <t>C-13059</t>
  </si>
  <si>
    <t>C-13060</t>
  </si>
  <si>
    <t>C-13061</t>
  </si>
  <si>
    <t>C-13062</t>
  </si>
  <si>
    <t>C-13063</t>
  </si>
  <si>
    <t>C-13064</t>
  </si>
  <si>
    <t>C-13065</t>
  </si>
  <si>
    <t>C-13066</t>
  </si>
  <si>
    <t>C-13067</t>
  </si>
  <si>
    <t>C-13068</t>
  </si>
  <si>
    <t>C-13069</t>
  </si>
  <si>
    <t>C-13070</t>
  </si>
  <si>
    <t>22/02/2022</t>
  </si>
  <si>
    <t>C-13071</t>
  </si>
  <si>
    <r>
      <t xml:space="preserve">(533)VENTA DE MOSTRADOR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</si>
  <si>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13072</t>
  </si>
  <si>
    <t>C-13072</t>
  </si>
  <si>
    <t>C-13073</t>
  </si>
  <si>
    <t>C-13074</t>
  </si>
  <si>
    <t>C-13075</t>
  </si>
  <si>
    <t>C-13076</t>
  </si>
  <si>
    <t>C-13077</t>
  </si>
  <si>
    <t>C-13078</t>
  </si>
  <si>
    <t>C-13079</t>
  </si>
  <si>
    <t>C-13080</t>
  </si>
  <si>
    <t>C-13081</t>
  </si>
  <si>
    <t>C-13082</t>
  </si>
  <si>
    <t>C-13083</t>
  </si>
  <si>
    <t>C-13084</t>
  </si>
  <si>
    <t>C-13085</t>
  </si>
  <si>
    <t>C-13086</t>
  </si>
  <si>
    <t>C-13087</t>
  </si>
  <si>
    <t>C-13088</t>
  </si>
  <si>
    <t>C-13089</t>
  </si>
  <si>
    <t>C-13090</t>
  </si>
  <si>
    <t>(783)LUPITA LEDO</t>
  </si>
  <si>
    <t>C-13091</t>
  </si>
  <si>
    <t>C-13092</t>
  </si>
  <si>
    <t>C-13093</t>
  </si>
  <si>
    <t>C-13094</t>
  </si>
  <si>
    <t>C-13095</t>
  </si>
  <si>
    <t>C-13096</t>
  </si>
  <si>
    <t>C-13097</t>
  </si>
  <si>
    <t>C-13098</t>
  </si>
  <si>
    <t>C-13099</t>
  </si>
  <si>
    <t>C-13100</t>
  </si>
  <si>
    <t>C-13101</t>
  </si>
  <si>
    <t>C-13102</t>
  </si>
  <si>
    <t>C-13103</t>
  </si>
  <si>
    <t>C-13104</t>
  </si>
  <si>
    <t>C-13105</t>
  </si>
  <si>
    <t>C-13106</t>
  </si>
  <si>
    <t>C-13107</t>
  </si>
  <si>
    <t>C-13108</t>
  </si>
  <si>
    <t>C-13109</t>
  </si>
  <si>
    <t>C-13110</t>
  </si>
  <si>
    <t>C-13111</t>
  </si>
  <si>
    <t>C-13112</t>
  </si>
  <si>
    <t>C-13113</t>
  </si>
  <si>
    <t>24-Feb-22--25-Feb-22--26-Feb-22</t>
  </si>
  <si>
    <t>C-13114</t>
  </si>
  <si>
    <t>C-13115</t>
  </si>
  <si>
    <t>C-13116</t>
  </si>
  <si>
    <t>C-13117</t>
  </si>
  <si>
    <t>C-13118</t>
  </si>
  <si>
    <t>C-13119</t>
  </si>
  <si>
    <t>C-13120</t>
  </si>
  <si>
    <t>C-13121</t>
  </si>
  <si>
    <t>C-13122</t>
  </si>
  <si>
    <t>C-13123</t>
  </si>
  <si>
    <t>C-13124</t>
  </si>
  <si>
    <t>C-13125</t>
  </si>
  <si>
    <t>24-Feb-22--25-Feb-22</t>
  </si>
  <si>
    <t>C-13126</t>
  </si>
  <si>
    <t>C-13127</t>
  </si>
  <si>
    <t>C-13128</t>
  </si>
  <si>
    <t>C-13129</t>
  </si>
  <si>
    <t>C-13130</t>
  </si>
  <si>
    <t>C-13131</t>
  </si>
  <si>
    <t>C-13132</t>
  </si>
  <si>
    <t>C-13133</t>
  </si>
  <si>
    <t>C-13134</t>
  </si>
  <si>
    <t>C-13135</t>
  </si>
  <si>
    <t>C-13136</t>
  </si>
  <si>
    <t>C-13137</t>
  </si>
  <si>
    <t>C-13138</t>
  </si>
  <si>
    <t>C-13139</t>
  </si>
  <si>
    <t>C-13140</t>
  </si>
  <si>
    <t>C-13141</t>
  </si>
  <si>
    <t>C-13142</t>
  </si>
  <si>
    <t>C-13143</t>
  </si>
  <si>
    <t>C-13144</t>
  </si>
  <si>
    <t>C-13145</t>
  </si>
  <si>
    <t>C-13146</t>
  </si>
  <si>
    <t>C-13147</t>
  </si>
  <si>
    <t>C-13148</t>
  </si>
  <si>
    <t>C-13149</t>
  </si>
  <si>
    <t>C-13150</t>
  </si>
  <si>
    <t>C-13151</t>
  </si>
  <si>
    <t>C-13152</t>
  </si>
  <si>
    <t>C-13153</t>
  </si>
  <si>
    <t>C-13154</t>
  </si>
  <si>
    <t>C-13155</t>
  </si>
  <si>
    <t>C-13156</t>
  </si>
  <si>
    <t>C-13157</t>
  </si>
  <si>
    <t>C-13158</t>
  </si>
  <si>
    <t>C-13159</t>
  </si>
  <si>
    <t>C-13160</t>
  </si>
  <si>
    <t>C-13161</t>
  </si>
  <si>
    <t>C-13162</t>
  </si>
  <si>
    <t>C-13163</t>
  </si>
  <si>
    <t>C-13164</t>
  </si>
  <si>
    <t>C-13165</t>
  </si>
  <si>
    <t>C-13166</t>
  </si>
  <si>
    <t>C-13167</t>
  </si>
  <si>
    <t>C-13168</t>
  </si>
  <si>
    <t>C-13169</t>
  </si>
  <si>
    <t>C-13170</t>
  </si>
  <si>
    <t>C-13171</t>
  </si>
  <si>
    <t>C-13172</t>
  </si>
  <si>
    <t>C-13173</t>
  </si>
  <si>
    <t>C-13174</t>
  </si>
  <si>
    <t>C-13175</t>
  </si>
  <si>
    <t>C-13176</t>
  </si>
  <si>
    <t>C-13177</t>
  </si>
  <si>
    <t>C-13178</t>
  </si>
  <si>
    <t>C-13179</t>
  </si>
  <si>
    <t>C-13180</t>
  </si>
  <si>
    <t>C-13181</t>
  </si>
  <si>
    <t>C-13182</t>
  </si>
  <si>
    <t>C-13183</t>
  </si>
  <si>
    <t>C-13184</t>
  </si>
  <si>
    <t>C-13185</t>
  </si>
  <si>
    <t>C-13186</t>
  </si>
  <si>
    <t>C-13187</t>
  </si>
  <si>
    <t>C-13188</t>
  </si>
  <si>
    <t>C-13189</t>
  </si>
  <si>
    <t>C-13190</t>
  </si>
  <si>
    <r>
      <t xml:space="preserve">(533)VENTA DE MOSTRADOR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</si>
  <si>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13191</t>
  </si>
  <si>
    <t>C-13191</t>
  </si>
  <si>
    <t>C-13192</t>
  </si>
  <si>
    <t>C-13193</t>
  </si>
  <si>
    <t>C-13194</t>
  </si>
  <si>
    <t>C-13195</t>
  </si>
  <si>
    <t>C-13196</t>
  </si>
  <si>
    <t>C-13197</t>
  </si>
  <si>
    <t>C-13198</t>
  </si>
  <si>
    <t>C-13199</t>
  </si>
  <si>
    <t>C-13200</t>
  </si>
  <si>
    <t>C-13201</t>
  </si>
  <si>
    <t>C-13202</t>
  </si>
  <si>
    <t>C-13203</t>
  </si>
  <si>
    <t>C-13204</t>
  </si>
  <si>
    <t>C-13205</t>
  </si>
  <si>
    <t>C-13206</t>
  </si>
  <si>
    <t>C-13207</t>
  </si>
  <si>
    <t>C-13208</t>
  </si>
  <si>
    <t>C-13209</t>
  </si>
  <si>
    <t>C-13210</t>
  </si>
  <si>
    <t>C-13211</t>
  </si>
  <si>
    <t>C-13212</t>
  </si>
  <si>
    <t>C-13213</t>
  </si>
  <si>
    <t>C-13214</t>
  </si>
  <si>
    <t>C-13215</t>
  </si>
  <si>
    <t>C-13216</t>
  </si>
  <si>
    <t>C-13217</t>
  </si>
  <si>
    <t>(317)MAQUILA  TOCINO SALADO</t>
  </si>
  <si>
    <t>C-13218</t>
  </si>
  <si>
    <t>C-13219</t>
  </si>
  <si>
    <t>C-13220</t>
  </si>
  <si>
    <t>C-13221</t>
  </si>
  <si>
    <t>C-13222</t>
  </si>
  <si>
    <t>C-13223</t>
  </si>
  <si>
    <t>C-13224</t>
  </si>
  <si>
    <t>C-13225</t>
  </si>
  <si>
    <t>C-13226</t>
  </si>
  <si>
    <t>C-13227</t>
  </si>
  <si>
    <t>C-13228</t>
  </si>
  <si>
    <t>C-13229</t>
  </si>
  <si>
    <t>C-13230</t>
  </si>
  <si>
    <t>C-13231</t>
  </si>
  <si>
    <t>C-13232</t>
  </si>
  <si>
    <t>C-13233</t>
  </si>
  <si>
    <t>C-13234</t>
  </si>
  <si>
    <t>C-13235</t>
  </si>
  <si>
    <t>C-13236</t>
  </si>
  <si>
    <t>C-13237</t>
  </si>
  <si>
    <t>C-13238</t>
  </si>
  <si>
    <t>C-13239</t>
  </si>
  <si>
    <t>C-13240</t>
  </si>
  <si>
    <t>C-13241</t>
  </si>
  <si>
    <t>C-13242</t>
  </si>
  <si>
    <t>C-13243</t>
  </si>
  <si>
    <t>C-13244</t>
  </si>
  <si>
    <t>C-13245</t>
  </si>
  <si>
    <t>C-13246</t>
  </si>
  <si>
    <t>C-13247</t>
  </si>
  <si>
    <t>C-13248</t>
  </si>
  <si>
    <t>C-13249</t>
  </si>
  <si>
    <t>C-13250</t>
  </si>
  <si>
    <t>C-13251</t>
  </si>
  <si>
    <t>C-13252</t>
  </si>
  <si>
    <t>C-13253</t>
  </si>
  <si>
    <t>C-13254</t>
  </si>
  <si>
    <t>C-13255</t>
  </si>
  <si>
    <t>C-13256</t>
  </si>
  <si>
    <t>C-13257</t>
  </si>
  <si>
    <t>C-13258</t>
  </si>
  <si>
    <t>C-13259</t>
  </si>
  <si>
    <t>C-13260</t>
  </si>
  <si>
    <t>C-13261</t>
  </si>
  <si>
    <t>C-13262</t>
  </si>
  <si>
    <t>C-13263</t>
  </si>
  <si>
    <t>C-13264</t>
  </si>
  <si>
    <t>C-13265</t>
  </si>
  <si>
    <t>C-13266</t>
  </si>
  <si>
    <t>C-13267</t>
  </si>
  <si>
    <t>C-13268</t>
  </si>
  <si>
    <t>C-13269</t>
  </si>
  <si>
    <t>C-13270</t>
  </si>
  <si>
    <t>C-13271</t>
  </si>
  <si>
    <t>C-13272</t>
  </si>
  <si>
    <t>C-13273</t>
  </si>
  <si>
    <t>C-13274</t>
  </si>
  <si>
    <t>C-13275</t>
  </si>
  <si>
    <t>C-13276</t>
  </si>
  <si>
    <t>C-13277</t>
  </si>
  <si>
    <t>C-13278</t>
  </si>
  <si>
    <t>C-13279</t>
  </si>
  <si>
    <t>C-13280</t>
  </si>
  <si>
    <t>C-13281</t>
  </si>
  <si>
    <r>
      <t xml:space="preserve">(679)JUANA CASTILLO   </t>
    </r>
    <r>
      <rPr>
        <b/>
        <sz val="12"/>
        <color rgb="FFFF0000"/>
        <rFont val="Calibri"/>
        <family val="2"/>
        <scheme val="minor"/>
      </rPr>
      <t>CANCELADA</t>
    </r>
  </si>
  <si>
    <t>C-13282</t>
  </si>
  <si>
    <t>C-13283</t>
  </si>
  <si>
    <t>C-13284</t>
  </si>
  <si>
    <t>C-13285</t>
  </si>
  <si>
    <t>C-13286</t>
  </si>
  <si>
    <t>C-13287</t>
  </si>
  <si>
    <t>C-13288</t>
  </si>
  <si>
    <t>C-13289</t>
  </si>
  <si>
    <t>C-13290</t>
  </si>
  <si>
    <t>C-13291</t>
  </si>
  <si>
    <t>C-13292</t>
  </si>
  <si>
    <t>C-13293</t>
  </si>
  <si>
    <t>C-13294</t>
  </si>
  <si>
    <t>C-13295</t>
  </si>
  <si>
    <t>C-13296</t>
  </si>
  <si>
    <t>C-13297</t>
  </si>
  <si>
    <t>C-13298</t>
  </si>
  <si>
    <t>C-13299</t>
  </si>
  <si>
    <t>C-13300</t>
  </si>
  <si>
    <t>C-13301</t>
  </si>
  <si>
    <t>C-13302</t>
  </si>
  <si>
    <t>C-13303</t>
  </si>
  <si>
    <t>C-13304</t>
  </si>
  <si>
    <t>C-13305</t>
  </si>
  <si>
    <t>C-13306</t>
  </si>
  <si>
    <t>C-13307</t>
  </si>
  <si>
    <t>C-13308</t>
  </si>
  <si>
    <t>C-13309</t>
  </si>
  <si>
    <t>C-13310</t>
  </si>
  <si>
    <t>C-13311</t>
  </si>
  <si>
    <t>C-13312</t>
  </si>
  <si>
    <t>C-13313</t>
  </si>
  <si>
    <t>C-13314</t>
  </si>
  <si>
    <t>C-13315</t>
  </si>
  <si>
    <t>C-13316</t>
  </si>
  <si>
    <t>C-13317</t>
  </si>
  <si>
    <t>C-13318</t>
  </si>
  <si>
    <t>C-13319</t>
  </si>
  <si>
    <t>C-13320</t>
  </si>
  <si>
    <t>C-13321</t>
  </si>
  <si>
    <t>C-13322</t>
  </si>
  <si>
    <t>C-13323</t>
  </si>
  <si>
    <t>C-13324</t>
  </si>
  <si>
    <t>C-13325</t>
  </si>
  <si>
    <t>C-13326</t>
  </si>
  <si>
    <t>C-13327</t>
  </si>
  <si>
    <t>C-13328</t>
  </si>
  <si>
    <t>C-13329</t>
  </si>
  <si>
    <t>C-13330</t>
  </si>
  <si>
    <t>C-13331</t>
  </si>
  <si>
    <t>C-13332</t>
  </si>
  <si>
    <t>C-13333</t>
  </si>
  <si>
    <t>C-13334</t>
  </si>
  <si>
    <t>C-13335</t>
  </si>
  <si>
    <t>C-13336</t>
  </si>
  <si>
    <t>C-13337</t>
  </si>
  <si>
    <t>C-13338</t>
  </si>
  <si>
    <t>(873)MAGNIFICA</t>
  </si>
  <si>
    <t>C-13339</t>
  </si>
  <si>
    <t>C-13340</t>
  </si>
  <si>
    <t>C-13341</t>
  </si>
  <si>
    <t>C-13342</t>
  </si>
  <si>
    <t>C-13343</t>
  </si>
  <si>
    <t>C-13344</t>
  </si>
  <si>
    <t>C-13345</t>
  </si>
  <si>
    <t>C-13346</t>
  </si>
  <si>
    <t>C-13347</t>
  </si>
  <si>
    <t>C-13348</t>
  </si>
  <si>
    <t>C-13349</t>
  </si>
  <si>
    <t>C-13350</t>
  </si>
  <si>
    <t>C-13351</t>
  </si>
  <si>
    <t>C-13352</t>
  </si>
  <si>
    <t>C-13353</t>
  </si>
  <si>
    <t>C-13354</t>
  </si>
  <si>
    <t>C-13355</t>
  </si>
  <si>
    <t>C-13356</t>
  </si>
  <si>
    <t>C-13357</t>
  </si>
  <si>
    <t>C-13358</t>
  </si>
  <si>
    <t>C-13359</t>
  </si>
  <si>
    <t>C-13360</t>
  </si>
  <si>
    <t>C-13361</t>
  </si>
  <si>
    <t>C-13362</t>
  </si>
  <si>
    <t>C-13363</t>
  </si>
  <si>
    <t>C-13364</t>
  </si>
  <si>
    <t>C-13365</t>
  </si>
  <si>
    <t>C-13366</t>
  </si>
  <si>
    <t>C-13367</t>
  </si>
  <si>
    <t>C-13368</t>
  </si>
  <si>
    <t>C-13369</t>
  </si>
  <si>
    <t>C-13370</t>
  </si>
  <si>
    <t>C-13371</t>
  </si>
  <si>
    <t>C-13372</t>
  </si>
  <si>
    <t>C-13373</t>
  </si>
  <si>
    <t>C-13374</t>
  </si>
  <si>
    <t>C-13375</t>
  </si>
  <si>
    <t>C-13376</t>
  </si>
  <si>
    <t>C-13377</t>
  </si>
  <si>
    <t>C-13378</t>
  </si>
  <si>
    <t>C-13379</t>
  </si>
  <si>
    <t>C-13380</t>
  </si>
  <si>
    <t>C-13381</t>
  </si>
  <si>
    <t>C-13382</t>
  </si>
  <si>
    <t>C-13383</t>
  </si>
  <si>
    <t>C-13384</t>
  </si>
  <si>
    <t>C-13385</t>
  </si>
  <si>
    <t>C-13386</t>
  </si>
  <si>
    <t>26-Feb-22--27-Feb-22</t>
  </si>
  <si>
    <t>C-13387</t>
  </si>
  <si>
    <t>C-13388</t>
  </si>
  <si>
    <t>C-13389</t>
  </si>
  <si>
    <t>C-13390</t>
  </si>
  <si>
    <t>C-13391</t>
  </si>
  <si>
    <t>C-13392</t>
  </si>
  <si>
    <t>C-13393</t>
  </si>
  <si>
    <t>(155)CARNICERIA ESCOBAR</t>
  </si>
  <si>
    <t>C-13394</t>
  </si>
  <si>
    <t>C-13395</t>
  </si>
  <si>
    <t>C-13396</t>
  </si>
  <si>
    <t>C-13397</t>
  </si>
  <si>
    <t>C-13398</t>
  </si>
  <si>
    <t>C-13399</t>
  </si>
  <si>
    <t>C-13400</t>
  </si>
  <si>
    <t>C-13401</t>
  </si>
  <si>
    <t>C-13402</t>
  </si>
  <si>
    <r>
      <t xml:space="preserve">(366)SALVADOR PAZ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</si>
  <si>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C-13403</t>
  </si>
  <si>
    <t>C-13404</t>
  </si>
  <si>
    <t>C-13405</t>
  </si>
  <si>
    <t>C-13406</t>
  </si>
  <si>
    <t>C-13407</t>
  </si>
  <si>
    <t>C-13408</t>
  </si>
  <si>
    <t>C-13409</t>
  </si>
  <si>
    <t>C-13410</t>
  </si>
  <si>
    <t>C-13411</t>
  </si>
  <si>
    <t>C-13412</t>
  </si>
  <si>
    <t>C-13413</t>
  </si>
  <si>
    <t>C-13414</t>
  </si>
  <si>
    <t>C-13415</t>
  </si>
  <si>
    <t>C-13416</t>
  </si>
  <si>
    <t>C-13417</t>
  </si>
  <si>
    <t>C-13418</t>
  </si>
  <si>
    <t>C-13419</t>
  </si>
  <si>
    <t>C-13420</t>
  </si>
  <si>
    <t>C-13421</t>
  </si>
  <si>
    <t>C-13422</t>
  </si>
  <si>
    <t>C-13423</t>
  </si>
  <si>
    <t>C-13424</t>
  </si>
  <si>
    <t>C-13425</t>
  </si>
  <si>
    <t>C-13426</t>
  </si>
  <si>
    <t>C-13427</t>
  </si>
  <si>
    <t>C-13428</t>
  </si>
  <si>
    <t>C-13429</t>
  </si>
  <si>
    <t>C-13430</t>
  </si>
  <si>
    <t>C-13431</t>
  </si>
  <si>
    <r>
      <t>(423)SUPER DESCUENTO VICTORINO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</si>
  <si>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C-13432</t>
  </si>
  <si>
    <t>C-13433</t>
  </si>
  <si>
    <t>C-13434</t>
  </si>
  <si>
    <t>C-13435</t>
  </si>
  <si>
    <t>C-13436</t>
  </si>
  <si>
    <t>C-13437</t>
  </si>
  <si>
    <t>C-13438</t>
  </si>
  <si>
    <t>C-13439</t>
  </si>
  <si>
    <t>C-13440</t>
  </si>
  <si>
    <t>C-13441</t>
  </si>
  <si>
    <t>C-13442</t>
  </si>
  <si>
    <t>C-13443</t>
  </si>
  <si>
    <t>C-13444</t>
  </si>
  <si>
    <t>C-13445</t>
  </si>
  <si>
    <t>C-13446</t>
  </si>
  <si>
    <t>C-13447</t>
  </si>
  <si>
    <t>C-13448</t>
  </si>
  <si>
    <t>C-13449</t>
  </si>
  <si>
    <t>C-13450</t>
  </si>
  <si>
    <t>C-13451</t>
  </si>
  <si>
    <t>C-13452</t>
  </si>
  <si>
    <t>C-13453</t>
  </si>
  <si>
    <t>C-13454</t>
  </si>
  <si>
    <t>C-13455</t>
  </si>
  <si>
    <t>C-13456</t>
  </si>
  <si>
    <t>C-13457</t>
  </si>
  <si>
    <t>C-13458</t>
  </si>
  <si>
    <t>C-13459</t>
  </si>
  <si>
    <t>C-13460</t>
  </si>
  <si>
    <t>C-13461</t>
  </si>
  <si>
    <t>C-13462</t>
  </si>
  <si>
    <t>C-13463</t>
  </si>
  <si>
    <t>C-13464</t>
  </si>
  <si>
    <t>C-13465</t>
  </si>
  <si>
    <t>C-13466</t>
  </si>
  <si>
    <t>C-13467</t>
  </si>
  <si>
    <t>C-13468</t>
  </si>
  <si>
    <t>C-13469</t>
  </si>
  <si>
    <t>C-13470</t>
  </si>
  <si>
    <t>C-13471</t>
  </si>
  <si>
    <t>C-13472</t>
  </si>
  <si>
    <t>(888)AGUSTIN LEDO</t>
  </si>
  <si>
    <t>C-13473</t>
  </si>
  <si>
    <t>C-13474</t>
  </si>
  <si>
    <t>C-13475</t>
  </si>
  <si>
    <t>C-13476</t>
  </si>
  <si>
    <t>C-13477</t>
  </si>
  <si>
    <t>C-13478</t>
  </si>
  <si>
    <t>C-13479</t>
  </si>
  <si>
    <t>C-13480</t>
  </si>
  <si>
    <t>C-13481</t>
  </si>
  <si>
    <t>C-13482</t>
  </si>
  <si>
    <t>C-13483</t>
  </si>
  <si>
    <t>C-13484</t>
  </si>
  <si>
    <t>C-13485</t>
  </si>
  <si>
    <t>C-13486</t>
  </si>
  <si>
    <t>C-13487</t>
  </si>
  <si>
    <t>C-13488</t>
  </si>
  <si>
    <t>C-13489</t>
  </si>
  <si>
    <t>C-13490</t>
  </si>
  <si>
    <t>C-13491</t>
  </si>
  <si>
    <t>C-13492</t>
  </si>
  <si>
    <t>C-13493</t>
  </si>
  <si>
    <t>C-13494</t>
  </si>
  <si>
    <t>C-13495</t>
  </si>
  <si>
    <t>C-13496</t>
  </si>
  <si>
    <t>C-13497</t>
  </si>
  <si>
    <t>C-13498</t>
  </si>
  <si>
    <t>C-13499</t>
  </si>
  <si>
    <t>C-13500</t>
  </si>
  <si>
    <t>C-13501</t>
  </si>
  <si>
    <t>C-13502</t>
  </si>
  <si>
    <t>C-13503</t>
  </si>
  <si>
    <t>C-13504</t>
  </si>
  <si>
    <t>C-13505</t>
  </si>
  <si>
    <t>C-13506</t>
  </si>
  <si>
    <t>C-13507</t>
  </si>
  <si>
    <t>C-13508</t>
  </si>
  <si>
    <t>C-13509</t>
  </si>
  <si>
    <t>C-13510</t>
  </si>
  <si>
    <t>C-13511</t>
  </si>
  <si>
    <t>C-13512</t>
  </si>
  <si>
    <t>C-13513</t>
  </si>
  <si>
    <t>C-13514</t>
  </si>
  <si>
    <t>C-13515</t>
  </si>
  <si>
    <t>C-13516</t>
  </si>
  <si>
    <t>C-13517</t>
  </si>
  <si>
    <t>C-13518</t>
  </si>
  <si>
    <t>C-13519</t>
  </si>
  <si>
    <t>C-13520</t>
  </si>
  <si>
    <t>C-13521</t>
  </si>
  <si>
    <t>C-13522</t>
  </si>
  <si>
    <t>C-13523</t>
  </si>
  <si>
    <t>C-13524</t>
  </si>
  <si>
    <t>C-13525</t>
  </si>
  <si>
    <t>C-13526</t>
  </si>
  <si>
    <t>C-13527</t>
  </si>
  <si>
    <t>C-13528</t>
  </si>
  <si>
    <t>C-13529</t>
  </si>
  <si>
    <t>C-13530</t>
  </si>
  <si>
    <t>C-13531</t>
  </si>
  <si>
    <t>C-13532</t>
  </si>
  <si>
    <t>C-13533</t>
  </si>
  <si>
    <t>C-13534</t>
  </si>
  <si>
    <t>C-13535</t>
  </si>
  <si>
    <t>C-13536</t>
  </si>
  <si>
    <t>C-13537</t>
  </si>
  <si>
    <t>C-13538</t>
  </si>
  <si>
    <t>C-13539</t>
  </si>
  <si>
    <t>C-13540</t>
  </si>
  <si>
    <t>C-13541</t>
  </si>
  <si>
    <t>C-13542</t>
  </si>
  <si>
    <t>C-13543</t>
  </si>
  <si>
    <t>C-13544</t>
  </si>
  <si>
    <t>C-13545</t>
  </si>
  <si>
    <t>C-13546</t>
  </si>
  <si>
    <t>C-13547</t>
  </si>
  <si>
    <t>C-13548</t>
  </si>
  <si>
    <t>C-13549</t>
  </si>
  <si>
    <t>C-13550</t>
  </si>
  <si>
    <t>C-13551</t>
  </si>
  <si>
    <t>C-13552</t>
  </si>
  <si>
    <t>C-13553</t>
  </si>
  <si>
    <t>C-13554</t>
  </si>
  <si>
    <t>C-13555</t>
  </si>
  <si>
    <t>C-13556</t>
  </si>
  <si>
    <t>C-13557</t>
  </si>
  <si>
    <t>C-13558</t>
  </si>
  <si>
    <t>C-13559</t>
  </si>
  <si>
    <t>C-13560</t>
  </si>
  <si>
    <t>C-13561</t>
  </si>
  <si>
    <t>C-13562</t>
  </si>
  <si>
    <t>C-13563</t>
  </si>
  <si>
    <t>C-13564</t>
  </si>
  <si>
    <t>C-13565</t>
  </si>
  <si>
    <t>C-13566</t>
  </si>
  <si>
    <t>C-13567</t>
  </si>
  <si>
    <t>C-13568</t>
  </si>
  <si>
    <t>C-13569</t>
  </si>
  <si>
    <t>C-13570</t>
  </si>
  <si>
    <t>C-13571</t>
  </si>
  <si>
    <t>C-13572</t>
  </si>
  <si>
    <t>C-13573</t>
  </si>
  <si>
    <t>C-13574</t>
  </si>
  <si>
    <t>C-13575</t>
  </si>
  <si>
    <t>C-13576</t>
  </si>
  <si>
    <t>C-13577</t>
  </si>
  <si>
    <t>C-13578</t>
  </si>
  <si>
    <t>C-13579</t>
  </si>
  <si>
    <t>C-13580</t>
  </si>
  <si>
    <t>C-13581</t>
  </si>
  <si>
    <t>C-13582</t>
  </si>
  <si>
    <t>C-13583</t>
  </si>
  <si>
    <t>C-13584</t>
  </si>
  <si>
    <t>C-13585</t>
  </si>
  <si>
    <t>C-13586</t>
  </si>
  <si>
    <t>C-13587</t>
  </si>
  <si>
    <t>C-13588</t>
  </si>
  <si>
    <t>C-13589</t>
  </si>
  <si>
    <t>C-13590</t>
  </si>
  <si>
    <t>C-13591</t>
  </si>
  <si>
    <t>C-13592</t>
  </si>
  <si>
    <t>C-13593</t>
  </si>
  <si>
    <t>C-13594</t>
  </si>
  <si>
    <t>C-13595</t>
  </si>
  <si>
    <t>C-13596</t>
  </si>
  <si>
    <t>C-13597</t>
  </si>
  <si>
    <t>C-13598</t>
  </si>
  <si>
    <t>C-13599</t>
  </si>
  <si>
    <t>C-13600</t>
  </si>
  <si>
    <t>C-13601</t>
  </si>
  <si>
    <t>C-13602</t>
  </si>
  <si>
    <t>C-13603</t>
  </si>
  <si>
    <t>C-13604</t>
  </si>
  <si>
    <t>C-13605</t>
  </si>
  <si>
    <t>C-13606</t>
  </si>
  <si>
    <t>C-13607</t>
  </si>
  <si>
    <t>C-13608</t>
  </si>
  <si>
    <t>C-13609</t>
  </si>
  <si>
    <t>C-13610</t>
  </si>
  <si>
    <t>C-13611</t>
  </si>
  <si>
    <t>C-13612</t>
  </si>
  <si>
    <t>C-13613</t>
  </si>
  <si>
    <t>C-13614</t>
  </si>
  <si>
    <t>C-13615</t>
  </si>
  <si>
    <r>
      <t xml:space="preserve">(273)EMANUEL CABALLO  </t>
    </r>
    <r>
      <rPr>
        <b/>
        <sz val="12"/>
        <color rgb="FFFF0000"/>
        <rFont val="Calibri"/>
        <family val="2"/>
        <scheme val="minor"/>
      </rPr>
      <t>CANCELADA</t>
    </r>
  </si>
  <si>
    <t>se sustituye x la 13616</t>
  </si>
  <si>
    <t>C-13616</t>
  </si>
  <si>
    <t>C-13617</t>
  </si>
  <si>
    <t>C-13618</t>
  </si>
  <si>
    <t>C-13619</t>
  </si>
  <si>
    <t>C-13620</t>
  </si>
  <si>
    <t>C-13621</t>
  </si>
  <si>
    <t>C-13622</t>
  </si>
  <si>
    <t>C-13623</t>
  </si>
  <si>
    <t>C-13624</t>
  </si>
  <si>
    <t>C-13625</t>
  </si>
  <si>
    <t>C-13626</t>
  </si>
  <si>
    <t>C-13627</t>
  </si>
  <si>
    <t>C-13628</t>
  </si>
  <si>
    <t>C-13629</t>
  </si>
  <si>
    <t>C-13630</t>
  </si>
  <si>
    <t>C-13631</t>
  </si>
  <si>
    <t>C-13632</t>
  </si>
  <si>
    <t>C-13633</t>
  </si>
  <si>
    <t>C-13634</t>
  </si>
  <si>
    <t>C-13635</t>
  </si>
  <si>
    <t>C-13636</t>
  </si>
  <si>
    <t>C-13637</t>
  </si>
  <si>
    <t>C-13638</t>
  </si>
  <si>
    <t>C-13639</t>
  </si>
  <si>
    <t>C-13640</t>
  </si>
  <si>
    <t>C-13641</t>
  </si>
  <si>
    <t>C-13642</t>
  </si>
  <si>
    <t>C-13643</t>
  </si>
  <si>
    <t>C-13644</t>
  </si>
  <si>
    <t>C-13645</t>
  </si>
  <si>
    <t>C-13646</t>
  </si>
  <si>
    <t>C-13647</t>
  </si>
  <si>
    <t>C-13648</t>
  </si>
  <si>
    <t>C-13649</t>
  </si>
  <si>
    <t>C-13650</t>
  </si>
  <si>
    <t>C-13651</t>
  </si>
  <si>
    <t>C-13652</t>
  </si>
  <si>
    <t>C-13653</t>
  </si>
  <si>
    <t>C-13654</t>
  </si>
  <si>
    <t>C-13655</t>
  </si>
  <si>
    <t>C-13656</t>
  </si>
  <si>
    <t>C-13657</t>
  </si>
  <si>
    <t>C-13658</t>
  </si>
  <si>
    <t>C-13659</t>
  </si>
  <si>
    <t>C-13660</t>
  </si>
  <si>
    <t>C-13661</t>
  </si>
  <si>
    <t>C-13662</t>
  </si>
  <si>
    <t>C-13663</t>
  </si>
  <si>
    <t>C-13664</t>
  </si>
  <si>
    <t>C-13665</t>
  </si>
  <si>
    <t>C-13666</t>
  </si>
  <si>
    <t>(465)CARNICERIA SANTA ANA</t>
  </si>
  <si>
    <t>C-13667</t>
  </si>
  <si>
    <t>C-13668</t>
  </si>
  <si>
    <t>C-13669</t>
  </si>
  <si>
    <t>C-13670</t>
  </si>
  <si>
    <t>C-13671</t>
  </si>
  <si>
    <t>C-13672</t>
  </si>
  <si>
    <t>C-13673</t>
  </si>
  <si>
    <t>C-13674</t>
  </si>
  <si>
    <t>C-13675</t>
  </si>
  <si>
    <t>C-13676</t>
  </si>
  <si>
    <t>C-13677</t>
  </si>
  <si>
    <t>C-13678</t>
  </si>
  <si>
    <t>C-13679</t>
  </si>
  <si>
    <t>C-13680</t>
  </si>
  <si>
    <t>C-13681</t>
  </si>
  <si>
    <t>C-13682</t>
  </si>
  <si>
    <t>C-13683</t>
  </si>
  <si>
    <t>C-13684</t>
  </si>
  <si>
    <t>C-13685</t>
  </si>
  <si>
    <t>C-13686</t>
  </si>
  <si>
    <r>
      <t xml:space="preserve">(292)NERY   </t>
    </r>
    <r>
      <rPr>
        <b/>
        <sz val="12"/>
        <color rgb="FFFF0000"/>
        <rFont val="Calibri"/>
        <family val="2"/>
        <scheme val="minor"/>
      </rPr>
      <t>CANCELADA</t>
    </r>
  </si>
  <si>
    <t>se sustituye x la 13687</t>
  </si>
  <si>
    <t>C-13687</t>
  </si>
  <si>
    <t>C-13688</t>
  </si>
  <si>
    <t>C-13689</t>
  </si>
  <si>
    <t>C-13690</t>
  </si>
  <si>
    <t>C-13691</t>
  </si>
  <si>
    <t>C-13692</t>
  </si>
  <si>
    <t>C-13693</t>
  </si>
  <si>
    <t>C-13694</t>
  </si>
  <si>
    <t>C-13695</t>
  </si>
  <si>
    <t>C-13696</t>
  </si>
  <si>
    <t>C-13697</t>
  </si>
  <si>
    <t>C-13698</t>
  </si>
  <si>
    <t>C-13699</t>
  </si>
  <si>
    <t>C-13700</t>
  </si>
  <si>
    <t>C-13701</t>
  </si>
  <si>
    <t>C-13702</t>
  </si>
  <si>
    <t>C-13703</t>
  </si>
  <si>
    <t>C-13704</t>
  </si>
  <si>
    <t>C-13705</t>
  </si>
  <si>
    <t>C-13706</t>
  </si>
  <si>
    <t>C-13707</t>
  </si>
  <si>
    <t>C-13708</t>
  </si>
  <si>
    <t>C-13709</t>
  </si>
  <si>
    <t>C-13710</t>
  </si>
  <si>
    <t>C-13711</t>
  </si>
  <si>
    <t>C-13712</t>
  </si>
  <si>
    <t>C-13713</t>
  </si>
  <si>
    <t>C-13714</t>
  </si>
  <si>
    <t>C-13715</t>
  </si>
  <si>
    <t>C-13716</t>
  </si>
  <si>
    <t>C-13717</t>
  </si>
  <si>
    <t>C-13718</t>
  </si>
  <si>
    <t>C-13719</t>
  </si>
  <si>
    <t>C-13720</t>
  </si>
  <si>
    <t>C-13721</t>
  </si>
  <si>
    <t>C-13722</t>
  </si>
  <si>
    <t>C-13723</t>
  </si>
  <si>
    <t>C-13724</t>
  </si>
  <si>
    <t>C-13725</t>
  </si>
  <si>
    <t>C-13726</t>
  </si>
  <si>
    <t>C-13727</t>
  </si>
  <si>
    <t>C-13728</t>
  </si>
  <si>
    <t>C-13729</t>
  </si>
  <si>
    <t>C-13730</t>
  </si>
  <si>
    <t>C-13731</t>
  </si>
  <si>
    <t>C-13732</t>
  </si>
  <si>
    <t>C-13733</t>
  </si>
  <si>
    <t>C-13734</t>
  </si>
  <si>
    <t>C-13735</t>
  </si>
  <si>
    <t>C-13736</t>
  </si>
  <si>
    <t>C-13737</t>
  </si>
  <si>
    <t>C-13738</t>
  </si>
  <si>
    <t>C-13739</t>
  </si>
  <si>
    <t>C-13740</t>
  </si>
  <si>
    <t>C-13741</t>
  </si>
  <si>
    <t>C-13742</t>
  </si>
  <si>
    <t>C-13743</t>
  </si>
  <si>
    <t>C-13744</t>
  </si>
  <si>
    <t>C-13745</t>
  </si>
  <si>
    <t>C-13746</t>
  </si>
  <si>
    <r>
      <t xml:space="preserve">(848)MARIA GUADALUPE CORTES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</si>
  <si>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C-13747</t>
  </si>
  <si>
    <t>C-13748</t>
  </si>
  <si>
    <t>C-13749</t>
  </si>
  <si>
    <t>C-13750</t>
  </si>
  <si>
    <t>C-13751</t>
  </si>
  <si>
    <t>C-13752</t>
  </si>
  <si>
    <t>C-13753</t>
  </si>
  <si>
    <t>C-13754</t>
  </si>
  <si>
    <t>C-13755</t>
  </si>
  <si>
    <t>C-13756</t>
  </si>
  <si>
    <t>C-13757</t>
  </si>
  <si>
    <t>C-13758</t>
  </si>
  <si>
    <t>C-13759</t>
  </si>
  <si>
    <t>C-13760</t>
  </si>
  <si>
    <t>C-13761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</si>
  <si>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</si>
  <si>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sustituye x la 13762</t>
  </si>
  <si>
    <t>C-13762</t>
  </si>
  <si>
    <t>C-13763</t>
  </si>
  <si>
    <t>C-13764</t>
  </si>
  <si>
    <t>C-13765</t>
  </si>
  <si>
    <t>C-13766</t>
  </si>
  <si>
    <t>C-13767</t>
  </si>
  <si>
    <t>C-13768</t>
  </si>
  <si>
    <t>C-13769</t>
  </si>
  <si>
    <t>C-13770</t>
  </si>
  <si>
    <t>27-Feb-22--1-Mar-22</t>
  </si>
  <si>
    <t>28-Feb-22--1-Mar-22</t>
  </si>
  <si>
    <t>1-Mar-22--2-Mar-22</t>
  </si>
  <si>
    <t>17-Feb-22--3-Mar-22</t>
  </si>
  <si>
    <t>2-Mar-22--3-Mar-22</t>
  </si>
  <si>
    <t>25-Feb-22--4-Mar-22</t>
  </si>
  <si>
    <t>4-Mar-22--11-Mar-22</t>
  </si>
  <si>
    <t>10-Mar-22--12-Mar-22</t>
  </si>
  <si>
    <t>14-Mar-22--21-Mar-22</t>
  </si>
  <si>
    <t>DARIO TIRO</t>
  </si>
  <si>
    <t>C-13771</t>
  </si>
  <si>
    <t>C-13772</t>
  </si>
  <si>
    <t>C-13773</t>
  </si>
  <si>
    <t>C-13774</t>
  </si>
  <si>
    <t>C-13775</t>
  </si>
  <si>
    <t>C-13776</t>
  </si>
  <si>
    <t>C-13777</t>
  </si>
  <si>
    <t>C-13778</t>
  </si>
  <si>
    <t>C-13779</t>
  </si>
  <si>
    <t>C-13780</t>
  </si>
  <si>
    <t>C-13781</t>
  </si>
  <si>
    <t>C-13782</t>
  </si>
  <si>
    <t>C-13783</t>
  </si>
  <si>
    <t>C-13784</t>
  </si>
  <si>
    <t>C-13785</t>
  </si>
  <si>
    <t>C-13786</t>
  </si>
  <si>
    <t>C-13787</t>
  </si>
  <si>
    <t>C-13788</t>
  </si>
  <si>
    <t>C-13789</t>
  </si>
  <si>
    <t>C-13790</t>
  </si>
  <si>
    <t>C-13791</t>
  </si>
  <si>
    <r>
      <t xml:space="preserve">(633)DOÑA LETY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</si>
  <si>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C-13792</t>
  </si>
  <si>
    <t>C-13793</t>
  </si>
  <si>
    <t>C-13794</t>
  </si>
  <si>
    <t>C-13795</t>
  </si>
  <si>
    <t>C-13796</t>
  </si>
  <si>
    <t>C-13797</t>
  </si>
  <si>
    <t>C-13798</t>
  </si>
  <si>
    <t>C-13799</t>
  </si>
  <si>
    <t>C-13800</t>
  </si>
  <si>
    <t>C-13801</t>
  </si>
  <si>
    <t>C-13802</t>
  </si>
  <si>
    <t>C-13803</t>
  </si>
  <si>
    <t>C-13804</t>
  </si>
  <si>
    <t>C-13805</t>
  </si>
  <si>
    <t>C-13806</t>
  </si>
  <si>
    <t>C-13807</t>
  </si>
  <si>
    <t>C-13808</t>
  </si>
  <si>
    <t>C-13809</t>
  </si>
  <si>
    <t>23/03/2022</t>
  </si>
  <si>
    <t>C-13810</t>
  </si>
  <si>
    <t>C-13811</t>
  </si>
  <si>
    <t>C-13812</t>
  </si>
  <si>
    <t>C-13813</t>
  </si>
  <si>
    <t>C-13814</t>
  </si>
  <si>
    <t>C-13815</t>
  </si>
  <si>
    <t>C-13816</t>
  </si>
  <si>
    <t>C-13817</t>
  </si>
  <si>
    <t>C-13818</t>
  </si>
  <si>
    <t>C-13819</t>
  </si>
  <si>
    <t>C-13820</t>
  </si>
  <si>
    <t>C-13821</t>
  </si>
  <si>
    <t>C-13822</t>
  </si>
  <si>
    <t>C-13823</t>
  </si>
  <si>
    <t>C-13824</t>
  </si>
  <si>
    <t>C-13825</t>
  </si>
  <si>
    <t>C-13826</t>
  </si>
  <si>
    <t>C-13827</t>
  </si>
  <si>
    <t>C-13828</t>
  </si>
  <si>
    <t>C-13829</t>
  </si>
  <si>
    <t>C-13830</t>
  </si>
  <si>
    <t>C-13831</t>
  </si>
  <si>
    <t>C-13832</t>
  </si>
  <si>
    <t>C-13833</t>
  </si>
  <si>
    <t>C-13834</t>
  </si>
  <si>
    <t>C-13835</t>
  </si>
  <si>
    <t>C-13836</t>
  </si>
  <si>
    <t>C-13837</t>
  </si>
  <si>
    <t>C-13838</t>
  </si>
  <si>
    <t>C-13839</t>
  </si>
  <si>
    <t>C-13840</t>
  </si>
  <si>
    <t>C-13841</t>
  </si>
  <si>
    <t>C-13842</t>
  </si>
  <si>
    <t>C-13843</t>
  </si>
  <si>
    <t>C-13844</t>
  </si>
  <si>
    <t>C-13845</t>
  </si>
  <si>
    <t>C-13846</t>
  </si>
  <si>
    <t>C-13847</t>
  </si>
  <si>
    <t>C-13848</t>
  </si>
  <si>
    <t>C-13849</t>
  </si>
  <si>
    <t>C-13850</t>
  </si>
  <si>
    <t>C-13851</t>
  </si>
  <si>
    <t>C-13852</t>
  </si>
  <si>
    <t>C-13853</t>
  </si>
  <si>
    <t>C-13854</t>
  </si>
  <si>
    <t>C-13855</t>
  </si>
  <si>
    <t>C-13856</t>
  </si>
  <si>
    <t>C-13857</t>
  </si>
  <si>
    <t>C-13858</t>
  </si>
  <si>
    <t>C-13859</t>
  </si>
  <si>
    <t>C-13860</t>
  </si>
  <si>
    <t>C-13861</t>
  </si>
  <si>
    <t>C-13862</t>
  </si>
  <si>
    <t>C-13863</t>
  </si>
  <si>
    <t>C-13864</t>
  </si>
  <si>
    <t>C-13865</t>
  </si>
  <si>
    <t>C-13866</t>
  </si>
  <si>
    <t>C-13867</t>
  </si>
  <si>
    <t>C-13868</t>
  </si>
  <si>
    <t>C-13869</t>
  </si>
  <si>
    <t>C-13870</t>
  </si>
  <si>
    <t>C-13871</t>
  </si>
  <si>
    <t>C-13872</t>
  </si>
  <si>
    <t>C-13873</t>
  </si>
  <si>
    <t>C-13874</t>
  </si>
  <si>
    <t>C-13875</t>
  </si>
  <si>
    <t>C-13876</t>
  </si>
  <si>
    <t>C-13877</t>
  </si>
  <si>
    <t>C-13878</t>
  </si>
  <si>
    <t>C-13879</t>
  </si>
  <si>
    <t>C-13880</t>
  </si>
  <si>
    <t>C-13881</t>
  </si>
  <si>
    <t>C-13882</t>
  </si>
  <si>
    <t>(295)DANIEL</t>
  </si>
  <si>
    <t>C-13883</t>
  </si>
  <si>
    <t>C-13884</t>
  </si>
  <si>
    <t>C-13885</t>
  </si>
  <si>
    <t>C-13886</t>
  </si>
  <si>
    <t>C-13887</t>
  </si>
  <si>
    <t>C-13888</t>
  </si>
  <si>
    <t>C-13889</t>
  </si>
  <si>
    <t>C-13890</t>
  </si>
  <si>
    <t>C-13891</t>
  </si>
  <si>
    <t>C-13892</t>
  </si>
  <si>
    <t>C-13893</t>
  </si>
  <si>
    <t>C-13894</t>
  </si>
  <si>
    <t>C-13895</t>
  </si>
  <si>
    <t>C-13896</t>
  </si>
  <si>
    <t>C-13897</t>
  </si>
  <si>
    <t>C-13898</t>
  </si>
  <si>
    <t>3-Mar-22--4-Mar-22</t>
  </si>
  <si>
    <t>C-13899</t>
  </si>
  <si>
    <t>C-13900</t>
  </si>
  <si>
    <t>C-13901</t>
  </si>
  <si>
    <t>C-13902</t>
  </si>
  <si>
    <t>C-13903</t>
  </si>
  <si>
    <t>C-13904</t>
  </si>
  <si>
    <t>C-13905</t>
  </si>
  <si>
    <t>C-13906</t>
  </si>
  <si>
    <t>C-13907</t>
  </si>
  <si>
    <t>(249)RICARDO GONZALEZ</t>
  </si>
  <si>
    <t>C-13908</t>
  </si>
  <si>
    <t>C-13909</t>
  </si>
  <si>
    <t>C-13910</t>
  </si>
  <si>
    <t>C-13911</t>
  </si>
  <si>
    <t>C-13912</t>
  </si>
  <si>
    <t>C-13913</t>
  </si>
  <si>
    <t>C-13914</t>
  </si>
  <si>
    <t>C-13915</t>
  </si>
  <si>
    <t>C-13916</t>
  </si>
  <si>
    <t>C-13917</t>
  </si>
  <si>
    <t>C-13918</t>
  </si>
  <si>
    <t>C-13919</t>
  </si>
  <si>
    <t>C-13920</t>
  </si>
  <si>
    <t>C-13921</t>
  </si>
  <si>
    <t>C-13922</t>
  </si>
  <si>
    <t>C-13923</t>
  </si>
  <si>
    <t>C-13924</t>
  </si>
  <si>
    <t>C-13925</t>
  </si>
  <si>
    <t>C-13926</t>
  </si>
  <si>
    <t>C-13927</t>
  </si>
  <si>
    <t>C-13928</t>
  </si>
  <si>
    <t>C-13929</t>
  </si>
  <si>
    <t>C-13930</t>
  </si>
  <si>
    <t>C-13931</t>
  </si>
  <si>
    <t>C-13932</t>
  </si>
  <si>
    <t>C-13933</t>
  </si>
  <si>
    <t>C-13934</t>
  </si>
  <si>
    <t>C-13935</t>
  </si>
  <si>
    <t>C-13936</t>
  </si>
  <si>
    <t>C-13937</t>
  </si>
  <si>
    <t>C-13938</t>
  </si>
  <si>
    <t>C-13939</t>
  </si>
  <si>
    <t>C-13940</t>
  </si>
  <si>
    <t>C-13941</t>
  </si>
  <si>
    <t>C-13942</t>
  </si>
  <si>
    <t>C-13943</t>
  </si>
  <si>
    <t>C-13944</t>
  </si>
  <si>
    <t>C-13945</t>
  </si>
  <si>
    <t>C-13946</t>
  </si>
  <si>
    <t>C-13947</t>
  </si>
  <si>
    <t>C-13948</t>
  </si>
  <si>
    <t>(91)ARTURO BERNAL</t>
  </si>
  <si>
    <t>C-13949</t>
  </si>
  <si>
    <t>C-13950</t>
  </si>
  <si>
    <t>C-13951</t>
  </si>
  <si>
    <t>C-13952</t>
  </si>
  <si>
    <t>C-13953</t>
  </si>
  <si>
    <t>C-13954</t>
  </si>
  <si>
    <t>C-13955</t>
  </si>
  <si>
    <t>C-13956</t>
  </si>
  <si>
    <t>C-13957</t>
  </si>
  <si>
    <t>C-13958</t>
  </si>
  <si>
    <t>C-13959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</si>
  <si>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</si>
  <si>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13960</t>
  </si>
  <si>
    <t>C-13960</t>
  </si>
  <si>
    <t>C-13961</t>
  </si>
  <si>
    <t>C-13962</t>
  </si>
  <si>
    <t>C-13963</t>
  </si>
  <si>
    <t>C-13964</t>
  </si>
  <si>
    <t>C-13965</t>
  </si>
  <si>
    <t>C-13966</t>
  </si>
  <si>
    <t>C-13967</t>
  </si>
  <si>
    <t>C-13968</t>
  </si>
  <si>
    <t>4-May-22--5-Mar-22</t>
  </si>
  <si>
    <t>C-13969</t>
  </si>
  <si>
    <t>C-13970</t>
  </si>
  <si>
    <t>C-13971</t>
  </si>
  <si>
    <t>C-13972</t>
  </si>
  <si>
    <t>C-13973</t>
  </si>
  <si>
    <t>C-13974</t>
  </si>
  <si>
    <t>C-13975</t>
  </si>
  <si>
    <t>C-13976</t>
  </si>
  <si>
    <t>C-13977</t>
  </si>
  <si>
    <t>C-13978</t>
  </si>
  <si>
    <t>C-13979</t>
  </si>
  <si>
    <t>C-13980</t>
  </si>
  <si>
    <t>C-13981</t>
  </si>
  <si>
    <t>C-13982</t>
  </si>
  <si>
    <t>C-13983</t>
  </si>
  <si>
    <t>C-13984</t>
  </si>
  <si>
    <t>C-13985</t>
  </si>
  <si>
    <t>C-13986</t>
  </si>
  <si>
    <t>C-13987</t>
  </si>
  <si>
    <t>C-13988</t>
  </si>
  <si>
    <t>C-13989</t>
  </si>
  <si>
    <t>C-13990</t>
  </si>
  <si>
    <t>C-13991</t>
  </si>
  <si>
    <t>C-13992</t>
  </si>
  <si>
    <t>C-13993</t>
  </si>
  <si>
    <t>C-13994</t>
  </si>
  <si>
    <t>C-13995</t>
  </si>
  <si>
    <t>C-13996</t>
  </si>
  <si>
    <r>
      <t xml:space="preserve">(699)ISRAEL PADILLA  HABANA  </t>
    </r>
    <r>
      <rPr>
        <b/>
        <sz val="12"/>
        <color rgb="FFFF0000"/>
        <rFont val="Calibri"/>
        <family val="2"/>
        <scheme val="minor"/>
      </rPr>
      <t>CANCELADA</t>
    </r>
  </si>
  <si>
    <t>C-13997</t>
  </si>
  <si>
    <t>C-13998</t>
  </si>
  <si>
    <t>C-13999</t>
  </si>
  <si>
    <t>C-14000</t>
  </si>
  <si>
    <t>C-14001</t>
  </si>
  <si>
    <t>C-14002</t>
  </si>
  <si>
    <t>C-14003</t>
  </si>
  <si>
    <t>C-14004</t>
  </si>
  <si>
    <t>C-14005</t>
  </si>
  <si>
    <t>C-14006</t>
  </si>
  <si>
    <t>C-14007</t>
  </si>
  <si>
    <t>C-14008</t>
  </si>
  <si>
    <t>C-14009</t>
  </si>
  <si>
    <t>C-14010</t>
  </si>
  <si>
    <t>C-14011</t>
  </si>
  <si>
    <t>C-14012</t>
  </si>
  <si>
    <t>C-14013</t>
  </si>
  <si>
    <t>C-14014</t>
  </si>
  <si>
    <t>C-14015</t>
  </si>
  <si>
    <t>(792)OSIRIS ROCHA</t>
  </si>
  <si>
    <t>C-14016</t>
  </si>
  <si>
    <t>C-14017</t>
  </si>
  <si>
    <t>C-14018</t>
  </si>
  <si>
    <t>C-14019</t>
  </si>
  <si>
    <t>C-14020</t>
  </si>
  <si>
    <t>C-14021</t>
  </si>
  <si>
    <t>C-14022</t>
  </si>
  <si>
    <t>C-14023</t>
  </si>
  <si>
    <t>C-14024</t>
  </si>
  <si>
    <t>C-14025</t>
  </si>
  <si>
    <t>C-14026</t>
  </si>
  <si>
    <t>C-14027</t>
  </si>
  <si>
    <t>C-14028</t>
  </si>
  <si>
    <t>C-14029</t>
  </si>
  <si>
    <t>C-14030</t>
  </si>
  <si>
    <t>C-14031</t>
  </si>
  <si>
    <t>C-14032</t>
  </si>
  <si>
    <t>C-14033</t>
  </si>
  <si>
    <t>C-14034</t>
  </si>
  <si>
    <t>C-14035</t>
  </si>
  <si>
    <t>C-14036</t>
  </si>
  <si>
    <t>C-14037</t>
  </si>
  <si>
    <t>C-14038</t>
  </si>
  <si>
    <t>C-14039</t>
  </si>
  <si>
    <t>C-14040</t>
  </si>
  <si>
    <t>C-14041</t>
  </si>
  <si>
    <t>C-14042</t>
  </si>
  <si>
    <t>C-14043</t>
  </si>
  <si>
    <t>C-14044</t>
  </si>
  <si>
    <t>C-14045</t>
  </si>
  <si>
    <t>C-14046</t>
  </si>
  <si>
    <t>C-14047</t>
  </si>
  <si>
    <t>C-14048</t>
  </si>
  <si>
    <t>C-14049</t>
  </si>
  <si>
    <t>C-14050</t>
  </si>
  <si>
    <t>C-14051</t>
  </si>
  <si>
    <t>C-14052</t>
  </si>
  <si>
    <t>C-14053</t>
  </si>
  <si>
    <t>C-14054</t>
  </si>
  <si>
    <t>C-14055</t>
  </si>
  <si>
    <t>C-14056</t>
  </si>
  <si>
    <t>C-14057</t>
  </si>
  <si>
    <t>C-14058</t>
  </si>
  <si>
    <t>C-14059</t>
  </si>
  <si>
    <t>C-14060</t>
  </si>
  <si>
    <t>C-14061</t>
  </si>
  <si>
    <t>C-14062</t>
  </si>
  <si>
    <t>C-14063</t>
  </si>
  <si>
    <t>C-14064</t>
  </si>
  <si>
    <t>C-14065</t>
  </si>
  <si>
    <t>C-14066</t>
  </si>
  <si>
    <t>C-14067</t>
  </si>
  <si>
    <t>C-14068</t>
  </si>
  <si>
    <t>C-14069</t>
  </si>
  <si>
    <t>C-14070</t>
  </si>
  <si>
    <t>(576)ROBERTO HERNANDEZ PINEDA</t>
  </si>
  <si>
    <t>C-14071</t>
  </si>
  <si>
    <t>C-14072</t>
  </si>
  <si>
    <t>C-14073</t>
  </si>
  <si>
    <t>C-14074</t>
  </si>
  <si>
    <t>C-14075</t>
  </si>
  <si>
    <t>C-14076</t>
  </si>
  <si>
    <t>C-14077</t>
  </si>
  <si>
    <t>C-14078</t>
  </si>
  <si>
    <t>C-14079</t>
  </si>
  <si>
    <t>C-14080</t>
  </si>
  <si>
    <t>C-14081</t>
  </si>
  <si>
    <t>C-14082</t>
  </si>
  <si>
    <t>C-14083</t>
  </si>
  <si>
    <t>C-14084</t>
  </si>
  <si>
    <t>C-14085</t>
  </si>
  <si>
    <t>C-14086</t>
  </si>
  <si>
    <t>C-14087</t>
  </si>
  <si>
    <t>(252)BEATRIZ TECUATH TLACHI</t>
  </si>
  <si>
    <t>C-14088</t>
  </si>
  <si>
    <t>C-14089</t>
  </si>
  <si>
    <t>C-14090</t>
  </si>
  <si>
    <t>C-14091</t>
  </si>
  <si>
    <t>C-14092</t>
  </si>
  <si>
    <t>C-14093</t>
  </si>
  <si>
    <t>C-14094</t>
  </si>
  <si>
    <t>C-14095</t>
  </si>
  <si>
    <t>5-Mar-22--7-Mar-22</t>
  </si>
  <si>
    <t>C-14096</t>
  </si>
  <si>
    <t>C-14097</t>
  </si>
  <si>
    <t>C-14098</t>
  </si>
  <si>
    <t>C-14099</t>
  </si>
  <si>
    <t>C-14100</t>
  </si>
  <si>
    <t>C-14101</t>
  </si>
  <si>
    <t>C-14102</t>
  </si>
  <si>
    <t>C-14103</t>
  </si>
  <si>
    <t>C-14104</t>
  </si>
  <si>
    <t>C-14105</t>
  </si>
  <si>
    <t>C-14106</t>
  </si>
  <si>
    <t>C-14107</t>
  </si>
  <si>
    <t>C-14108</t>
  </si>
  <si>
    <t>C-14109</t>
  </si>
  <si>
    <t>C-14110</t>
  </si>
  <si>
    <t>C-14111</t>
  </si>
  <si>
    <t>C-14112</t>
  </si>
  <si>
    <t>C-14113</t>
  </si>
  <si>
    <t>C-14114</t>
  </si>
  <si>
    <t>C-14115</t>
  </si>
  <si>
    <t>C-14116</t>
  </si>
  <si>
    <t>C-14117</t>
  </si>
  <si>
    <t>C-14118</t>
  </si>
  <si>
    <t>C-14119</t>
  </si>
  <si>
    <t>C-14120</t>
  </si>
  <si>
    <t>C-14121</t>
  </si>
  <si>
    <t>C-14122</t>
  </si>
  <si>
    <t>C-14123</t>
  </si>
  <si>
    <t>C-14124</t>
  </si>
  <si>
    <t>C-14125</t>
  </si>
  <si>
    <t>C-14126</t>
  </si>
  <si>
    <t>C-14127</t>
  </si>
  <si>
    <t>C-14128</t>
  </si>
  <si>
    <t>C-14129</t>
  </si>
  <si>
    <t>C-14130</t>
  </si>
  <si>
    <t>C-14131</t>
  </si>
  <si>
    <t>C-14132</t>
  </si>
  <si>
    <t>C-14133</t>
  </si>
  <si>
    <t>C-14134</t>
  </si>
  <si>
    <t>C-14135</t>
  </si>
  <si>
    <t>C-14136</t>
  </si>
  <si>
    <t>C-14137</t>
  </si>
  <si>
    <t>C-14138</t>
  </si>
  <si>
    <t>C-14139</t>
  </si>
  <si>
    <t>C-14140</t>
  </si>
  <si>
    <t>C-14141</t>
  </si>
  <si>
    <t>C-14142</t>
  </si>
  <si>
    <t>C-14143</t>
  </si>
  <si>
    <t>C-14144</t>
  </si>
  <si>
    <t>C-14145</t>
  </si>
  <si>
    <t>C-14146</t>
  </si>
  <si>
    <t>C-14147</t>
  </si>
  <si>
    <t>C-14148</t>
  </si>
  <si>
    <t>C-14149</t>
  </si>
  <si>
    <t>C-14150</t>
  </si>
  <si>
    <t>C-14151</t>
  </si>
  <si>
    <t>C-14152</t>
  </si>
  <si>
    <t>C-14153</t>
  </si>
  <si>
    <t>C-14154</t>
  </si>
  <si>
    <t>C-14155</t>
  </si>
  <si>
    <t>C-14156</t>
  </si>
  <si>
    <t>C-14157</t>
  </si>
  <si>
    <t>C-14158</t>
  </si>
  <si>
    <t>C-14159</t>
  </si>
  <si>
    <t>C-14160</t>
  </si>
  <si>
    <t>C-14161</t>
  </si>
  <si>
    <t>C-14162</t>
  </si>
  <si>
    <t>C-14163</t>
  </si>
  <si>
    <t>C-14164</t>
  </si>
  <si>
    <t>C-14165</t>
  </si>
  <si>
    <t>C-14166</t>
  </si>
  <si>
    <t>C-14167</t>
  </si>
  <si>
    <t>C-14168</t>
  </si>
  <si>
    <t>C-14169</t>
  </si>
  <si>
    <t>C-14170</t>
  </si>
  <si>
    <t>C-14171</t>
  </si>
  <si>
    <t>C-14172</t>
  </si>
  <si>
    <t>C-14173</t>
  </si>
  <si>
    <t>C-14174</t>
  </si>
  <si>
    <t>C-14175</t>
  </si>
  <si>
    <t>C-14176</t>
  </si>
  <si>
    <t>C-14177</t>
  </si>
  <si>
    <t>C-14178</t>
  </si>
  <si>
    <t>C-14179</t>
  </si>
  <si>
    <t>C-14180</t>
  </si>
  <si>
    <t>C-14181</t>
  </si>
  <si>
    <t>C-14182</t>
  </si>
  <si>
    <t>C-14183</t>
  </si>
  <si>
    <t>C-14184</t>
  </si>
  <si>
    <r>
      <t xml:space="preserve">(800)CAMERINO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</si>
  <si>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C-14185</t>
  </si>
  <si>
    <t>C-14186</t>
  </si>
  <si>
    <t>C-14187</t>
  </si>
  <si>
    <t>C-14188</t>
  </si>
  <si>
    <t>C-14189</t>
  </si>
  <si>
    <t>C-14190</t>
  </si>
  <si>
    <t>C-14191</t>
  </si>
  <si>
    <t>C-14192</t>
  </si>
  <si>
    <t>C-14193</t>
  </si>
  <si>
    <t>C-14194</t>
  </si>
  <si>
    <t>C-14195</t>
  </si>
  <si>
    <t>C-14196</t>
  </si>
  <si>
    <t>C-14197</t>
  </si>
  <si>
    <t>C-14198</t>
  </si>
  <si>
    <t>C-14199</t>
  </si>
  <si>
    <t>C-14200</t>
  </si>
  <si>
    <t>C-14201</t>
  </si>
  <si>
    <t>C-14202</t>
  </si>
  <si>
    <t>C-14203</t>
  </si>
  <si>
    <t>C-14204</t>
  </si>
  <si>
    <t>C-14205</t>
  </si>
  <si>
    <t>C-14206</t>
  </si>
  <si>
    <t>C-14207</t>
  </si>
  <si>
    <t>C-14208</t>
  </si>
  <si>
    <t>C-14209</t>
  </si>
  <si>
    <t>C-14210</t>
  </si>
  <si>
    <t>C-14211</t>
  </si>
  <si>
    <t>C-14212</t>
  </si>
  <si>
    <t>C-14213</t>
  </si>
  <si>
    <t>C-14214</t>
  </si>
  <si>
    <t>C-14215</t>
  </si>
  <si>
    <t>(179)CARMEN FILOMENO ROJAS</t>
  </si>
  <si>
    <t>C-14216</t>
  </si>
  <si>
    <t>C-14217</t>
  </si>
  <si>
    <t>C-14218</t>
  </si>
  <si>
    <t>C-14219</t>
  </si>
  <si>
    <t>C-14220</t>
  </si>
  <si>
    <t>C-14221</t>
  </si>
  <si>
    <t>C-14222</t>
  </si>
  <si>
    <t>C-14223</t>
  </si>
  <si>
    <t>C-14224</t>
  </si>
  <si>
    <t>7-Mar-22--9-Mar-22</t>
  </si>
  <si>
    <t>C-14225</t>
  </si>
  <si>
    <t>C-14226</t>
  </si>
  <si>
    <t>6-Mar-22--7-Mar-22</t>
  </si>
  <si>
    <t>C-14227</t>
  </si>
  <si>
    <t>C-14228</t>
  </si>
  <si>
    <t>C-14229</t>
  </si>
  <si>
    <t>C-14230</t>
  </si>
  <si>
    <t>C-14231</t>
  </si>
  <si>
    <t>C-14232</t>
  </si>
  <si>
    <t>C-14233</t>
  </si>
  <si>
    <t>C-14234</t>
  </si>
  <si>
    <t>C-14235</t>
  </si>
  <si>
    <t>C-14236</t>
  </si>
  <si>
    <t>C-14237</t>
  </si>
  <si>
    <t>C-14238</t>
  </si>
  <si>
    <t>7-Mar-22--9-Mar-22--10-Mar-22--11-Mar-22</t>
  </si>
  <si>
    <t>C-14239</t>
  </si>
  <si>
    <t>C-14240</t>
  </si>
  <si>
    <t>C-14241</t>
  </si>
  <si>
    <t>C-14242</t>
  </si>
  <si>
    <t>C-14243</t>
  </si>
  <si>
    <t>C-14244</t>
  </si>
  <si>
    <t>C-14245</t>
  </si>
  <si>
    <t>C-14246</t>
  </si>
  <si>
    <t>C-14247</t>
  </si>
  <si>
    <t>C-14248</t>
  </si>
  <si>
    <t>C-14249</t>
  </si>
  <si>
    <t>C-14250</t>
  </si>
  <si>
    <t>C-14251</t>
  </si>
  <si>
    <t>C-14252</t>
  </si>
  <si>
    <t>C-14253</t>
  </si>
  <si>
    <t>C-14254</t>
  </si>
  <si>
    <t>C-14255</t>
  </si>
  <si>
    <t>C-14256</t>
  </si>
  <si>
    <t>C-14257</t>
  </si>
  <si>
    <t>C-14258</t>
  </si>
  <si>
    <t>C-14259</t>
  </si>
  <si>
    <t>C-14260</t>
  </si>
  <si>
    <r>
      <t xml:space="preserve">(868)SAGRADO GRANJAS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</si>
  <si>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C-14261</t>
  </si>
  <si>
    <r>
      <t xml:space="preserve">(745)SAGRADO CORAZON  GAVILANES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</si>
  <si>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C-14262</t>
  </si>
  <si>
    <r>
      <t xml:space="preserve">(816)ISRAEL HERNANDEZ MORENO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</si>
  <si>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C-14263</t>
  </si>
  <si>
    <t>C-14264</t>
  </si>
  <si>
    <t>C-14265</t>
  </si>
  <si>
    <t>C-14266</t>
  </si>
  <si>
    <t>C-14267</t>
  </si>
  <si>
    <t>C-14268</t>
  </si>
  <si>
    <t>C-14269</t>
  </si>
  <si>
    <t>C-14270</t>
  </si>
  <si>
    <t>C-14271</t>
  </si>
  <si>
    <t>C-14272</t>
  </si>
  <si>
    <t>C-14273</t>
  </si>
  <si>
    <t>C-14274</t>
  </si>
  <si>
    <t>C-14275</t>
  </si>
  <si>
    <t>C-14276</t>
  </si>
  <si>
    <t>C-14277</t>
  </si>
  <si>
    <t>C-14278</t>
  </si>
  <si>
    <t>C-14279</t>
  </si>
  <si>
    <t>C-14280</t>
  </si>
  <si>
    <t>C-14281</t>
  </si>
  <si>
    <t>C-14282</t>
  </si>
  <si>
    <t>11-Mar-22--12-Mar-22</t>
  </si>
  <si>
    <t>C-14283</t>
  </si>
  <si>
    <t>C-14284</t>
  </si>
  <si>
    <t>C-14285</t>
  </si>
  <si>
    <t>C-14286</t>
  </si>
  <si>
    <t>C-14287</t>
  </si>
  <si>
    <t>C-14288</t>
  </si>
  <si>
    <t>C-14289</t>
  </si>
  <si>
    <t>C-14290</t>
  </si>
  <si>
    <t>C-14291</t>
  </si>
  <si>
    <t>C-14292</t>
  </si>
  <si>
    <t>C-14293</t>
  </si>
  <si>
    <t>C-14294</t>
  </si>
  <si>
    <t>C-14295</t>
  </si>
  <si>
    <t>C-14296</t>
  </si>
  <si>
    <t>C-14297</t>
  </si>
  <si>
    <t>C-14298</t>
  </si>
  <si>
    <t>C-14299</t>
  </si>
  <si>
    <t>C-14300</t>
  </si>
  <si>
    <t>C-14301</t>
  </si>
  <si>
    <t>C-14302</t>
  </si>
  <si>
    <t>C-14303</t>
  </si>
  <si>
    <t>C-14304</t>
  </si>
  <si>
    <t>C-14305</t>
  </si>
  <si>
    <t>C-14306</t>
  </si>
  <si>
    <t>C-14307</t>
  </si>
  <si>
    <t>C-14308</t>
  </si>
  <si>
    <t>C-14309</t>
  </si>
  <si>
    <t>C-14310</t>
  </si>
  <si>
    <t>C-14311</t>
  </si>
  <si>
    <t>C-14312</t>
  </si>
  <si>
    <t>C-14313</t>
  </si>
  <si>
    <t>C-14314</t>
  </si>
  <si>
    <t>C-14315</t>
  </si>
  <si>
    <t>C-14316</t>
  </si>
  <si>
    <t>C-14317</t>
  </si>
  <si>
    <t>C-14318</t>
  </si>
  <si>
    <t>C-14319</t>
  </si>
  <si>
    <t>C-14320</t>
  </si>
  <si>
    <t>C-14321</t>
  </si>
  <si>
    <t>C-14322</t>
  </si>
  <si>
    <t>C-14323</t>
  </si>
  <si>
    <t>C-14324</t>
  </si>
  <si>
    <t>C-14325</t>
  </si>
  <si>
    <t>C-14326</t>
  </si>
  <si>
    <t>C-14327</t>
  </si>
  <si>
    <t>C-14328</t>
  </si>
  <si>
    <t>C-14329</t>
  </si>
  <si>
    <t>C-14330</t>
  </si>
  <si>
    <t>C-14331</t>
  </si>
  <si>
    <t>C-14332</t>
  </si>
  <si>
    <t>C-14333</t>
  </si>
  <si>
    <t>C-14334</t>
  </si>
  <si>
    <r>
      <t xml:space="preserve">(266)CRISTIAN-GRACIELA   </t>
    </r>
    <r>
      <rPr>
        <b/>
        <sz val="12"/>
        <color rgb="FFFF0000"/>
        <rFont val="Calibri"/>
        <family val="2"/>
        <scheme val="minor"/>
      </rPr>
      <t>CANCELADA</t>
    </r>
  </si>
  <si>
    <t>C-14335</t>
  </si>
  <si>
    <t>C-14336</t>
  </si>
  <si>
    <t>C-14337</t>
  </si>
  <si>
    <t>C-14338</t>
  </si>
  <si>
    <t>C-14339</t>
  </si>
  <si>
    <t>C-14340</t>
  </si>
  <si>
    <t>C-14341</t>
  </si>
  <si>
    <t>C-14342</t>
  </si>
  <si>
    <t>C-14343</t>
  </si>
  <si>
    <t>C-14344</t>
  </si>
  <si>
    <t>C-14345</t>
  </si>
  <si>
    <t>C-14346</t>
  </si>
  <si>
    <t>C-14347</t>
  </si>
  <si>
    <t>C-14348</t>
  </si>
  <si>
    <t>C-14349</t>
  </si>
  <si>
    <t>C-14350</t>
  </si>
  <si>
    <t>C-14351</t>
  </si>
  <si>
    <t>C-14352</t>
  </si>
  <si>
    <t>C-14353</t>
  </si>
  <si>
    <t>C-14354</t>
  </si>
  <si>
    <t>C-14355</t>
  </si>
  <si>
    <t>C-14356</t>
  </si>
  <si>
    <t>C-14357</t>
  </si>
  <si>
    <t>C-14358</t>
  </si>
  <si>
    <t>C-14359</t>
  </si>
  <si>
    <t>C-14360</t>
  </si>
  <si>
    <t>C-14361</t>
  </si>
  <si>
    <t>C-14362</t>
  </si>
  <si>
    <t>C-14363</t>
  </si>
  <si>
    <t>C-14364</t>
  </si>
  <si>
    <t>C-14365</t>
  </si>
  <si>
    <t>C-14366</t>
  </si>
  <si>
    <t>C-14367</t>
  </si>
  <si>
    <t>C-14368</t>
  </si>
  <si>
    <t>C-14369</t>
  </si>
  <si>
    <t>C-14370</t>
  </si>
  <si>
    <t>C-14371</t>
  </si>
  <si>
    <t>C-14372</t>
  </si>
  <si>
    <t>C-14373</t>
  </si>
  <si>
    <t>C-14374</t>
  </si>
  <si>
    <t>C-14375</t>
  </si>
  <si>
    <t>C-14376</t>
  </si>
  <si>
    <t>C-14377</t>
  </si>
  <si>
    <t>C-14378</t>
  </si>
  <si>
    <t>C-14379</t>
  </si>
  <si>
    <t>C-14380</t>
  </si>
  <si>
    <t>C-14381</t>
  </si>
  <si>
    <t>C-14382</t>
  </si>
  <si>
    <t>C-14383</t>
  </si>
  <si>
    <t>C-14384</t>
  </si>
  <si>
    <t>C-14385</t>
  </si>
  <si>
    <t>C-14386</t>
  </si>
  <si>
    <t>(764)ALFREDO</t>
  </si>
  <si>
    <t>C-14387</t>
  </si>
  <si>
    <t>C-14388</t>
  </si>
  <si>
    <t>C-14389</t>
  </si>
  <si>
    <t>C-14390</t>
  </si>
  <si>
    <t>C-14391</t>
  </si>
  <si>
    <t>C-14392</t>
  </si>
  <si>
    <t>C-14393</t>
  </si>
  <si>
    <t>C-14394</t>
  </si>
  <si>
    <t>C-14395</t>
  </si>
  <si>
    <t>C-14396</t>
  </si>
  <si>
    <t>C-14397</t>
  </si>
  <si>
    <t>C-14398</t>
  </si>
  <si>
    <t>C-14399</t>
  </si>
  <si>
    <t>C-14400</t>
  </si>
  <si>
    <t>C-14401</t>
  </si>
  <si>
    <t>C-14402</t>
  </si>
  <si>
    <t>C-14403</t>
  </si>
  <si>
    <t>C-14404</t>
  </si>
  <si>
    <t>C-14405</t>
  </si>
  <si>
    <t>C-14406</t>
  </si>
  <si>
    <t>C-14407</t>
  </si>
  <si>
    <t>C-14408</t>
  </si>
  <si>
    <t>C-14409</t>
  </si>
  <si>
    <t>C-14410</t>
  </si>
  <si>
    <t>C-14411</t>
  </si>
  <si>
    <t>C-14412</t>
  </si>
  <si>
    <t>C-14413</t>
  </si>
  <si>
    <t>C-14414</t>
  </si>
  <si>
    <t>C-14415</t>
  </si>
  <si>
    <t>C-14416</t>
  </si>
  <si>
    <t>C-14417</t>
  </si>
  <si>
    <t>C-14418</t>
  </si>
  <si>
    <t>C-14419</t>
  </si>
  <si>
    <t>C-14420</t>
  </si>
  <si>
    <t>C-14421</t>
  </si>
  <si>
    <t>C-14422</t>
  </si>
  <si>
    <t>C-14423</t>
  </si>
  <si>
    <t>C-14424</t>
  </si>
  <si>
    <t>C-14425</t>
  </si>
  <si>
    <t>C-14426</t>
  </si>
  <si>
    <t>C-14427</t>
  </si>
  <si>
    <t>C-14428</t>
  </si>
  <si>
    <t>C-14429</t>
  </si>
  <si>
    <t>C-14430</t>
  </si>
  <si>
    <t>C-14431</t>
  </si>
  <si>
    <t>C-14432</t>
  </si>
  <si>
    <t>C-14433</t>
  </si>
  <si>
    <t>C-14434</t>
  </si>
  <si>
    <t>C-14435</t>
  </si>
  <si>
    <t>C-14436</t>
  </si>
  <si>
    <t>C-14437</t>
  </si>
  <si>
    <t>C-14438</t>
  </si>
  <si>
    <t>C-14439</t>
  </si>
  <si>
    <t>C-14440</t>
  </si>
  <si>
    <t>C-14441</t>
  </si>
  <si>
    <t>C-14442</t>
  </si>
  <si>
    <t>C-14443</t>
  </si>
  <si>
    <t>C-14444</t>
  </si>
  <si>
    <t>C-14445</t>
  </si>
  <si>
    <t>C-14446</t>
  </si>
  <si>
    <t>C-14447</t>
  </si>
  <si>
    <t>C-14448</t>
  </si>
  <si>
    <t>C-14449</t>
  </si>
  <si>
    <t>C-14450</t>
  </si>
  <si>
    <t>C-14451</t>
  </si>
  <si>
    <t>C-14452</t>
  </si>
  <si>
    <t>C-14453</t>
  </si>
  <si>
    <t>C-14454</t>
  </si>
  <si>
    <t>C-14455</t>
  </si>
  <si>
    <t>C-14456</t>
  </si>
  <si>
    <t>C-14457</t>
  </si>
  <si>
    <t>C-14458</t>
  </si>
  <si>
    <t>C-14459</t>
  </si>
  <si>
    <t>C-14460</t>
  </si>
  <si>
    <t>C-14461</t>
  </si>
  <si>
    <t>C-14462</t>
  </si>
  <si>
    <t>C-14463</t>
  </si>
  <si>
    <t>C-14464</t>
  </si>
  <si>
    <t>C-14465</t>
  </si>
  <si>
    <t>C-14466</t>
  </si>
  <si>
    <t>C-14467</t>
  </si>
  <si>
    <t>C-14468</t>
  </si>
  <si>
    <t>C-14469</t>
  </si>
  <si>
    <t>C-14470</t>
  </si>
  <si>
    <t>C-14471</t>
  </si>
  <si>
    <t>C-14472</t>
  </si>
  <si>
    <t>C-14473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</si>
  <si>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</si>
  <si>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C-14474</t>
  </si>
  <si>
    <t>C-14475</t>
  </si>
  <si>
    <t>C-14476</t>
  </si>
  <si>
    <t>C-14477</t>
  </si>
  <si>
    <t>C-14478</t>
  </si>
  <si>
    <t>C-14479</t>
  </si>
  <si>
    <t>C-14480</t>
  </si>
  <si>
    <t>C-14481</t>
  </si>
  <si>
    <t>C-14482</t>
  </si>
  <si>
    <t>9-Mar-22--10-Mar-22</t>
  </si>
  <si>
    <t>C-14483</t>
  </si>
  <si>
    <t>C-14484</t>
  </si>
  <si>
    <t>C-14485</t>
  </si>
  <si>
    <t>C-14486</t>
  </si>
  <si>
    <t>C-14487</t>
  </si>
  <si>
    <t>C-14488</t>
  </si>
  <si>
    <t>C-14489</t>
  </si>
  <si>
    <t>C-14490</t>
  </si>
  <si>
    <t>C-14491</t>
  </si>
  <si>
    <t>C-14492</t>
  </si>
  <si>
    <t>C-14493</t>
  </si>
  <si>
    <t>12-Mar-22--18-Mar-22</t>
  </si>
  <si>
    <t>C-14494</t>
  </si>
  <si>
    <t>C-14495</t>
  </si>
  <si>
    <t>C-14496</t>
  </si>
  <si>
    <t>C-14497</t>
  </si>
  <si>
    <t>C-14498</t>
  </si>
  <si>
    <t>C-14499</t>
  </si>
  <si>
    <t>C-14500</t>
  </si>
  <si>
    <t>(264)MARY CRUZ SANCHEZ FIERRO</t>
  </si>
  <si>
    <t>C-14501</t>
  </si>
  <si>
    <t>C-14502</t>
  </si>
  <si>
    <t>(281)JUAN ZAMBRANO</t>
  </si>
  <si>
    <t>C-14503</t>
  </si>
  <si>
    <t>C-14504</t>
  </si>
  <si>
    <t>C-14505</t>
  </si>
  <si>
    <t>C-14506</t>
  </si>
  <si>
    <t>C-14507</t>
  </si>
  <si>
    <t>C-14508</t>
  </si>
  <si>
    <t>C-14509</t>
  </si>
  <si>
    <t>C-14510</t>
  </si>
  <si>
    <t>C-14511</t>
  </si>
  <si>
    <t>C-14512</t>
  </si>
  <si>
    <t>C-14513</t>
  </si>
  <si>
    <t>C-14514</t>
  </si>
  <si>
    <t>C-14515</t>
  </si>
  <si>
    <t>C-14516</t>
  </si>
  <si>
    <t>C-14517</t>
  </si>
  <si>
    <t>C-14518</t>
  </si>
  <si>
    <t>C-14519</t>
  </si>
  <si>
    <t>C-14520</t>
  </si>
  <si>
    <t>C-14521</t>
  </si>
  <si>
    <t>C-14522</t>
  </si>
  <si>
    <t>C-14523</t>
  </si>
  <si>
    <t>8-Mar-22--10-Mar-22</t>
  </si>
  <si>
    <t>C-14524</t>
  </si>
  <si>
    <t>C-14525</t>
  </si>
  <si>
    <t>C-14526</t>
  </si>
  <si>
    <r>
      <t xml:space="preserve">(527)EDGAR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</si>
  <si>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C-14527</t>
  </si>
  <si>
    <t>C-14528</t>
  </si>
  <si>
    <t>C-14529</t>
  </si>
  <si>
    <t>C-14530</t>
  </si>
  <si>
    <t>C-14531</t>
  </si>
  <si>
    <t>C-14532</t>
  </si>
  <si>
    <t>C-14533</t>
  </si>
  <si>
    <t>C-14534</t>
  </si>
  <si>
    <t>C-14535</t>
  </si>
  <si>
    <t>C-14536</t>
  </si>
  <si>
    <t>C-14537</t>
  </si>
  <si>
    <t>C-14538</t>
  </si>
  <si>
    <t>C-14539</t>
  </si>
  <si>
    <t>C-14540</t>
  </si>
  <si>
    <t>C-14541</t>
  </si>
  <si>
    <t>C-14542</t>
  </si>
  <si>
    <t>C-14543</t>
  </si>
  <si>
    <t>C-14544</t>
  </si>
  <si>
    <t>C-14545</t>
  </si>
  <si>
    <t>C-14546</t>
  </si>
  <si>
    <t>C-14547</t>
  </si>
  <si>
    <t>C-14548</t>
  </si>
  <si>
    <t>C-14549</t>
  </si>
  <si>
    <t>C-14550</t>
  </si>
  <si>
    <t>C-14551</t>
  </si>
  <si>
    <t>C-14552</t>
  </si>
  <si>
    <t>C-14553</t>
  </si>
  <si>
    <t>C-14554</t>
  </si>
  <si>
    <t>C-14555</t>
  </si>
  <si>
    <t>(889)ALBERTO PEREZ</t>
  </si>
  <si>
    <t>C-14556</t>
  </si>
  <si>
    <t>C-14557</t>
  </si>
  <si>
    <t>C-14558</t>
  </si>
  <si>
    <t>C-14559</t>
  </si>
  <si>
    <t>C-14560</t>
  </si>
  <si>
    <t>C-14561</t>
  </si>
  <si>
    <t>C-14562</t>
  </si>
  <si>
    <t>C-14563</t>
  </si>
  <si>
    <t>C-14564</t>
  </si>
  <si>
    <t>C-14565</t>
  </si>
  <si>
    <t>C-14566</t>
  </si>
  <si>
    <t>C-14567</t>
  </si>
  <si>
    <t>C-14568</t>
  </si>
  <si>
    <t>C-14569</t>
  </si>
  <si>
    <t>C-14570</t>
  </si>
  <si>
    <t>C-14571</t>
  </si>
  <si>
    <t>(349)OSCAR MARTINEZ</t>
  </si>
  <si>
    <t>C-14572</t>
  </si>
  <si>
    <t>C-14573</t>
  </si>
  <si>
    <t>C-14574</t>
  </si>
  <si>
    <t>C-14575</t>
  </si>
  <si>
    <t>C-14576</t>
  </si>
  <si>
    <t>C-14577</t>
  </si>
  <si>
    <t>C-14578</t>
  </si>
  <si>
    <t>C-14579</t>
  </si>
  <si>
    <t>C-14580</t>
  </si>
  <si>
    <t>C-14581</t>
  </si>
  <si>
    <t>C-14582</t>
  </si>
  <si>
    <t>C-14583</t>
  </si>
  <si>
    <t>C-14584</t>
  </si>
  <si>
    <t>C-14585</t>
  </si>
  <si>
    <t>(394)DIEGO</t>
  </si>
  <si>
    <t>C-14586</t>
  </si>
  <si>
    <t>C-14587</t>
  </si>
  <si>
    <t>C-14588</t>
  </si>
  <si>
    <t>C-14589</t>
  </si>
  <si>
    <t>C-14590</t>
  </si>
  <si>
    <t>C-14591</t>
  </si>
  <si>
    <t>C-14592</t>
  </si>
  <si>
    <t>C-14593</t>
  </si>
  <si>
    <t>C-14594</t>
  </si>
  <si>
    <t>C-14595</t>
  </si>
  <si>
    <t>C-14596</t>
  </si>
  <si>
    <t>C-14597</t>
  </si>
  <si>
    <t>C-14598</t>
  </si>
  <si>
    <t>C-14599</t>
  </si>
  <si>
    <t>C-14600</t>
  </si>
  <si>
    <t>C-14601</t>
  </si>
  <si>
    <t>C-14602</t>
  </si>
  <si>
    <t>C-14603</t>
  </si>
  <si>
    <t>C-14604</t>
  </si>
  <si>
    <t>C-14605</t>
  </si>
  <si>
    <t>C-14606</t>
  </si>
  <si>
    <t>C-14607</t>
  </si>
  <si>
    <t>C-14608</t>
  </si>
  <si>
    <t>C-14609</t>
  </si>
  <si>
    <t>C-14610</t>
  </si>
  <si>
    <t>C-14611</t>
  </si>
  <si>
    <t>C-14612</t>
  </si>
  <si>
    <t>C-14613</t>
  </si>
  <si>
    <t>(890)ALFREDO DE LOS SANTOS</t>
  </si>
  <si>
    <t>C-14614</t>
  </si>
  <si>
    <t>C-14615</t>
  </si>
  <si>
    <t>C-14616</t>
  </si>
  <si>
    <t>C-14617</t>
  </si>
  <si>
    <t>C-14618</t>
  </si>
  <si>
    <t>C-14619</t>
  </si>
  <si>
    <t>10-Mar-22--11-Mar-22</t>
  </si>
  <si>
    <t>C-14620</t>
  </si>
  <si>
    <t>C-14621</t>
  </si>
  <si>
    <t>C-14622</t>
  </si>
  <si>
    <t>C-14623</t>
  </si>
  <si>
    <t>C-14624</t>
  </si>
  <si>
    <t>C-14625</t>
  </si>
  <si>
    <t>C-14626</t>
  </si>
  <si>
    <t>C-14627</t>
  </si>
  <si>
    <t>C-14628</t>
  </si>
  <si>
    <t>C-14629</t>
  </si>
  <si>
    <t>C-14630</t>
  </si>
  <si>
    <t>C-14631</t>
  </si>
  <si>
    <t>C-14632</t>
  </si>
  <si>
    <t>C-14633</t>
  </si>
  <si>
    <t>C-14634</t>
  </si>
  <si>
    <r>
      <t xml:space="preserve">(662)ROJO CENTENO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</si>
  <si>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14637</t>
  </si>
  <si>
    <t>C-14635</t>
  </si>
  <si>
    <t>C-14636</t>
  </si>
  <si>
    <t>C-14637</t>
  </si>
  <si>
    <t>C-14638</t>
  </si>
  <si>
    <t>C-14639</t>
  </si>
  <si>
    <t>C-14640</t>
  </si>
  <si>
    <t>C-14641</t>
  </si>
  <si>
    <t>(891)ADAN</t>
  </si>
  <si>
    <t>C-14642</t>
  </si>
  <si>
    <t>C-14643</t>
  </si>
  <si>
    <t>C-14644</t>
  </si>
  <si>
    <t>C-14645</t>
  </si>
  <si>
    <t>C-14646</t>
  </si>
  <si>
    <t>C-14647</t>
  </si>
  <si>
    <t>C-14648</t>
  </si>
  <si>
    <t>C-14649</t>
  </si>
  <si>
    <t>C-14650</t>
  </si>
  <si>
    <t>C-14651</t>
  </si>
  <si>
    <t>C-14652</t>
  </si>
  <si>
    <t>C-14653</t>
  </si>
  <si>
    <t>C-14654</t>
  </si>
  <si>
    <t>C-14655</t>
  </si>
  <si>
    <t>C-14656</t>
  </si>
  <si>
    <t>C-14657</t>
  </si>
  <si>
    <t>C-14658</t>
  </si>
  <si>
    <t>C-14659</t>
  </si>
  <si>
    <t>C-14660</t>
  </si>
  <si>
    <t>C-14661</t>
  </si>
  <si>
    <t>C-14662</t>
  </si>
  <si>
    <t>C-14663</t>
  </si>
  <si>
    <t>C-14664</t>
  </si>
  <si>
    <t>C-14665</t>
  </si>
  <si>
    <t>C-14666</t>
  </si>
  <si>
    <t>C-14667</t>
  </si>
  <si>
    <t>C-14668</t>
  </si>
  <si>
    <t>C-14669</t>
  </si>
  <si>
    <t>C-14670</t>
  </si>
  <si>
    <t>C-14671</t>
  </si>
  <si>
    <t>C-14672</t>
  </si>
  <si>
    <t>C-14673</t>
  </si>
  <si>
    <t>C-14674</t>
  </si>
  <si>
    <t>C-14675</t>
  </si>
  <si>
    <t>C-14676</t>
  </si>
  <si>
    <t>C-14677</t>
  </si>
  <si>
    <t>C-14678</t>
  </si>
  <si>
    <t>C-14679</t>
  </si>
  <si>
    <t>C-14680</t>
  </si>
  <si>
    <t>C-14681</t>
  </si>
  <si>
    <t>C-14682</t>
  </si>
  <si>
    <t>C-14683</t>
  </si>
  <si>
    <t>C-14684</t>
  </si>
  <si>
    <t>C-14685</t>
  </si>
  <si>
    <t>C-14686</t>
  </si>
  <si>
    <t>C-14687</t>
  </si>
  <si>
    <t>C-14688</t>
  </si>
  <si>
    <t>C-14689</t>
  </si>
  <si>
    <t>C-14690</t>
  </si>
  <si>
    <t>C-14691</t>
  </si>
  <si>
    <t>C-14692</t>
  </si>
  <si>
    <t>C-14693</t>
  </si>
  <si>
    <t>C-14694</t>
  </si>
  <si>
    <t>C-14695</t>
  </si>
  <si>
    <t>C-14696</t>
  </si>
  <si>
    <t>C-14697</t>
  </si>
  <si>
    <t>C-14698</t>
  </si>
  <si>
    <t>C-14699</t>
  </si>
  <si>
    <t>C-14700</t>
  </si>
  <si>
    <t>C-14701</t>
  </si>
  <si>
    <t>C-14702</t>
  </si>
  <si>
    <t>C-14703</t>
  </si>
  <si>
    <t>C-14704</t>
  </si>
  <si>
    <t>C-14705</t>
  </si>
  <si>
    <t>C-14706</t>
  </si>
  <si>
    <t>C-14707</t>
  </si>
  <si>
    <t>C-14708</t>
  </si>
  <si>
    <t>C-14709</t>
  </si>
  <si>
    <t>C-14710</t>
  </si>
  <si>
    <t>C-14711</t>
  </si>
  <si>
    <t>C-14712</t>
  </si>
  <si>
    <t>C-14713</t>
  </si>
  <si>
    <t>C-14714</t>
  </si>
  <si>
    <t>C-14715</t>
  </si>
  <si>
    <t>C-14716</t>
  </si>
  <si>
    <t>C-14717</t>
  </si>
  <si>
    <t>C-14718</t>
  </si>
  <si>
    <t>C-14719</t>
  </si>
  <si>
    <t>C-14720</t>
  </si>
  <si>
    <t>C-14721</t>
  </si>
  <si>
    <t>C-14722</t>
  </si>
  <si>
    <t>C-14723</t>
  </si>
  <si>
    <t>C-14724</t>
  </si>
  <si>
    <t>C-14725</t>
  </si>
  <si>
    <t>C-14726</t>
  </si>
  <si>
    <t>C-14727</t>
  </si>
  <si>
    <t>C-14728</t>
  </si>
  <si>
    <t>C-14729</t>
  </si>
  <si>
    <t>C-14730</t>
  </si>
  <si>
    <t>C-14731</t>
  </si>
  <si>
    <t>C-14732</t>
  </si>
  <si>
    <t>C-14733</t>
  </si>
  <si>
    <t>C-14734</t>
  </si>
  <si>
    <t>C-14735</t>
  </si>
  <si>
    <t>C-14736</t>
  </si>
  <si>
    <t>C-14737</t>
  </si>
  <si>
    <t>C-14738</t>
  </si>
  <si>
    <t>C-14739</t>
  </si>
  <si>
    <t>C-14740</t>
  </si>
  <si>
    <t>C-14741</t>
  </si>
  <si>
    <t>C-14742</t>
  </si>
  <si>
    <t>C-14743</t>
  </si>
  <si>
    <t>C-14744</t>
  </si>
  <si>
    <t>C-14745</t>
  </si>
  <si>
    <t>C-14746</t>
  </si>
  <si>
    <t>C-14747</t>
  </si>
  <si>
    <t>C-14748</t>
  </si>
  <si>
    <t>C-14749</t>
  </si>
  <si>
    <t>C-14750</t>
  </si>
  <si>
    <t>C-14751</t>
  </si>
  <si>
    <t>C-14752</t>
  </si>
  <si>
    <t>C-14753</t>
  </si>
  <si>
    <t>C-14754</t>
  </si>
  <si>
    <t>C-14755</t>
  </si>
  <si>
    <t>C-14756</t>
  </si>
  <si>
    <t>C-14757</t>
  </si>
  <si>
    <t>C-14758</t>
  </si>
  <si>
    <t>C-14759</t>
  </si>
  <si>
    <t>C-14760</t>
  </si>
  <si>
    <t>C-14761</t>
  </si>
  <si>
    <t>C-14762</t>
  </si>
  <si>
    <t>C-14763</t>
  </si>
  <si>
    <t>C-14764</t>
  </si>
  <si>
    <t>C-14765</t>
  </si>
  <si>
    <t>C-14766</t>
  </si>
  <si>
    <t>C-14767</t>
  </si>
  <si>
    <t>C-14768</t>
  </si>
  <si>
    <t>C-14769</t>
  </si>
  <si>
    <t>C-14770</t>
  </si>
  <si>
    <t>C-14771</t>
  </si>
  <si>
    <t>C-14772</t>
  </si>
  <si>
    <t>C-14773</t>
  </si>
  <si>
    <t>C-14774</t>
  </si>
  <si>
    <t>C-14775</t>
  </si>
  <si>
    <t>C-14776</t>
  </si>
  <si>
    <t>C-14777</t>
  </si>
  <si>
    <t>C-14778</t>
  </si>
  <si>
    <t>C-14779</t>
  </si>
  <si>
    <t>C-14780</t>
  </si>
  <si>
    <t>C-14781</t>
  </si>
  <si>
    <t>C-14782</t>
  </si>
  <si>
    <t>C-14783</t>
  </si>
  <si>
    <t>C-14784</t>
  </si>
  <si>
    <t>C-14785</t>
  </si>
  <si>
    <t>C-14786</t>
  </si>
  <si>
    <t>C-14787</t>
  </si>
  <si>
    <t>C-14788</t>
  </si>
  <si>
    <t>C-14789</t>
  </si>
  <si>
    <t>C-14790</t>
  </si>
  <si>
    <t>C-14791</t>
  </si>
  <si>
    <t>C-14792</t>
  </si>
  <si>
    <t>C-14793</t>
  </si>
  <si>
    <t>C-14794</t>
  </si>
  <si>
    <t>C-14795</t>
  </si>
  <si>
    <t>C-14796</t>
  </si>
  <si>
    <t>C-14797</t>
  </si>
  <si>
    <t>C-14798</t>
  </si>
  <si>
    <t>C-14799</t>
  </si>
  <si>
    <t>C-14800</t>
  </si>
  <si>
    <t>C-14801</t>
  </si>
  <si>
    <t>C-14802</t>
  </si>
  <si>
    <t>C-14803</t>
  </si>
  <si>
    <t>C-14804</t>
  </si>
  <si>
    <t>C-14805</t>
  </si>
  <si>
    <t>C-14806</t>
  </si>
  <si>
    <t>C-14807</t>
  </si>
  <si>
    <t>(864)JULIAN GONZALEZ</t>
  </si>
  <si>
    <t>C-14808</t>
  </si>
  <si>
    <t>C-14809</t>
  </si>
  <si>
    <t>C-14810</t>
  </si>
  <si>
    <t>C-14811</t>
  </si>
  <si>
    <t>C-14812</t>
  </si>
  <si>
    <t>C-14813</t>
  </si>
  <si>
    <t>C-14814</t>
  </si>
  <si>
    <t>C-14815</t>
  </si>
  <si>
    <t>C-14816</t>
  </si>
  <si>
    <t>C-14817</t>
  </si>
  <si>
    <t>C-14818</t>
  </si>
  <si>
    <t>C-14819</t>
  </si>
  <si>
    <t>C-14820</t>
  </si>
  <si>
    <t>C-14821</t>
  </si>
  <si>
    <t>C-14822</t>
  </si>
  <si>
    <t>C-14823</t>
  </si>
  <si>
    <t>C-14824</t>
  </si>
  <si>
    <t>C-14825</t>
  </si>
  <si>
    <t>C-14826</t>
  </si>
  <si>
    <t>C-14827</t>
  </si>
  <si>
    <t>C-14828</t>
  </si>
  <si>
    <t>C-14829</t>
  </si>
  <si>
    <t>C-14830</t>
  </si>
  <si>
    <t>C-14831</t>
  </si>
  <si>
    <t>C-14832</t>
  </si>
  <si>
    <t>C-14833</t>
  </si>
  <si>
    <t>C-14834</t>
  </si>
  <si>
    <t>C-14835</t>
  </si>
  <si>
    <t>C-14836</t>
  </si>
  <si>
    <t>(892)KIMCHEE</t>
  </si>
  <si>
    <t>C-14837</t>
  </si>
  <si>
    <t>C-14838</t>
  </si>
  <si>
    <t>C-14839</t>
  </si>
  <si>
    <t>C-14840</t>
  </si>
  <si>
    <t>C-14841</t>
  </si>
  <si>
    <t>C-14842</t>
  </si>
  <si>
    <t>C-14843</t>
  </si>
  <si>
    <t>C-14844</t>
  </si>
  <si>
    <t>C-14845</t>
  </si>
  <si>
    <t>C-14846</t>
  </si>
  <si>
    <t>C-14847</t>
  </si>
  <si>
    <t>C-14848</t>
  </si>
  <si>
    <t>C-14849</t>
  </si>
  <si>
    <t>C-14850</t>
  </si>
  <si>
    <t>C-14851</t>
  </si>
  <si>
    <t>C-14852</t>
  </si>
  <si>
    <t>C-14853</t>
  </si>
  <si>
    <t>C-14854</t>
  </si>
  <si>
    <t>C-14855</t>
  </si>
  <si>
    <t>C-14856</t>
  </si>
  <si>
    <t>C-14857</t>
  </si>
  <si>
    <t>C-14858</t>
  </si>
  <si>
    <t>C-14859</t>
  </si>
  <si>
    <t>C-14860</t>
  </si>
  <si>
    <t>C-14861</t>
  </si>
  <si>
    <t>C-14862</t>
  </si>
  <si>
    <t>C-14863</t>
  </si>
  <si>
    <t>C-14864</t>
  </si>
  <si>
    <t>C-14865</t>
  </si>
  <si>
    <t>C-14866</t>
  </si>
  <si>
    <t>C-14867</t>
  </si>
  <si>
    <t>C-14868</t>
  </si>
  <si>
    <t>C-14869</t>
  </si>
  <si>
    <t>C-14870</t>
  </si>
  <si>
    <t>C-14871</t>
  </si>
  <si>
    <t>C-14872</t>
  </si>
  <si>
    <t>12-Mar-22--14-Mar-22</t>
  </si>
  <si>
    <t>C-14873</t>
  </si>
  <si>
    <t>C-14874</t>
  </si>
  <si>
    <t>C-14875</t>
  </si>
  <si>
    <t>C-14876</t>
  </si>
  <si>
    <t>C-14877</t>
  </si>
  <si>
    <t>C-14878</t>
  </si>
  <si>
    <t>C-14879</t>
  </si>
  <si>
    <t>C-14880</t>
  </si>
  <si>
    <t>12-Mar-22--13-Mar-22</t>
  </si>
  <si>
    <t>C-14881</t>
  </si>
  <si>
    <t>C-14882</t>
  </si>
  <si>
    <t>C-14883</t>
  </si>
  <si>
    <t>C-14884</t>
  </si>
  <si>
    <t>C-14885</t>
  </si>
  <si>
    <t>C-14886</t>
  </si>
  <si>
    <t>C-14887</t>
  </si>
  <si>
    <t>C-14888</t>
  </si>
  <si>
    <t>C-14889</t>
  </si>
  <si>
    <t>C-14890</t>
  </si>
  <si>
    <t>C-14891</t>
  </si>
  <si>
    <t>C-14892</t>
  </si>
  <si>
    <t>C-14893</t>
  </si>
  <si>
    <t>C-14894</t>
  </si>
  <si>
    <t>C-14895</t>
  </si>
  <si>
    <t>C-14896</t>
  </si>
  <si>
    <t>C-14897</t>
  </si>
  <si>
    <t>C-14898</t>
  </si>
  <si>
    <t>C-14899</t>
  </si>
  <si>
    <t>C-14900</t>
  </si>
  <si>
    <t>C-14901</t>
  </si>
  <si>
    <t>C-14902</t>
  </si>
  <si>
    <t>C-14903</t>
  </si>
  <si>
    <t>C-14904</t>
  </si>
  <si>
    <t>C-14905</t>
  </si>
  <si>
    <t>C-14906</t>
  </si>
  <si>
    <t>C-14907</t>
  </si>
  <si>
    <t>C-14908</t>
  </si>
  <si>
    <t>C-14909</t>
  </si>
  <si>
    <t>C-14910</t>
  </si>
  <si>
    <t>C-14911</t>
  </si>
  <si>
    <t>C-14912</t>
  </si>
  <si>
    <t>C-14913</t>
  </si>
  <si>
    <t>C-14914</t>
  </si>
  <si>
    <t>C-14915</t>
  </si>
  <si>
    <t>C-14916</t>
  </si>
  <si>
    <t>C-14917</t>
  </si>
  <si>
    <t>C-14918</t>
  </si>
  <si>
    <t>C-14919</t>
  </si>
  <si>
    <t>C-14920</t>
  </si>
  <si>
    <t>C-14921</t>
  </si>
  <si>
    <t>C-14922</t>
  </si>
  <si>
    <t>C-14923</t>
  </si>
  <si>
    <t>C-14924</t>
  </si>
  <si>
    <t>C-14925</t>
  </si>
  <si>
    <t>C-14926</t>
  </si>
  <si>
    <t>C-14927</t>
  </si>
  <si>
    <t>C-14928</t>
  </si>
  <si>
    <t>C-14929</t>
  </si>
  <si>
    <t>C-14930</t>
  </si>
  <si>
    <t>C-14931</t>
  </si>
  <si>
    <t>C-14932</t>
  </si>
  <si>
    <t>(466)GERMAN CEBADA SALAMANCA</t>
  </si>
  <si>
    <t>C-14933</t>
  </si>
  <si>
    <t>C-14934</t>
  </si>
  <si>
    <t>C-14935</t>
  </si>
  <si>
    <t>C-14936</t>
  </si>
  <si>
    <t>C-14937</t>
  </si>
  <si>
    <t>C-14938</t>
  </si>
  <si>
    <t>C-14939</t>
  </si>
  <si>
    <t>C-14940</t>
  </si>
  <si>
    <t>C-14941</t>
  </si>
  <si>
    <t>C-14942</t>
  </si>
  <si>
    <t>C-14943</t>
  </si>
  <si>
    <t>C-14944</t>
  </si>
  <si>
    <t>C-14945</t>
  </si>
  <si>
    <t>C-14946</t>
  </si>
  <si>
    <t>C-14947</t>
  </si>
  <si>
    <t>C-14948</t>
  </si>
  <si>
    <t>C-14949</t>
  </si>
  <si>
    <t>C-14950</t>
  </si>
  <si>
    <t>C-14951</t>
  </si>
  <si>
    <t>C-14952</t>
  </si>
  <si>
    <t>C-14953</t>
  </si>
  <si>
    <t>C-14954</t>
  </si>
  <si>
    <t>C-14955</t>
  </si>
  <si>
    <t>C-14956</t>
  </si>
  <si>
    <t>C-14957</t>
  </si>
  <si>
    <t>C-14958</t>
  </si>
  <si>
    <t>C-14959</t>
  </si>
  <si>
    <t>C-14960</t>
  </si>
  <si>
    <t>C-14961</t>
  </si>
  <si>
    <t>C-14962</t>
  </si>
  <si>
    <t>C-14963</t>
  </si>
  <si>
    <t>C-14964</t>
  </si>
  <si>
    <t>C-14965</t>
  </si>
  <si>
    <t>C-14966</t>
  </si>
  <si>
    <t>C-14967</t>
  </si>
  <si>
    <t>C-14968</t>
  </si>
  <si>
    <t>C-14969</t>
  </si>
  <si>
    <t>C-14970</t>
  </si>
  <si>
    <t>C-14971</t>
  </si>
  <si>
    <t>C-14972</t>
  </si>
  <si>
    <t>C-14973</t>
  </si>
  <si>
    <t>C-14974</t>
  </si>
  <si>
    <t>C-14975</t>
  </si>
  <si>
    <t>C-14976</t>
  </si>
  <si>
    <t>C-14977</t>
  </si>
  <si>
    <t>C-14978</t>
  </si>
  <si>
    <t>C-14979</t>
  </si>
  <si>
    <t>C-14980</t>
  </si>
  <si>
    <t>C-14981</t>
  </si>
  <si>
    <t>(893)JOSE ORTUÑO</t>
  </si>
  <si>
    <t>C-14982</t>
  </si>
  <si>
    <t>C-14983</t>
  </si>
  <si>
    <t>C-14984</t>
  </si>
  <si>
    <t>C-14985</t>
  </si>
  <si>
    <t>C-14986</t>
  </si>
  <si>
    <t>C-14987</t>
  </si>
  <si>
    <t>C-14988</t>
  </si>
  <si>
    <t>C-14989</t>
  </si>
  <si>
    <t>C-14990</t>
  </si>
  <si>
    <t>C-14991</t>
  </si>
  <si>
    <t>C-14992</t>
  </si>
  <si>
    <t>C-14993</t>
  </si>
  <si>
    <t>C-14994</t>
  </si>
  <si>
    <t>13-Mar-22--15-Mar-22</t>
  </si>
  <si>
    <t>C-14995</t>
  </si>
  <si>
    <t>C-14996</t>
  </si>
  <si>
    <t>(201)GUSTAVO  GONZALEZ</t>
  </si>
  <si>
    <t>C-14997</t>
  </si>
  <si>
    <t>C-14998</t>
  </si>
  <si>
    <t>C-14999</t>
  </si>
  <si>
    <t>C-15000</t>
  </si>
  <si>
    <t>C-15001</t>
  </si>
  <si>
    <t>C-15002</t>
  </si>
  <si>
    <t>C-15003</t>
  </si>
  <si>
    <t>C-15004</t>
  </si>
  <si>
    <t>C-15005</t>
  </si>
  <si>
    <t>C-15006</t>
  </si>
  <si>
    <t>C-15007</t>
  </si>
  <si>
    <t>C-15008</t>
  </si>
  <si>
    <t>C-15009</t>
  </si>
  <si>
    <t>C-15010</t>
  </si>
  <si>
    <t>C-15011</t>
  </si>
  <si>
    <t>C-15012</t>
  </si>
  <si>
    <t>C-15013</t>
  </si>
  <si>
    <t>C-15014</t>
  </si>
  <si>
    <t>C-15015</t>
  </si>
  <si>
    <t>C-15016</t>
  </si>
  <si>
    <t>C-15017</t>
  </si>
  <si>
    <t>C-15018</t>
  </si>
  <si>
    <t>C-15019</t>
  </si>
  <si>
    <t>C-15020</t>
  </si>
  <si>
    <t>C-15021</t>
  </si>
  <si>
    <t>C-15022</t>
  </si>
  <si>
    <t>C-15023</t>
  </si>
  <si>
    <t>C-15024</t>
  </si>
  <si>
    <t>C-15025</t>
  </si>
  <si>
    <t>C-15026</t>
  </si>
  <si>
    <t>C-15027</t>
  </si>
  <si>
    <t>C-15028</t>
  </si>
  <si>
    <t>C-15029</t>
  </si>
  <si>
    <t>C-15030</t>
  </si>
  <si>
    <t>C-15031</t>
  </si>
  <si>
    <t>C-15032</t>
  </si>
  <si>
    <t>C-15033</t>
  </si>
  <si>
    <t>C-15034</t>
  </si>
  <si>
    <t>C-15035</t>
  </si>
  <si>
    <t>C-15036</t>
  </si>
  <si>
    <t>C-15037</t>
  </si>
  <si>
    <t>C-15038</t>
  </si>
  <si>
    <t>C-15039</t>
  </si>
  <si>
    <t>C-15040</t>
  </si>
  <si>
    <t>C-15041</t>
  </si>
  <si>
    <t>C-15042</t>
  </si>
  <si>
    <t>C-15043</t>
  </si>
  <si>
    <t>C-15044</t>
  </si>
  <si>
    <t>C-15045</t>
  </si>
  <si>
    <t>C-15046</t>
  </si>
  <si>
    <t>C-15047</t>
  </si>
  <si>
    <t>C-15048</t>
  </si>
  <si>
    <t>C-15049</t>
  </si>
  <si>
    <t>C-15050</t>
  </si>
  <si>
    <t>C-15051</t>
  </si>
  <si>
    <r>
      <t xml:space="preserve">(277)RUBEN GALICIA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</si>
  <si>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C-15052</t>
  </si>
  <si>
    <t>C-15053</t>
  </si>
  <si>
    <t>C-15054</t>
  </si>
  <si>
    <t>C-15055</t>
  </si>
  <si>
    <t>C-15056</t>
  </si>
  <si>
    <t>C-15057</t>
  </si>
  <si>
    <t>C-15058</t>
  </si>
  <si>
    <t>C-15059</t>
  </si>
  <si>
    <t>C-15060</t>
  </si>
  <si>
    <t>C-15061</t>
  </si>
  <si>
    <t>C-15062</t>
  </si>
  <si>
    <t>C-15063</t>
  </si>
  <si>
    <t>C-15064</t>
  </si>
  <si>
    <t>C-15065</t>
  </si>
  <si>
    <t>C-15066</t>
  </si>
  <si>
    <t>C-15067</t>
  </si>
  <si>
    <r>
      <t xml:space="preserve">(528)EMILIO LOPEZ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</si>
  <si>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C-15068</t>
  </si>
  <si>
    <t>C-15069</t>
  </si>
  <si>
    <t>C-15070</t>
  </si>
  <si>
    <t>C-15071</t>
  </si>
  <si>
    <t>C-15072</t>
  </si>
  <si>
    <t>C-15073</t>
  </si>
  <si>
    <t>C-15074</t>
  </si>
  <si>
    <t>C-15075</t>
  </si>
  <si>
    <t>C-15076</t>
  </si>
  <si>
    <t>C-15077</t>
  </si>
  <si>
    <t>C-15078</t>
  </si>
  <si>
    <t>C-15079</t>
  </si>
  <si>
    <t>C-15080</t>
  </si>
  <si>
    <t>C-15081</t>
  </si>
  <si>
    <t>C-15082</t>
  </si>
  <si>
    <t>C-15083</t>
  </si>
  <si>
    <t>C-15084</t>
  </si>
  <si>
    <t>C-15085</t>
  </si>
  <si>
    <t>C-15086</t>
  </si>
  <si>
    <t>C-15087</t>
  </si>
  <si>
    <t>C-15088</t>
  </si>
  <si>
    <t>C-15089</t>
  </si>
  <si>
    <t>C-15090</t>
  </si>
  <si>
    <t>C-15091</t>
  </si>
  <si>
    <t>C-15092</t>
  </si>
  <si>
    <t>(587)EDUARDO CARMONA</t>
  </si>
  <si>
    <t>C-15093</t>
  </si>
  <si>
    <t>C-15094</t>
  </si>
  <si>
    <t>C-15095</t>
  </si>
  <si>
    <t>C-15096</t>
  </si>
  <si>
    <t>C-15097</t>
  </si>
  <si>
    <t>C-15098</t>
  </si>
  <si>
    <t>C-15099</t>
  </si>
  <si>
    <t>C-15100</t>
  </si>
  <si>
    <t>C-15101</t>
  </si>
  <si>
    <t>C-15102</t>
  </si>
  <si>
    <t>C-15103</t>
  </si>
  <si>
    <t>C-15104</t>
  </si>
  <si>
    <t>C-15105</t>
  </si>
  <si>
    <t>C-15106</t>
  </si>
  <si>
    <t>C-15107</t>
  </si>
  <si>
    <t>C-15108</t>
  </si>
  <si>
    <t>C-15109</t>
  </si>
  <si>
    <t>C-15110</t>
  </si>
  <si>
    <t>C-15111</t>
  </si>
  <si>
    <t>C-15112</t>
  </si>
  <si>
    <t>C-15113</t>
  </si>
  <si>
    <t>C-15114</t>
  </si>
  <si>
    <t>C-15115</t>
  </si>
  <si>
    <t>C-15116</t>
  </si>
  <si>
    <t>C-15117</t>
  </si>
  <si>
    <t>C-15118</t>
  </si>
  <si>
    <t>C-15119</t>
  </si>
  <si>
    <t>C-15120</t>
  </si>
  <si>
    <t>C-15121</t>
  </si>
  <si>
    <t>C-15122</t>
  </si>
  <si>
    <t>C-15123</t>
  </si>
  <si>
    <t>C-15124</t>
  </si>
  <si>
    <t>C-15125</t>
  </si>
  <si>
    <t>C-15126</t>
  </si>
  <si>
    <t>C-15127</t>
  </si>
  <si>
    <t>C-15128</t>
  </si>
  <si>
    <t>C-15129</t>
  </si>
  <si>
    <t>C-15130</t>
  </si>
  <si>
    <t>C-15131</t>
  </si>
  <si>
    <t>C-15132</t>
  </si>
  <si>
    <t>C-15133</t>
  </si>
  <si>
    <t>C-15134</t>
  </si>
  <si>
    <t>C-15135</t>
  </si>
  <si>
    <t>C-15136</t>
  </si>
  <si>
    <t>C-15137</t>
  </si>
  <si>
    <t>C-15138</t>
  </si>
  <si>
    <t>C-15139</t>
  </si>
  <si>
    <t>C-15140</t>
  </si>
  <si>
    <t>C-15141</t>
  </si>
  <si>
    <t>C-15142</t>
  </si>
  <si>
    <t>C-15143</t>
  </si>
  <si>
    <t>C-15144</t>
  </si>
  <si>
    <t>C-15145</t>
  </si>
  <si>
    <r>
      <t xml:space="preserve">(542)HUGO HERNANDEZ BOTELLO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</si>
  <si>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C-15146</t>
  </si>
  <si>
    <t>C-15147</t>
  </si>
  <si>
    <t>C-15148</t>
  </si>
  <si>
    <t>C-15149</t>
  </si>
  <si>
    <t>C-15150</t>
  </si>
  <si>
    <t>C-15151</t>
  </si>
  <si>
    <t>C-15152</t>
  </si>
  <si>
    <t>C-15153</t>
  </si>
  <si>
    <t>C-15154</t>
  </si>
  <si>
    <t>C-15155</t>
  </si>
  <si>
    <t>C-15156</t>
  </si>
  <si>
    <t>C-15157</t>
  </si>
  <si>
    <t>C-15158</t>
  </si>
  <si>
    <t>C-15159</t>
  </si>
  <si>
    <t>C-15160</t>
  </si>
  <si>
    <t>C-15161</t>
  </si>
  <si>
    <t>C-15162</t>
  </si>
  <si>
    <t>C-15163</t>
  </si>
  <si>
    <t>C-15164</t>
  </si>
  <si>
    <t>C-15165</t>
  </si>
  <si>
    <t>C-15166</t>
  </si>
  <si>
    <t>C-15167</t>
  </si>
  <si>
    <t>C-15168</t>
  </si>
  <si>
    <t>C-15169</t>
  </si>
  <si>
    <t>C-15170</t>
  </si>
  <si>
    <t>(631)ISABEL BRIONES</t>
  </si>
  <si>
    <t>C-15171</t>
  </si>
  <si>
    <t>C-15172</t>
  </si>
  <si>
    <t>C-15173</t>
  </si>
  <si>
    <t>C-15174</t>
  </si>
  <si>
    <t>C-15175</t>
  </si>
  <si>
    <t>C-15176</t>
  </si>
  <si>
    <t>C-15177</t>
  </si>
  <si>
    <t>16-Mar-22--18-Mar-22</t>
  </si>
  <si>
    <t>C-15178</t>
  </si>
  <si>
    <t>C-15179</t>
  </si>
  <si>
    <t>C-15180</t>
  </si>
  <si>
    <t>C-15181</t>
  </si>
  <si>
    <t>C-15182</t>
  </si>
  <si>
    <t>C-15183</t>
  </si>
  <si>
    <t>C-15184</t>
  </si>
  <si>
    <t>C-15185</t>
  </si>
  <si>
    <t>C-15186</t>
  </si>
  <si>
    <t>C-15187</t>
  </si>
  <si>
    <t>C-15188</t>
  </si>
  <si>
    <t>C-15189</t>
  </si>
  <si>
    <t>C-15190</t>
  </si>
  <si>
    <t>C-15191</t>
  </si>
  <si>
    <t>C-15192</t>
  </si>
  <si>
    <t>C-15193</t>
  </si>
  <si>
    <t>C-15194</t>
  </si>
  <si>
    <t>C-15195</t>
  </si>
  <si>
    <t>C-15196</t>
  </si>
  <si>
    <t>C-15197</t>
  </si>
  <si>
    <t>C-15198</t>
  </si>
  <si>
    <t>C-15199</t>
  </si>
  <si>
    <t>16-Mar-22--17-Mar-22</t>
  </si>
  <si>
    <t>C-15200</t>
  </si>
  <si>
    <t>C-15201</t>
  </si>
  <si>
    <t>C-15202</t>
  </si>
  <si>
    <t>C-15203</t>
  </si>
  <si>
    <t>C-15204</t>
  </si>
  <si>
    <t>C-15205</t>
  </si>
  <si>
    <t>C-15206</t>
  </si>
  <si>
    <t>C-15207</t>
  </si>
  <si>
    <t>C-15208</t>
  </si>
  <si>
    <t>C-15209</t>
  </si>
  <si>
    <t>C-15210</t>
  </si>
  <si>
    <t>C-15211</t>
  </si>
  <si>
    <t>C-15212</t>
  </si>
  <si>
    <t>C-15213</t>
  </si>
  <si>
    <t>C-15214</t>
  </si>
  <si>
    <t>C-15215</t>
  </si>
  <si>
    <t>C-15216</t>
  </si>
  <si>
    <t>C-15217</t>
  </si>
  <si>
    <t>C-15218</t>
  </si>
  <si>
    <t>C-15219</t>
  </si>
  <si>
    <t>C-15220</t>
  </si>
  <si>
    <t>C-15221</t>
  </si>
  <si>
    <t>C-15222</t>
  </si>
  <si>
    <t>C-15223</t>
  </si>
  <si>
    <t>C-15224</t>
  </si>
  <si>
    <t>C-15225</t>
  </si>
  <si>
    <t>C-15226</t>
  </si>
  <si>
    <t>C-15227</t>
  </si>
  <si>
    <r>
      <t xml:space="preserve">(832)RUBEN PEREZ CHABACANO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</si>
  <si>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C-15228</t>
  </si>
  <si>
    <t>C-15229</t>
  </si>
  <si>
    <t>C-15230</t>
  </si>
  <si>
    <t>C-15231</t>
  </si>
  <si>
    <t>(277)RUBEN GALICIA</t>
  </si>
  <si>
    <t>C-15232</t>
  </si>
  <si>
    <t>C-15233</t>
  </si>
  <si>
    <t>C-15234</t>
  </si>
  <si>
    <t>C-15235</t>
  </si>
  <si>
    <t>C-15236</t>
  </si>
  <si>
    <t>C-15237</t>
  </si>
  <si>
    <t>C-15238</t>
  </si>
  <si>
    <t>C-15239</t>
  </si>
  <si>
    <t>C-15240</t>
  </si>
  <si>
    <t>C-15241</t>
  </si>
  <si>
    <t>C-15242</t>
  </si>
  <si>
    <t>C-15243</t>
  </si>
  <si>
    <t>C-15244</t>
  </si>
  <si>
    <t>C-15245</t>
  </si>
  <si>
    <t>C-15246</t>
  </si>
  <si>
    <t>C-15247</t>
  </si>
  <si>
    <t>C-15248</t>
  </si>
  <si>
    <t>C-15249</t>
  </si>
  <si>
    <t>C-15250</t>
  </si>
  <si>
    <t>C-15251</t>
  </si>
  <si>
    <t>C-15252</t>
  </si>
  <si>
    <t>C-15253</t>
  </si>
  <si>
    <t>C-15254</t>
  </si>
  <si>
    <t>C-15255</t>
  </si>
  <si>
    <t>C-15256</t>
  </si>
  <si>
    <t>C-15257</t>
  </si>
  <si>
    <t>C-15258</t>
  </si>
  <si>
    <t>21-Mar-22--24-Mar-22</t>
  </si>
  <si>
    <t>C-15259</t>
  </si>
  <si>
    <t>C-15260</t>
  </si>
  <si>
    <t>C-15261</t>
  </si>
  <si>
    <t>C-15262</t>
  </si>
  <si>
    <t>C-15263</t>
  </si>
  <si>
    <t>C-15264</t>
  </si>
  <si>
    <t>C-15265</t>
  </si>
  <si>
    <t>C-15266</t>
  </si>
  <si>
    <t>C-15267</t>
  </si>
  <si>
    <t>C-15268</t>
  </si>
  <si>
    <t>C-15269</t>
  </si>
  <si>
    <t>C-15270</t>
  </si>
  <si>
    <t>C-15271</t>
  </si>
  <si>
    <t>C-15272</t>
  </si>
  <si>
    <t>C-15273</t>
  </si>
  <si>
    <t>C-15274</t>
  </si>
  <si>
    <t>C-15275</t>
  </si>
  <si>
    <t>C-15276</t>
  </si>
  <si>
    <t>C-15277</t>
  </si>
  <si>
    <t>C-15278</t>
  </si>
  <si>
    <t>C-15279</t>
  </si>
  <si>
    <t>C-15280</t>
  </si>
  <si>
    <t>C-15281</t>
  </si>
  <si>
    <t>C-15282</t>
  </si>
  <si>
    <t>C-15283</t>
  </si>
  <si>
    <t>C-15284</t>
  </si>
  <si>
    <t>C-15285</t>
  </si>
  <si>
    <r>
      <t xml:space="preserve">(124)MIGUEL XOCHIHUATL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</si>
  <si>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C-15286</t>
  </si>
  <si>
    <t>C-15287</t>
  </si>
  <si>
    <t>C-15288</t>
  </si>
  <si>
    <t>C-15289</t>
  </si>
  <si>
    <t>C-15290</t>
  </si>
  <si>
    <t>C-15291</t>
  </si>
  <si>
    <r>
      <t xml:space="preserve">(281)JUAN ZAMBRANO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</si>
  <si>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C-15292</t>
  </si>
  <si>
    <t>C-15293</t>
  </si>
  <si>
    <t>C-15294</t>
  </si>
  <si>
    <t>C-15295</t>
  </si>
  <si>
    <t>C-15296</t>
  </si>
  <si>
    <t>C-15297</t>
  </si>
  <si>
    <t>C-15298</t>
  </si>
  <si>
    <t>C-15299</t>
  </si>
  <si>
    <t>C-15300</t>
  </si>
  <si>
    <r>
      <t xml:space="preserve">(549) JAIME ESPINOZA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</si>
  <si>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hay ORIGINAL NI COPIA VERDE</t>
  </si>
  <si>
    <t>C-15301</t>
  </si>
  <si>
    <t>C-15302</t>
  </si>
  <si>
    <t>C-15303</t>
  </si>
  <si>
    <t>C-15304</t>
  </si>
  <si>
    <t>C-15305</t>
  </si>
  <si>
    <t>C-15306</t>
  </si>
  <si>
    <t>C-15307</t>
  </si>
  <si>
    <t>C-15308</t>
  </si>
  <si>
    <t>C-15309</t>
  </si>
  <si>
    <t>C-15310</t>
  </si>
  <si>
    <t>C-15311</t>
  </si>
  <si>
    <t>C-15312</t>
  </si>
  <si>
    <t>C-15313</t>
  </si>
  <si>
    <t>C-15314</t>
  </si>
  <si>
    <t>C-15315</t>
  </si>
  <si>
    <t>C-15316</t>
  </si>
  <si>
    <t>C-15317</t>
  </si>
  <si>
    <t>C-15318</t>
  </si>
  <si>
    <t>C-15319</t>
  </si>
  <si>
    <t>C-15320</t>
  </si>
  <si>
    <t>C-15321</t>
  </si>
  <si>
    <t>C-15322</t>
  </si>
  <si>
    <t>C-15323</t>
  </si>
  <si>
    <t>C-15324</t>
  </si>
  <si>
    <t>C-15325</t>
  </si>
  <si>
    <t>C-15326</t>
  </si>
  <si>
    <t>C-15327</t>
  </si>
  <si>
    <t>C-15328</t>
  </si>
  <si>
    <t>C-15329</t>
  </si>
  <si>
    <t>C-15330</t>
  </si>
  <si>
    <t>C-15331</t>
  </si>
  <si>
    <t>C-15332</t>
  </si>
  <si>
    <t>C-15333</t>
  </si>
  <si>
    <t>C-15334</t>
  </si>
  <si>
    <t>C-15335</t>
  </si>
  <si>
    <t>C-15336</t>
  </si>
  <si>
    <t>C-15337</t>
  </si>
  <si>
    <t>C-15338</t>
  </si>
  <si>
    <t>C-15339</t>
  </si>
  <si>
    <t>C-15340</t>
  </si>
  <si>
    <t>C-15341</t>
  </si>
  <si>
    <t>C-15342</t>
  </si>
  <si>
    <t>C-15343</t>
  </si>
  <si>
    <t>C-15344</t>
  </si>
  <si>
    <t>C-15345</t>
  </si>
  <si>
    <t>C-15346</t>
  </si>
  <si>
    <t>C-15347</t>
  </si>
  <si>
    <t>C-15348</t>
  </si>
  <si>
    <t>C-15349</t>
  </si>
  <si>
    <t>C-15350</t>
  </si>
  <si>
    <t>C-15351</t>
  </si>
  <si>
    <t>C-15352</t>
  </si>
  <si>
    <r>
      <t xml:space="preserve">(781)GIOVANY TITLA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</si>
  <si>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C-15353</t>
  </si>
  <si>
    <t>C-15354</t>
  </si>
  <si>
    <t>C-15355</t>
  </si>
  <si>
    <t>C-15356</t>
  </si>
  <si>
    <t>C-15357</t>
  </si>
  <si>
    <t>C-15358</t>
  </si>
  <si>
    <t>C-15359</t>
  </si>
  <si>
    <t>C-15360</t>
  </si>
  <si>
    <t>C-15361</t>
  </si>
  <si>
    <t>C-15362</t>
  </si>
  <si>
    <t>C-15363</t>
  </si>
  <si>
    <t>C-15364</t>
  </si>
  <si>
    <t>C-15365</t>
  </si>
  <si>
    <t>C-15366</t>
  </si>
  <si>
    <t>C-15367</t>
  </si>
  <si>
    <t>C-15368</t>
  </si>
  <si>
    <t>C-15369</t>
  </si>
  <si>
    <t>C-15370</t>
  </si>
  <si>
    <t>C-15371</t>
  </si>
  <si>
    <t>C-15372</t>
  </si>
  <si>
    <t>C-15373</t>
  </si>
  <si>
    <t>C-15374</t>
  </si>
  <si>
    <t>C-15375</t>
  </si>
  <si>
    <t>C-15376</t>
  </si>
  <si>
    <t>C-15377</t>
  </si>
  <si>
    <t>C-15378</t>
  </si>
  <si>
    <t>C-15379</t>
  </si>
  <si>
    <t>C-15380</t>
  </si>
  <si>
    <t>C-15381</t>
  </si>
  <si>
    <t>C-15382</t>
  </si>
  <si>
    <t>C-15383</t>
  </si>
  <si>
    <t>C-15384</t>
  </si>
  <si>
    <t>C-15385</t>
  </si>
  <si>
    <t>C-15386</t>
  </si>
  <si>
    <t>C-15387</t>
  </si>
  <si>
    <t>C-15388</t>
  </si>
  <si>
    <t>C-15389</t>
  </si>
  <si>
    <t>C-15390</t>
  </si>
  <si>
    <t>C-15391</t>
  </si>
  <si>
    <t>C-15392</t>
  </si>
  <si>
    <t>C-15393</t>
  </si>
  <si>
    <t>C-15394</t>
  </si>
  <si>
    <t>C-15395</t>
  </si>
  <si>
    <t>C-15396</t>
  </si>
  <si>
    <t>C-15397</t>
  </si>
  <si>
    <t>C-15398</t>
  </si>
  <si>
    <t>C-15399</t>
  </si>
  <si>
    <t>C-15400</t>
  </si>
  <si>
    <t>C-15401</t>
  </si>
  <si>
    <t>C-15402</t>
  </si>
  <si>
    <t>C-15403</t>
  </si>
  <si>
    <t>C-15404</t>
  </si>
  <si>
    <t>C-15405</t>
  </si>
  <si>
    <t>C-15406</t>
  </si>
  <si>
    <t>C-15407</t>
  </si>
  <si>
    <t>C-15408</t>
  </si>
  <si>
    <r>
      <t xml:space="preserve">(218)PROSUBCA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</si>
  <si>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15409</t>
  </si>
  <si>
    <t>C-15409</t>
  </si>
  <si>
    <t>C-15410</t>
  </si>
  <si>
    <t>C-15411</t>
  </si>
  <si>
    <t>C-15412</t>
  </si>
  <si>
    <t>C-15413</t>
  </si>
  <si>
    <t>C-15414</t>
  </si>
  <si>
    <t>C-15415</t>
  </si>
  <si>
    <t>C-15416</t>
  </si>
  <si>
    <t>C-15417</t>
  </si>
  <si>
    <t>C-15418</t>
  </si>
  <si>
    <t>C-15419</t>
  </si>
  <si>
    <t>18-Mar-22--19-Mar-22</t>
  </si>
  <si>
    <t>C-15420</t>
  </si>
  <si>
    <t>C-15421</t>
  </si>
  <si>
    <t>C-15422</t>
  </si>
  <si>
    <t>C-15423</t>
  </si>
  <si>
    <t>C-15424</t>
  </si>
  <si>
    <t>C-15425</t>
  </si>
  <si>
    <t>C-15426</t>
  </si>
  <si>
    <t>C-15427</t>
  </si>
  <si>
    <t>C-15428</t>
  </si>
  <si>
    <t>C-15429</t>
  </si>
  <si>
    <t>C-15430</t>
  </si>
  <si>
    <t>C-15431</t>
  </si>
  <si>
    <t>C-15432</t>
  </si>
  <si>
    <t>C-15433</t>
  </si>
  <si>
    <t>C-15434</t>
  </si>
  <si>
    <t>C-15435</t>
  </si>
  <si>
    <t>C-15436</t>
  </si>
  <si>
    <t>C-15437</t>
  </si>
  <si>
    <t>C-15438</t>
  </si>
  <si>
    <t>C-15439</t>
  </si>
  <si>
    <t>C-15440</t>
  </si>
  <si>
    <t>C-15441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</si>
  <si>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>CANCELADA</t>
    </r>
  </si>
  <si>
    <t>C-15442</t>
  </si>
  <si>
    <t>C-15443</t>
  </si>
  <si>
    <t>C-15444</t>
  </si>
  <si>
    <t>C-15445</t>
  </si>
  <si>
    <t>C-15446</t>
  </si>
  <si>
    <t>C-15447</t>
  </si>
  <si>
    <t>C-15448</t>
  </si>
  <si>
    <t>C-15449</t>
  </si>
  <si>
    <t>C-15450</t>
  </si>
  <si>
    <t>C-15451</t>
  </si>
  <si>
    <t>C-15452</t>
  </si>
  <si>
    <t>C-15453</t>
  </si>
  <si>
    <t>C-15454</t>
  </si>
  <si>
    <t>C-15455</t>
  </si>
  <si>
    <t>C-15456</t>
  </si>
  <si>
    <t>C-15457</t>
  </si>
  <si>
    <t>C-15458</t>
  </si>
  <si>
    <t>C-15459</t>
  </si>
  <si>
    <t>C-15460</t>
  </si>
  <si>
    <t>C-15461</t>
  </si>
  <si>
    <t>C-15462</t>
  </si>
  <si>
    <t>C-15463</t>
  </si>
  <si>
    <t>C-15464</t>
  </si>
  <si>
    <t>C-15465</t>
  </si>
  <si>
    <t>C-15466</t>
  </si>
  <si>
    <t>C-15467</t>
  </si>
  <si>
    <t>C-15468</t>
  </si>
  <si>
    <t>C-15469</t>
  </si>
  <si>
    <t>C-15470</t>
  </si>
  <si>
    <t>C-15471</t>
  </si>
  <si>
    <t>C-15472</t>
  </si>
  <si>
    <r>
      <t xml:space="preserve">(277)RUBEN GALICIA  </t>
    </r>
    <r>
      <rPr>
        <b/>
        <sz val="12"/>
        <color rgb="FFFF0000"/>
        <rFont val="Calibri"/>
        <family val="2"/>
        <scheme val="minor"/>
      </rPr>
      <t>CANCELADA</t>
    </r>
  </si>
  <si>
    <t>C-15473</t>
  </si>
  <si>
    <t>C-15474</t>
  </si>
  <si>
    <t>C-15475</t>
  </si>
  <si>
    <t>C-15476</t>
  </si>
  <si>
    <t>C-15477</t>
  </si>
  <si>
    <t>C-15478</t>
  </si>
  <si>
    <t>C-15479</t>
  </si>
  <si>
    <t>C-15480</t>
  </si>
  <si>
    <t>C-15481</t>
  </si>
  <si>
    <t>C-15482</t>
  </si>
  <si>
    <t>C-15483</t>
  </si>
  <si>
    <t>C-15484</t>
  </si>
  <si>
    <t>C-15485</t>
  </si>
  <si>
    <t>C-15486</t>
  </si>
  <si>
    <t>C-15487</t>
  </si>
  <si>
    <t>C-15488</t>
  </si>
  <si>
    <t>C-15489</t>
  </si>
  <si>
    <t>C-15490</t>
  </si>
  <si>
    <t>C-15491</t>
  </si>
  <si>
    <t>C-15492</t>
  </si>
  <si>
    <t>C-15493</t>
  </si>
  <si>
    <t>C-15494</t>
  </si>
  <si>
    <t>C-15495</t>
  </si>
  <si>
    <t>C-15496</t>
  </si>
  <si>
    <t>C-15497</t>
  </si>
  <si>
    <t>C-15498</t>
  </si>
  <si>
    <t>C-15499</t>
  </si>
  <si>
    <t>C-15500</t>
  </si>
  <si>
    <t>C-15501</t>
  </si>
  <si>
    <t>C-15502</t>
  </si>
  <si>
    <t>C-15503</t>
  </si>
  <si>
    <t>C-15504</t>
  </si>
  <si>
    <t>C-15505</t>
  </si>
  <si>
    <t>C-15506</t>
  </si>
  <si>
    <t>C-15507</t>
  </si>
  <si>
    <t>C-15508</t>
  </si>
  <si>
    <t>C-15509</t>
  </si>
  <si>
    <t>C-15510</t>
  </si>
  <si>
    <r>
      <t xml:space="preserve">(93)ALB&amp;CIA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</si>
  <si>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C-15511</t>
  </si>
  <si>
    <t>C-15512</t>
  </si>
  <si>
    <t>C-15513</t>
  </si>
  <si>
    <t>C-15514</t>
  </si>
  <si>
    <t>C-15515</t>
  </si>
  <si>
    <t>C-15516</t>
  </si>
  <si>
    <t>C-15517</t>
  </si>
  <si>
    <t>C-15518</t>
  </si>
  <si>
    <t>(589)PACO DIAZ</t>
  </si>
  <si>
    <t>C-15519</t>
  </si>
  <si>
    <t>C-15520</t>
  </si>
  <si>
    <t>C-15521</t>
  </si>
  <si>
    <t>C-15522</t>
  </si>
  <si>
    <t>C-15523</t>
  </si>
  <si>
    <t>C-15524</t>
  </si>
  <si>
    <t>C-15525</t>
  </si>
  <si>
    <t>C-15526</t>
  </si>
  <si>
    <t>C-15527</t>
  </si>
  <si>
    <t>C-15528</t>
  </si>
  <si>
    <t>C-15529</t>
  </si>
  <si>
    <t>C-15530</t>
  </si>
  <si>
    <t>C-15531</t>
  </si>
  <si>
    <t>C-15532</t>
  </si>
  <si>
    <t>C-15533</t>
  </si>
  <si>
    <t>C-15534</t>
  </si>
  <si>
    <t>C-15535</t>
  </si>
  <si>
    <t>C-15536</t>
  </si>
  <si>
    <t>C-15537</t>
  </si>
  <si>
    <t>C-15538</t>
  </si>
  <si>
    <t>C-15539</t>
  </si>
  <si>
    <t>C-15540</t>
  </si>
  <si>
    <t>C-15541</t>
  </si>
  <si>
    <r>
      <t xml:space="preserve">(591)JULIO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</si>
  <si>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C-15542</t>
  </si>
  <si>
    <t>C-15543</t>
  </si>
  <si>
    <t>C-15544</t>
  </si>
  <si>
    <t>C-15545</t>
  </si>
  <si>
    <t>C-15546</t>
  </si>
  <si>
    <t>C-15547</t>
  </si>
  <si>
    <t>C-15548</t>
  </si>
  <si>
    <t>C-15549</t>
  </si>
  <si>
    <t>C-15550</t>
  </si>
  <si>
    <t>C-15551</t>
  </si>
  <si>
    <t>C-15552</t>
  </si>
  <si>
    <t>C-15553</t>
  </si>
  <si>
    <t>C-15554</t>
  </si>
  <si>
    <t>C-15555</t>
  </si>
  <si>
    <t>C-15556</t>
  </si>
  <si>
    <t>C-15557</t>
  </si>
  <si>
    <t>C-15558</t>
  </si>
  <si>
    <t>C-15559</t>
  </si>
  <si>
    <t>C-15560</t>
  </si>
  <si>
    <t>C-15561</t>
  </si>
  <si>
    <t>C-15562</t>
  </si>
  <si>
    <t>C-15563</t>
  </si>
  <si>
    <t>C-15564</t>
  </si>
  <si>
    <t>C-15565</t>
  </si>
  <si>
    <t>C-15566</t>
  </si>
  <si>
    <t>C-15567</t>
  </si>
  <si>
    <t>C-15568</t>
  </si>
  <si>
    <t>C-15569</t>
  </si>
  <si>
    <t>C-15570</t>
  </si>
  <si>
    <t>C-15571</t>
  </si>
  <si>
    <t>C-15572</t>
  </si>
  <si>
    <t>C-15573</t>
  </si>
  <si>
    <t>C-15574</t>
  </si>
  <si>
    <t>C-15575</t>
  </si>
  <si>
    <t>C-15576</t>
  </si>
  <si>
    <t>C-15577</t>
  </si>
  <si>
    <t>C-15578</t>
  </si>
  <si>
    <t>C-15579</t>
  </si>
  <si>
    <t>C-15580</t>
  </si>
  <si>
    <t>C-15581</t>
  </si>
  <si>
    <t>C-15582</t>
  </si>
  <si>
    <t>C-15583</t>
  </si>
  <si>
    <t>C-15584</t>
  </si>
  <si>
    <t>C-15585</t>
  </si>
  <si>
    <t>C-15586</t>
  </si>
  <si>
    <t>C-15587</t>
  </si>
  <si>
    <t>C-15588</t>
  </si>
  <si>
    <t>C-15589</t>
  </si>
  <si>
    <t>C-15590</t>
  </si>
  <si>
    <t>C-15591</t>
  </si>
  <si>
    <t>C-15592</t>
  </si>
  <si>
    <t>C-15593</t>
  </si>
  <si>
    <t>C-15594</t>
  </si>
  <si>
    <t>C-15595</t>
  </si>
  <si>
    <t>C-15596</t>
  </si>
  <si>
    <t>C-15597</t>
  </si>
  <si>
    <t>C-15598</t>
  </si>
  <si>
    <t>C-15599</t>
  </si>
  <si>
    <t>C-15600</t>
  </si>
  <si>
    <t>C-15601</t>
  </si>
  <si>
    <t>C-15602</t>
  </si>
  <si>
    <t>C-15603</t>
  </si>
  <si>
    <t>C-15604</t>
  </si>
  <si>
    <t>C-15605</t>
  </si>
  <si>
    <t>C-15606</t>
  </si>
  <si>
    <t>C-15607</t>
  </si>
  <si>
    <t>C-15608</t>
  </si>
  <si>
    <t>C-15609</t>
  </si>
  <si>
    <t>C-15610</t>
  </si>
  <si>
    <t>C-15611</t>
  </si>
  <si>
    <t>C-15612</t>
  </si>
  <si>
    <t>C-15613</t>
  </si>
  <si>
    <t>C-15614</t>
  </si>
  <si>
    <t>C-15615</t>
  </si>
  <si>
    <t>C-15616</t>
  </si>
  <si>
    <t>C-15617</t>
  </si>
  <si>
    <t>C-15618</t>
  </si>
  <si>
    <t>C-15619</t>
  </si>
  <si>
    <t>C-15620</t>
  </si>
  <si>
    <t>C-15621</t>
  </si>
  <si>
    <t>C-15622</t>
  </si>
  <si>
    <t>C-15623</t>
  </si>
  <si>
    <t>C-15624</t>
  </si>
  <si>
    <t>C-15625</t>
  </si>
  <si>
    <t>C-15626</t>
  </si>
  <si>
    <t>C-15627</t>
  </si>
  <si>
    <t>C-15628</t>
  </si>
  <si>
    <t>C-15629</t>
  </si>
  <si>
    <t>C-15630</t>
  </si>
  <si>
    <t>C-15631</t>
  </si>
  <si>
    <t>C-15632</t>
  </si>
  <si>
    <t>C-15633</t>
  </si>
  <si>
    <t>C-15634</t>
  </si>
  <si>
    <t>C-15635</t>
  </si>
  <si>
    <t>C-15636</t>
  </si>
  <si>
    <t>C-15637</t>
  </si>
  <si>
    <t>C-15638</t>
  </si>
  <si>
    <t>C-15639</t>
  </si>
  <si>
    <t>C-15640</t>
  </si>
  <si>
    <r>
      <t xml:space="preserve">(851)ALEJANDRO RAMIREZ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</si>
  <si>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C-15641</t>
  </si>
  <si>
    <t>C-15642</t>
  </si>
  <si>
    <t>C-15643</t>
  </si>
  <si>
    <t>C-15644</t>
  </si>
  <si>
    <r>
      <t xml:space="preserve">(38)SUPER SERVICIO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</si>
  <si>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C-15645</t>
  </si>
  <si>
    <t>C-15646</t>
  </si>
  <si>
    <t>C-15647</t>
  </si>
  <si>
    <t>C-15648</t>
  </si>
  <si>
    <t>C-15649</t>
  </si>
  <si>
    <t>C-15650</t>
  </si>
  <si>
    <t>C-15651</t>
  </si>
  <si>
    <t>C-15652</t>
  </si>
  <si>
    <t>C-15653</t>
  </si>
  <si>
    <t>C-15654</t>
  </si>
  <si>
    <t>C-15655</t>
  </si>
  <si>
    <t>19-Mar-22--20-Mar-22</t>
  </si>
  <si>
    <t>C-15656</t>
  </si>
  <si>
    <t>C-15657</t>
  </si>
  <si>
    <t>C-15658</t>
  </si>
  <si>
    <r>
      <t xml:space="preserve">(147)VALERIO FIGUEROA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</si>
  <si>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C-15659</t>
  </si>
  <si>
    <t>C-15660</t>
  </si>
  <si>
    <t>(147)VALERIO FIGUEROA</t>
  </si>
  <si>
    <t>C-15661</t>
  </si>
  <si>
    <t>C-15662</t>
  </si>
  <si>
    <t>C-15663</t>
  </si>
  <si>
    <t>C-15664</t>
  </si>
  <si>
    <t>C-15665</t>
  </si>
  <si>
    <t>C-15666</t>
  </si>
  <si>
    <t>C-15667</t>
  </si>
  <si>
    <t>C-15668</t>
  </si>
  <si>
    <t>C-15669</t>
  </si>
  <si>
    <t>C-15670</t>
  </si>
  <si>
    <t>C-15671</t>
  </si>
  <si>
    <t>C-15672</t>
  </si>
  <si>
    <t>C-15673</t>
  </si>
  <si>
    <t>C-15674</t>
  </si>
  <si>
    <t>C-15675</t>
  </si>
  <si>
    <t>C-15676</t>
  </si>
  <si>
    <t>C-15677</t>
  </si>
  <si>
    <t>C-15678</t>
  </si>
  <si>
    <t>C-15679</t>
  </si>
  <si>
    <t>C-15680</t>
  </si>
  <si>
    <t>C-15681</t>
  </si>
  <si>
    <t>C-15682</t>
  </si>
  <si>
    <t>C-15683</t>
  </si>
  <si>
    <t>C-15684</t>
  </si>
  <si>
    <t>C-15685</t>
  </si>
  <si>
    <t>C-15686</t>
  </si>
  <si>
    <t>C-15687</t>
  </si>
  <si>
    <t>C-15688</t>
  </si>
  <si>
    <t>C-15689</t>
  </si>
  <si>
    <t>C-15690</t>
  </si>
  <si>
    <t>C-15691</t>
  </si>
  <si>
    <t>C-15692</t>
  </si>
  <si>
    <t>C-15693</t>
  </si>
  <si>
    <t>C-15694</t>
  </si>
  <si>
    <t>C-15695</t>
  </si>
  <si>
    <t>C-15696</t>
  </si>
  <si>
    <t>C-15697</t>
  </si>
  <si>
    <t>C-15698</t>
  </si>
  <si>
    <t>C-15699</t>
  </si>
  <si>
    <t>C-15700</t>
  </si>
  <si>
    <t>C-15701</t>
  </si>
  <si>
    <t>C-15702</t>
  </si>
  <si>
    <t>C-15703</t>
  </si>
  <si>
    <t>C-15704</t>
  </si>
  <si>
    <t>C-15705</t>
  </si>
  <si>
    <t>C-15706</t>
  </si>
  <si>
    <t>C-15707</t>
  </si>
  <si>
    <t>C-15708</t>
  </si>
  <si>
    <t>C-15709</t>
  </si>
  <si>
    <t>C-15710</t>
  </si>
  <si>
    <t>C-15711</t>
  </si>
  <si>
    <t>C-15712</t>
  </si>
  <si>
    <t>C-15713</t>
  </si>
  <si>
    <t>C-15714</t>
  </si>
  <si>
    <t>C-15715</t>
  </si>
  <si>
    <t>C-15716</t>
  </si>
  <si>
    <t>C-15717</t>
  </si>
  <si>
    <t>C-15718</t>
  </si>
  <si>
    <t>C-15719</t>
  </si>
  <si>
    <t>C-15720</t>
  </si>
  <si>
    <t>C-15721</t>
  </si>
  <si>
    <t>C-15722</t>
  </si>
  <si>
    <t>C-15723</t>
  </si>
  <si>
    <t>C-15724</t>
  </si>
  <si>
    <t>C-15725</t>
  </si>
  <si>
    <t>C-15726</t>
  </si>
  <si>
    <t>C-15727</t>
  </si>
  <si>
    <t>C-15728</t>
  </si>
  <si>
    <t>C-15729</t>
  </si>
  <si>
    <t>C-15730</t>
  </si>
  <si>
    <t>C-15731</t>
  </si>
  <si>
    <t>C-15732</t>
  </si>
  <si>
    <t>C-15733</t>
  </si>
  <si>
    <t>C-15734</t>
  </si>
  <si>
    <t>C-15735</t>
  </si>
  <si>
    <t>C-15736</t>
  </si>
  <si>
    <t>C-15737</t>
  </si>
  <si>
    <t>C-15738</t>
  </si>
  <si>
    <t>C-15739</t>
  </si>
  <si>
    <t>C-15740</t>
  </si>
  <si>
    <t>C-15741</t>
  </si>
  <si>
    <t>C-15742</t>
  </si>
  <si>
    <t>C-15743</t>
  </si>
  <si>
    <t>C-15744</t>
  </si>
  <si>
    <r>
      <t xml:space="preserve">(879)GUADALUPE VARGAS  </t>
    </r>
    <r>
      <rPr>
        <b/>
        <sz val="12"/>
        <color rgb="FFFF0000"/>
        <rFont val="Calibri"/>
        <family val="2"/>
        <scheme val="minor"/>
      </rPr>
      <t>CANCELADA</t>
    </r>
  </si>
  <si>
    <t>C-15745</t>
  </si>
  <si>
    <t>C-15746</t>
  </si>
  <si>
    <t>C-15747</t>
  </si>
  <si>
    <t>C-15748</t>
  </si>
  <si>
    <t>C-15749</t>
  </si>
  <si>
    <t>C-15750</t>
  </si>
  <si>
    <t>C-15751</t>
  </si>
  <si>
    <t>C-15752</t>
  </si>
  <si>
    <t>C-15753</t>
  </si>
  <si>
    <t>C-15754</t>
  </si>
  <si>
    <t>C-15755</t>
  </si>
  <si>
    <t>C-15756</t>
  </si>
  <si>
    <t>C-15757</t>
  </si>
  <si>
    <t>C-15758</t>
  </si>
  <si>
    <t>C-15759</t>
  </si>
  <si>
    <t>C-15760</t>
  </si>
  <si>
    <t>C-15761</t>
  </si>
  <si>
    <t>C-15762</t>
  </si>
  <si>
    <t>C-15763</t>
  </si>
  <si>
    <t>C-15764</t>
  </si>
  <si>
    <t>C-15765</t>
  </si>
  <si>
    <t>C-15766</t>
  </si>
  <si>
    <t>C-15767</t>
  </si>
  <si>
    <t>C-15768</t>
  </si>
  <si>
    <t>C-15769</t>
  </si>
  <si>
    <t>C-15770</t>
  </si>
  <si>
    <t>C-15771</t>
  </si>
  <si>
    <t>C-15772</t>
  </si>
  <si>
    <t>C-15773</t>
  </si>
  <si>
    <t>C-15774</t>
  </si>
  <si>
    <t>C-15775</t>
  </si>
  <si>
    <t>20-Mar-22--21-Mar-22</t>
  </si>
  <si>
    <t>C-15776</t>
  </si>
  <si>
    <t>C-15777</t>
  </si>
  <si>
    <t>C-15778</t>
  </si>
  <si>
    <t>C-15779</t>
  </si>
  <si>
    <t>C-15780</t>
  </si>
  <si>
    <t>C-15781</t>
  </si>
  <si>
    <t>C-15782</t>
  </si>
  <si>
    <t>C-15783</t>
  </si>
  <si>
    <t>C-15784</t>
  </si>
  <si>
    <t>C-15785</t>
  </si>
  <si>
    <t>C-15786</t>
  </si>
  <si>
    <t>C-15787</t>
  </si>
  <si>
    <t>21-Mar-22--22-Mar-22</t>
  </si>
  <si>
    <t>C-15788</t>
  </si>
  <si>
    <t>C-15789</t>
  </si>
  <si>
    <t>C-15790</t>
  </si>
  <si>
    <t>C-15791</t>
  </si>
  <si>
    <t>C-15792</t>
  </si>
  <si>
    <t>C-15793</t>
  </si>
  <si>
    <t>C-15794</t>
  </si>
  <si>
    <t>C-15795</t>
  </si>
  <si>
    <t>C-15796</t>
  </si>
  <si>
    <t>C-15797</t>
  </si>
  <si>
    <t>C-15798</t>
  </si>
  <si>
    <t>22-Mar-22--23-Mar-22</t>
  </si>
  <si>
    <t>C-15799</t>
  </si>
  <si>
    <t>C-15800</t>
  </si>
  <si>
    <t>C-15801</t>
  </si>
  <si>
    <t>C-15802</t>
  </si>
  <si>
    <t>C-15803</t>
  </si>
  <si>
    <t>C-15804</t>
  </si>
  <si>
    <t>C-15805</t>
  </si>
  <si>
    <t>C-15806</t>
  </si>
  <si>
    <t>C-15807</t>
  </si>
  <si>
    <t>C-15808</t>
  </si>
  <si>
    <t>C-15809</t>
  </si>
  <si>
    <r>
      <t xml:space="preserve">  (816)ISRAEL HERNANDEZ MORENO  </t>
    </r>
    <r>
      <rPr>
        <b/>
        <sz val="12"/>
        <color rgb="FFFF0000"/>
        <rFont val="Calibri"/>
        <family val="2"/>
        <scheme val="minor"/>
      </rPr>
      <t>CANCELADA</t>
    </r>
  </si>
  <si>
    <t>se sustituyo x la 15812</t>
  </si>
  <si>
    <t>C-15810</t>
  </si>
  <si>
    <t>C-15811</t>
  </si>
  <si>
    <t>C-15812</t>
  </si>
  <si>
    <t>C-15813</t>
  </si>
  <si>
    <t>C-15814</t>
  </si>
  <si>
    <t>C-15815</t>
  </si>
  <si>
    <t>C-15816</t>
  </si>
  <si>
    <t>C-15817</t>
  </si>
  <si>
    <t>C-15818</t>
  </si>
  <si>
    <t>C-15819</t>
  </si>
  <si>
    <t>C-15820</t>
  </si>
  <si>
    <t>C-15821</t>
  </si>
  <si>
    <t>C-15822</t>
  </si>
  <si>
    <t>C-15823</t>
  </si>
  <si>
    <t>C-15824</t>
  </si>
  <si>
    <t>C-15825</t>
  </si>
  <si>
    <t>C-15826</t>
  </si>
  <si>
    <t>C-15827</t>
  </si>
  <si>
    <t>C-15828</t>
  </si>
  <si>
    <t>C-15829</t>
  </si>
  <si>
    <t>C-15830</t>
  </si>
  <si>
    <t>C-15831</t>
  </si>
  <si>
    <t>C-15832</t>
  </si>
  <si>
    <t>C-15833</t>
  </si>
  <si>
    <t>C-15834</t>
  </si>
  <si>
    <t>C-15835</t>
  </si>
  <si>
    <t>C-15836</t>
  </si>
  <si>
    <t>C-15837</t>
  </si>
  <si>
    <t>C-15838</t>
  </si>
  <si>
    <t>C-15839</t>
  </si>
  <si>
    <t>C-15840</t>
  </si>
  <si>
    <t>C-15841</t>
  </si>
  <si>
    <t>C-15842</t>
  </si>
  <si>
    <t>C-15843</t>
  </si>
  <si>
    <t>C-15844</t>
  </si>
  <si>
    <t>C-15845</t>
  </si>
  <si>
    <t>C-15846</t>
  </si>
  <si>
    <t>C-15847</t>
  </si>
  <si>
    <t>C-15848</t>
  </si>
  <si>
    <t>C-15849</t>
  </si>
  <si>
    <t>C-15850</t>
  </si>
  <si>
    <t>C-15851</t>
  </si>
  <si>
    <t>C-15852</t>
  </si>
  <si>
    <t>C-15853</t>
  </si>
  <si>
    <t>C-15854</t>
  </si>
  <si>
    <t>C-15855</t>
  </si>
  <si>
    <t>C-15856</t>
  </si>
  <si>
    <t>C-15857</t>
  </si>
  <si>
    <t>C-15858</t>
  </si>
  <si>
    <t>C-15859</t>
  </si>
  <si>
    <t>C-15860</t>
  </si>
  <si>
    <t>C-15861</t>
  </si>
  <si>
    <t>C-15862</t>
  </si>
  <si>
    <t>C-15863</t>
  </si>
  <si>
    <t>C-15864</t>
  </si>
  <si>
    <t>C-15865</t>
  </si>
  <si>
    <t>C-15866</t>
  </si>
  <si>
    <t>C-15867</t>
  </si>
  <si>
    <t>C-15868</t>
  </si>
  <si>
    <t>C-15869</t>
  </si>
  <si>
    <t>C-15870</t>
  </si>
  <si>
    <t>C-15871</t>
  </si>
  <si>
    <t>C-15872</t>
  </si>
  <si>
    <t>C-15873</t>
  </si>
  <si>
    <t>C-15874</t>
  </si>
  <si>
    <t>C-15875</t>
  </si>
  <si>
    <t>C-15876</t>
  </si>
  <si>
    <t>C-15877</t>
  </si>
  <si>
    <t>C-15878</t>
  </si>
  <si>
    <t>C-15879</t>
  </si>
  <si>
    <t>(572)MORALES DIAZ</t>
  </si>
  <si>
    <t>C-15880</t>
  </si>
  <si>
    <t>C-15881</t>
  </si>
  <si>
    <t>C-15882</t>
  </si>
  <si>
    <t>C-15883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</si>
  <si>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</si>
  <si>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15885</t>
  </si>
  <si>
    <t>C-15884</t>
  </si>
  <si>
    <t>C-15885</t>
  </si>
  <si>
    <t>C-15886</t>
  </si>
  <si>
    <t>C-15887</t>
  </si>
  <si>
    <t>C-15888</t>
  </si>
  <si>
    <t>C-15889</t>
  </si>
  <si>
    <t>C-15890</t>
  </si>
  <si>
    <t>C-15891</t>
  </si>
  <si>
    <t>C-15892</t>
  </si>
  <si>
    <t>C-15893</t>
  </si>
  <si>
    <t>C-15894</t>
  </si>
  <si>
    <t>C-15895</t>
  </si>
  <si>
    <t>C-15896</t>
  </si>
  <si>
    <t>C-15897</t>
  </si>
  <si>
    <t>C-15898</t>
  </si>
  <si>
    <t>C-15899</t>
  </si>
  <si>
    <r>
      <t xml:space="preserve">(179)CARMEN FILOMENO ROJAS  </t>
    </r>
    <r>
      <rPr>
        <b/>
        <sz val="12"/>
        <color rgb="FFFF0000"/>
        <rFont val="Calibri"/>
        <family val="2"/>
        <scheme val="minor"/>
      </rPr>
      <t>CANCELADA</t>
    </r>
  </si>
  <si>
    <t>C-15900</t>
  </si>
  <si>
    <t>C-15901</t>
  </si>
  <si>
    <t>C-15902</t>
  </si>
  <si>
    <t>C-15903</t>
  </si>
  <si>
    <t>C-15904</t>
  </si>
  <si>
    <t>C-15905</t>
  </si>
  <si>
    <t>C-15906</t>
  </si>
  <si>
    <t>C-15907</t>
  </si>
  <si>
    <t>19-Mar-22--21-Mar-22</t>
  </si>
  <si>
    <t>C-15908</t>
  </si>
  <si>
    <t>C-15909</t>
  </si>
  <si>
    <t>C-15910</t>
  </si>
  <si>
    <t>C-15911</t>
  </si>
  <si>
    <t>C-15912</t>
  </si>
  <si>
    <t>C-15913</t>
  </si>
  <si>
    <t>C-15914</t>
  </si>
  <si>
    <t>C-15915</t>
  </si>
  <si>
    <t>C-15916</t>
  </si>
  <si>
    <t>C-15917</t>
  </si>
  <si>
    <t>21-Mar-22--23-Mar-22</t>
  </si>
  <si>
    <t>C-15918</t>
  </si>
  <si>
    <t>C-15919</t>
  </si>
  <si>
    <t>C-15920</t>
  </si>
  <si>
    <t>C-15921</t>
  </si>
  <si>
    <t>C-15922</t>
  </si>
  <si>
    <t>C-15923</t>
  </si>
  <si>
    <t>C-15924</t>
  </si>
  <si>
    <t>C-15925</t>
  </si>
  <si>
    <t>C-15926</t>
  </si>
  <si>
    <t>C-15927</t>
  </si>
  <si>
    <t>C-15928</t>
  </si>
  <si>
    <t>C-15929</t>
  </si>
  <si>
    <t>C-15930</t>
  </si>
  <si>
    <t>C-15931</t>
  </si>
  <si>
    <t>C-15932</t>
  </si>
  <si>
    <t>C-15933</t>
  </si>
  <si>
    <t>C-15934</t>
  </si>
  <si>
    <t>C-15935</t>
  </si>
  <si>
    <t>C-15936</t>
  </si>
  <si>
    <t>C-15937</t>
  </si>
  <si>
    <t>C-15938</t>
  </si>
  <si>
    <t>C-15939</t>
  </si>
  <si>
    <t>C-15940</t>
  </si>
  <si>
    <t>C-15941</t>
  </si>
  <si>
    <t>C-15942</t>
  </si>
  <si>
    <t>C-15943</t>
  </si>
  <si>
    <t>C-15944</t>
  </si>
  <si>
    <t>C-15945</t>
  </si>
  <si>
    <t>C-15946</t>
  </si>
  <si>
    <t>C-15947</t>
  </si>
  <si>
    <t>C-15948</t>
  </si>
  <si>
    <t>C-15949</t>
  </si>
  <si>
    <t>C-15950</t>
  </si>
  <si>
    <t>C-15951</t>
  </si>
  <si>
    <t>C-15952</t>
  </si>
  <si>
    <t>C-15953</t>
  </si>
  <si>
    <t>C-15954</t>
  </si>
  <si>
    <t>C-15955</t>
  </si>
  <si>
    <t>C-15956</t>
  </si>
  <si>
    <t>C-15957</t>
  </si>
  <si>
    <t>23-Mar-22--24-Mar-22</t>
  </si>
  <si>
    <t>C-15958</t>
  </si>
  <si>
    <t>C-15959</t>
  </si>
  <si>
    <t>C-15960</t>
  </si>
  <si>
    <t>C-15961</t>
  </si>
  <si>
    <t>C-15962</t>
  </si>
  <si>
    <t>C-15963</t>
  </si>
  <si>
    <t>C-15964</t>
  </si>
  <si>
    <t>C-15965</t>
  </si>
  <si>
    <t>C-15966</t>
  </si>
  <si>
    <t>C-15967</t>
  </si>
  <si>
    <t>C-15968</t>
  </si>
  <si>
    <t>C-15969</t>
  </si>
  <si>
    <t>C-15970</t>
  </si>
  <si>
    <t>C-15971</t>
  </si>
  <si>
    <t>C-15972</t>
  </si>
  <si>
    <t>C-15973</t>
  </si>
  <si>
    <t>C-15974</t>
  </si>
  <si>
    <t>C-15975</t>
  </si>
  <si>
    <t>C-15976</t>
  </si>
  <si>
    <t>C-15977</t>
  </si>
  <si>
    <t>C-15978</t>
  </si>
  <si>
    <t>C-15979</t>
  </si>
  <si>
    <t>C-15980</t>
  </si>
  <si>
    <t>C-15981</t>
  </si>
  <si>
    <t>C-15982</t>
  </si>
  <si>
    <t>C-15983</t>
  </si>
  <si>
    <t>C-15984</t>
  </si>
  <si>
    <t>C-15985</t>
  </si>
  <si>
    <t>C-15986</t>
  </si>
  <si>
    <t>C-15987</t>
  </si>
  <si>
    <t>C-15988</t>
  </si>
  <si>
    <t>C-15989</t>
  </si>
  <si>
    <t>C-15990</t>
  </si>
  <si>
    <t>C-15991</t>
  </si>
  <si>
    <t>C-15992</t>
  </si>
  <si>
    <t>C-15993</t>
  </si>
  <si>
    <t>C-15994</t>
  </si>
  <si>
    <t>C-15995</t>
  </si>
  <si>
    <t>C-15996</t>
  </si>
  <si>
    <t>C-15997</t>
  </si>
  <si>
    <t>C-15998</t>
  </si>
  <si>
    <t>C-15999</t>
  </si>
  <si>
    <t>C-16000</t>
  </si>
  <si>
    <t>C-16001</t>
  </si>
  <si>
    <t>C-16002</t>
  </si>
  <si>
    <t>C-16003</t>
  </si>
  <si>
    <t>C-16004</t>
  </si>
  <si>
    <t>C-16005</t>
  </si>
  <si>
    <t>C-16006</t>
  </si>
  <si>
    <t>C-16007</t>
  </si>
  <si>
    <t>C-16008</t>
  </si>
  <si>
    <t>C-16009</t>
  </si>
  <si>
    <t>C-16010</t>
  </si>
  <si>
    <t>C-16011</t>
  </si>
  <si>
    <t>C-16012</t>
  </si>
  <si>
    <t>C-16013</t>
  </si>
  <si>
    <t>C-16014</t>
  </si>
  <si>
    <t>C-16015</t>
  </si>
  <si>
    <t>C-16016</t>
  </si>
  <si>
    <t>C-16017</t>
  </si>
  <si>
    <t>C-16018</t>
  </si>
  <si>
    <t>C-16019</t>
  </si>
  <si>
    <t>C-16020</t>
  </si>
  <si>
    <t>C-16021</t>
  </si>
  <si>
    <t>C-16022</t>
  </si>
  <si>
    <r>
      <t xml:space="preserve">(703)CARNICERIA  ABRAHAM  </t>
    </r>
    <r>
      <rPr>
        <b/>
        <sz val="12"/>
        <color rgb="FFFF0000"/>
        <rFont val="Calibri"/>
        <family val="2"/>
        <scheme val="minor"/>
      </rPr>
      <t>CANCELADA</t>
    </r>
  </si>
  <si>
    <t>C-16023</t>
  </si>
  <si>
    <t>C-16024</t>
  </si>
  <si>
    <t>C-16025</t>
  </si>
  <si>
    <t>C-16026</t>
  </si>
  <si>
    <t>C-16027</t>
  </si>
  <si>
    <t>C-16028</t>
  </si>
  <si>
    <t>C-16029</t>
  </si>
  <si>
    <t>C-16030</t>
  </si>
  <si>
    <t>C-16031</t>
  </si>
  <si>
    <t>C-16032</t>
  </si>
  <si>
    <t>C-16033</t>
  </si>
  <si>
    <t>C-16034</t>
  </si>
  <si>
    <t>C-16035</t>
  </si>
  <si>
    <t>C-16036</t>
  </si>
  <si>
    <t>C-16037</t>
  </si>
  <si>
    <t>C-16038</t>
  </si>
  <si>
    <t>C-16039</t>
  </si>
  <si>
    <t>C-16040</t>
  </si>
  <si>
    <t>C-16041</t>
  </si>
  <si>
    <t>C-16042</t>
  </si>
  <si>
    <t>C-16043</t>
  </si>
  <si>
    <t>C-16044</t>
  </si>
  <si>
    <t>C-16045</t>
  </si>
  <si>
    <t>C-16046</t>
  </si>
  <si>
    <t>C-16047</t>
  </si>
  <si>
    <t>C-16048</t>
  </si>
  <si>
    <t>C-16049</t>
  </si>
  <si>
    <t>C-16050</t>
  </si>
  <si>
    <t>C-16051</t>
  </si>
  <si>
    <t>C-16052</t>
  </si>
  <si>
    <t>C-16053</t>
  </si>
  <si>
    <t>C-16054</t>
  </si>
  <si>
    <t>C-16055</t>
  </si>
  <si>
    <t>C-16056</t>
  </si>
  <si>
    <t>C-16057</t>
  </si>
  <si>
    <r>
      <t xml:space="preserve">(152)PEDRO RAMIRO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</si>
  <si>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C-16058</t>
  </si>
  <si>
    <t>C-16059</t>
  </si>
  <si>
    <t>C-16060</t>
  </si>
  <si>
    <t>(274)JESUS ESTEBAN</t>
  </si>
  <si>
    <t>C-16061</t>
  </si>
  <si>
    <t>C-16062</t>
  </si>
  <si>
    <t>C-16063</t>
  </si>
  <si>
    <t>C-16064</t>
  </si>
  <si>
    <t>C-16065</t>
  </si>
  <si>
    <t>C-16066</t>
  </si>
  <si>
    <t>C-16067</t>
  </si>
  <si>
    <t>C-16068</t>
  </si>
  <si>
    <t>C-16069</t>
  </si>
  <si>
    <t>C-16070</t>
  </si>
  <si>
    <t>C-16071</t>
  </si>
  <si>
    <t>C-16072</t>
  </si>
  <si>
    <t>C-16073</t>
  </si>
  <si>
    <t>C-16074</t>
  </si>
  <si>
    <t>C-16075</t>
  </si>
  <si>
    <t>C-16076</t>
  </si>
  <si>
    <t>C-16077</t>
  </si>
  <si>
    <t>C-16078</t>
  </si>
  <si>
    <t>C-16079</t>
  </si>
  <si>
    <t>C-16080</t>
  </si>
  <si>
    <t>C-16081</t>
  </si>
  <si>
    <t>C-16082</t>
  </si>
  <si>
    <t>C-16083</t>
  </si>
  <si>
    <t>C-16084</t>
  </si>
  <si>
    <t>C-16085</t>
  </si>
  <si>
    <t>C-16086</t>
  </si>
  <si>
    <t>C-16087</t>
  </si>
  <si>
    <t>C-16088</t>
  </si>
  <si>
    <t>C-16089</t>
  </si>
  <si>
    <t>C-16090</t>
  </si>
  <si>
    <t>C-16091</t>
  </si>
  <si>
    <t>C-16092</t>
  </si>
  <si>
    <t>se sustituyo x la 16105</t>
  </si>
  <si>
    <t>C-16093</t>
  </si>
  <si>
    <t>C-16094</t>
  </si>
  <si>
    <t>C-16095</t>
  </si>
  <si>
    <t>C-16096</t>
  </si>
  <si>
    <t>C-16097</t>
  </si>
  <si>
    <t>C-16098</t>
  </si>
  <si>
    <t>C-16099</t>
  </si>
  <si>
    <t>C-16100</t>
  </si>
  <si>
    <r>
      <t xml:space="preserve">(590)CARNICERIA HUGO´S  </t>
    </r>
    <r>
      <rPr>
        <b/>
        <sz val="12"/>
        <color rgb="FFFF0000"/>
        <rFont val="Calibri"/>
        <family val="2"/>
        <scheme val="minor"/>
      </rPr>
      <t>CANCELADA</t>
    </r>
  </si>
  <si>
    <t>C-16101</t>
  </si>
  <si>
    <t>C-16102</t>
  </si>
  <si>
    <t>C-16103</t>
  </si>
  <si>
    <t>C-16104</t>
  </si>
  <si>
    <t>C-16105</t>
  </si>
  <si>
    <t>C-16106</t>
  </si>
  <si>
    <t>C-16107</t>
  </si>
  <si>
    <t>(250)CORTES FINOS LA MORENA</t>
  </si>
  <si>
    <t>C-16108</t>
  </si>
  <si>
    <t>C-16109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</si>
  <si>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>CANCELADA</t>
    </r>
  </si>
  <si>
    <t>se sustituyo x la 16109</t>
  </si>
  <si>
    <t>C-16110</t>
  </si>
  <si>
    <t>C-16111</t>
  </si>
  <si>
    <t>C-16112</t>
  </si>
  <si>
    <t>C-16113</t>
  </si>
  <si>
    <t>C-16114</t>
  </si>
  <si>
    <t>C-16115</t>
  </si>
  <si>
    <t>C-16116</t>
  </si>
  <si>
    <t>C-16117</t>
  </si>
  <si>
    <t>C-16118</t>
  </si>
  <si>
    <t>C-16119</t>
  </si>
  <si>
    <t>C-16120</t>
  </si>
  <si>
    <t>C-16121</t>
  </si>
  <si>
    <t>C-16122</t>
  </si>
  <si>
    <t>C-16123</t>
  </si>
  <si>
    <t>C-16124</t>
  </si>
  <si>
    <t>C-16125</t>
  </si>
  <si>
    <t>C-16126</t>
  </si>
  <si>
    <t>C-16127</t>
  </si>
  <si>
    <t>C-16128</t>
  </si>
  <si>
    <t>C-16129</t>
  </si>
  <si>
    <t>C-16130</t>
  </si>
  <si>
    <t>C-16131</t>
  </si>
  <si>
    <t>C-16132</t>
  </si>
  <si>
    <t>C-16133</t>
  </si>
  <si>
    <r>
      <t xml:space="preserve">(93)ALB&amp;CIA  </t>
    </r>
    <r>
      <rPr>
        <b/>
        <sz val="12"/>
        <color rgb="FFFF0000"/>
        <rFont val="Calibri"/>
        <family val="2"/>
        <scheme val="minor"/>
      </rPr>
      <t>CANCELADA</t>
    </r>
  </si>
  <si>
    <t>C-16134</t>
  </si>
  <si>
    <t>C-16135</t>
  </si>
  <si>
    <t>C-16136</t>
  </si>
  <si>
    <t>C-16137</t>
  </si>
  <si>
    <t>C-16138</t>
  </si>
  <si>
    <t>C-16139</t>
  </si>
  <si>
    <t>C-16140</t>
  </si>
  <si>
    <t>C-16141</t>
  </si>
  <si>
    <t>C-16142</t>
  </si>
  <si>
    <t>C-16143</t>
  </si>
  <si>
    <t>C-16144</t>
  </si>
  <si>
    <t>C-16145</t>
  </si>
  <si>
    <t>C-16146</t>
  </si>
  <si>
    <t>C-16147</t>
  </si>
  <si>
    <t>C-16148</t>
  </si>
  <si>
    <t>C-16149</t>
  </si>
  <si>
    <t>C-16150</t>
  </si>
  <si>
    <t>C-16151</t>
  </si>
  <si>
    <t>C-16152</t>
  </si>
  <si>
    <t>C-16153</t>
  </si>
  <si>
    <t>C-16154</t>
  </si>
  <si>
    <t>C-16155</t>
  </si>
  <si>
    <t>C-16156</t>
  </si>
  <si>
    <t>C-16157</t>
  </si>
  <si>
    <t>C-16158</t>
  </si>
  <si>
    <t>C-16159</t>
  </si>
  <si>
    <t>C-16160</t>
  </si>
  <si>
    <t>C-16161</t>
  </si>
  <si>
    <t>C-16162</t>
  </si>
  <si>
    <t>C-16163</t>
  </si>
  <si>
    <t>C-16164</t>
  </si>
  <si>
    <t>C-16165</t>
  </si>
  <si>
    <t>C-16166</t>
  </si>
  <si>
    <t>C-16167</t>
  </si>
  <si>
    <t>C-16168</t>
  </si>
  <si>
    <t>C-16169</t>
  </si>
  <si>
    <t>C-16170</t>
  </si>
  <si>
    <t>C-16171</t>
  </si>
  <si>
    <t>C-16172</t>
  </si>
  <si>
    <t>C-16173</t>
  </si>
  <si>
    <t>C-16174</t>
  </si>
  <si>
    <t>C-16175</t>
  </si>
  <si>
    <t>C-16176</t>
  </si>
  <si>
    <t>C-16177</t>
  </si>
  <si>
    <t>C-16178</t>
  </si>
  <si>
    <t>24-Mar-22--25-Mar-22</t>
  </si>
  <si>
    <t>C-16179</t>
  </si>
  <si>
    <t>C-16180</t>
  </si>
  <si>
    <t>C-16181</t>
  </si>
  <si>
    <t>C-16182</t>
  </si>
  <si>
    <t>C-16183</t>
  </si>
  <si>
    <t>C-16184</t>
  </si>
  <si>
    <t>C-16185</t>
  </si>
  <si>
    <t>C-16186</t>
  </si>
  <si>
    <t>C-16187</t>
  </si>
  <si>
    <t>C-16188</t>
  </si>
  <si>
    <t>C-16189</t>
  </si>
  <si>
    <t>C-16190</t>
  </si>
  <si>
    <t>C-16191</t>
  </si>
  <si>
    <t>C-16192</t>
  </si>
  <si>
    <t>C-16193</t>
  </si>
  <si>
    <t>C-16194</t>
  </si>
  <si>
    <t>C-16195</t>
  </si>
  <si>
    <t>C-16196</t>
  </si>
  <si>
    <t>C-16197</t>
  </si>
  <si>
    <t>C-16198</t>
  </si>
  <si>
    <t>C-16199</t>
  </si>
  <si>
    <r>
      <t xml:space="preserve">(493)GIL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</si>
  <si>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16200</t>
  </si>
  <si>
    <t>C-16200</t>
  </si>
  <si>
    <t>C-16201</t>
  </si>
  <si>
    <t>C-16202</t>
  </si>
  <si>
    <t>C-16203</t>
  </si>
  <si>
    <t>C-16204</t>
  </si>
  <si>
    <t>C-16205</t>
  </si>
  <si>
    <t>C-16206</t>
  </si>
  <si>
    <t>C-16207</t>
  </si>
  <si>
    <t>C-16208</t>
  </si>
  <si>
    <t>C-16209</t>
  </si>
  <si>
    <t>C-16210</t>
  </si>
  <si>
    <t>C-16211</t>
  </si>
  <si>
    <t>C-16212</t>
  </si>
  <si>
    <t>C-16213</t>
  </si>
  <si>
    <t>C-16214</t>
  </si>
  <si>
    <t>C-16215</t>
  </si>
  <si>
    <t>C-16216</t>
  </si>
  <si>
    <t>C-16217</t>
  </si>
  <si>
    <t>C-16218</t>
  </si>
  <si>
    <t>C-16219</t>
  </si>
  <si>
    <t>C-16220</t>
  </si>
  <si>
    <t>C-16221</t>
  </si>
  <si>
    <t>C-16222</t>
  </si>
  <si>
    <t>C-16223</t>
  </si>
  <si>
    <t>C-16224</t>
  </si>
  <si>
    <t>C-16225</t>
  </si>
  <si>
    <t>C-16226</t>
  </si>
  <si>
    <t>C-16227</t>
  </si>
  <si>
    <t>C-16228</t>
  </si>
  <si>
    <t>C-16229</t>
  </si>
  <si>
    <t>C-16230</t>
  </si>
  <si>
    <t>C-16231</t>
  </si>
  <si>
    <t>C-16232</t>
  </si>
  <si>
    <t>C-16233</t>
  </si>
  <si>
    <t>C-16234</t>
  </si>
  <si>
    <t>C-16235</t>
  </si>
  <si>
    <t>C-16236</t>
  </si>
  <si>
    <t>C-16237</t>
  </si>
  <si>
    <t>C-16238</t>
  </si>
  <si>
    <t>C-16239</t>
  </si>
  <si>
    <t>C-16240</t>
  </si>
  <si>
    <t>C-16241</t>
  </si>
  <si>
    <t>C-16242</t>
  </si>
  <si>
    <t>C-16243</t>
  </si>
  <si>
    <t>C-16244</t>
  </si>
  <si>
    <t>C-16245</t>
  </si>
  <si>
    <t>C-16246</t>
  </si>
  <si>
    <t>C-16247</t>
  </si>
  <si>
    <t>C-16248</t>
  </si>
  <si>
    <t>C-16249</t>
  </si>
  <si>
    <t>C-16250</t>
  </si>
  <si>
    <t>C-16251</t>
  </si>
  <si>
    <r>
      <t xml:space="preserve">(721)JOSE LUIS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</si>
  <si>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16252</t>
  </si>
  <si>
    <t>C-16252</t>
  </si>
  <si>
    <t>C-16253</t>
  </si>
  <si>
    <t>C-16254</t>
  </si>
  <si>
    <t>C-16255</t>
  </si>
  <si>
    <t>C-16256</t>
  </si>
  <si>
    <t>C-16257</t>
  </si>
  <si>
    <t>C-16258</t>
  </si>
  <si>
    <t>C-16259</t>
  </si>
  <si>
    <t>C-16260</t>
  </si>
  <si>
    <t>(894)GLORIA</t>
  </si>
  <si>
    <t>C-16261</t>
  </si>
  <si>
    <t>C-16262</t>
  </si>
  <si>
    <t>C-16263</t>
  </si>
  <si>
    <t>C-16264</t>
  </si>
  <si>
    <t>C-16265</t>
  </si>
  <si>
    <t>C-16266</t>
  </si>
  <si>
    <t>C-16267</t>
  </si>
  <si>
    <t>C-16268</t>
  </si>
  <si>
    <t>C-16269</t>
  </si>
  <si>
    <t>(895)LUIS ALBERTO MENDEZ</t>
  </si>
  <si>
    <t>C-16270</t>
  </si>
  <si>
    <t>C-16271</t>
  </si>
  <si>
    <t>C-16272</t>
  </si>
  <si>
    <t>C-16273</t>
  </si>
  <si>
    <t>C-16274</t>
  </si>
  <si>
    <t>C-16275</t>
  </si>
  <si>
    <t>C-16276</t>
  </si>
  <si>
    <t>C-16277</t>
  </si>
  <si>
    <t>C-16278</t>
  </si>
  <si>
    <t>C-16279</t>
  </si>
  <si>
    <t>C-16280</t>
  </si>
  <si>
    <t>C-16281</t>
  </si>
  <si>
    <t>C-16282</t>
  </si>
  <si>
    <t>C-16283</t>
  </si>
  <si>
    <t>C-16284</t>
  </si>
  <si>
    <t>C-16285</t>
  </si>
  <si>
    <t>C-16286</t>
  </si>
  <si>
    <t>C-16287</t>
  </si>
  <si>
    <t>C-16288</t>
  </si>
  <si>
    <t>C-16289</t>
  </si>
  <si>
    <t>C-16290</t>
  </si>
  <si>
    <t>C-16291</t>
  </si>
  <si>
    <t>C-16292</t>
  </si>
  <si>
    <t>C-16293</t>
  </si>
  <si>
    <t>C-16294</t>
  </si>
  <si>
    <t>C-16295</t>
  </si>
  <si>
    <t>C-16296</t>
  </si>
  <si>
    <t>C-16297</t>
  </si>
  <si>
    <t>C-16298</t>
  </si>
  <si>
    <t>C-16299</t>
  </si>
  <si>
    <t>C-16300</t>
  </si>
  <si>
    <t>C-16301</t>
  </si>
  <si>
    <t>25-Mar-22--26-Mar-22</t>
  </si>
  <si>
    <t>C-16302</t>
  </si>
  <si>
    <t>C-16303</t>
  </si>
  <si>
    <t>C-16304</t>
  </si>
  <si>
    <t>C-16305</t>
  </si>
  <si>
    <t>C-16306</t>
  </si>
  <si>
    <t>C-16307</t>
  </si>
  <si>
    <t>C-16308</t>
  </si>
  <si>
    <t>C-16309</t>
  </si>
  <si>
    <t>C-16310</t>
  </si>
  <si>
    <t>C-16311</t>
  </si>
  <si>
    <t>C-16312</t>
  </si>
  <si>
    <t>C-16313</t>
  </si>
  <si>
    <t>C-16314</t>
  </si>
  <si>
    <t>C-16315</t>
  </si>
  <si>
    <t>C-16316</t>
  </si>
  <si>
    <t>C-16317</t>
  </si>
  <si>
    <t>C-16318</t>
  </si>
  <si>
    <t>C-16319</t>
  </si>
  <si>
    <t>C-16320</t>
  </si>
  <si>
    <t>C-16321</t>
  </si>
  <si>
    <t>C-16322</t>
  </si>
  <si>
    <t>C-16323</t>
  </si>
  <si>
    <t>C-16324</t>
  </si>
  <si>
    <t>C-16325</t>
  </si>
  <si>
    <t>C-16326</t>
  </si>
  <si>
    <t>C-16327</t>
  </si>
  <si>
    <t>C-16328</t>
  </si>
  <si>
    <t>C-16329</t>
  </si>
  <si>
    <t>C-16330</t>
  </si>
  <si>
    <t>C-16331</t>
  </si>
  <si>
    <t>C-16332</t>
  </si>
  <si>
    <t>C-16333</t>
  </si>
  <si>
    <t>C-16334</t>
  </si>
  <si>
    <t>C-16335</t>
  </si>
  <si>
    <t>C-16336</t>
  </si>
  <si>
    <t>C-16337</t>
  </si>
  <si>
    <t>C-16338</t>
  </si>
  <si>
    <t>C-16339</t>
  </si>
  <si>
    <t>C-16340</t>
  </si>
  <si>
    <t>C-16341</t>
  </si>
  <si>
    <t>C-16342</t>
  </si>
  <si>
    <t>C-16343</t>
  </si>
  <si>
    <t>C-16344</t>
  </si>
  <si>
    <t>C-16345</t>
  </si>
  <si>
    <t>C-16346</t>
  </si>
  <si>
    <r>
      <t xml:space="preserve">(114)SAGRADO CORAZON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</si>
  <si>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C-16347</t>
  </si>
  <si>
    <t>C-16348</t>
  </si>
  <si>
    <t>C-16349</t>
  </si>
  <si>
    <t>C-16350</t>
  </si>
  <si>
    <t>C-16351</t>
  </si>
  <si>
    <t>C-16352</t>
  </si>
  <si>
    <t>(874)SAO PAOLO</t>
  </si>
  <si>
    <t>C-16353</t>
  </si>
  <si>
    <t>C-16354</t>
  </si>
  <si>
    <t>C-16355</t>
  </si>
  <si>
    <t>C-16356</t>
  </si>
  <si>
    <t>C-16357</t>
  </si>
  <si>
    <t>C-16358</t>
  </si>
  <si>
    <t>C-16359</t>
  </si>
  <si>
    <t>C-16360</t>
  </si>
  <si>
    <t>C-16361</t>
  </si>
  <si>
    <t>C-16362</t>
  </si>
  <si>
    <t>C-16363</t>
  </si>
  <si>
    <t>C-16364</t>
  </si>
  <si>
    <t>C-16365</t>
  </si>
  <si>
    <t>C-16366</t>
  </si>
  <si>
    <t>C-16367</t>
  </si>
  <si>
    <t>C-16368</t>
  </si>
  <si>
    <t>C-16369</t>
  </si>
  <si>
    <t>C-16370</t>
  </si>
  <si>
    <t>C-16371</t>
  </si>
  <si>
    <t>C-16372</t>
  </si>
  <si>
    <t>C-16373</t>
  </si>
  <si>
    <t>C-16374</t>
  </si>
  <si>
    <t>C-16375</t>
  </si>
  <si>
    <t>C-16376</t>
  </si>
  <si>
    <t>C-16377</t>
  </si>
  <si>
    <t>C-16378</t>
  </si>
  <si>
    <t>C-16379</t>
  </si>
  <si>
    <r>
      <t xml:space="preserve">(44)JAVIER ROCHA  </t>
    </r>
    <r>
      <rPr>
        <b/>
        <sz val="12"/>
        <color rgb="FFFF0000"/>
        <rFont val="Calibri"/>
        <family val="2"/>
        <scheme val="minor"/>
      </rPr>
      <t>CANCELADA</t>
    </r>
  </si>
  <si>
    <t>se sustituyo x la 16367</t>
  </si>
  <si>
    <t>C-16380</t>
  </si>
  <si>
    <t>C-16381</t>
  </si>
  <si>
    <t>C-16382</t>
  </si>
  <si>
    <t>C-16383</t>
  </si>
  <si>
    <t>C-16384</t>
  </si>
  <si>
    <t>C-16385</t>
  </si>
  <si>
    <t>C-16386</t>
  </si>
  <si>
    <t>C-16387</t>
  </si>
  <si>
    <t>C-16388</t>
  </si>
  <si>
    <t>C-16389</t>
  </si>
  <si>
    <t>C-16390</t>
  </si>
  <si>
    <t>C-16391</t>
  </si>
  <si>
    <t>C-16392</t>
  </si>
  <si>
    <t>C-16393</t>
  </si>
  <si>
    <t>C-16394</t>
  </si>
  <si>
    <t>C-16395</t>
  </si>
  <si>
    <t>C-16396</t>
  </si>
  <si>
    <t>C-16397</t>
  </si>
  <si>
    <t>C-16398</t>
  </si>
  <si>
    <t>C-16399</t>
  </si>
  <si>
    <t>C-16400</t>
  </si>
  <si>
    <t>C-16401</t>
  </si>
  <si>
    <t>C-16402</t>
  </si>
  <si>
    <t>C-16403</t>
  </si>
  <si>
    <t>C-16404</t>
  </si>
  <si>
    <t>C-16405</t>
  </si>
  <si>
    <t>C-16406</t>
  </si>
  <si>
    <t>C-16407</t>
  </si>
  <si>
    <t>C-16408</t>
  </si>
  <si>
    <t>C-16409</t>
  </si>
  <si>
    <t>C-16410</t>
  </si>
  <si>
    <t>C-16411</t>
  </si>
  <si>
    <t>C-16412</t>
  </si>
  <si>
    <t>C-16413</t>
  </si>
  <si>
    <t>C-16414</t>
  </si>
  <si>
    <t>C-16415</t>
  </si>
  <si>
    <t>C-16416</t>
  </si>
  <si>
    <t>26-Mar-22--27-Mar-22</t>
  </si>
  <si>
    <t>C-16417</t>
  </si>
  <si>
    <t>C-16418</t>
  </si>
  <si>
    <t>C-16419</t>
  </si>
  <si>
    <t>C-16420</t>
  </si>
  <si>
    <t>C-16421</t>
  </si>
  <si>
    <t>C-16422</t>
  </si>
  <si>
    <t>C-16423</t>
  </si>
  <si>
    <t>C-16424</t>
  </si>
  <si>
    <t>C-16425</t>
  </si>
  <si>
    <t>C-16426</t>
  </si>
  <si>
    <t>C-16427</t>
  </si>
  <si>
    <t>C-16428</t>
  </si>
  <si>
    <t>C-16429</t>
  </si>
  <si>
    <t>C-16430</t>
  </si>
  <si>
    <t>C-16431</t>
  </si>
  <si>
    <t>C-16432</t>
  </si>
  <si>
    <t>C-16433</t>
  </si>
  <si>
    <t>C-16434</t>
  </si>
  <si>
    <t>C-16435</t>
  </si>
  <si>
    <t>C-16436</t>
  </si>
  <si>
    <t>C-16437</t>
  </si>
  <si>
    <t>C-16438</t>
  </si>
  <si>
    <t>C-16439</t>
  </si>
  <si>
    <t>C-16440</t>
  </si>
  <si>
    <t>C-16441</t>
  </si>
  <si>
    <t>C-16442</t>
  </si>
  <si>
    <t>C-16443</t>
  </si>
  <si>
    <t>C-16444</t>
  </si>
  <si>
    <t>C-16445</t>
  </si>
  <si>
    <t>C-16446</t>
  </si>
  <si>
    <t>C-16447</t>
  </si>
  <si>
    <t>C-16448</t>
  </si>
  <si>
    <t>C-16449</t>
  </si>
  <si>
    <t>C-16450</t>
  </si>
  <si>
    <t>C-16451</t>
  </si>
  <si>
    <t>C-16452</t>
  </si>
  <si>
    <t>C-16453</t>
  </si>
  <si>
    <t>C-16454</t>
  </si>
  <si>
    <t>C-16455</t>
  </si>
  <si>
    <t>(403)NU3</t>
  </si>
  <si>
    <t>C-16456</t>
  </si>
  <si>
    <t>C-16457</t>
  </si>
  <si>
    <t>C-16458</t>
  </si>
  <si>
    <t>C-16459</t>
  </si>
  <si>
    <t>C-16460</t>
  </si>
  <si>
    <t>C-16461</t>
  </si>
  <si>
    <t>C-16462</t>
  </si>
  <si>
    <t>C-16463</t>
  </si>
  <si>
    <t>C-16464</t>
  </si>
  <si>
    <t>C-16465</t>
  </si>
  <si>
    <t>C-16466</t>
  </si>
  <si>
    <t>C-16467</t>
  </si>
  <si>
    <t>C-16468</t>
  </si>
  <si>
    <t>C-16469</t>
  </si>
  <si>
    <t>C-16470</t>
  </si>
  <si>
    <t>C-16471</t>
  </si>
  <si>
    <t>C-16472</t>
  </si>
  <si>
    <t>C-16473</t>
  </si>
  <si>
    <t>C-16474</t>
  </si>
  <si>
    <t>C-16475</t>
  </si>
  <si>
    <t>C-16476</t>
  </si>
  <si>
    <t>C-16477</t>
  </si>
  <si>
    <t>C-16478</t>
  </si>
  <si>
    <t>C-16479</t>
  </si>
  <si>
    <t>C-16480</t>
  </si>
  <si>
    <t>C-16481</t>
  </si>
  <si>
    <t>C-16482</t>
  </si>
  <si>
    <t>C-16483</t>
  </si>
  <si>
    <t>C-16484</t>
  </si>
  <si>
    <t>C-16485</t>
  </si>
  <si>
    <t>C-16486</t>
  </si>
  <si>
    <t>C-16487</t>
  </si>
  <si>
    <t>C-16488</t>
  </si>
  <si>
    <t>C-16489</t>
  </si>
  <si>
    <t>C-16490</t>
  </si>
  <si>
    <t>C-16491</t>
  </si>
  <si>
    <t>C-16492</t>
  </si>
  <si>
    <t>C-16493</t>
  </si>
  <si>
    <t>C-16494</t>
  </si>
  <si>
    <t>C-16495</t>
  </si>
  <si>
    <t>C-16496</t>
  </si>
  <si>
    <t>C-16497</t>
  </si>
  <si>
    <t>C-16498</t>
  </si>
  <si>
    <t>C-16499</t>
  </si>
  <si>
    <t>C-16500</t>
  </si>
  <si>
    <t>C-16501</t>
  </si>
  <si>
    <t>(331)ROBERTO MORALES</t>
  </si>
  <si>
    <t>C-16502</t>
  </si>
  <si>
    <t>C-16503</t>
  </si>
  <si>
    <t>C-16504</t>
  </si>
  <si>
    <t>C-16505</t>
  </si>
  <si>
    <t>C-16506</t>
  </si>
  <si>
    <r>
      <t>(322)JOSE GUILLERMO PEREZ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</si>
  <si>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C-16507</t>
  </si>
  <si>
    <t>C-16508</t>
  </si>
  <si>
    <t>C-16509</t>
  </si>
  <si>
    <t>C-16510</t>
  </si>
  <si>
    <t>C-16511</t>
  </si>
  <si>
    <t>C-16512</t>
  </si>
  <si>
    <t>C-16513</t>
  </si>
  <si>
    <t>C-16514</t>
  </si>
  <si>
    <t>C-16515</t>
  </si>
  <si>
    <t>C-16516</t>
  </si>
  <si>
    <t>C-16517</t>
  </si>
  <si>
    <t>C-16518</t>
  </si>
  <si>
    <t>C-16519</t>
  </si>
  <si>
    <t>C-16520</t>
  </si>
  <si>
    <t>C-16521</t>
  </si>
  <si>
    <t>C-16522</t>
  </si>
  <si>
    <t>C-16523</t>
  </si>
  <si>
    <t>C-16524</t>
  </si>
  <si>
    <t>C-16525</t>
  </si>
  <si>
    <t>C-16526</t>
  </si>
  <si>
    <t>(531)ANTONIO</t>
  </si>
  <si>
    <t>C-16527</t>
  </si>
  <si>
    <t>C-16528</t>
  </si>
  <si>
    <t>C-16529</t>
  </si>
  <si>
    <t>C-16530</t>
  </si>
  <si>
    <t>C-16531</t>
  </si>
  <si>
    <t>C-16532</t>
  </si>
  <si>
    <t>C-16533</t>
  </si>
  <si>
    <t>C-16534</t>
  </si>
  <si>
    <t>C-16535</t>
  </si>
  <si>
    <t>C-16536</t>
  </si>
  <si>
    <t>C-16537</t>
  </si>
  <si>
    <t>C-16538</t>
  </si>
  <si>
    <t>C-16539</t>
  </si>
  <si>
    <t>C-16540</t>
  </si>
  <si>
    <t>C-16541</t>
  </si>
  <si>
    <t>C-16542</t>
  </si>
  <si>
    <t>C-16543</t>
  </si>
  <si>
    <t>27-Mar-22--28-Mar-22</t>
  </si>
  <si>
    <t>C-16544</t>
  </si>
  <si>
    <t>C-16545</t>
  </si>
  <si>
    <t>C-16546</t>
  </si>
  <si>
    <t>C-16547</t>
  </si>
  <si>
    <t>C-16548</t>
  </si>
  <si>
    <t>C-16549</t>
  </si>
  <si>
    <t>C-16550</t>
  </si>
  <si>
    <t>C-16551</t>
  </si>
  <si>
    <t>C-16552</t>
  </si>
  <si>
    <t>C-16553</t>
  </si>
  <si>
    <t>C-16554</t>
  </si>
  <si>
    <t>C-16555</t>
  </si>
  <si>
    <t>C-16556</t>
  </si>
  <si>
    <t>C-16557</t>
  </si>
  <si>
    <t>C-16558</t>
  </si>
  <si>
    <t>C-16559</t>
  </si>
  <si>
    <t>C-16560</t>
  </si>
  <si>
    <t>C-16561</t>
  </si>
  <si>
    <t>C-16562</t>
  </si>
  <si>
    <t>C-16563</t>
  </si>
  <si>
    <t>C-16564</t>
  </si>
  <si>
    <t>C-16565</t>
  </si>
  <si>
    <t>C-16566</t>
  </si>
  <si>
    <t>C-16567</t>
  </si>
  <si>
    <t>C-16568</t>
  </si>
  <si>
    <t>C-16569</t>
  </si>
  <si>
    <t>C-16570</t>
  </si>
  <si>
    <t>C-16571</t>
  </si>
  <si>
    <t>C-16572</t>
  </si>
  <si>
    <t>C-16573</t>
  </si>
  <si>
    <t>C-16574</t>
  </si>
  <si>
    <t>C-16575</t>
  </si>
  <si>
    <t>C-16576</t>
  </si>
  <si>
    <t>C-16577</t>
  </si>
  <si>
    <t>C-16578</t>
  </si>
  <si>
    <t>C-16579</t>
  </si>
  <si>
    <t>C-16580</t>
  </si>
  <si>
    <t>C-16581</t>
  </si>
  <si>
    <t>C-16582</t>
  </si>
  <si>
    <t>C-16583</t>
  </si>
  <si>
    <t>C-16584</t>
  </si>
  <si>
    <t>C-16585</t>
  </si>
  <si>
    <t>C-16586</t>
  </si>
  <si>
    <t>C-16587</t>
  </si>
  <si>
    <t>C-16588</t>
  </si>
  <si>
    <t>C-16589</t>
  </si>
  <si>
    <t>C-16590</t>
  </si>
  <si>
    <t>C-16591</t>
  </si>
  <si>
    <t>C-16592</t>
  </si>
  <si>
    <t>C-16593</t>
  </si>
  <si>
    <t>C-16594</t>
  </si>
  <si>
    <t>C-16595</t>
  </si>
  <si>
    <t>C-16596</t>
  </si>
  <si>
    <t>C-16597</t>
  </si>
  <si>
    <t>C-16598</t>
  </si>
  <si>
    <t>C-16599</t>
  </si>
  <si>
    <t>C-16600</t>
  </si>
  <si>
    <t>C-16601</t>
  </si>
  <si>
    <t>C-16602</t>
  </si>
  <si>
    <t>C-16603</t>
  </si>
  <si>
    <t>C-16604</t>
  </si>
  <si>
    <t>C-16605</t>
  </si>
  <si>
    <t>C-16606</t>
  </si>
  <si>
    <t>C-16607</t>
  </si>
  <si>
    <r>
      <t xml:space="preserve">(117)NARCISO ROMERO CAMALEON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</si>
  <si>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C-16608</t>
  </si>
  <si>
    <t>C-16609</t>
  </si>
  <si>
    <t>C-16610</t>
  </si>
  <si>
    <t>C-16611</t>
  </si>
  <si>
    <t>C-16612</t>
  </si>
  <si>
    <t>C-16613</t>
  </si>
  <si>
    <t>C-16614</t>
  </si>
  <si>
    <t>C-16615</t>
  </si>
  <si>
    <t>C-16616</t>
  </si>
  <si>
    <t>C-16617</t>
  </si>
  <si>
    <t>C-16618</t>
  </si>
  <si>
    <t>C-16619</t>
  </si>
  <si>
    <t>C-16620</t>
  </si>
  <si>
    <t>C-16621</t>
  </si>
  <si>
    <t>C-16622</t>
  </si>
  <si>
    <t>C-16623</t>
  </si>
  <si>
    <t>C-16624</t>
  </si>
  <si>
    <t>C-16625</t>
  </si>
  <si>
    <t>C-16626</t>
  </si>
  <si>
    <t>C-16627</t>
  </si>
  <si>
    <t>C-16628</t>
  </si>
  <si>
    <t>C-16629</t>
  </si>
  <si>
    <t>C-16630</t>
  </si>
  <si>
    <t>C-16631</t>
  </si>
  <si>
    <t>C-16632</t>
  </si>
  <si>
    <t>C-16633</t>
  </si>
  <si>
    <t>C-16634</t>
  </si>
  <si>
    <t>C-16635</t>
  </si>
  <si>
    <t>C-16636</t>
  </si>
  <si>
    <t>C-16637</t>
  </si>
  <si>
    <t>C-16638</t>
  </si>
  <si>
    <t>C-16639</t>
  </si>
  <si>
    <t>C-16640</t>
  </si>
  <si>
    <t>C-16641</t>
  </si>
  <si>
    <t>C-16642</t>
  </si>
  <si>
    <t>26/03/2022</t>
  </si>
  <si>
    <t>C-16643</t>
  </si>
  <si>
    <t>C-16644</t>
  </si>
  <si>
    <t>C-16645</t>
  </si>
  <si>
    <t>C-16646</t>
  </si>
  <si>
    <t>C-16647</t>
  </si>
  <si>
    <t>C-16648</t>
  </si>
  <si>
    <t>C-16649</t>
  </si>
  <si>
    <t>C-16650</t>
  </si>
  <si>
    <t>C-16651</t>
  </si>
  <si>
    <t>C-16652</t>
  </si>
  <si>
    <t>C-16653</t>
  </si>
  <si>
    <t>C-16654</t>
  </si>
  <si>
    <t>C-16655</t>
  </si>
  <si>
    <t>C-16656</t>
  </si>
  <si>
    <t>C-16657</t>
  </si>
  <si>
    <t>C-16658</t>
  </si>
  <si>
    <t>C-16659</t>
  </si>
  <si>
    <t>C-16660</t>
  </si>
  <si>
    <t>C-16661</t>
  </si>
  <si>
    <t>(257)ALFONSO RUIZ</t>
  </si>
  <si>
    <t>C-16662</t>
  </si>
  <si>
    <t>C-16663</t>
  </si>
  <si>
    <t>C-16664</t>
  </si>
  <si>
    <t>C-16665</t>
  </si>
  <si>
    <t>C-16666</t>
  </si>
  <si>
    <t>C-16667</t>
  </si>
  <si>
    <t>C-16668</t>
  </si>
  <si>
    <t>C-16669</t>
  </si>
  <si>
    <t>C-16670</t>
  </si>
  <si>
    <t>C-16671</t>
  </si>
  <si>
    <t>C-16672</t>
  </si>
  <si>
    <t>C-16673</t>
  </si>
  <si>
    <t>C-16674</t>
  </si>
  <si>
    <t>C-16675</t>
  </si>
  <si>
    <t>C-16676</t>
  </si>
  <si>
    <t>C-16677</t>
  </si>
  <si>
    <t>C-16678</t>
  </si>
  <si>
    <t>C-16679</t>
  </si>
  <si>
    <t>C-16680</t>
  </si>
  <si>
    <t>C-16681</t>
  </si>
  <si>
    <t>se sustituyo x la 16672</t>
  </si>
  <si>
    <t>C-16682</t>
  </si>
  <si>
    <t>C-16683</t>
  </si>
  <si>
    <t>C-16684</t>
  </si>
  <si>
    <t>C-16685</t>
  </si>
  <si>
    <t>C-16686</t>
  </si>
  <si>
    <t>C-16687</t>
  </si>
  <si>
    <t>C-16688</t>
  </si>
  <si>
    <t>C-16689</t>
  </si>
  <si>
    <t>C-16690</t>
  </si>
  <si>
    <t>28-Mar-22--29-Mar-22</t>
  </si>
  <si>
    <t>C-16691</t>
  </si>
  <si>
    <t>C-16692</t>
  </si>
  <si>
    <t>C-16693</t>
  </si>
  <si>
    <t>C-16694</t>
  </si>
  <si>
    <t>C-16695</t>
  </si>
  <si>
    <t>C-16696</t>
  </si>
  <si>
    <t>C-16697</t>
  </si>
  <si>
    <t>C-16698</t>
  </si>
  <si>
    <t>C-16699</t>
  </si>
  <si>
    <t>C-16700</t>
  </si>
  <si>
    <t>C-16701</t>
  </si>
  <si>
    <t>C-16702</t>
  </si>
  <si>
    <t>C-16703</t>
  </si>
  <si>
    <t>C-16704</t>
  </si>
  <si>
    <t>C-16705</t>
  </si>
  <si>
    <t>C-16706</t>
  </si>
  <si>
    <t>C-16707</t>
  </si>
  <si>
    <t>C-16708</t>
  </si>
  <si>
    <t>C-16709</t>
  </si>
  <si>
    <t>C-16710</t>
  </si>
  <si>
    <t>C-16711</t>
  </si>
  <si>
    <t>C-16712</t>
  </si>
  <si>
    <t>C-16713</t>
  </si>
  <si>
    <t>C-16714</t>
  </si>
  <si>
    <t>C-16715</t>
  </si>
  <si>
    <t>C-16716</t>
  </si>
  <si>
    <t>C-16717</t>
  </si>
  <si>
    <t>C-16718</t>
  </si>
  <si>
    <t>C-16719</t>
  </si>
  <si>
    <t>C-16720</t>
  </si>
  <si>
    <t>C-16721</t>
  </si>
  <si>
    <t>C-16722</t>
  </si>
  <si>
    <t>C-16723</t>
  </si>
  <si>
    <t>C-16724</t>
  </si>
  <si>
    <t>C-16725</t>
  </si>
  <si>
    <t>C-16726</t>
  </si>
  <si>
    <t>C-16727</t>
  </si>
  <si>
    <t>C-16728</t>
  </si>
  <si>
    <t>C-16729</t>
  </si>
  <si>
    <t>C-16730</t>
  </si>
  <si>
    <t>C-16731</t>
  </si>
  <si>
    <t>C-16732</t>
  </si>
  <si>
    <t>C-16733</t>
  </si>
  <si>
    <t>C-16734</t>
  </si>
  <si>
    <t>C-16735</t>
  </si>
  <si>
    <t>C-16736</t>
  </si>
  <si>
    <t>C-16737</t>
  </si>
  <si>
    <t>29-Mar-22--31-Mar-22</t>
  </si>
  <si>
    <t>C-16738</t>
  </si>
  <si>
    <t>C-16739</t>
  </si>
  <si>
    <t>C-16740</t>
  </si>
  <si>
    <t>C-16741</t>
  </si>
  <si>
    <t>C-16742</t>
  </si>
  <si>
    <t>C-16743</t>
  </si>
  <si>
    <t>C-16744</t>
  </si>
  <si>
    <t>C-16745</t>
  </si>
  <si>
    <t>C-16746</t>
  </si>
  <si>
    <t>C-16747</t>
  </si>
  <si>
    <t>C-16748</t>
  </si>
  <si>
    <t>C-16749</t>
  </si>
  <si>
    <t>C-16750</t>
  </si>
  <si>
    <t>C-16751</t>
  </si>
  <si>
    <t>C-16752</t>
  </si>
  <si>
    <t>C-16753</t>
  </si>
  <si>
    <t>C-16754</t>
  </si>
  <si>
    <t>C-16755</t>
  </si>
  <si>
    <t>C-16756</t>
  </si>
  <si>
    <t>C-16757</t>
  </si>
  <si>
    <t>C-16758</t>
  </si>
  <si>
    <t>C-16759</t>
  </si>
  <si>
    <t>C-16760</t>
  </si>
  <si>
    <t>C-16761</t>
  </si>
  <si>
    <t>C-16762</t>
  </si>
  <si>
    <t>C-16763</t>
  </si>
  <si>
    <t>C-16764</t>
  </si>
  <si>
    <t>C-16765</t>
  </si>
  <si>
    <t>C-16766</t>
  </si>
  <si>
    <t>29-Mar-22--30-Mar-22</t>
  </si>
  <si>
    <t>C-16767</t>
  </si>
  <si>
    <t>C-16768</t>
  </si>
  <si>
    <t>C-16769</t>
  </si>
  <si>
    <t>C-16770</t>
  </si>
  <si>
    <t>C-16771</t>
  </si>
  <si>
    <t>C-16772</t>
  </si>
  <si>
    <t>C-16773</t>
  </si>
  <si>
    <t>C-16774</t>
  </si>
  <si>
    <t>C-16775</t>
  </si>
  <si>
    <t>C-16776</t>
  </si>
  <si>
    <t>C-16777</t>
  </si>
  <si>
    <t>C-16778</t>
  </si>
  <si>
    <t>C-16779</t>
  </si>
  <si>
    <t>C-16780</t>
  </si>
  <si>
    <t>C-16781</t>
  </si>
  <si>
    <t>C-16782</t>
  </si>
  <si>
    <t>C-16783</t>
  </si>
  <si>
    <t>C-16784</t>
  </si>
  <si>
    <t>C-16785</t>
  </si>
  <si>
    <t>C-16786</t>
  </si>
  <si>
    <t>C-16787</t>
  </si>
  <si>
    <t>C-16788</t>
  </si>
  <si>
    <t>C-16789</t>
  </si>
  <si>
    <t>C-16790</t>
  </si>
  <si>
    <t>C-16791</t>
  </si>
  <si>
    <t>C-16792</t>
  </si>
  <si>
    <t>C-16793</t>
  </si>
  <si>
    <t>C-16794</t>
  </si>
  <si>
    <t>C-16795</t>
  </si>
  <si>
    <t>C-16796</t>
  </si>
  <si>
    <t>C-16797</t>
  </si>
  <si>
    <t>C-16798</t>
  </si>
  <si>
    <t>C-16799</t>
  </si>
  <si>
    <t>C-16800</t>
  </si>
  <si>
    <t>C-16801</t>
  </si>
  <si>
    <t>C-16802</t>
  </si>
  <si>
    <t>C-16803</t>
  </si>
  <si>
    <t>C-16804</t>
  </si>
  <si>
    <t>C-16805</t>
  </si>
  <si>
    <t>C-16806</t>
  </si>
  <si>
    <t>C-16807</t>
  </si>
  <si>
    <t>C-16808</t>
  </si>
  <si>
    <t>C-16809</t>
  </si>
  <si>
    <t>C-16810</t>
  </si>
  <si>
    <t>C-16811</t>
  </si>
  <si>
    <t>C-16812</t>
  </si>
  <si>
    <t>C-16813</t>
  </si>
  <si>
    <t>C-16814</t>
  </si>
  <si>
    <t>C-16815</t>
  </si>
  <si>
    <t>C-16816</t>
  </si>
  <si>
    <t>C-16817</t>
  </si>
  <si>
    <t>C-16818</t>
  </si>
  <si>
    <t>C-16819</t>
  </si>
  <si>
    <t>C-16820</t>
  </si>
  <si>
    <t>(896)SUPER AHORROS VICTORINO S.A DE C.V</t>
  </si>
  <si>
    <t>C-16821</t>
  </si>
  <si>
    <t>C-16822</t>
  </si>
  <si>
    <t>C-16823</t>
  </si>
  <si>
    <t>C-16824</t>
  </si>
  <si>
    <t>C-16825</t>
  </si>
  <si>
    <t>C-16826</t>
  </si>
  <si>
    <t>C-16827</t>
  </si>
  <si>
    <t>C-16828</t>
  </si>
  <si>
    <t>C-16829</t>
  </si>
  <si>
    <t>C-16830</t>
  </si>
  <si>
    <t>C-16831</t>
  </si>
  <si>
    <t>C-16832</t>
  </si>
  <si>
    <t>C-16833</t>
  </si>
  <si>
    <t>C-16834</t>
  </si>
  <si>
    <t>C-16835</t>
  </si>
  <si>
    <t>C-16836</t>
  </si>
  <si>
    <t>C-16837</t>
  </si>
  <si>
    <t>C-16838</t>
  </si>
  <si>
    <t>C-16839</t>
  </si>
  <si>
    <t>C-16840</t>
  </si>
  <si>
    <t>C-16841</t>
  </si>
  <si>
    <t>C-16842</t>
  </si>
  <si>
    <t>C-16843</t>
  </si>
  <si>
    <t>C-16844</t>
  </si>
  <si>
    <t>C-16845</t>
  </si>
  <si>
    <t>C-16846</t>
  </si>
  <si>
    <t>C-16847</t>
  </si>
  <si>
    <t>C-16848</t>
  </si>
  <si>
    <t>C-16849</t>
  </si>
  <si>
    <t>C-16850</t>
  </si>
  <si>
    <t>C-16851</t>
  </si>
  <si>
    <t>C-16852</t>
  </si>
  <si>
    <t>(897)DICARLE</t>
  </si>
  <si>
    <t>C-16853</t>
  </si>
  <si>
    <t>C-16854</t>
  </si>
  <si>
    <t>C-16855</t>
  </si>
  <si>
    <t>C-16856</t>
  </si>
  <si>
    <t>C-16857</t>
  </si>
  <si>
    <t>C-16858</t>
  </si>
  <si>
    <t>C-16859</t>
  </si>
  <si>
    <t>C-16860</t>
  </si>
  <si>
    <t>C-16861</t>
  </si>
  <si>
    <t>C-16862</t>
  </si>
  <si>
    <t>C-16863</t>
  </si>
  <si>
    <t>C-16864</t>
  </si>
  <si>
    <t>C-16865</t>
  </si>
  <si>
    <t>C-16866</t>
  </si>
  <si>
    <t>C-16867</t>
  </si>
  <si>
    <t>C-16868</t>
  </si>
  <si>
    <t>C-16869</t>
  </si>
  <si>
    <t>C-16870</t>
  </si>
  <si>
    <t>C-16871</t>
  </si>
  <si>
    <t>C-16872</t>
  </si>
  <si>
    <t>C-16873</t>
  </si>
  <si>
    <t>C-16874</t>
  </si>
  <si>
    <t>C-16875</t>
  </si>
  <si>
    <t>C-16876</t>
  </si>
  <si>
    <t>C-16877</t>
  </si>
  <si>
    <t>C-16878</t>
  </si>
  <si>
    <t>C-16879</t>
  </si>
  <si>
    <t>C-16880</t>
  </si>
  <si>
    <t>C-16881</t>
  </si>
  <si>
    <t>C-16882</t>
  </si>
  <si>
    <t>C-16883</t>
  </si>
  <si>
    <t>C-16884</t>
  </si>
  <si>
    <t>C-16885</t>
  </si>
  <si>
    <t>C-16886</t>
  </si>
  <si>
    <t>C-16887</t>
  </si>
  <si>
    <t>C-16888</t>
  </si>
  <si>
    <t>C-16889</t>
  </si>
  <si>
    <t xml:space="preserve">(254)IRENE CASTILLO  </t>
  </si>
  <si>
    <t>C-16890</t>
  </si>
  <si>
    <t>C-16891</t>
  </si>
  <si>
    <t>C-16892</t>
  </si>
  <si>
    <t>C-16893</t>
  </si>
  <si>
    <t>C-16894</t>
  </si>
  <si>
    <t>C-16895</t>
  </si>
  <si>
    <t>C-16896</t>
  </si>
  <si>
    <t>C-16897</t>
  </si>
  <si>
    <t>C-16898</t>
  </si>
  <si>
    <t>C-16899</t>
  </si>
  <si>
    <t>C-16900</t>
  </si>
  <si>
    <t>C-16901</t>
  </si>
  <si>
    <t>C-16902</t>
  </si>
  <si>
    <t>C-16903</t>
  </si>
  <si>
    <t>C-16904</t>
  </si>
  <si>
    <t>C-16905</t>
  </si>
  <si>
    <t>C-16906</t>
  </si>
  <si>
    <t>C-16907</t>
  </si>
  <si>
    <t>C-16908</t>
  </si>
  <si>
    <t>C-16909</t>
  </si>
  <si>
    <t>C-16910</t>
  </si>
  <si>
    <t>C-16911</t>
  </si>
  <si>
    <t>C-16912</t>
  </si>
  <si>
    <t>C-16913</t>
  </si>
  <si>
    <t>C-16914</t>
  </si>
  <si>
    <t>C-16915</t>
  </si>
  <si>
    <t>C-16916</t>
  </si>
  <si>
    <t>C-16917</t>
  </si>
  <si>
    <t>C-16918</t>
  </si>
  <si>
    <t>C-16919</t>
  </si>
  <si>
    <t>C-16920</t>
  </si>
  <si>
    <t>C-16921</t>
  </si>
  <si>
    <t>C-16922</t>
  </si>
  <si>
    <t>C-16923</t>
  </si>
  <si>
    <t>C-16924</t>
  </si>
  <si>
    <t>C-16925</t>
  </si>
  <si>
    <t>C-16926</t>
  </si>
  <si>
    <t>C-16927</t>
  </si>
  <si>
    <t>C-16928</t>
  </si>
  <si>
    <t>C-16929</t>
  </si>
  <si>
    <t>C-16930</t>
  </si>
  <si>
    <t>C-16931</t>
  </si>
  <si>
    <t>C-16932</t>
  </si>
  <si>
    <t>C-16933</t>
  </si>
  <si>
    <t>(898)ADRIANA SORIANO</t>
  </si>
  <si>
    <t>29/03/2022</t>
  </si>
  <si>
    <t>C-16934</t>
  </si>
  <si>
    <t>C-16935</t>
  </si>
  <si>
    <t>C-16936</t>
  </si>
  <si>
    <t>C-16937</t>
  </si>
  <si>
    <t>C-16938</t>
  </si>
  <si>
    <r>
      <t>(451)SERGIO LEDO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</si>
  <si>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C-16939</t>
  </si>
  <si>
    <t>C-16940</t>
  </si>
  <si>
    <t>C-16941</t>
  </si>
  <si>
    <t>C-16942</t>
  </si>
  <si>
    <t>C-16943</t>
  </si>
  <si>
    <t>C-16944</t>
  </si>
  <si>
    <t>C-16945</t>
  </si>
  <si>
    <r>
      <t xml:space="preserve">(576)ROBERTO HERNANDEZ PINEDA  </t>
    </r>
    <r>
      <rPr>
        <b/>
        <sz val="12"/>
        <color rgb="FFFF0000"/>
        <rFont val="Calibri"/>
        <family val="2"/>
        <scheme val="minor"/>
      </rPr>
      <t>CANCELADA</t>
    </r>
  </si>
  <si>
    <t>C-16946</t>
  </si>
  <si>
    <t>C-16947</t>
  </si>
  <si>
    <t>C-16948</t>
  </si>
  <si>
    <t>C-16949</t>
  </si>
  <si>
    <r>
      <t xml:space="preserve">(187)CIC-11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</si>
  <si>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C-16950</t>
  </si>
  <si>
    <t>C-16951</t>
  </si>
  <si>
    <t>C-16952</t>
  </si>
  <si>
    <t>C-16953</t>
  </si>
  <si>
    <t>C-16954</t>
  </si>
  <si>
    <t>C-16955</t>
  </si>
  <si>
    <t>C-16956</t>
  </si>
  <si>
    <t>C-16957</t>
  </si>
  <si>
    <t>C-16958</t>
  </si>
  <si>
    <t>C-16959</t>
  </si>
  <si>
    <t>C-16960</t>
  </si>
  <si>
    <t>C-16961</t>
  </si>
  <si>
    <t>C-16962</t>
  </si>
  <si>
    <t>C-16963</t>
  </si>
  <si>
    <t>C-16964</t>
  </si>
  <si>
    <t>C-16965</t>
  </si>
  <si>
    <t>C-16966</t>
  </si>
  <si>
    <t>C-16967</t>
  </si>
  <si>
    <t>C-16968</t>
  </si>
  <si>
    <t>(190)JAIME GASPARIANO</t>
  </si>
  <si>
    <t>C-16969</t>
  </si>
  <si>
    <t>C-16970</t>
  </si>
  <si>
    <t>C-16971</t>
  </si>
  <si>
    <t>C-16972</t>
  </si>
  <si>
    <t>C-16973</t>
  </si>
  <si>
    <t>C-16974</t>
  </si>
  <si>
    <t>C-16975</t>
  </si>
  <si>
    <t>C-16976</t>
  </si>
  <si>
    <t>C-16977</t>
  </si>
  <si>
    <t>C-16978</t>
  </si>
  <si>
    <t>(482)FERNANDO RAMIREZ</t>
  </si>
  <si>
    <t>C-16979</t>
  </si>
  <si>
    <t>C-16980</t>
  </si>
  <si>
    <t>C-16981</t>
  </si>
  <si>
    <t>C-16982</t>
  </si>
  <si>
    <t>C-16983</t>
  </si>
  <si>
    <t>C-16984</t>
  </si>
  <si>
    <t>C-16985</t>
  </si>
  <si>
    <t>C-16986</t>
  </si>
  <si>
    <t>C-16987</t>
  </si>
  <si>
    <t>C-16988</t>
  </si>
  <si>
    <t>C-16989</t>
  </si>
  <si>
    <t>C-16990</t>
  </si>
  <si>
    <t>C-16991</t>
  </si>
  <si>
    <t>C-16992</t>
  </si>
  <si>
    <t>C-16993</t>
  </si>
  <si>
    <t>C-16994</t>
  </si>
  <si>
    <t>C-16995</t>
  </si>
  <si>
    <t>C-16996</t>
  </si>
  <si>
    <t>C-16997</t>
  </si>
  <si>
    <t>C-16998</t>
  </si>
  <si>
    <t>C-16999</t>
  </si>
  <si>
    <t>C-17000</t>
  </si>
  <si>
    <t>C-17001</t>
  </si>
  <si>
    <t>C-17002</t>
  </si>
  <si>
    <t>C-17003</t>
  </si>
  <si>
    <t>C-17004</t>
  </si>
  <si>
    <t>C-17005</t>
  </si>
  <si>
    <t>C-17006</t>
  </si>
  <si>
    <t>C-17007</t>
  </si>
  <si>
    <t>C-17008</t>
  </si>
  <si>
    <t>C-17009</t>
  </si>
  <si>
    <t>C-17010</t>
  </si>
  <si>
    <t>C-17011</t>
  </si>
  <si>
    <t>C-17012</t>
  </si>
  <si>
    <t>C-17013</t>
  </si>
  <si>
    <t>C-17014</t>
  </si>
  <si>
    <t>C-17015</t>
  </si>
  <si>
    <t>C-17016</t>
  </si>
  <si>
    <t>C-17017</t>
  </si>
  <si>
    <t>C-17018</t>
  </si>
  <si>
    <t>C-17019</t>
  </si>
  <si>
    <t>C-17020</t>
  </si>
  <si>
    <t>C-17021</t>
  </si>
  <si>
    <t>C-17022</t>
  </si>
  <si>
    <t>C-17023</t>
  </si>
  <si>
    <t>C-17024</t>
  </si>
  <si>
    <t>C-17025</t>
  </si>
  <si>
    <t>C-17026</t>
  </si>
  <si>
    <t>C-17027</t>
  </si>
  <si>
    <t>C-17028</t>
  </si>
  <si>
    <t>C-17029</t>
  </si>
  <si>
    <t>C-17030</t>
  </si>
  <si>
    <t>C-17031</t>
  </si>
  <si>
    <t>C-17032</t>
  </si>
  <si>
    <t>C-17033</t>
  </si>
  <si>
    <t>C-17034</t>
  </si>
  <si>
    <t>C-17035</t>
  </si>
  <si>
    <t>C-17036</t>
  </si>
  <si>
    <t>C-17037</t>
  </si>
  <si>
    <t>C-17038</t>
  </si>
  <si>
    <t>C-17039</t>
  </si>
  <si>
    <t>C-17040</t>
  </si>
  <si>
    <t>C-17041</t>
  </si>
  <si>
    <t>C-17042</t>
  </si>
  <si>
    <t>C-17043</t>
  </si>
  <si>
    <t>C-17044</t>
  </si>
  <si>
    <t>C-17045</t>
  </si>
  <si>
    <t>C-17046</t>
  </si>
  <si>
    <t>C-17047</t>
  </si>
  <si>
    <t>C-17048</t>
  </si>
  <si>
    <t>C-17049</t>
  </si>
  <si>
    <t>C-17050</t>
  </si>
  <si>
    <t>C-17051</t>
  </si>
  <si>
    <t>C-17052</t>
  </si>
  <si>
    <t>C-17053</t>
  </si>
  <si>
    <t>C-17054</t>
  </si>
  <si>
    <t>C-17055</t>
  </si>
  <si>
    <t>C-17056</t>
  </si>
  <si>
    <t>C-17057</t>
  </si>
  <si>
    <t>C-17058</t>
  </si>
  <si>
    <t>C-17059</t>
  </si>
  <si>
    <t>C-17060</t>
  </si>
  <si>
    <t>C-17061</t>
  </si>
  <si>
    <t>C-17062</t>
  </si>
  <si>
    <t>C-17063</t>
  </si>
  <si>
    <t>C-17064</t>
  </si>
  <si>
    <t>C-17065</t>
  </si>
  <si>
    <t>C-17066</t>
  </si>
  <si>
    <t>C-17067</t>
  </si>
  <si>
    <t>C-17068</t>
  </si>
  <si>
    <t>C-17069</t>
  </si>
  <si>
    <t>C-17070</t>
  </si>
  <si>
    <t>C-17071</t>
  </si>
  <si>
    <t>C-17072</t>
  </si>
  <si>
    <t>C-17073</t>
  </si>
  <si>
    <t>C-17074</t>
  </si>
  <si>
    <t>C-17075</t>
  </si>
  <si>
    <t>C-17076</t>
  </si>
  <si>
    <t>C-17077</t>
  </si>
  <si>
    <t>C-17078</t>
  </si>
  <si>
    <t>C-17079</t>
  </si>
  <si>
    <t>C-17080</t>
  </si>
  <si>
    <t>C-17081</t>
  </si>
  <si>
    <t>C-17082</t>
  </si>
  <si>
    <t>C-17083</t>
  </si>
  <si>
    <t>C-17084</t>
  </si>
  <si>
    <t>C-17085</t>
  </si>
  <si>
    <t>C-17086</t>
  </si>
  <si>
    <t>C-17087</t>
  </si>
  <si>
    <t>C-17088</t>
  </si>
  <si>
    <t>C-17089</t>
  </si>
  <si>
    <t>C-17090</t>
  </si>
  <si>
    <t>C-17091</t>
  </si>
  <si>
    <t>C-17092</t>
  </si>
  <si>
    <t>C-17093</t>
  </si>
  <si>
    <t>C-17094</t>
  </si>
  <si>
    <t>C-17095</t>
  </si>
  <si>
    <t>C-17096</t>
  </si>
  <si>
    <t>C-17097</t>
  </si>
  <si>
    <t>C-17098</t>
  </si>
  <si>
    <t>C-17099</t>
  </si>
  <si>
    <t>C-17100</t>
  </si>
  <si>
    <t>C-17101</t>
  </si>
  <si>
    <t>C-17102</t>
  </si>
  <si>
    <t>C-17103</t>
  </si>
  <si>
    <t>C-17104</t>
  </si>
  <si>
    <t>C-17105</t>
  </si>
  <si>
    <t>C-17106</t>
  </si>
  <si>
    <t>C-17107</t>
  </si>
  <si>
    <t>C-17108</t>
  </si>
  <si>
    <t>C-17109</t>
  </si>
  <si>
    <t>C-17110</t>
  </si>
  <si>
    <t>C-17111</t>
  </si>
  <si>
    <t>C-17112</t>
  </si>
  <si>
    <t>C-17113</t>
  </si>
  <si>
    <t>C-17114</t>
  </si>
  <si>
    <t>C-17115</t>
  </si>
  <si>
    <t>C-17116</t>
  </si>
  <si>
    <t>C-17117</t>
  </si>
  <si>
    <t>C-17118</t>
  </si>
  <si>
    <t>C-17119</t>
  </si>
  <si>
    <t>C-17120</t>
  </si>
  <si>
    <t>C-17121</t>
  </si>
  <si>
    <t>C-17122</t>
  </si>
  <si>
    <t>C-17123</t>
  </si>
  <si>
    <t>C-17124</t>
  </si>
  <si>
    <t>C-17125</t>
  </si>
  <si>
    <t>C-17126</t>
  </si>
  <si>
    <t>C-17127</t>
  </si>
  <si>
    <t>C-17128</t>
  </si>
  <si>
    <t>C-17129</t>
  </si>
  <si>
    <t>C-17130</t>
  </si>
  <si>
    <t>C-17131</t>
  </si>
  <si>
    <t>C-17132</t>
  </si>
  <si>
    <t>C-17133</t>
  </si>
  <si>
    <t>C-17134</t>
  </si>
  <si>
    <t>C-17135</t>
  </si>
  <si>
    <t>C-17136</t>
  </si>
  <si>
    <t>C-17137</t>
  </si>
  <si>
    <t>C-17138</t>
  </si>
  <si>
    <t>C-17139</t>
  </si>
  <si>
    <t>C-17140</t>
  </si>
  <si>
    <t>C-17141</t>
  </si>
  <si>
    <t>C-17142</t>
  </si>
  <si>
    <t>C-17143</t>
  </si>
  <si>
    <t>C-17144</t>
  </si>
  <si>
    <t>C-17145</t>
  </si>
  <si>
    <t>C-17146</t>
  </si>
  <si>
    <t>C-17147</t>
  </si>
  <si>
    <t>C-17148</t>
  </si>
  <si>
    <t>C-17149</t>
  </si>
  <si>
    <t>C-17150</t>
  </si>
  <si>
    <t>C-17151</t>
  </si>
  <si>
    <t>C-17152</t>
  </si>
  <si>
    <t>C-17153</t>
  </si>
  <si>
    <t>C-17154</t>
  </si>
  <si>
    <t>C-17155</t>
  </si>
  <si>
    <t>C-17156</t>
  </si>
  <si>
    <t>C-17157</t>
  </si>
  <si>
    <t>C-17158</t>
  </si>
  <si>
    <t>C-17159</t>
  </si>
  <si>
    <t>C-17160</t>
  </si>
  <si>
    <t>C-17161</t>
  </si>
  <si>
    <t>C-17162</t>
  </si>
  <si>
    <t>C-17163</t>
  </si>
  <si>
    <t>C-17164</t>
  </si>
  <si>
    <t>C-17165</t>
  </si>
  <si>
    <t>C-17166</t>
  </si>
  <si>
    <t>C-17167</t>
  </si>
  <si>
    <t>C-17168</t>
  </si>
  <si>
    <t>C-17169</t>
  </si>
  <si>
    <t>C-17170</t>
  </si>
  <si>
    <t>C-17171</t>
  </si>
  <si>
    <t>C-17172</t>
  </si>
  <si>
    <t>C-17173</t>
  </si>
  <si>
    <t>C-17174</t>
  </si>
  <si>
    <t>C-17175</t>
  </si>
  <si>
    <r>
      <t xml:space="preserve">(649)VICTOR LOPEZ  </t>
    </r>
    <r>
      <rPr>
        <b/>
        <sz val="12"/>
        <color rgb="FFFF0000"/>
        <rFont val="Calibri"/>
        <family val="2"/>
        <scheme val="minor"/>
      </rPr>
      <t>CANCELADA</t>
    </r>
  </si>
  <si>
    <t>C-17176</t>
  </si>
  <si>
    <t>C-17177</t>
  </si>
  <si>
    <t>C-17178</t>
  </si>
  <si>
    <t>C-17179</t>
  </si>
  <si>
    <t>C-17180</t>
  </si>
  <si>
    <t>C-17181</t>
  </si>
  <si>
    <t>C-17182</t>
  </si>
  <si>
    <t>C-17183</t>
  </si>
  <si>
    <t>C-17184</t>
  </si>
  <si>
    <t>C-17185</t>
  </si>
  <si>
    <t>C-17186</t>
  </si>
  <si>
    <t>C-17187</t>
  </si>
  <si>
    <t>C-17188</t>
  </si>
  <si>
    <t>C-17189</t>
  </si>
  <si>
    <t>C-17190</t>
  </si>
  <si>
    <t>C-17191</t>
  </si>
  <si>
    <t>C-17192</t>
  </si>
  <si>
    <t>C-17193</t>
  </si>
  <si>
    <t>C-17194</t>
  </si>
  <si>
    <t>C-17195</t>
  </si>
  <si>
    <t>C-17196</t>
  </si>
  <si>
    <t>C-17197</t>
  </si>
  <si>
    <t>C-17198</t>
  </si>
  <si>
    <t>C-17199</t>
  </si>
  <si>
    <t>C-17200</t>
  </si>
  <si>
    <t>C-17201</t>
  </si>
  <si>
    <t>C-17202</t>
  </si>
  <si>
    <t>C-17203</t>
  </si>
  <si>
    <t>C-17204</t>
  </si>
  <si>
    <t>C-17205</t>
  </si>
  <si>
    <t>C-17206</t>
  </si>
  <si>
    <t>C-17207</t>
  </si>
  <si>
    <t>C-17208</t>
  </si>
  <si>
    <t>C-17209</t>
  </si>
  <si>
    <t>C-17210</t>
  </si>
  <si>
    <t>C-17211</t>
  </si>
  <si>
    <t>18-Mar-22--25-Mar-22--01-abr--22</t>
  </si>
  <si>
    <t>29-Mar-22--1-Abr-22</t>
  </si>
  <si>
    <t>31-Mar-22--1-Abr-22</t>
  </si>
  <si>
    <t>1-Abr-22--2-Abr-22</t>
  </si>
  <si>
    <t>1-Abr-22--8-Abr-22</t>
  </si>
  <si>
    <t>6-Abr-22--9-Abr-22</t>
  </si>
  <si>
    <t>23-Mar-22--19-Abr-22</t>
  </si>
  <si>
    <t>31-Mar-22--7-Abr-22--19-Abr-22</t>
  </si>
  <si>
    <t>NESTOR</t>
  </si>
  <si>
    <t>Columna1</t>
  </si>
  <si>
    <t xml:space="preserve">REMISIONES  OBRADOR </t>
  </si>
  <si>
    <t xml:space="preserve">TOTAL </t>
  </si>
  <si>
    <t>C-17212</t>
  </si>
  <si>
    <t>C-17213</t>
  </si>
  <si>
    <t>C-17214</t>
  </si>
  <si>
    <t>C-17215</t>
  </si>
  <si>
    <t>2-Abr-22--4-Abr-22</t>
  </si>
  <si>
    <t>C-17216</t>
  </si>
  <si>
    <t>C-17217</t>
  </si>
  <si>
    <t>C-17218</t>
  </si>
  <si>
    <t>C-17219</t>
  </si>
  <si>
    <t>C-17220</t>
  </si>
  <si>
    <t>C-17221</t>
  </si>
  <si>
    <t>C-17222</t>
  </si>
  <si>
    <t>C-17223</t>
  </si>
  <si>
    <t>C-17224</t>
  </si>
  <si>
    <t>C-17225</t>
  </si>
  <si>
    <t>(763)RICHAR 5 MAYO</t>
  </si>
  <si>
    <t>C-17226</t>
  </si>
  <si>
    <t>C-17227</t>
  </si>
  <si>
    <t>C-17228</t>
  </si>
  <si>
    <t>C-17229</t>
  </si>
  <si>
    <t>C-17230</t>
  </si>
  <si>
    <t>C-17231</t>
  </si>
  <si>
    <t>C-17232</t>
  </si>
  <si>
    <t>C-17233</t>
  </si>
  <si>
    <t>C-17234</t>
  </si>
  <si>
    <t>C-17235</t>
  </si>
  <si>
    <t>C-17236</t>
  </si>
  <si>
    <t>C-17237</t>
  </si>
  <si>
    <t>C-17238</t>
  </si>
  <si>
    <t>C-17239</t>
  </si>
  <si>
    <t>C-17240</t>
  </si>
  <si>
    <t>C-17241</t>
  </si>
  <si>
    <t>C-17242</t>
  </si>
  <si>
    <t>C-17243</t>
  </si>
  <si>
    <t>C-17244</t>
  </si>
  <si>
    <t>C-17245</t>
  </si>
  <si>
    <t>C-17246</t>
  </si>
  <si>
    <t>C-17247</t>
  </si>
  <si>
    <t>C-17248</t>
  </si>
  <si>
    <t>C-17249</t>
  </si>
  <si>
    <t>C-17250</t>
  </si>
  <si>
    <t>2-Abr-22--3-Abr-22</t>
  </si>
  <si>
    <t>C-17251</t>
  </si>
  <si>
    <t>C-17252</t>
  </si>
  <si>
    <t>C-17253</t>
  </si>
  <si>
    <t>C-17254</t>
  </si>
  <si>
    <t>C-17255</t>
  </si>
  <si>
    <t>C-17256</t>
  </si>
  <si>
    <t>C-17257</t>
  </si>
  <si>
    <t>C-17258</t>
  </si>
  <si>
    <t>C-17259</t>
  </si>
  <si>
    <t>C-17260</t>
  </si>
  <si>
    <t>C-17261</t>
  </si>
  <si>
    <t>C-17262</t>
  </si>
  <si>
    <t>C-17263</t>
  </si>
  <si>
    <t>C-17264</t>
  </si>
  <si>
    <t>C-17265</t>
  </si>
  <si>
    <t>C-17266</t>
  </si>
  <si>
    <t>C-17267</t>
  </si>
  <si>
    <t>C-17268</t>
  </si>
  <si>
    <t>C-17269</t>
  </si>
  <si>
    <t>C-17270</t>
  </si>
  <si>
    <t>C-17271</t>
  </si>
  <si>
    <t>C-17272</t>
  </si>
  <si>
    <t>C-17273</t>
  </si>
  <si>
    <t>C-17274</t>
  </si>
  <si>
    <t>C-17275</t>
  </si>
  <si>
    <t>C-17276</t>
  </si>
  <si>
    <t>C-17277</t>
  </si>
  <si>
    <t>C-17278</t>
  </si>
  <si>
    <t>C-17279</t>
  </si>
  <si>
    <t>C-17280</t>
  </si>
  <si>
    <t>C-17281</t>
  </si>
  <si>
    <t>C-17282</t>
  </si>
  <si>
    <t>C-17283</t>
  </si>
  <si>
    <t>C-17284</t>
  </si>
  <si>
    <t>C-17285</t>
  </si>
  <si>
    <t>C-17286</t>
  </si>
  <si>
    <t>C-17287</t>
  </si>
  <si>
    <t>C-17288</t>
  </si>
  <si>
    <t>C-17289</t>
  </si>
  <si>
    <t>C-17290</t>
  </si>
  <si>
    <t>C-17291</t>
  </si>
  <si>
    <t>C-17292</t>
  </si>
  <si>
    <t>C-17293</t>
  </si>
  <si>
    <t>C-17294</t>
  </si>
  <si>
    <t>C-17295</t>
  </si>
  <si>
    <t>C-17296</t>
  </si>
  <si>
    <t>C-17297</t>
  </si>
  <si>
    <t>C-17298</t>
  </si>
  <si>
    <t>C-17299</t>
  </si>
  <si>
    <t>C-17300</t>
  </si>
  <si>
    <t>C-17301</t>
  </si>
  <si>
    <t>C-17302</t>
  </si>
  <si>
    <t>C-17303</t>
  </si>
  <si>
    <t>C-17304</t>
  </si>
  <si>
    <t>C-17305</t>
  </si>
  <si>
    <t>C-17306</t>
  </si>
  <si>
    <t>C-17307</t>
  </si>
  <si>
    <t>C-17308</t>
  </si>
  <si>
    <t>C-17309</t>
  </si>
  <si>
    <t>9-Abr-22--12-Abr-22</t>
  </si>
  <si>
    <t>C-17310</t>
  </si>
  <si>
    <t>C-17311</t>
  </si>
  <si>
    <t>C-17312</t>
  </si>
  <si>
    <t>C-17313</t>
  </si>
  <si>
    <t>C-17314</t>
  </si>
  <si>
    <t>(359)CATALINA IRMA DOMINGUEZ</t>
  </si>
  <si>
    <t>C-17315</t>
  </si>
  <si>
    <t>C-17316</t>
  </si>
  <si>
    <t>C-17317</t>
  </si>
  <si>
    <t>C-17318</t>
  </si>
  <si>
    <t>C-17319</t>
  </si>
  <si>
    <t>C-17320</t>
  </si>
  <si>
    <t>C-17321</t>
  </si>
  <si>
    <t>C-17322</t>
  </si>
  <si>
    <t>C-17323</t>
  </si>
  <si>
    <t>C-17324</t>
  </si>
  <si>
    <t>C-17325</t>
  </si>
  <si>
    <t>C-17326</t>
  </si>
  <si>
    <t>C-17327</t>
  </si>
  <si>
    <t>C-17328</t>
  </si>
  <si>
    <t>C-17329</t>
  </si>
  <si>
    <t>C-17330</t>
  </si>
  <si>
    <t>C-17331</t>
  </si>
  <si>
    <t>C-17332</t>
  </si>
  <si>
    <t>C-17333</t>
  </si>
  <si>
    <t>C-17334</t>
  </si>
  <si>
    <t>C-17335</t>
  </si>
  <si>
    <t>C-17336</t>
  </si>
  <si>
    <t>C-17337</t>
  </si>
  <si>
    <t>C-17338</t>
  </si>
  <si>
    <t>C-17339</t>
  </si>
  <si>
    <t>C-17340</t>
  </si>
  <si>
    <t>C-17341</t>
  </si>
  <si>
    <t>4-Abr-22--6-Abr-22</t>
  </si>
  <si>
    <t>C-17342</t>
  </si>
  <si>
    <t>3-Abr-22--4-Abr-22</t>
  </si>
  <si>
    <t>C-17343</t>
  </si>
  <si>
    <t>C-17344</t>
  </si>
  <si>
    <t>C-17345</t>
  </si>
  <si>
    <t>C-17346</t>
  </si>
  <si>
    <t>C-17347</t>
  </si>
  <si>
    <t>C-17348</t>
  </si>
  <si>
    <t>C-17349</t>
  </si>
  <si>
    <t>C-17350</t>
  </si>
  <si>
    <t>C-17351</t>
  </si>
  <si>
    <t>C-17352</t>
  </si>
  <si>
    <t>C-17353</t>
  </si>
  <si>
    <t>C-17354</t>
  </si>
  <si>
    <t>C-17355</t>
  </si>
  <si>
    <t>C-17356</t>
  </si>
  <si>
    <t>C-17357</t>
  </si>
  <si>
    <t>C-17358</t>
  </si>
  <si>
    <t>C-17359</t>
  </si>
  <si>
    <t>C-17360</t>
  </si>
  <si>
    <t>C-17361</t>
  </si>
  <si>
    <t>C-17362</t>
  </si>
  <si>
    <t>C-17363</t>
  </si>
  <si>
    <t>C-17364</t>
  </si>
  <si>
    <t>C-17365</t>
  </si>
  <si>
    <t>C-17366</t>
  </si>
  <si>
    <t>C-17367</t>
  </si>
  <si>
    <t>C-17368</t>
  </si>
  <si>
    <t>C-17369</t>
  </si>
  <si>
    <t>C-17370</t>
  </si>
  <si>
    <t>C-17371</t>
  </si>
  <si>
    <t>C-17372</t>
  </si>
  <si>
    <t>C-17373</t>
  </si>
  <si>
    <t>C-17374</t>
  </si>
  <si>
    <t>C-17375</t>
  </si>
  <si>
    <t>(686)RICARDO MACHORRO</t>
  </si>
  <si>
    <t>C-17376</t>
  </si>
  <si>
    <t>C-17377</t>
  </si>
  <si>
    <t>C-17378</t>
  </si>
  <si>
    <t>C-17379</t>
  </si>
  <si>
    <t>(248)FRANCISCO MACHORRO</t>
  </si>
  <si>
    <t>C-17380</t>
  </si>
  <si>
    <t>C-17381</t>
  </si>
  <si>
    <t>C-17382</t>
  </si>
  <si>
    <t>C-17383</t>
  </si>
  <si>
    <t>C-17384</t>
  </si>
  <si>
    <t>C-17385</t>
  </si>
  <si>
    <t>C-17386</t>
  </si>
  <si>
    <t>C-17387</t>
  </si>
  <si>
    <t>C-17388</t>
  </si>
  <si>
    <t>C-17389</t>
  </si>
  <si>
    <t>C-17390</t>
  </si>
  <si>
    <t>C-17391</t>
  </si>
  <si>
    <t>C-17392</t>
  </si>
  <si>
    <t>C-17393</t>
  </si>
  <si>
    <t>C-17394</t>
  </si>
  <si>
    <t>C-17395</t>
  </si>
  <si>
    <t>C-17396</t>
  </si>
  <si>
    <t>C-17397</t>
  </si>
  <si>
    <t>C-17398</t>
  </si>
  <si>
    <t>C-17399</t>
  </si>
  <si>
    <t>C-17400</t>
  </si>
  <si>
    <t>C-17401</t>
  </si>
  <si>
    <t>C-17402</t>
  </si>
  <si>
    <t>C-17403</t>
  </si>
  <si>
    <t>C-17404</t>
  </si>
  <si>
    <t>C-17405</t>
  </si>
  <si>
    <t>C-17406</t>
  </si>
  <si>
    <r>
      <t xml:space="preserve">(181)DARIO TIRO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</si>
  <si>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C-17407</t>
  </si>
  <si>
    <t>C-17408</t>
  </si>
  <si>
    <t>C-17409</t>
  </si>
  <si>
    <t>C-17410</t>
  </si>
  <si>
    <t>C-17411</t>
  </si>
  <si>
    <t>C-17412</t>
  </si>
  <si>
    <t>C-17413</t>
  </si>
  <si>
    <t>C-17414</t>
  </si>
  <si>
    <t>C-17415</t>
  </si>
  <si>
    <t>C-17416</t>
  </si>
  <si>
    <t>C-17417</t>
  </si>
  <si>
    <t>C-17418</t>
  </si>
  <si>
    <t>C-17419</t>
  </si>
  <si>
    <t>C-17420</t>
  </si>
  <si>
    <t>C-17421</t>
  </si>
  <si>
    <t>C-17422</t>
  </si>
  <si>
    <t>C-17423</t>
  </si>
  <si>
    <t>C-17424</t>
  </si>
  <si>
    <t>C-17425</t>
  </si>
  <si>
    <t>C-17426</t>
  </si>
  <si>
    <t>C-17427</t>
  </si>
  <si>
    <t>C-17428</t>
  </si>
  <si>
    <t>C-17429</t>
  </si>
  <si>
    <t>C-17430</t>
  </si>
  <si>
    <t>C-17431</t>
  </si>
  <si>
    <t>C-17432</t>
  </si>
  <si>
    <t>C-17433</t>
  </si>
  <si>
    <t>C-17434</t>
  </si>
  <si>
    <t>C-17435</t>
  </si>
  <si>
    <t>C-17436</t>
  </si>
  <si>
    <t>C-17437</t>
  </si>
  <si>
    <t>C-17438</t>
  </si>
  <si>
    <t>C-17439</t>
  </si>
  <si>
    <t>C-17440</t>
  </si>
  <si>
    <t>C-17441</t>
  </si>
  <si>
    <t>C-17442</t>
  </si>
  <si>
    <t>C-17443</t>
  </si>
  <si>
    <t>C-17444</t>
  </si>
  <si>
    <t>C-17445</t>
  </si>
  <si>
    <t>C-17446</t>
  </si>
  <si>
    <t>C-17447</t>
  </si>
  <si>
    <t>C-17448</t>
  </si>
  <si>
    <t>C-17449</t>
  </si>
  <si>
    <t>(742)ZOCALITO</t>
  </si>
  <si>
    <t>C-17450</t>
  </si>
  <si>
    <t>C-17451</t>
  </si>
  <si>
    <t>C-17452</t>
  </si>
  <si>
    <t>C-17453</t>
  </si>
  <si>
    <t>C-17454</t>
  </si>
  <si>
    <t>C-17455</t>
  </si>
  <si>
    <t>(663)AMADO DIAZ</t>
  </si>
  <si>
    <t>C-17456</t>
  </si>
  <si>
    <t>C-17457</t>
  </si>
  <si>
    <t>C-17458</t>
  </si>
  <si>
    <t>C-17459</t>
  </si>
  <si>
    <t>C-17460</t>
  </si>
  <si>
    <t>C-17461</t>
  </si>
  <si>
    <t>C-17462</t>
  </si>
  <si>
    <t>C-17463</t>
  </si>
  <si>
    <t>C-17464</t>
  </si>
  <si>
    <t>C-17465</t>
  </si>
  <si>
    <t>C-17466</t>
  </si>
  <si>
    <t>C-17467</t>
  </si>
  <si>
    <t>C-17468</t>
  </si>
  <si>
    <t>(264)CRUZ SANCHEZ FIERRO</t>
  </si>
  <si>
    <t>C-17469</t>
  </si>
  <si>
    <t>C-17470</t>
  </si>
  <si>
    <t>C-17471</t>
  </si>
  <si>
    <t>C-17472</t>
  </si>
  <si>
    <t>C-17473</t>
  </si>
  <si>
    <t>C-17474</t>
  </si>
  <si>
    <t>C-17475</t>
  </si>
  <si>
    <t>C-17476</t>
  </si>
  <si>
    <t>C-17477</t>
  </si>
  <si>
    <t>8-Abr-22--19-Abr-22</t>
  </si>
  <si>
    <t>C-17478</t>
  </si>
  <si>
    <t>C-17479</t>
  </si>
  <si>
    <t>C-17480</t>
  </si>
  <si>
    <t>C-17481</t>
  </si>
  <si>
    <t>C-17482</t>
  </si>
  <si>
    <t>C-17483</t>
  </si>
  <si>
    <t>C-17484</t>
  </si>
  <si>
    <t>C-17485</t>
  </si>
  <si>
    <t>C-17486</t>
  </si>
  <si>
    <t>C-17487</t>
  </si>
  <si>
    <t>C-17488</t>
  </si>
  <si>
    <t>C-17489</t>
  </si>
  <si>
    <t>C-17490</t>
  </si>
  <si>
    <t>C-17491</t>
  </si>
  <si>
    <t>C-17492</t>
  </si>
  <si>
    <t>C-17493</t>
  </si>
  <si>
    <t>C-17494</t>
  </si>
  <si>
    <t>C-17495</t>
  </si>
  <si>
    <t>C-17496</t>
  </si>
  <si>
    <t>C-17497</t>
  </si>
  <si>
    <t>C-17498</t>
  </si>
  <si>
    <t>C-17499</t>
  </si>
  <si>
    <t>C-17500</t>
  </si>
  <si>
    <t>C-17501</t>
  </si>
  <si>
    <t>C-17502</t>
  </si>
  <si>
    <t>C-17503</t>
  </si>
  <si>
    <t>C-17504</t>
  </si>
  <si>
    <t>C-17505</t>
  </si>
  <si>
    <t>C-17506</t>
  </si>
  <si>
    <t>C-17507</t>
  </si>
  <si>
    <t>C-17508</t>
  </si>
  <si>
    <t>C-17509</t>
  </si>
  <si>
    <t>C-17510</t>
  </si>
  <si>
    <t>C-17511</t>
  </si>
  <si>
    <t>C-17512</t>
  </si>
  <si>
    <t>C-17513</t>
  </si>
  <si>
    <t>C-17514</t>
  </si>
  <si>
    <t>C-17515</t>
  </si>
  <si>
    <t>C-17516</t>
  </si>
  <si>
    <t>C-17517</t>
  </si>
  <si>
    <t>6-Abr-22--7-Abr-22</t>
  </si>
  <si>
    <t>C-17518</t>
  </si>
  <si>
    <t>C-17519</t>
  </si>
  <si>
    <t>C-17520</t>
  </si>
  <si>
    <t>C-17521</t>
  </si>
  <si>
    <t>C-17522</t>
  </si>
  <si>
    <t>C-17523</t>
  </si>
  <si>
    <t>C-17524</t>
  </si>
  <si>
    <t>C-17525</t>
  </si>
  <si>
    <t>C-17526</t>
  </si>
  <si>
    <t>C-17527</t>
  </si>
  <si>
    <t>C-17528</t>
  </si>
  <si>
    <t>C-17529</t>
  </si>
  <si>
    <t>C-17530</t>
  </si>
  <si>
    <t>C-17531</t>
  </si>
  <si>
    <t>C-17532</t>
  </si>
  <si>
    <t>C-17533</t>
  </si>
  <si>
    <t>C-17534</t>
  </si>
  <si>
    <t>C-17535</t>
  </si>
  <si>
    <t>C-17536</t>
  </si>
  <si>
    <t>C-17537</t>
  </si>
  <si>
    <t>C-17538</t>
  </si>
  <si>
    <t>C-17539</t>
  </si>
  <si>
    <t>C-17540</t>
  </si>
  <si>
    <t>C-17541</t>
  </si>
  <si>
    <t>C-17542</t>
  </si>
  <si>
    <t>C-17543</t>
  </si>
  <si>
    <t>C-17544</t>
  </si>
  <si>
    <t>C-17545</t>
  </si>
  <si>
    <t>C-17546</t>
  </si>
  <si>
    <t>C-17547</t>
  </si>
  <si>
    <t>C-17548</t>
  </si>
  <si>
    <t>C-17549</t>
  </si>
  <si>
    <t>C-17550</t>
  </si>
  <si>
    <t>C-17551</t>
  </si>
  <si>
    <t>C-17552</t>
  </si>
  <si>
    <t>C-17553</t>
  </si>
  <si>
    <t>C-17554</t>
  </si>
  <si>
    <t>C-17555</t>
  </si>
  <si>
    <t>C-17556</t>
  </si>
  <si>
    <t>C-17557</t>
  </si>
  <si>
    <t>C-17558</t>
  </si>
  <si>
    <t>C-17559</t>
  </si>
  <si>
    <t>C-17560</t>
  </si>
  <si>
    <t>C-17561</t>
  </si>
  <si>
    <t>C-17562</t>
  </si>
  <si>
    <t>C-17563</t>
  </si>
  <si>
    <t>C-17564</t>
  </si>
  <si>
    <t>C-17565</t>
  </si>
  <si>
    <t>C-17566</t>
  </si>
  <si>
    <t>C-17567</t>
  </si>
  <si>
    <t>C-17568</t>
  </si>
  <si>
    <t>C-17569</t>
  </si>
  <si>
    <t>C-17570</t>
  </si>
  <si>
    <t>C-17571</t>
  </si>
  <si>
    <t>C-17572</t>
  </si>
  <si>
    <t>C-17573</t>
  </si>
  <si>
    <t>C-17574</t>
  </si>
  <si>
    <t>C-17575</t>
  </si>
  <si>
    <t>C-17576</t>
  </si>
  <si>
    <t>C-17577</t>
  </si>
  <si>
    <t>C-17578</t>
  </si>
  <si>
    <t>C-17579</t>
  </si>
  <si>
    <r>
      <t xml:space="preserve">(88)CENTRO COMERCIAL ALATRISTE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</si>
  <si>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C-17580</t>
  </si>
  <si>
    <t>C-17581</t>
  </si>
  <si>
    <t>C-17582</t>
  </si>
  <si>
    <t>C-17583</t>
  </si>
  <si>
    <t>C-17584</t>
  </si>
  <si>
    <t>C-17585</t>
  </si>
  <si>
    <t>C-17586</t>
  </si>
  <si>
    <t>C-17587</t>
  </si>
  <si>
    <t>C-17588</t>
  </si>
  <si>
    <t>C-17589</t>
  </si>
  <si>
    <t>C-17590</t>
  </si>
  <si>
    <t>C-17591</t>
  </si>
  <si>
    <t>C-17592</t>
  </si>
  <si>
    <t>C-17593</t>
  </si>
  <si>
    <t>C-17594</t>
  </si>
  <si>
    <t>C-17595</t>
  </si>
  <si>
    <t>C-17596</t>
  </si>
  <si>
    <t>C-17597</t>
  </si>
  <si>
    <t>C-17598</t>
  </si>
  <si>
    <t>C-17599</t>
  </si>
  <si>
    <t>C-17600</t>
  </si>
  <si>
    <t>C-17601</t>
  </si>
  <si>
    <t>C-17602</t>
  </si>
  <si>
    <t>C-17603</t>
  </si>
  <si>
    <t>C-17604</t>
  </si>
  <si>
    <t>C-17605</t>
  </si>
  <si>
    <t>C-17606</t>
  </si>
  <si>
    <t>C-17607</t>
  </si>
  <si>
    <t>C-17608</t>
  </si>
  <si>
    <t>(614)MARTIN BAEZ</t>
  </si>
  <si>
    <t>C-17609</t>
  </si>
  <si>
    <t>C-17610</t>
  </si>
  <si>
    <t>C-17611</t>
  </si>
  <si>
    <t>C-17612</t>
  </si>
  <si>
    <t>C-17613</t>
  </si>
  <si>
    <t>C-17614</t>
  </si>
  <si>
    <t>C-17615</t>
  </si>
  <si>
    <t>C-17616</t>
  </si>
  <si>
    <t>C-17617</t>
  </si>
  <si>
    <t>C-17618</t>
  </si>
  <si>
    <t>C-17619</t>
  </si>
  <si>
    <t>C-17620</t>
  </si>
  <si>
    <t>C-17621</t>
  </si>
  <si>
    <t>C-17622</t>
  </si>
  <si>
    <t>C-17623</t>
  </si>
  <si>
    <t>C-17624</t>
  </si>
  <si>
    <t>C-17625</t>
  </si>
  <si>
    <t>C-17626</t>
  </si>
  <si>
    <t>C-17627</t>
  </si>
  <si>
    <t>C-17628</t>
  </si>
  <si>
    <t>C-17629</t>
  </si>
  <si>
    <t>C-17630</t>
  </si>
  <si>
    <t>C-17631</t>
  </si>
  <si>
    <t>C-17632</t>
  </si>
  <si>
    <t>C-17633</t>
  </si>
  <si>
    <t>C-17634</t>
  </si>
  <si>
    <t>C-17635</t>
  </si>
  <si>
    <t>C-17636</t>
  </si>
  <si>
    <t>C-17637</t>
  </si>
  <si>
    <t>C-17638</t>
  </si>
  <si>
    <t>C-17639</t>
  </si>
  <si>
    <t>C-17640</t>
  </si>
  <si>
    <t>C-17641</t>
  </si>
  <si>
    <t>C-17642</t>
  </si>
  <si>
    <t>C-17643</t>
  </si>
  <si>
    <t>C-17644</t>
  </si>
  <si>
    <t>C-17645</t>
  </si>
  <si>
    <t>C-17646</t>
  </si>
  <si>
    <t>C-17647</t>
  </si>
  <si>
    <t>C-17648</t>
  </si>
  <si>
    <t>C-17649</t>
  </si>
  <si>
    <t>C-17650</t>
  </si>
  <si>
    <t>C-17651</t>
  </si>
  <si>
    <t>C-17652</t>
  </si>
  <si>
    <t>7-Abr-22--8-Abr-22</t>
  </si>
  <si>
    <t>C-17653</t>
  </si>
  <si>
    <t>C-17654</t>
  </si>
  <si>
    <t>C-17655</t>
  </si>
  <si>
    <t>(694)SONIA</t>
  </si>
  <si>
    <t>C-17656</t>
  </si>
  <si>
    <t>C-17657</t>
  </si>
  <si>
    <r>
      <t xml:space="preserve">(225)ABASTOS DE 4 CARNES SA DE CV SUC. HERRADURA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</si>
  <si>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C-17658</t>
  </si>
  <si>
    <t>C-17659</t>
  </si>
  <si>
    <t>C-17660</t>
  </si>
  <si>
    <t>C-17661</t>
  </si>
  <si>
    <t>C-17662</t>
  </si>
  <si>
    <t>C-17663</t>
  </si>
  <si>
    <t>C-17664</t>
  </si>
  <si>
    <t>C-17665</t>
  </si>
  <si>
    <t>C-17666</t>
  </si>
  <si>
    <t>C-17667</t>
  </si>
  <si>
    <t>C-17668</t>
  </si>
  <si>
    <t>C-17669</t>
  </si>
  <si>
    <t>C-17670</t>
  </si>
  <si>
    <t>C-17671</t>
  </si>
  <si>
    <t>C-17672</t>
  </si>
  <si>
    <t>C-17673</t>
  </si>
  <si>
    <t>(629)IVONNE CASTILLO CORTES</t>
  </si>
  <si>
    <t>C-17674</t>
  </si>
  <si>
    <t>C-17675</t>
  </si>
  <si>
    <t>C-17676</t>
  </si>
  <si>
    <t>C-17677</t>
  </si>
  <si>
    <t>C-17678</t>
  </si>
  <si>
    <t>C-17679</t>
  </si>
  <si>
    <t>C-17680</t>
  </si>
  <si>
    <t>C-17681</t>
  </si>
  <si>
    <t>C-17682</t>
  </si>
  <si>
    <t>C-17683</t>
  </si>
  <si>
    <t>C-17684</t>
  </si>
  <si>
    <t>C-17685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</si>
  <si>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</si>
  <si>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C-17686</t>
  </si>
  <si>
    <t>C-17687</t>
  </si>
  <si>
    <t>C-17688</t>
  </si>
  <si>
    <t>C-17689</t>
  </si>
  <si>
    <t>C-17690</t>
  </si>
  <si>
    <t>C-17691</t>
  </si>
  <si>
    <t>C-17692</t>
  </si>
  <si>
    <t>C-17693</t>
  </si>
  <si>
    <t>C-17694</t>
  </si>
  <si>
    <t>C-17695</t>
  </si>
  <si>
    <t>C-17696</t>
  </si>
  <si>
    <t>C-17697</t>
  </si>
  <si>
    <t>C-17698</t>
  </si>
  <si>
    <t>C-17699</t>
  </si>
  <si>
    <t>C-17700</t>
  </si>
  <si>
    <t>C-17701</t>
  </si>
  <si>
    <t>C-17702</t>
  </si>
  <si>
    <t>C-17703</t>
  </si>
  <si>
    <t>C-17704</t>
  </si>
  <si>
    <t>C-17705</t>
  </si>
  <si>
    <t>C-17706</t>
  </si>
  <si>
    <t>C-17707</t>
  </si>
  <si>
    <t>C-17708</t>
  </si>
  <si>
    <t>C-17709</t>
  </si>
  <si>
    <t>C-17710</t>
  </si>
  <si>
    <t>C-17711</t>
  </si>
  <si>
    <t>C-17712</t>
  </si>
  <si>
    <t>C-17713</t>
  </si>
  <si>
    <t>C-17714</t>
  </si>
  <si>
    <t>C-17715</t>
  </si>
  <si>
    <t>C-17716</t>
  </si>
  <si>
    <t>C-17717</t>
  </si>
  <si>
    <t>C-17718</t>
  </si>
  <si>
    <t>C-17719</t>
  </si>
  <si>
    <t>C-17720</t>
  </si>
  <si>
    <r>
      <t xml:space="preserve">(204)ABASTO DE 4 CARNES SUC.  ZAVALETA  </t>
    </r>
    <r>
      <rPr>
        <b/>
        <sz val="12"/>
        <color rgb="FFFF0000"/>
        <rFont val="Calibri"/>
        <family val="2"/>
        <scheme val="minor"/>
      </rPr>
      <t>CANCELADA</t>
    </r>
  </si>
  <si>
    <t>C-17721</t>
  </si>
  <si>
    <t>C-17722</t>
  </si>
  <si>
    <t>C-17723</t>
  </si>
  <si>
    <t>C-17724</t>
  </si>
  <si>
    <t>C-17725</t>
  </si>
  <si>
    <t>C-17726</t>
  </si>
  <si>
    <t>C-17727</t>
  </si>
  <si>
    <t>C-17728</t>
  </si>
  <si>
    <t>C-17729</t>
  </si>
  <si>
    <t>C-17730</t>
  </si>
  <si>
    <t>C-17731</t>
  </si>
  <si>
    <t>C-17732</t>
  </si>
  <si>
    <t>C-17733</t>
  </si>
  <si>
    <t>C-17734</t>
  </si>
  <si>
    <t>C-17735</t>
  </si>
  <si>
    <t>C-17736</t>
  </si>
  <si>
    <t>C-17737</t>
  </si>
  <si>
    <t>C-17738</t>
  </si>
  <si>
    <t>(601)RAUL ROCHA</t>
  </si>
  <si>
    <t>C-17739</t>
  </si>
  <si>
    <t>C-17740</t>
  </si>
  <si>
    <t>C-17741</t>
  </si>
  <si>
    <t>C-17742</t>
  </si>
  <si>
    <t>C-17743</t>
  </si>
  <si>
    <t>C-17744</t>
  </si>
  <si>
    <t>C-17745</t>
  </si>
  <si>
    <t>C-17746</t>
  </si>
  <si>
    <t>C-17747</t>
  </si>
  <si>
    <t>C-17748</t>
  </si>
  <si>
    <t>C-17749</t>
  </si>
  <si>
    <t>C-17750</t>
  </si>
  <si>
    <t>C-17751</t>
  </si>
  <si>
    <t>C-17752</t>
  </si>
  <si>
    <t>C-17753</t>
  </si>
  <si>
    <t>C-17754</t>
  </si>
  <si>
    <t>C-17755</t>
  </si>
  <si>
    <t>C-17756</t>
  </si>
  <si>
    <t>C-17757</t>
  </si>
  <si>
    <t>C-17758</t>
  </si>
  <si>
    <t>C-17759</t>
  </si>
  <si>
    <t>C-17760</t>
  </si>
  <si>
    <t>C-17761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</si>
  <si>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</si>
  <si>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C-17762</t>
  </si>
  <si>
    <t>C-17763</t>
  </si>
  <si>
    <t>C-17764</t>
  </si>
  <si>
    <t>C-17765</t>
  </si>
  <si>
    <t>C-17766</t>
  </si>
  <si>
    <t>C-17767</t>
  </si>
  <si>
    <t>C-17768</t>
  </si>
  <si>
    <t>C-17769</t>
  </si>
  <si>
    <t>C-17770</t>
  </si>
  <si>
    <t>C-17771</t>
  </si>
  <si>
    <t>C-17772</t>
  </si>
  <si>
    <t>C-17773</t>
  </si>
  <si>
    <t>C-17774</t>
  </si>
  <si>
    <t>C-17775</t>
  </si>
  <si>
    <t>C-17776</t>
  </si>
  <si>
    <t>C-17777</t>
  </si>
  <si>
    <t>C-17778</t>
  </si>
  <si>
    <t>C-17779</t>
  </si>
  <si>
    <t>C-17780</t>
  </si>
  <si>
    <t>C-17781</t>
  </si>
  <si>
    <t>C-17782</t>
  </si>
  <si>
    <t>C-17783</t>
  </si>
  <si>
    <t>C-17784</t>
  </si>
  <si>
    <t>C-17785</t>
  </si>
  <si>
    <t>C-17786</t>
  </si>
  <si>
    <t>C-17787</t>
  </si>
  <si>
    <t>C-17788</t>
  </si>
  <si>
    <t>C-17789</t>
  </si>
  <si>
    <t>C-17790</t>
  </si>
  <si>
    <t>C-17791</t>
  </si>
  <si>
    <t>C-17792</t>
  </si>
  <si>
    <t>11-Abr-22--18-Abr-22</t>
  </si>
  <si>
    <t>C-17793</t>
  </si>
  <si>
    <t>C-17794</t>
  </si>
  <si>
    <t>C-17795</t>
  </si>
  <si>
    <t>C-17796</t>
  </si>
  <si>
    <t>C-17797</t>
  </si>
  <si>
    <t>C-17798</t>
  </si>
  <si>
    <t>C-17799</t>
  </si>
  <si>
    <t>C-17800</t>
  </si>
  <si>
    <t>C-17801</t>
  </si>
  <si>
    <t>C-17802</t>
  </si>
  <si>
    <t>C-17803</t>
  </si>
  <si>
    <t>C-17804</t>
  </si>
  <si>
    <t>C-17805</t>
  </si>
  <si>
    <t>C-17806</t>
  </si>
  <si>
    <t>C-17807</t>
  </si>
  <si>
    <t>C-17808</t>
  </si>
  <si>
    <t>C-17809</t>
  </si>
  <si>
    <t>C-17810</t>
  </si>
  <si>
    <t>C-17811</t>
  </si>
  <si>
    <t>C-17812</t>
  </si>
  <si>
    <t>C-17813</t>
  </si>
  <si>
    <t>C-17814</t>
  </si>
  <si>
    <t>C-17815</t>
  </si>
  <si>
    <t>C-17816</t>
  </si>
  <si>
    <t>C-17817</t>
  </si>
  <si>
    <t>C-17818</t>
  </si>
  <si>
    <t>C-17819</t>
  </si>
  <si>
    <t>C-17820</t>
  </si>
  <si>
    <t>C-17821</t>
  </si>
  <si>
    <t>C-17822</t>
  </si>
  <si>
    <t>C-17823</t>
  </si>
  <si>
    <t>C-17824</t>
  </si>
  <si>
    <t>C-17825</t>
  </si>
  <si>
    <t>C-17826</t>
  </si>
  <si>
    <t>C-17827</t>
  </si>
  <si>
    <t>C-17828</t>
  </si>
  <si>
    <t>C-17829</t>
  </si>
  <si>
    <t>C-17830</t>
  </si>
  <si>
    <t>C-17831</t>
  </si>
  <si>
    <t>C-17832</t>
  </si>
  <si>
    <t>C-17833</t>
  </si>
  <si>
    <t>C-17834</t>
  </si>
  <si>
    <t>C-17835</t>
  </si>
  <si>
    <t>C-17836</t>
  </si>
  <si>
    <t>C-17837</t>
  </si>
  <si>
    <t>C-17838</t>
  </si>
  <si>
    <t>C-17839</t>
  </si>
  <si>
    <t>C-17840</t>
  </si>
  <si>
    <t>C-17841</t>
  </si>
  <si>
    <t>C-17842</t>
  </si>
  <si>
    <t>C-17843</t>
  </si>
  <si>
    <t>C-17844</t>
  </si>
  <si>
    <t>C-17845</t>
  </si>
  <si>
    <t>C-17846</t>
  </si>
  <si>
    <t>C-17847</t>
  </si>
  <si>
    <t>C-17848</t>
  </si>
  <si>
    <t>C-17849</t>
  </si>
  <si>
    <t>C-17850</t>
  </si>
  <si>
    <t>C-17851</t>
  </si>
  <si>
    <t>C-17852</t>
  </si>
  <si>
    <t>C-17853</t>
  </si>
  <si>
    <t>C-17854</t>
  </si>
  <si>
    <t>C-17855</t>
  </si>
  <si>
    <t>C-17856</t>
  </si>
  <si>
    <t>C-17857</t>
  </si>
  <si>
    <t>C-17858</t>
  </si>
  <si>
    <t>C-17859</t>
  </si>
  <si>
    <t>C-17860</t>
  </si>
  <si>
    <r>
      <t xml:space="preserve">(449)MOISES ARCE  </t>
    </r>
    <r>
      <rPr>
        <b/>
        <sz val="12"/>
        <color rgb="FFFF0000"/>
        <rFont val="Calibri"/>
        <family val="2"/>
        <scheme val="minor"/>
      </rPr>
      <t>CANCELADA</t>
    </r>
  </si>
  <si>
    <t>C-17861</t>
  </si>
  <si>
    <t>C-17862</t>
  </si>
  <si>
    <t>C-17863</t>
  </si>
  <si>
    <t>C-17864</t>
  </si>
  <si>
    <t>C-17865</t>
  </si>
  <si>
    <t>C-17866</t>
  </si>
  <si>
    <t>C-17867</t>
  </si>
  <si>
    <t>C-17868</t>
  </si>
  <si>
    <t>C-17869</t>
  </si>
  <si>
    <t>C-17870</t>
  </si>
  <si>
    <t>C-17871</t>
  </si>
  <si>
    <t>C-17872</t>
  </si>
  <si>
    <t>C-17873</t>
  </si>
  <si>
    <t>C-17874</t>
  </si>
  <si>
    <t>8-Abr-22--9-Abr-22</t>
  </si>
  <si>
    <t>C-17875</t>
  </si>
  <si>
    <t>C-17876</t>
  </si>
  <si>
    <t>C-17877</t>
  </si>
  <si>
    <t>C-17878</t>
  </si>
  <si>
    <t>C-17879</t>
  </si>
  <si>
    <t>C-17880</t>
  </si>
  <si>
    <t>C-17881</t>
  </si>
  <si>
    <t>C-17882</t>
  </si>
  <si>
    <t>C-17883</t>
  </si>
  <si>
    <t>C-17884</t>
  </si>
  <si>
    <t>C-17885</t>
  </si>
  <si>
    <t>C-17886</t>
  </si>
  <si>
    <t>C-17887</t>
  </si>
  <si>
    <t>C-17888</t>
  </si>
  <si>
    <t>C-17889</t>
  </si>
  <si>
    <t>C-17890</t>
  </si>
  <si>
    <t>C-17891</t>
  </si>
  <si>
    <t>C-17892</t>
  </si>
  <si>
    <t>C-17893</t>
  </si>
  <si>
    <t>C-17894</t>
  </si>
  <si>
    <t>C-17895</t>
  </si>
  <si>
    <t>C-17896</t>
  </si>
  <si>
    <t>C-17897</t>
  </si>
  <si>
    <t>C-17898</t>
  </si>
  <si>
    <t>C-17899</t>
  </si>
  <si>
    <t>C-17900</t>
  </si>
  <si>
    <t>C-17901</t>
  </si>
  <si>
    <t>C-17902</t>
  </si>
  <si>
    <t>C-17903</t>
  </si>
  <si>
    <t>C-17904</t>
  </si>
  <si>
    <t>C-17905</t>
  </si>
  <si>
    <t>C-17906</t>
  </si>
  <si>
    <r>
      <t>(700)ESTEBAN AZCATL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</si>
  <si>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C-17907</t>
  </si>
  <si>
    <t>C-17908</t>
  </si>
  <si>
    <t>C-17909</t>
  </si>
  <si>
    <t>C-17910</t>
  </si>
  <si>
    <t>C-17911</t>
  </si>
  <si>
    <t>C-17912</t>
  </si>
  <si>
    <t>C-17913</t>
  </si>
  <si>
    <t>C-17914</t>
  </si>
  <si>
    <t>C-17915</t>
  </si>
  <si>
    <t>C-17916</t>
  </si>
  <si>
    <t>C-17917</t>
  </si>
  <si>
    <t>C-17918</t>
  </si>
  <si>
    <t>C-17919</t>
  </si>
  <si>
    <t>C-17920</t>
  </si>
  <si>
    <t>C-17921</t>
  </si>
  <si>
    <t>C-17922</t>
  </si>
  <si>
    <t>C-17923</t>
  </si>
  <si>
    <t>C-17924</t>
  </si>
  <si>
    <t>C-17925</t>
  </si>
  <si>
    <r>
      <t xml:space="preserve">(465)CARNICERIA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</si>
  <si>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C-17926</t>
  </si>
  <si>
    <t>C-17927</t>
  </si>
  <si>
    <t>C-17928</t>
  </si>
  <si>
    <t>C-17929</t>
  </si>
  <si>
    <t>C-17930</t>
  </si>
  <si>
    <t>C-17931</t>
  </si>
  <si>
    <t>C-17932</t>
  </si>
  <si>
    <t>C-17933</t>
  </si>
  <si>
    <t>C-17934</t>
  </si>
  <si>
    <t>C-17935</t>
  </si>
  <si>
    <t>C-17936</t>
  </si>
  <si>
    <t>C-17937</t>
  </si>
  <si>
    <t>C-17938</t>
  </si>
  <si>
    <t>C-17939</t>
  </si>
  <si>
    <t>C-17940</t>
  </si>
  <si>
    <t>C-17941</t>
  </si>
  <si>
    <t>C-17942</t>
  </si>
  <si>
    <t>C-17943</t>
  </si>
  <si>
    <t>C-17944</t>
  </si>
  <si>
    <t>C-17945</t>
  </si>
  <si>
    <t>C-17946</t>
  </si>
  <si>
    <t>C-17947</t>
  </si>
  <si>
    <r>
      <t xml:space="preserve">(710)ERIK    </t>
    </r>
    <r>
      <rPr>
        <b/>
        <sz val="12"/>
        <color rgb="FFFF0000"/>
        <rFont val="Calibri"/>
        <family val="2"/>
        <scheme val="minor"/>
      </rPr>
      <t>CANCELADA</t>
    </r>
  </si>
  <si>
    <t>C-17948</t>
  </si>
  <si>
    <t>C-17949</t>
  </si>
  <si>
    <t>C-17950</t>
  </si>
  <si>
    <t>C-17951</t>
  </si>
  <si>
    <t>C-17952</t>
  </si>
  <si>
    <t>C-17953</t>
  </si>
  <si>
    <t>C-17954</t>
  </si>
  <si>
    <t>C-17955</t>
  </si>
  <si>
    <t>C-17956</t>
  </si>
  <si>
    <t>C-17957</t>
  </si>
  <si>
    <t>(825)COMIDA OBRADOR</t>
  </si>
  <si>
    <t>C-17958</t>
  </si>
  <si>
    <t>C-17959</t>
  </si>
  <si>
    <t>C-17960</t>
  </si>
  <si>
    <t>C-17961</t>
  </si>
  <si>
    <t>C-17962</t>
  </si>
  <si>
    <t>C-17963</t>
  </si>
  <si>
    <t>C-17964</t>
  </si>
  <si>
    <t>C-17965</t>
  </si>
  <si>
    <t>C-17966</t>
  </si>
  <si>
    <t>C-17967</t>
  </si>
  <si>
    <t>C-17968</t>
  </si>
  <si>
    <t>C-17969</t>
  </si>
  <si>
    <t>C-17970</t>
  </si>
  <si>
    <t>C-17971</t>
  </si>
  <si>
    <t>C-17972</t>
  </si>
  <si>
    <t>C-17973</t>
  </si>
  <si>
    <t>C-17974</t>
  </si>
  <si>
    <t>C-17975</t>
  </si>
  <si>
    <t>C-17976</t>
  </si>
  <si>
    <t>C-17977</t>
  </si>
  <si>
    <t>C-17978</t>
  </si>
  <si>
    <t>C-17979</t>
  </si>
  <si>
    <t>C-17980</t>
  </si>
  <si>
    <t>C-17981</t>
  </si>
  <si>
    <t>C-17982</t>
  </si>
  <si>
    <t>C-17983</t>
  </si>
  <si>
    <t>C-17984</t>
  </si>
  <si>
    <t>C-17985</t>
  </si>
  <si>
    <t>C-17986</t>
  </si>
  <si>
    <t>C-17987</t>
  </si>
  <si>
    <t>C-17988</t>
  </si>
  <si>
    <t>C-17989</t>
  </si>
  <si>
    <r>
      <t xml:space="preserve">(341)JUAN DE LOS SANTOS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</si>
  <si>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C-17990</t>
  </si>
  <si>
    <t>(341)JUAN DE LOS SANTOS</t>
  </si>
  <si>
    <t>C-17991</t>
  </si>
  <si>
    <t>C-17992</t>
  </si>
  <si>
    <t>C-17993</t>
  </si>
  <si>
    <t>C-17994</t>
  </si>
  <si>
    <t>C-17995</t>
  </si>
  <si>
    <t>C-17996</t>
  </si>
  <si>
    <t>C-17997</t>
  </si>
  <si>
    <t>C-17998</t>
  </si>
  <si>
    <t>C-17999</t>
  </si>
  <si>
    <t>C-18000</t>
  </si>
  <si>
    <t>C-18001</t>
  </si>
  <si>
    <t>C-18002</t>
  </si>
  <si>
    <t>C-18003</t>
  </si>
  <si>
    <t>C-18004</t>
  </si>
  <si>
    <t>C-18005</t>
  </si>
  <si>
    <t>C-18006</t>
  </si>
  <si>
    <t>C-18007</t>
  </si>
  <si>
    <t>C-18008</t>
  </si>
  <si>
    <t>C-18009</t>
  </si>
  <si>
    <t>C-18010</t>
  </si>
  <si>
    <t>C-18011</t>
  </si>
  <si>
    <t>C-18012</t>
  </si>
  <si>
    <t>C-18013</t>
  </si>
  <si>
    <t>C-18014</t>
  </si>
  <si>
    <t>C-18015</t>
  </si>
  <si>
    <t>9-Abr-22--11-Abr-22</t>
  </si>
  <si>
    <t>C-18016</t>
  </si>
  <si>
    <t>C-18017</t>
  </si>
  <si>
    <t>C-18018</t>
  </si>
  <si>
    <t>C-18019</t>
  </si>
  <si>
    <t>C-18020</t>
  </si>
  <si>
    <t>C-18021</t>
  </si>
  <si>
    <t>C-18022</t>
  </si>
  <si>
    <t>C-18023</t>
  </si>
  <si>
    <t>C-18024</t>
  </si>
  <si>
    <t>C-18025</t>
  </si>
  <si>
    <t>C-18026</t>
  </si>
  <si>
    <t>C-18027</t>
  </si>
  <si>
    <t>C-18028</t>
  </si>
  <si>
    <t>C-18029</t>
  </si>
  <si>
    <t>C-18030</t>
  </si>
  <si>
    <r>
      <t xml:space="preserve">(633)DOÑA LETY  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</si>
  <si>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C-18031</t>
  </si>
  <si>
    <t>C-18032</t>
  </si>
  <si>
    <t>C-18033</t>
  </si>
  <si>
    <t>C-18034</t>
  </si>
  <si>
    <t>C-18035</t>
  </si>
  <si>
    <t>9-Abr-22--10-Abr-22</t>
  </si>
  <si>
    <t>C-18036</t>
  </si>
  <si>
    <t>C-18037</t>
  </si>
  <si>
    <t>C-18038</t>
  </si>
  <si>
    <t>C-18039</t>
  </si>
  <si>
    <t>C-18040</t>
  </si>
  <si>
    <t>C-18041</t>
  </si>
  <si>
    <t>C-18042</t>
  </si>
  <si>
    <t>C-18043</t>
  </si>
  <si>
    <t>C-18044</t>
  </si>
  <si>
    <t>C-18045</t>
  </si>
  <si>
    <t>C-18046</t>
  </si>
  <si>
    <t>C-18047</t>
  </si>
  <si>
    <t>C-18048</t>
  </si>
  <si>
    <t>C-18049</t>
  </si>
  <si>
    <t>C-18050</t>
  </si>
  <si>
    <t>C-18051</t>
  </si>
  <si>
    <t>C-18052</t>
  </si>
  <si>
    <t>C-18053</t>
  </si>
  <si>
    <t>C-18054</t>
  </si>
  <si>
    <t>C-18055</t>
  </si>
  <si>
    <t>C-18056</t>
  </si>
  <si>
    <t>C-18057</t>
  </si>
  <si>
    <t>C-18058</t>
  </si>
  <si>
    <t>C-18059</t>
  </si>
  <si>
    <t>C-18060</t>
  </si>
  <si>
    <t>C-18061</t>
  </si>
  <si>
    <t>C-18062</t>
  </si>
  <si>
    <t>C-18063</t>
  </si>
  <si>
    <t>C-18064</t>
  </si>
  <si>
    <t>C-18065</t>
  </si>
  <si>
    <t>C-18066</t>
  </si>
  <si>
    <t>C-18067</t>
  </si>
  <si>
    <t>C-18068</t>
  </si>
  <si>
    <t>C-18069</t>
  </si>
  <si>
    <t>C-18070</t>
  </si>
  <si>
    <t>C-18071</t>
  </si>
  <si>
    <t>C-18072</t>
  </si>
  <si>
    <t>C-18073</t>
  </si>
  <si>
    <t>C-18074</t>
  </si>
  <si>
    <t>C-18075</t>
  </si>
  <si>
    <t>C-18076</t>
  </si>
  <si>
    <t>C-18077</t>
  </si>
  <si>
    <t>C-18078</t>
  </si>
  <si>
    <t>C-18079</t>
  </si>
  <si>
    <t>C-18080</t>
  </si>
  <si>
    <t>C-18081</t>
  </si>
  <si>
    <t>C-18082</t>
  </si>
  <si>
    <t>C-18083</t>
  </si>
  <si>
    <t>C-18084</t>
  </si>
  <si>
    <t>C-18085</t>
  </si>
  <si>
    <t>C-18086</t>
  </si>
  <si>
    <t>C-18087</t>
  </si>
  <si>
    <t>C-18088</t>
  </si>
  <si>
    <t>C-18089</t>
  </si>
  <si>
    <t>C-18090</t>
  </si>
  <si>
    <t>C-18091</t>
  </si>
  <si>
    <t>C-18092</t>
  </si>
  <si>
    <t>C-18093</t>
  </si>
  <si>
    <t>C-18094</t>
  </si>
  <si>
    <t>C-18095</t>
  </si>
  <si>
    <t>C-18096</t>
  </si>
  <si>
    <t>C-18097</t>
  </si>
  <si>
    <t>C-18098</t>
  </si>
  <si>
    <t>C-18099</t>
  </si>
  <si>
    <t>C-18100</t>
  </si>
  <si>
    <t>C-18101</t>
  </si>
  <si>
    <t>C-18102</t>
  </si>
  <si>
    <t>C-18103</t>
  </si>
  <si>
    <t>C-18104</t>
  </si>
  <si>
    <t>C-18105</t>
  </si>
  <si>
    <t>C-18106</t>
  </si>
  <si>
    <t>C-18107</t>
  </si>
  <si>
    <r>
      <t xml:space="preserve">(725)ABASTO DE 4 CARNES SA DE CV 11 SUR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</si>
  <si>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C-18108</t>
  </si>
  <si>
    <r>
      <t xml:space="preserve">(725)ABASTO DE 4 CARNES SA DE CV 11 SUR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</si>
  <si>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C-18109</t>
  </si>
  <si>
    <t>C-18110</t>
  </si>
  <si>
    <t>C-18111</t>
  </si>
  <si>
    <t>C-18112</t>
  </si>
  <si>
    <t>C-18113</t>
  </si>
  <si>
    <t>C-18114</t>
  </si>
  <si>
    <t>C-18115</t>
  </si>
  <si>
    <t>C-18116</t>
  </si>
  <si>
    <t>C-18117</t>
  </si>
  <si>
    <t>C-18118</t>
  </si>
  <si>
    <t>C-18119</t>
  </si>
  <si>
    <t>C-18120</t>
  </si>
  <si>
    <t>C-18121</t>
  </si>
  <si>
    <t>C-18122</t>
  </si>
  <si>
    <t>C-18123</t>
  </si>
  <si>
    <t>C-18124</t>
  </si>
  <si>
    <t>C-18125</t>
  </si>
  <si>
    <t>C-18126</t>
  </si>
  <si>
    <t>C-18127</t>
  </si>
  <si>
    <t>C-18128</t>
  </si>
  <si>
    <t>C-18129</t>
  </si>
  <si>
    <t>C-18130</t>
  </si>
  <si>
    <t>C-18131</t>
  </si>
  <si>
    <t>C-18132</t>
  </si>
  <si>
    <t>C-18133</t>
  </si>
  <si>
    <t>C-18134</t>
  </si>
  <si>
    <t>C-18135</t>
  </si>
  <si>
    <t>C-18136</t>
  </si>
  <si>
    <t>C-18137</t>
  </si>
  <si>
    <t>10-Abr-22--11-Abr-22</t>
  </si>
  <si>
    <t>C-18138</t>
  </si>
  <si>
    <r>
      <t xml:space="preserve">(250)CORTES FINOS LA MORENA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</si>
  <si>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C-18139</t>
  </si>
  <si>
    <t>C-18140</t>
  </si>
  <si>
    <t>C-18141</t>
  </si>
  <si>
    <t>C-18142</t>
  </si>
  <si>
    <r>
      <t xml:space="preserve">(250)CORTES FINOS LA MORENA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</si>
  <si>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C-18143</t>
  </si>
  <si>
    <t>C-18144</t>
  </si>
  <si>
    <t>C-18145</t>
  </si>
  <si>
    <t>C-18146</t>
  </si>
  <si>
    <t>C-18147</t>
  </si>
  <si>
    <t>C-18148</t>
  </si>
  <si>
    <t>C-18149</t>
  </si>
  <si>
    <t>C-18150</t>
  </si>
  <si>
    <t>11-Abr-22--16-Abr-22</t>
  </si>
  <si>
    <t>C-18151</t>
  </si>
  <si>
    <t>C-18152</t>
  </si>
  <si>
    <t>C-18153</t>
  </si>
  <si>
    <t>C-18154</t>
  </si>
  <si>
    <t>C-18155</t>
  </si>
  <si>
    <t>C-18156</t>
  </si>
  <si>
    <t>C-18157</t>
  </si>
  <si>
    <t>C-18158</t>
  </si>
  <si>
    <t>C-18159</t>
  </si>
  <si>
    <t>C-18160</t>
  </si>
  <si>
    <t>C-18161</t>
  </si>
  <si>
    <t>C-18162</t>
  </si>
  <si>
    <t>C-18163</t>
  </si>
  <si>
    <t>C-18164</t>
  </si>
  <si>
    <t>C-18165</t>
  </si>
  <si>
    <t>C-18166</t>
  </si>
  <si>
    <t>C-18167</t>
  </si>
  <si>
    <t>C-18168</t>
  </si>
  <si>
    <t>C-18169</t>
  </si>
  <si>
    <t>C-18170</t>
  </si>
  <si>
    <t>12-Abr-22--13-Abr-22</t>
  </si>
  <si>
    <t>C-18171</t>
  </si>
  <si>
    <t>C-18172</t>
  </si>
  <si>
    <t>C-18173</t>
  </si>
  <si>
    <t>C-18174</t>
  </si>
  <si>
    <t>C-18175</t>
  </si>
  <si>
    <t>C-18176</t>
  </si>
  <si>
    <t>C-18177</t>
  </si>
  <si>
    <t>C-18178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</si>
  <si>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</si>
  <si>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C-18179</t>
  </si>
  <si>
    <t>C-18180</t>
  </si>
  <si>
    <t>C-18181</t>
  </si>
  <si>
    <t>C-18182</t>
  </si>
  <si>
    <t>C-18183</t>
  </si>
  <si>
    <t>C-18184</t>
  </si>
  <si>
    <t>C-18185</t>
  </si>
  <si>
    <t>C-18186</t>
  </si>
  <si>
    <t>C-18187</t>
  </si>
  <si>
    <t>C-18188</t>
  </si>
  <si>
    <t>C-18189</t>
  </si>
  <si>
    <t>C-18190</t>
  </si>
  <si>
    <t>C-18191</t>
  </si>
  <si>
    <t>C-18192</t>
  </si>
  <si>
    <t>C-18193</t>
  </si>
  <si>
    <t>C-18194</t>
  </si>
  <si>
    <t>C-18195</t>
  </si>
  <si>
    <t>C-18196</t>
  </si>
  <si>
    <t>C-18197</t>
  </si>
  <si>
    <r>
      <t xml:space="preserve">(551)MARIO VILLA POSADAS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</si>
  <si>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C-18198</t>
  </si>
  <si>
    <t>C-18199</t>
  </si>
  <si>
    <t>C-18200</t>
  </si>
  <si>
    <t>C-18201</t>
  </si>
  <si>
    <t>C-18202</t>
  </si>
  <si>
    <t>C-18203</t>
  </si>
  <si>
    <t>C-18204</t>
  </si>
  <si>
    <t>C-18205</t>
  </si>
  <si>
    <t>C-18206</t>
  </si>
  <si>
    <t>C-18207</t>
  </si>
  <si>
    <t>C-18208</t>
  </si>
  <si>
    <t>C-18209</t>
  </si>
  <si>
    <t>C-18210</t>
  </si>
  <si>
    <t>C-18211</t>
  </si>
  <si>
    <t>C-18212</t>
  </si>
  <si>
    <t>C-18213</t>
  </si>
  <si>
    <t>C-18214</t>
  </si>
  <si>
    <t>C-18215</t>
  </si>
  <si>
    <t>C-18216</t>
  </si>
  <si>
    <t>C-18217</t>
  </si>
  <si>
    <t>C-18218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</si>
  <si>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</si>
  <si>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C-18219</t>
  </si>
  <si>
    <t>C-18220</t>
  </si>
  <si>
    <t>C-18221</t>
  </si>
  <si>
    <t>C-18222</t>
  </si>
  <si>
    <t>C-18223</t>
  </si>
  <si>
    <t>C-18224</t>
  </si>
  <si>
    <t>C-18225</t>
  </si>
  <si>
    <t>C-18226</t>
  </si>
  <si>
    <t>C-18227</t>
  </si>
  <si>
    <t>C-18228</t>
  </si>
  <si>
    <t>C-18229</t>
  </si>
  <si>
    <t>C-18230</t>
  </si>
  <si>
    <t>C-18231</t>
  </si>
  <si>
    <t>C-18232</t>
  </si>
  <si>
    <t>C-18233</t>
  </si>
  <si>
    <t>C-18234</t>
  </si>
  <si>
    <t>C-18235</t>
  </si>
  <si>
    <t>C-18236</t>
  </si>
  <si>
    <t>C-18237</t>
  </si>
  <si>
    <t>C-18238</t>
  </si>
  <si>
    <t>C-18239</t>
  </si>
  <si>
    <t>C-18240</t>
  </si>
  <si>
    <t>C-18241</t>
  </si>
  <si>
    <t>C-18242</t>
  </si>
  <si>
    <t>C-18243</t>
  </si>
  <si>
    <t>C-18244</t>
  </si>
  <si>
    <t>C-18245</t>
  </si>
  <si>
    <t>C-18246</t>
  </si>
  <si>
    <t>C-18247</t>
  </si>
  <si>
    <t>C-18248</t>
  </si>
  <si>
    <t>C-18249</t>
  </si>
  <si>
    <t>C-18250</t>
  </si>
  <si>
    <t>C-18251</t>
  </si>
  <si>
    <t>C-18252</t>
  </si>
  <si>
    <t>C-18253</t>
  </si>
  <si>
    <t>C-18254</t>
  </si>
  <si>
    <t>C-18255</t>
  </si>
  <si>
    <t>C-18256</t>
  </si>
  <si>
    <t>C-18257</t>
  </si>
  <si>
    <t>C-18258</t>
  </si>
  <si>
    <t>C-18259</t>
  </si>
  <si>
    <t>C-18260</t>
  </si>
  <si>
    <t>C-18261</t>
  </si>
  <si>
    <t>C-18262</t>
  </si>
  <si>
    <t>C-18263</t>
  </si>
  <si>
    <t>C-18264</t>
  </si>
  <si>
    <t>C-18265</t>
  </si>
  <si>
    <t>C-18266</t>
  </si>
  <si>
    <t>C-18267</t>
  </si>
  <si>
    <t>C-18268</t>
  </si>
  <si>
    <r>
      <t xml:space="preserve">(710)ERIK 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</si>
  <si>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C-18269</t>
  </si>
  <si>
    <t>C-18270</t>
  </si>
  <si>
    <t>C-18271</t>
  </si>
  <si>
    <t>C-18272</t>
  </si>
  <si>
    <t>C-18273</t>
  </si>
  <si>
    <t>C-18274</t>
  </si>
  <si>
    <t>C-18275</t>
  </si>
  <si>
    <t>C-18276</t>
  </si>
  <si>
    <t>C-18277</t>
  </si>
  <si>
    <t>(131)VERO</t>
  </si>
  <si>
    <t>C-18278</t>
  </si>
  <si>
    <t>C-18279</t>
  </si>
  <si>
    <t>C-18280</t>
  </si>
  <si>
    <t>C-18281</t>
  </si>
  <si>
    <t>C-18282</t>
  </si>
  <si>
    <t>C-18283</t>
  </si>
  <si>
    <t>C-18284</t>
  </si>
  <si>
    <t>C-18285</t>
  </si>
  <si>
    <t>C-18286</t>
  </si>
  <si>
    <t>C-18287</t>
  </si>
  <si>
    <t>C-18288</t>
  </si>
  <si>
    <t>11-Abr-22--13-Abr-22</t>
  </si>
  <si>
    <t>C-18289</t>
  </si>
  <si>
    <t>C-18290</t>
  </si>
  <si>
    <t>C-18291</t>
  </si>
  <si>
    <t>C-18292</t>
  </si>
  <si>
    <t>C-18293</t>
  </si>
  <si>
    <t>C-18294</t>
  </si>
  <si>
    <t>C-18295</t>
  </si>
  <si>
    <t>C-18296</t>
  </si>
  <si>
    <t>C-18297</t>
  </si>
  <si>
    <t>C-18298</t>
  </si>
  <si>
    <t>C-18299</t>
  </si>
  <si>
    <t>C-18300</t>
  </si>
  <si>
    <t>C-18301</t>
  </si>
  <si>
    <t>C-18302</t>
  </si>
  <si>
    <t>C-18303</t>
  </si>
  <si>
    <t>C-18304</t>
  </si>
  <si>
    <t>C-18305</t>
  </si>
  <si>
    <t>C-18306</t>
  </si>
  <si>
    <t>C-18307</t>
  </si>
  <si>
    <t>C-18308</t>
  </si>
  <si>
    <t>C-18309</t>
  </si>
  <si>
    <t>C-18310</t>
  </si>
  <si>
    <t>C-18311</t>
  </si>
  <si>
    <t>C-18312</t>
  </si>
  <si>
    <t>C-18313</t>
  </si>
  <si>
    <t>C-18314</t>
  </si>
  <si>
    <t>C-18315</t>
  </si>
  <si>
    <t>C-18316</t>
  </si>
  <si>
    <t>C-18317</t>
  </si>
  <si>
    <t>C-18318</t>
  </si>
  <si>
    <t>C-18319</t>
  </si>
  <si>
    <t>C-18320</t>
  </si>
  <si>
    <t>C-18321</t>
  </si>
  <si>
    <t>C-18322</t>
  </si>
  <si>
    <t>C-18323</t>
  </si>
  <si>
    <t>C-18324</t>
  </si>
  <si>
    <t>C-18325</t>
  </si>
  <si>
    <t>C-18326</t>
  </si>
  <si>
    <t>C-18327</t>
  </si>
  <si>
    <t>C-18328</t>
  </si>
  <si>
    <t>C-18329</t>
  </si>
  <si>
    <t>C-18330</t>
  </si>
  <si>
    <t>C-18331</t>
  </si>
  <si>
    <t>C-18332</t>
  </si>
  <si>
    <t>C-18333</t>
  </si>
  <si>
    <t>C-18334</t>
  </si>
  <si>
    <t>C-18335</t>
  </si>
  <si>
    <t>C-18336</t>
  </si>
  <si>
    <t>C-18337</t>
  </si>
  <si>
    <t>C-18338</t>
  </si>
  <si>
    <t>C-18339</t>
  </si>
  <si>
    <t>C-18340</t>
  </si>
  <si>
    <t>C-18341</t>
  </si>
  <si>
    <t>C-18342</t>
  </si>
  <si>
    <t>C-18343</t>
  </si>
  <si>
    <t>C-18344</t>
  </si>
  <si>
    <t>C-18345</t>
  </si>
  <si>
    <t>C-18346</t>
  </si>
  <si>
    <t>C-18347</t>
  </si>
  <si>
    <t>C-18348</t>
  </si>
  <si>
    <t>C-18349</t>
  </si>
  <si>
    <t>C-18350</t>
  </si>
  <si>
    <t>C-18351</t>
  </si>
  <si>
    <t>C-18352</t>
  </si>
  <si>
    <t>C-18353</t>
  </si>
  <si>
    <t>C-18354</t>
  </si>
  <si>
    <t>C-18355</t>
  </si>
  <si>
    <t>C-18356</t>
  </si>
  <si>
    <t>C-18357</t>
  </si>
  <si>
    <t>C-18358</t>
  </si>
  <si>
    <t>C-18359</t>
  </si>
  <si>
    <t>C-18360</t>
  </si>
  <si>
    <t>C-18361</t>
  </si>
  <si>
    <t>C-18362</t>
  </si>
  <si>
    <t>C-18363</t>
  </si>
  <si>
    <t>C-18364</t>
  </si>
  <si>
    <t>C-18365</t>
  </si>
  <si>
    <t>C-18366</t>
  </si>
  <si>
    <t>C-18367</t>
  </si>
  <si>
    <t>C-18368</t>
  </si>
  <si>
    <r>
      <t xml:space="preserve">(124)MIGUEL XOCHIHUATL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</si>
  <si>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C-18369</t>
  </si>
  <si>
    <t>C-18370</t>
  </si>
  <si>
    <r>
      <t xml:space="preserve">(546)MAURICIO HERNANDEZ   </t>
    </r>
    <r>
      <rPr>
        <b/>
        <sz val="12"/>
        <color rgb="FFFF0000"/>
        <rFont val="Calibri"/>
        <family val="2"/>
        <scheme val="minor"/>
      </rPr>
      <t>CANCELADA</t>
    </r>
  </si>
  <si>
    <t>C-18371</t>
  </si>
  <si>
    <t>C-18372</t>
  </si>
  <si>
    <t>C-18373</t>
  </si>
  <si>
    <t>C-18374</t>
  </si>
  <si>
    <t>C-18375</t>
  </si>
  <si>
    <t>C-18376</t>
  </si>
  <si>
    <t>C-18377</t>
  </si>
  <si>
    <t>18-Abr-22--21-Abr-22</t>
  </si>
  <si>
    <t>C-18378</t>
  </si>
  <si>
    <t>C-18379</t>
  </si>
  <si>
    <t>C-18380</t>
  </si>
  <si>
    <t>C-18381</t>
  </si>
  <si>
    <t>C-18382</t>
  </si>
  <si>
    <t>C-18383</t>
  </si>
  <si>
    <t>C-18384</t>
  </si>
  <si>
    <t>C-18385</t>
  </si>
  <si>
    <t>C-18386</t>
  </si>
  <si>
    <t>C-18387</t>
  </si>
  <si>
    <t>C-18388</t>
  </si>
  <si>
    <t>C-18389</t>
  </si>
  <si>
    <t>C-18390</t>
  </si>
  <si>
    <t>C-18391</t>
  </si>
  <si>
    <t>C-18392</t>
  </si>
  <si>
    <t>C-18393</t>
  </si>
  <si>
    <t>C-18394</t>
  </si>
  <si>
    <t>C-18395</t>
  </si>
  <si>
    <t>C-18396</t>
  </si>
  <si>
    <t>C-18397</t>
  </si>
  <si>
    <t>C-18398</t>
  </si>
  <si>
    <t>C-18399</t>
  </si>
  <si>
    <t>C-18400</t>
  </si>
  <si>
    <t>C-18401</t>
  </si>
  <si>
    <t>C-18402</t>
  </si>
  <si>
    <t>C-18403</t>
  </si>
  <si>
    <t>C-18404</t>
  </si>
  <si>
    <t>C-18405</t>
  </si>
  <si>
    <t>C-18406</t>
  </si>
  <si>
    <t>C-18407</t>
  </si>
  <si>
    <t>C-18408</t>
  </si>
  <si>
    <t>C-18409</t>
  </si>
  <si>
    <t>C-18410</t>
  </si>
  <si>
    <t>C-18411</t>
  </si>
  <si>
    <t>C-18412</t>
  </si>
  <si>
    <t>C-18413</t>
  </si>
  <si>
    <t>C-18414</t>
  </si>
  <si>
    <t>C-18415</t>
  </si>
  <si>
    <t>C-18416</t>
  </si>
  <si>
    <t>C-18417</t>
  </si>
  <si>
    <t>C-18418</t>
  </si>
  <si>
    <t>C-18419</t>
  </si>
  <si>
    <t>C-18420</t>
  </si>
  <si>
    <t>C-18421</t>
  </si>
  <si>
    <t>C-18422</t>
  </si>
  <si>
    <t>C-18423</t>
  </si>
  <si>
    <t>C-18424</t>
  </si>
  <si>
    <t>C-18425</t>
  </si>
  <si>
    <t>C-18426</t>
  </si>
  <si>
    <t>C-18427</t>
  </si>
  <si>
    <t>C-18428</t>
  </si>
  <si>
    <t>C-18429</t>
  </si>
  <si>
    <t>C-18430</t>
  </si>
  <si>
    <t>C-18431</t>
  </si>
  <si>
    <t>C-18432</t>
  </si>
  <si>
    <t>C-18433</t>
  </si>
  <si>
    <t>C-18434</t>
  </si>
  <si>
    <t>C-18435</t>
  </si>
  <si>
    <t>C-18436</t>
  </si>
  <si>
    <t>C-18437</t>
  </si>
  <si>
    <t>C-18438</t>
  </si>
  <si>
    <t>C-18439</t>
  </si>
  <si>
    <t>C-18440</t>
  </si>
  <si>
    <t>C-18441</t>
  </si>
  <si>
    <t>C-18442</t>
  </si>
  <si>
    <t>C-18443</t>
  </si>
  <si>
    <t>C-18444</t>
  </si>
  <si>
    <t>C-18445</t>
  </si>
  <si>
    <t>C-18446</t>
  </si>
  <si>
    <t>C-18447</t>
  </si>
  <si>
    <t>C-18448</t>
  </si>
  <si>
    <t>C-18449</t>
  </si>
  <si>
    <t>C-18450</t>
  </si>
  <si>
    <t>C-18451</t>
  </si>
  <si>
    <t>C-18452</t>
  </si>
  <si>
    <t>C-18453</t>
  </si>
  <si>
    <t>C-18454</t>
  </si>
  <si>
    <t>C-18455</t>
  </si>
  <si>
    <t>C-18456</t>
  </si>
  <si>
    <t>C-18457</t>
  </si>
  <si>
    <t>C-18458</t>
  </si>
  <si>
    <t>C-18459</t>
  </si>
  <si>
    <t>C-18460</t>
  </si>
  <si>
    <t>C-18461</t>
  </si>
  <si>
    <t>13-Abr-22--14-Abr-22--16-Abr-22</t>
  </si>
  <si>
    <t>C-18462</t>
  </si>
  <si>
    <t>C-18463</t>
  </si>
  <si>
    <t>C-18464</t>
  </si>
  <si>
    <t>C-18465</t>
  </si>
  <si>
    <t>C-18466</t>
  </si>
  <si>
    <t>C-18467</t>
  </si>
  <si>
    <t>C-18468</t>
  </si>
  <si>
    <t>C-18469</t>
  </si>
  <si>
    <t>13-Abr-22--16-Abr-22</t>
  </si>
  <si>
    <t>C-18470</t>
  </si>
  <si>
    <t>C-18471</t>
  </si>
  <si>
    <t>C-18472</t>
  </si>
  <si>
    <t>C-18473</t>
  </si>
  <si>
    <t>C-18474</t>
  </si>
  <si>
    <t>C-18475</t>
  </si>
  <si>
    <t>C-18476</t>
  </si>
  <si>
    <t>C-18477</t>
  </si>
  <si>
    <t>C-18478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</si>
  <si>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</si>
  <si>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NO TRAE ORIGINAL NI COPIA VERDE</t>
  </si>
  <si>
    <t>C-18479</t>
  </si>
  <si>
    <t>C-18480</t>
  </si>
  <si>
    <t>C-18481</t>
  </si>
  <si>
    <t>C-18482</t>
  </si>
  <si>
    <t>C-18483</t>
  </si>
  <si>
    <t>C-18484</t>
  </si>
  <si>
    <t>C-18485</t>
  </si>
  <si>
    <t>C-18486</t>
  </si>
  <si>
    <t>C-18487</t>
  </si>
  <si>
    <t>C-18488</t>
  </si>
  <si>
    <t>C-18489</t>
  </si>
  <si>
    <t>C-18490</t>
  </si>
  <si>
    <t>C-18491</t>
  </si>
  <si>
    <t>C-18492</t>
  </si>
  <si>
    <t>C-18493</t>
  </si>
  <si>
    <t>C-18494</t>
  </si>
  <si>
    <t>C-18495</t>
  </si>
  <si>
    <t>C-18496</t>
  </si>
  <si>
    <t>C-18497</t>
  </si>
  <si>
    <t>C-18498</t>
  </si>
  <si>
    <t>C-18499</t>
  </si>
  <si>
    <t>C-18500</t>
  </si>
  <si>
    <t>C-18501</t>
  </si>
  <si>
    <t>C-18502</t>
  </si>
  <si>
    <t>(762)ALVARO REYES</t>
  </si>
  <si>
    <t>C-18503</t>
  </si>
  <si>
    <t>C-18504</t>
  </si>
  <si>
    <t>C-18505</t>
  </si>
  <si>
    <t>C-18506</t>
  </si>
  <si>
    <t>C-18507</t>
  </si>
  <si>
    <t>C-18508</t>
  </si>
  <si>
    <t>C-18509</t>
  </si>
  <si>
    <t>C-18510</t>
  </si>
  <si>
    <t>C-18511</t>
  </si>
  <si>
    <t>C-18512</t>
  </si>
  <si>
    <t>C-18513</t>
  </si>
  <si>
    <t>C-18514</t>
  </si>
  <si>
    <t>C-18515</t>
  </si>
  <si>
    <t>C-18516</t>
  </si>
  <si>
    <t>C-18517</t>
  </si>
  <si>
    <t>C-18518</t>
  </si>
  <si>
    <t>C-18519</t>
  </si>
  <si>
    <t>C-18520</t>
  </si>
  <si>
    <t>C-18521</t>
  </si>
  <si>
    <t>C-18522</t>
  </si>
  <si>
    <t>C-18523</t>
  </si>
  <si>
    <t>C-18524</t>
  </si>
  <si>
    <t>C-18525</t>
  </si>
  <si>
    <t>C-18526</t>
  </si>
  <si>
    <t>C-18527</t>
  </si>
  <si>
    <t>C-18528</t>
  </si>
  <si>
    <t>C-18529</t>
  </si>
  <si>
    <t>C-18530</t>
  </si>
  <si>
    <t>C-18531</t>
  </si>
  <si>
    <t>C-18532</t>
  </si>
  <si>
    <t>C-18533</t>
  </si>
  <si>
    <t>C-18534</t>
  </si>
  <si>
    <t>C-18535</t>
  </si>
  <si>
    <t>C-18536</t>
  </si>
  <si>
    <t>C-18537</t>
  </si>
  <si>
    <t>C-18538</t>
  </si>
  <si>
    <t>C-18539</t>
  </si>
  <si>
    <r>
      <t xml:space="preserve">(890)ALFREDO DE LOS SANTOS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</si>
  <si>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C-18540</t>
  </si>
  <si>
    <t>C-18541</t>
  </si>
  <si>
    <t>12-Abr-22--16-Abr-22</t>
  </si>
  <si>
    <t>C-18542</t>
  </si>
  <si>
    <t>C-18543</t>
  </si>
  <si>
    <t>C-18544</t>
  </si>
  <si>
    <t>C-18545</t>
  </si>
  <si>
    <t>C-18546</t>
  </si>
  <si>
    <t>C-18547</t>
  </si>
  <si>
    <t>C-18548</t>
  </si>
  <si>
    <t>C-18549</t>
  </si>
  <si>
    <t>C-18550</t>
  </si>
  <si>
    <t>C-18551</t>
  </si>
  <si>
    <t>C-18552</t>
  </si>
  <si>
    <t>C-18553</t>
  </si>
  <si>
    <r>
      <t xml:space="preserve">(136)RICARDO DELEITA  </t>
    </r>
    <r>
      <rPr>
        <b/>
        <sz val="12"/>
        <color rgb="FFFF0000"/>
        <rFont val="Calibri"/>
        <family val="2"/>
        <scheme val="minor"/>
      </rPr>
      <t>CANCELADA</t>
    </r>
  </si>
  <si>
    <t>C-18554</t>
  </si>
  <si>
    <t>C-18555</t>
  </si>
  <si>
    <t>C-18556</t>
  </si>
  <si>
    <t>C-18557</t>
  </si>
  <si>
    <t>C-18558</t>
  </si>
  <si>
    <t>C-18559</t>
  </si>
  <si>
    <t>C-18560</t>
  </si>
  <si>
    <t>C-18561</t>
  </si>
  <si>
    <t>C-18562</t>
  </si>
  <si>
    <t>C-18563</t>
  </si>
  <si>
    <t>C-18564</t>
  </si>
  <si>
    <t>C-18565</t>
  </si>
  <si>
    <t>C-18566</t>
  </si>
  <si>
    <t>C-18567</t>
  </si>
  <si>
    <t>C-18568</t>
  </si>
  <si>
    <t>C-18569</t>
  </si>
  <si>
    <t>C-18570</t>
  </si>
  <si>
    <t>C-18571</t>
  </si>
  <si>
    <t>C-18572</t>
  </si>
  <si>
    <t>C-18573</t>
  </si>
  <si>
    <t>C-18574</t>
  </si>
  <si>
    <t>C-18575</t>
  </si>
  <si>
    <t>C-18576</t>
  </si>
  <si>
    <t>C-18577</t>
  </si>
  <si>
    <t>C-18578</t>
  </si>
  <si>
    <t>C-18579</t>
  </si>
  <si>
    <t>C-18580</t>
  </si>
  <si>
    <t>C-18581</t>
  </si>
  <si>
    <t>C-18582</t>
  </si>
  <si>
    <t>C-18583</t>
  </si>
  <si>
    <t>C-18584</t>
  </si>
  <si>
    <t>C-18585</t>
  </si>
  <si>
    <t>C-18586</t>
  </si>
  <si>
    <t>C-18587</t>
  </si>
  <si>
    <t>C-18588</t>
  </si>
  <si>
    <t>C-18589</t>
  </si>
  <si>
    <r>
      <t xml:space="preserve">(130)JUAN DE LA ROSA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</si>
  <si>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C-18590</t>
  </si>
  <si>
    <t>C-18591</t>
  </si>
  <si>
    <t>C-18592</t>
  </si>
  <si>
    <t>C-18593</t>
  </si>
  <si>
    <t>16-Abr-22--18-Abr-22</t>
  </si>
  <si>
    <t>C-18594</t>
  </si>
  <si>
    <t>C-18595</t>
  </si>
  <si>
    <t>C-18596</t>
  </si>
  <si>
    <t>C-18597</t>
  </si>
  <si>
    <t>C-18598</t>
  </si>
  <si>
    <t>C-18599</t>
  </si>
  <si>
    <t>C-18600</t>
  </si>
  <si>
    <t>C-18601</t>
  </si>
  <si>
    <t>C-18602</t>
  </si>
  <si>
    <t>C-18603</t>
  </si>
  <si>
    <t>C-18604</t>
  </si>
  <si>
    <t>C-18605</t>
  </si>
  <si>
    <t>C-18606</t>
  </si>
  <si>
    <t>C-18607</t>
  </si>
  <si>
    <t>C-18608</t>
  </si>
  <si>
    <t>C-18609</t>
  </si>
  <si>
    <t>C-18610</t>
  </si>
  <si>
    <t>C-18611</t>
  </si>
  <si>
    <t>C-18612</t>
  </si>
  <si>
    <t>C-18613</t>
  </si>
  <si>
    <t>C-18614</t>
  </si>
  <si>
    <t>C-18615</t>
  </si>
  <si>
    <t>C-18616</t>
  </si>
  <si>
    <t>C-18617</t>
  </si>
  <si>
    <t>C-18618</t>
  </si>
  <si>
    <t>C-18619</t>
  </si>
  <si>
    <t>C-18620</t>
  </si>
  <si>
    <t>C-18621</t>
  </si>
  <si>
    <t>C-18622</t>
  </si>
  <si>
    <t>C-18623</t>
  </si>
  <si>
    <t>C-18624</t>
  </si>
  <si>
    <t>C-18625</t>
  </si>
  <si>
    <t>C-18626</t>
  </si>
  <si>
    <t>C-18627</t>
  </si>
  <si>
    <t>C-18628</t>
  </si>
  <si>
    <t>C-18629</t>
  </si>
  <si>
    <t>C-18630</t>
  </si>
  <si>
    <t>C-18631</t>
  </si>
  <si>
    <t>C-18632</t>
  </si>
  <si>
    <t>C-18633</t>
  </si>
  <si>
    <t>C-18634</t>
  </si>
  <si>
    <t>C-18635</t>
  </si>
  <si>
    <t>C-18636</t>
  </si>
  <si>
    <t>C-18637</t>
  </si>
  <si>
    <t>C-18638</t>
  </si>
  <si>
    <t>C-18639</t>
  </si>
  <si>
    <t>C-18640</t>
  </si>
  <si>
    <t>C-18641</t>
  </si>
  <si>
    <t>C-18642</t>
  </si>
  <si>
    <t>C-18643</t>
  </si>
  <si>
    <t>C-18644</t>
  </si>
  <si>
    <t>C-18645</t>
  </si>
  <si>
    <t>C-18646</t>
  </si>
  <si>
    <t>C-18647</t>
  </si>
  <si>
    <t>C-18648</t>
  </si>
  <si>
    <t>C-18649</t>
  </si>
  <si>
    <t>C-18650</t>
  </si>
  <si>
    <t>C-18651</t>
  </si>
  <si>
    <t>C-18652</t>
  </si>
  <si>
    <t>C-18653</t>
  </si>
  <si>
    <t>C-18654</t>
  </si>
  <si>
    <t>C-18655</t>
  </si>
  <si>
    <t>C-18656</t>
  </si>
  <si>
    <t>C-18657</t>
  </si>
  <si>
    <t>C-18658</t>
  </si>
  <si>
    <t>19-Abr-22--26-Abr-22</t>
  </si>
  <si>
    <t>C-18659</t>
  </si>
  <si>
    <t>C-18660</t>
  </si>
  <si>
    <t>C-18661</t>
  </si>
  <si>
    <t>C-18662</t>
  </si>
  <si>
    <t>C-18663</t>
  </si>
  <si>
    <t>C-18664</t>
  </si>
  <si>
    <t>C-18665</t>
  </si>
  <si>
    <t>C-18666</t>
  </si>
  <si>
    <t>C-18667</t>
  </si>
  <si>
    <t>C-18668</t>
  </si>
  <si>
    <t>C-18669</t>
  </si>
  <si>
    <t>C-18670</t>
  </si>
  <si>
    <t>C-18671</t>
  </si>
  <si>
    <t>C-18672</t>
  </si>
  <si>
    <t>C-18673</t>
  </si>
  <si>
    <t>C-18674</t>
  </si>
  <si>
    <t>C-18675</t>
  </si>
  <si>
    <t>C-18676</t>
  </si>
  <si>
    <t>C-18677</t>
  </si>
  <si>
    <t>C-18678</t>
  </si>
  <si>
    <t>C-18679</t>
  </si>
  <si>
    <t>C-18680</t>
  </si>
  <si>
    <t>C-18681</t>
  </si>
  <si>
    <t>C-18682</t>
  </si>
  <si>
    <t>C-18683</t>
  </si>
  <si>
    <t>(367)MARIO GUTIERREZ</t>
  </si>
  <si>
    <t>C-18684</t>
  </si>
  <si>
    <t>C-18685</t>
  </si>
  <si>
    <t>C-18686</t>
  </si>
  <si>
    <t>C-18687</t>
  </si>
  <si>
    <t>C-18688</t>
  </si>
  <si>
    <t>C-18689</t>
  </si>
  <si>
    <t>C-18690</t>
  </si>
  <si>
    <t>C-18691</t>
  </si>
  <si>
    <t>C-18692</t>
  </si>
  <si>
    <t>C-18693</t>
  </si>
  <si>
    <t>C-18694</t>
  </si>
  <si>
    <t>C-18695</t>
  </si>
  <si>
    <t>C-18696</t>
  </si>
  <si>
    <t>C-18697</t>
  </si>
  <si>
    <t>C-18698</t>
  </si>
  <si>
    <t>C-18699</t>
  </si>
  <si>
    <t>C-18700</t>
  </si>
  <si>
    <t>C-18701</t>
  </si>
  <si>
    <t>C-18702</t>
  </si>
  <si>
    <t>C-18703</t>
  </si>
  <si>
    <t>C-18704</t>
  </si>
  <si>
    <t>16-Abr-22--17-Abr-22</t>
  </si>
  <si>
    <t>C-18705</t>
  </si>
  <si>
    <t>C-18706</t>
  </si>
  <si>
    <t>C-18707</t>
  </si>
  <si>
    <t>C-18708</t>
  </si>
  <si>
    <t>C-18709</t>
  </si>
  <si>
    <t>C-18710</t>
  </si>
  <si>
    <t>C-18711</t>
  </si>
  <si>
    <t>C-18712</t>
  </si>
  <si>
    <t>C-18713</t>
  </si>
  <si>
    <t>C-18714</t>
  </si>
  <si>
    <t>C-18715</t>
  </si>
  <si>
    <t>C-18716</t>
  </si>
  <si>
    <t>C-18717</t>
  </si>
  <si>
    <t>C-18718</t>
  </si>
  <si>
    <t>C-18719</t>
  </si>
  <si>
    <t>C-18720</t>
  </si>
  <si>
    <t>C-18721</t>
  </si>
  <si>
    <t>C-18722</t>
  </si>
  <si>
    <t>C-18723</t>
  </si>
  <si>
    <t>C-18724</t>
  </si>
  <si>
    <t>C-18725</t>
  </si>
  <si>
    <t>C-18726</t>
  </si>
  <si>
    <t>C-18727</t>
  </si>
  <si>
    <t>C-18728</t>
  </si>
  <si>
    <t>C-18729</t>
  </si>
  <si>
    <t>C-18730</t>
  </si>
  <si>
    <t>C-18731</t>
  </si>
  <si>
    <r>
      <t xml:space="preserve">(595)LOMA VERDE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</si>
  <si>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18736</t>
  </si>
  <si>
    <t>C-18732</t>
  </si>
  <si>
    <t>C-18733</t>
  </si>
  <si>
    <t>C-18734</t>
  </si>
  <si>
    <t>C-18735</t>
  </si>
  <si>
    <t>C-18736</t>
  </si>
  <si>
    <t>C-18737</t>
  </si>
  <si>
    <t>C-18738</t>
  </si>
  <si>
    <t>C-18739</t>
  </si>
  <si>
    <t>C-18740</t>
  </si>
  <si>
    <t>C-18741</t>
  </si>
  <si>
    <t>C-18742</t>
  </si>
  <si>
    <t>C-18743</t>
  </si>
  <si>
    <t>C-18744</t>
  </si>
  <si>
    <t>C-18745</t>
  </si>
  <si>
    <t>C-18746</t>
  </si>
  <si>
    <t>C-18747</t>
  </si>
  <si>
    <t>C-18748</t>
  </si>
  <si>
    <t>C-18749</t>
  </si>
  <si>
    <t>C-18750</t>
  </si>
  <si>
    <t>C-18751</t>
  </si>
  <si>
    <t>C-18752</t>
  </si>
  <si>
    <t>C-18753</t>
  </si>
  <si>
    <t>C-18754</t>
  </si>
  <si>
    <t>C-18755</t>
  </si>
  <si>
    <t>C-18756</t>
  </si>
  <si>
    <t>C-18757</t>
  </si>
  <si>
    <t>C-18758</t>
  </si>
  <si>
    <t>C-18759</t>
  </si>
  <si>
    <t>C-18760</t>
  </si>
  <si>
    <t>C-18761</t>
  </si>
  <si>
    <t>C-18762</t>
  </si>
  <si>
    <t>C-18763</t>
  </si>
  <si>
    <t>C-18764</t>
  </si>
  <si>
    <t>C-18765</t>
  </si>
  <si>
    <t>C-18766</t>
  </si>
  <si>
    <t>C-18767</t>
  </si>
  <si>
    <t>C-18768</t>
  </si>
  <si>
    <t>C-18769</t>
  </si>
  <si>
    <t>C-18770</t>
  </si>
  <si>
    <t>C-18771</t>
  </si>
  <si>
    <t>C-18772</t>
  </si>
  <si>
    <t>C-18773</t>
  </si>
  <si>
    <t>C-18774</t>
  </si>
  <si>
    <t>(899)KUN TACO</t>
  </si>
  <si>
    <t>C-18775</t>
  </si>
  <si>
    <t>C-18776</t>
  </si>
  <si>
    <t>C-18777</t>
  </si>
  <si>
    <t>C-18778</t>
  </si>
  <si>
    <t>C-18779</t>
  </si>
  <si>
    <t>C-18780</t>
  </si>
  <si>
    <t>C-18781</t>
  </si>
  <si>
    <t>C-18782</t>
  </si>
  <si>
    <t>C-18783</t>
  </si>
  <si>
    <t>C-18784</t>
  </si>
  <si>
    <t>C-18785</t>
  </si>
  <si>
    <t>C-18786</t>
  </si>
  <si>
    <t>C-18787</t>
  </si>
  <si>
    <t>C-18788</t>
  </si>
  <si>
    <t>C-18789</t>
  </si>
  <si>
    <t>C-18790</t>
  </si>
  <si>
    <t>C-18791</t>
  </si>
  <si>
    <t>C-18792</t>
  </si>
  <si>
    <t>C-18793</t>
  </si>
  <si>
    <t>C-18794</t>
  </si>
  <si>
    <t>17-Abr-22--18-Abr-22</t>
  </si>
  <si>
    <t>C-18795</t>
  </si>
  <si>
    <t>C-18796</t>
  </si>
  <si>
    <t>C-18797</t>
  </si>
  <si>
    <t>C-18798</t>
  </si>
  <si>
    <t>C-18799</t>
  </si>
  <si>
    <t>C-18800</t>
  </si>
  <si>
    <t>C-18801</t>
  </si>
  <si>
    <t>C-18802</t>
  </si>
  <si>
    <t>C-18803</t>
  </si>
  <si>
    <t>C-18804</t>
  </si>
  <si>
    <t>C-18805</t>
  </si>
  <si>
    <t>C-18806</t>
  </si>
  <si>
    <t>C-18807</t>
  </si>
  <si>
    <t>C-18808</t>
  </si>
  <si>
    <t>C-18809</t>
  </si>
  <si>
    <t>C-18810</t>
  </si>
  <si>
    <t>C-18811</t>
  </si>
  <si>
    <t>C-18812</t>
  </si>
  <si>
    <t>C-18813</t>
  </si>
  <si>
    <t>C-18814</t>
  </si>
  <si>
    <t>C-18815</t>
  </si>
  <si>
    <t>C-18816</t>
  </si>
  <si>
    <t>C-18817</t>
  </si>
  <si>
    <t>C-18818</t>
  </si>
  <si>
    <t>C-18819</t>
  </si>
  <si>
    <t>C-18820</t>
  </si>
  <si>
    <t>C-18821</t>
  </si>
  <si>
    <t>C-18822</t>
  </si>
  <si>
    <t>C-18823</t>
  </si>
  <si>
    <t>C-18824</t>
  </si>
  <si>
    <t>C-18825</t>
  </si>
  <si>
    <t>18-Abr-22--19-Abr-22--20-Abr-22</t>
  </si>
  <si>
    <t>C-18826</t>
  </si>
  <si>
    <t>C-18827</t>
  </si>
  <si>
    <t>C-18828</t>
  </si>
  <si>
    <t>C-18829</t>
  </si>
  <si>
    <t>C-18830</t>
  </si>
  <si>
    <t>C-18831</t>
  </si>
  <si>
    <t>C-18832</t>
  </si>
  <si>
    <t>C-18833</t>
  </si>
  <si>
    <t>C-18834</t>
  </si>
  <si>
    <t>C-18835</t>
  </si>
  <si>
    <t>C-18836</t>
  </si>
  <si>
    <t>C-18837</t>
  </si>
  <si>
    <t>C-18838</t>
  </si>
  <si>
    <t>C-18839</t>
  </si>
  <si>
    <t>C-18840</t>
  </si>
  <si>
    <t>C-18841</t>
  </si>
  <si>
    <t>C-18842</t>
  </si>
  <si>
    <t>C-18843</t>
  </si>
  <si>
    <t>C-18844</t>
  </si>
  <si>
    <t>C-18845</t>
  </si>
  <si>
    <t>C-18846</t>
  </si>
  <si>
    <t>C-18847</t>
  </si>
  <si>
    <t>C-18848</t>
  </si>
  <si>
    <t>C-18849</t>
  </si>
  <si>
    <t>C-18850</t>
  </si>
  <si>
    <t>C-18851</t>
  </si>
  <si>
    <t>C-18852</t>
  </si>
  <si>
    <t>C-18853</t>
  </si>
  <si>
    <t>C-18854</t>
  </si>
  <si>
    <t>C-18855</t>
  </si>
  <si>
    <t>C-18856</t>
  </si>
  <si>
    <t>C-18857</t>
  </si>
  <si>
    <t>C-18858</t>
  </si>
  <si>
    <t>C-18859</t>
  </si>
  <si>
    <t>C-18860</t>
  </si>
  <si>
    <t>C-18861</t>
  </si>
  <si>
    <t>C-18862</t>
  </si>
  <si>
    <t>C-18863</t>
  </si>
  <si>
    <t>C-18864</t>
  </si>
  <si>
    <t>C-18865</t>
  </si>
  <si>
    <t>C-18866</t>
  </si>
  <si>
    <t>C-18867</t>
  </si>
  <si>
    <t>C-18868</t>
  </si>
  <si>
    <t>C-18869</t>
  </si>
  <si>
    <t>C-18870</t>
  </si>
  <si>
    <t>C-18871</t>
  </si>
  <si>
    <t>C-18872</t>
  </si>
  <si>
    <t>C-18873</t>
  </si>
  <si>
    <t>C-18874</t>
  </si>
  <si>
    <t>C-18875</t>
  </si>
  <si>
    <t>C-18876</t>
  </si>
  <si>
    <t>C-18877</t>
  </si>
  <si>
    <t>C-18878</t>
  </si>
  <si>
    <t>C-18879</t>
  </si>
  <si>
    <t>C-18880</t>
  </si>
  <si>
    <t>C-18881</t>
  </si>
  <si>
    <t>C-18882</t>
  </si>
  <si>
    <t>C-18883</t>
  </si>
  <si>
    <t>C-18884</t>
  </si>
  <si>
    <t>C-18885</t>
  </si>
  <si>
    <t>C-18886</t>
  </si>
  <si>
    <t>C-18887</t>
  </si>
  <si>
    <t>C-18888</t>
  </si>
  <si>
    <t>C-18889</t>
  </si>
  <si>
    <t>C-18890</t>
  </si>
  <si>
    <t>C-18891</t>
  </si>
  <si>
    <t>C-18892</t>
  </si>
  <si>
    <t>C-18893</t>
  </si>
  <si>
    <t>C-18894</t>
  </si>
  <si>
    <t>C-18895</t>
  </si>
  <si>
    <t>C-18896</t>
  </si>
  <si>
    <t>C-18897</t>
  </si>
  <si>
    <t>C-18898</t>
  </si>
  <si>
    <t>C-18899</t>
  </si>
  <si>
    <t>C-18900</t>
  </si>
  <si>
    <t>C-18901</t>
  </si>
  <si>
    <t>C-18902</t>
  </si>
  <si>
    <t>C-18903</t>
  </si>
  <si>
    <t>C-18904</t>
  </si>
  <si>
    <t>C-18905</t>
  </si>
  <si>
    <t>C-18906</t>
  </si>
  <si>
    <t>C-18907</t>
  </si>
  <si>
    <t>C-18908</t>
  </si>
  <si>
    <t>C-18909</t>
  </si>
  <si>
    <t>C-18910</t>
  </si>
  <si>
    <t>C-18911</t>
  </si>
  <si>
    <t>C-18912</t>
  </si>
  <si>
    <t>C-18913</t>
  </si>
  <si>
    <t>C-18914</t>
  </si>
  <si>
    <t>C-18915</t>
  </si>
  <si>
    <t>C-18916</t>
  </si>
  <si>
    <t>C-18917</t>
  </si>
  <si>
    <t>C-18918</t>
  </si>
  <si>
    <t>C-18919</t>
  </si>
  <si>
    <t>C-18920</t>
  </si>
  <si>
    <t>C-18921</t>
  </si>
  <si>
    <t>C-18922</t>
  </si>
  <si>
    <t>C-18923</t>
  </si>
  <si>
    <t>C-18924</t>
  </si>
  <si>
    <t>C-18925</t>
  </si>
  <si>
    <t>C-18926</t>
  </si>
  <si>
    <t>C-18927</t>
  </si>
  <si>
    <t>C-18928</t>
  </si>
  <si>
    <r>
      <t xml:space="preserve">(780)JAVIER MARTINEZ SANCHEZ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</si>
  <si>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C-18929</t>
  </si>
  <si>
    <t>C-18930</t>
  </si>
  <si>
    <t>C-18931</t>
  </si>
  <si>
    <t>C-18932</t>
  </si>
  <si>
    <t>C-18933</t>
  </si>
  <si>
    <t>C-18934</t>
  </si>
  <si>
    <t>C-18935</t>
  </si>
  <si>
    <t>C-18936</t>
  </si>
  <si>
    <t>C-18937</t>
  </si>
  <si>
    <t>C-18938</t>
  </si>
  <si>
    <t>C-18939</t>
  </si>
  <si>
    <t>C-18940</t>
  </si>
  <si>
    <t>C-18941</t>
  </si>
  <si>
    <t>C-18942</t>
  </si>
  <si>
    <t>C-18943</t>
  </si>
  <si>
    <t>C-18944</t>
  </si>
  <si>
    <t>C-18945</t>
  </si>
  <si>
    <t>C-18946</t>
  </si>
  <si>
    <t>C-18947</t>
  </si>
  <si>
    <t>C-18948</t>
  </si>
  <si>
    <t>C-18949</t>
  </si>
  <si>
    <t>C-18950</t>
  </si>
  <si>
    <t>C-18951</t>
  </si>
  <si>
    <r>
      <t xml:space="preserve">(758)RODOLFO BALLINAS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</si>
  <si>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18953</t>
  </si>
  <si>
    <t>C-18952</t>
  </si>
  <si>
    <t>C-18953</t>
  </si>
  <si>
    <t>C-18954</t>
  </si>
  <si>
    <t>C-18955</t>
  </si>
  <si>
    <t>C-18956</t>
  </si>
  <si>
    <t>C-18957</t>
  </si>
  <si>
    <t>C-18958</t>
  </si>
  <si>
    <t>C-18959</t>
  </si>
  <si>
    <t>C-18960</t>
  </si>
  <si>
    <t>C-18961</t>
  </si>
  <si>
    <t>C-18962</t>
  </si>
  <si>
    <t>C-18963</t>
  </si>
  <si>
    <t>C-18964</t>
  </si>
  <si>
    <t>C-18965</t>
  </si>
  <si>
    <t>C-18966</t>
  </si>
  <si>
    <t>C-18967</t>
  </si>
  <si>
    <t>C-18968</t>
  </si>
  <si>
    <t>C-18969</t>
  </si>
  <si>
    <t>C-18970</t>
  </si>
  <si>
    <t>C-18971</t>
  </si>
  <si>
    <t>C-18972</t>
  </si>
  <si>
    <t>C-18973</t>
  </si>
  <si>
    <r>
      <t xml:space="preserve">(592)RENE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</si>
  <si>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C-18974</t>
  </si>
  <si>
    <t>19-Abr-22--20-Abr-22</t>
  </si>
  <si>
    <t>C-18975</t>
  </si>
  <si>
    <t>C-18976</t>
  </si>
  <si>
    <t>C-18977</t>
  </si>
  <si>
    <t>C-18978</t>
  </si>
  <si>
    <t>C-18979</t>
  </si>
  <si>
    <t>C-18980</t>
  </si>
  <si>
    <t>C-18981</t>
  </si>
  <si>
    <t>C-18982</t>
  </si>
  <si>
    <t>C-18983</t>
  </si>
  <si>
    <t>C-18984</t>
  </si>
  <si>
    <t>C-18985</t>
  </si>
  <si>
    <t>C-18986</t>
  </si>
  <si>
    <t>C-18987</t>
  </si>
  <si>
    <t>C-18988</t>
  </si>
  <si>
    <t>C-18989</t>
  </si>
  <si>
    <t>C-18990</t>
  </si>
  <si>
    <t>C-18991</t>
  </si>
  <si>
    <t>C-18992</t>
  </si>
  <si>
    <t>C-18993</t>
  </si>
  <si>
    <t>C-18994</t>
  </si>
  <si>
    <t>C-18995</t>
  </si>
  <si>
    <t>C-18996</t>
  </si>
  <si>
    <t>C-18997</t>
  </si>
  <si>
    <t xml:space="preserve">18-Abr-22--19-Abr-22 </t>
  </si>
  <si>
    <t>C-18998</t>
  </si>
  <si>
    <t>C-18999</t>
  </si>
  <si>
    <t>C-19000</t>
  </si>
  <si>
    <t>C-19001</t>
  </si>
  <si>
    <t>C-19002</t>
  </si>
  <si>
    <t>C-19003</t>
  </si>
  <si>
    <t>C-19004</t>
  </si>
  <si>
    <t>C-19005</t>
  </si>
  <si>
    <t>C-19006</t>
  </si>
  <si>
    <t>C-19007</t>
  </si>
  <si>
    <t>C-19008</t>
  </si>
  <si>
    <t>C-19009</t>
  </si>
  <si>
    <t>C-19010</t>
  </si>
  <si>
    <t>C-19011</t>
  </si>
  <si>
    <t>C-19012</t>
  </si>
  <si>
    <t>C-19013</t>
  </si>
  <si>
    <t>C-19014</t>
  </si>
  <si>
    <t>C-19015</t>
  </si>
  <si>
    <t>C-19016</t>
  </si>
  <si>
    <t>C-19017</t>
  </si>
  <si>
    <t>C-19018</t>
  </si>
  <si>
    <t>C-19019</t>
  </si>
  <si>
    <t>C-19020</t>
  </si>
  <si>
    <t>C-19021</t>
  </si>
  <si>
    <t>C-19022</t>
  </si>
  <si>
    <t>C-19023</t>
  </si>
  <si>
    <t>C-19024</t>
  </si>
  <si>
    <t>C-19025</t>
  </si>
  <si>
    <t>C-19026</t>
  </si>
  <si>
    <t>C-19027</t>
  </si>
  <si>
    <t>C-19028</t>
  </si>
  <si>
    <t>C-19029</t>
  </si>
  <si>
    <t>C-19030</t>
  </si>
  <si>
    <t>C-19031</t>
  </si>
  <si>
    <t>C-19032</t>
  </si>
  <si>
    <t>C-19033</t>
  </si>
  <si>
    <t>C-19034</t>
  </si>
  <si>
    <t>C-19035</t>
  </si>
  <si>
    <t>26-Abr-22--30-Abr-22</t>
  </si>
  <si>
    <t>C-19036</t>
  </si>
  <si>
    <t>C-19037</t>
  </si>
  <si>
    <t>C-19038</t>
  </si>
  <si>
    <t>C-19039</t>
  </si>
  <si>
    <r>
      <t xml:space="preserve">(803)ISRAEL CORONA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</si>
  <si>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C-19040</t>
  </si>
  <si>
    <t>C-19041</t>
  </si>
  <si>
    <t>C-19042</t>
  </si>
  <si>
    <t>C-19043</t>
  </si>
  <si>
    <t>C-19044</t>
  </si>
  <si>
    <t>C-19045</t>
  </si>
  <si>
    <t>C-19046</t>
  </si>
  <si>
    <t>C-19047</t>
  </si>
  <si>
    <t>C-19048</t>
  </si>
  <si>
    <t>C-19049</t>
  </si>
  <si>
    <t>C-19050</t>
  </si>
  <si>
    <t>C-19051</t>
  </si>
  <si>
    <t>C-19052</t>
  </si>
  <si>
    <t>C-19053</t>
  </si>
  <si>
    <t>C-19054</t>
  </si>
  <si>
    <t>C-19055</t>
  </si>
  <si>
    <t>C-19056</t>
  </si>
  <si>
    <t>C-19057</t>
  </si>
  <si>
    <t>C-19058</t>
  </si>
  <si>
    <t>C-19059</t>
  </si>
  <si>
    <t>C-19060</t>
  </si>
  <si>
    <t>C-19061</t>
  </si>
  <si>
    <t>25-Abr-22---27-Abr-22</t>
  </si>
  <si>
    <t>C-19062</t>
  </si>
  <si>
    <t>C-19063</t>
  </si>
  <si>
    <t>C-19064</t>
  </si>
  <si>
    <t>C-19065</t>
  </si>
  <si>
    <t>C-19066</t>
  </si>
  <si>
    <t>C-19067</t>
  </si>
  <si>
    <t>C-19068</t>
  </si>
  <si>
    <t>C-19069</t>
  </si>
  <si>
    <t>C-19070</t>
  </si>
  <si>
    <t>C-19071</t>
  </si>
  <si>
    <t>C-19072</t>
  </si>
  <si>
    <t>C-19073</t>
  </si>
  <si>
    <t>C-19074</t>
  </si>
  <si>
    <t>C-19075</t>
  </si>
  <si>
    <t>C-19076</t>
  </si>
  <si>
    <t>C-19077</t>
  </si>
  <si>
    <t>C-19078</t>
  </si>
  <si>
    <t>C-19079</t>
  </si>
  <si>
    <t>C-19080</t>
  </si>
  <si>
    <t>C-19081</t>
  </si>
  <si>
    <t>C-19082</t>
  </si>
  <si>
    <t>C-19083</t>
  </si>
  <si>
    <t>C-19084</t>
  </si>
  <si>
    <t>C-19085</t>
  </si>
  <si>
    <r>
      <t xml:space="preserve">(660)JOSE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</si>
  <si>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C-19086</t>
  </si>
  <si>
    <t>C-19087</t>
  </si>
  <si>
    <t>C-19088</t>
  </si>
  <si>
    <t>C-19089</t>
  </si>
  <si>
    <t>C-19090</t>
  </si>
  <si>
    <t>C-19091</t>
  </si>
  <si>
    <t>C-19092</t>
  </si>
  <si>
    <t>C-19093</t>
  </si>
  <si>
    <t>C-19094</t>
  </si>
  <si>
    <t>C-19095</t>
  </si>
  <si>
    <t>C-19096</t>
  </si>
  <si>
    <t>C-19097</t>
  </si>
  <si>
    <t>C-19098</t>
  </si>
  <si>
    <t>C-19099</t>
  </si>
  <si>
    <t>C-19100</t>
  </si>
  <si>
    <t>C-19101</t>
  </si>
  <si>
    <t>C-19102</t>
  </si>
  <si>
    <t>(200)JESUS TUXPAN</t>
  </si>
  <si>
    <t>C-19103</t>
  </si>
  <si>
    <t>C-19104</t>
  </si>
  <si>
    <t>C-19105</t>
  </si>
  <si>
    <t>C-19106</t>
  </si>
  <si>
    <t>C-19107</t>
  </si>
  <si>
    <t>C-19108</t>
  </si>
  <si>
    <t>C-19109</t>
  </si>
  <si>
    <t>C-19110</t>
  </si>
  <si>
    <t>C-19111</t>
  </si>
  <si>
    <t>C-19112</t>
  </si>
  <si>
    <t>C-19113</t>
  </si>
  <si>
    <t>C-19114</t>
  </si>
  <si>
    <t>C-19115</t>
  </si>
  <si>
    <t>C-19116</t>
  </si>
  <si>
    <t>C-19117</t>
  </si>
  <si>
    <t>C-19118</t>
  </si>
  <si>
    <t>C-19119</t>
  </si>
  <si>
    <t>C-19120</t>
  </si>
  <si>
    <t>C-19121</t>
  </si>
  <si>
    <t>C-19122</t>
  </si>
  <si>
    <t>C-19123</t>
  </si>
  <si>
    <t>C-19124</t>
  </si>
  <si>
    <t>C-19125</t>
  </si>
  <si>
    <t>C-19126</t>
  </si>
  <si>
    <t>20-Abr-22--21-Abr-22</t>
  </si>
  <si>
    <t>C-19127</t>
  </si>
  <si>
    <t>C-19128</t>
  </si>
  <si>
    <t>C-19129</t>
  </si>
  <si>
    <t>C-19130</t>
  </si>
  <si>
    <t>C-19131</t>
  </si>
  <si>
    <t>C-19132</t>
  </si>
  <si>
    <t>C-19133</t>
  </si>
  <si>
    <t>C-19134</t>
  </si>
  <si>
    <t>C-19135</t>
  </si>
  <si>
    <t>C-19136</t>
  </si>
  <si>
    <t>C-19137</t>
  </si>
  <si>
    <t>C-19138</t>
  </si>
  <si>
    <t>C-19139</t>
  </si>
  <si>
    <t>C-19140</t>
  </si>
  <si>
    <t>C-19141</t>
  </si>
  <si>
    <t>C-19142</t>
  </si>
  <si>
    <t>C-19143</t>
  </si>
  <si>
    <t>C-19144</t>
  </si>
  <si>
    <t>C-19145</t>
  </si>
  <si>
    <t>C-19146</t>
  </si>
  <si>
    <t>C-19147</t>
  </si>
  <si>
    <t>C-19148</t>
  </si>
  <si>
    <t>C-19149</t>
  </si>
  <si>
    <t>C-19150</t>
  </si>
  <si>
    <t>C-19151</t>
  </si>
  <si>
    <t>C-19152</t>
  </si>
  <si>
    <t>C-19153</t>
  </si>
  <si>
    <t>C-19154</t>
  </si>
  <si>
    <t>C-19155</t>
  </si>
  <si>
    <t>C-19156</t>
  </si>
  <si>
    <t>C-19157</t>
  </si>
  <si>
    <t>C-19158</t>
  </si>
  <si>
    <t>C-19159</t>
  </si>
  <si>
    <t>C-19160</t>
  </si>
  <si>
    <t>C-19161</t>
  </si>
  <si>
    <t>C-19162</t>
  </si>
  <si>
    <t>C-19163</t>
  </si>
  <si>
    <t>C-19164</t>
  </si>
  <si>
    <t>C-19165</t>
  </si>
  <si>
    <t>C-19166</t>
  </si>
  <si>
    <t>(142)ARMANDO UROZA</t>
  </si>
  <si>
    <t>C-19167</t>
  </si>
  <si>
    <t>C-19168</t>
  </si>
  <si>
    <t>C-19169</t>
  </si>
  <si>
    <t>C-19170</t>
  </si>
  <si>
    <t>C-19171</t>
  </si>
  <si>
    <t>C-19172</t>
  </si>
  <si>
    <t>C-19173</t>
  </si>
  <si>
    <t>C-19174</t>
  </si>
  <si>
    <t>C-19175</t>
  </si>
  <si>
    <t>C-19176</t>
  </si>
  <si>
    <t>C-19177</t>
  </si>
  <si>
    <t>C-19178</t>
  </si>
  <si>
    <t>C-19179</t>
  </si>
  <si>
    <t>C-19180</t>
  </si>
  <si>
    <t>C-19181</t>
  </si>
  <si>
    <t>C-19182</t>
  </si>
  <si>
    <t>C-19183</t>
  </si>
  <si>
    <t>C-19184</t>
  </si>
  <si>
    <t>C-19185</t>
  </si>
  <si>
    <t>C-19186</t>
  </si>
  <si>
    <t>C-19187</t>
  </si>
  <si>
    <t>C-19188</t>
  </si>
  <si>
    <t>C-19189</t>
  </si>
  <si>
    <t>C-19190</t>
  </si>
  <si>
    <t>C-19191</t>
  </si>
  <si>
    <t>C-19192</t>
  </si>
  <si>
    <t>C-19193</t>
  </si>
  <si>
    <r>
      <t>(331)ROBERTO MORALES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</si>
  <si>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C-19194</t>
  </si>
  <si>
    <t>C-19195</t>
  </si>
  <si>
    <t>C-19196</t>
  </si>
  <si>
    <t>C-19197</t>
  </si>
  <si>
    <t>C-19198</t>
  </si>
  <si>
    <t>C-19199</t>
  </si>
  <si>
    <t>C-19200</t>
  </si>
  <si>
    <t>C-19201</t>
  </si>
  <si>
    <t>C-19202</t>
  </si>
  <si>
    <t>C-19203</t>
  </si>
  <si>
    <t>C-19204</t>
  </si>
  <si>
    <t>C-19205</t>
  </si>
  <si>
    <t>C-19206</t>
  </si>
  <si>
    <t>C-19207</t>
  </si>
  <si>
    <t>C-19208</t>
  </si>
  <si>
    <t>C-19209</t>
  </si>
  <si>
    <t>C-19210</t>
  </si>
  <si>
    <t>C-19211</t>
  </si>
  <si>
    <t>C-19212</t>
  </si>
  <si>
    <t>C-19213</t>
  </si>
  <si>
    <t>C-19214</t>
  </si>
  <si>
    <t>C-19215</t>
  </si>
  <si>
    <t>C-19216</t>
  </si>
  <si>
    <t>C-19217</t>
  </si>
  <si>
    <t>C-19218</t>
  </si>
  <si>
    <t>C-19219</t>
  </si>
  <si>
    <t>C-19220</t>
  </si>
  <si>
    <t>C-19221</t>
  </si>
  <si>
    <t>C-19222</t>
  </si>
  <si>
    <t>C-19223</t>
  </si>
  <si>
    <t>C-19224</t>
  </si>
  <si>
    <t>C-19225</t>
  </si>
  <si>
    <t>C-19226</t>
  </si>
  <si>
    <t>C-19227</t>
  </si>
  <si>
    <t>C-19228</t>
  </si>
  <si>
    <t>C-19229</t>
  </si>
  <si>
    <t>C-19230</t>
  </si>
  <si>
    <t>C-19231</t>
  </si>
  <si>
    <t>C-19232</t>
  </si>
  <si>
    <t>C-19233</t>
  </si>
  <si>
    <t>C-19234</t>
  </si>
  <si>
    <t>C-19235</t>
  </si>
  <si>
    <t>C-19236</t>
  </si>
  <si>
    <t>C-19237</t>
  </si>
  <si>
    <t>21-Abr-22--22-Abr-22</t>
  </si>
  <si>
    <t>C-19238</t>
  </si>
  <si>
    <t>C-19239</t>
  </si>
  <si>
    <t>C-19240</t>
  </si>
  <si>
    <t>C-19241</t>
  </si>
  <si>
    <t>C-19242</t>
  </si>
  <si>
    <t>C-19243</t>
  </si>
  <si>
    <t>C-19244</t>
  </si>
  <si>
    <t>C-19245</t>
  </si>
  <si>
    <t>C-19246</t>
  </si>
  <si>
    <t>C-19247</t>
  </si>
  <si>
    <t>C-19248</t>
  </si>
  <si>
    <t>C-19249</t>
  </si>
  <si>
    <t>C-19250</t>
  </si>
  <si>
    <t>se sustituyo x la 19251</t>
  </si>
  <si>
    <t>C-19251</t>
  </si>
  <si>
    <t>C-19252</t>
  </si>
  <si>
    <t>C-19253</t>
  </si>
  <si>
    <t>C-19254</t>
  </si>
  <si>
    <t>C-19255</t>
  </si>
  <si>
    <t>C-19256</t>
  </si>
  <si>
    <t>C-19257</t>
  </si>
  <si>
    <t>C-19258</t>
  </si>
  <si>
    <t>C-19259</t>
  </si>
  <si>
    <t>C-19260</t>
  </si>
  <si>
    <t>C-19261</t>
  </si>
  <si>
    <t>C-19262</t>
  </si>
  <si>
    <t>C-19263</t>
  </si>
  <si>
    <t>C-19264</t>
  </si>
  <si>
    <t>C-19265</t>
  </si>
  <si>
    <t>C-19266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</si>
  <si>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>CANCELADA</t>
    </r>
  </si>
  <si>
    <t>ERROR DE OPERADOR</t>
  </si>
  <si>
    <t>C-19267</t>
  </si>
  <si>
    <r>
      <t xml:space="preserve">(899)KUN TACO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</si>
  <si>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C-19268</t>
  </si>
  <si>
    <t>C-19269</t>
  </si>
  <si>
    <t>C-19270</t>
  </si>
  <si>
    <t>22-Abr-22--23-Abr-22</t>
  </si>
  <si>
    <t>C-19271</t>
  </si>
  <si>
    <t>C-19272</t>
  </si>
  <si>
    <t>C-19273</t>
  </si>
  <si>
    <t>C-19274</t>
  </si>
  <si>
    <t>C-19275</t>
  </si>
  <si>
    <t>C-19276</t>
  </si>
  <si>
    <t>C-19277</t>
  </si>
  <si>
    <t>C-19278</t>
  </si>
  <si>
    <t>C-19279</t>
  </si>
  <si>
    <r>
      <t xml:space="preserve">(865)CARNICERIA CHAVE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</si>
  <si>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19258</t>
  </si>
  <si>
    <t>C-19280</t>
  </si>
  <si>
    <t>C-19281</t>
  </si>
  <si>
    <t>C-19282</t>
  </si>
  <si>
    <t>C-19283</t>
  </si>
  <si>
    <t>C-19284</t>
  </si>
  <si>
    <t>C-19285</t>
  </si>
  <si>
    <t>C-19286</t>
  </si>
  <si>
    <t>C-19287</t>
  </si>
  <si>
    <t>C-19288</t>
  </si>
  <si>
    <t>C-19289</t>
  </si>
  <si>
    <t>C-19290</t>
  </si>
  <si>
    <t>C-19291</t>
  </si>
  <si>
    <t>C-19292</t>
  </si>
  <si>
    <t>C-19293</t>
  </si>
  <si>
    <t>C-19294</t>
  </si>
  <si>
    <t>C-19295</t>
  </si>
  <si>
    <t>C-19296</t>
  </si>
  <si>
    <t>C-19297</t>
  </si>
  <si>
    <t>C-19298</t>
  </si>
  <si>
    <t>C-19299</t>
  </si>
  <si>
    <t>C-19300</t>
  </si>
  <si>
    <t>C-19301</t>
  </si>
  <si>
    <t>C-19302</t>
  </si>
  <si>
    <t>C-19303</t>
  </si>
  <si>
    <t>C-19304</t>
  </si>
  <si>
    <t>C-19305</t>
  </si>
  <si>
    <t>C-19306</t>
  </si>
  <si>
    <t>C-19307</t>
  </si>
  <si>
    <t>C-19308</t>
  </si>
  <si>
    <t>C-19309</t>
  </si>
  <si>
    <t>C-19310</t>
  </si>
  <si>
    <t>C-19311</t>
  </si>
  <si>
    <t>C-19312</t>
  </si>
  <si>
    <t>C-19313</t>
  </si>
  <si>
    <t>C-19314</t>
  </si>
  <si>
    <t>C-19315</t>
  </si>
  <si>
    <t>C-19316</t>
  </si>
  <si>
    <t>C-19317</t>
  </si>
  <si>
    <t>C-19318</t>
  </si>
  <si>
    <t>C-19319</t>
  </si>
  <si>
    <t>C-19320</t>
  </si>
  <si>
    <t>C-19321</t>
  </si>
  <si>
    <t>C-19322</t>
  </si>
  <si>
    <t>C-19323</t>
  </si>
  <si>
    <t>C-19324</t>
  </si>
  <si>
    <t>C-19325</t>
  </si>
  <si>
    <t>C-19326</t>
  </si>
  <si>
    <t>C-19327</t>
  </si>
  <si>
    <t>C-19328</t>
  </si>
  <si>
    <t>C-19329</t>
  </si>
  <si>
    <t>C-19330</t>
  </si>
  <si>
    <t>C-19331</t>
  </si>
  <si>
    <t>C-19332</t>
  </si>
  <si>
    <t>C-19333</t>
  </si>
  <si>
    <t>C-19334</t>
  </si>
  <si>
    <t>C-19335</t>
  </si>
  <si>
    <t>C-19336</t>
  </si>
  <si>
    <t>C-19337</t>
  </si>
  <si>
    <t>C-19338</t>
  </si>
  <si>
    <t>C-19339</t>
  </si>
  <si>
    <r>
      <t xml:space="preserve">(234)ANTONIO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</si>
  <si>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C-19340</t>
  </si>
  <si>
    <t>C-19341</t>
  </si>
  <si>
    <t>C-19342</t>
  </si>
  <si>
    <t>C-19343</t>
  </si>
  <si>
    <t>C-19344</t>
  </si>
  <si>
    <t>C-19345</t>
  </si>
  <si>
    <t>C-19346</t>
  </si>
  <si>
    <t>C-19347</t>
  </si>
  <si>
    <t>C-19348</t>
  </si>
  <si>
    <t>C-19349</t>
  </si>
  <si>
    <t>C-19350</t>
  </si>
  <si>
    <t>C-19351</t>
  </si>
  <si>
    <t>C-19352</t>
  </si>
  <si>
    <t>C-19353</t>
  </si>
  <si>
    <t>C-19354</t>
  </si>
  <si>
    <t>C-19355</t>
  </si>
  <si>
    <t>C-19356</t>
  </si>
  <si>
    <t>C-19357</t>
  </si>
  <si>
    <t>C-19358</t>
  </si>
  <si>
    <t>C-19359</t>
  </si>
  <si>
    <t>C-19360</t>
  </si>
  <si>
    <t>C-19361</t>
  </si>
  <si>
    <t>C-19362</t>
  </si>
  <si>
    <t>C-19363</t>
  </si>
  <si>
    <t>C-19364</t>
  </si>
  <si>
    <t>C-19365</t>
  </si>
  <si>
    <t>C-19366</t>
  </si>
  <si>
    <t>C-19367</t>
  </si>
  <si>
    <t>C-19368</t>
  </si>
  <si>
    <t>C-19369</t>
  </si>
  <si>
    <t>C-19370</t>
  </si>
  <si>
    <t>C-19371</t>
  </si>
  <si>
    <t>C-19372</t>
  </si>
  <si>
    <t>C-19373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</si>
  <si>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</si>
  <si>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C-19374</t>
  </si>
  <si>
    <t>C-19375</t>
  </si>
  <si>
    <t>C-19376</t>
  </si>
  <si>
    <t>C-19377</t>
  </si>
  <si>
    <t>C-19378</t>
  </si>
  <si>
    <t>C-19379</t>
  </si>
  <si>
    <t>C-19380</t>
  </si>
  <si>
    <t>C-19381</t>
  </si>
  <si>
    <t>C-19382</t>
  </si>
  <si>
    <t>C-19383</t>
  </si>
  <si>
    <t>C-19384</t>
  </si>
  <si>
    <t>C-19385</t>
  </si>
  <si>
    <t>C-19386</t>
  </si>
  <si>
    <t>C-19387</t>
  </si>
  <si>
    <t>C-19388</t>
  </si>
  <si>
    <t>C-19389</t>
  </si>
  <si>
    <t>C-19390</t>
  </si>
  <si>
    <t>C-19391</t>
  </si>
  <si>
    <t>C-19392</t>
  </si>
  <si>
    <t>C-19393</t>
  </si>
  <si>
    <t>C-19394</t>
  </si>
  <si>
    <t>C-19395</t>
  </si>
  <si>
    <t>C-19396</t>
  </si>
  <si>
    <t>C-19397</t>
  </si>
  <si>
    <t>C-19398</t>
  </si>
  <si>
    <t>C-19399</t>
  </si>
  <si>
    <t>C-19400</t>
  </si>
  <si>
    <t>C-19401</t>
  </si>
  <si>
    <t>C-19402</t>
  </si>
  <si>
    <t>C-19403</t>
  </si>
  <si>
    <t>C-19404</t>
  </si>
  <si>
    <t>C-19405</t>
  </si>
  <si>
    <t>C-19406</t>
  </si>
  <si>
    <t>C-19407</t>
  </si>
  <si>
    <t>C-19408</t>
  </si>
  <si>
    <t>C-19409</t>
  </si>
  <si>
    <t>C-19410</t>
  </si>
  <si>
    <t>C-19411</t>
  </si>
  <si>
    <t>C-19412</t>
  </si>
  <si>
    <t>C-19413</t>
  </si>
  <si>
    <t>C-19414</t>
  </si>
  <si>
    <t>C-19415</t>
  </si>
  <si>
    <t>C-19416</t>
  </si>
  <si>
    <t>C-19417</t>
  </si>
  <si>
    <t>C-19418</t>
  </si>
  <si>
    <t>27-Abr-22--28-Abr-22</t>
  </si>
  <si>
    <t>C-19419</t>
  </si>
  <si>
    <t>C-19420</t>
  </si>
  <si>
    <t>C-19421</t>
  </si>
  <si>
    <t>C-19422</t>
  </si>
  <si>
    <t>C-19423</t>
  </si>
  <si>
    <t>C-19424</t>
  </si>
  <si>
    <t>C-19425</t>
  </si>
  <si>
    <t>C-19426</t>
  </si>
  <si>
    <t>C-19427</t>
  </si>
  <si>
    <t>C-19428</t>
  </si>
  <si>
    <t>C-19429</t>
  </si>
  <si>
    <t>C-19430</t>
  </si>
  <si>
    <t>C-19431</t>
  </si>
  <si>
    <t>C-19432</t>
  </si>
  <si>
    <t>C-19433</t>
  </si>
  <si>
    <t>C-19434</t>
  </si>
  <si>
    <t>C-19435</t>
  </si>
  <si>
    <t>C-19436</t>
  </si>
  <si>
    <t>C-19437</t>
  </si>
  <si>
    <t>C-19438</t>
  </si>
  <si>
    <t>C-19439</t>
  </si>
  <si>
    <t>C-19440</t>
  </si>
  <si>
    <t>C-19441</t>
  </si>
  <si>
    <t>C-19442</t>
  </si>
  <si>
    <t>C-19443</t>
  </si>
  <si>
    <t>C-19444</t>
  </si>
  <si>
    <t>C-19445</t>
  </si>
  <si>
    <t>C-19446</t>
  </si>
  <si>
    <t>C-19447</t>
  </si>
  <si>
    <t>C-19448</t>
  </si>
  <si>
    <t>C-19449</t>
  </si>
  <si>
    <t>C-19450</t>
  </si>
  <si>
    <t>C-19451</t>
  </si>
  <si>
    <t>C-19452</t>
  </si>
  <si>
    <t>C-19453</t>
  </si>
  <si>
    <t>C-19454</t>
  </si>
  <si>
    <t>C-19455</t>
  </si>
  <si>
    <t>C-19456</t>
  </si>
  <si>
    <t>C-19457</t>
  </si>
  <si>
    <t>C-19458</t>
  </si>
  <si>
    <t>C-19459</t>
  </si>
  <si>
    <t>C-19460</t>
  </si>
  <si>
    <t>C-19461</t>
  </si>
  <si>
    <t>C-19462</t>
  </si>
  <si>
    <t>C-19463</t>
  </si>
  <si>
    <t>C-19464</t>
  </si>
  <si>
    <t>C-19465</t>
  </si>
  <si>
    <t>C-19466</t>
  </si>
  <si>
    <t>C-19467</t>
  </si>
  <si>
    <t>C-19468</t>
  </si>
  <si>
    <t>C-19469</t>
  </si>
  <si>
    <t>C-19470</t>
  </si>
  <si>
    <t>C-19471</t>
  </si>
  <si>
    <t>C-19472</t>
  </si>
  <si>
    <t>C-19473</t>
  </si>
  <si>
    <t>C-19474</t>
  </si>
  <si>
    <t>C-19475</t>
  </si>
  <si>
    <t>C-19476</t>
  </si>
  <si>
    <t>C-19477</t>
  </si>
  <si>
    <t>C-19478</t>
  </si>
  <si>
    <t>C-19479</t>
  </si>
  <si>
    <t>C-19480</t>
  </si>
  <si>
    <t>C-19481</t>
  </si>
  <si>
    <t>C-19482</t>
  </si>
  <si>
    <t>C-19483</t>
  </si>
  <si>
    <t>C-19484</t>
  </si>
  <si>
    <t>C-19485</t>
  </si>
  <si>
    <t>C-19486</t>
  </si>
  <si>
    <t>C-19487</t>
  </si>
  <si>
    <t>C-19488</t>
  </si>
  <si>
    <t>C-19489</t>
  </si>
  <si>
    <t>C-19490</t>
  </si>
  <si>
    <t>C-19491</t>
  </si>
  <si>
    <t>C-19492</t>
  </si>
  <si>
    <t>C-19493</t>
  </si>
  <si>
    <t>C-19494</t>
  </si>
  <si>
    <t>C-19495</t>
  </si>
  <si>
    <t>C-19496</t>
  </si>
  <si>
    <t>24-Abr-22--25-Abr-22</t>
  </si>
  <si>
    <t>C-19497</t>
  </si>
  <si>
    <t>C-19498</t>
  </si>
  <si>
    <t>C-19499</t>
  </si>
  <si>
    <t>C-19500</t>
  </si>
  <si>
    <t>C-19501</t>
  </si>
  <si>
    <t>C-19502</t>
  </si>
  <si>
    <t>C-19503</t>
  </si>
  <si>
    <t>C-19504</t>
  </si>
  <si>
    <t>C-19505</t>
  </si>
  <si>
    <t>C-19506</t>
  </si>
  <si>
    <t>C-19507</t>
  </si>
  <si>
    <t>C-19508</t>
  </si>
  <si>
    <t>C-19509</t>
  </si>
  <si>
    <t>C-19510</t>
  </si>
  <si>
    <t>C-19511</t>
  </si>
  <si>
    <t>C-19512</t>
  </si>
  <si>
    <t>C-19513</t>
  </si>
  <si>
    <t>C-19514</t>
  </si>
  <si>
    <t>C-19515</t>
  </si>
  <si>
    <t>C-19516</t>
  </si>
  <si>
    <t>C-19517</t>
  </si>
  <si>
    <t>C-19518</t>
  </si>
  <si>
    <t>C-19519</t>
  </si>
  <si>
    <t>C-19520</t>
  </si>
  <si>
    <t>C-19521</t>
  </si>
  <si>
    <t>C-19522</t>
  </si>
  <si>
    <t>C-19523</t>
  </si>
  <si>
    <t>C-19524</t>
  </si>
  <si>
    <t>C-19525</t>
  </si>
  <si>
    <r>
      <t xml:space="preserve">(225)ABASTOS DE 4 CARNES SA DE CV SUC. HERRADURA  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</si>
  <si>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19528</t>
  </si>
  <si>
    <t>C-19526</t>
  </si>
  <si>
    <t>C-19527</t>
  </si>
  <si>
    <t>(622)TOÑO CHOLULA</t>
  </si>
  <si>
    <t>C-19528</t>
  </si>
  <si>
    <t>C-19529</t>
  </si>
  <si>
    <t>C-19530</t>
  </si>
  <si>
    <t>C-19531</t>
  </si>
  <si>
    <t>C-19532</t>
  </si>
  <si>
    <t>C-19533</t>
  </si>
  <si>
    <t>C-19534</t>
  </si>
  <si>
    <t>C-19535</t>
  </si>
  <si>
    <t>C-19536</t>
  </si>
  <si>
    <t>C-19537</t>
  </si>
  <si>
    <t>C-19538</t>
  </si>
  <si>
    <t>C-19539</t>
  </si>
  <si>
    <t>C-19540</t>
  </si>
  <si>
    <t>C-19541</t>
  </si>
  <si>
    <t>C-19542</t>
  </si>
  <si>
    <t>C-19543</t>
  </si>
  <si>
    <t>C-19544</t>
  </si>
  <si>
    <t>C-19545</t>
  </si>
  <si>
    <t>C-19546</t>
  </si>
  <si>
    <r>
      <t xml:space="preserve">(93)ALB&amp;CIA   </t>
    </r>
    <r>
      <rPr>
        <b/>
        <sz val="12"/>
        <color rgb="FFFF0000"/>
        <rFont val="Calibri"/>
        <family val="2"/>
        <scheme val="minor"/>
      </rPr>
      <t>CANCELADA</t>
    </r>
  </si>
  <si>
    <t>C-19547</t>
  </si>
  <si>
    <t>C-19548</t>
  </si>
  <si>
    <t>C-19549</t>
  </si>
  <si>
    <t>C-19550</t>
  </si>
  <si>
    <t>C-19551</t>
  </si>
  <si>
    <t>C-19552</t>
  </si>
  <si>
    <t>C-19553</t>
  </si>
  <si>
    <t>C-19554</t>
  </si>
  <si>
    <t>C-19555</t>
  </si>
  <si>
    <t>C-19556</t>
  </si>
  <si>
    <t>C-19557</t>
  </si>
  <si>
    <t>C-19558</t>
  </si>
  <si>
    <t>C-19559</t>
  </si>
  <si>
    <t>C-19560</t>
  </si>
  <si>
    <t>C-19561</t>
  </si>
  <si>
    <t>C-19562</t>
  </si>
  <si>
    <t>C-19563</t>
  </si>
  <si>
    <t>C-19564</t>
  </si>
  <si>
    <t>C-19565</t>
  </si>
  <si>
    <t>C-19566</t>
  </si>
  <si>
    <t>C-19567</t>
  </si>
  <si>
    <t>C-19568</t>
  </si>
  <si>
    <t>C-19569</t>
  </si>
  <si>
    <t>C-19570</t>
  </si>
  <si>
    <t>C-19571</t>
  </si>
  <si>
    <t>C-19572</t>
  </si>
  <si>
    <t>C-19573</t>
  </si>
  <si>
    <t>C-19574</t>
  </si>
  <si>
    <t>C-19575</t>
  </si>
  <si>
    <t>C-19576</t>
  </si>
  <si>
    <t>C-19577</t>
  </si>
  <si>
    <t>C-19578</t>
  </si>
  <si>
    <t>C-19579</t>
  </si>
  <si>
    <t>C-19580</t>
  </si>
  <si>
    <t>C-19581</t>
  </si>
  <si>
    <t>C-19582</t>
  </si>
  <si>
    <t>C-19583</t>
  </si>
  <si>
    <t>C-19584</t>
  </si>
  <si>
    <t>C-19585</t>
  </si>
  <si>
    <t>C-19586</t>
  </si>
  <si>
    <t>C-19587</t>
  </si>
  <si>
    <t>C-19588</t>
  </si>
  <si>
    <t>C-19589</t>
  </si>
  <si>
    <t>C-19590</t>
  </si>
  <si>
    <t>C-19591</t>
  </si>
  <si>
    <t>C-19592</t>
  </si>
  <si>
    <t>C-19593</t>
  </si>
  <si>
    <t>C-19594</t>
  </si>
  <si>
    <t>C-19595</t>
  </si>
  <si>
    <t>C-19596</t>
  </si>
  <si>
    <t>C-19597</t>
  </si>
  <si>
    <t>C-19598</t>
  </si>
  <si>
    <t>C-19599</t>
  </si>
  <si>
    <t>C-19600</t>
  </si>
  <si>
    <t>C-19601</t>
  </si>
  <si>
    <t>C-19602</t>
  </si>
  <si>
    <t>C-19603</t>
  </si>
  <si>
    <t>C-19604</t>
  </si>
  <si>
    <t>C-19605</t>
  </si>
  <si>
    <t>C-19606</t>
  </si>
  <si>
    <t>C-19607</t>
  </si>
  <si>
    <t>C-19608</t>
  </si>
  <si>
    <t>C-19609</t>
  </si>
  <si>
    <t>C-19610</t>
  </si>
  <si>
    <t>C-19611</t>
  </si>
  <si>
    <t>C-19612</t>
  </si>
  <si>
    <t>C-19613</t>
  </si>
  <si>
    <t>C-19614</t>
  </si>
  <si>
    <t>C-19615</t>
  </si>
  <si>
    <t>C-19616</t>
  </si>
  <si>
    <t>C-19617</t>
  </si>
  <si>
    <t>C-19618</t>
  </si>
  <si>
    <t>C-19619</t>
  </si>
  <si>
    <t>C-19620</t>
  </si>
  <si>
    <t>C-19621</t>
  </si>
  <si>
    <t>C-19622</t>
  </si>
  <si>
    <t>C-19623</t>
  </si>
  <si>
    <t>C-19624</t>
  </si>
  <si>
    <t>C-19625</t>
  </si>
  <si>
    <t>C-19626</t>
  </si>
  <si>
    <t>C-19627</t>
  </si>
  <si>
    <t>23-Abr-22--24-Abr-22</t>
  </si>
  <si>
    <t>C-19628</t>
  </si>
  <si>
    <t>C-19629</t>
  </si>
  <si>
    <t>C-19630</t>
  </si>
  <si>
    <t>C-19631</t>
  </si>
  <si>
    <t>C-19632</t>
  </si>
  <si>
    <t>C-19633</t>
  </si>
  <si>
    <t>C-19634</t>
  </si>
  <si>
    <t>C-19635</t>
  </si>
  <si>
    <t>C-19636</t>
  </si>
  <si>
    <t>C-19637</t>
  </si>
  <si>
    <t>C-19638</t>
  </si>
  <si>
    <t>C-19639</t>
  </si>
  <si>
    <t>C-19640</t>
  </si>
  <si>
    <t>C-19641</t>
  </si>
  <si>
    <t>C-19642</t>
  </si>
  <si>
    <t>C-19643</t>
  </si>
  <si>
    <t>C-19644</t>
  </si>
  <si>
    <t>C-19645</t>
  </si>
  <si>
    <t>C-19646</t>
  </si>
  <si>
    <t>C-19647</t>
  </si>
  <si>
    <t>C-19648</t>
  </si>
  <si>
    <t>C-19649</t>
  </si>
  <si>
    <t>C-19650</t>
  </si>
  <si>
    <t>C-19651</t>
  </si>
  <si>
    <t>C-19652</t>
  </si>
  <si>
    <r>
      <t xml:space="preserve">(686)RICARDO MACHORRO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</si>
  <si>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C-19653</t>
  </si>
  <si>
    <t>C-19654</t>
  </si>
  <si>
    <t>C-19655</t>
  </si>
  <si>
    <t>C-19656</t>
  </si>
  <si>
    <t>C-19657</t>
  </si>
  <si>
    <t>25-Abr-22--26-Abr-22</t>
  </si>
  <si>
    <t>C-19658</t>
  </si>
  <si>
    <t>C-19659</t>
  </si>
  <si>
    <t>C-19660</t>
  </si>
  <si>
    <t>C-19661</t>
  </si>
  <si>
    <t>C-19662</t>
  </si>
  <si>
    <t>C-19663</t>
  </si>
  <si>
    <t>26-Abr-22--27-Abr-22</t>
  </si>
  <si>
    <t>C-19664</t>
  </si>
  <si>
    <t>C-19665</t>
  </si>
  <si>
    <t>C-19666</t>
  </si>
  <si>
    <t>C-19667</t>
  </si>
  <si>
    <t>C-19668</t>
  </si>
  <si>
    <t>C-19669</t>
  </si>
  <si>
    <t>C-19670</t>
  </si>
  <si>
    <t>C-19671</t>
  </si>
  <si>
    <t>C-19672</t>
  </si>
  <si>
    <t>C-19673</t>
  </si>
  <si>
    <t>C-19674</t>
  </si>
  <si>
    <t>C-19675</t>
  </si>
  <si>
    <t>C-19676</t>
  </si>
  <si>
    <t>C-19677</t>
  </si>
  <si>
    <t>C-19678</t>
  </si>
  <si>
    <t>C-19679</t>
  </si>
  <si>
    <t>C-19680</t>
  </si>
  <si>
    <t>C-19681</t>
  </si>
  <si>
    <t>C-19682</t>
  </si>
  <si>
    <t>C-19683</t>
  </si>
  <si>
    <t>C-19684</t>
  </si>
  <si>
    <t>C-19685</t>
  </si>
  <si>
    <t>C-19686</t>
  </si>
  <si>
    <t>C-19687</t>
  </si>
  <si>
    <t>C-19688</t>
  </si>
  <si>
    <t>C-19689</t>
  </si>
  <si>
    <t>C-19690</t>
  </si>
  <si>
    <t>C-19691</t>
  </si>
  <si>
    <t>C-19692</t>
  </si>
  <si>
    <t>C-19693</t>
  </si>
  <si>
    <t>C-19694</t>
  </si>
  <si>
    <t>C-19695</t>
  </si>
  <si>
    <t>C-19696</t>
  </si>
  <si>
    <t>C-19697</t>
  </si>
  <si>
    <t>C-19698</t>
  </si>
  <si>
    <t>C-19699</t>
  </si>
  <si>
    <t>C-19700</t>
  </si>
  <si>
    <t>C-19701</t>
  </si>
  <si>
    <t>C-19702</t>
  </si>
  <si>
    <t>C-19703</t>
  </si>
  <si>
    <t>C-19704</t>
  </si>
  <si>
    <t>C-19705</t>
  </si>
  <si>
    <t>C-19706</t>
  </si>
  <si>
    <t>C-19707</t>
  </si>
  <si>
    <t>C-19708</t>
  </si>
  <si>
    <t>C-19709</t>
  </si>
  <si>
    <t>C-19710</t>
  </si>
  <si>
    <t>C-19711</t>
  </si>
  <si>
    <t>C-19712</t>
  </si>
  <si>
    <t>C-19713</t>
  </si>
  <si>
    <t>C-19714</t>
  </si>
  <si>
    <t>C-19715</t>
  </si>
  <si>
    <t>C-19716</t>
  </si>
  <si>
    <t>C-19717</t>
  </si>
  <si>
    <t>C-19718</t>
  </si>
  <si>
    <t>C-19719</t>
  </si>
  <si>
    <t>C-19720</t>
  </si>
  <si>
    <t>C-19721</t>
  </si>
  <si>
    <t>C-19722</t>
  </si>
  <si>
    <t>C-19723</t>
  </si>
  <si>
    <t>C-19724</t>
  </si>
  <si>
    <t>C-19725</t>
  </si>
  <si>
    <t>C-19726</t>
  </si>
  <si>
    <t>C-19727</t>
  </si>
  <si>
    <t>C-19728</t>
  </si>
  <si>
    <t>C-19729</t>
  </si>
  <si>
    <t>C-19730</t>
  </si>
  <si>
    <t>C-19731</t>
  </si>
  <si>
    <t>C-19732</t>
  </si>
  <si>
    <t>C-19733</t>
  </si>
  <si>
    <t>C-19734</t>
  </si>
  <si>
    <t>C-19735</t>
  </si>
  <si>
    <t>C-19736</t>
  </si>
  <si>
    <t>C-19737</t>
  </si>
  <si>
    <t>C-19738</t>
  </si>
  <si>
    <t>C-19739</t>
  </si>
  <si>
    <t>C-19740</t>
  </si>
  <si>
    <t>C-19741</t>
  </si>
  <si>
    <t>C-19742</t>
  </si>
  <si>
    <t>C-19743</t>
  </si>
  <si>
    <t>C-19744</t>
  </si>
  <si>
    <t>C-19745</t>
  </si>
  <si>
    <t>C-19746</t>
  </si>
  <si>
    <t>C-19747</t>
  </si>
  <si>
    <t>C-19748</t>
  </si>
  <si>
    <t>C-19749</t>
  </si>
  <si>
    <t>C-19750</t>
  </si>
  <si>
    <t>C-19751</t>
  </si>
  <si>
    <t>C-19752</t>
  </si>
  <si>
    <t>C-19753</t>
  </si>
  <si>
    <t>C-19754</t>
  </si>
  <si>
    <t>C-19755</t>
  </si>
  <si>
    <t>C-19756</t>
  </si>
  <si>
    <t>C-19757</t>
  </si>
  <si>
    <t>C-19758</t>
  </si>
  <si>
    <t>(504)ROEL</t>
  </si>
  <si>
    <t>C-19759</t>
  </si>
  <si>
    <t>C-19760</t>
  </si>
  <si>
    <t>C-19761</t>
  </si>
  <si>
    <t>C-19762</t>
  </si>
  <si>
    <t>C-19763</t>
  </si>
  <si>
    <t>C-19764</t>
  </si>
  <si>
    <t>C-19765</t>
  </si>
  <si>
    <t>C-19766</t>
  </si>
  <si>
    <t>C-19767</t>
  </si>
  <si>
    <t>C-19768</t>
  </si>
  <si>
    <t>C-19769</t>
  </si>
  <si>
    <t>C-19770</t>
  </si>
  <si>
    <t>C-19771</t>
  </si>
  <si>
    <t>C-19772</t>
  </si>
  <si>
    <t>C-19773</t>
  </si>
  <si>
    <t>C-19774</t>
  </si>
  <si>
    <t>C-19775</t>
  </si>
  <si>
    <t>C-19776</t>
  </si>
  <si>
    <t>C-19777</t>
  </si>
  <si>
    <t>C-19778</t>
  </si>
  <si>
    <t>C-19779</t>
  </si>
  <si>
    <t>C-19780</t>
  </si>
  <si>
    <t>C-19781</t>
  </si>
  <si>
    <t>C-19782</t>
  </si>
  <si>
    <t>C-19783</t>
  </si>
  <si>
    <t>C-19784</t>
  </si>
  <si>
    <t>C-19785</t>
  </si>
  <si>
    <t>C-19786</t>
  </si>
  <si>
    <t>C-19787</t>
  </si>
  <si>
    <t>C-19788</t>
  </si>
  <si>
    <t>C-19789</t>
  </si>
  <si>
    <t>C-19790</t>
  </si>
  <si>
    <t>C-19791</t>
  </si>
  <si>
    <t>C-19792</t>
  </si>
  <si>
    <t>C-19793</t>
  </si>
  <si>
    <t>C-19794</t>
  </si>
  <si>
    <t>C-19795</t>
  </si>
  <si>
    <t>C-19796</t>
  </si>
  <si>
    <t>C-19797</t>
  </si>
  <si>
    <t>C-19798</t>
  </si>
  <si>
    <t>C-19799</t>
  </si>
  <si>
    <t>C-19800</t>
  </si>
  <si>
    <t>C-19801</t>
  </si>
  <si>
    <t>C-19802</t>
  </si>
  <si>
    <t>C-19803</t>
  </si>
  <si>
    <t>C-19804</t>
  </si>
  <si>
    <t>C-19805</t>
  </si>
  <si>
    <t>C-19806</t>
  </si>
  <si>
    <t>C-19807</t>
  </si>
  <si>
    <t>C-19808</t>
  </si>
  <si>
    <t>C-19809</t>
  </si>
  <si>
    <t>C-19810</t>
  </si>
  <si>
    <t>C-19811</t>
  </si>
  <si>
    <t>C-19812</t>
  </si>
  <si>
    <t>C-19813</t>
  </si>
  <si>
    <t>C-19814</t>
  </si>
  <si>
    <t>C-19815</t>
  </si>
  <si>
    <t>C-19816</t>
  </si>
  <si>
    <t>C-19817</t>
  </si>
  <si>
    <t>C-19818</t>
  </si>
  <si>
    <t>C-19819</t>
  </si>
  <si>
    <t>C-19820</t>
  </si>
  <si>
    <t>C-19821</t>
  </si>
  <si>
    <t>C-19822</t>
  </si>
  <si>
    <t>C-19823</t>
  </si>
  <si>
    <t>C-19824</t>
  </si>
  <si>
    <t>28-Abr-22--29-Abr-22</t>
  </si>
  <si>
    <t>C-19825</t>
  </si>
  <si>
    <t>C-19826</t>
  </si>
  <si>
    <t>C-19827</t>
  </si>
  <si>
    <t>C-19828</t>
  </si>
  <si>
    <t>C-19829</t>
  </si>
  <si>
    <t>25-Abr-22---26-Abr-22</t>
  </si>
  <si>
    <t>C-19830</t>
  </si>
  <si>
    <t>C-19831</t>
  </si>
  <si>
    <t>C-19832</t>
  </si>
  <si>
    <t>C-19833</t>
  </si>
  <si>
    <t>C-19834</t>
  </si>
  <si>
    <t>C-19835</t>
  </si>
  <si>
    <t>C-19836</t>
  </si>
  <si>
    <t>C-19837</t>
  </si>
  <si>
    <t>C-19838</t>
  </si>
  <si>
    <t>C-19839</t>
  </si>
  <si>
    <t>C-19840</t>
  </si>
  <si>
    <t>C-19841</t>
  </si>
  <si>
    <t>C-19842</t>
  </si>
  <si>
    <t>C-19843</t>
  </si>
  <si>
    <t>C-19844</t>
  </si>
  <si>
    <t>C-19845</t>
  </si>
  <si>
    <t>C-19846</t>
  </si>
  <si>
    <t>C-19847</t>
  </si>
  <si>
    <t>C-19848</t>
  </si>
  <si>
    <t>C-19849</t>
  </si>
  <si>
    <t>C-19850</t>
  </si>
  <si>
    <t>C-19851</t>
  </si>
  <si>
    <t>C-19852</t>
  </si>
  <si>
    <t>C-19853</t>
  </si>
  <si>
    <t>C-19854</t>
  </si>
  <si>
    <t>C-19855</t>
  </si>
  <si>
    <t>C-19856</t>
  </si>
  <si>
    <t>C-19857</t>
  </si>
  <si>
    <t>C-19858</t>
  </si>
  <si>
    <t>C-19859</t>
  </si>
  <si>
    <t>C-19860</t>
  </si>
  <si>
    <t>C-19861</t>
  </si>
  <si>
    <t>C-19862</t>
  </si>
  <si>
    <t>C-19863</t>
  </si>
  <si>
    <t>C-19864</t>
  </si>
  <si>
    <t>C-19865</t>
  </si>
  <si>
    <t>C-19866</t>
  </si>
  <si>
    <t>C-19867</t>
  </si>
  <si>
    <t>C-19868</t>
  </si>
  <si>
    <t>C-19869</t>
  </si>
  <si>
    <t>C-19870</t>
  </si>
  <si>
    <t>C-19871</t>
  </si>
  <si>
    <t>C-19872</t>
  </si>
  <si>
    <t>C-19873</t>
  </si>
  <si>
    <t>C-19874</t>
  </si>
  <si>
    <t>C-19875</t>
  </si>
  <si>
    <t>C-19876</t>
  </si>
  <si>
    <t>C-19877</t>
  </si>
  <si>
    <t>C-19878</t>
  </si>
  <si>
    <t>C-19879</t>
  </si>
  <si>
    <t>C-19880</t>
  </si>
  <si>
    <t>C-19881</t>
  </si>
  <si>
    <t>C-19882</t>
  </si>
  <si>
    <t>C-19883</t>
  </si>
  <si>
    <t>C-19884</t>
  </si>
  <si>
    <t>C-19885</t>
  </si>
  <si>
    <t>C-19886</t>
  </si>
  <si>
    <t>C-19887</t>
  </si>
  <si>
    <t>C-19888</t>
  </si>
  <si>
    <t>C-19889</t>
  </si>
  <si>
    <t>C-19890</t>
  </si>
  <si>
    <t>C-19891</t>
  </si>
  <si>
    <t>C-19892</t>
  </si>
  <si>
    <t>C-19893</t>
  </si>
  <si>
    <t>C-19894</t>
  </si>
  <si>
    <t>C-19895</t>
  </si>
  <si>
    <t>C-19896</t>
  </si>
  <si>
    <t>C-19897</t>
  </si>
  <si>
    <t>C-19898</t>
  </si>
  <si>
    <t>C-19899</t>
  </si>
  <si>
    <t>C-19900</t>
  </si>
  <si>
    <t>C-19901</t>
  </si>
  <si>
    <t>C-19902</t>
  </si>
  <si>
    <t>C-19903</t>
  </si>
  <si>
    <t>C-19904</t>
  </si>
  <si>
    <t>C-19905</t>
  </si>
  <si>
    <t>C-19906</t>
  </si>
  <si>
    <t>C-19907</t>
  </si>
  <si>
    <t>C-19908</t>
  </si>
  <si>
    <t>C-19909</t>
  </si>
  <si>
    <t>C-19910</t>
  </si>
  <si>
    <t>C-19911</t>
  </si>
  <si>
    <t>C-19912</t>
  </si>
  <si>
    <t>C-19913</t>
  </si>
  <si>
    <t>C-19914</t>
  </si>
  <si>
    <t>C-19915</t>
  </si>
  <si>
    <t>C-19916</t>
  </si>
  <si>
    <t>C-19917</t>
  </si>
  <si>
    <t>C-19918</t>
  </si>
  <si>
    <t>(469)CATALINA CORONA</t>
  </si>
  <si>
    <t>C-19919</t>
  </si>
  <si>
    <t>C-19920</t>
  </si>
  <si>
    <t>C-19921</t>
  </si>
  <si>
    <t>C-19922</t>
  </si>
  <si>
    <t>C-19923</t>
  </si>
  <si>
    <r>
      <t xml:space="preserve">(685)VERONICA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</si>
  <si>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C-19924</t>
  </si>
  <si>
    <t>C-19925</t>
  </si>
  <si>
    <t>C-19926</t>
  </si>
  <si>
    <t>C-19927</t>
  </si>
  <si>
    <t>C-19928</t>
  </si>
  <si>
    <t>C-19929</t>
  </si>
  <si>
    <t>C-19930</t>
  </si>
  <si>
    <t>C-19931</t>
  </si>
  <si>
    <t>C-19932</t>
  </si>
  <si>
    <t>C-19933</t>
  </si>
  <si>
    <t>C-19934</t>
  </si>
  <si>
    <t>C-19935</t>
  </si>
  <si>
    <t>C-19936</t>
  </si>
  <si>
    <t>C-19937</t>
  </si>
  <si>
    <t>C-19938</t>
  </si>
  <si>
    <t>C-19939</t>
  </si>
  <si>
    <t>C-19940</t>
  </si>
  <si>
    <t>C-19941</t>
  </si>
  <si>
    <t>C-19942</t>
  </si>
  <si>
    <t>C-19943</t>
  </si>
  <si>
    <t>C-19944</t>
  </si>
  <si>
    <t>C-19945</t>
  </si>
  <si>
    <t>C-19946</t>
  </si>
  <si>
    <t>C-19947</t>
  </si>
  <si>
    <t>C-19948</t>
  </si>
  <si>
    <t>C-19949</t>
  </si>
  <si>
    <t>C-19950</t>
  </si>
  <si>
    <r>
      <t xml:space="preserve">(694)SONIA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</si>
  <si>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C-19951</t>
  </si>
  <si>
    <t>C-19952</t>
  </si>
  <si>
    <t>C-19953</t>
  </si>
  <si>
    <t>C-19954</t>
  </si>
  <si>
    <t>C-19955</t>
  </si>
  <si>
    <t>C-19956</t>
  </si>
  <si>
    <t>C-19957</t>
  </si>
  <si>
    <t>C-19958</t>
  </si>
  <si>
    <t>C-19959</t>
  </si>
  <si>
    <t>C-19960</t>
  </si>
  <si>
    <t>C-19961</t>
  </si>
  <si>
    <t>C-19962</t>
  </si>
  <si>
    <t>C-19963</t>
  </si>
  <si>
    <t>C-19964</t>
  </si>
  <si>
    <t>C-19965</t>
  </si>
  <si>
    <t>C-19966</t>
  </si>
  <si>
    <t>C-19967</t>
  </si>
  <si>
    <t>C-19968</t>
  </si>
  <si>
    <t>C-19969</t>
  </si>
  <si>
    <t>C-19970</t>
  </si>
  <si>
    <t>C-19971</t>
  </si>
  <si>
    <t>C-19972</t>
  </si>
  <si>
    <t>C-19973</t>
  </si>
  <si>
    <t>C-19974</t>
  </si>
  <si>
    <t>C-19975</t>
  </si>
  <si>
    <t>C-19976</t>
  </si>
  <si>
    <t>C-19977</t>
  </si>
  <si>
    <t>C-19978</t>
  </si>
  <si>
    <t>C-19979</t>
  </si>
  <si>
    <t>C-19980</t>
  </si>
  <si>
    <t>C-19981</t>
  </si>
  <si>
    <t>C-19982</t>
  </si>
  <si>
    <t>C-19983</t>
  </si>
  <si>
    <t>C-19984</t>
  </si>
  <si>
    <t>C-19985</t>
  </si>
  <si>
    <t>C-19986</t>
  </si>
  <si>
    <t>C-19987</t>
  </si>
  <si>
    <t>C-19988</t>
  </si>
  <si>
    <t>C-19989</t>
  </si>
  <si>
    <t>C-19990</t>
  </si>
  <si>
    <t>C-19991</t>
  </si>
  <si>
    <t>C-19992</t>
  </si>
  <si>
    <t>C-19993</t>
  </si>
  <si>
    <t>C-19994</t>
  </si>
  <si>
    <t>C-19995</t>
  </si>
  <si>
    <t>C-19996</t>
  </si>
  <si>
    <t>C-19997</t>
  </si>
  <si>
    <t>C-19998</t>
  </si>
  <si>
    <t>C-19999</t>
  </si>
  <si>
    <t>C-20000</t>
  </si>
  <si>
    <r>
      <t xml:space="preserve">(297)ZAPATA  JUQUILA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</si>
  <si>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C-20001</t>
  </si>
  <si>
    <t>C-20002</t>
  </si>
  <si>
    <t>C-20003</t>
  </si>
  <si>
    <t>C-20004</t>
  </si>
  <si>
    <t>C-20005</t>
  </si>
  <si>
    <t>C-20006</t>
  </si>
  <si>
    <t>C-20007</t>
  </si>
  <si>
    <t>C-20008</t>
  </si>
  <si>
    <t>C-20009</t>
  </si>
  <si>
    <t>C-20010</t>
  </si>
  <si>
    <r>
      <t xml:space="preserve">(363)ADRIAN JUAREZ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</si>
  <si>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C-20011</t>
  </si>
  <si>
    <t>C-20012</t>
  </si>
  <si>
    <t>C-20013</t>
  </si>
  <si>
    <t>C-20014</t>
  </si>
  <si>
    <t>C-20015</t>
  </si>
  <si>
    <t>C-20016</t>
  </si>
  <si>
    <t>C-20017</t>
  </si>
  <si>
    <t>C-20018</t>
  </si>
  <si>
    <t>C-20019</t>
  </si>
  <si>
    <t>C-20020</t>
  </si>
  <si>
    <t>(776)AURELIO JIMENEZ CRUZ</t>
  </si>
  <si>
    <t>C-20021</t>
  </si>
  <si>
    <t>C-20022</t>
  </si>
  <si>
    <t>C-20023</t>
  </si>
  <si>
    <t>C-20024</t>
  </si>
  <si>
    <t>C-20025</t>
  </si>
  <si>
    <t>C-20026</t>
  </si>
  <si>
    <t>C-20027</t>
  </si>
  <si>
    <t>C-20028</t>
  </si>
  <si>
    <t>C-20029</t>
  </si>
  <si>
    <t>C-20030</t>
  </si>
  <si>
    <t>C-20031</t>
  </si>
  <si>
    <t>C-20032</t>
  </si>
  <si>
    <t>C-20033</t>
  </si>
  <si>
    <t>C-20034</t>
  </si>
  <si>
    <t>C-20035</t>
  </si>
  <si>
    <t>C-20036</t>
  </si>
  <si>
    <t>C-20037</t>
  </si>
  <si>
    <t>C-20038</t>
  </si>
  <si>
    <t>C-20039</t>
  </si>
  <si>
    <t>C-20040</t>
  </si>
  <si>
    <t>C-20041</t>
  </si>
  <si>
    <t>C-20042</t>
  </si>
  <si>
    <t>C-20043</t>
  </si>
  <si>
    <t>C-20044</t>
  </si>
  <si>
    <t>C-20045</t>
  </si>
  <si>
    <t>C-20046</t>
  </si>
  <si>
    <t>C-20047</t>
  </si>
  <si>
    <t>C-20048</t>
  </si>
  <si>
    <t>C-20049</t>
  </si>
  <si>
    <t>C-20050</t>
  </si>
  <si>
    <t>C-20051</t>
  </si>
  <si>
    <t>C-20052</t>
  </si>
  <si>
    <t>C-20053</t>
  </si>
  <si>
    <t>C-20054</t>
  </si>
  <si>
    <t>C-20055</t>
  </si>
  <si>
    <t>C-20056</t>
  </si>
  <si>
    <t>C-20057</t>
  </si>
  <si>
    <t>C-20058</t>
  </si>
  <si>
    <t>C-20059</t>
  </si>
  <si>
    <t>C-20060</t>
  </si>
  <si>
    <t>C-20061</t>
  </si>
  <si>
    <t>C-20062</t>
  </si>
  <si>
    <t>C-20063</t>
  </si>
  <si>
    <t>C-20064</t>
  </si>
  <si>
    <t>C-20065</t>
  </si>
  <si>
    <t>C-20066</t>
  </si>
  <si>
    <t>C-20067</t>
  </si>
  <si>
    <t>C-20068</t>
  </si>
  <si>
    <t>C-20069</t>
  </si>
  <si>
    <t>C-20070</t>
  </si>
  <si>
    <t>C-20071</t>
  </si>
  <si>
    <t>C-20072</t>
  </si>
  <si>
    <t>C-20073</t>
  </si>
  <si>
    <t>C-20074</t>
  </si>
  <si>
    <t>C-20075</t>
  </si>
  <si>
    <t>C-20076</t>
  </si>
  <si>
    <t>C-20077</t>
  </si>
  <si>
    <t>C-20078</t>
  </si>
  <si>
    <t>C-20079</t>
  </si>
  <si>
    <t>C-20080</t>
  </si>
  <si>
    <t>C-20081</t>
  </si>
  <si>
    <t>C-20082</t>
  </si>
  <si>
    <t>C-20083</t>
  </si>
  <si>
    <t>C-20084</t>
  </si>
  <si>
    <t>C-20085</t>
  </si>
  <si>
    <t>C-20086</t>
  </si>
  <si>
    <t>C-20087</t>
  </si>
  <si>
    <t>C-20088</t>
  </si>
  <si>
    <t>C-20089</t>
  </si>
  <si>
    <t>C-20090</t>
  </si>
  <si>
    <t>C-20091</t>
  </si>
  <si>
    <t>C-20092</t>
  </si>
  <si>
    <t>C-20093</t>
  </si>
  <si>
    <t>C-20094</t>
  </si>
  <si>
    <t>C-20095</t>
  </si>
  <si>
    <t>C-20096</t>
  </si>
  <si>
    <t>C-20097</t>
  </si>
  <si>
    <t>C-20098</t>
  </si>
  <si>
    <t>C-20099</t>
  </si>
  <si>
    <t>C-20100</t>
  </si>
  <si>
    <t>C-20101</t>
  </si>
  <si>
    <t>C-20102</t>
  </si>
  <si>
    <t>C-20103</t>
  </si>
  <si>
    <t>C-20104</t>
  </si>
  <si>
    <t>C-20105</t>
  </si>
  <si>
    <t>C-20106</t>
  </si>
  <si>
    <t>C-20107</t>
  </si>
  <si>
    <t>C-20108</t>
  </si>
  <si>
    <t>C-20109</t>
  </si>
  <si>
    <t>C-20110</t>
  </si>
  <si>
    <t>C-20111</t>
  </si>
  <si>
    <t>C-20112</t>
  </si>
  <si>
    <t>C-20113</t>
  </si>
  <si>
    <t>C-20114</t>
  </si>
  <si>
    <t>27/04/2022</t>
  </si>
  <si>
    <t>C-20115</t>
  </si>
  <si>
    <t>C-20116</t>
  </si>
  <si>
    <t>C-20117</t>
  </si>
  <si>
    <t>C-20118</t>
  </si>
  <si>
    <t>C-20119</t>
  </si>
  <si>
    <t>C-20120</t>
  </si>
  <si>
    <t>C-20121</t>
  </si>
  <si>
    <t>C-20122</t>
  </si>
  <si>
    <t>C-20123</t>
  </si>
  <si>
    <t>C-20124</t>
  </si>
  <si>
    <t>C-20125</t>
  </si>
  <si>
    <t>C-20126</t>
  </si>
  <si>
    <t>C-20127</t>
  </si>
  <si>
    <t>C-20128</t>
  </si>
  <si>
    <t>C-20129</t>
  </si>
  <si>
    <t>C-20130</t>
  </si>
  <si>
    <t>C-20131</t>
  </si>
  <si>
    <t>C-20132</t>
  </si>
  <si>
    <t>C-20133</t>
  </si>
  <si>
    <t>C-20134</t>
  </si>
  <si>
    <t>C-20135</t>
  </si>
  <si>
    <t>C-20136</t>
  </si>
  <si>
    <t>C-20137</t>
  </si>
  <si>
    <t>C-20138</t>
  </si>
  <si>
    <t>C-20139</t>
  </si>
  <si>
    <t>C-20140</t>
  </si>
  <si>
    <t>C-20141</t>
  </si>
  <si>
    <t>C-20142</t>
  </si>
  <si>
    <t>C-20143</t>
  </si>
  <si>
    <t>C-20144</t>
  </si>
  <si>
    <t>C-20145</t>
  </si>
  <si>
    <t>C-20146</t>
  </si>
  <si>
    <r>
      <t xml:space="preserve">(409)JOVANY CUATEPOTZO  </t>
    </r>
    <r>
      <rPr>
        <b/>
        <sz val="12"/>
        <color rgb="FFFF0000"/>
        <rFont val="Calibri"/>
        <family val="2"/>
        <scheme val="minor"/>
      </rPr>
      <t>CANCELADA</t>
    </r>
  </si>
  <si>
    <t>C-20147</t>
  </si>
  <si>
    <t>C-20148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</si>
  <si>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>CANCELADA</t>
    </r>
  </si>
  <si>
    <t>C-20149</t>
  </si>
  <si>
    <t>C-20150</t>
  </si>
  <si>
    <t>C-20151</t>
  </si>
  <si>
    <t>C-20152</t>
  </si>
  <si>
    <t>C-20153</t>
  </si>
  <si>
    <t>C-20154</t>
  </si>
  <si>
    <t>C-20155</t>
  </si>
  <si>
    <t>C-20156</t>
  </si>
  <si>
    <t>C-20157</t>
  </si>
  <si>
    <t>C-20158</t>
  </si>
  <si>
    <t>C-20159</t>
  </si>
  <si>
    <t>C-20160</t>
  </si>
  <si>
    <t>C-20161</t>
  </si>
  <si>
    <t>C-20162</t>
  </si>
  <si>
    <t>C-20163</t>
  </si>
  <si>
    <t>C-20164</t>
  </si>
  <si>
    <t>C-20165</t>
  </si>
  <si>
    <r>
      <t xml:space="preserve">(853)JOSE LUIS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</si>
  <si>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C-20166</t>
  </si>
  <si>
    <t>C-20167</t>
  </si>
  <si>
    <t>C-20168</t>
  </si>
  <si>
    <t>C-20169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</si>
  <si>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CANCELADA</t>
    </r>
  </si>
  <si>
    <t>C-20170</t>
  </si>
  <si>
    <t>C-20171</t>
  </si>
  <si>
    <t>C-20172</t>
  </si>
  <si>
    <t>C-20173</t>
  </si>
  <si>
    <t>C-20174</t>
  </si>
  <si>
    <t>C-20175</t>
  </si>
  <si>
    <t>C-20176</t>
  </si>
  <si>
    <t>C-20177</t>
  </si>
  <si>
    <t>C-20178</t>
  </si>
  <si>
    <t>C-20179</t>
  </si>
  <si>
    <t>C-20180</t>
  </si>
  <si>
    <t>C-20181</t>
  </si>
  <si>
    <t>C-20182</t>
  </si>
  <si>
    <t>C-20183</t>
  </si>
  <si>
    <t>C-20184</t>
  </si>
  <si>
    <t>C-20185</t>
  </si>
  <si>
    <t>C-20186</t>
  </si>
  <si>
    <t>C-20187</t>
  </si>
  <si>
    <t>29-Abr-22--30-Abr-22</t>
  </si>
  <si>
    <t>C-20188</t>
  </si>
  <si>
    <t>C-20189</t>
  </si>
  <si>
    <t>C-20190</t>
  </si>
  <si>
    <t>C-20191</t>
  </si>
  <si>
    <t>C-20192</t>
  </si>
  <si>
    <t>C-20193</t>
  </si>
  <si>
    <t>C-20194</t>
  </si>
  <si>
    <t>C-20195</t>
  </si>
  <si>
    <t>C-20196</t>
  </si>
  <si>
    <t>C-20197</t>
  </si>
  <si>
    <t>C-20198</t>
  </si>
  <si>
    <t>C-20199</t>
  </si>
  <si>
    <t>C-20200</t>
  </si>
  <si>
    <t>C-20201</t>
  </si>
  <si>
    <t>C-20202</t>
  </si>
  <si>
    <t>C-20203</t>
  </si>
  <si>
    <t>C-20204</t>
  </si>
  <si>
    <t>C-20205</t>
  </si>
  <si>
    <t>C-20206</t>
  </si>
  <si>
    <t>C-20207</t>
  </si>
  <si>
    <t>C-20208</t>
  </si>
  <si>
    <t>C-20209</t>
  </si>
  <si>
    <t>C-20210</t>
  </si>
  <si>
    <t>C-20211</t>
  </si>
  <si>
    <r>
      <t xml:space="preserve">(687)OMAR HERNANDEZ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</si>
  <si>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20212</t>
  </si>
  <si>
    <t>C-20212</t>
  </si>
  <si>
    <t>C-20213</t>
  </si>
  <si>
    <t>C-20214</t>
  </si>
  <si>
    <t>C-20215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</si>
  <si>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</si>
  <si>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C-20216</t>
  </si>
  <si>
    <t>C-20217</t>
  </si>
  <si>
    <t>C-20218</t>
  </si>
  <si>
    <t>C-20219</t>
  </si>
  <si>
    <t>C-20220</t>
  </si>
  <si>
    <t>C-20221</t>
  </si>
  <si>
    <t>C-20222</t>
  </si>
  <si>
    <t>C-20223</t>
  </si>
  <si>
    <t>C-20224</t>
  </si>
  <si>
    <t>C-20225</t>
  </si>
  <si>
    <t>C-20226</t>
  </si>
  <si>
    <t>C-20227</t>
  </si>
  <si>
    <t>C-20228</t>
  </si>
  <si>
    <t>C-20229</t>
  </si>
  <si>
    <t>C-20230</t>
  </si>
  <si>
    <t>C-20231</t>
  </si>
  <si>
    <t>C-20232</t>
  </si>
  <si>
    <t>C-20233</t>
  </si>
  <si>
    <t>C-20234</t>
  </si>
  <si>
    <t>C-20235</t>
  </si>
  <si>
    <t>C-20236</t>
  </si>
  <si>
    <t>C-20237</t>
  </si>
  <si>
    <t>C-20238</t>
  </si>
  <si>
    <t>C-20239</t>
  </si>
  <si>
    <t>C-20240</t>
  </si>
  <si>
    <t>C-20241</t>
  </si>
  <si>
    <t>C-20242</t>
  </si>
  <si>
    <t>C-20243</t>
  </si>
  <si>
    <t>C-20244</t>
  </si>
  <si>
    <t>C-20245</t>
  </si>
  <si>
    <t>C-20246</t>
  </si>
  <si>
    <t>C-20247</t>
  </si>
  <si>
    <t>C-20248</t>
  </si>
  <si>
    <t>C-20249</t>
  </si>
  <si>
    <t>C-20250</t>
  </si>
  <si>
    <t>C-20251</t>
  </si>
  <si>
    <t>C-20252</t>
  </si>
  <si>
    <t>C-20253</t>
  </si>
  <si>
    <t>C-20254</t>
  </si>
  <si>
    <t>C-20255</t>
  </si>
  <si>
    <t>C-20256</t>
  </si>
  <si>
    <t>C-20257</t>
  </si>
  <si>
    <t>C-20258</t>
  </si>
  <si>
    <t>C-20259</t>
  </si>
  <si>
    <t>C-20260</t>
  </si>
  <si>
    <t>C-20261</t>
  </si>
  <si>
    <t>C-20262</t>
  </si>
  <si>
    <t>C-20263</t>
  </si>
  <si>
    <t>C-20264</t>
  </si>
  <si>
    <t>C-20265</t>
  </si>
  <si>
    <t>C-20266</t>
  </si>
  <si>
    <t>C-20267</t>
  </si>
  <si>
    <t>C-20268</t>
  </si>
  <si>
    <t>C-20269</t>
  </si>
  <si>
    <t>C-20270</t>
  </si>
  <si>
    <t>C-20271</t>
  </si>
  <si>
    <t>C-20272</t>
  </si>
  <si>
    <t>C-20273</t>
  </si>
  <si>
    <t>C-20274</t>
  </si>
  <si>
    <t>C-20275</t>
  </si>
  <si>
    <t>C-20276</t>
  </si>
  <si>
    <t>C-20277</t>
  </si>
  <si>
    <t>C-20278</t>
  </si>
  <si>
    <t>C-20279</t>
  </si>
  <si>
    <t>C-20280</t>
  </si>
  <si>
    <t>C-20281</t>
  </si>
  <si>
    <t>C-20282</t>
  </si>
  <si>
    <t>C-20283</t>
  </si>
  <si>
    <t>C-20284</t>
  </si>
  <si>
    <t>C-20285</t>
  </si>
  <si>
    <t>C-20286</t>
  </si>
  <si>
    <t>C-20287</t>
  </si>
  <si>
    <t>C-20288</t>
  </si>
  <si>
    <t>C-20289</t>
  </si>
  <si>
    <t>C-20290</t>
  </si>
  <si>
    <t>C-20291</t>
  </si>
  <si>
    <t>C-20292</t>
  </si>
  <si>
    <t>C-20293</t>
  </si>
  <si>
    <t>C-20294</t>
  </si>
  <si>
    <t>C-20295</t>
  </si>
  <si>
    <t>C-20296</t>
  </si>
  <si>
    <t>C-20297</t>
  </si>
  <si>
    <t>C-20298</t>
  </si>
  <si>
    <t>C-20299</t>
  </si>
  <si>
    <t>C-20300</t>
  </si>
  <si>
    <t>C-20301</t>
  </si>
  <si>
    <t>C-20302</t>
  </si>
  <si>
    <t>C-20303</t>
  </si>
  <si>
    <t>C-20304</t>
  </si>
  <si>
    <t>C-20305</t>
  </si>
  <si>
    <t>C-20306</t>
  </si>
  <si>
    <t>C-20307</t>
  </si>
  <si>
    <t>C-20308</t>
  </si>
  <si>
    <t>C-20309</t>
  </si>
  <si>
    <t>C-20310</t>
  </si>
  <si>
    <t>C-20311</t>
  </si>
  <si>
    <t>C-20312</t>
  </si>
  <si>
    <t>C-20313</t>
  </si>
  <si>
    <t>C-20314</t>
  </si>
  <si>
    <t>C-20315</t>
  </si>
  <si>
    <t>C-20316</t>
  </si>
  <si>
    <t>C-20317</t>
  </si>
  <si>
    <t>C-20318</t>
  </si>
  <si>
    <t>C-20319</t>
  </si>
  <si>
    <t>C-20320</t>
  </si>
  <si>
    <t>C-20321</t>
  </si>
  <si>
    <t>C-20322</t>
  </si>
  <si>
    <t>C-20323</t>
  </si>
  <si>
    <t>C-20324</t>
  </si>
  <si>
    <t>C-20325</t>
  </si>
  <si>
    <t>C-20326</t>
  </si>
  <si>
    <t>C-20327</t>
  </si>
  <si>
    <t>C-20328</t>
  </si>
  <si>
    <t>C-20329</t>
  </si>
  <si>
    <t>C-20330</t>
  </si>
  <si>
    <t>C-20331</t>
  </si>
  <si>
    <t>C-20332</t>
  </si>
  <si>
    <t>C-20333</t>
  </si>
  <si>
    <t>C-20334</t>
  </si>
  <si>
    <t>C-20335</t>
  </si>
  <si>
    <t>C-20336</t>
  </si>
  <si>
    <t>C-20337</t>
  </si>
  <si>
    <t>C-20338</t>
  </si>
  <si>
    <t>C-20339</t>
  </si>
  <si>
    <t>C-20340</t>
  </si>
  <si>
    <t>C-20341</t>
  </si>
  <si>
    <t>C-20342</t>
  </si>
  <si>
    <t>C-20343</t>
  </si>
  <si>
    <t>C-20344</t>
  </si>
  <si>
    <t>C-20345</t>
  </si>
  <si>
    <t>C-20346</t>
  </si>
  <si>
    <t>C-20347</t>
  </si>
  <si>
    <t>C-20348</t>
  </si>
  <si>
    <t>C-20349</t>
  </si>
  <si>
    <t>C-20350</t>
  </si>
  <si>
    <t>C-20351</t>
  </si>
  <si>
    <t>C-20352</t>
  </si>
  <si>
    <t>C-20353</t>
  </si>
  <si>
    <t>C-20354</t>
  </si>
  <si>
    <t>C-20355</t>
  </si>
  <si>
    <t>C-20356</t>
  </si>
  <si>
    <t>C-20357</t>
  </si>
  <si>
    <t>C-20358</t>
  </si>
  <si>
    <t>C-20359</t>
  </si>
  <si>
    <t>C-20360</t>
  </si>
  <si>
    <t>C-20361</t>
  </si>
  <si>
    <t>C-20362</t>
  </si>
  <si>
    <t>C-20363</t>
  </si>
  <si>
    <t>C-20364</t>
  </si>
  <si>
    <t>C-20365</t>
  </si>
  <si>
    <t>C-20366</t>
  </si>
  <si>
    <t>C-20367</t>
  </si>
  <si>
    <t>C-20368</t>
  </si>
  <si>
    <t>C-20369</t>
  </si>
  <si>
    <t>C-20370</t>
  </si>
  <si>
    <t>C-20371</t>
  </si>
  <si>
    <r>
      <t xml:space="preserve">(290)GABRIEL TUXPAN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</si>
  <si>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C-20372</t>
  </si>
  <si>
    <t>C-20373</t>
  </si>
  <si>
    <t>C-20374</t>
  </si>
  <si>
    <t>C-20375</t>
  </si>
  <si>
    <t>C-20376</t>
  </si>
  <si>
    <t>C-20377</t>
  </si>
  <si>
    <t>C-20378</t>
  </si>
  <si>
    <t>C-20379</t>
  </si>
  <si>
    <t>C-20380</t>
  </si>
  <si>
    <t>C-20381</t>
  </si>
  <si>
    <t>C-20382</t>
  </si>
  <si>
    <t>C-20383</t>
  </si>
  <si>
    <t>C-20384</t>
  </si>
  <si>
    <t>C-20385</t>
  </si>
  <si>
    <t>C-20386</t>
  </si>
  <si>
    <t>C-20387</t>
  </si>
  <si>
    <t>C-20388</t>
  </si>
  <si>
    <t>C-20389</t>
  </si>
  <si>
    <t>C-20390</t>
  </si>
  <si>
    <t>C-20391</t>
  </si>
  <si>
    <t>C-20392</t>
  </si>
  <si>
    <t>C-20393</t>
  </si>
  <si>
    <r>
      <t xml:space="preserve">(363)ADRIAN JUAREZ   </t>
    </r>
    <r>
      <rPr>
        <b/>
        <sz val="12"/>
        <color rgb="FFFF0000"/>
        <rFont val="Calibri"/>
        <family val="2"/>
        <scheme val="minor"/>
      </rPr>
      <t>CANCELADA</t>
    </r>
  </si>
  <si>
    <t>C-20394</t>
  </si>
  <si>
    <t>C-20395</t>
  </si>
  <si>
    <t>C-20396</t>
  </si>
  <si>
    <t>C-20397</t>
  </si>
  <si>
    <t>C-20398</t>
  </si>
  <si>
    <t>C-20399</t>
  </si>
  <si>
    <t>C-20400</t>
  </si>
  <si>
    <t>C-20401</t>
  </si>
  <si>
    <t>C-20402</t>
  </si>
  <si>
    <t>C-20403</t>
  </si>
  <si>
    <t>C-20404</t>
  </si>
  <si>
    <t>C-20405</t>
  </si>
  <si>
    <t>C-20406</t>
  </si>
  <si>
    <t>C-20407</t>
  </si>
  <si>
    <t>C-20408</t>
  </si>
  <si>
    <t>C-20409</t>
  </si>
  <si>
    <t>C-20410</t>
  </si>
  <si>
    <t>C-20411</t>
  </si>
  <si>
    <t>C-20412</t>
  </si>
  <si>
    <t>C-20413</t>
  </si>
  <si>
    <t>C-20414</t>
  </si>
  <si>
    <t>C-20415</t>
  </si>
  <si>
    <t>C-20416</t>
  </si>
  <si>
    <t>C-20417</t>
  </si>
  <si>
    <t>C-20418</t>
  </si>
  <si>
    <t>C-20419</t>
  </si>
  <si>
    <t>C-20420</t>
  </si>
  <si>
    <t>C-20421</t>
  </si>
  <si>
    <t>C-20422</t>
  </si>
  <si>
    <t>C-20423</t>
  </si>
  <si>
    <t>C-20424</t>
  </si>
  <si>
    <t>C-20425</t>
  </si>
  <si>
    <t>C-20426</t>
  </si>
  <si>
    <t>C-20427</t>
  </si>
  <si>
    <t>C-20428</t>
  </si>
  <si>
    <t>C-20429</t>
  </si>
  <si>
    <t>C-20430</t>
  </si>
  <si>
    <t>C-20431</t>
  </si>
  <si>
    <t>C-20432</t>
  </si>
  <si>
    <t>C-20433</t>
  </si>
  <si>
    <t>C-20434</t>
  </si>
  <si>
    <t>C-20435</t>
  </si>
  <si>
    <t>C-20436</t>
  </si>
  <si>
    <t>C-20437</t>
  </si>
  <si>
    <t>C-20438</t>
  </si>
  <si>
    <t>C-20439</t>
  </si>
  <si>
    <t>C-20440</t>
  </si>
  <si>
    <t>C-20441</t>
  </si>
  <si>
    <t>C-20442</t>
  </si>
  <si>
    <t>C-20443</t>
  </si>
  <si>
    <t>C-20444</t>
  </si>
  <si>
    <t>C-20445</t>
  </si>
  <si>
    <t>C-20446</t>
  </si>
  <si>
    <t>C-20447</t>
  </si>
  <si>
    <t>C-20448</t>
  </si>
  <si>
    <t>C-20449</t>
  </si>
  <si>
    <t>C-20450</t>
  </si>
  <si>
    <t>C-20451</t>
  </si>
  <si>
    <t>C-20452</t>
  </si>
  <si>
    <t>C-20453</t>
  </si>
  <si>
    <t>C-20454</t>
  </si>
  <si>
    <t>C-20455</t>
  </si>
  <si>
    <t>C-20456</t>
  </si>
  <si>
    <t>C-20457</t>
  </si>
  <si>
    <t>C-20458</t>
  </si>
  <si>
    <t>C-20459</t>
  </si>
  <si>
    <t>C-20460</t>
  </si>
  <si>
    <t>C-20461</t>
  </si>
  <si>
    <t>(36)PEDRO 5 MAYO</t>
  </si>
  <si>
    <t>C-20462</t>
  </si>
  <si>
    <t>C-20463</t>
  </si>
  <si>
    <t>C-20464</t>
  </si>
  <si>
    <t>C-20465</t>
  </si>
  <si>
    <t>C-20466</t>
  </si>
  <si>
    <t>C-20467</t>
  </si>
  <si>
    <t>C-20468</t>
  </si>
  <si>
    <t>C-20469</t>
  </si>
  <si>
    <t>C-20470</t>
  </si>
  <si>
    <t>C-20471</t>
  </si>
  <si>
    <t>C-20472</t>
  </si>
  <si>
    <t>C-20473</t>
  </si>
  <si>
    <t>C-20474</t>
  </si>
  <si>
    <t>C-20475</t>
  </si>
  <si>
    <t>C-20476</t>
  </si>
  <si>
    <t>C-20477</t>
  </si>
  <si>
    <t>C-20478</t>
  </si>
  <si>
    <t>C-20479</t>
  </si>
  <si>
    <t>C-20480</t>
  </si>
  <si>
    <t>C-20481</t>
  </si>
  <si>
    <t>C-20482</t>
  </si>
  <si>
    <t>C-20483</t>
  </si>
  <si>
    <t>C-20484</t>
  </si>
  <si>
    <t>C-20485</t>
  </si>
  <si>
    <t>C-20486</t>
  </si>
  <si>
    <t>C-20487</t>
  </si>
  <si>
    <t>C-20488</t>
  </si>
  <si>
    <t>C-20489</t>
  </si>
  <si>
    <t>C-20490</t>
  </si>
  <si>
    <t>C-20491</t>
  </si>
  <si>
    <t>C-20492</t>
  </si>
  <si>
    <t>C-20493</t>
  </si>
  <si>
    <t>C-20494</t>
  </si>
  <si>
    <t>C-20495</t>
  </si>
  <si>
    <t>C-20496</t>
  </si>
  <si>
    <t>C-20497</t>
  </si>
  <si>
    <t>C-20498</t>
  </si>
  <si>
    <t>C-20499</t>
  </si>
  <si>
    <t>C-20500</t>
  </si>
  <si>
    <t>C-20501</t>
  </si>
  <si>
    <t>C-20502</t>
  </si>
  <si>
    <t>C-20503</t>
  </si>
  <si>
    <t>C-20504</t>
  </si>
  <si>
    <t>C-20505</t>
  </si>
  <si>
    <t>C-20506</t>
  </si>
  <si>
    <t>C-20507</t>
  </si>
  <si>
    <t>C-20508</t>
  </si>
  <si>
    <t>C-20509</t>
  </si>
  <si>
    <t>C-20510</t>
  </si>
  <si>
    <t>C-20511</t>
  </si>
  <si>
    <t>C-20512</t>
  </si>
  <si>
    <t>C-20513</t>
  </si>
  <si>
    <t>C-20514</t>
  </si>
  <si>
    <t>C-20515</t>
  </si>
  <si>
    <t>C-20516</t>
  </si>
  <si>
    <t>C-20517</t>
  </si>
  <si>
    <r>
      <t xml:space="preserve">(48)PORFIRIO CRUZ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</si>
  <si>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C-20518</t>
  </si>
  <si>
    <t>C-20519</t>
  </si>
  <si>
    <t>C-20520</t>
  </si>
  <si>
    <t>C-20521</t>
  </si>
  <si>
    <t>C-20522</t>
  </si>
  <si>
    <t>C-20523</t>
  </si>
  <si>
    <t>C-20524</t>
  </si>
  <si>
    <t>C-20525</t>
  </si>
  <si>
    <t>C-20526</t>
  </si>
  <si>
    <t>C-20527</t>
  </si>
  <si>
    <t>C-20528</t>
  </si>
  <si>
    <t>C-20529</t>
  </si>
  <si>
    <t>C-20530</t>
  </si>
  <si>
    <t>C-20531</t>
  </si>
  <si>
    <t>C-20532</t>
  </si>
  <si>
    <t>C-20533</t>
  </si>
  <si>
    <t>C-20534</t>
  </si>
  <si>
    <t>C-20535</t>
  </si>
  <si>
    <t>C-20536</t>
  </si>
  <si>
    <t>C-20537</t>
  </si>
  <si>
    <t>C-20538</t>
  </si>
  <si>
    <t>C-20539</t>
  </si>
  <si>
    <t>C-20540</t>
  </si>
  <si>
    <t>C-20541</t>
  </si>
  <si>
    <t>C-20542</t>
  </si>
  <si>
    <t>C-20543</t>
  </si>
  <si>
    <t>C-20544</t>
  </si>
  <si>
    <t>C-20545</t>
  </si>
  <si>
    <t>C-20546</t>
  </si>
  <si>
    <t>C-20547</t>
  </si>
  <si>
    <t>C-20548</t>
  </si>
  <si>
    <t>C-20549</t>
  </si>
  <si>
    <t>C-20550</t>
  </si>
  <si>
    <t>C-20551</t>
  </si>
  <si>
    <t>C-20552</t>
  </si>
  <si>
    <t>C-20553</t>
  </si>
  <si>
    <t>C-20554</t>
  </si>
  <si>
    <t>C-20555</t>
  </si>
  <si>
    <t>C-20556</t>
  </si>
  <si>
    <t>C-20557</t>
  </si>
  <si>
    <t>C-20558</t>
  </si>
  <si>
    <t>C-20559</t>
  </si>
  <si>
    <t>C-20560</t>
  </si>
  <si>
    <t>C-20561</t>
  </si>
  <si>
    <t>C-20562</t>
  </si>
  <si>
    <t>C-20563</t>
  </si>
  <si>
    <t>C-20564</t>
  </si>
  <si>
    <t>C-20565</t>
  </si>
  <si>
    <t>C-20566</t>
  </si>
  <si>
    <t>C-20567</t>
  </si>
  <si>
    <t>C-20568</t>
  </si>
  <si>
    <t>C-20569</t>
  </si>
  <si>
    <t>C-20570</t>
  </si>
  <si>
    <t>C-20571</t>
  </si>
  <si>
    <t>C-20572</t>
  </si>
  <si>
    <t>C-20573</t>
  </si>
  <si>
    <t>C-20574</t>
  </si>
  <si>
    <t>C-20575</t>
  </si>
  <si>
    <t>C-20576</t>
  </si>
  <si>
    <t>C-20577</t>
  </si>
  <si>
    <t>C-20578</t>
  </si>
  <si>
    <t>C-20579</t>
  </si>
  <si>
    <t>C-20580</t>
  </si>
  <si>
    <t>30-Abr-22--1-May-22</t>
  </si>
  <si>
    <t>1-May-21--2-May-22</t>
  </si>
  <si>
    <t>1-May-22--2-May-22</t>
  </si>
  <si>
    <t>1-May-22--20-May-22</t>
  </si>
  <si>
    <t>30-Abr-22--2-May-22</t>
  </si>
  <si>
    <t>2-May-22--4-May-22</t>
  </si>
  <si>
    <t>30-Abr-22--6-May-22</t>
  </si>
  <si>
    <t>23-Abr-22--9-May-22</t>
  </si>
  <si>
    <t>6-May-22--13-May-22</t>
  </si>
  <si>
    <t>21-May-22--23-May-22------</t>
  </si>
  <si>
    <t>C-20581</t>
  </si>
  <si>
    <t>C-20582</t>
  </si>
  <si>
    <t>C-20583</t>
  </si>
  <si>
    <t>C-20584</t>
  </si>
  <si>
    <t>C-20585</t>
  </si>
  <si>
    <t>2-May-22--3-May-22</t>
  </si>
  <si>
    <t>C-20586</t>
  </si>
  <si>
    <t>C-20587</t>
  </si>
  <si>
    <t>C-20588</t>
  </si>
  <si>
    <t>C-20589</t>
  </si>
  <si>
    <t>C-20590</t>
  </si>
  <si>
    <t>C-20591</t>
  </si>
  <si>
    <t>C-20592</t>
  </si>
  <si>
    <t>C-20593</t>
  </si>
  <si>
    <t>C-20594</t>
  </si>
  <si>
    <t>C-20595</t>
  </si>
  <si>
    <t>C-20596</t>
  </si>
  <si>
    <t>C-20597</t>
  </si>
  <si>
    <t>C-20598</t>
  </si>
  <si>
    <t>C-20599</t>
  </si>
  <si>
    <t>C-20600</t>
  </si>
  <si>
    <t>C-20601</t>
  </si>
  <si>
    <t>C-20602</t>
  </si>
  <si>
    <t>C-20603</t>
  </si>
  <si>
    <t>C-20604</t>
  </si>
  <si>
    <t>C-20605</t>
  </si>
  <si>
    <t>C-20606</t>
  </si>
  <si>
    <t>C-20607</t>
  </si>
  <si>
    <t>C-20608</t>
  </si>
  <si>
    <t>C-20609</t>
  </si>
  <si>
    <t>C-20610</t>
  </si>
  <si>
    <t>C-20611</t>
  </si>
  <si>
    <t>C-20612</t>
  </si>
  <si>
    <t>C-20613</t>
  </si>
  <si>
    <t>C-20614</t>
  </si>
  <si>
    <t>C-20615</t>
  </si>
  <si>
    <t>C-20616</t>
  </si>
  <si>
    <t>C-20617</t>
  </si>
  <si>
    <t>C-20618</t>
  </si>
  <si>
    <t>C-20619</t>
  </si>
  <si>
    <t>C-20620</t>
  </si>
  <si>
    <t>C-20621</t>
  </si>
  <si>
    <t>C-20622</t>
  </si>
  <si>
    <t>C-20623</t>
  </si>
  <si>
    <t>C-20624</t>
  </si>
  <si>
    <t>C-20625</t>
  </si>
  <si>
    <t>C-20626</t>
  </si>
  <si>
    <t>C-20627</t>
  </si>
  <si>
    <t>C-20628</t>
  </si>
  <si>
    <t>C-20629</t>
  </si>
  <si>
    <t>C-20630</t>
  </si>
  <si>
    <t>C-20631</t>
  </si>
  <si>
    <t>C-20632</t>
  </si>
  <si>
    <t>C-20633</t>
  </si>
  <si>
    <t>C-20634</t>
  </si>
  <si>
    <t>4-May-22--6-May-22</t>
  </si>
  <si>
    <t>C-20635</t>
  </si>
  <si>
    <t>C-20636</t>
  </si>
  <si>
    <t>C-20637</t>
  </si>
  <si>
    <t>C-20638</t>
  </si>
  <si>
    <t>C-20639</t>
  </si>
  <si>
    <t>C-20640</t>
  </si>
  <si>
    <t>C-20641</t>
  </si>
  <si>
    <t>C-20642</t>
  </si>
  <si>
    <t>C-20643</t>
  </si>
  <si>
    <t>C-20644</t>
  </si>
  <si>
    <t>C-20645</t>
  </si>
  <si>
    <t>C-20646</t>
  </si>
  <si>
    <t>C-20647</t>
  </si>
  <si>
    <t>C-20648</t>
  </si>
  <si>
    <t>C-20649</t>
  </si>
  <si>
    <t>C-20650</t>
  </si>
  <si>
    <t>C-20651</t>
  </si>
  <si>
    <t>C-20652</t>
  </si>
  <si>
    <t>C-20653</t>
  </si>
  <si>
    <t>C-20654</t>
  </si>
  <si>
    <t>C-20655</t>
  </si>
  <si>
    <t>C-20656</t>
  </si>
  <si>
    <t>C-20657</t>
  </si>
  <si>
    <t>C-20658</t>
  </si>
  <si>
    <t>C-20659</t>
  </si>
  <si>
    <t>C-20660</t>
  </si>
  <si>
    <t>C-20661</t>
  </si>
  <si>
    <t>C-20662</t>
  </si>
  <si>
    <t>C-20663</t>
  </si>
  <si>
    <t>C-20664</t>
  </si>
  <si>
    <t>C-20665</t>
  </si>
  <si>
    <t>C-20666</t>
  </si>
  <si>
    <t>C-20667</t>
  </si>
  <si>
    <t>C-20668</t>
  </si>
  <si>
    <t>C-20669</t>
  </si>
  <si>
    <r>
      <t xml:space="preserve">(208)SUPER DE LAS LOMAS VITORINO  </t>
    </r>
    <r>
      <rPr>
        <b/>
        <sz val="12"/>
        <color rgb="FFFF0000"/>
        <rFont val="Calibri"/>
        <family val="2"/>
        <scheme val="minor"/>
      </rPr>
      <t>CANCELADA</t>
    </r>
  </si>
  <si>
    <t>C-20670</t>
  </si>
  <si>
    <t>C-20671</t>
  </si>
  <si>
    <t>C-20672</t>
  </si>
  <si>
    <t>C-20673</t>
  </si>
  <si>
    <t>C-20674</t>
  </si>
  <si>
    <t>C-20675</t>
  </si>
  <si>
    <t>C-20676</t>
  </si>
  <si>
    <t>C-20677</t>
  </si>
  <si>
    <t>C-20678</t>
  </si>
  <si>
    <t>C-20679</t>
  </si>
  <si>
    <t>C-20680</t>
  </si>
  <si>
    <t>C-20681</t>
  </si>
  <si>
    <t>C-20682</t>
  </si>
  <si>
    <t>C-20683</t>
  </si>
  <si>
    <t>C-20684</t>
  </si>
  <si>
    <t>C-20685</t>
  </si>
  <si>
    <t>C-20686</t>
  </si>
  <si>
    <t>C-20687</t>
  </si>
  <si>
    <t>C-20688</t>
  </si>
  <si>
    <t>C-20689</t>
  </si>
  <si>
    <t>C-20690</t>
  </si>
  <si>
    <t>C-20691</t>
  </si>
  <si>
    <t>C-20692</t>
  </si>
  <si>
    <t>C-20693</t>
  </si>
  <si>
    <t>C-20694</t>
  </si>
  <si>
    <t>C-20695</t>
  </si>
  <si>
    <t>C-20696</t>
  </si>
  <si>
    <t>C-20697</t>
  </si>
  <si>
    <t>C-20698</t>
  </si>
  <si>
    <t>C-20699</t>
  </si>
  <si>
    <t>C-20700</t>
  </si>
  <si>
    <t>C-20701</t>
  </si>
  <si>
    <t>C-20702</t>
  </si>
  <si>
    <t>C-20703</t>
  </si>
  <si>
    <t>C-20704</t>
  </si>
  <si>
    <t>C-20705</t>
  </si>
  <si>
    <t>C-20706</t>
  </si>
  <si>
    <t>C-20707</t>
  </si>
  <si>
    <t>C-20708</t>
  </si>
  <si>
    <t>C-20709</t>
  </si>
  <si>
    <t>C-20710</t>
  </si>
  <si>
    <t>C-20711</t>
  </si>
  <si>
    <t>C-20712</t>
  </si>
  <si>
    <t>C-20713</t>
  </si>
  <si>
    <t>C-20714</t>
  </si>
  <si>
    <t>C-20715</t>
  </si>
  <si>
    <t>C-20716</t>
  </si>
  <si>
    <t>C-20717</t>
  </si>
  <si>
    <t>C-20718</t>
  </si>
  <si>
    <t>C-20719</t>
  </si>
  <si>
    <t>C-20720</t>
  </si>
  <si>
    <t>C-20721</t>
  </si>
  <si>
    <t>C-20722</t>
  </si>
  <si>
    <t>C-20723</t>
  </si>
  <si>
    <t>C-20724</t>
  </si>
  <si>
    <t>C-20725</t>
  </si>
  <si>
    <t>C-20726</t>
  </si>
  <si>
    <t>C-20727</t>
  </si>
  <si>
    <t>C-20728</t>
  </si>
  <si>
    <t>C-20729</t>
  </si>
  <si>
    <t>C-20730</t>
  </si>
  <si>
    <t>C-20731</t>
  </si>
  <si>
    <t>C-20732</t>
  </si>
  <si>
    <t>C-20733</t>
  </si>
  <si>
    <t>C-20734</t>
  </si>
  <si>
    <t>C-20735</t>
  </si>
  <si>
    <t>C-20736</t>
  </si>
  <si>
    <t>C-20737</t>
  </si>
  <si>
    <t>C-20738</t>
  </si>
  <si>
    <t>C-20739</t>
  </si>
  <si>
    <t>C-20740</t>
  </si>
  <si>
    <t>C-20741</t>
  </si>
  <si>
    <t>C-20742</t>
  </si>
  <si>
    <t>C-20743</t>
  </si>
  <si>
    <t>C-20744</t>
  </si>
  <si>
    <t>C-20745</t>
  </si>
  <si>
    <t>C-20746</t>
  </si>
  <si>
    <t>C-20747</t>
  </si>
  <si>
    <t>C-20748</t>
  </si>
  <si>
    <t>C-20749</t>
  </si>
  <si>
    <t>C-20750</t>
  </si>
  <si>
    <t>C-20751</t>
  </si>
  <si>
    <t>C-20752</t>
  </si>
  <si>
    <t>C-20753</t>
  </si>
  <si>
    <t>C-20754</t>
  </si>
  <si>
    <t>C-20755</t>
  </si>
  <si>
    <t>C-20756</t>
  </si>
  <si>
    <t>9-May-22--11-May-22</t>
  </si>
  <si>
    <t>C-20757</t>
  </si>
  <si>
    <t>C-20758</t>
  </si>
  <si>
    <t>C-20759</t>
  </si>
  <si>
    <t>C-20760</t>
  </si>
  <si>
    <t>C-20761</t>
  </si>
  <si>
    <t>C-20762</t>
  </si>
  <si>
    <t>C-20763</t>
  </si>
  <si>
    <t>C-20764</t>
  </si>
  <si>
    <t>C-20765</t>
  </si>
  <si>
    <t>C-20766</t>
  </si>
  <si>
    <t>C-20767</t>
  </si>
  <si>
    <t>C-20768</t>
  </si>
  <si>
    <t>4-May-22--5-May-22</t>
  </si>
  <si>
    <t>C-20769</t>
  </si>
  <si>
    <t>C-20770</t>
  </si>
  <si>
    <t>C-20771</t>
  </si>
  <si>
    <t>C-20772</t>
  </si>
  <si>
    <t>C-20773</t>
  </si>
  <si>
    <t>C-20774</t>
  </si>
  <si>
    <t>C-20775</t>
  </si>
  <si>
    <t>C-20776</t>
  </si>
  <si>
    <t>C-20777</t>
  </si>
  <si>
    <t>C-20778</t>
  </si>
  <si>
    <t>C-20779</t>
  </si>
  <si>
    <t>C-20780</t>
  </si>
  <si>
    <t>C-20781</t>
  </si>
  <si>
    <t>C-20782</t>
  </si>
  <si>
    <t>C-20783</t>
  </si>
  <si>
    <t>6-May-22--7-May-22</t>
  </si>
  <si>
    <t>C-20784</t>
  </si>
  <si>
    <t>C-20785</t>
  </si>
  <si>
    <t>C-20786</t>
  </si>
  <si>
    <t>C-20787</t>
  </si>
  <si>
    <t>C-20788</t>
  </si>
  <si>
    <t>C-20789</t>
  </si>
  <si>
    <t>C-20790</t>
  </si>
  <si>
    <t>C-20791</t>
  </si>
  <si>
    <t>C-20792</t>
  </si>
  <si>
    <t>C-20793</t>
  </si>
  <si>
    <t>C-20794</t>
  </si>
  <si>
    <t>C-20795</t>
  </si>
  <si>
    <t>C-20796</t>
  </si>
  <si>
    <t>C-20797</t>
  </si>
  <si>
    <t>C-20798</t>
  </si>
  <si>
    <t>C-20799</t>
  </si>
  <si>
    <t>C-20800</t>
  </si>
  <si>
    <t>C-20801</t>
  </si>
  <si>
    <t>C-20802</t>
  </si>
  <si>
    <t>C-20803</t>
  </si>
  <si>
    <t>C-20804</t>
  </si>
  <si>
    <t>C-20805</t>
  </si>
  <si>
    <t>C-20806</t>
  </si>
  <si>
    <t>C-20807</t>
  </si>
  <si>
    <t>C-20808</t>
  </si>
  <si>
    <t>C-20809</t>
  </si>
  <si>
    <t>C-20810</t>
  </si>
  <si>
    <t>C-20811</t>
  </si>
  <si>
    <t>C-20812</t>
  </si>
  <si>
    <t>C-20813</t>
  </si>
  <si>
    <t>C-20814</t>
  </si>
  <si>
    <t>C-20815</t>
  </si>
  <si>
    <t>C-20816</t>
  </si>
  <si>
    <t>C-20817</t>
  </si>
  <si>
    <t>C-20818</t>
  </si>
  <si>
    <r>
      <t xml:space="preserve">(691)ISMAEL MARTINEZ HERNANDEZ  </t>
    </r>
    <r>
      <rPr>
        <b/>
        <sz val="12"/>
        <color rgb="FFFF0000"/>
        <rFont val="Calibri"/>
        <family val="2"/>
        <scheme val="minor"/>
      </rPr>
      <t>CANCELADA</t>
    </r>
  </si>
  <si>
    <t>C-20819</t>
  </si>
  <si>
    <t>C-20820</t>
  </si>
  <si>
    <t>C-20821</t>
  </si>
  <si>
    <t>C-20822</t>
  </si>
  <si>
    <t>C-20823</t>
  </si>
  <si>
    <t>C-20824</t>
  </si>
  <si>
    <t>C-20825</t>
  </si>
  <si>
    <t>C-20826</t>
  </si>
  <si>
    <t>C-20827</t>
  </si>
  <si>
    <t>C-20828</t>
  </si>
  <si>
    <t>C-20829</t>
  </si>
  <si>
    <t>C-20830</t>
  </si>
  <si>
    <t>C-20831</t>
  </si>
  <si>
    <t>C-20832</t>
  </si>
  <si>
    <t>C-20833</t>
  </si>
  <si>
    <t>C-20834</t>
  </si>
  <si>
    <t>C-20835</t>
  </si>
  <si>
    <t>C-20836</t>
  </si>
  <si>
    <r>
      <t xml:space="preserve">(517)JESUS POTRERO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</si>
  <si>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C-20837</t>
  </si>
  <si>
    <t>C-20838</t>
  </si>
  <si>
    <t>C-20839</t>
  </si>
  <si>
    <t>C-20840</t>
  </si>
  <si>
    <t>C-20841</t>
  </si>
  <si>
    <t>C-20842</t>
  </si>
  <si>
    <t>C-20843</t>
  </si>
  <si>
    <t>C-20844</t>
  </si>
  <si>
    <t>C-20845</t>
  </si>
  <si>
    <t>C-20846</t>
  </si>
  <si>
    <t>C-20847</t>
  </si>
  <si>
    <t>C-20848</t>
  </si>
  <si>
    <t>C-20849</t>
  </si>
  <si>
    <t>C-20850</t>
  </si>
  <si>
    <t>C-20851</t>
  </si>
  <si>
    <t>C-20852</t>
  </si>
  <si>
    <t>C-20853</t>
  </si>
  <si>
    <t>C-20854</t>
  </si>
  <si>
    <t>C-20855</t>
  </si>
  <si>
    <t>C-20856</t>
  </si>
  <si>
    <t>C-20857</t>
  </si>
  <si>
    <t>C-20858</t>
  </si>
  <si>
    <t>C-20859</t>
  </si>
  <si>
    <t>C-20860</t>
  </si>
  <si>
    <t>C-20861</t>
  </si>
  <si>
    <t>C-20862</t>
  </si>
  <si>
    <t>C-20863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</si>
  <si>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</si>
  <si>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C-20864</t>
  </si>
  <si>
    <t>C-20865</t>
  </si>
  <si>
    <t>C-20866</t>
  </si>
  <si>
    <t>C-20867</t>
  </si>
  <si>
    <t>C-20868</t>
  </si>
  <si>
    <t>C-20869</t>
  </si>
  <si>
    <r>
      <t>(533)VENTA DE MOSTRADOR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</si>
  <si>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C-20870</t>
  </si>
  <si>
    <t>C-20871</t>
  </si>
  <si>
    <t>C-20872</t>
  </si>
  <si>
    <t>C-20873</t>
  </si>
  <si>
    <t>C-20874</t>
  </si>
  <si>
    <t>C-20875</t>
  </si>
  <si>
    <t>C-20876</t>
  </si>
  <si>
    <t>C-20877</t>
  </si>
  <si>
    <t>C-20878</t>
  </si>
  <si>
    <t>C-20879</t>
  </si>
  <si>
    <t>5-May-22--6-May-22</t>
  </si>
  <si>
    <t>C-20880</t>
  </si>
  <si>
    <t>C-20881</t>
  </si>
  <si>
    <t>C-20882</t>
  </si>
  <si>
    <t>C-20883</t>
  </si>
  <si>
    <t>C-20884</t>
  </si>
  <si>
    <t>C-20885</t>
  </si>
  <si>
    <t>C-20886</t>
  </si>
  <si>
    <t>C-20887</t>
  </si>
  <si>
    <t>C-20888</t>
  </si>
  <si>
    <t>C-20889</t>
  </si>
  <si>
    <t>C-20890</t>
  </si>
  <si>
    <t>C-20891</t>
  </si>
  <si>
    <t>C-20892</t>
  </si>
  <si>
    <t>C-20893</t>
  </si>
  <si>
    <t>C-20894</t>
  </si>
  <si>
    <t>C-20895</t>
  </si>
  <si>
    <t>C-20896</t>
  </si>
  <si>
    <t>C-20897</t>
  </si>
  <si>
    <t>C-20898</t>
  </si>
  <si>
    <t>C-20899</t>
  </si>
  <si>
    <t>C-20900</t>
  </si>
  <si>
    <t>C-20901</t>
  </si>
  <si>
    <t>C-20902</t>
  </si>
  <si>
    <t>C-20903</t>
  </si>
  <si>
    <t>C-20904</t>
  </si>
  <si>
    <t>C-20905</t>
  </si>
  <si>
    <t>C-20906</t>
  </si>
  <si>
    <t>C-20907</t>
  </si>
  <si>
    <t>C-20908</t>
  </si>
  <si>
    <t>C-20909</t>
  </si>
  <si>
    <t>C-20910</t>
  </si>
  <si>
    <t>C-20911</t>
  </si>
  <si>
    <t>C-20912</t>
  </si>
  <si>
    <t>C-20913</t>
  </si>
  <si>
    <t>C-20914</t>
  </si>
  <si>
    <r>
      <t xml:space="preserve">(899)KUN TACO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</si>
  <si>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C-20915</t>
  </si>
  <si>
    <t>C-20916</t>
  </si>
  <si>
    <t>C-20917</t>
  </si>
  <si>
    <t>C-20918</t>
  </si>
  <si>
    <t>C-20919</t>
  </si>
  <si>
    <t>C-20920</t>
  </si>
  <si>
    <t>C-20921</t>
  </si>
  <si>
    <t>C-20922</t>
  </si>
  <si>
    <t>C-20923</t>
  </si>
  <si>
    <t>C-20924</t>
  </si>
  <si>
    <t>C-20925</t>
  </si>
  <si>
    <t>C-20926</t>
  </si>
  <si>
    <t>C-20927</t>
  </si>
  <si>
    <t>C-20928</t>
  </si>
  <si>
    <t>C-20929</t>
  </si>
  <si>
    <t>C-20930</t>
  </si>
  <si>
    <t>C-20931</t>
  </si>
  <si>
    <t>C-20932</t>
  </si>
  <si>
    <t>C-20933</t>
  </si>
  <si>
    <t>C-20934</t>
  </si>
  <si>
    <t>C-20935</t>
  </si>
  <si>
    <t>C-20936</t>
  </si>
  <si>
    <t>C-20937</t>
  </si>
  <si>
    <t>C-20938</t>
  </si>
  <si>
    <t>C-20939</t>
  </si>
  <si>
    <t>C-20940</t>
  </si>
  <si>
    <t>C-20941</t>
  </si>
  <si>
    <t>C-20942</t>
  </si>
  <si>
    <t>C-20943</t>
  </si>
  <si>
    <t>C-20944</t>
  </si>
  <si>
    <t>C-20945</t>
  </si>
  <si>
    <t>C-20946</t>
  </si>
  <si>
    <t>C-20947</t>
  </si>
  <si>
    <t>C-20948</t>
  </si>
  <si>
    <t>C-20949</t>
  </si>
  <si>
    <t>C-20950</t>
  </si>
  <si>
    <t>C-20951</t>
  </si>
  <si>
    <t>C-20952</t>
  </si>
  <si>
    <t>C-20953</t>
  </si>
  <si>
    <t>C-20954</t>
  </si>
  <si>
    <t>C-20955</t>
  </si>
  <si>
    <t>C-20956</t>
  </si>
  <si>
    <t>C-20957</t>
  </si>
  <si>
    <t>C-20958</t>
  </si>
  <si>
    <t>C-20959</t>
  </si>
  <si>
    <t>C-20960</t>
  </si>
  <si>
    <t>C-20961</t>
  </si>
  <si>
    <t>C-20962</t>
  </si>
  <si>
    <t>C-20963</t>
  </si>
  <si>
    <t>C-20964</t>
  </si>
  <si>
    <t>C-20965</t>
  </si>
  <si>
    <t>C-20966</t>
  </si>
  <si>
    <t>C-20967</t>
  </si>
  <si>
    <t>C-20968</t>
  </si>
  <si>
    <t>C-20969</t>
  </si>
  <si>
    <t>C-20970</t>
  </si>
  <si>
    <t>C-20971</t>
  </si>
  <si>
    <t>C-20972</t>
  </si>
  <si>
    <t>C-20973</t>
  </si>
  <si>
    <t>C-20974</t>
  </si>
  <si>
    <t>C-20975</t>
  </si>
  <si>
    <t>C-20976</t>
  </si>
  <si>
    <t>C-20977</t>
  </si>
  <si>
    <t>C-20978</t>
  </si>
  <si>
    <t>C-20979</t>
  </si>
  <si>
    <t>C-20980</t>
  </si>
  <si>
    <t>C-20981</t>
  </si>
  <si>
    <t>C-20982</t>
  </si>
  <si>
    <t>C-20983</t>
  </si>
  <si>
    <t>C-20984</t>
  </si>
  <si>
    <t>C-20985</t>
  </si>
  <si>
    <t>C-20986</t>
  </si>
  <si>
    <t>C-20987</t>
  </si>
  <si>
    <t>C-20988</t>
  </si>
  <si>
    <t>C-20989</t>
  </si>
  <si>
    <t>C-20990</t>
  </si>
  <si>
    <t>C-20991</t>
  </si>
  <si>
    <t>C-20992</t>
  </si>
  <si>
    <t>C-20993</t>
  </si>
  <si>
    <t>C-20994</t>
  </si>
  <si>
    <t>C-20995</t>
  </si>
  <si>
    <t>C-20996</t>
  </si>
  <si>
    <t>C-20997</t>
  </si>
  <si>
    <t>8-May-22--9-May-22</t>
  </si>
  <si>
    <t>C-20998</t>
  </si>
  <si>
    <t>C-20999</t>
  </si>
  <si>
    <t>C-21000</t>
  </si>
  <si>
    <t>C-21001</t>
  </si>
  <si>
    <t>C-21002</t>
  </si>
  <si>
    <t>C-21003</t>
  </si>
  <si>
    <t>C-21004</t>
  </si>
  <si>
    <t>C-21005</t>
  </si>
  <si>
    <t>C-21006</t>
  </si>
  <si>
    <t>C-21007</t>
  </si>
  <si>
    <t>C-21008</t>
  </si>
  <si>
    <t>C-21009</t>
  </si>
  <si>
    <t>C-21010</t>
  </si>
  <si>
    <t>C-21011</t>
  </si>
  <si>
    <t>C-21012</t>
  </si>
  <si>
    <t>C-21013</t>
  </si>
  <si>
    <t>C-21014</t>
  </si>
  <si>
    <t>C-21015</t>
  </si>
  <si>
    <t>C-21016</t>
  </si>
  <si>
    <t>C-21017</t>
  </si>
  <si>
    <t>C-21018</t>
  </si>
  <si>
    <t>C-21019</t>
  </si>
  <si>
    <t>C-21020</t>
  </si>
  <si>
    <t>C-21021</t>
  </si>
  <si>
    <t>C-21022</t>
  </si>
  <si>
    <t>C-21023</t>
  </si>
  <si>
    <t>C-21024</t>
  </si>
  <si>
    <t>C-21025</t>
  </si>
  <si>
    <t>C-21026</t>
  </si>
  <si>
    <t>C-21027</t>
  </si>
  <si>
    <t>C-21028</t>
  </si>
  <si>
    <t>C-21029</t>
  </si>
  <si>
    <t>C-21030</t>
  </si>
  <si>
    <t>C-21031</t>
  </si>
  <si>
    <t>C-21032</t>
  </si>
  <si>
    <t>C-21033</t>
  </si>
  <si>
    <t>C-21034</t>
  </si>
  <si>
    <t>C-21035</t>
  </si>
  <si>
    <t>C-21036</t>
  </si>
  <si>
    <t>C-21037</t>
  </si>
  <si>
    <t>C-21038</t>
  </si>
  <si>
    <t>C-21039</t>
  </si>
  <si>
    <t>C-21040</t>
  </si>
  <si>
    <t>C-21041</t>
  </si>
  <si>
    <t>C-21042</t>
  </si>
  <si>
    <t>C-21043</t>
  </si>
  <si>
    <t>C-21044</t>
  </si>
  <si>
    <t>C-21045</t>
  </si>
  <si>
    <t>C-21046</t>
  </si>
  <si>
    <t>C-21047</t>
  </si>
  <si>
    <t>C-21048</t>
  </si>
  <si>
    <t>C-21049</t>
  </si>
  <si>
    <r>
      <t xml:space="preserve">(832)RUBEN PEREZ CHABACANO  </t>
    </r>
    <r>
      <rPr>
        <b/>
        <sz val="12"/>
        <color rgb="FFFF0000"/>
        <rFont val="Calibri"/>
        <family val="2"/>
        <scheme val="minor"/>
      </rPr>
      <t>CANCELADA</t>
    </r>
  </si>
  <si>
    <t>C-21050</t>
  </si>
  <si>
    <t>C-21051</t>
  </si>
  <si>
    <t>C-21052</t>
  </si>
  <si>
    <t>C-21053</t>
  </si>
  <si>
    <t>C-21054</t>
  </si>
  <si>
    <t>C-21055</t>
  </si>
  <si>
    <t>C-21056</t>
  </si>
  <si>
    <t>C-21057</t>
  </si>
  <si>
    <r>
      <t xml:space="preserve">(199)ANGEL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</si>
  <si>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C-21058</t>
  </si>
  <si>
    <t>C-21059</t>
  </si>
  <si>
    <t>C-21060</t>
  </si>
  <si>
    <t>C-21061</t>
  </si>
  <si>
    <t>C-21062</t>
  </si>
  <si>
    <t>C-21063</t>
  </si>
  <si>
    <t>C-21064</t>
  </si>
  <si>
    <t>C-21065</t>
  </si>
  <si>
    <t>C-21066</t>
  </si>
  <si>
    <t>C-21067</t>
  </si>
  <si>
    <t>C-21068</t>
  </si>
  <si>
    <t>C-21069</t>
  </si>
  <si>
    <t>C-21070</t>
  </si>
  <si>
    <t>C-21071</t>
  </si>
  <si>
    <t>C-21072</t>
  </si>
  <si>
    <t>C-21073</t>
  </si>
  <si>
    <r>
      <t xml:space="preserve">(678)MAURO LOPEZ XIMELLO  </t>
    </r>
    <r>
      <rPr>
        <b/>
        <sz val="12"/>
        <color rgb="FFFF0000"/>
        <rFont val="Calibri"/>
        <family val="2"/>
        <scheme val="minor"/>
      </rPr>
      <t>CANCELADA</t>
    </r>
  </si>
  <si>
    <t>C-21074</t>
  </si>
  <si>
    <t>C-21075</t>
  </si>
  <si>
    <t>C-21076</t>
  </si>
  <si>
    <t>C-21077</t>
  </si>
  <si>
    <t>C-21078</t>
  </si>
  <si>
    <t>C-21079</t>
  </si>
  <si>
    <t>C-21080</t>
  </si>
  <si>
    <t>C-21081</t>
  </si>
  <si>
    <t>C-21082</t>
  </si>
  <si>
    <t>C-21083</t>
  </si>
  <si>
    <t>C-21084</t>
  </si>
  <si>
    <t>C-21085</t>
  </si>
  <si>
    <t>C-21086</t>
  </si>
  <si>
    <t>C-21087</t>
  </si>
  <si>
    <t>C-21088</t>
  </si>
  <si>
    <t>C-21089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</si>
  <si>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CANCELADO</t>
    </r>
  </si>
  <si>
    <t>C-21090</t>
  </si>
  <si>
    <t>C-21091</t>
  </si>
  <si>
    <t>C-21092</t>
  </si>
  <si>
    <t>C-21093</t>
  </si>
  <si>
    <t>C-21094</t>
  </si>
  <si>
    <t>C-21095</t>
  </si>
  <si>
    <t>C-21096</t>
  </si>
  <si>
    <t>C-21097</t>
  </si>
  <si>
    <t>C-21098</t>
  </si>
  <si>
    <t>C-21099</t>
  </si>
  <si>
    <t>(199)ANGEL CRUZ</t>
  </si>
  <si>
    <t>C-21100</t>
  </si>
  <si>
    <t>C-21101</t>
  </si>
  <si>
    <t>C-21102</t>
  </si>
  <si>
    <t>C-21103</t>
  </si>
  <si>
    <t>C-21104</t>
  </si>
  <si>
    <t>7-May-22--8-May-22</t>
  </si>
  <si>
    <t>C-21105</t>
  </si>
  <si>
    <t>C-21106</t>
  </si>
  <si>
    <t>C-21107</t>
  </si>
  <si>
    <t>C-21108</t>
  </si>
  <si>
    <t>C-21109</t>
  </si>
  <si>
    <t>C-21110</t>
  </si>
  <si>
    <t>C-21111</t>
  </si>
  <si>
    <t>C-21112</t>
  </si>
  <si>
    <t>C-21113</t>
  </si>
  <si>
    <t>C-21114</t>
  </si>
  <si>
    <t>C-21115</t>
  </si>
  <si>
    <t>C-21116</t>
  </si>
  <si>
    <t>C-21117</t>
  </si>
  <si>
    <t>C-21118</t>
  </si>
  <si>
    <t>C-21119</t>
  </si>
  <si>
    <t>C-21120</t>
  </si>
  <si>
    <t>C-21121</t>
  </si>
  <si>
    <t>C-21122</t>
  </si>
  <si>
    <t>C-21123</t>
  </si>
  <si>
    <t>C-21124</t>
  </si>
  <si>
    <t>C-21125</t>
  </si>
  <si>
    <t>C-21126</t>
  </si>
  <si>
    <t>C-21127</t>
  </si>
  <si>
    <t>C-21128</t>
  </si>
  <si>
    <t>C-21129</t>
  </si>
  <si>
    <t>C-21130</t>
  </si>
  <si>
    <t>C-21131</t>
  </si>
  <si>
    <t>C-21132</t>
  </si>
  <si>
    <t>C-21133</t>
  </si>
  <si>
    <t>C-21134</t>
  </si>
  <si>
    <t>C-21135</t>
  </si>
  <si>
    <t>C-21136</t>
  </si>
  <si>
    <t>C-21137</t>
  </si>
  <si>
    <t>C-21138</t>
  </si>
  <si>
    <t>C-21139</t>
  </si>
  <si>
    <t>C-21140</t>
  </si>
  <si>
    <t>C-21141</t>
  </si>
  <si>
    <t>C-21142</t>
  </si>
  <si>
    <t>C-21143</t>
  </si>
  <si>
    <t>(108)ARTURO COYOTL</t>
  </si>
  <si>
    <t>C-21144</t>
  </si>
  <si>
    <t>C-21145</t>
  </si>
  <si>
    <t>C-21146</t>
  </si>
  <si>
    <t>C-21147</t>
  </si>
  <si>
    <t>C-21148</t>
  </si>
  <si>
    <t>C-21149</t>
  </si>
  <si>
    <t>C-21150</t>
  </si>
  <si>
    <t>C-21151</t>
  </si>
  <si>
    <t>C-21152</t>
  </si>
  <si>
    <t>C-21153</t>
  </si>
  <si>
    <t>C-21154</t>
  </si>
  <si>
    <t>C-21155</t>
  </si>
  <si>
    <t>C-21156</t>
  </si>
  <si>
    <t>C-21157</t>
  </si>
  <si>
    <t>C-21158</t>
  </si>
  <si>
    <t>C-21159</t>
  </si>
  <si>
    <t>C-21160</t>
  </si>
  <si>
    <t>C-21161</t>
  </si>
  <si>
    <t>C-21162</t>
  </si>
  <si>
    <t>C-21163</t>
  </si>
  <si>
    <t>C-21164</t>
  </si>
  <si>
    <t>C-21165</t>
  </si>
  <si>
    <t>C-21166</t>
  </si>
  <si>
    <t>C-21167</t>
  </si>
  <si>
    <t>C-21168</t>
  </si>
  <si>
    <t>C-21169</t>
  </si>
  <si>
    <t>C-21170</t>
  </si>
  <si>
    <t>C-21171</t>
  </si>
  <si>
    <t>C-21172</t>
  </si>
  <si>
    <t>C-21173</t>
  </si>
  <si>
    <t>C-21174</t>
  </si>
  <si>
    <t>C-21175</t>
  </si>
  <si>
    <t>C-21176</t>
  </si>
  <si>
    <t>C-21177</t>
  </si>
  <si>
    <t>C-21178</t>
  </si>
  <si>
    <t>C-21179</t>
  </si>
  <si>
    <t>C-21180</t>
  </si>
  <si>
    <t>C-21181</t>
  </si>
  <si>
    <t>C-21182</t>
  </si>
  <si>
    <t>C-21183</t>
  </si>
  <si>
    <t>Fisicamente esta en la  21184 C</t>
  </si>
  <si>
    <t>C-21184</t>
  </si>
  <si>
    <t>Fisica en la  21183 C</t>
  </si>
  <si>
    <t>C-21185</t>
  </si>
  <si>
    <t>C-21186</t>
  </si>
  <si>
    <t>C-21187</t>
  </si>
  <si>
    <t>C-21188</t>
  </si>
  <si>
    <t>C-21189</t>
  </si>
  <si>
    <t>C-21190</t>
  </si>
  <si>
    <t>C-21191</t>
  </si>
  <si>
    <r>
      <t xml:space="preserve">(331)ROBERTO MORALES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</si>
  <si>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C-21192</t>
  </si>
  <si>
    <t>C-21193</t>
  </si>
  <si>
    <t>C-21194</t>
  </si>
  <si>
    <t>C-21195</t>
  </si>
  <si>
    <t>C-21196</t>
  </si>
  <si>
    <t>(140)PEDRO CORDERO</t>
  </si>
  <si>
    <t>C-21197</t>
  </si>
  <si>
    <t>C-21198</t>
  </si>
  <si>
    <t>C-21199</t>
  </si>
  <si>
    <t>C-21200</t>
  </si>
  <si>
    <t>C-21201</t>
  </si>
  <si>
    <t>C-21202</t>
  </si>
  <si>
    <t>C-21203</t>
  </si>
  <si>
    <t>C-21204</t>
  </si>
  <si>
    <t>C-21205</t>
  </si>
  <si>
    <t>C-21206</t>
  </si>
  <si>
    <t>C-21207</t>
  </si>
  <si>
    <t>C-21208</t>
  </si>
  <si>
    <t>C-21209</t>
  </si>
  <si>
    <t>C-21210</t>
  </si>
  <si>
    <t>C-21211</t>
  </si>
  <si>
    <t>C-21212</t>
  </si>
  <si>
    <t>C-21213</t>
  </si>
  <si>
    <t>C-21214</t>
  </si>
  <si>
    <t>C-21215</t>
  </si>
  <si>
    <t>C-21216</t>
  </si>
  <si>
    <t>13-May-22--20-May-22</t>
  </si>
  <si>
    <t>C-21217</t>
  </si>
  <si>
    <t>C-21218</t>
  </si>
  <si>
    <t>C-21219</t>
  </si>
  <si>
    <t>C-21220</t>
  </si>
  <si>
    <t>C-21221</t>
  </si>
  <si>
    <r>
      <t xml:space="preserve">(306)JAVIER HERRERA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</si>
  <si>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C-21222</t>
  </si>
  <si>
    <t>C-21223</t>
  </si>
  <si>
    <t>C-21224</t>
  </si>
  <si>
    <t>C-21225</t>
  </si>
  <si>
    <t>C-21226</t>
  </si>
  <si>
    <t>C-21227</t>
  </si>
  <si>
    <t>C-21228</t>
  </si>
  <si>
    <t>C-21229</t>
  </si>
  <si>
    <t>C-21230</t>
  </si>
  <si>
    <t>C-21231</t>
  </si>
  <si>
    <t>C-21232</t>
  </si>
  <si>
    <t>C-21233</t>
  </si>
  <si>
    <t>C-21234</t>
  </si>
  <si>
    <t>C-21235</t>
  </si>
  <si>
    <t>C-21236</t>
  </si>
  <si>
    <t>C-21237</t>
  </si>
  <si>
    <t>C-21238</t>
  </si>
  <si>
    <t>C-21239</t>
  </si>
  <si>
    <t>C-21240</t>
  </si>
  <si>
    <t>C-21241</t>
  </si>
  <si>
    <t>C-21242</t>
  </si>
  <si>
    <t>C-21243</t>
  </si>
  <si>
    <t>C-21244</t>
  </si>
  <si>
    <t>C-21245</t>
  </si>
  <si>
    <r>
      <t xml:space="preserve">(725)ABASTO DE 4 CARNES SA DE CV 11 SUR   </t>
    </r>
    <r>
      <rPr>
        <b/>
        <sz val="12"/>
        <color rgb="FFFF0000"/>
        <rFont val="Calibri"/>
        <family val="2"/>
        <scheme val="minor"/>
      </rPr>
      <t>CANCELADA</t>
    </r>
  </si>
  <si>
    <t>C-21246</t>
  </si>
  <si>
    <t>C-21247</t>
  </si>
  <si>
    <t>C-21248</t>
  </si>
  <si>
    <t>C-21249</t>
  </si>
  <si>
    <t>C-21250</t>
  </si>
  <si>
    <t>C-21251</t>
  </si>
  <si>
    <t>C-21252</t>
  </si>
  <si>
    <t>C-21253</t>
  </si>
  <si>
    <t>C-21254</t>
  </si>
  <si>
    <t>C-21255</t>
  </si>
  <si>
    <t>C-21256</t>
  </si>
  <si>
    <t>C-21257</t>
  </si>
  <si>
    <t>C-21258</t>
  </si>
  <si>
    <t>C-21259</t>
  </si>
  <si>
    <t>C-21260</t>
  </si>
  <si>
    <t>C-21261</t>
  </si>
  <si>
    <t>C-21262</t>
  </si>
  <si>
    <t>C-21263</t>
  </si>
  <si>
    <t>C-21264</t>
  </si>
  <si>
    <t>C-21265</t>
  </si>
  <si>
    <t>C-21266</t>
  </si>
  <si>
    <t>C-21267</t>
  </si>
  <si>
    <t>C-21268</t>
  </si>
  <si>
    <t>C-21269</t>
  </si>
  <si>
    <t>C-21270</t>
  </si>
  <si>
    <t>C-21271</t>
  </si>
  <si>
    <t>C-21272</t>
  </si>
  <si>
    <t>C-21273</t>
  </si>
  <si>
    <t>C-21274</t>
  </si>
  <si>
    <t>C-21275</t>
  </si>
  <si>
    <t>C-21276</t>
  </si>
  <si>
    <t>C-21277</t>
  </si>
  <si>
    <t>C-21278</t>
  </si>
  <si>
    <t>C-21279</t>
  </si>
  <si>
    <t>C-21280</t>
  </si>
  <si>
    <t>C-21281</t>
  </si>
  <si>
    <t>C-21282</t>
  </si>
  <si>
    <t>C-21283</t>
  </si>
  <si>
    <t>C-21284</t>
  </si>
  <si>
    <t>11-May-22--12-May-22</t>
  </si>
  <si>
    <t>C-21285</t>
  </si>
  <si>
    <t>C-21286</t>
  </si>
  <si>
    <t>C-21287</t>
  </si>
  <si>
    <t>C-21288</t>
  </si>
  <si>
    <t>C-21289</t>
  </si>
  <si>
    <t>C-21290</t>
  </si>
  <si>
    <t>C-21291</t>
  </si>
  <si>
    <t>C-21292</t>
  </si>
  <si>
    <t>C-21293</t>
  </si>
  <si>
    <t>C-21294</t>
  </si>
  <si>
    <t>C-21295</t>
  </si>
  <si>
    <t>C-21296</t>
  </si>
  <si>
    <t>C-21297</t>
  </si>
  <si>
    <t>C-21298</t>
  </si>
  <si>
    <t>C-21299</t>
  </si>
  <si>
    <t>C-21300</t>
  </si>
  <si>
    <t>C-21301</t>
  </si>
  <si>
    <t>C-21302</t>
  </si>
  <si>
    <t>C-21303</t>
  </si>
  <si>
    <t>C-21304</t>
  </si>
  <si>
    <t>C-21305</t>
  </si>
  <si>
    <t>C-21306</t>
  </si>
  <si>
    <t>C-21307</t>
  </si>
  <si>
    <t>C-21308</t>
  </si>
  <si>
    <t>C-21309</t>
  </si>
  <si>
    <t>C-21310</t>
  </si>
  <si>
    <t>C-21311</t>
  </si>
  <si>
    <t>C-21312</t>
  </si>
  <si>
    <t>C-21313</t>
  </si>
  <si>
    <t>C-21314</t>
  </si>
  <si>
    <t>C-21315</t>
  </si>
  <si>
    <t>C-21316</t>
  </si>
  <si>
    <t>C-21317</t>
  </si>
  <si>
    <t>C-21318</t>
  </si>
  <si>
    <t>C-21319</t>
  </si>
  <si>
    <t>C-21320</t>
  </si>
  <si>
    <t>C-21321</t>
  </si>
  <si>
    <t>C-21322</t>
  </si>
  <si>
    <t>C-21323</t>
  </si>
  <si>
    <t>C-21324</t>
  </si>
  <si>
    <t>C-21325</t>
  </si>
  <si>
    <t>C-21326</t>
  </si>
  <si>
    <t>C-21327</t>
  </si>
  <si>
    <t>C-21328</t>
  </si>
  <si>
    <t>C-21329</t>
  </si>
  <si>
    <r>
      <t xml:space="preserve">(595)LOMA VERDE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</si>
  <si>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C-21330</t>
  </si>
  <si>
    <t>C-21331</t>
  </si>
  <si>
    <t>C-21332</t>
  </si>
  <si>
    <t>C-21333</t>
  </si>
  <si>
    <t>C-21334</t>
  </si>
  <si>
    <t>C-21335</t>
  </si>
  <si>
    <t>C-21336</t>
  </si>
  <si>
    <t>C-21337</t>
  </si>
  <si>
    <t>C-21338</t>
  </si>
  <si>
    <t>C-21339</t>
  </si>
  <si>
    <t>C-21340</t>
  </si>
  <si>
    <t>C-21341</t>
  </si>
  <si>
    <t>C-21342</t>
  </si>
  <si>
    <t>C-21343</t>
  </si>
  <si>
    <t>07/05/2022</t>
  </si>
  <si>
    <t>C-21344</t>
  </si>
  <si>
    <t>C-21345</t>
  </si>
  <si>
    <t>C-21346</t>
  </si>
  <si>
    <t>C-21347</t>
  </si>
  <si>
    <t>C-21348</t>
  </si>
  <si>
    <t>C-21349</t>
  </si>
  <si>
    <t>C-21350</t>
  </si>
  <si>
    <t>C-21351</t>
  </si>
  <si>
    <t>C-21352</t>
  </si>
  <si>
    <t>C-21353</t>
  </si>
  <si>
    <t>C-21354</t>
  </si>
  <si>
    <t>C-21355</t>
  </si>
  <si>
    <t>C-21356</t>
  </si>
  <si>
    <t>C-21357</t>
  </si>
  <si>
    <t>C-21358</t>
  </si>
  <si>
    <t>C-21359</t>
  </si>
  <si>
    <t>C-21360</t>
  </si>
  <si>
    <t>C-21361</t>
  </si>
  <si>
    <t>C-21362</t>
  </si>
  <si>
    <t>C-21363</t>
  </si>
  <si>
    <t>C-21364</t>
  </si>
  <si>
    <t>C-21365</t>
  </si>
  <si>
    <t>C-21366</t>
  </si>
  <si>
    <t>C-21367</t>
  </si>
  <si>
    <t>20-May-22--27-May-22</t>
  </si>
  <si>
    <t>C-21368</t>
  </si>
  <si>
    <t>C-21369</t>
  </si>
  <si>
    <t>C-21370</t>
  </si>
  <si>
    <t>C-21371</t>
  </si>
  <si>
    <t>C-21372</t>
  </si>
  <si>
    <t>C-21373</t>
  </si>
  <si>
    <t>C-21374</t>
  </si>
  <si>
    <t>C-21375</t>
  </si>
  <si>
    <t>C-21376</t>
  </si>
  <si>
    <t>C-21377</t>
  </si>
  <si>
    <t>C-21378</t>
  </si>
  <si>
    <t>C-21379</t>
  </si>
  <si>
    <t>C-21380</t>
  </si>
  <si>
    <t>C-21381</t>
  </si>
  <si>
    <t>C-21382</t>
  </si>
  <si>
    <t>C-21383</t>
  </si>
  <si>
    <t>C-21384</t>
  </si>
  <si>
    <t>C-21385</t>
  </si>
  <si>
    <t>C-21386</t>
  </si>
  <si>
    <t>C-21387</t>
  </si>
  <si>
    <t>C-21388</t>
  </si>
  <si>
    <t>C-21389</t>
  </si>
  <si>
    <t>C-21390</t>
  </si>
  <si>
    <t>C-21391</t>
  </si>
  <si>
    <t>C-21392</t>
  </si>
  <si>
    <t>11-May-22--12-May-22------------</t>
  </si>
  <si>
    <t>C-21393</t>
  </si>
  <si>
    <t>C-21394</t>
  </si>
  <si>
    <t>C-21395</t>
  </si>
  <si>
    <t>C-21396</t>
  </si>
  <si>
    <t>C-21397</t>
  </si>
  <si>
    <t>C-21398</t>
  </si>
  <si>
    <t>C-21399</t>
  </si>
  <si>
    <t>C-21400</t>
  </si>
  <si>
    <t>C-21401</t>
  </si>
  <si>
    <t>C-21402</t>
  </si>
  <si>
    <t>C-21403</t>
  </si>
  <si>
    <t>C-21404</t>
  </si>
  <si>
    <t>C-21405</t>
  </si>
  <si>
    <t>C-21406</t>
  </si>
  <si>
    <t>C-21407</t>
  </si>
  <si>
    <t>9-May-22--10-May-22</t>
  </si>
  <si>
    <t>C-21408</t>
  </si>
  <si>
    <t>C-21409</t>
  </si>
  <si>
    <t>C-21410</t>
  </si>
  <si>
    <t>C-21411</t>
  </si>
  <si>
    <t>C-21412</t>
  </si>
  <si>
    <t>C-21413</t>
  </si>
  <si>
    <t>C-21414</t>
  </si>
  <si>
    <t>(81)JHONY  IXMATLAHUA</t>
  </si>
  <si>
    <t>C-21415</t>
  </si>
  <si>
    <t>C-21416</t>
  </si>
  <si>
    <t>C-21417</t>
  </si>
  <si>
    <t>C-21418</t>
  </si>
  <si>
    <t>C-21419</t>
  </si>
  <si>
    <t>C-21420</t>
  </si>
  <si>
    <t>C-21421</t>
  </si>
  <si>
    <t>C-21422</t>
  </si>
  <si>
    <t>C-21423</t>
  </si>
  <si>
    <t>C-21424</t>
  </si>
  <si>
    <t>C-21425</t>
  </si>
  <si>
    <t>08/05/2022</t>
  </si>
  <si>
    <t>C-21426</t>
  </si>
  <si>
    <t>C-21427</t>
  </si>
  <si>
    <t>C-21428</t>
  </si>
  <si>
    <t>C-21429</t>
  </si>
  <si>
    <t>C-21430</t>
  </si>
  <si>
    <t>C-21431</t>
  </si>
  <si>
    <t>C-21432</t>
  </si>
  <si>
    <t>C-21433</t>
  </si>
  <si>
    <t>C-21434</t>
  </si>
  <si>
    <t>C-21435</t>
  </si>
  <si>
    <t>C-21436</t>
  </si>
  <si>
    <t>C-21437</t>
  </si>
  <si>
    <t>C-21438</t>
  </si>
  <si>
    <t>C-21439</t>
  </si>
  <si>
    <t>10-May-22--11-May-22</t>
  </si>
  <si>
    <t>C-21440</t>
  </si>
  <si>
    <t>C-21441</t>
  </si>
  <si>
    <t>C-21442</t>
  </si>
  <si>
    <t>C-21443</t>
  </si>
  <si>
    <t>C-21444</t>
  </si>
  <si>
    <t>C-21445</t>
  </si>
  <si>
    <t>C-21446</t>
  </si>
  <si>
    <t>C-21447</t>
  </si>
  <si>
    <t>C-21448</t>
  </si>
  <si>
    <t>C-21449</t>
  </si>
  <si>
    <t>C-21450</t>
  </si>
  <si>
    <t>C-21451</t>
  </si>
  <si>
    <t>C-21452</t>
  </si>
  <si>
    <t>C-21453</t>
  </si>
  <si>
    <t>C-21454</t>
  </si>
  <si>
    <t>C-21455</t>
  </si>
  <si>
    <t>C-21456</t>
  </si>
  <si>
    <t>C-21457</t>
  </si>
  <si>
    <t>C-21458</t>
  </si>
  <si>
    <t>C-21459</t>
  </si>
  <si>
    <t>C-21460</t>
  </si>
  <si>
    <t>C-21461</t>
  </si>
  <si>
    <t>C-21462</t>
  </si>
  <si>
    <t>C-21463</t>
  </si>
  <si>
    <t>C-21464</t>
  </si>
  <si>
    <t>C-21465</t>
  </si>
  <si>
    <t>C-21466</t>
  </si>
  <si>
    <t>C-21467</t>
  </si>
  <si>
    <t>C-21468</t>
  </si>
  <si>
    <t>C-21469</t>
  </si>
  <si>
    <t>C-21470</t>
  </si>
  <si>
    <t>C-21471</t>
  </si>
  <si>
    <t>C-21472</t>
  </si>
  <si>
    <t>C-21473</t>
  </si>
  <si>
    <t>C-21474</t>
  </si>
  <si>
    <t>C-21475</t>
  </si>
  <si>
    <t>C-21476</t>
  </si>
  <si>
    <t>C-21477</t>
  </si>
  <si>
    <t>C-21478</t>
  </si>
  <si>
    <t>C-21479</t>
  </si>
  <si>
    <t>C-21480</t>
  </si>
  <si>
    <t>C-21481</t>
  </si>
  <si>
    <t>C-21482</t>
  </si>
  <si>
    <t>C-21483</t>
  </si>
  <si>
    <t>C-21484</t>
  </si>
  <si>
    <t>C-21485</t>
  </si>
  <si>
    <t>C-21486</t>
  </si>
  <si>
    <t>C-21487</t>
  </si>
  <si>
    <t>C-21488</t>
  </si>
  <si>
    <t>C-21489</t>
  </si>
  <si>
    <t>C-21490</t>
  </si>
  <si>
    <t>C-21491</t>
  </si>
  <si>
    <t>C-21492</t>
  </si>
  <si>
    <t>C-21493</t>
  </si>
  <si>
    <t>C-21494</t>
  </si>
  <si>
    <t>C-21495</t>
  </si>
  <si>
    <t>C-21496</t>
  </si>
  <si>
    <t>C-21497</t>
  </si>
  <si>
    <t>C-21498</t>
  </si>
  <si>
    <t>C-21499</t>
  </si>
  <si>
    <t>C-21500</t>
  </si>
  <si>
    <t>C-21501</t>
  </si>
  <si>
    <t>C-21502</t>
  </si>
  <si>
    <t>C-21503</t>
  </si>
  <si>
    <t>C-21504</t>
  </si>
  <si>
    <t>C-21505</t>
  </si>
  <si>
    <t>C-21506</t>
  </si>
  <si>
    <t>(900)GUADALUPE ANDRADE</t>
  </si>
  <si>
    <t>C-21507</t>
  </si>
  <si>
    <t>C-21508</t>
  </si>
  <si>
    <t>C-21509</t>
  </si>
  <si>
    <t>C-21510</t>
  </si>
  <si>
    <t>C-21511</t>
  </si>
  <si>
    <t>C-21512</t>
  </si>
  <si>
    <t>C-21513</t>
  </si>
  <si>
    <t>C-21514</t>
  </si>
  <si>
    <t>C-21515</t>
  </si>
  <si>
    <t>C-21516</t>
  </si>
  <si>
    <t>C-21517</t>
  </si>
  <si>
    <t>C-21518</t>
  </si>
  <si>
    <t>C-21519</t>
  </si>
  <si>
    <t>C-21520</t>
  </si>
  <si>
    <t>C-21521</t>
  </si>
  <si>
    <t>C-21522</t>
  </si>
  <si>
    <t>C-21523</t>
  </si>
  <si>
    <t>C-21524</t>
  </si>
  <si>
    <t>C-21525</t>
  </si>
  <si>
    <t>C-21526</t>
  </si>
  <si>
    <t>C-21527</t>
  </si>
  <si>
    <t>C-21528</t>
  </si>
  <si>
    <t>C-21529</t>
  </si>
  <si>
    <t>C-21530</t>
  </si>
  <si>
    <t>C-21531</t>
  </si>
  <si>
    <t>C-21532</t>
  </si>
  <si>
    <t>C-21533</t>
  </si>
  <si>
    <t>C-21534</t>
  </si>
  <si>
    <t>C-21535</t>
  </si>
  <si>
    <t>C-21536</t>
  </si>
  <si>
    <t>19-May-22--20-May-22</t>
  </si>
  <si>
    <t>C-21537</t>
  </si>
  <si>
    <t>C-21538</t>
  </si>
  <si>
    <t>C-21539</t>
  </si>
  <si>
    <t>C-21540</t>
  </si>
  <si>
    <t>C-21541</t>
  </si>
  <si>
    <t>C-21542</t>
  </si>
  <si>
    <r>
      <t xml:space="preserve">(896)SUPER AHORROS VICTORINO S.A DE C.V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</si>
  <si>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C-21543</t>
  </si>
  <si>
    <t>C-21544</t>
  </si>
  <si>
    <t>C-21545</t>
  </si>
  <si>
    <t>C-21546</t>
  </si>
  <si>
    <t>C-21547</t>
  </si>
  <si>
    <t>C-21548</t>
  </si>
  <si>
    <t>C-21549</t>
  </si>
  <si>
    <t>C-21550</t>
  </si>
  <si>
    <t>C-21551</t>
  </si>
  <si>
    <t>C-21552</t>
  </si>
  <si>
    <t>C-21553</t>
  </si>
  <si>
    <t>C-21554</t>
  </si>
  <si>
    <t>C-21555</t>
  </si>
  <si>
    <t>C-21556</t>
  </si>
  <si>
    <r>
      <t>(363)ADRIAN JUAREZ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</si>
  <si>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C-21557</t>
  </si>
  <si>
    <t>C-21558</t>
  </si>
  <si>
    <t>C-21559</t>
  </si>
  <si>
    <t>C-21560</t>
  </si>
  <si>
    <t>C-21561</t>
  </si>
  <si>
    <t>C-21562</t>
  </si>
  <si>
    <t>C-21563</t>
  </si>
  <si>
    <t>C-21564</t>
  </si>
  <si>
    <t>C-21565</t>
  </si>
  <si>
    <t>C-21566</t>
  </si>
  <si>
    <t>C-21567</t>
  </si>
  <si>
    <t>C-21568</t>
  </si>
  <si>
    <t>C-21569</t>
  </si>
  <si>
    <t>C-21570</t>
  </si>
  <si>
    <t>C-21571</t>
  </si>
  <si>
    <t>C-21572</t>
  </si>
  <si>
    <t>C-21573</t>
  </si>
  <si>
    <t>C-21574</t>
  </si>
  <si>
    <t>C-21575</t>
  </si>
  <si>
    <t>C-21576</t>
  </si>
  <si>
    <t>C-21577</t>
  </si>
  <si>
    <t>C-21578</t>
  </si>
  <si>
    <t>C-21579</t>
  </si>
  <si>
    <t>C-21580</t>
  </si>
  <si>
    <t>C-21581</t>
  </si>
  <si>
    <t>C-21582</t>
  </si>
  <si>
    <t>C-21583</t>
  </si>
  <si>
    <t>C-21584</t>
  </si>
  <si>
    <t>C-21585</t>
  </si>
  <si>
    <t>C-21586</t>
  </si>
  <si>
    <t>C-21587</t>
  </si>
  <si>
    <t>C-21588</t>
  </si>
  <si>
    <t>C-21589</t>
  </si>
  <si>
    <r>
      <t xml:space="preserve">(660)JOSE JUQUILA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</si>
  <si>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C-21590</t>
  </si>
  <si>
    <t>C-21591</t>
  </si>
  <si>
    <t>C-21592</t>
  </si>
  <si>
    <t>C-21593</t>
  </si>
  <si>
    <t>C-21594</t>
  </si>
  <si>
    <t>C-21595</t>
  </si>
  <si>
    <t>C-21596</t>
  </si>
  <si>
    <t>C-21597</t>
  </si>
  <si>
    <t>C-21598</t>
  </si>
  <si>
    <t>C-21599</t>
  </si>
  <si>
    <t>C-21600</t>
  </si>
  <si>
    <t>C-21601</t>
  </si>
  <si>
    <t>C-21602</t>
  </si>
  <si>
    <t>C-21603</t>
  </si>
  <si>
    <t>C-21604</t>
  </si>
  <si>
    <t>C-21605</t>
  </si>
  <si>
    <t>C-21606</t>
  </si>
  <si>
    <t>C-21607</t>
  </si>
  <si>
    <t>C-21608</t>
  </si>
  <si>
    <t>C-21609</t>
  </si>
  <si>
    <t>C-21610</t>
  </si>
  <si>
    <t>C-21611</t>
  </si>
  <si>
    <t>C-21612</t>
  </si>
  <si>
    <t>C-21613</t>
  </si>
  <si>
    <r>
      <t xml:space="preserve">(899)KUN TACO   </t>
    </r>
    <r>
      <rPr>
        <b/>
        <sz val="12"/>
        <color rgb="FFFF0000"/>
        <rFont val="Calibri"/>
        <family val="2"/>
        <scheme val="minor"/>
      </rPr>
      <t>CANCELADA</t>
    </r>
  </si>
  <si>
    <t>C-21614</t>
  </si>
  <si>
    <t>C-21615</t>
  </si>
  <si>
    <t>C-21616</t>
  </si>
  <si>
    <t>C-21617</t>
  </si>
  <si>
    <t>C-21618</t>
  </si>
  <si>
    <t>C-21619</t>
  </si>
  <si>
    <t>C-21620</t>
  </si>
  <si>
    <t>C-21621</t>
  </si>
  <si>
    <t>C-21622</t>
  </si>
  <si>
    <t>C-21623</t>
  </si>
  <si>
    <t>C-21624</t>
  </si>
  <si>
    <t>C-21625</t>
  </si>
  <si>
    <t>C-21626</t>
  </si>
  <si>
    <t>C-21627</t>
  </si>
  <si>
    <t>C-21628</t>
  </si>
  <si>
    <t>C-21629</t>
  </si>
  <si>
    <t>C-21630</t>
  </si>
  <si>
    <t>C-21631</t>
  </si>
  <si>
    <t>C-21632</t>
  </si>
  <si>
    <t>C-21633</t>
  </si>
  <si>
    <t>C-21634</t>
  </si>
  <si>
    <t>C-21635</t>
  </si>
  <si>
    <t>C-21636</t>
  </si>
  <si>
    <t>C-21637</t>
  </si>
  <si>
    <t>C-21638</t>
  </si>
  <si>
    <t>C-21639</t>
  </si>
  <si>
    <t>C-21640</t>
  </si>
  <si>
    <t>C-21641</t>
  </si>
  <si>
    <t>C-21642</t>
  </si>
  <si>
    <t>C-21643</t>
  </si>
  <si>
    <t>C-21644</t>
  </si>
  <si>
    <t>C-21645</t>
  </si>
  <si>
    <t>C-21646</t>
  </si>
  <si>
    <t>C-21647</t>
  </si>
  <si>
    <t>C-21648</t>
  </si>
  <si>
    <t>C-21649</t>
  </si>
  <si>
    <t>C-21650</t>
  </si>
  <si>
    <t>C-21651</t>
  </si>
  <si>
    <t>C-21652</t>
  </si>
  <si>
    <t>C-21653</t>
  </si>
  <si>
    <t>C-21654</t>
  </si>
  <si>
    <t>C-21655</t>
  </si>
  <si>
    <t>C-21656</t>
  </si>
  <si>
    <t>C-21657</t>
  </si>
  <si>
    <t>C-21658</t>
  </si>
  <si>
    <t>C-21659</t>
  </si>
  <si>
    <t>C-21660</t>
  </si>
  <si>
    <t>C-21661</t>
  </si>
  <si>
    <t>C-21662</t>
  </si>
  <si>
    <t>C-21663</t>
  </si>
  <si>
    <t>C-21664</t>
  </si>
  <si>
    <t>C-21665</t>
  </si>
  <si>
    <t>C-21666</t>
  </si>
  <si>
    <t>C-21667</t>
  </si>
  <si>
    <t>C-21668</t>
  </si>
  <si>
    <t>C-21669</t>
  </si>
  <si>
    <t>C-21670</t>
  </si>
  <si>
    <t>C-21671</t>
  </si>
  <si>
    <t>C-21672</t>
  </si>
  <si>
    <t>C-21673</t>
  </si>
  <si>
    <t>C-21674</t>
  </si>
  <si>
    <t>C-21675</t>
  </si>
  <si>
    <t>C-21676</t>
  </si>
  <si>
    <t>C-21677</t>
  </si>
  <si>
    <t>C-21678</t>
  </si>
  <si>
    <t>C-21679</t>
  </si>
  <si>
    <t>C-21680</t>
  </si>
  <si>
    <t>C-21681</t>
  </si>
  <si>
    <t>C-21682</t>
  </si>
  <si>
    <t>C-21683</t>
  </si>
  <si>
    <t>C-21684</t>
  </si>
  <si>
    <t>C-21685</t>
  </si>
  <si>
    <t>C-21686</t>
  </si>
  <si>
    <t>C-21687</t>
  </si>
  <si>
    <t>C-21688</t>
  </si>
  <si>
    <t>C-21689</t>
  </si>
  <si>
    <t>C-21690</t>
  </si>
  <si>
    <t>C-21691</t>
  </si>
  <si>
    <t>12-May-22--13-May-22</t>
  </si>
  <si>
    <t>C-21692</t>
  </si>
  <si>
    <t>C-21693</t>
  </si>
  <si>
    <t>C-21694</t>
  </si>
  <si>
    <t>C-21695</t>
  </si>
  <si>
    <t>C-21696</t>
  </si>
  <si>
    <t>C-21697</t>
  </si>
  <si>
    <t>C-21698</t>
  </si>
  <si>
    <t>C-21699</t>
  </si>
  <si>
    <t>C-21700</t>
  </si>
  <si>
    <t>C-21701</t>
  </si>
  <si>
    <t>C-21702</t>
  </si>
  <si>
    <t>C-21703</t>
  </si>
  <si>
    <t>C-21704</t>
  </si>
  <si>
    <t>C-21705</t>
  </si>
  <si>
    <t>C-21706</t>
  </si>
  <si>
    <t>C-21707</t>
  </si>
  <si>
    <t>C-21708</t>
  </si>
  <si>
    <t>C-21709</t>
  </si>
  <si>
    <t>C-21710</t>
  </si>
  <si>
    <t>C-21711</t>
  </si>
  <si>
    <t>C-21712</t>
  </si>
  <si>
    <t>C-21713</t>
  </si>
  <si>
    <t>C-21714</t>
  </si>
  <si>
    <t>C-21715</t>
  </si>
  <si>
    <t>C-21716</t>
  </si>
  <si>
    <t>C-21717</t>
  </si>
  <si>
    <t>C-21718</t>
  </si>
  <si>
    <t>C-21719</t>
  </si>
  <si>
    <t>C-21720</t>
  </si>
  <si>
    <t>C-21721</t>
  </si>
  <si>
    <t>C-21722</t>
  </si>
  <si>
    <t>C-21723</t>
  </si>
  <si>
    <t>C-21724</t>
  </si>
  <si>
    <t>C-21725</t>
  </si>
  <si>
    <t>C-21726</t>
  </si>
  <si>
    <t>C-21727</t>
  </si>
  <si>
    <t>C-21728</t>
  </si>
  <si>
    <t>C-21729</t>
  </si>
  <si>
    <t>C-21730</t>
  </si>
  <si>
    <t>C-21731</t>
  </si>
  <si>
    <t>C-21732</t>
  </si>
  <si>
    <t>C-21733</t>
  </si>
  <si>
    <t>C-21734</t>
  </si>
  <si>
    <t>C-21735</t>
  </si>
  <si>
    <t>C-21736</t>
  </si>
  <si>
    <t>C-21737</t>
  </si>
  <si>
    <t>C-21738</t>
  </si>
  <si>
    <t>C-21739</t>
  </si>
  <si>
    <t>C-21740</t>
  </si>
  <si>
    <t>C-21741</t>
  </si>
  <si>
    <t>C-21742</t>
  </si>
  <si>
    <t>C-21743</t>
  </si>
  <si>
    <t>C-21744</t>
  </si>
  <si>
    <t>C-21745</t>
  </si>
  <si>
    <t>C-21746</t>
  </si>
  <si>
    <t>C-21747</t>
  </si>
  <si>
    <t>C-21748</t>
  </si>
  <si>
    <t>C-21749</t>
  </si>
  <si>
    <t>C-21750</t>
  </si>
  <si>
    <t>C-21751</t>
  </si>
  <si>
    <t>C-21752</t>
  </si>
  <si>
    <t>C-21753</t>
  </si>
  <si>
    <t>C-21754</t>
  </si>
  <si>
    <t>C-21755</t>
  </si>
  <si>
    <t>C-21756</t>
  </si>
  <si>
    <t>C-21757</t>
  </si>
  <si>
    <t>C-21758</t>
  </si>
  <si>
    <t>C-21759</t>
  </si>
  <si>
    <t>C-21760</t>
  </si>
  <si>
    <t>C-21761</t>
  </si>
  <si>
    <t>C-21762</t>
  </si>
  <si>
    <t>C-21763</t>
  </si>
  <si>
    <t>C-21764</t>
  </si>
  <si>
    <t>C-21765</t>
  </si>
  <si>
    <t>C-21766</t>
  </si>
  <si>
    <t>(328)MARCELINO SANCHEZ</t>
  </si>
  <si>
    <t>C-21767</t>
  </si>
  <si>
    <t>C-21768</t>
  </si>
  <si>
    <t>C-21769</t>
  </si>
  <si>
    <t>C-21770</t>
  </si>
  <si>
    <t>C-21771</t>
  </si>
  <si>
    <t>C-21772</t>
  </si>
  <si>
    <t>C-21773</t>
  </si>
  <si>
    <t>C-21774</t>
  </si>
  <si>
    <t>C-21775</t>
  </si>
  <si>
    <t>C-21776</t>
  </si>
  <si>
    <t>C-21777</t>
  </si>
  <si>
    <t>C-21778</t>
  </si>
  <si>
    <t>C-21779</t>
  </si>
  <si>
    <t>C-21780</t>
  </si>
  <si>
    <t>C-21781</t>
  </si>
  <si>
    <t>C-21782</t>
  </si>
  <si>
    <t>C-21783</t>
  </si>
  <si>
    <t>C-21784</t>
  </si>
  <si>
    <t>C-21785</t>
  </si>
  <si>
    <t>C-21786</t>
  </si>
  <si>
    <t>C-21787</t>
  </si>
  <si>
    <t>C-21788</t>
  </si>
  <si>
    <t>C-21789</t>
  </si>
  <si>
    <t>C-21790</t>
  </si>
  <si>
    <t>C-21791</t>
  </si>
  <si>
    <t>C-21792</t>
  </si>
  <si>
    <t>C-21793</t>
  </si>
  <si>
    <t>C-21794</t>
  </si>
  <si>
    <t>C-21795</t>
  </si>
  <si>
    <t>C-21796</t>
  </si>
  <si>
    <t>C-21797</t>
  </si>
  <si>
    <t>C-21798</t>
  </si>
  <si>
    <t>C-21799</t>
  </si>
  <si>
    <t>C-21800</t>
  </si>
  <si>
    <t>13-May-22--14-May-22</t>
  </si>
  <si>
    <t>C-21801</t>
  </si>
  <si>
    <t>C-21802</t>
  </si>
  <si>
    <t>C-21803</t>
  </si>
  <si>
    <t>C-21804</t>
  </si>
  <si>
    <t>C-21805</t>
  </si>
  <si>
    <t>C-21806</t>
  </si>
  <si>
    <t>C-21807</t>
  </si>
  <si>
    <t>C-21808</t>
  </si>
  <si>
    <t>C-21809</t>
  </si>
  <si>
    <t>C-21810</t>
  </si>
  <si>
    <t>C-21811</t>
  </si>
  <si>
    <t>C-21812</t>
  </si>
  <si>
    <t>C-21813</t>
  </si>
  <si>
    <t>C-21814</t>
  </si>
  <si>
    <t>C-21815</t>
  </si>
  <si>
    <t>C-21816</t>
  </si>
  <si>
    <t>C-21817</t>
  </si>
  <si>
    <t>C-21818</t>
  </si>
  <si>
    <t>C-21819</t>
  </si>
  <si>
    <t>C-21820</t>
  </si>
  <si>
    <t>C-21821</t>
  </si>
  <si>
    <t>C-21822</t>
  </si>
  <si>
    <t>C-21823</t>
  </si>
  <si>
    <t>C-21824</t>
  </si>
  <si>
    <t>C-21825</t>
  </si>
  <si>
    <t>C-21826</t>
  </si>
  <si>
    <r>
      <t xml:space="preserve">(92)JOSE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</si>
  <si>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C-21827</t>
  </si>
  <si>
    <t>C-21828</t>
  </si>
  <si>
    <t>C-21829</t>
  </si>
  <si>
    <t>C-21830</t>
  </si>
  <si>
    <t>C-21831</t>
  </si>
  <si>
    <t>C-21832</t>
  </si>
  <si>
    <t>C-21833</t>
  </si>
  <si>
    <t>C-21834</t>
  </si>
  <si>
    <t>C-21835</t>
  </si>
  <si>
    <t>C-21836</t>
  </si>
  <si>
    <t>C-21837</t>
  </si>
  <si>
    <t>C-21838</t>
  </si>
  <si>
    <t>C-21839</t>
  </si>
  <si>
    <t>C-21840</t>
  </si>
  <si>
    <t>C-21841</t>
  </si>
  <si>
    <t>C-21842</t>
  </si>
  <si>
    <t>C-21843</t>
  </si>
  <si>
    <t>C-21844</t>
  </si>
  <si>
    <t>C-21845</t>
  </si>
  <si>
    <t>C-21846</t>
  </si>
  <si>
    <t>C-21847</t>
  </si>
  <si>
    <t>C-21848</t>
  </si>
  <si>
    <t>C-21849</t>
  </si>
  <si>
    <t>C-21850</t>
  </si>
  <si>
    <t>C-21851</t>
  </si>
  <si>
    <t>C-21852</t>
  </si>
  <si>
    <t>C-21853</t>
  </si>
  <si>
    <t>C-21854</t>
  </si>
  <si>
    <t>C-21855</t>
  </si>
  <si>
    <t>C-21856</t>
  </si>
  <si>
    <t>C-21857</t>
  </si>
  <si>
    <t>C-21858</t>
  </si>
  <si>
    <t>C-21859</t>
  </si>
  <si>
    <t>C-21860</t>
  </si>
  <si>
    <t>C-21861</t>
  </si>
  <si>
    <t>C-21862</t>
  </si>
  <si>
    <t>C-21863</t>
  </si>
  <si>
    <t>C-21864</t>
  </si>
  <si>
    <t>C-21865</t>
  </si>
  <si>
    <t>C-21866</t>
  </si>
  <si>
    <t>C-21867</t>
  </si>
  <si>
    <t>C-21868</t>
  </si>
  <si>
    <t>C-21869</t>
  </si>
  <si>
    <t>C-21870</t>
  </si>
  <si>
    <t>C-21871</t>
  </si>
  <si>
    <t>C-21872</t>
  </si>
  <si>
    <t>C-21873</t>
  </si>
  <si>
    <t>C-21874</t>
  </si>
  <si>
    <t>C-21875</t>
  </si>
  <si>
    <t>C-21876</t>
  </si>
  <si>
    <t>C-21877</t>
  </si>
  <si>
    <t>C-21878</t>
  </si>
  <si>
    <t>C-21879</t>
  </si>
  <si>
    <t>C-21880</t>
  </si>
  <si>
    <t>C-21881</t>
  </si>
  <si>
    <t>C-21882</t>
  </si>
  <si>
    <t>C-21883</t>
  </si>
  <si>
    <t>C-21884</t>
  </si>
  <si>
    <t>C-21885</t>
  </si>
  <si>
    <t>C-21886</t>
  </si>
  <si>
    <t>C-21887</t>
  </si>
  <si>
    <t>C-21888</t>
  </si>
  <si>
    <t>C-21889</t>
  </si>
  <si>
    <t>C-21890</t>
  </si>
  <si>
    <t>C-21891</t>
  </si>
  <si>
    <t>C-21892</t>
  </si>
  <si>
    <t>C-21893</t>
  </si>
  <si>
    <t>C-21894</t>
  </si>
  <si>
    <t>C-21895</t>
  </si>
  <si>
    <r>
      <t xml:space="preserve">(493)GIL 5 MAYO  </t>
    </r>
    <r>
      <rPr>
        <b/>
        <sz val="12"/>
        <color rgb="FFFF0000"/>
        <rFont val="Calibri"/>
        <family val="2"/>
        <scheme val="minor"/>
      </rPr>
      <t>CANCELADA</t>
    </r>
  </si>
  <si>
    <t>C-21896</t>
  </si>
  <si>
    <t>C-21897</t>
  </si>
  <si>
    <t>C-21898</t>
  </si>
  <si>
    <t>C-21899</t>
  </si>
  <si>
    <t>C-21900</t>
  </si>
  <si>
    <t>C-21901</t>
  </si>
  <si>
    <t>C-21902</t>
  </si>
  <si>
    <t>C-21903</t>
  </si>
  <si>
    <t>C-21904</t>
  </si>
  <si>
    <t>C-21905</t>
  </si>
  <si>
    <t>(320)IVAN</t>
  </si>
  <si>
    <t>C-21906</t>
  </si>
  <si>
    <t>C-21907</t>
  </si>
  <si>
    <r>
      <t xml:space="preserve">(684)TLAXCALANCINGO   </t>
    </r>
    <r>
      <rPr>
        <b/>
        <sz val="12"/>
        <color rgb="FFFF0000"/>
        <rFont val="Calibri"/>
        <family val="2"/>
        <scheme val="minor"/>
      </rPr>
      <t>CANCELADA</t>
    </r>
  </si>
  <si>
    <t>C-21908</t>
  </si>
  <si>
    <t>C-21909</t>
  </si>
  <si>
    <t>C-21910</t>
  </si>
  <si>
    <t>C-21911</t>
  </si>
  <si>
    <t>C-21912</t>
  </si>
  <si>
    <t>C-21913</t>
  </si>
  <si>
    <t>C-21914</t>
  </si>
  <si>
    <t>C-21915</t>
  </si>
  <si>
    <t>C-21916</t>
  </si>
  <si>
    <t>C-21917</t>
  </si>
  <si>
    <t>C-21918</t>
  </si>
  <si>
    <t>C-21919</t>
  </si>
  <si>
    <t>15-May-22--16-May-22</t>
  </si>
  <si>
    <t>C-21920</t>
  </si>
  <si>
    <t>C-21921</t>
  </si>
  <si>
    <t>C-21922</t>
  </si>
  <si>
    <t>C-21923</t>
  </si>
  <si>
    <t>C-21924</t>
  </si>
  <si>
    <t>C-21925</t>
  </si>
  <si>
    <t>C-21926</t>
  </si>
  <si>
    <t>C-21927</t>
  </si>
  <si>
    <t>C-21928</t>
  </si>
  <si>
    <t>C-21929</t>
  </si>
  <si>
    <t>C-21930</t>
  </si>
  <si>
    <t>14-May-22--15-May-22</t>
  </si>
  <si>
    <t>C-21931</t>
  </si>
  <si>
    <t>C-21932</t>
  </si>
  <si>
    <t>C-21933</t>
  </si>
  <si>
    <t>C-21934</t>
  </si>
  <si>
    <r>
      <t xml:space="preserve">(662)ROJO CENTENO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</si>
  <si>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C-21935</t>
  </si>
  <si>
    <t>C-21936</t>
  </si>
  <si>
    <t>C-21937</t>
  </si>
  <si>
    <t>C-21938</t>
  </si>
  <si>
    <t>C-21939</t>
  </si>
  <si>
    <t>C-21940</t>
  </si>
  <si>
    <t>C-21941</t>
  </si>
  <si>
    <t>C-21942</t>
  </si>
  <si>
    <t>C-21943</t>
  </si>
  <si>
    <t>C-21944</t>
  </si>
  <si>
    <t>C-21945</t>
  </si>
  <si>
    <t>C-21946</t>
  </si>
  <si>
    <t>C-21947</t>
  </si>
  <si>
    <t>C-21948</t>
  </si>
  <si>
    <t>C-21949</t>
  </si>
  <si>
    <t>C-21950</t>
  </si>
  <si>
    <t>C-21951</t>
  </si>
  <si>
    <r>
      <t xml:space="preserve">(373)MARIA LUISA TELLEZ LOMA VERDE  </t>
    </r>
    <r>
      <rPr>
        <b/>
        <sz val="12"/>
        <color rgb="FFFF0000"/>
        <rFont val="Calibri"/>
        <family val="2"/>
        <scheme val="minor"/>
      </rPr>
      <t>CANCELADA</t>
    </r>
  </si>
  <si>
    <t>C-21952</t>
  </si>
  <si>
    <t>C-21953</t>
  </si>
  <si>
    <t>C-21954</t>
  </si>
  <si>
    <t>C-21955</t>
  </si>
  <si>
    <t>C-21956</t>
  </si>
  <si>
    <t>C-21957</t>
  </si>
  <si>
    <t>C-21958</t>
  </si>
  <si>
    <t>C-21959</t>
  </si>
  <si>
    <t>C-21960</t>
  </si>
  <si>
    <t>C-21961</t>
  </si>
  <si>
    <t>C-21962</t>
  </si>
  <si>
    <t>C-21963</t>
  </si>
  <si>
    <t>C-21964</t>
  </si>
  <si>
    <t>C-21965</t>
  </si>
  <si>
    <t>C-21966</t>
  </si>
  <si>
    <t>C-21967</t>
  </si>
  <si>
    <t>C-21968</t>
  </si>
  <si>
    <t>C-21969</t>
  </si>
  <si>
    <t>C-21970</t>
  </si>
  <si>
    <r>
      <t xml:space="preserve">(276)LEONARDO LINARES  </t>
    </r>
    <r>
      <rPr>
        <b/>
        <sz val="12"/>
        <color rgb="FFFF0000"/>
        <rFont val="Calibri"/>
        <family val="2"/>
        <scheme val="minor"/>
      </rPr>
      <t>CANCELADA</t>
    </r>
  </si>
  <si>
    <t>C-21971</t>
  </si>
  <si>
    <t>C-21972</t>
  </si>
  <si>
    <t>C-21973</t>
  </si>
  <si>
    <r>
      <t xml:space="preserve">(180)FELIX CEREZO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</si>
  <si>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C-21974</t>
  </si>
  <si>
    <t>C-21975</t>
  </si>
  <si>
    <t>C-21976</t>
  </si>
  <si>
    <t>C-21977</t>
  </si>
  <si>
    <t>C-21978</t>
  </si>
  <si>
    <t>C-21979</t>
  </si>
  <si>
    <t>C-21980</t>
  </si>
  <si>
    <t>C-21981</t>
  </si>
  <si>
    <t>C-21982</t>
  </si>
  <si>
    <t>C-21983</t>
  </si>
  <si>
    <t>C-21984</t>
  </si>
  <si>
    <t>C-21985</t>
  </si>
  <si>
    <t>Se sustituyo x la   21994 C</t>
  </si>
  <si>
    <t>C-21986</t>
  </si>
  <si>
    <t>C-21987</t>
  </si>
  <si>
    <t>C-21988</t>
  </si>
  <si>
    <t>C-21989</t>
  </si>
  <si>
    <t>C-21990</t>
  </si>
  <si>
    <t>C-21991</t>
  </si>
  <si>
    <t>C-21992</t>
  </si>
  <si>
    <t>C-21993</t>
  </si>
  <si>
    <t>C-21994</t>
  </si>
  <si>
    <t>C-21995</t>
  </si>
  <si>
    <t>C-21996</t>
  </si>
  <si>
    <t>C-21997</t>
  </si>
  <si>
    <t>C-21998</t>
  </si>
  <si>
    <t>C-21999</t>
  </si>
  <si>
    <t>C-22000</t>
  </si>
  <si>
    <t>C-22001</t>
  </si>
  <si>
    <t>C-22002</t>
  </si>
  <si>
    <t>C-22003</t>
  </si>
  <si>
    <t>C-22004</t>
  </si>
  <si>
    <t>C-22005</t>
  </si>
  <si>
    <t>C-22006</t>
  </si>
  <si>
    <t>C-22007</t>
  </si>
  <si>
    <t>C-22008</t>
  </si>
  <si>
    <t>C-22009</t>
  </si>
  <si>
    <t>C-22010</t>
  </si>
  <si>
    <t>C-22011</t>
  </si>
  <si>
    <t>C-22012</t>
  </si>
  <si>
    <t>C-22013</t>
  </si>
  <si>
    <t>C-22014</t>
  </si>
  <si>
    <t>C-22015</t>
  </si>
  <si>
    <r>
      <t xml:space="preserve">(811)BENJAMIN  </t>
    </r>
    <r>
      <rPr>
        <b/>
        <sz val="12"/>
        <color rgb="FFFF0000"/>
        <rFont val="Calibri"/>
        <family val="2"/>
        <scheme val="minor"/>
      </rPr>
      <t>CANCELADA</t>
    </r>
  </si>
  <si>
    <t>Se sustituyo x la   22017 C</t>
  </si>
  <si>
    <t>C-22016</t>
  </si>
  <si>
    <t>C-22017</t>
  </si>
  <si>
    <t>C-22018</t>
  </si>
  <si>
    <t>C-22019</t>
  </si>
  <si>
    <t>C-22020</t>
  </si>
  <si>
    <t>C-22021</t>
  </si>
  <si>
    <t>C-22022</t>
  </si>
  <si>
    <t>C-22023</t>
  </si>
  <si>
    <t>C-22024</t>
  </si>
  <si>
    <t>C-22025</t>
  </si>
  <si>
    <t>C-22026</t>
  </si>
  <si>
    <t>C-22027</t>
  </si>
  <si>
    <t>C-22028</t>
  </si>
  <si>
    <t>C-22029</t>
  </si>
  <si>
    <t>C-22030</t>
  </si>
  <si>
    <t>C-22031</t>
  </si>
  <si>
    <t>C-22032</t>
  </si>
  <si>
    <t>C-22033</t>
  </si>
  <si>
    <t>C-22034</t>
  </si>
  <si>
    <t>C-22035</t>
  </si>
  <si>
    <t>C-22036</t>
  </si>
  <si>
    <t>C-22037</t>
  </si>
  <si>
    <t>C-22038</t>
  </si>
  <si>
    <t>C-22039</t>
  </si>
  <si>
    <t>C-22040</t>
  </si>
  <si>
    <t>C-22041</t>
  </si>
  <si>
    <t>C-22042</t>
  </si>
  <si>
    <t>C-22043</t>
  </si>
  <si>
    <t>C-22044</t>
  </si>
  <si>
    <t>C-22045</t>
  </si>
  <si>
    <t>C-22046</t>
  </si>
  <si>
    <t>C-22047</t>
  </si>
  <si>
    <t>C-22048</t>
  </si>
  <si>
    <t>C-22049</t>
  </si>
  <si>
    <t>C-22050</t>
  </si>
  <si>
    <t>C-22051</t>
  </si>
  <si>
    <t>C-22052</t>
  </si>
  <si>
    <t>C-22053</t>
  </si>
  <si>
    <t>C-22054</t>
  </si>
  <si>
    <t>C-22055</t>
  </si>
  <si>
    <t>C-22056</t>
  </si>
  <si>
    <t>C-22057</t>
  </si>
  <si>
    <t>C-22058</t>
  </si>
  <si>
    <t>C-22059</t>
  </si>
  <si>
    <t>C-22060</t>
  </si>
  <si>
    <t>C-22061</t>
  </si>
  <si>
    <t>C-22062</t>
  </si>
  <si>
    <t>C-22063</t>
  </si>
  <si>
    <t>C-22064</t>
  </si>
  <si>
    <t>C-22065</t>
  </si>
  <si>
    <t>C-22066</t>
  </si>
  <si>
    <t>C-22067</t>
  </si>
  <si>
    <t>C-22068</t>
  </si>
  <si>
    <t>C-22069</t>
  </si>
  <si>
    <t>C-22070</t>
  </si>
  <si>
    <t>16-May-22--17-May-22</t>
  </si>
  <si>
    <t>C-22071</t>
  </si>
  <si>
    <t>C-22072</t>
  </si>
  <si>
    <t>C-22073</t>
  </si>
  <si>
    <t>C-22074</t>
  </si>
  <si>
    <t>C-22075</t>
  </si>
  <si>
    <t>C-22076</t>
  </si>
  <si>
    <t>C-22077</t>
  </si>
  <si>
    <t>C-22078</t>
  </si>
  <si>
    <t>18-May-22--19-May-22--20-5</t>
  </si>
  <si>
    <t>C-22079</t>
  </si>
  <si>
    <t>C-22080</t>
  </si>
  <si>
    <t>C-22081</t>
  </si>
  <si>
    <t>C-22082</t>
  </si>
  <si>
    <t>C-22083</t>
  </si>
  <si>
    <t>C-22084</t>
  </si>
  <si>
    <t>C-22085</t>
  </si>
  <si>
    <t>C-22086</t>
  </si>
  <si>
    <t>C-22087</t>
  </si>
  <si>
    <t>C-22088</t>
  </si>
  <si>
    <t>C-22089</t>
  </si>
  <si>
    <t>C-22090</t>
  </si>
  <si>
    <t>C-22091</t>
  </si>
  <si>
    <t>C-22092</t>
  </si>
  <si>
    <t>C-22093</t>
  </si>
  <si>
    <t>C-22094</t>
  </si>
  <si>
    <t>C-22095</t>
  </si>
  <si>
    <t>C-22096</t>
  </si>
  <si>
    <t>C-22097</t>
  </si>
  <si>
    <t>C-22098</t>
  </si>
  <si>
    <t>C-22099</t>
  </si>
  <si>
    <t>C-22100</t>
  </si>
  <si>
    <t>C-22101</t>
  </si>
  <si>
    <t>C-22102</t>
  </si>
  <si>
    <t>C-22103</t>
  </si>
  <si>
    <t>C-22104</t>
  </si>
  <si>
    <t>C-22105</t>
  </si>
  <si>
    <t>C-22106</t>
  </si>
  <si>
    <t>C-22107</t>
  </si>
  <si>
    <t>C-22108</t>
  </si>
  <si>
    <t>C-22109</t>
  </si>
  <si>
    <t>C-22110</t>
  </si>
  <si>
    <t>C-22111</t>
  </si>
  <si>
    <t>C-22112</t>
  </si>
  <si>
    <t>C-22113</t>
  </si>
  <si>
    <t>C-22114</t>
  </si>
  <si>
    <t>C-22115</t>
  </si>
  <si>
    <t>C-22116</t>
  </si>
  <si>
    <t>C-22117</t>
  </si>
  <si>
    <t>C-22118</t>
  </si>
  <si>
    <t>C-22119</t>
  </si>
  <si>
    <t>C-22120</t>
  </si>
  <si>
    <t>C-22121</t>
  </si>
  <si>
    <t>C-22122</t>
  </si>
  <si>
    <t>C-22123</t>
  </si>
  <si>
    <t>C-22124</t>
  </si>
  <si>
    <t>C-22125</t>
  </si>
  <si>
    <t>C-22126</t>
  </si>
  <si>
    <t>C-22127</t>
  </si>
  <si>
    <t>C-22128</t>
  </si>
  <si>
    <t>C-22129</t>
  </si>
  <si>
    <t>C-22130</t>
  </si>
  <si>
    <t>C-22131</t>
  </si>
  <si>
    <t>C-22132</t>
  </si>
  <si>
    <t>14-May-22--20-May-22</t>
  </si>
  <si>
    <t>C-22133</t>
  </si>
  <si>
    <t>C-22134</t>
  </si>
  <si>
    <t>C-22135</t>
  </si>
  <si>
    <t>C-22136</t>
  </si>
  <si>
    <t>C-22137</t>
  </si>
  <si>
    <t>C-22138</t>
  </si>
  <si>
    <t>C-22139</t>
  </si>
  <si>
    <t>C-22140</t>
  </si>
  <si>
    <t>C-22141</t>
  </si>
  <si>
    <t>C-22142</t>
  </si>
  <si>
    <t>C-22143</t>
  </si>
  <si>
    <t>C-22144</t>
  </si>
  <si>
    <t>C-22145</t>
  </si>
  <si>
    <t>C-22146</t>
  </si>
  <si>
    <t>C-22147</t>
  </si>
  <si>
    <t>C-22148</t>
  </si>
  <si>
    <t>C-22149</t>
  </si>
  <si>
    <t>C-22150</t>
  </si>
  <si>
    <r>
      <t>(44)JAVIER ROCHA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</si>
  <si>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C-22151</t>
  </si>
  <si>
    <t>C-22152</t>
  </si>
  <si>
    <t>C-22153</t>
  </si>
  <si>
    <t>C-22154</t>
  </si>
  <si>
    <t>C-22155</t>
  </si>
  <si>
    <t>C-22156</t>
  </si>
  <si>
    <t>C-22157</t>
  </si>
  <si>
    <t>C-22158</t>
  </si>
  <si>
    <t>C-22159</t>
  </si>
  <si>
    <t>C-22160</t>
  </si>
  <si>
    <t>C-22161</t>
  </si>
  <si>
    <t>C-22162</t>
  </si>
  <si>
    <t>C-22163</t>
  </si>
  <si>
    <t>C-22164</t>
  </si>
  <si>
    <t>C-22165</t>
  </si>
  <si>
    <t>C-22166</t>
  </si>
  <si>
    <t>C-22167</t>
  </si>
  <si>
    <t>C-22168</t>
  </si>
  <si>
    <t>C-22169</t>
  </si>
  <si>
    <t>C-22170</t>
  </si>
  <si>
    <t>C-22171</t>
  </si>
  <si>
    <t>C-22172</t>
  </si>
  <si>
    <t>C-22173</t>
  </si>
  <si>
    <t>C-22174</t>
  </si>
  <si>
    <t>C-22175</t>
  </si>
  <si>
    <t>C-22176</t>
  </si>
  <si>
    <t>C-22177</t>
  </si>
  <si>
    <t>C-22178</t>
  </si>
  <si>
    <t>C-22179</t>
  </si>
  <si>
    <t>C-22180</t>
  </si>
  <si>
    <t>C-22181</t>
  </si>
  <si>
    <t>C-22182</t>
  </si>
  <si>
    <t>C-22183</t>
  </si>
  <si>
    <t>C-22184</t>
  </si>
  <si>
    <t>C-22185</t>
  </si>
  <si>
    <t>C-22186</t>
  </si>
  <si>
    <t>C-22187</t>
  </si>
  <si>
    <t>C-22188</t>
  </si>
  <si>
    <t>C-22189</t>
  </si>
  <si>
    <t>C-22190</t>
  </si>
  <si>
    <t>C-22191</t>
  </si>
  <si>
    <t>C-22192</t>
  </si>
  <si>
    <t>C-22193</t>
  </si>
  <si>
    <t>C-22194</t>
  </si>
  <si>
    <t>C-22195</t>
  </si>
  <si>
    <t>C-22196</t>
  </si>
  <si>
    <t>C-22197</t>
  </si>
  <si>
    <t>C-22198</t>
  </si>
  <si>
    <t>16-May-22--19-May-22</t>
  </si>
  <si>
    <t>C-22199</t>
  </si>
  <si>
    <t>C-22200</t>
  </si>
  <si>
    <t>C-22201</t>
  </si>
  <si>
    <t>Se sustituyo x la   22204 C</t>
  </si>
  <si>
    <t>C-22202</t>
  </si>
  <si>
    <t>C-22203</t>
  </si>
  <si>
    <t>C-22204</t>
  </si>
  <si>
    <t>C-22205</t>
  </si>
  <si>
    <t>C-22206</t>
  </si>
  <si>
    <t>C-22207</t>
  </si>
  <si>
    <t>C-22208</t>
  </si>
  <si>
    <t>C-22209</t>
  </si>
  <si>
    <t>C-22210</t>
  </si>
  <si>
    <t>C-22211</t>
  </si>
  <si>
    <t>C-22212</t>
  </si>
  <si>
    <t>C-22213</t>
  </si>
  <si>
    <t>C-22214</t>
  </si>
  <si>
    <t>C-22215</t>
  </si>
  <si>
    <t>C-22216</t>
  </si>
  <si>
    <t>C-22217</t>
  </si>
  <si>
    <t>C-22218</t>
  </si>
  <si>
    <t>C-22219</t>
  </si>
  <si>
    <t>C-22220</t>
  </si>
  <si>
    <t>C-22221</t>
  </si>
  <si>
    <t>C-22222</t>
  </si>
  <si>
    <t>C-22223</t>
  </si>
  <si>
    <t>C-22224</t>
  </si>
  <si>
    <t>C-22225</t>
  </si>
  <si>
    <t>C-22226</t>
  </si>
  <si>
    <t>C-22227</t>
  </si>
  <si>
    <t>C-22228</t>
  </si>
  <si>
    <t>C-22229</t>
  </si>
  <si>
    <t>C-22230</t>
  </si>
  <si>
    <t>C-22231</t>
  </si>
  <si>
    <t>C-22232</t>
  </si>
  <si>
    <t>C-22233</t>
  </si>
  <si>
    <t>C-22234</t>
  </si>
  <si>
    <t>C-22235</t>
  </si>
  <si>
    <t>C-22236</t>
  </si>
  <si>
    <t>C-22237</t>
  </si>
  <si>
    <t>C-22238</t>
  </si>
  <si>
    <t>C-22239</t>
  </si>
  <si>
    <t>C-22240</t>
  </si>
  <si>
    <t>C-22241</t>
  </si>
  <si>
    <t>C-22242</t>
  </si>
  <si>
    <t>C-22243</t>
  </si>
  <si>
    <t>C-22244</t>
  </si>
  <si>
    <t>C-22245</t>
  </si>
  <si>
    <t>C-22246</t>
  </si>
  <si>
    <t>C-22247</t>
  </si>
  <si>
    <t>C-22248</t>
  </si>
  <si>
    <t>C-22249</t>
  </si>
  <si>
    <t>C-22250</t>
  </si>
  <si>
    <t>C-22251</t>
  </si>
  <si>
    <t>C-22252</t>
  </si>
  <si>
    <r>
      <t xml:space="preserve">(741)TOÑO MACHORRO  </t>
    </r>
    <r>
      <rPr>
        <b/>
        <sz val="12"/>
        <color rgb="FFFF0000"/>
        <rFont val="Calibri"/>
        <family val="2"/>
        <scheme val="minor"/>
      </rPr>
      <t>CANCELADA</t>
    </r>
  </si>
  <si>
    <t>C-22253</t>
  </si>
  <si>
    <t>C-22254</t>
  </si>
  <si>
    <t>C-22255</t>
  </si>
  <si>
    <t>C-22256</t>
  </si>
  <si>
    <t>C-22257</t>
  </si>
  <si>
    <t>C-22258</t>
  </si>
  <si>
    <t>C-22259</t>
  </si>
  <si>
    <t>C-22260</t>
  </si>
  <si>
    <t>C-22261</t>
  </si>
  <si>
    <t>C-22262</t>
  </si>
  <si>
    <t>17-May-22--18-May-22</t>
  </si>
  <si>
    <t>C-22263</t>
  </si>
  <si>
    <t>C-22264</t>
  </si>
  <si>
    <t>C-22265</t>
  </si>
  <si>
    <t>C-22266</t>
  </si>
  <si>
    <t>C-22267</t>
  </si>
  <si>
    <t>C-22268</t>
  </si>
  <si>
    <t>C-22269</t>
  </si>
  <si>
    <t>C-22270</t>
  </si>
  <si>
    <t>C-22271</t>
  </si>
  <si>
    <t>C-22272</t>
  </si>
  <si>
    <t>C-22273</t>
  </si>
  <si>
    <t>C-22274</t>
  </si>
  <si>
    <t>C-22275</t>
  </si>
  <si>
    <t>C-22276</t>
  </si>
  <si>
    <t>C-22277</t>
  </si>
  <si>
    <t>C-22278</t>
  </si>
  <si>
    <t>C-22279</t>
  </si>
  <si>
    <t>C-22280</t>
  </si>
  <si>
    <t>C-22281</t>
  </si>
  <si>
    <t>C-22282</t>
  </si>
  <si>
    <t>C-22283</t>
  </si>
  <si>
    <t>C-22284</t>
  </si>
  <si>
    <t>C-22285</t>
  </si>
  <si>
    <t>C-22286</t>
  </si>
  <si>
    <t>C-22287</t>
  </si>
  <si>
    <t>C-22288</t>
  </si>
  <si>
    <t>C-22289</t>
  </si>
  <si>
    <t>C-22290</t>
  </si>
  <si>
    <t>C-22291</t>
  </si>
  <si>
    <t>C-22292</t>
  </si>
  <si>
    <t>C-22293</t>
  </si>
  <si>
    <t>C-22294</t>
  </si>
  <si>
    <t>C-22295</t>
  </si>
  <si>
    <t>C-22296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</si>
  <si>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</si>
  <si>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 22297 C</t>
  </si>
  <si>
    <t>C-22297</t>
  </si>
  <si>
    <t>C-22298</t>
  </si>
  <si>
    <t>C-22299</t>
  </si>
  <si>
    <t>C-22300</t>
  </si>
  <si>
    <r>
      <t xml:space="preserve">(87)EMMANUEL ALFONSO SALAZAR  </t>
    </r>
    <r>
      <rPr>
        <b/>
        <sz val="12"/>
        <color rgb="FFFF0000"/>
        <rFont val="Calibri"/>
        <family val="2"/>
        <scheme val="minor"/>
      </rPr>
      <t>CANCELADA</t>
    </r>
  </si>
  <si>
    <t>C-22301</t>
  </si>
  <si>
    <t>C-22302</t>
  </si>
  <si>
    <t>(309)JESUS ALFONSO</t>
  </si>
  <si>
    <t>C-22303</t>
  </si>
  <si>
    <t>C-22304</t>
  </si>
  <si>
    <t>C-22305</t>
  </si>
  <si>
    <t>C-22306</t>
  </si>
  <si>
    <t>C-22307</t>
  </si>
  <si>
    <t>C-22308</t>
  </si>
  <si>
    <t>C-22309</t>
  </si>
  <si>
    <r>
      <t>(130)JUAN DE LA ROSA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</si>
  <si>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C-22310</t>
  </si>
  <si>
    <t>C-22311</t>
  </si>
  <si>
    <t>C-22312</t>
  </si>
  <si>
    <t>C-22313</t>
  </si>
  <si>
    <t>C-22314</t>
  </si>
  <si>
    <t>C-22315</t>
  </si>
  <si>
    <t>C-22316</t>
  </si>
  <si>
    <t>C-22317</t>
  </si>
  <si>
    <t>C-22318</t>
  </si>
  <si>
    <t>C-22319</t>
  </si>
  <si>
    <t>C-22320</t>
  </si>
  <si>
    <t>C-22321</t>
  </si>
  <si>
    <t>C-22322</t>
  </si>
  <si>
    <t>C-22323</t>
  </si>
  <si>
    <t>C-22324</t>
  </si>
  <si>
    <t>C-22325</t>
  </si>
  <si>
    <t>C-22326</t>
  </si>
  <si>
    <t>C-22327</t>
  </si>
  <si>
    <t>C-22328</t>
  </si>
  <si>
    <t>C-22329</t>
  </si>
  <si>
    <t>C-22330</t>
  </si>
  <si>
    <t>C-22331</t>
  </si>
  <si>
    <t>C-22332</t>
  </si>
  <si>
    <t>C-22333</t>
  </si>
  <si>
    <t>C-22334</t>
  </si>
  <si>
    <t>C-22335</t>
  </si>
  <si>
    <t>C-22336</t>
  </si>
  <si>
    <t>C-22337</t>
  </si>
  <si>
    <t>C-22338</t>
  </si>
  <si>
    <t>C-22339</t>
  </si>
  <si>
    <t>C-22340</t>
  </si>
  <si>
    <t>C-22341</t>
  </si>
  <si>
    <t>C-22342</t>
  </si>
  <si>
    <t>C-22343</t>
  </si>
  <si>
    <t>C-22344</t>
  </si>
  <si>
    <t>C-22345</t>
  </si>
  <si>
    <t>C-22346</t>
  </si>
  <si>
    <t>C-22347</t>
  </si>
  <si>
    <t>C-22348</t>
  </si>
  <si>
    <t>C-22349</t>
  </si>
  <si>
    <t>C-22350</t>
  </si>
  <si>
    <t>C-22351</t>
  </si>
  <si>
    <t>C-22352</t>
  </si>
  <si>
    <t>C-22353</t>
  </si>
  <si>
    <t>C-22354</t>
  </si>
  <si>
    <t>C-22355</t>
  </si>
  <si>
    <t>C-22356</t>
  </si>
  <si>
    <t>C-22357</t>
  </si>
  <si>
    <t>16/05/2022</t>
  </si>
  <si>
    <t>C-22358</t>
  </si>
  <si>
    <t>C-22359</t>
  </si>
  <si>
    <t>C-22360</t>
  </si>
  <si>
    <t>C-22361</t>
  </si>
  <si>
    <t>C-22362</t>
  </si>
  <si>
    <t>C-22363</t>
  </si>
  <si>
    <r>
      <t xml:space="preserve">(718)VENANCIO EUGENIO SANCHEZ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</si>
  <si>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C-22364</t>
  </si>
  <si>
    <t>C-22365</t>
  </si>
  <si>
    <t>C-22366</t>
  </si>
  <si>
    <t>C-22367</t>
  </si>
  <si>
    <t>C-22368</t>
  </si>
  <si>
    <t>C-22369</t>
  </si>
  <si>
    <t>C-22370</t>
  </si>
  <si>
    <t>C-22371</t>
  </si>
  <si>
    <t>C-22372</t>
  </si>
  <si>
    <t>C-22373</t>
  </si>
  <si>
    <t>C-22374</t>
  </si>
  <si>
    <t>C-22375</t>
  </si>
  <si>
    <t>C-22376</t>
  </si>
  <si>
    <t>C-22377</t>
  </si>
  <si>
    <t>C-22378</t>
  </si>
  <si>
    <t>C-22379</t>
  </si>
  <si>
    <t>C-22380</t>
  </si>
  <si>
    <t>C-22381</t>
  </si>
  <si>
    <t>C-22382</t>
  </si>
  <si>
    <t>C-22383</t>
  </si>
  <si>
    <t>C-22384</t>
  </si>
  <si>
    <t>C-22385</t>
  </si>
  <si>
    <t>C-22386</t>
  </si>
  <si>
    <t>C-22387</t>
  </si>
  <si>
    <t>C-22388</t>
  </si>
  <si>
    <t>C-22389</t>
  </si>
  <si>
    <t>C-22390</t>
  </si>
  <si>
    <t>C-22391</t>
  </si>
  <si>
    <t>C-22392</t>
  </si>
  <si>
    <t>C-22393</t>
  </si>
  <si>
    <t>C-22394</t>
  </si>
  <si>
    <t>C-22395</t>
  </si>
  <si>
    <t>C-22396</t>
  </si>
  <si>
    <t>C-22397</t>
  </si>
  <si>
    <t>C-22398</t>
  </si>
  <si>
    <t>C-22399</t>
  </si>
  <si>
    <t>C-22400</t>
  </si>
  <si>
    <t>C-22401</t>
  </si>
  <si>
    <t>C-22402</t>
  </si>
  <si>
    <t>C-22403</t>
  </si>
  <si>
    <t>C-22404</t>
  </si>
  <si>
    <t>C-22405</t>
  </si>
  <si>
    <t>C-22406</t>
  </si>
  <si>
    <t>C-22407</t>
  </si>
  <si>
    <t>C-22408</t>
  </si>
  <si>
    <t>C-22409</t>
  </si>
  <si>
    <t>C-22410</t>
  </si>
  <si>
    <t>C-22411</t>
  </si>
  <si>
    <t>C-22412</t>
  </si>
  <si>
    <t>C-22413</t>
  </si>
  <si>
    <t>C-22414</t>
  </si>
  <si>
    <t>C-22415</t>
  </si>
  <si>
    <t>C-22416</t>
  </si>
  <si>
    <t>C-22417</t>
  </si>
  <si>
    <t>C-22418</t>
  </si>
  <si>
    <t>C-22419</t>
  </si>
  <si>
    <t>C-22420</t>
  </si>
  <si>
    <t>C-22421</t>
  </si>
  <si>
    <t>C-22422</t>
  </si>
  <si>
    <t>C-22423</t>
  </si>
  <si>
    <t>C-22424</t>
  </si>
  <si>
    <t>C-22425</t>
  </si>
  <si>
    <t>C-22426</t>
  </si>
  <si>
    <t>C-22427</t>
  </si>
  <si>
    <t>Se sustituyo x la   22474 C</t>
  </si>
  <si>
    <t>C-22428</t>
  </si>
  <si>
    <t>C-22429</t>
  </si>
  <si>
    <t>C-22430</t>
  </si>
  <si>
    <t>C-22431</t>
  </si>
  <si>
    <t>C-22432</t>
  </si>
  <si>
    <t>C-22433</t>
  </si>
  <si>
    <t>C-22434</t>
  </si>
  <si>
    <t>C-22435</t>
  </si>
  <si>
    <t>C-22436</t>
  </si>
  <si>
    <t>C-22437</t>
  </si>
  <si>
    <t>C-22438</t>
  </si>
  <si>
    <t>C-22439</t>
  </si>
  <si>
    <t>C-22440</t>
  </si>
  <si>
    <t>C-22441</t>
  </si>
  <si>
    <t>C-22442</t>
  </si>
  <si>
    <r>
      <t xml:space="preserve">(44)JAVIER ROCHA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</si>
  <si>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22443 C</t>
  </si>
  <si>
    <t>C-22443</t>
  </si>
  <si>
    <t>C-22444</t>
  </si>
  <si>
    <r>
      <t xml:space="preserve">(595)LOMA VERDE  </t>
    </r>
    <r>
      <rPr>
        <b/>
        <sz val="12"/>
        <color rgb="FFFF0000"/>
        <rFont val="Calibri"/>
        <family val="2"/>
        <scheme val="minor"/>
      </rPr>
      <t>CANCELADA</t>
    </r>
  </si>
  <si>
    <t>no menciona por cual se cambio</t>
  </si>
  <si>
    <t>C-22445</t>
  </si>
  <si>
    <t>C-22446</t>
  </si>
  <si>
    <t>C-22447</t>
  </si>
  <si>
    <t>C-22448</t>
  </si>
  <si>
    <t>C-22449</t>
  </si>
  <si>
    <t>C-22450</t>
  </si>
  <si>
    <t>C-22451</t>
  </si>
  <si>
    <t>C-22452</t>
  </si>
  <si>
    <t>C-22453</t>
  </si>
  <si>
    <t>C-22454</t>
  </si>
  <si>
    <t>C-22455</t>
  </si>
  <si>
    <t>C-22456</t>
  </si>
  <si>
    <t>C-22457</t>
  </si>
  <si>
    <t>C-22458</t>
  </si>
  <si>
    <t>C-22459</t>
  </si>
  <si>
    <t>C-22460</t>
  </si>
  <si>
    <t>C-22461</t>
  </si>
  <si>
    <t>C-22462</t>
  </si>
  <si>
    <t>C-22463</t>
  </si>
  <si>
    <t>C-22464</t>
  </si>
  <si>
    <t>C-22465</t>
  </si>
  <si>
    <t>C-22466</t>
  </si>
  <si>
    <t>C-22467</t>
  </si>
  <si>
    <t>C-22468</t>
  </si>
  <si>
    <t>C-22469</t>
  </si>
  <si>
    <t>C-22470</t>
  </si>
  <si>
    <t>C-22471</t>
  </si>
  <si>
    <t>C-22472</t>
  </si>
  <si>
    <t>C-22473</t>
  </si>
  <si>
    <t>C-22474</t>
  </si>
  <si>
    <t>C-22475</t>
  </si>
  <si>
    <t>C-22476</t>
  </si>
  <si>
    <t>C-22477</t>
  </si>
  <si>
    <t>C-22478</t>
  </si>
  <si>
    <t>C-22479</t>
  </si>
  <si>
    <t>C-22480</t>
  </si>
  <si>
    <t>C-22481</t>
  </si>
  <si>
    <t>C-22482</t>
  </si>
  <si>
    <r>
      <t xml:space="preserve">(653)MOISES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</si>
  <si>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22486 C</t>
  </si>
  <si>
    <t>C-22483</t>
  </si>
  <si>
    <t>C-22484</t>
  </si>
  <si>
    <t>C-22485</t>
  </si>
  <si>
    <t>C-22486</t>
  </si>
  <si>
    <t>C-22487</t>
  </si>
  <si>
    <t>C-22488</t>
  </si>
  <si>
    <t>C-22489</t>
  </si>
  <si>
    <t>C-22490</t>
  </si>
  <si>
    <t>C-22491</t>
  </si>
  <si>
    <t>C-22492</t>
  </si>
  <si>
    <t>C-22493</t>
  </si>
  <si>
    <t>C-22494</t>
  </si>
  <si>
    <t>C-22495</t>
  </si>
  <si>
    <t>C-22496</t>
  </si>
  <si>
    <t>C-22497</t>
  </si>
  <si>
    <t>C-22498</t>
  </si>
  <si>
    <t>C-22499</t>
  </si>
  <si>
    <t>C-22500</t>
  </si>
  <si>
    <t>C-22501</t>
  </si>
  <si>
    <t>C-22502</t>
  </si>
  <si>
    <t>C-22503</t>
  </si>
  <si>
    <t>C-22504</t>
  </si>
  <si>
    <t>C-22505</t>
  </si>
  <si>
    <t>C-22506</t>
  </si>
  <si>
    <t>C-22507</t>
  </si>
  <si>
    <t>C-22508</t>
  </si>
  <si>
    <t>C-22509</t>
  </si>
  <si>
    <t>C-22510</t>
  </si>
  <si>
    <t>C-22511</t>
  </si>
  <si>
    <t>C-22512</t>
  </si>
  <si>
    <t>C-22513</t>
  </si>
  <si>
    <t>C-22514</t>
  </si>
  <si>
    <t>C-22515</t>
  </si>
  <si>
    <t>C-22516</t>
  </si>
  <si>
    <t>C-22517</t>
  </si>
  <si>
    <t>C-22518</t>
  </si>
  <si>
    <t>C-22519</t>
  </si>
  <si>
    <t>C-22520</t>
  </si>
  <si>
    <t>C-22521</t>
  </si>
  <si>
    <t xml:space="preserve">18-May-22--19-May-22  </t>
  </si>
  <si>
    <t>C-22522</t>
  </si>
  <si>
    <t>C-22523</t>
  </si>
  <si>
    <t>C-22524</t>
  </si>
  <si>
    <t>C-22525</t>
  </si>
  <si>
    <t>C-22526</t>
  </si>
  <si>
    <t>C-22527</t>
  </si>
  <si>
    <t>C-22528</t>
  </si>
  <si>
    <t>C-22529</t>
  </si>
  <si>
    <t>C-22530</t>
  </si>
  <si>
    <t>C-22531</t>
  </si>
  <si>
    <t>C-22532</t>
  </si>
  <si>
    <t>C-22533</t>
  </si>
  <si>
    <t>C-22534</t>
  </si>
  <si>
    <t>C-22535</t>
  </si>
  <si>
    <t>C-22536</t>
  </si>
  <si>
    <t>C-22537</t>
  </si>
  <si>
    <t>C-22538</t>
  </si>
  <si>
    <t>C-22539</t>
  </si>
  <si>
    <t>C-22540</t>
  </si>
  <si>
    <t>C-22541</t>
  </si>
  <si>
    <t>C-22542</t>
  </si>
  <si>
    <t>C-22543</t>
  </si>
  <si>
    <t>C-22544</t>
  </si>
  <si>
    <t>C-22545</t>
  </si>
  <si>
    <t>C-22546</t>
  </si>
  <si>
    <t>C-22547</t>
  </si>
  <si>
    <t>C-22548</t>
  </si>
  <si>
    <t>C-22549</t>
  </si>
  <si>
    <t>C-22550</t>
  </si>
  <si>
    <t>C-22551</t>
  </si>
  <si>
    <r>
      <t xml:space="preserve">(404)JOSE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</si>
  <si>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22552 C</t>
  </si>
  <si>
    <t>C-22552</t>
  </si>
  <si>
    <t>C-22553</t>
  </si>
  <si>
    <t>C-22554</t>
  </si>
  <si>
    <t>C-22555</t>
  </si>
  <si>
    <t>C-22556</t>
  </si>
  <si>
    <t>C-22557</t>
  </si>
  <si>
    <t>C-22558</t>
  </si>
  <si>
    <t>C-22559</t>
  </si>
  <si>
    <t>C-22560</t>
  </si>
  <si>
    <t>C-22561</t>
  </si>
  <si>
    <t>C-22562</t>
  </si>
  <si>
    <t>C-22563</t>
  </si>
  <si>
    <t>C-22564</t>
  </si>
  <si>
    <t>C-22565</t>
  </si>
  <si>
    <t>C-22566</t>
  </si>
  <si>
    <t>C-22567</t>
  </si>
  <si>
    <t>C-22568</t>
  </si>
  <si>
    <t>C-22569</t>
  </si>
  <si>
    <t>C-22570</t>
  </si>
  <si>
    <t>C-22571</t>
  </si>
  <si>
    <t>C-22572</t>
  </si>
  <si>
    <t>C-22573</t>
  </si>
  <si>
    <t>C-22574</t>
  </si>
  <si>
    <t>C-22575</t>
  </si>
  <si>
    <t>C-22576</t>
  </si>
  <si>
    <t>C-22577</t>
  </si>
  <si>
    <t>C-22578</t>
  </si>
  <si>
    <t>C-22579</t>
  </si>
  <si>
    <t>C-22580</t>
  </si>
  <si>
    <t>C-22581</t>
  </si>
  <si>
    <t>C-22582</t>
  </si>
  <si>
    <t>C-22583</t>
  </si>
  <si>
    <t>C-22584</t>
  </si>
  <si>
    <t>C-22585</t>
  </si>
  <si>
    <r>
      <t xml:space="preserve">(273)EMANUEL CABALLO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</si>
  <si>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22587 C</t>
  </si>
  <si>
    <t>C-22586</t>
  </si>
  <si>
    <t>C-22587</t>
  </si>
  <si>
    <t>se sustituyo x la  22588 C</t>
  </si>
  <si>
    <t>C-22588</t>
  </si>
  <si>
    <t>C-22589</t>
  </si>
  <si>
    <t>C-22590</t>
  </si>
  <si>
    <t>C-22591</t>
  </si>
  <si>
    <t>C-22592</t>
  </si>
  <si>
    <t>20-May-22--21-May-22</t>
  </si>
  <si>
    <t>C-22593</t>
  </si>
  <si>
    <t>C-22594</t>
  </si>
  <si>
    <t>C-22595</t>
  </si>
  <si>
    <t>C-22596</t>
  </si>
  <si>
    <t>C-22597</t>
  </si>
  <si>
    <t>C-22598</t>
  </si>
  <si>
    <t>C-22599</t>
  </si>
  <si>
    <t>C-22600</t>
  </si>
  <si>
    <t>C-22601</t>
  </si>
  <si>
    <t>C-22602</t>
  </si>
  <si>
    <t>C-22603</t>
  </si>
  <si>
    <t>C-22604</t>
  </si>
  <si>
    <t>C-22605</t>
  </si>
  <si>
    <t>C-22606</t>
  </si>
  <si>
    <t>C-22607</t>
  </si>
  <si>
    <t>C-22608</t>
  </si>
  <si>
    <t>C-22609</t>
  </si>
  <si>
    <t>C-22610</t>
  </si>
  <si>
    <t>C-22611</t>
  </si>
  <si>
    <t>C-22612</t>
  </si>
  <si>
    <t>C-22613</t>
  </si>
  <si>
    <t>C-22614</t>
  </si>
  <si>
    <t>C-22615</t>
  </si>
  <si>
    <t>C-22616</t>
  </si>
  <si>
    <t>C-22617</t>
  </si>
  <si>
    <t>C-22618</t>
  </si>
  <si>
    <t>C-22619</t>
  </si>
  <si>
    <t>C-22620</t>
  </si>
  <si>
    <t>C-22621</t>
  </si>
  <si>
    <t>C-22622</t>
  </si>
  <si>
    <t>C-22623</t>
  </si>
  <si>
    <t>C-22624</t>
  </si>
  <si>
    <t>C-22625</t>
  </si>
  <si>
    <t>C-22626</t>
  </si>
  <si>
    <t>C-22627</t>
  </si>
  <si>
    <t>C-22628</t>
  </si>
  <si>
    <t>C-22629</t>
  </si>
  <si>
    <t>C-22630</t>
  </si>
  <si>
    <t>C-22631</t>
  </si>
  <si>
    <t>C-22632</t>
  </si>
  <si>
    <t>C-22633</t>
  </si>
  <si>
    <t>C-22634</t>
  </si>
  <si>
    <t>C-22635</t>
  </si>
  <si>
    <t>C-22636</t>
  </si>
  <si>
    <t>C-22637</t>
  </si>
  <si>
    <t>C-22638</t>
  </si>
  <si>
    <t>C-22639</t>
  </si>
  <si>
    <t>C-22640</t>
  </si>
  <si>
    <t>C-22641</t>
  </si>
  <si>
    <t>C-22642</t>
  </si>
  <si>
    <t>C-22643</t>
  </si>
  <si>
    <t>C-22644</t>
  </si>
  <si>
    <t>C-22645</t>
  </si>
  <si>
    <t>C-22646</t>
  </si>
  <si>
    <t>C-22647</t>
  </si>
  <si>
    <t>C-22648</t>
  </si>
  <si>
    <t>C-22649</t>
  </si>
  <si>
    <t>C-22650</t>
  </si>
  <si>
    <t>C-22651</t>
  </si>
  <si>
    <t>C-22652</t>
  </si>
  <si>
    <t>C-22653</t>
  </si>
  <si>
    <t>C-22654</t>
  </si>
  <si>
    <t>C-22655</t>
  </si>
  <si>
    <t>C-22656</t>
  </si>
  <si>
    <t>C-22657</t>
  </si>
  <si>
    <t>C-22658</t>
  </si>
  <si>
    <t>C-22659</t>
  </si>
  <si>
    <t>C-22660</t>
  </si>
  <si>
    <t>C-22661</t>
  </si>
  <si>
    <t>C-22662</t>
  </si>
  <si>
    <t>C-22663</t>
  </si>
  <si>
    <t>C-22664</t>
  </si>
  <si>
    <t>C-22665</t>
  </si>
  <si>
    <t>C-22666</t>
  </si>
  <si>
    <t>C-22667</t>
  </si>
  <si>
    <t>C-22668</t>
  </si>
  <si>
    <t>C-22669</t>
  </si>
  <si>
    <t>C-22670</t>
  </si>
  <si>
    <t>C-22671</t>
  </si>
  <si>
    <t>C-22672</t>
  </si>
  <si>
    <t>C-22673</t>
  </si>
  <si>
    <t>C-22674</t>
  </si>
  <si>
    <t>C-22675</t>
  </si>
  <si>
    <t>C-22676</t>
  </si>
  <si>
    <t>C-22677</t>
  </si>
  <si>
    <t>C-22678</t>
  </si>
  <si>
    <t>C-22679</t>
  </si>
  <si>
    <t>C-22680</t>
  </si>
  <si>
    <t>C-22681</t>
  </si>
  <si>
    <t>C-22682</t>
  </si>
  <si>
    <t>(901)SOAPAP</t>
  </si>
  <si>
    <t>C-22683</t>
  </si>
  <si>
    <t>C-22684</t>
  </si>
  <si>
    <t>C-22685</t>
  </si>
  <si>
    <t>C-22686</t>
  </si>
  <si>
    <t>C-22687</t>
  </si>
  <si>
    <t>C-22688</t>
  </si>
  <si>
    <t>C-22689</t>
  </si>
  <si>
    <t>C-22690</t>
  </si>
  <si>
    <t>C-22691</t>
  </si>
  <si>
    <t>C-22692</t>
  </si>
  <si>
    <t>C-22693</t>
  </si>
  <si>
    <t>C-22694</t>
  </si>
  <si>
    <t>C-22695</t>
  </si>
  <si>
    <t>C-22696</t>
  </si>
  <si>
    <t>C-22697</t>
  </si>
  <si>
    <t>C-22698</t>
  </si>
  <si>
    <t>C-22699</t>
  </si>
  <si>
    <t>C-22700</t>
  </si>
  <si>
    <t>C-22701</t>
  </si>
  <si>
    <t>C-22702</t>
  </si>
  <si>
    <t>C-22703</t>
  </si>
  <si>
    <t>C-22704</t>
  </si>
  <si>
    <t>C-22705</t>
  </si>
  <si>
    <t>C-22706</t>
  </si>
  <si>
    <t>C-22707</t>
  </si>
  <si>
    <t>C-22708</t>
  </si>
  <si>
    <t>C-22709</t>
  </si>
  <si>
    <t>fisica esta en la 22708C</t>
  </si>
  <si>
    <t>C-22710</t>
  </si>
  <si>
    <t>C-22711</t>
  </si>
  <si>
    <t>fisica esta en la 22710C</t>
  </si>
  <si>
    <t>C-22712</t>
  </si>
  <si>
    <r>
      <t>(679)JUANA CASTILLO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</si>
  <si>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fisica esta en la 22711C</t>
  </si>
  <si>
    <t>C-22713</t>
  </si>
  <si>
    <t>C-22714</t>
  </si>
  <si>
    <t>C-22715</t>
  </si>
  <si>
    <t>C-22716</t>
  </si>
  <si>
    <t>C-22717</t>
  </si>
  <si>
    <t>C-22718</t>
  </si>
  <si>
    <t>C-22719</t>
  </si>
  <si>
    <t>C-22720</t>
  </si>
  <si>
    <t>C-22721</t>
  </si>
  <si>
    <t>C-22722</t>
  </si>
  <si>
    <t>C-22723</t>
  </si>
  <si>
    <t>C-22724</t>
  </si>
  <si>
    <t>C-22725</t>
  </si>
  <si>
    <t>C-22726</t>
  </si>
  <si>
    <t>C-22727</t>
  </si>
  <si>
    <t>C-22728</t>
  </si>
  <si>
    <t>C-22729</t>
  </si>
  <si>
    <t>C-22730</t>
  </si>
  <si>
    <t>C-22731</t>
  </si>
  <si>
    <t>C-22732</t>
  </si>
  <si>
    <t>C-22733</t>
  </si>
  <si>
    <t>C-22734</t>
  </si>
  <si>
    <t>C-22735</t>
  </si>
  <si>
    <t>C-22736</t>
  </si>
  <si>
    <t>C-22737</t>
  </si>
  <si>
    <t>C-22738</t>
  </si>
  <si>
    <t>C-22739</t>
  </si>
  <si>
    <t>C-22740</t>
  </si>
  <si>
    <t>C-22741</t>
  </si>
  <si>
    <t>C-22742</t>
  </si>
  <si>
    <t>C-22743</t>
  </si>
  <si>
    <r>
      <t xml:space="preserve">(443)PERLA RIOS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</si>
  <si>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C-22744</t>
  </si>
  <si>
    <t>C-22745</t>
  </si>
  <si>
    <t>C-22746</t>
  </si>
  <si>
    <t>C-22747</t>
  </si>
  <si>
    <t>C-22748</t>
  </si>
  <si>
    <t>C-22749</t>
  </si>
  <si>
    <t>C-22750</t>
  </si>
  <si>
    <t>C-22751</t>
  </si>
  <si>
    <t>C-22752</t>
  </si>
  <si>
    <t>C-22753</t>
  </si>
  <si>
    <t>C-22754</t>
  </si>
  <si>
    <t>C-22755</t>
  </si>
  <si>
    <t>C-22756</t>
  </si>
  <si>
    <t>C-22757</t>
  </si>
  <si>
    <t>C-22758</t>
  </si>
  <si>
    <t>C-22759</t>
  </si>
  <si>
    <t>C-22760</t>
  </si>
  <si>
    <t>C-22761</t>
  </si>
  <si>
    <t>C-22762</t>
  </si>
  <si>
    <t>22-May-22--23-May-22</t>
  </si>
  <si>
    <t>C-22763</t>
  </si>
  <si>
    <t>C-22764</t>
  </si>
  <si>
    <t>C-22765</t>
  </si>
  <si>
    <t>C-22766</t>
  </si>
  <si>
    <t>C-22767</t>
  </si>
  <si>
    <t>C-22768</t>
  </si>
  <si>
    <t>C-22769</t>
  </si>
  <si>
    <t>C-22770</t>
  </si>
  <si>
    <t>C-22771</t>
  </si>
  <si>
    <t>C-22772</t>
  </si>
  <si>
    <t>C-22773</t>
  </si>
  <si>
    <t>C-22774</t>
  </si>
  <si>
    <t>C-22775</t>
  </si>
  <si>
    <t>21-May-22--22-May-22</t>
  </si>
  <si>
    <t>C-22776</t>
  </si>
  <si>
    <t>C-22777</t>
  </si>
  <si>
    <t>C-22778</t>
  </si>
  <si>
    <r>
      <t xml:space="preserve">(292)NERY  </t>
    </r>
    <r>
      <rPr>
        <b/>
        <sz val="12"/>
        <color rgb="FFFF0000"/>
        <rFont val="Calibri"/>
        <family val="2"/>
        <scheme val="minor"/>
      </rPr>
      <t>CANCELADA</t>
    </r>
  </si>
  <si>
    <t>C-22779</t>
  </si>
  <si>
    <t>C-22780</t>
  </si>
  <si>
    <t>C-22781</t>
  </si>
  <si>
    <t>C-22782</t>
  </si>
  <si>
    <t>C-22783</t>
  </si>
  <si>
    <t>C-22784</t>
  </si>
  <si>
    <t>C-22785</t>
  </si>
  <si>
    <t>C-22786</t>
  </si>
  <si>
    <t>C-22787</t>
  </si>
  <si>
    <r>
      <t xml:space="preserve">(130)JUAN DE LA ROSA  </t>
    </r>
    <r>
      <rPr>
        <b/>
        <sz val="12"/>
        <color rgb="FFFF0000"/>
        <rFont val="Calibri"/>
        <family val="2"/>
        <scheme val="minor"/>
      </rPr>
      <t>CANCELADA</t>
    </r>
  </si>
  <si>
    <t>C-22788</t>
  </si>
  <si>
    <t>C-22789</t>
  </si>
  <si>
    <t>C-22790</t>
  </si>
  <si>
    <t>C-22791</t>
  </si>
  <si>
    <t>C-22792</t>
  </si>
  <si>
    <t>C-22793</t>
  </si>
  <si>
    <t>C-22794</t>
  </si>
  <si>
    <t>C-22795</t>
  </si>
  <si>
    <t>C-22796</t>
  </si>
  <si>
    <t>C-22797</t>
  </si>
  <si>
    <t>C-22798</t>
  </si>
  <si>
    <t>C-22799</t>
  </si>
  <si>
    <t>C-22800</t>
  </si>
  <si>
    <t>C-22801</t>
  </si>
  <si>
    <t>C-22802</t>
  </si>
  <si>
    <t>C-22803</t>
  </si>
  <si>
    <t>C-22804</t>
  </si>
  <si>
    <t>C-22805</t>
  </si>
  <si>
    <t>C-22806</t>
  </si>
  <si>
    <t>C-22807</t>
  </si>
  <si>
    <t>C-22808</t>
  </si>
  <si>
    <t>C-22809</t>
  </si>
  <si>
    <t>C-22810</t>
  </si>
  <si>
    <t>C-22811</t>
  </si>
  <si>
    <t>C-22812</t>
  </si>
  <si>
    <t>C-22813</t>
  </si>
  <si>
    <t>C-22814</t>
  </si>
  <si>
    <t>C-22815</t>
  </si>
  <si>
    <t>C-22816</t>
  </si>
  <si>
    <t>C-22817</t>
  </si>
  <si>
    <t>C-22818</t>
  </si>
  <si>
    <t>C-22819</t>
  </si>
  <si>
    <t>C-22820</t>
  </si>
  <si>
    <t>C-22821</t>
  </si>
  <si>
    <t>C-22822</t>
  </si>
  <si>
    <t>C-22823</t>
  </si>
  <si>
    <t>C-22824</t>
  </si>
  <si>
    <t>C-22825</t>
  </si>
  <si>
    <t>C-22826</t>
  </si>
  <si>
    <t>C-22827</t>
  </si>
  <si>
    <t>C-22828</t>
  </si>
  <si>
    <t>C-22829</t>
  </si>
  <si>
    <t>C-22830</t>
  </si>
  <si>
    <t>C-22831</t>
  </si>
  <si>
    <t>C-22832</t>
  </si>
  <si>
    <t>C-22833</t>
  </si>
  <si>
    <t>C-22834</t>
  </si>
  <si>
    <t>C-22835</t>
  </si>
  <si>
    <t>C-22836</t>
  </si>
  <si>
    <t>C-22837</t>
  </si>
  <si>
    <t>C-22838</t>
  </si>
  <si>
    <t>C-22839</t>
  </si>
  <si>
    <t>C-22840</t>
  </si>
  <si>
    <r>
      <t xml:space="preserve">(48)PORFIRIO CRUZ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</si>
  <si>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C-22841</t>
  </si>
  <si>
    <t>C-22842</t>
  </si>
  <si>
    <t>C-22843</t>
  </si>
  <si>
    <t>C-22844</t>
  </si>
  <si>
    <t>C-22845</t>
  </si>
  <si>
    <t>C-22846</t>
  </si>
  <si>
    <t>C-22847</t>
  </si>
  <si>
    <t>C-22848</t>
  </si>
  <si>
    <t>C-22849</t>
  </si>
  <si>
    <t>C-22850</t>
  </si>
  <si>
    <t>C-22851</t>
  </si>
  <si>
    <t>C-22852</t>
  </si>
  <si>
    <r>
      <t xml:space="preserve">(897)DICARLE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</si>
  <si>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C-22853</t>
  </si>
  <si>
    <t>C-22854</t>
  </si>
  <si>
    <t>C-22855</t>
  </si>
  <si>
    <t>C-22856</t>
  </si>
  <si>
    <t>C-22857</t>
  </si>
  <si>
    <t>C-22858</t>
  </si>
  <si>
    <t>C-22859</t>
  </si>
  <si>
    <t>C-22860</t>
  </si>
  <si>
    <t>C-22861</t>
  </si>
  <si>
    <t>C-22862</t>
  </si>
  <si>
    <t>C-22863</t>
  </si>
  <si>
    <t>C-22864</t>
  </si>
  <si>
    <t>C-22865</t>
  </si>
  <si>
    <t>C-22866</t>
  </si>
  <si>
    <t>C-22867</t>
  </si>
  <si>
    <t>C-22868</t>
  </si>
  <si>
    <t>C-22869</t>
  </si>
  <si>
    <t>C-22870</t>
  </si>
  <si>
    <t>C-22871</t>
  </si>
  <si>
    <t>C-22872</t>
  </si>
  <si>
    <t>C-22873</t>
  </si>
  <si>
    <t>C-22874</t>
  </si>
  <si>
    <t>C-22875</t>
  </si>
  <si>
    <t>C-22876</t>
  </si>
  <si>
    <t>C-22877</t>
  </si>
  <si>
    <t>C-22878</t>
  </si>
  <si>
    <t>24-May-22--26-May-22</t>
  </si>
  <si>
    <t>C-22879</t>
  </si>
  <si>
    <t>C-22880</t>
  </si>
  <si>
    <t>C-22881</t>
  </si>
  <si>
    <t>C-22882</t>
  </si>
  <si>
    <t>C-22883</t>
  </si>
  <si>
    <t>C-22884</t>
  </si>
  <si>
    <t>C-22885</t>
  </si>
  <si>
    <t>C-22886</t>
  </si>
  <si>
    <t>C-22887</t>
  </si>
  <si>
    <t>C-22888</t>
  </si>
  <si>
    <t>C-22889</t>
  </si>
  <si>
    <t>C-22890</t>
  </si>
  <si>
    <t>C-22891</t>
  </si>
  <si>
    <t>C-22892</t>
  </si>
  <si>
    <t>C-22893</t>
  </si>
  <si>
    <t>C-22894</t>
  </si>
  <si>
    <t>C-22895</t>
  </si>
  <si>
    <t>C-22896</t>
  </si>
  <si>
    <t>C-22897</t>
  </si>
  <si>
    <t>C-22898</t>
  </si>
  <si>
    <t>C-22899</t>
  </si>
  <si>
    <t>C-22900</t>
  </si>
  <si>
    <t>C-22901</t>
  </si>
  <si>
    <t>C-22902</t>
  </si>
  <si>
    <t>C-22903</t>
  </si>
  <si>
    <t>C-22904</t>
  </si>
  <si>
    <t>C-22905</t>
  </si>
  <si>
    <t>C-22906</t>
  </si>
  <si>
    <t>C-22907</t>
  </si>
  <si>
    <t>C-22908</t>
  </si>
  <si>
    <t>C-22909</t>
  </si>
  <si>
    <t>C-22910</t>
  </si>
  <si>
    <t>C-22911</t>
  </si>
  <si>
    <t>C-22912</t>
  </si>
  <si>
    <t>C-22913</t>
  </si>
  <si>
    <t>C-22914</t>
  </si>
  <si>
    <t>C-22915</t>
  </si>
  <si>
    <t>C-22916</t>
  </si>
  <si>
    <t>C-22917</t>
  </si>
  <si>
    <t>C-22918</t>
  </si>
  <si>
    <t>C-22919</t>
  </si>
  <si>
    <t>C-22920</t>
  </si>
  <si>
    <t>C-22921</t>
  </si>
  <si>
    <t>C-22922</t>
  </si>
  <si>
    <t>C-22923</t>
  </si>
  <si>
    <t>C-22924</t>
  </si>
  <si>
    <t>C-22925</t>
  </si>
  <si>
    <t>C-22926</t>
  </si>
  <si>
    <t>C-22927</t>
  </si>
  <si>
    <t>C-22928</t>
  </si>
  <si>
    <t>C-22929</t>
  </si>
  <si>
    <t>C-22930</t>
  </si>
  <si>
    <t>C-22931</t>
  </si>
  <si>
    <t>C-22932</t>
  </si>
  <si>
    <t>C-22933</t>
  </si>
  <si>
    <t>C-22934</t>
  </si>
  <si>
    <t>C-22935</t>
  </si>
  <si>
    <t>C-22936</t>
  </si>
  <si>
    <t>C-22937</t>
  </si>
  <si>
    <t>C-22938</t>
  </si>
  <si>
    <t>C-22939</t>
  </si>
  <si>
    <t>C-22940</t>
  </si>
  <si>
    <t>C-22941</t>
  </si>
  <si>
    <t>C-22942</t>
  </si>
  <si>
    <t>C-22943</t>
  </si>
  <si>
    <t>C-22944</t>
  </si>
  <si>
    <t>C-22945</t>
  </si>
  <si>
    <t>C-22946</t>
  </si>
  <si>
    <t>C-22947</t>
  </si>
  <si>
    <t>C-22948</t>
  </si>
  <si>
    <t>C-22949</t>
  </si>
  <si>
    <t>C-22950</t>
  </si>
  <si>
    <t>C-22951</t>
  </si>
  <si>
    <t>C-22952</t>
  </si>
  <si>
    <t>C-22953</t>
  </si>
  <si>
    <t>C-22954</t>
  </si>
  <si>
    <r>
      <t xml:space="preserve">(788)RUBEN SAUCEDO  </t>
    </r>
    <r>
      <rPr>
        <b/>
        <sz val="12"/>
        <color rgb="FFFF0000"/>
        <rFont val="Calibri"/>
        <family val="2"/>
        <scheme val="minor"/>
      </rPr>
      <t>CANCELADA</t>
    </r>
  </si>
  <si>
    <t>C-22955</t>
  </si>
  <si>
    <t>C-22956</t>
  </si>
  <si>
    <t>C-22957</t>
  </si>
  <si>
    <t>C-22958</t>
  </si>
  <si>
    <t>C-22959</t>
  </si>
  <si>
    <t>C-22960</t>
  </si>
  <si>
    <t>C-22961</t>
  </si>
  <si>
    <t>C-22962</t>
  </si>
  <si>
    <t>C-22963</t>
  </si>
  <si>
    <t>C-22964</t>
  </si>
  <si>
    <t>21/05/2022</t>
  </si>
  <si>
    <t>C-22965</t>
  </si>
  <si>
    <r>
      <t xml:space="preserve">(141)RODOLFO ZOQUIAPA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</si>
  <si>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C-22966</t>
  </si>
  <si>
    <t>C-22967</t>
  </si>
  <si>
    <t>C-22968</t>
  </si>
  <si>
    <t>(533)VENTA DE MOSTRADOR  CANCELADA</t>
  </si>
  <si>
    <t>C-22969</t>
  </si>
  <si>
    <t>C-22970</t>
  </si>
  <si>
    <t>C-22971</t>
  </si>
  <si>
    <t>C-22972</t>
  </si>
  <si>
    <t>C-22973</t>
  </si>
  <si>
    <t>C-22974</t>
  </si>
  <si>
    <t>C-22975</t>
  </si>
  <si>
    <t>C-22976</t>
  </si>
  <si>
    <t>C-22977</t>
  </si>
  <si>
    <t>C-22978</t>
  </si>
  <si>
    <t>C-22979</t>
  </si>
  <si>
    <t>C-22980</t>
  </si>
  <si>
    <t>C-22981</t>
  </si>
  <si>
    <t>C-22982</t>
  </si>
  <si>
    <t>C-22983</t>
  </si>
  <si>
    <t>C-22984</t>
  </si>
  <si>
    <t>C-22985</t>
  </si>
  <si>
    <t>C-22986</t>
  </si>
  <si>
    <t>C-22987</t>
  </si>
  <si>
    <t>C-22988</t>
  </si>
  <si>
    <t>C-22989</t>
  </si>
  <si>
    <t>C-22990</t>
  </si>
  <si>
    <t>C-22991</t>
  </si>
  <si>
    <t>C-22992</t>
  </si>
  <si>
    <t>C-22993</t>
  </si>
  <si>
    <t>C-22994</t>
  </si>
  <si>
    <t>C-22995</t>
  </si>
  <si>
    <t>C-22996</t>
  </si>
  <si>
    <t>C-22997</t>
  </si>
  <si>
    <t>C-22998</t>
  </si>
  <si>
    <t>C-22999</t>
  </si>
  <si>
    <t>C-23000</t>
  </si>
  <si>
    <t>C-23001</t>
  </si>
  <si>
    <t>C-23002</t>
  </si>
  <si>
    <t>C-23003</t>
  </si>
  <si>
    <t>C-23004</t>
  </si>
  <si>
    <t>C-23005</t>
  </si>
  <si>
    <t>C-23006</t>
  </si>
  <si>
    <t>C-23007</t>
  </si>
  <si>
    <t>C-23008</t>
  </si>
  <si>
    <t>C-23009</t>
  </si>
  <si>
    <t>C-23010</t>
  </si>
  <si>
    <t>C-23011</t>
  </si>
  <si>
    <t>C-23012</t>
  </si>
  <si>
    <t>C-23013</t>
  </si>
  <si>
    <t>C-23014</t>
  </si>
  <si>
    <t>C-23015</t>
  </si>
  <si>
    <t>C-23016</t>
  </si>
  <si>
    <t>C-23017</t>
  </si>
  <si>
    <t>C-23018</t>
  </si>
  <si>
    <t>C-23019</t>
  </si>
  <si>
    <t>C-23020</t>
  </si>
  <si>
    <t>C-23021</t>
  </si>
  <si>
    <t>C-23022</t>
  </si>
  <si>
    <t>C-23023</t>
  </si>
  <si>
    <t>C-23024</t>
  </si>
  <si>
    <t>C-23025</t>
  </si>
  <si>
    <t>C-23026</t>
  </si>
  <si>
    <t>C-23027</t>
  </si>
  <si>
    <t>C-23028</t>
  </si>
  <si>
    <t>C-23029</t>
  </si>
  <si>
    <t>C-23030</t>
  </si>
  <si>
    <t>C-23031</t>
  </si>
  <si>
    <t>C-23032</t>
  </si>
  <si>
    <t>C-23033</t>
  </si>
  <si>
    <t>C-23034</t>
  </si>
  <si>
    <t>C-23035</t>
  </si>
  <si>
    <t>C-23036</t>
  </si>
  <si>
    <t>C-23037</t>
  </si>
  <si>
    <t>C-23038</t>
  </si>
  <si>
    <t>C-23039</t>
  </si>
  <si>
    <r>
      <t xml:space="preserve">(592)RENE  </t>
    </r>
    <r>
      <rPr>
        <b/>
        <sz val="12"/>
        <color rgb="FFFF0000"/>
        <rFont val="Calibri"/>
        <family val="2"/>
        <scheme val="minor"/>
      </rPr>
      <t>CANCELADA</t>
    </r>
  </si>
  <si>
    <t>se hizo la 23067C</t>
  </si>
  <si>
    <t>C-23040</t>
  </si>
  <si>
    <t>C-23041</t>
  </si>
  <si>
    <t>C-23042</t>
  </si>
  <si>
    <t>C-23043</t>
  </si>
  <si>
    <t>C-23044</t>
  </si>
  <si>
    <t>C-23045</t>
  </si>
  <si>
    <t>C-23046</t>
  </si>
  <si>
    <t>C-23047</t>
  </si>
  <si>
    <t>C-23048</t>
  </si>
  <si>
    <t>C-23049</t>
  </si>
  <si>
    <t>C-23050</t>
  </si>
  <si>
    <t>C-23051</t>
  </si>
  <si>
    <t>C-23052</t>
  </si>
  <si>
    <t>C-23053</t>
  </si>
  <si>
    <t>C-23054</t>
  </si>
  <si>
    <t>C-23055</t>
  </si>
  <si>
    <t>C-23056</t>
  </si>
  <si>
    <t>C-23057</t>
  </si>
  <si>
    <t>C-23058</t>
  </si>
  <si>
    <t>C-23059</t>
  </si>
  <si>
    <t>C-23060</t>
  </si>
  <si>
    <t>C-23061</t>
  </si>
  <si>
    <t>C-23062</t>
  </si>
  <si>
    <t>C-23063</t>
  </si>
  <si>
    <t>C-23064</t>
  </si>
  <si>
    <t>C-23065</t>
  </si>
  <si>
    <t>C-23066</t>
  </si>
  <si>
    <t>C-23067</t>
  </si>
  <si>
    <t>23-May-22--24-May-22</t>
  </si>
  <si>
    <t>C-23068</t>
  </si>
  <si>
    <t>C-23069</t>
  </si>
  <si>
    <t>C-23070</t>
  </si>
  <si>
    <t>C-23071</t>
  </si>
  <si>
    <t>C-23072</t>
  </si>
  <si>
    <t>C-23073</t>
  </si>
  <si>
    <t>C-23074</t>
  </si>
  <si>
    <t>C-23075</t>
  </si>
  <si>
    <t>C-23076</t>
  </si>
  <si>
    <t>C-23077</t>
  </si>
  <si>
    <t>C-23078</t>
  </si>
  <si>
    <t>C-23079</t>
  </si>
  <si>
    <t>C-23080</t>
  </si>
  <si>
    <t>24-May-22--25-May-22</t>
  </si>
  <si>
    <t>C-23081</t>
  </si>
  <si>
    <t>C-23082</t>
  </si>
  <si>
    <t>C-23083</t>
  </si>
  <si>
    <t>C-23084</t>
  </si>
  <si>
    <t>C-23085</t>
  </si>
  <si>
    <t>C-23086</t>
  </si>
  <si>
    <t>C-23087</t>
  </si>
  <si>
    <t>C-23088</t>
  </si>
  <si>
    <t>C-23089</t>
  </si>
  <si>
    <t>C-23090</t>
  </si>
  <si>
    <t>C-23091</t>
  </si>
  <si>
    <t>C-23092</t>
  </si>
  <si>
    <t>C-23093</t>
  </si>
  <si>
    <t>C-23094</t>
  </si>
  <si>
    <t>C-23095</t>
  </si>
  <si>
    <t>C-23096</t>
  </si>
  <si>
    <t>26-May-22--27-May-22</t>
  </si>
  <si>
    <t>C-23097</t>
  </si>
  <si>
    <t>C-23098</t>
  </si>
  <si>
    <t>(535)PABLO</t>
  </si>
  <si>
    <t>C-23099</t>
  </si>
  <si>
    <t>C-23100</t>
  </si>
  <si>
    <t>C-23101</t>
  </si>
  <si>
    <t>C-23102</t>
  </si>
  <si>
    <t>C-23103</t>
  </si>
  <si>
    <t>C-23104</t>
  </si>
  <si>
    <t>C-23105</t>
  </si>
  <si>
    <t>C-23106</t>
  </si>
  <si>
    <t>C-23107</t>
  </si>
  <si>
    <t>C-23108</t>
  </si>
  <si>
    <t>C-23109</t>
  </si>
  <si>
    <t>C-23110</t>
  </si>
  <si>
    <t>C-23111</t>
  </si>
  <si>
    <t>C-23112</t>
  </si>
  <si>
    <t>C-23113</t>
  </si>
  <si>
    <t>C-23114</t>
  </si>
  <si>
    <t>C-23115</t>
  </si>
  <si>
    <t>C-23116</t>
  </si>
  <si>
    <t>C-23117</t>
  </si>
  <si>
    <t>C-23118</t>
  </si>
  <si>
    <t>C-23119</t>
  </si>
  <si>
    <t>C-23120</t>
  </si>
  <si>
    <t>C-23121</t>
  </si>
  <si>
    <t>C-23122</t>
  </si>
  <si>
    <t>C-23123</t>
  </si>
  <si>
    <t>C-23124</t>
  </si>
  <si>
    <t>C-23125</t>
  </si>
  <si>
    <t>C-23126</t>
  </si>
  <si>
    <t>C-23127</t>
  </si>
  <si>
    <t>C-23128</t>
  </si>
  <si>
    <t>C-23129</t>
  </si>
  <si>
    <r>
      <t xml:space="preserve">(831)SUPER OFERTAS VICTORINO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</si>
  <si>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C-23130</t>
  </si>
  <si>
    <t>C-23131</t>
  </si>
  <si>
    <t>C-23132</t>
  </si>
  <si>
    <t>C-23133</t>
  </si>
  <si>
    <t>C-23134</t>
  </si>
  <si>
    <t>C-23135</t>
  </si>
  <si>
    <t>C-23136</t>
  </si>
  <si>
    <t>C-23137</t>
  </si>
  <si>
    <t>C-23138</t>
  </si>
  <si>
    <t>C-23139</t>
  </si>
  <si>
    <t>C-23140</t>
  </si>
  <si>
    <t>C-23141</t>
  </si>
  <si>
    <t>C-23142</t>
  </si>
  <si>
    <r>
      <t xml:space="preserve">(157)CARNITAS DON TOÑO DE CLAVIJERO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</si>
  <si>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C-23143</t>
  </si>
  <si>
    <t>C-23144</t>
  </si>
  <si>
    <t>C-23145</t>
  </si>
  <si>
    <t>C-23146</t>
  </si>
  <si>
    <t>C-23147</t>
  </si>
  <si>
    <t>C-23148</t>
  </si>
  <si>
    <t>C-23149</t>
  </si>
  <si>
    <t>C-23150</t>
  </si>
  <si>
    <t>C-23151</t>
  </si>
  <si>
    <t>C-23152</t>
  </si>
  <si>
    <t>C-23153</t>
  </si>
  <si>
    <t>C-23154</t>
  </si>
  <si>
    <t>C-23155</t>
  </si>
  <si>
    <t>C-23156</t>
  </si>
  <si>
    <t>C-23157</t>
  </si>
  <si>
    <t>C-23158</t>
  </si>
  <si>
    <t>C-23159</t>
  </si>
  <si>
    <t>C-23160</t>
  </si>
  <si>
    <t>C-23161</t>
  </si>
  <si>
    <t>C-23162</t>
  </si>
  <si>
    <t>C-23163</t>
  </si>
  <si>
    <t>C-23164</t>
  </si>
  <si>
    <t>C-23165</t>
  </si>
  <si>
    <t>C-23166</t>
  </si>
  <si>
    <t>C-23167</t>
  </si>
  <si>
    <t>C-23168</t>
  </si>
  <si>
    <t>C-23169</t>
  </si>
  <si>
    <t>C-23170</t>
  </si>
  <si>
    <t>C-23171</t>
  </si>
  <si>
    <t>C-23172</t>
  </si>
  <si>
    <t>C-23173</t>
  </si>
  <si>
    <t>C-23174</t>
  </si>
  <si>
    <t>C-23175</t>
  </si>
  <si>
    <t>C-23176</t>
  </si>
  <si>
    <t>C-23177</t>
  </si>
  <si>
    <t>C-23178</t>
  </si>
  <si>
    <t>C-23179</t>
  </si>
  <si>
    <t>C-23180</t>
  </si>
  <si>
    <t>C-23181</t>
  </si>
  <si>
    <t>C-23182</t>
  </si>
  <si>
    <t>C-23183</t>
  </si>
  <si>
    <t>C-23184</t>
  </si>
  <si>
    <t>C-23185</t>
  </si>
  <si>
    <t>C-23186</t>
  </si>
  <si>
    <t>C-23187</t>
  </si>
  <si>
    <t>C-23188</t>
  </si>
  <si>
    <r>
      <t xml:space="preserve">(884)FERNANDO ROSAS FILOMENO  </t>
    </r>
    <r>
      <rPr>
        <b/>
        <sz val="12"/>
        <color rgb="FFFF0000"/>
        <rFont val="Calibri"/>
        <family val="2"/>
        <scheme val="minor"/>
      </rPr>
      <t>CANCELADA</t>
    </r>
  </si>
  <si>
    <t>C-23189</t>
  </si>
  <si>
    <t>C-23190</t>
  </si>
  <si>
    <t>C-23191</t>
  </si>
  <si>
    <t>C-23192</t>
  </si>
  <si>
    <t>C-23193</t>
  </si>
  <si>
    <t>C-23194</t>
  </si>
  <si>
    <t>C-23195</t>
  </si>
  <si>
    <t>C-23196</t>
  </si>
  <si>
    <t>C-23197</t>
  </si>
  <si>
    <t>C-23198</t>
  </si>
  <si>
    <t>C-23199</t>
  </si>
  <si>
    <t>C-23200</t>
  </si>
  <si>
    <t>C-23201</t>
  </si>
  <si>
    <t>C-23202</t>
  </si>
  <si>
    <t>C-23203</t>
  </si>
  <si>
    <t>C-23204</t>
  </si>
  <si>
    <t>C-23205</t>
  </si>
  <si>
    <t>C-23206</t>
  </si>
  <si>
    <t>C-23207</t>
  </si>
  <si>
    <t>C-23208</t>
  </si>
  <si>
    <t>C-23209</t>
  </si>
  <si>
    <t>(902)HIDALGO</t>
  </si>
  <si>
    <t>C-23210</t>
  </si>
  <si>
    <t>C-23211</t>
  </si>
  <si>
    <t>C-23212</t>
  </si>
  <si>
    <t>C-23213</t>
  </si>
  <si>
    <t>C-23214</t>
  </si>
  <si>
    <t>C-23215</t>
  </si>
  <si>
    <t>25-May-22--26-May-22</t>
  </si>
  <si>
    <t>C-23216</t>
  </si>
  <si>
    <t>C-23217</t>
  </si>
  <si>
    <t>C-23218</t>
  </si>
  <si>
    <t>C-23219</t>
  </si>
  <si>
    <t>C-23220</t>
  </si>
  <si>
    <r>
      <t xml:space="preserve">(254)IRENE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</si>
  <si>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C-23221</t>
  </si>
  <si>
    <t>C-23222</t>
  </si>
  <si>
    <t>C-23223</t>
  </si>
  <si>
    <t>C-23224</t>
  </si>
  <si>
    <t>C-23225</t>
  </si>
  <si>
    <t>C-23226</t>
  </si>
  <si>
    <t>C-23227</t>
  </si>
  <si>
    <t>C-23228</t>
  </si>
  <si>
    <t>C-23229</t>
  </si>
  <si>
    <t>C-23230</t>
  </si>
  <si>
    <t>C-23231</t>
  </si>
  <si>
    <t>C-23232</t>
  </si>
  <si>
    <t>C-23233</t>
  </si>
  <si>
    <t>C-23234</t>
  </si>
  <si>
    <t>C-23235</t>
  </si>
  <si>
    <t>C-23236</t>
  </si>
  <si>
    <t>C-23237</t>
  </si>
  <si>
    <t>C-23238</t>
  </si>
  <si>
    <t>C-23239</t>
  </si>
  <si>
    <t>C-23240</t>
  </si>
  <si>
    <t>C-23241</t>
  </si>
  <si>
    <t>C-23242</t>
  </si>
  <si>
    <t>C-23243</t>
  </si>
  <si>
    <t>C-23244</t>
  </si>
  <si>
    <t>C-23245</t>
  </si>
  <si>
    <t>C-23246</t>
  </si>
  <si>
    <t>C-23247</t>
  </si>
  <si>
    <t>C-23248</t>
  </si>
  <si>
    <t>C-23249</t>
  </si>
  <si>
    <t>C-23250</t>
  </si>
  <si>
    <t>C-23251</t>
  </si>
  <si>
    <t>C-23252</t>
  </si>
  <si>
    <t>C-23253</t>
  </si>
  <si>
    <t>C-23254</t>
  </si>
  <si>
    <t>C-23255</t>
  </si>
  <si>
    <t>C-23256</t>
  </si>
  <si>
    <t>C-23257</t>
  </si>
  <si>
    <t>C-23258</t>
  </si>
  <si>
    <t>C-23259</t>
  </si>
  <si>
    <t>C-23260</t>
  </si>
  <si>
    <t>C-23261</t>
  </si>
  <si>
    <t>C-23262</t>
  </si>
  <si>
    <t>C-23263</t>
  </si>
  <si>
    <t>C-23264</t>
  </si>
  <si>
    <t>C-23265</t>
  </si>
  <si>
    <t>C-23266</t>
  </si>
  <si>
    <t>C-23267</t>
  </si>
  <si>
    <t>C-23268</t>
  </si>
  <si>
    <t>C-23269</t>
  </si>
  <si>
    <t>C-23270</t>
  </si>
  <si>
    <t>C-23271</t>
  </si>
  <si>
    <t>C-23272</t>
  </si>
  <si>
    <t>C-23273</t>
  </si>
  <si>
    <t>C-23274</t>
  </si>
  <si>
    <t>C-23275</t>
  </si>
  <si>
    <t>C-23276</t>
  </si>
  <si>
    <t>C-23277</t>
  </si>
  <si>
    <t>C-23278</t>
  </si>
  <si>
    <t>C-23279</t>
  </si>
  <si>
    <t>C-23280</t>
  </si>
  <si>
    <t>C-23281</t>
  </si>
  <si>
    <t>C-23282</t>
  </si>
  <si>
    <t>C-23283</t>
  </si>
  <si>
    <t>C-23284</t>
  </si>
  <si>
    <t>C-23285</t>
  </si>
  <si>
    <t>C-23286</t>
  </si>
  <si>
    <t>C-23287</t>
  </si>
  <si>
    <t>C-23288</t>
  </si>
  <si>
    <t>C-23289</t>
  </si>
  <si>
    <t>C-23290</t>
  </si>
  <si>
    <t>C-23291</t>
  </si>
  <si>
    <t>C-23292</t>
  </si>
  <si>
    <t>C-23293</t>
  </si>
  <si>
    <t>C-23294</t>
  </si>
  <si>
    <t>C-23295</t>
  </si>
  <si>
    <t>C-23296</t>
  </si>
  <si>
    <t>C-23297</t>
  </si>
  <si>
    <t>C-23298</t>
  </si>
  <si>
    <t>C-23299</t>
  </si>
  <si>
    <t>C-23300</t>
  </si>
  <si>
    <t>C-23301</t>
  </si>
  <si>
    <t>C-23302</t>
  </si>
  <si>
    <t>C-23303</t>
  </si>
  <si>
    <t>C-23304</t>
  </si>
  <si>
    <t>C-23305</t>
  </si>
  <si>
    <t>C-23306</t>
  </si>
  <si>
    <t>C-23307</t>
  </si>
  <si>
    <t>C-23308</t>
  </si>
  <si>
    <t>C-23309</t>
  </si>
  <si>
    <t>C-23310</t>
  </si>
  <si>
    <t>C-23311</t>
  </si>
  <si>
    <t>25-May-22--27-May-22</t>
  </si>
  <si>
    <t>C-23312</t>
  </si>
  <si>
    <t>C-23313</t>
  </si>
  <si>
    <t>C-23314</t>
  </si>
  <si>
    <t>C-23315</t>
  </si>
  <si>
    <t>C-23316</t>
  </si>
  <si>
    <t>C-23317</t>
  </si>
  <si>
    <t>C-23318</t>
  </si>
  <si>
    <t>C-23319</t>
  </si>
  <si>
    <t>C-23320</t>
  </si>
  <si>
    <t>C-23321</t>
  </si>
  <si>
    <t>C-23322</t>
  </si>
  <si>
    <t>C-23323</t>
  </si>
  <si>
    <t>C-23324</t>
  </si>
  <si>
    <t>C-23325</t>
  </si>
  <si>
    <t>C-23326</t>
  </si>
  <si>
    <t>C-23327</t>
  </si>
  <si>
    <t>C-23328</t>
  </si>
  <si>
    <t>C-23329</t>
  </si>
  <si>
    <t>C-23330</t>
  </si>
  <si>
    <t>C-23331</t>
  </si>
  <si>
    <t>C-23332</t>
  </si>
  <si>
    <t>C-23333</t>
  </si>
  <si>
    <t>C-23334</t>
  </si>
  <si>
    <t>C-23335</t>
  </si>
  <si>
    <t>C-23336</t>
  </si>
  <si>
    <t>C-23337</t>
  </si>
  <si>
    <t>C-23338</t>
  </si>
  <si>
    <r>
      <t xml:space="preserve">(494)OMAR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</si>
  <si>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C-23339</t>
  </si>
  <si>
    <t>C-23340</t>
  </si>
  <si>
    <t>C-23341</t>
  </si>
  <si>
    <t>C-23342</t>
  </si>
  <si>
    <t xml:space="preserve"> </t>
  </si>
  <si>
    <t>C-23343</t>
  </si>
  <si>
    <t>C-23344</t>
  </si>
  <si>
    <t>C-23345</t>
  </si>
  <si>
    <t>C-23346</t>
  </si>
  <si>
    <t>C-23347</t>
  </si>
  <si>
    <t>C-23348</t>
  </si>
  <si>
    <t>C-23349</t>
  </si>
  <si>
    <t>C-23350</t>
  </si>
  <si>
    <t>C-23351</t>
  </si>
  <si>
    <t>C-23352</t>
  </si>
  <si>
    <t>C-23353</t>
  </si>
  <si>
    <t>C-23354</t>
  </si>
  <si>
    <t>C-23355</t>
  </si>
  <si>
    <t>C-23356</t>
  </si>
  <si>
    <t>C-23357</t>
  </si>
  <si>
    <t>C-23358</t>
  </si>
  <si>
    <t>C-23359</t>
  </si>
  <si>
    <r>
      <t>(415)VIKI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</si>
  <si>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C-23360</t>
  </si>
  <si>
    <t>C-23361</t>
  </si>
  <si>
    <t>C-23362</t>
  </si>
  <si>
    <t>C-23363</t>
  </si>
  <si>
    <t>C-23364</t>
  </si>
  <si>
    <t>C-23365</t>
  </si>
  <si>
    <t>C-23366</t>
  </si>
  <si>
    <t>C-23367</t>
  </si>
  <si>
    <t>C-23368</t>
  </si>
  <si>
    <r>
      <t xml:space="preserve">(836)JACINTO HERNANDEZ  </t>
    </r>
    <r>
      <rPr>
        <b/>
        <sz val="12"/>
        <color rgb="FFFF0000"/>
        <rFont val="Calibri"/>
        <family val="2"/>
        <scheme val="minor"/>
      </rPr>
      <t>CANCELADA</t>
    </r>
  </si>
  <si>
    <t>C-23369</t>
  </si>
  <si>
    <t>C-23370</t>
  </si>
  <si>
    <t>C-23371</t>
  </si>
  <si>
    <t>C-23372</t>
  </si>
  <si>
    <t>C-23373</t>
  </si>
  <si>
    <t>C-23374</t>
  </si>
  <si>
    <t>C-23375</t>
  </si>
  <si>
    <t>C-23376</t>
  </si>
  <si>
    <t>C-23377</t>
  </si>
  <si>
    <t>C-23378</t>
  </si>
  <si>
    <t>C-23379</t>
  </si>
  <si>
    <t>C-23380</t>
  </si>
  <si>
    <r>
      <t xml:space="preserve">(788)RUBEN SAUCEDO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</si>
  <si>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C-23381</t>
  </si>
  <si>
    <t>C-23382</t>
  </si>
  <si>
    <t>C-23383</t>
  </si>
  <si>
    <t>C-23384</t>
  </si>
  <si>
    <t>C-23385</t>
  </si>
  <si>
    <t>C-23386</t>
  </si>
  <si>
    <t>C-23387</t>
  </si>
  <si>
    <t>C-23388</t>
  </si>
  <si>
    <t>C-23389</t>
  </si>
  <si>
    <t>C-23390</t>
  </si>
  <si>
    <t>C-23391</t>
  </si>
  <si>
    <t>C-23392</t>
  </si>
  <si>
    <t>C-23393</t>
  </si>
  <si>
    <t>C-23394</t>
  </si>
  <si>
    <t>C-23395</t>
  </si>
  <si>
    <t>C-23396</t>
  </si>
  <si>
    <t>C-23397</t>
  </si>
  <si>
    <t>C-23398</t>
  </si>
  <si>
    <t>C-23399</t>
  </si>
  <si>
    <t>C-23400</t>
  </si>
  <si>
    <t>C-23401</t>
  </si>
  <si>
    <t>C-23402</t>
  </si>
  <si>
    <t>C-23403</t>
  </si>
  <si>
    <t>C-23404</t>
  </si>
  <si>
    <t>C-23405</t>
  </si>
  <si>
    <t>C-23406</t>
  </si>
  <si>
    <t>C-23407</t>
  </si>
  <si>
    <t>C-23408</t>
  </si>
  <si>
    <t>C-23409</t>
  </si>
  <si>
    <t>C-23410</t>
  </si>
  <si>
    <t>C-23411</t>
  </si>
  <si>
    <t>C-23412</t>
  </si>
  <si>
    <t>C-23413</t>
  </si>
  <si>
    <t>C-23414</t>
  </si>
  <si>
    <t>C-23415</t>
  </si>
  <si>
    <t>C-23416</t>
  </si>
  <si>
    <t>C-23417</t>
  </si>
  <si>
    <t>C-23418</t>
  </si>
  <si>
    <t>C-23419</t>
  </si>
  <si>
    <t>C-23420</t>
  </si>
  <si>
    <t>C-23421</t>
  </si>
  <si>
    <t>C-23422</t>
  </si>
  <si>
    <t>C-23423</t>
  </si>
  <si>
    <t>C-23424</t>
  </si>
  <si>
    <t>C-23425</t>
  </si>
  <si>
    <t>C-23426</t>
  </si>
  <si>
    <t>C-23427</t>
  </si>
  <si>
    <t>C-23428</t>
  </si>
  <si>
    <t>C-23429</t>
  </si>
  <si>
    <t>C-23430</t>
  </si>
  <si>
    <t>C-23431</t>
  </si>
  <si>
    <t>C-23432</t>
  </si>
  <si>
    <t>C-23433</t>
  </si>
  <si>
    <t>C-23434</t>
  </si>
  <si>
    <t>C-23435</t>
  </si>
  <si>
    <t>C-23436</t>
  </si>
  <si>
    <t>C-23437</t>
  </si>
  <si>
    <t>C-23438</t>
  </si>
  <si>
    <t>C-23439</t>
  </si>
  <si>
    <t>C-23440</t>
  </si>
  <si>
    <t>C-23441</t>
  </si>
  <si>
    <r>
      <t>(480)BENITO FOX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</si>
  <si>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C-23442</t>
  </si>
  <si>
    <t>C-23443</t>
  </si>
  <si>
    <t>C-23444</t>
  </si>
  <si>
    <t>C-23445</t>
  </si>
  <si>
    <t>27-May-22--28-May-22</t>
  </si>
  <si>
    <t>C-23446</t>
  </si>
  <si>
    <t>C-23447</t>
  </si>
  <si>
    <t>C-23448</t>
  </si>
  <si>
    <t>C-23449</t>
  </si>
  <si>
    <t>C-23450</t>
  </si>
  <si>
    <t>C-23451</t>
  </si>
  <si>
    <t>C-23452</t>
  </si>
  <si>
    <t>C-23453</t>
  </si>
  <si>
    <t>C-23454</t>
  </si>
  <si>
    <t>C-23455</t>
  </si>
  <si>
    <t>C-23456</t>
  </si>
  <si>
    <t>C-23457</t>
  </si>
  <si>
    <r>
      <t xml:space="preserve">(746)CARLOS CASTRO  </t>
    </r>
    <r>
      <rPr>
        <b/>
        <sz val="12"/>
        <color rgb="FFFF0000"/>
        <rFont val="Calibri"/>
        <family val="2"/>
        <scheme val="minor"/>
      </rPr>
      <t>CANCELADA</t>
    </r>
  </si>
  <si>
    <t>C-23458</t>
  </si>
  <si>
    <t>C-23459</t>
  </si>
  <si>
    <t>C-23460</t>
  </si>
  <si>
    <t>C-23461</t>
  </si>
  <si>
    <t>C-23462</t>
  </si>
  <si>
    <t>C-23463</t>
  </si>
  <si>
    <t>C-23464</t>
  </si>
  <si>
    <t>C-23465</t>
  </si>
  <si>
    <t>C-23466</t>
  </si>
  <si>
    <t>C-23467</t>
  </si>
  <si>
    <t>C-23468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</si>
  <si>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</si>
  <si>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C-23469</t>
  </si>
  <si>
    <t>C-23470</t>
  </si>
  <si>
    <t>C-23471</t>
  </si>
  <si>
    <t>C-23472</t>
  </si>
  <si>
    <t>C-23473</t>
  </si>
  <si>
    <t>C-23474</t>
  </si>
  <si>
    <t>C-23475</t>
  </si>
  <si>
    <t>C-23476</t>
  </si>
  <si>
    <t>C-23477</t>
  </si>
  <si>
    <t>C-23478</t>
  </si>
  <si>
    <t>C-23479</t>
  </si>
  <si>
    <t>C-23480</t>
  </si>
  <si>
    <t>C-23481</t>
  </si>
  <si>
    <t>C-23482</t>
  </si>
  <si>
    <t>C-23483</t>
  </si>
  <si>
    <t>C-23484</t>
  </si>
  <si>
    <t>C-23485</t>
  </si>
  <si>
    <t>C-23486</t>
  </si>
  <si>
    <t>C-23487</t>
  </si>
  <si>
    <t>C-23488</t>
  </si>
  <si>
    <t>C-23489</t>
  </si>
  <si>
    <t>C-23490</t>
  </si>
  <si>
    <t>C-23491</t>
  </si>
  <si>
    <t>(130)JUAN DE LA ROSA  CANCELADA</t>
  </si>
  <si>
    <t>C-23492</t>
  </si>
  <si>
    <t>C-23493</t>
  </si>
  <si>
    <t>C-23494</t>
  </si>
  <si>
    <t>C-23495</t>
  </si>
  <si>
    <t>C-23496</t>
  </si>
  <si>
    <t>C-23497</t>
  </si>
  <si>
    <t>C-23498</t>
  </si>
  <si>
    <t>C-23499</t>
  </si>
  <si>
    <t>C-23500</t>
  </si>
  <si>
    <t>C-23501</t>
  </si>
  <si>
    <t>C-23502</t>
  </si>
  <si>
    <t>C-23503</t>
  </si>
  <si>
    <t>C-23504</t>
  </si>
  <si>
    <t>C-23505</t>
  </si>
  <si>
    <t>C-23506</t>
  </si>
  <si>
    <t>C-23507</t>
  </si>
  <si>
    <t>C-23508</t>
  </si>
  <si>
    <t>C-23509</t>
  </si>
  <si>
    <t>C-23510</t>
  </si>
  <si>
    <t>C-23511</t>
  </si>
  <si>
    <t>C-23512</t>
  </si>
  <si>
    <t>C-23513</t>
  </si>
  <si>
    <t>C-23514</t>
  </si>
  <si>
    <t>C-23515</t>
  </si>
  <si>
    <t>C-23516</t>
  </si>
  <si>
    <t>C-23517</t>
  </si>
  <si>
    <t>C-23518</t>
  </si>
  <si>
    <t>C-23519</t>
  </si>
  <si>
    <t>C-23520</t>
  </si>
  <si>
    <t>C-23521</t>
  </si>
  <si>
    <t>C-23522</t>
  </si>
  <si>
    <t>C-23523</t>
  </si>
  <si>
    <t>C-23524</t>
  </si>
  <si>
    <t>C-23525</t>
  </si>
  <si>
    <t>C-23526</t>
  </si>
  <si>
    <t>C-23527</t>
  </si>
  <si>
    <t>C-23528</t>
  </si>
  <si>
    <t>C-23529</t>
  </si>
  <si>
    <t>C-23530</t>
  </si>
  <si>
    <t>C-23531</t>
  </si>
  <si>
    <t>C-23532</t>
  </si>
  <si>
    <t>C-23533</t>
  </si>
  <si>
    <t>C-23534</t>
  </si>
  <si>
    <t>C-23535</t>
  </si>
  <si>
    <t>C-23536</t>
  </si>
  <si>
    <t>C-23537</t>
  </si>
  <si>
    <t>C-23538</t>
  </si>
  <si>
    <t>C-23539</t>
  </si>
  <si>
    <t>C-23540</t>
  </si>
  <si>
    <t>C-23541</t>
  </si>
  <si>
    <t>C-23542</t>
  </si>
  <si>
    <t>C-23543</t>
  </si>
  <si>
    <t>C-23544</t>
  </si>
  <si>
    <t>C-23545</t>
  </si>
  <si>
    <t>C-23546</t>
  </si>
  <si>
    <t>C-23547</t>
  </si>
  <si>
    <t>C-23548</t>
  </si>
  <si>
    <t>C-23549</t>
  </si>
  <si>
    <t>C-23550</t>
  </si>
  <si>
    <t>C-23551</t>
  </si>
  <si>
    <t>C-23552</t>
  </si>
  <si>
    <t>C-23553</t>
  </si>
  <si>
    <t>C-23554</t>
  </si>
  <si>
    <t>C-23555</t>
  </si>
  <si>
    <t>C-23556</t>
  </si>
  <si>
    <t>C-23557</t>
  </si>
  <si>
    <t>C-23558</t>
  </si>
  <si>
    <t>C-23559</t>
  </si>
  <si>
    <t>C-23560</t>
  </si>
  <si>
    <t>C-23561</t>
  </si>
  <si>
    <t>C-23562</t>
  </si>
  <si>
    <t>C-23563</t>
  </si>
  <si>
    <t>C-23564</t>
  </si>
  <si>
    <t>C-23565</t>
  </si>
  <si>
    <t>C-23566</t>
  </si>
  <si>
    <t>C-23567</t>
  </si>
  <si>
    <t>28-May-22--29-May-22--31-May-22</t>
  </si>
  <si>
    <t>C-23568</t>
  </si>
  <si>
    <t>C-23569</t>
  </si>
  <si>
    <t>C-23570</t>
  </si>
  <si>
    <t>C-23571</t>
  </si>
  <si>
    <t>C-23572</t>
  </si>
  <si>
    <t>C-23573</t>
  </si>
  <si>
    <t>C-23574</t>
  </si>
  <si>
    <t>C-23575</t>
  </si>
  <si>
    <t>C-23576</t>
  </si>
  <si>
    <t>C-23577</t>
  </si>
  <si>
    <t>C-23578</t>
  </si>
  <si>
    <t>C-23579</t>
  </si>
  <si>
    <t>C-23580</t>
  </si>
  <si>
    <t>C-23581</t>
  </si>
  <si>
    <t>C-23582</t>
  </si>
  <si>
    <t>C-23583</t>
  </si>
  <si>
    <t>C-23584</t>
  </si>
  <si>
    <t>C-23585</t>
  </si>
  <si>
    <t>C-23586</t>
  </si>
  <si>
    <t>C-23587</t>
  </si>
  <si>
    <t>C-23588</t>
  </si>
  <si>
    <t>C-23589</t>
  </si>
  <si>
    <t>C-23590</t>
  </si>
  <si>
    <t>C-23591</t>
  </si>
  <si>
    <t>C-23592</t>
  </si>
  <si>
    <t>fisica en la 23591 C</t>
  </si>
  <si>
    <t>C-23593</t>
  </si>
  <si>
    <t>C-23594</t>
  </si>
  <si>
    <t>C-23595</t>
  </si>
  <si>
    <t>C-23596</t>
  </si>
  <si>
    <t>C-23597</t>
  </si>
  <si>
    <t>C-23598</t>
  </si>
  <si>
    <t>C-23599</t>
  </si>
  <si>
    <t>C-23600</t>
  </si>
  <si>
    <t>C-23601</t>
  </si>
  <si>
    <t>C-23602</t>
  </si>
  <si>
    <t>C-23603</t>
  </si>
  <si>
    <t>C-23604</t>
  </si>
  <si>
    <t>C-23605</t>
  </si>
  <si>
    <t>C-23606</t>
  </si>
  <si>
    <t>C-23607</t>
  </si>
  <si>
    <t>C-23608</t>
  </si>
  <si>
    <t>C-23609</t>
  </si>
  <si>
    <t>C-23610</t>
  </si>
  <si>
    <t>C-23611</t>
  </si>
  <si>
    <t>C-23612</t>
  </si>
  <si>
    <t>C-23613</t>
  </si>
  <si>
    <t>C-23614</t>
  </si>
  <si>
    <t>C-23615</t>
  </si>
  <si>
    <t>C-23616</t>
  </si>
  <si>
    <t>C-23617</t>
  </si>
  <si>
    <t>C-23618</t>
  </si>
  <si>
    <t>C-23619</t>
  </si>
  <si>
    <t>C-23620</t>
  </si>
  <si>
    <t>C-23621</t>
  </si>
  <si>
    <t>C-23622</t>
  </si>
  <si>
    <t>C-23623</t>
  </si>
  <si>
    <t>C-23624</t>
  </si>
  <si>
    <t>C-23625</t>
  </si>
  <si>
    <t>C-23626</t>
  </si>
  <si>
    <t>C-23627</t>
  </si>
  <si>
    <t>C-23628</t>
  </si>
  <si>
    <t>C-23629</t>
  </si>
  <si>
    <t>C-23630</t>
  </si>
  <si>
    <t>C-23631</t>
  </si>
  <si>
    <t>C-23632</t>
  </si>
  <si>
    <t>C-23633</t>
  </si>
  <si>
    <t>C-23634</t>
  </si>
  <si>
    <t>C-23635</t>
  </si>
  <si>
    <t>C-23636</t>
  </si>
  <si>
    <t>C-23637</t>
  </si>
  <si>
    <t>C-23638</t>
  </si>
  <si>
    <t>C-23639</t>
  </si>
  <si>
    <t>C-23640</t>
  </si>
  <si>
    <t>C-23641</t>
  </si>
  <si>
    <t>C-23642</t>
  </si>
  <si>
    <t>C-23643</t>
  </si>
  <si>
    <t>C-23644</t>
  </si>
  <si>
    <t>C-23645</t>
  </si>
  <si>
    <t>C-23646</t>
  </si>
  <si>
    <t>C-23647</t>
  </si>
  <si>
    <t>C-23648</t>
  </si>
  <si>
    <t>C-23649</t>
  </si>
  <si>
    <t>C-23650</t>
  </si>
  <si>
    <t>C-23651</t>
  </si>
  <si>
    <t>C-23652</t>
  </si>
  <si>
    <t>C-23653</t>
  </si>
  <si>
    <t>C-23654</t>
  </si>
  <si>
    <t>C-23655</t>
  </si>
  <si>
    <t>C-23656</t>
  </si>
  <si>
    <t>C-23657</t>
  </si>
  <si>
    <t>C-23658</t>
  </si>
  <si>
    <t>C-23659</t>
  </si>
  <si>
    <t>C-23660</t>
  </si>
  <si>
    <t>C-23661</t>
  </si>
  <si>
    <t>C-23662</t>
  </si>
  <si>
    <t>C-23663</t>
  </si>
  <si>
    <t>C-23664</t>
  </si>
  <si>
    <t>C-23665</t>
  </si>
  <si>
    <t>C-23666</t>
  </si>
  <si>
    <t>C-23667</t>
  </si>
  <si>
    <t>C-23668</t>
  </si>
  <si>
    <t>C-23669</t>
  </si>
  <si>
    <t>C-23670</t>
  </si>
  <si>
    <t>C-23671</t>
  </si>
  <si>
    <t>C-23672</t>
  </si>
  <si>
    <t>C-23673</t>
  </si>
  <si>
    <t>C-23674</t>
  </si>
  <si>
    <t>C-23675</t>
  </si>
  <si>
    <t>C-23676</t>
  </si>
  <si>
    <t>C-23677</t>
  </si>
  <si>
    <t>C-23678</t>
  </si>
  <si>
    <t>C-23679</t>
  </si>
  <si>
    <t>C-23680</t>
  </si>
  <si>
    <t>C-23681</t>
  </si>
  <si>
    <t>C-23682</t>
  </si>
  <si>
    <t>C-23683</t>
  </si>
  <si>
    <t>C-23684</t>
  </si>
  <si>
    <t>C-23685</t>
  </si>
  <si>
    <t>C-23686</t>
  </si>
  <si>
    <t>C-23687</t>
  </si>
  <si>
    <t>C-23688</t>
  </si>
  <si>
    <t>C-23689</t>
  </si>
  <si>
    <t>C-23690</t>
  </si>
  <si>
    <t>C-23691</t>
  </si>
  <si>
    <t>C-23692</t>
  </si>
  <si>
    <t>C-23693</t>
  </si>
  <si>
    <t>C-23694</t>
  </si>
  <si>
    <t>C-23695</t>
  </si>
  <si>
    <t>C-23696</t>
  </si>
  <si>
    <t>C-23697</t>
  </si>
  <si>
    <t>C-23698</t>
  </si>
  <si>
    <t>C-23699</t>
  </si>
  <si>
    <t>(362)JESUS ALVAREZ</t>
  </si>
  <si>
    <t>C-23700</t>
  </si>
  <si>
    <t>C-23701</t>
  </si>
  <si>
    <t>C-23702</t>
  </si>
  <si>
    <t>C-23703</t>
  </si>
  <si>
    <t>C-23704</t>
  </si>
  <si>
    <t>C-23705</t>
  </si>
  <si>
    <t>C-23706</t>
  </si>
  <si>
    <t>C-23707</t>
  </si>
  <si>
    <t>C-23708</t>
  </si>
  <si>
    <t>29-May-22--30-May-22</t>
  </si>
  <si>
    <t>C-23709</t>
  </si>
  <si>
    <t>C-23710</t>
  </si>
  <si>
    <t>C-23711</t>
  </si>
  <si>
    <t>C-23712</t>
  </si>
  <si>
    <t>C-23713</t>
  </si>
  <si>
    <t>C-23714</t>
  </si>
  <si>
    <t>30-May-22--31-May-22</t>
  </si>
  <si>
    <t>C-23715</t>
  </si>
  <si>
    <t>C-23716</t>
  </si>
  <si>
    <t>C-23717</t>
  </si>
  <si>
    <t>C-23718</t>
  </si>
  <si>
    <t>C-23719</t>
  </si>
  <si>
    <t>C-23720</t>
  </si>
  <si>
    <t>C-23721</t>
  </si>
  <si>
    <t>C-23722</t>
  </si>
  <si>
    <t>C-23723</t>
  </si>
  <si>
    <t>C-23724</t>
  </si>
  <si>
    <t>C-23725</t>
  </si>
  <si>
    <t>C-23726</t>
  </si>
  <si>
    <t>C-23727</t>
  </si>
  <si>
    <t>C-23728</t>
  </si>
  <si>
    <r>
      <t xml:space="preserve">(472)GUILLERMINA ZOQUIAPAN  </t>
    </r>
    <r>
      <rPr>
        <b/>
        <sz val="12"/>
        <color rgb="FFFF0000"/>
        <rFont val="Calibri"/>
        <family val="2"/>
        <scheme val="minor"/>
      </rPr>
      <t>CANCELADA</t>
    </r>
  </si>
  <si>
    <t>C-23729</t>
  </si>
  <si>
    <t>C-23730</t>
  </si>
  <si>
    <t>C-23731</t>
  </si>
  <si>
    <t>C-23732</t>
  </si>
  <si>
    <t>C-23733</t>
  </si>
  <si>
    <t>C-23734</t>
  </si>
  <si>
    <t>C-23735</t>
  </si>
  <si>
    <t>C-23736</t>
  </si>
  <si>
    <t>C-23737</t>
  </si>
  <si>
    <t>C-23738</t>
  </si>
  <si>
    <t>C-23739</t>
  </si>
  <si>
    <t xml:space="preserve">28-May-22--29-May-22  </t>
  </si>
  <si>
    <t>C-23740</t>
  </si>
  <si>
    <t>C-23741</t>
  </si>
  <si>
    <t>C-23742</t>
  </si>
  <si>
    <t>C-23743</t>
  </si>
  <si>
    <t>C-23744</t>
  </si>
  <si>
    <t>C-23745</t>
  </si>
  <si>
    <t>C-23746</t>
  </si>
  <si>
    <t>C-23747</t>
  </si>
  <si>
    <t>C-23748</t>
  </si>
  <si>
    <t>C-23749</t>
  </si>
  <si>
    <t>C-23750</t>
  </si>
  <si>
    <t>C-23751</t>
  </si>
  <si>
    <t>C-23752</t>
  </si>
  <si>
    <t>C-23753</t>
  </si>
  <si>
    <t>C-23754</t>
  </si>
  <si>
    <t>C-23755</t>
  </si>
  <si>
    <t>C-23756</t>
  </si>
  <si>
    <t>C-23757</t>
  </si>
  <si>
    <t>C-23758</t>
  </si>
  <si>
    <t>C-23759</t>
  </si>
  <si>
    <t>C-23760</t>
  </si>
  <si>
    <t>C-23761</t>
  </si>
  <si>
    <t>C-23762</t>
  </si>
  <si>
    <t>C-23763</t>
  </si>
  <si>
    <t>C-23764</t>
  </si>
  <si>
    <t>se sustituyo x la 23768 C</t>
  </si>
  <si>
    <t>C-23765</t>
  </si>
  <si>
    <t>C-23766</t>
  </si>
  <si>
    <t>C-23767</t>
  </si>
  <si>
    <t>C-23768</t>
  </si>
  <si>
    <t>C-23769</t>
  </si>
  <si>
    <t>C-23770</t>
  </si>
  <si>
    <t>C-23771</t>
  </si>
  <si>
    <t>C-23772</t>
  </si>
  <si>
    <t>C-23773</t>
  </si>
  <si>
    <t>C-23774</t>
  </si>
  <si>
    <t>C-23775</t>
  </si>
  <si>
    <t>C-23776</t>
  </si>
  <si>
    <t>C-23777</t>
  </si>
  <si>
    <t>C-23778</t>
  </si>
  <si>
    <t>C-23779</t>
  </si>
  <si>
    <t>C-23780</t>
  </si>
  <si>
    <t>C-23781</t>
  </si>
  <si>
    <t>C-23782</t>
  </si>
  <si>
    <t>C-23783</t>
  </si>
  <si>
    <t>C-23784</t>
  </si>
  <si>
    <t>C-23785</t>
  </si>
  <si>
    <t>C-23786</t>
  </si>
  <si>
    <t>C-23787</t>
  </si>
  <si>
    <t>C-23788</t>
  </si>
  <si>
    <t>C-23789</t>
  </si>
  <si>
    <t>C-23790</t>
  </si>
  <si>
    <t>C-23791</t>
  </si>
  <si>
    <t>C-23792</t>
  </si>
  <si>
    <t>C-23793</t>
  </si>
  <si>
    <t>C-23794</t>
  </si>
  <si>
    <t>C-23795</t>
  </si>
  <si>
    <t>C-23796</t>
  </si>
  <si>
    <t>C-23797</t>
  </si>
  <si>
    <t>C-23798</t>
  </si>
  <si>
    <t>C-23799</t>
  </si>
  <si>
    <r>
      <t xml:space="preserve">(331)ROBERTO MORALES  </t>
    </r>
    <r>
      <rPr>
        <b/>
        <sz val="12"/>
        <color rgb="FFFF0000"/>
        <rFont val="Calibri"/>
        <family val="2"/>
        <scheme val="minor"/>
      </rPr>
      <t>CANCELADA</t>
    </r>
  </si>
  <si>
    <t>C-23800</t>
  </si>
  <si>
    <t>C-23801</t>
  </si>
  <si>
    <t>C-23802</t>
  </si>
  <si>
    <r>
      <t xml:space="preserve">(9)EL PASTORCITO 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</si>
  <si>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C-23803</t>
  </si>
  <si>
    <t>C-23804</t>
  </si>
  <si>
    <t>C-23805</t>
  </si>
  <si>
    <t>C-23806</t>
  </si>
  <si>
    <t>C-23807</t>
  </si>
  <si>
    <t>C-23808</t>
  </si>
  <si>
    <t>C-23809</t>
  </si>
  <si>
    <t>C-23810</t>
  </si>
  <si>
    <t>C-23811</t>
  </si>
  <si>
    <t>C-23812</t>
  </si>
  <si>
    <t>C-23813</t>
  </si>
  <si>
    <t>C-23814</t>
  </si>
  <si>
    <t>C-23815</t>
  </si>
  <si>
    <t>C-23816</t>
  </si>
  <si>
    <t>C-23817</t>
  </si>
  <si>
    <t>C-23818</t>
  </si>
  <si>
    <t>C-23819</t>
  </si>
  <si>
    <t>C-23820</t>
  </si>
  <si>
    <t>C-23821</t>
  </si>
  <si>
    <t>C-23822</t>
  </si>
  <si>
    <t>C-23823</t>
  </si>
  <si>
    <t>C-23824</t>
  </si>
  <si>
    <t>C-23825</t>
  </si>
  <si>
    <t>C-23826</t>
  </si>
  <si>
    <t>C-23827</t>
  </si>
  <si>
    <t>C-23828</t>
  </si>
  <si>
    <t>C-23829</t>
  </si>
  <si>
    <t>C-23830</t>
  </si>
  <si>
    <t>C-23831</t>
  </si>
  <si>
    <t>C-23832</t>
  </si>
  <si>
    <t>C-23833</t>
  </si>
  <si>
    <t>C-23834</t>
  </si>
  <si>
    <t>C-23835</t>
  </si>
  <si>
    <t>C-23836</t>
  </si>
  <si>
    <t>C-23837</t>
  </si>
  <si>
    <t>C-23838</t>
  </si>
  <si>
    <t>C-23839</t>
  </si>
  <si>
    <t>C-23840</t>
  </si>
  <si>
    <t>C-23841</t>
  </si>
  <si>
    <t>C-23842</t>
  </si>
  <si>
    <t>C-23843</t>
  </si>
  <si>
    <t>C-23844</t>
  </si>
  <si>
    <t>C-23845</t>
  </si>
  <si>
    <t>C-23846</t>
  </si>
  <si>
    <t>C-23847</t>
  </si>
  <si>
    <t>C-23848</t>
  </si>
  <si>
    <t>C-23849</t>
  </si>
  <si>
    <t>C-23850</t>
  </si>
  <si>
    <t>C-23851</t>
  </si>
  <si>
    <t>C-23852</t>
  </si>
  <si>
    <t>C-23853</t>
  </si>
  <si>
    <t>C-23854</t>
  </si>
  <si>
    <t>C-23855</t>
  </si>
  <si>
    <t>C-23856</t>
  </si>
  <si>
    <t>C-23857</t>
  </si>
  <si>
    <t>C-23858</t>
  </si>
  <si>
    <t>C-23859</t>
  </si>
  <si>
    <t>C-23860</t>
  </si>
  <si>
    <t>C-23861</t>
  </si>
  <si>
    <t>C-23862</t>
  </si>
  <si>
    <t>C-23863</t>
  </si>
  <si>
    <t>C-23864</t>
  </si>
  <si>
    <t>C-23865</t>
  </si>
  <si>
    <t>C-23866</t>
  </si>
  <si>
    <t>C-23867</t>
  </si>
  <si>
    <t>C-23868</t>
  </si>
  <si>
    <t>C-23869</t>
  </si>
  <si>
    <t>C-23870</t>
  </si>
  <si>
    <t>C-23871</t>
  </si>
  <si>
    <t>C-23872</t>
  </si>
  <si>
    <t>C-23873</t>
  </si>
  <si>
    <t>C-23874</t>
  </si>
  <si>
    <t>C-23875</t>
  </si>
  <si>
    <t>C-23876</t>
  </si>
  <si>
    <t>C-23877</t>
  </si>
  <si>
    <t>C-23878</t>
  </si>
  <si>
    <t>C-23879</t>
  </si>
  <si>
    <t>C-23880</t>
  </si>
  <si>
    <t>C-23881</t>
  </si>
  <si>
    <t>C-23882</t>
  </si>
  <si>
    <t>C-23883</t>
  </si>
  <si>
    <t>C-23884</t>
  </si>
  <si>
    <t>C-23885</t>
  </si>
  <si>
    <t>C-23886</t>
  </si>
  <si>
    <t>C-23887</t>
  </si>
  <si>
    <t>C-23888</t>
  </si>
  <si>
    <t>C-23889</t>
  </si>
  <si>
    <t>C-23890</t>
  </si>
  <si>
    <t>C-23891</t>
  </si>
  <si>
    <t>C-23892</t>
  </si>
  <si>
    <t>C-23893</t>
  </si>
  <si>
    <t>C-23894</t>
  </si>
  <si>
    <t>C-23895</t>
  </si>
  <si>
    <t>C-23896</t>
  </si>
  <si>
    <t>C-23897</t>
  </si>
  <si>
    <t>C-23898</t>
  </si>
  <si>
    <t>C-23899</t>
  </si>
  <si>
    <t>C-23900</t>
  </si>
  <si>
    <t>C-23901</t>
  </si>
  <si>
    <t>C-23902</t>
  </si>
  <si>
    <t>C-23903</t>
  </si>
  <si>
    <t>C-23904</t>
  </si>
  <si>
    <t>C-23905</t>
  </si>
  <si>
    <t>C-23906</t>
  </si>
  <si>
    <t>C-23907</t>
  </si>
  <si>
    <t>C-23908</t>
  </si>
  <si>
    <t>C-23909</t>
  </si>
  <si>
    <t>C-23910</t>
  </si>
  <si>
    <t>C-23911</t>
  </si>
  <si>
    <t>C-23912</t>
  </si>
  <si>
    <t>C-23913</t>
  </si>
  <si>
    <t>C-23914</t>
  </si>
  <si>
    <t>C-23915</t>
  </si>
  <si>
    <t>C-23916</t>
  </si>
  <si>
    <t>C-23917</t>
  </si>
  <si>
    <t>C-23918</t>
  </si>
  <si>
    <t>C-23919</t>
  </si>
  <si>
    <t>C-23920</t>
  </si>
  <si>
    <t>C-23921</t>
  </si>
  <si>
    <t>C-23922</t>
  </si>
  <si>
    <t>(840)JESUS CRUZ RANGEL</t>
  </si>
  <si>
    <t>C-23923</t>
  </si>
  <si>
    <t>C-23924</t>
  </si>
  <si>
    <t>C-23925</t>
  </si>
  <si>
    <t>C-23926</t>
  </si>
  <si>
    <t>C-23927</t>
  </si>
  <si>
    <t>C-23928</t>
  </si>
  <si>
    <t>C-23929</t>
  </si>
  <si>
    <t>C-23930</t>
  </si>
  <si>
    <t>C-23931</t>
  </si>
  <si>
    <t>C-23932</t>
  </si>
  <si>
    <t>C-23933</t>
  </si>
  <si>
    <t>C-23934</t>
  </si>
  <si>
    <t>C-23935</t>
  </si>
  <si>
    <t>C-23936</t>
  </si>
  <si>
    <t>C-23937</t>
  </si>
  <si>
    <t>C-23938</t>
  </si>
  <si>
    <t>C-23939</t>
  </si>
  <si>
    <t>C-23940</t>
  </si>
  <si>
    <t>C-23941</t>
  </si>
  <si>
    <t>C-23942</t>
  </si>
  <si>
    <t>C-23943</t>
  </si>
  <si>
    <t>C-23944</t>
  </si>
  <si>
    <t>C-23945</t>
  </si>
  <si>
    <t>C-23946</t>
  </si>
  <si>
    <t>C-23947</t>
  </si>
  <si>
    <t>C-23948</t>
  </si>
  <si>
    <t>C-23949</t>
  </si>
  <si>
    <t>C-23950</t>
  </si>
  <si>
    <t>C-23951</t>
  </si>
  <si>
    <t>C-23952</t>
  </si>
  <si>
    <t>C-23953</t>
  </si>
  <si>
    <t>C-23954</t>
  </si>
  <si>
    <t>C-23955</t>
  </si>
  <si>
    <t>C-23956</t>
  </si>
  <si>
    <t>C-23957</t>
  </si>
  <si>
    <t>C-23958</t>
  </si>
  <si>
    <t>C-23959</t>
  </si>
  <si>
    <t>C-23960</t>
  </si>
  <si>
    <t>C-23961</t>
  </si>
  <si>
    <t>C-23962</t>
  </si>
  <si>
    <t>C-23963</t>
  </si>
  <si>
    <t>C-23964</t>
  </si>
  <si>
    <t>C-23965</t>
  </si>
  <si>
    <t>C-23966</t>
  </si>
  <si>
    <t>C-23967</t>
  </si>
  <si>
    <t>C-23968</t>
  </si>
  <si>
    <t>C-23969</t>
  </si>
  <si>
    <t>C-23970</t>
  </si>
  <si>
    <t>C-23971</t>
  </si>
  <si>
    <t>C-23972</t>
  </si>
  <si>
    <t>C-23973</t>
  </si>
  <si>
    <r>
      <t>(309)JESUS ALFONSO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</si>
  <si>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C-23974</t>
  </si>
  <si>
    <t>C-23975</t>
  </si>
  <si>
    <t>C-23976</t>
  </si>
  <si>
    <t>C-23977</t>
  </si>
  <si>
    <t>C-23978</t>
  </si>
  <si>
    <t>C-23979</t>
  </si>
  <si>
    <t>C-23980</t>
  </si>
  <si>
    <t>C-23981</t>
  </si>
  <si>
    <t>C-23982</t>
  </si>
  <si>
    <t>C-23983</t>
  </si>
  <si>
    <t>C-23984</t>
  </si>
  <si>
    <t>C-23985</t>
  </si>
  <si>
    <t>C-23986</t>
  </si>
  <si>
    <t>C-23987</t>
  </si>
  <si>
    <t>C-23988</t>
  </si>
  <si>
    <t>C-23989</t>
  </si>
  <si>
    <t>C-23990</t>
  </si>
  <si>
    <t>C-23991</t>
  </si>
  <si>
    <t>C-23992</t>
  </si>
  <si>
    <t>C-23993</t>
  </si>
  <si>
    <t>C-23994</t>
  </si>
  <si>
    <t>C-23995</t>
  </si>
  <si>
    <t>C-23996</t>
  </si>
  <si>
    <t>C-23997</t>
  </si>
  <si>
    <t>C-23998</t>
  </si>
  <si>
    <t>C-23999</t>
  </si>
  <si>
    <t>C-24000</t>
  </si>
  <si>
    <t>C-24001</t>
  </si>
  <si>
    <t>C-24002</t>
  </si>
  <si>
    <t>C-24003</t>
  </si>
  <si>
    <t>C-24004</t>
  </si>
  <si>
    <t>C-24005</t>
  </si>
  <si>
    <t>C-24006</t>
  </si>
  <si>
    <t>C-24007</t>
  </si>
  <si>
    <t>C-24008</t>
  </si>
  <si>
    <t>C-24009</t>
  </si>
  <si>
    <t>C-24010</t>
  </si>
  <si>
    <r>
      <t xml:space="preserve">(614)MARTIN BAEZ  </t>
    </r>
    <r>
      <rPr>
        <b/>
        <sz val="12"/>
        <color rgb="FFFF0000"/>
        <rFont val="Calibri"/>
        <family val="2"/>
        <scheme val="minor"/>
      </rPr>
      <t>CANCELADA</t>
    </r>
  </si>
  <si>
    <t>C-24011</t>
  </si>
  <si>
    <t>C-24012</t>
  </si>
  <si>
    <t>C-24013</t>
  </si>
  <si>
    <t>07/06/2022</t>
  </si>
  <si>
    <t>C-24014</t>
  </si>
  <si>
    <t>C-24015</t>
  </si>
  <si>
    <t>C-24016</t>
  </si>
  <si>
    <t>C-24017</t>
  </si>
  <si>
    <t>C-24018</t>
  </si>
  <si>
    <t>C-24019</t>
  </si>
  <si>
    <t>C-24020</t>
  </si>
  <si>
    <t>C-24021</t>
  </si>
  <si>
    <t>C-24022</t>
  </si>
  <si>
    <t>C-24023</t>
  </si>
  <si>
    <t>C-24024</t>
  </si>
  <si>
    <t>C-24025</t>
  </si>
  <si>
    <t>C-24026</t>
  </si>
  <si>
    <t>C-24027</t>
  </si>
  <si>
    <t>C-24028</t>
  </si>
  <si>
    <t>C-24029</t>
  </si>
  <si>
    <t>C-24030</t>
  </si>
  <si>
    <t>C-24031</t>
  </si>
  <si>
    <t>C-24032</t>
  </si>
  <si>
    <t>C-24033</t>
  </si>
  <si>
    <t>C-24034</t>
  </si>
  <si>
    <t>C-24035</t>
  </si>
  <si>
    <t>C-24036</t>
  </si>
  <si>
    <t>C-24037</t>
  </si>
  <si>
    <t>C-24038</t>
  </si>
  <si>
    <t>C-24039</t>
  </si>
  <si>
    <t>C-24040</t>
  </si>
  <si>
    <t>C-24041</t>
  </si>
  <si>
    <t>C-24042</t>
  </si>
  <si>
    <r>
      <t xml:space="preserve">(450)FOX   </t>
    </r>
    <r>
      <rPr>
        <b/>
        <sz val="12"/>
        <color rgb="FFFF0000"/>
        <rFont val="Calibri"/>
        <family val="2"/>
        <scheme val="minor"/>
      </rPr>
      <t>CANCELADA</t>
    </r>
  </si>
  <si>
    <t>C-24043</t>
  </si>
  <si>
    <t>C-24044</t>
  </si>
  <si>
    <t>C-24045</t>
  </si>
  <si>
    <t>C-24046</t>
  </si>
  <si>
    <t>C-24047</t>
  </si>
  <si>
    <t>C-24048</t>
  </si>
  <si>
    <t>C-24049</t>
  </si>
  <si>
    <t>C-24050</t>
  </si>
  <si>
    <t>C-24051</t>
  </si>
  <si>
    <t>C-24052</t>
  </si>
  <si>
    <t>C-24053</t>
  </si>
  <si>
    <t>C-24054</t>
  </si>
  <si>
    <t>C-24055</t>
  </si>
  <si>
    <t>C-24056</t>
  </si>
  <si>
    <t>C-24057</t>
  </si>
  <si>
    <t>C-24058</t>
  </si>
  <si>
    <t>C-24059</t>
  </si>
  <si>
    <t>C-24060</t>
  </si>
  <si>
    <t>C-24061</t>
  </si>
  <si>
    <t>C-24062</t>
  </si>
  <si>
    <t>C-24063</t>
  </si>
  <si>
    <t>C-24064</t>
  </si>
  <si>
    <t>C-24065</t>
  </si>
  <si>
    <t>C-24066</t>
  </si>
  <si>
    <t>C-24067</t>
  </si>
  <si>
    <t>C-24068</t>
  </si>
  <si>
    <t>C-24069</t>
  </si>
  <si>
    <t>C-24070</t>
  </si>
  <si>
    <t>C-24071</t>
  </si>
  <si>
    <t>C-24072</t>
  </si>
  <si>
    <t>C-24073</t>
  </si>
  <si>
    <t>C-24074</t>
  </si>
  <si>
    <t>C-24075</t>
  </si>
  <si>
    <t>C-24076</t>
  </si>
  <si>
    <t>C-24077</t>
  </si>
  <si>
    <t>C-24078</t>
  </si>
  <si>
    <t>C-24079</t>
  </si>
  <si>
    <t>C-24080</t>
  </si>
  <si>
    <t>C-24081</t>
  </si>
  <si>
    <t>C-24082</t>
  </si>
  <si>
    <t>C-24083</t>
  </si>
  <si>
    <t>C-24084</t>
  </si>
  <si>
    <t>C-24085</t>
  </si>
  <si>
    <t>C-24086</t>
  </si>
  <si>
    <t>C-24087</t>
  </si>
  <si>
    <t>C-24088</t>
  </si>
  <si>
    <t>C-24089</t>
  </si>
  <si>
    <t>C-24090</t>
  </si>
  <si>
    <t>C-24091</t>
  </si>
  <si>
    <t>C-24092</t>
  </si>
  <si>
    <t>C-24093</t>
  </si>
  <si>
    <t>C-24094</t>
  </si>
  <si>
    <t>C-24095</t>
  </si>
  <si>
    <t>C-24096</t>
  </si>
  <si>
    <t>C-24097</t>
  </si>
  <si>
    <t>C-24098</t>
  </si>
  <si>
    <t>C-24099</t>
  </si>
  <si>
    <t>C-24100</t>
  </si>
  <si>
    <t>C-24101</t>
  </si>
  <si>
    <t>C-24102</t>
  </si>
  <si>
    <t>C-24103</t>
  </si>
  <si>
    <t>C-24104</t>
  </si>
  <si>
    <t>C-24105</t>
  </si>
  <si>
    <t>C-24106</t>
  </si>
  <si>
    <t>(635)GRUPO CARNICO AMERICA SA DE CV</t>
  </si>
  <si>
    <t>C-24107</t>
  </si>
  <si>
    <t>C-24108</t>
  </si>
  <si>
    <t>C-24109</t>
  </si>
  <si>
    <t>C-24110</t>
  </si>
  <si>
    <t>C-24111</t>
  </si>
  <si>
    <t>C-24112</t>
  </si>
  <si>
    <t>C-24113</t>
  </si>
  <si>
    <t>C-24114</t>
  </si>
  <si>
    <t>C-24115</t>
  </si>
  <si>
    <t>C-24116</t>
  </si>
  <si>
    <t>C-24117</t>
  </si>
  <si>
    <t>C-24118</t>
  </si>
  <si>
    <t>C-24119</t>
  </si>
  <si>
    <t>C-24120</t>
  </si>
  <si>
    <r>
      <t xml:space="preserve">(137)HARBANO  </t>
    </r>
    <r>
      <rPr>
        <b/>
        <sz val="12"/>
        <color rgb="FFFF0000"/>
        <rFont val="Calibri"/>
        <family val="2"/>
        <scheme val="minor"/>
      </rPr>
      <t>CANCELADA</t>
    </r>
  </si>
  <si>
    <t>C-24121</t>
  </si>
  <si>
    <t>C-24122</t>
  </si>
  <si>
    <t>C-24123</t>
  </si>
  <si>
    <t>C-24124</t>
  </si>
  <si>
    <t>C-24125</t>
  </si>
  <si>
    <t>C-24126</t>
  </si>
  <si>
    <t>C-24127</t>
  </si>
  <si>
    <t>C-24128</t>
  </si>
  <si>
    <t>C-24129</t>
  </si>
  <si>
    <t>C-24130</t>
  </si>
  <si>
    <t>C-24131</t>
  </si>
  <si>
    <t>C-24132</t>
  </si>
  <si>
    <t>C-24133</t>
  </si>
  <si>
    <t>31-May-22--1-Jun-22</t>
  </si>
  <si>
    <t>30-May-22--1-Jun-22</t>
  </si>
  <si>
    <t>CON DOCUMENTO</t>
  </si>
  <si>
    <t>26-May-22--2-Jun-22</t>
  </si>
  <si>
    <t>1-Jun-22--2-Jun-22</t>
  </si>
  <si>
    <t>27-May-22--3-Jun-22</t>
  </si>
  <si>
    <t>6-Jun-22--8-Jul-22</t>
  </si>
  <si>
    <t>25-May-22---10-Jun-22</t>
  </si>
  <si>
    <t>3-Jun-22--10-Jun-22</t>
  </si>
  <si>
    <t>28-May-22--23-Jun-222--------</t>
  </si>
  <si>
    <t>13-Jun-22--29-Jun-22</t>
  </si>
  <si>
    <t>C-24134</t>
  </si>
  <si>
    <t>2-Jun-22--3-Jun-22</t>
  </si>
  <si>
    <t>C-24135</t>
  </si>
  <si>
    <t>C-24136</t>
  </si>
  <si>
    <t>C-24137</t>
  </si>
  <si>
    <t>C-24138</t>
  </si>
  <si>
    <t>C-24139</t>
  </si>
  <si>
    <t>C-24140</t>
  </si>
  <si>
    <t>C-24141</t>
  </si>
  <si>
    <t>C-24142</t>
  </si>
  <si>
    <t>C-24143</t>
  </si>
  <si>
    <t>3-Jun-22--4-Jun-22</t>
  </si>
  <si>
    <t>C-24144</t>
  </si>
  <si>
    <t>C-24145</t>
  </si>
  <si>
    <t>C-24146</t>
  </si>
  <si>
    <t>C-24147</t>
  </si>
  <si>
    <t>C-24148</t>
  </si>
  <si>
    <t>C-24149</t>
  </si>
  <si>
    <t>C-24150</t>
  </si>
  <si>
    <t>C-24151</t>
  </si>
  <si>
    <t>C-24152</t>
  </si>
  <si>
    <t>C-24153</t>
  </si>
  <si>
    <t>C-24154</t>
  </si>
  <si>
    <t>C-24155</t>
  </si>
  <si>
    <t>C-24156</t>
  </si>
  <si>
    <t>C-24157</t>
  </si>
  <si>
    <t>C-24158</t>
  </si>
  <si>
    <t>C-24159</t>
  </si>
  <si>
    <t>C-24160</t>
  </si>
  <si>
    <t>C-24161</t>
  </si>
  <si>
    <t>C-24162</t>
  </si>
  <si>
    <t>C-24163</t>
  </si>
  <si>
    <t>C-24164</t>
  </si>
  <si>
    <t>C-24165</t>
  </si>
  <si>
    <t>C-24166</t>
  </si>
  <si>
    <t>C-24167</t>
  </si>
  <si>
    <t>C-24168</t>
  </si>
  <si>
    <t>C-24169</t>
  </si>
  <si>
    <t>C-24170</t>
  </si>
  <si>
    <t>C-24171</t>
  </si>
  <si>
    <t>C-24172</t>
  </si>
  <si>
    <t>C-24173</t>
  </si>
  <si>
    <t>C-24174</t>
  </si>
  <si>
    <t>C-24175</t>
  </si>
  <si>
    <t>C-24176</t>
  </si>
  <si>
    <t>C-24177</t>
  </si>
  <si>
    <t>C-24178</t>
  </si>
  <si>
    <t>C-24179</t>
  </si>
  <si>
    <t>C-24180</t>
  </si>
  <si>
    <t>C-24181</t>
  </si>
  <si>
    <t>C-24182</t>
  </si>
  <si>
    <t>C-24183</t>
  </si>
  <si>
    <t>C-24184</t>
  </si>
  <si>
    <t>C-24185</t>
  </si>
  <si>
    <t>C-24186</t>
  </si>
  <si>
    <t>C-24187</t>
  </si>
  <si>
    <t>C-24188</t>
  </si>
  <si>
    <t>C-24189</t>
  </si>
  <si>
    <t>C-24190</t>
  </si>
  <si>
    <t>C-24191</t>
  </si>
  <si>
    <t>10-Jun-22--17-Jun-22</t>
  </si>
  <si>
    <t>C-24192</t>
  </si>
  <si>
    <t>C-24193</t>
  </si>
  <si>
    <t>C-24194</t>
  </si>
  <si>
    <t>C-24195</t>
  </si>
  <si>
    <t>C-24196</t>
  </si>
  <si>
    <t>C-24197</t>
  </si>
  <si>
    <t>C-24198</t>
  </si>
  <si>
    <t>C-24199</t>
  </si>
  <si>
    <t>C-24200</t>
  </si>
  <si>
    <t>C-24201</t>
  </si>
  <si>
    <r>
      <t xml:space="preserve">(618)CORAZON DE BRASIL SANTA 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</si>
  <si>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C-24202</t>
  </si>
  <si>
    <t>C-24203</t>
  </si>
  <si>
    <t>C-24204</t>
  </si>
  <si>
    <t>C-24205</t>
  </si>
  <si>
    <t>C-24206</t>
  </si>
  <si>
    <t>C-24207</t>
  </si>
  <si>
    <t>C-24208</t>
  </si>
  <si>
    <t>C-24209</t>
  </si>
  <si>
    <t>C-24210</t>
  </si>
  <si>
    <t>C-24211</t>
  </si>
  <si>
    <t>C-24212</t>
  </si>
  <si>
    <t>C-24213</t>
  </si>
  <si>
    <t>C-24214</t>
  </si>
  <si>
    <t>C-24215</t>
  </si>
  <si>
    <t>C-24216</t>
  </si>
  <si>
    <t>C-24217</t>
  </si>
  <si>
    <t>C-24218</t>
  </si>
  <si>
    <t>C-24219</t>
  </si>
  <si>
    <t>C-24220</t>
  </si>
  <si>
    <t>C-24221</t>
  </si>
  <si>
    <t>C-24222</t>
  </si>
  <si>
    <t>C-24223</t>
  </si>
  <si>
    <t>C-24224</t>
  </si>
  <si>
    <t>C-24225</t>
  </si>
  <si>
    <t>C-24226</t>
  </si>
  <si>
    <t>C-24227</t>
  </si>
  <si>
    <t>C-24228</t>
  </si>
  <si>
    <t>C-24229</t>
  </si>
  <si>
    <t>C-24230</t>
  </si>
  <si>
    <t>C-24231</t>
  </si>
  <si>
    <t>C-24232</t>
  </si>
  <si>
    <t>C-24233</t>
  </si>
  <si>
    <t>C-24234</t>
  </si>
  <si>
    <t>C-24235</t>
  </si>
  <si>
    <t>C-24236</t>
  </si>
  <si>
    <t>C-24237</t>
  </si>
  <si>
    <t>C-24238</t>
  </si>
  <si>
    <t>C-24239</t>
  </si>
  <si>
    <t>C-24240</t>
  </si>
  <si>
    <t>C-24241</t>
  </si>
  <si>
    <t>C-24242</t>
  </si>
  <si>
    <t>C-24243</t>
  </si>
  <si>
    <t>C-24244</t>
  </si>
  <si>
    <t>C-24245</t>
  </si>
  <si>
    <t>C-24246</t>
  </si>
  <si>
    <t>C-24247</t>
  </si>
  <si>
    <t>C-24248</t>
  </si>
  <si>
    <t>C-24249</t>
  </si>
  <si>
    <t>C-24250</t>
  </si>
  <si>
    <t>C-24251</t>
  </si>
  <si>
    <t>C-24252</t>
  </si>
  <si>
    <t>C-24253</t>
  </si>
  <si>
    <t>C-24254</t>
  </si>
  <si>
    <t>C-24255</t>
  </si>
  <si>
    <t>C-24256</t>
  </si>
  <si>
    <t>C-24257</t>
  </si>
  <si>
    <t>C-24258</t>
  </si>
  <si>
    <t>C-24259</t>
  </si>
  <si>
    <t>C-24260</t>
  </si>
  <si>
    <t>C-24261</t>
  </si>
  <si>
    <t>C-24262</t>
  </si>
  <si>
    <t>C-24263</t>
  </si>
  <si>
    <t>C-24264</t>
  </si>
  <si>
    <t>C-24265</t>
  </si>
  <si>
    <t>C-24266</t>
  </si>
  <si>
    <t>C-24267</t>
  </si>
  <si>
    <t>C-24268</t>
  </si>
  <si>
    <t>C-24269</t>
  </si>
  <si>
    <t>C-24270</t>
  </si>
  <si>
    <t>C-24271</t>
  </si>
  <si>
    <t>C-24272</t>
  </si>
  <si>
    <t>C-24273</t>
  </si>
  <si>
    <r>
      <t>(374)FRANCISCO (ROMERO VARGAS)</t>
    </r>
    <r>
      <rPr>
        <b/>
        <sz val="12"/>
        <color rgb="FFFF0000"/>
        <rFont val="Calibri"/>
        <family val="2"/>
        <scheme val="minor"/>
      </rPr>
      <t xml:space="preserve">  CANCELADA</t>
    </r>
  </si>
  <si>
    <t>C-24274</t>
  </si>
  <si>
    <r>
      <t xml:space="preserve">(412)LUIS LUNA  </t>
    </r>
    <r>
      <rPr>
        <b/>
        <sz val="12"/>
        <color rgb="FFFF0000"/>
        <rFont val="Calibri"/>
        <family val="2"/>
        <scheme val="minor"/>
      </rPr>
      <t>CANCELADA</t>
    </r>
  </si>
  <si>
    <t>C-24275</t>
  </si>
  <si>
    <t>C-24276</t>
  </si>
  <si>
    <t>C-24277</t>
  </si>
  <si>
    <t>C-24278</t>
  </si>
  <si>
    <t>C-24279</t>
  </si>
  <si>
    <t>C-24280</t>
  </si>
  <si>
    <t>C-24281</t>
  </si>
  <si>
    <t>C-24282</t>
  </si>
  <si>
    <t>C-24283</t>
  </si>
  <si>
    <t>C-24284</t>
  </si>
  <si>
    <t>C-24285</t>
  </si>
  <si>
    <t>C-24286</t>
  </si>
  <si>
    <t>C-24287</t>
  </si>
  <si>
    <t>C-24288</t>
  </si>
  <si>
    <t>C-24289</t>
  </si>
  <si>
    <r>
      <t xml:space="preserve">(244)MARIA LUISA  AGUILAR  </t>
    </r>
    <r>
      <rPr>
        <b/>
        <sz val="12"/>
        <color rgb="FFFF0000"/>
        <rFont val="Calibri"/>
        <family val="2"/>
        <scheme val="minor"/>
      </rPr>
      <t>CANCELADA</t>
    </r>
  </si>
  <si>
    <t>se sustituyo x la C24290--C-24291</t>
  </si>
  <si>
    <t>C-24290</t>
  </si>
  <si>
    <t>C-24291</t>
  </si>
  <si>
    <t>C-24292</t>
  </si>
  <si>
    <t>C-24293</t>
  </si>
  <si>
    <r>
      <t>(788)RUBEN SAUCEDO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</si>
  <si>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C-24295</t>
  </si>
  <si>
    <t>C-24294</t>
  </si>
  <si>
    <t>C-24295</t>
  </si>
  <si>
    <t>C-24296</t>
  </si>
  <si>
    <t>C-24297</t>
  </si>
  <si>
    <t>C-24298</t>
  </si>
  <si>
    <t>C-24299</t>
  </si>
  <si>
    <t>C-24300</t>
  </si>
  <si>
    <t>C-24301</t>
  </si>
  <si>
    <t>C-24302</t>
  </si>
  <si>
    <t>C-24303</t>
  </si>
  <si>
    <t>C-24304</t>
  </si>
  <si>
    <t>C-24305</t>
  </si>
  <si>
    <t>C-24306</t>
  </si>
  <si>
    <t>C-24307</t>
  </si>
  <si>
    <t>C-24308</t>
  </si>
  <si>
    <t>C-24309</t>
  </si>
  <si>
    <t>C-24310</t>
  </si>
  <si>
    <t>C-24311</t>
  </si>
  <si>
    <t>C-24312</t>
  </si>
  <si>
    <t>C-24313</t>
  </si>
  <si>
    <t>C-24314</t>
  </si>
  <si>
    <t>C-24315</t>
  </si>
  <si>
    <t>C-24316</t>
  </si>
  <si>
    <t>C-24317</t>
  </si>
  <si>
    <t>C-24318</t>
  </si>
  <si>
    <t>C-24319</t>
  </si>
  <si>
    <t>C-24320</t>
  </si>
  <si>
    <t>C-24321</t>
  </si>
  <si>
    <t>C-24322</t>
  </si>
  <si>
    <t>C-24323</t>
  </si>
  <si>
    <t>C-24324</t>
  </si>
  <si>
    <t>C-24325</t>
  </si>
  <si>
    <t>C-24326</t>
  </si>
  <si>
    <t>C-24327</t>
  </si>
  <si>
    <r>
      <t xml:space="preserve">(110)SAGRADO CORAZON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</si>
  <si>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C-24328</t>
  </si>
  <si>
    <t>C-24329</t>
  </si>
  <si>
    <t>C-24330</t>
  </si>
  <si>
    <t>C-24331</t>
  </si>
  <si>
    <t>C-24332</t>
  </si>
  <si>
    <t>C-24333</t>
  </si>
  <si>
    <t>C-24334</t>
  </si>
  <si>
    <t>C-24335</t>
  </si>
  <si>
    <t>C-24336</t>
  </si>
  <si>
    <t>C-24337</t>
  </si>
  <si>
    <t>C-24338</t>
  </si>
  <si>
    <t>C-24339</t>
  </si>
  <si>
    <t>C-24340</t>
  </si>
  <si>
    <t>C-24341</t>
  </si>
  <si>
    <t>C-24342</t>
  </si>
  <si>
    <t>C-24343</t>
  </si>
  <si>
    <t>C-24344</t>
  </si>
  <si>
    <t>C-24345</t>
  </si>
  <si>
    <t>C-24346</t>
  </si>
  <si>
    <t>C-24347</t>
  </si>
  <si>
    <t>C-24348</t>
  </si>
  <si>
    <t>C-24349</t>
  </si>
  <si>
    <t>C-24350</t>
  </si>
  <si>
    <t>C-24351</t>
  </si>
  <si>
    <t>C-24352</t>
  </si>
  <si>
    <t>C-24353</t>
  </si>
  <si>
    <t>C-24354</t>
  </si>
  <si>
    <t>C-24355</t>
  </si>
  <si>
    <t>C-24356</t>
  </si>
  <si>
    <t>C-24357</t>
  </si>
  <si>
    <t>C-24358</t>
  </si>
  <si>
    <t>C-24359</t>
  </si>
  <si>
    <t>C-24360</t>
  </si>
  <si>
    <t>C-24361</t>
  </si>
  <si>
    <t>C-24362</t>
  </si>
  <si>
    <t>C-24363</t>
  </si>
  <si>
    <t>C-24364</t>
  </si>
  <si>
    <t>C-24365</t>
  </si>
  <si>
    <t>C-24366</t>
  </si>
  <si>
    <t>C-24367</t>
  </si>
  <si>
    <t>C-24368</t>
  </si>
  <si>
    <t>C-24369</t>
  </si>
  <si>
    <t>C-24370</t>
  </si>
  <si>
    <t>C-24371</t>
  </si>
  <si>
    <t>4-Jun-22--5-Jun-22</t>
  </si>
  <si>
    <t>C-24372</t>
  </si>
  <si>
    <t>C-24373</t>
  </si>
  <si>
    <t>C-24374</t>
  </si>
  <si>
    <t>C-24375</t>
  </si>
  <si>
    <t>C-24376</t>
  </si>
  <si>
    <t>C-24377</t>
  </si>
  <si>
    <t>C-24378</t>
  </si>
  <si>
    <t>C-24379</t>
  </si>
  <si>
    <t>C-24380</t>
  </si>
  <si>
    <t>C-24381</t>
  </si>
  <si>
    <r>
      <t xml:space="preserve">(138)FERNANDO DEL 5 DE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</si>
  <si>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C-24467</t>
  </si>
  <si>
    <t>C-24382</t>
  </si>
  <si>
    <t>C-24383</t>
  </si>
  <si>
    <t>C-24384</t>
  </si>
  <si>
    <t>4-Jun-22--7-Jun-22</t>
  </si>
  <si>
    <t>C-24385</t>
  </si>
  <si>
    <t>C-24386</t>
  </si>
  <si>
    <t>C-24387</t>
  </si>
  <si>
    <t>C-24388</t>
  </si>
  <si>
    <t>C-24389</t>
  </si>
  <si>
    <t>C-24390</t>
  </si>
  <si>
    <t>C-24391</t>
  </si>
  <si>
    <t>C-24392</t>
  </si>
  <si>
    <t>C-24393</t>
  </si>
  <si>
    <t>C-24394</t>
  </si>
  <si>
    <t>C-24395</t>
  </si>
  <si>
    <t>C-24396</t>
  </si>
  <si>
    <t>C-24397</t>
  </si>
  <si>
    <t>C-24398</t>
  </si>
  <si>
    <t>C-24399</t>
  </si>
  <si>
    <t>C-24400</t>
  </si>
  <si>
    <t>C-24401</t>
  </si>
  <si>
    <t>C-24402</t>
  </si>
  <si>
    <t>C-24403</t>
  </si>
  <si>
    <t>C-24404</t>
  </si>
  <si>
    <t>C-24405</t>
  </si>
  <si>
    <t>C-24406</t>
  </si>
  <si>
    <t>C-24407</t>
  </si>
  <si>
    <t>C-24408</t>
  </si>
  <si>
    <t>C-24409</t>
  </si>
  <si>
    <t>C-24410</t>
  </si>
  <si>
    <t>C-24411</t>
  </si>
  <si>
    <t>C-24412</t>
  </si>
  <si>
    <t>C-24413</t>
  </si>
  <si>
    <t>C-24414</t>
  </si>
  <si>
    <t>C-24415</t>
  </si>
  <si>
    <t>C-24416</t>
  </si>
  <si>
    <t>C-24417</t>
  </si>
  <si>
    <t>C-24418</t>
  </si>
  <si>
    <t>C-24419</t>
  </si>
  <si>
    <t>C-24420</t>
  </si>
  <si>
    <t>C-24421</t>
  </si>
  <si>
    <t>C-24422</t>
  </si>
  <si>
    <t>C-24423</t>
  </si>
  <si>
    <t>C-24424</t>
  </si>
  <si>
    <t>C-24425</t>
  </si>
  <si>
    <t>C-24426</t>
  </si>
  <si>
    <t>C-24427</t>
  </si>
  <si>
    <t>C-24428</t>
  </si>
  <si>
    <t>C-24429</t>
  </si>
  <si>
    <t>C-24430</t>
  </si>
  <si>
    <t>C-24431</t>
  </si>
  <si>
    <t>C-24432</t>
  </si>
  <si>
    <t>C-24433</t>
  </si>
  <si>
    <t>C-24434</t>
  </si>
  <si>
    <t>C-24435</t>
  </si>
  <si>
    <t>C-24436</t>
  </si>
  <si>
    <t>C-24437</t>
  </si>
  <si>
    <t>C-24438</t>
  </si>
  <si>
    <t>C-24439</t>
  </si>
  <si>
    <t>C-24440</t>
  </si>
  <si>
    <t>C-24441</t>
  </si>
  <si>
    <t>C-24442</t>
  </si>
  <si>
    <t>C-24443</t>
  </si>
  <si>
    <t>C-24444</t>
  </si>
  <si>
    <t>C-24445</t>
  </si>
  <si>
    <t>C-24446</t>
  </si>
  <si>
    <t>C-24447</t>
  </si>
  <si>
    <t>C-24448</t>
  </si>
  <si>
    <t>C-24449</t>
  </si>
  <si>
    <t>C-24450</t>
  </si>
  <si>
    <t>C-24451</t>
  </si>
  <si>
    <t>C-24452</t>
  </si>
  <si>
    <t>C-24453</t>
  </si>
  <si>
    <t>C-24454</t>
  </si>
  <si>
    <t>C-24455</t>
  </si>
  <si>
    <t>C-24456</t>
  </si>
  <si>
    <t>C-24457</t>
  </si>
  <si>
    <t>C-24458</t>
  </si>
  <si>
    <t>C-24459</t>
  </si>
  <si>
    <t>C-24460</t>
  </si>
  <si>
    <t>C-24461</t>
  </si>
  <si>
    <t>C-24462</t>
  </si>
  <si>
    <t>C-24463</t>
  </si>
  <si>
    <t>C-24464</t>
  </si>
  <si>
    <t>C-24465</t>
  </si>
  <si>
    <t>C-24466</t>
  </si>
  <si>
    <r>
      <t xml:space="preserve">(138)FERNANDO DEL 5 DE MAYO  </t>
    </r>
    <r>
      <rPr>
        <b/>
        <sz val="12"/>
        <color rgb="FFFF0000"/>
        <rFont val="Calibri"/>
        <family val="2"/>
        <scheme val="minor"/>
      </rPr>
      <t>CANCELADA</t>
    </r>
  </si>
  <si>
    <t>C-24467</t>
  </si>
  <si>
    <t>C-24468</t>
  </si>
  <si>
    <t>C-24469</t>
  </si>
  <si>
    <t>C-24470</t>
  </si>
  <si>
    <t>C-24471</t>
  </si>
  <si>
    <t>C-24472</t>
  </si>
  <si>
    <t>C-24473</t>
  </si>
  <si>
    <t>C-24474</t>
  </si>
  <si>
    <t>C-24475</t>
  </si>
  <si>
    <t>C-24476</t>
  </si>
  <si>
    <t>C-24477</t>
  </si>
  <si>
    <t>C-24478</t>
  </si>
  <si>
    <t>C-24479</t>
  </si>
  <si>
    <t>C-24480</t>
  </si>
  <si>
    <t>4-Jun-22--6-Jun-22</t>
  </si>
  <si>
    <t>C-24481</t>
  </si>
  <si>
    <t>C-24482</t>
  </si>
  <si>
    <t>C-24483</t>
  </si>
  <si>
    <t>C-24484</t>
  </si>
  <si>
    <t>C-24485</t>
  </si>
  <si>
    <t>C-24486</t>
  </si>
  <si>
    <t>C-24487</t>
  </si>
  <si>
    <t>C-24488</t>
  </si>
  <si>
    <t>C-24489</t>
  </si>
  <si>
    <t>C-24490</t>
  </si>
  <si>
    <t>C-24491</t>
  </si>
  <si>
    <t>C-24492</t>
  </si>
  <si>
    <t>100-6</t>
  </si>
  <si>
    <t>C-24493</t>
  </si>
  <si>
    <t>C-24494</t>
  </si>
  <si>
    <t>C-24495</t>
  </si>
  <si>
    <t>C-24496</t>
  </si>
  <si>
    <t>C-24497</t>
  </si>
  <si>
    <t>C-24498</t>
  </si>
  <si>
    <t>C-24499</t>
  </si>
  <si>
    <t>C-24500</t>
  </si>
  <si>
    <t>C-24501</t>
  </si>
  <si>
    <t>5-jun-22--6-Jun-22</t>
  </si>
  <si>
    <t>C-24502</t>
  </si>
  <si>
    <t>C-24503</t>
  </si>
  <si>
    <t>C-24504</t>
  </si>
  <si>
    <t>C-24505</t>
  </si>
  <si>
    <r>
      <t xml:space="preserve">(472)GUILLERMINA ZOQUIAPAN   </t>
    </r>
    <r>
      <rPr>
        <b/>
        <sz val="12"/>
        <color rgb="FFFF0000"/>
        <rFont val="Calibri"/>
        <family val="2"/>
        <scheme val="minor"/>
      </rPr>
      <t>CANCELADA</t>
    </r>
  </si>
  <si>
    <t>C-24506</t>
  </si>
  <si>
    <t>C-24507</t>
  </si>
  <si>
    <t>C-24508</t>
  </si>
  <si>
    <t>C-24509</t>
  </si>
  <si>
    <t>C-24510</t>
  </si>
  <si>
    <t>C-24511</t>
  </si>
  <si>
    <t>C-24512</t>
  </si>
  <si>
    <t>C-24513</t>
  </si>
  <si>
    <t>C-24514</t>
  </si>
  <si>
    <t>C-24515</t>
  </si>
  <si>
    <t>C-24516</t>
  </si>
  <si>
    <t>C-24517</t>
  </si>
  <si>
    <t>C-24518</t>
  </si>
  <si>
    <t>C-24519</t>
  </si>
  <si>
    <t>C-24520</t>
  </si>
  <si>
    <t>C-24521</t>
  </si>
  <si>
    <t>C-24522</t>
  </si>
  <si>
    <t>10-Jun-22--12-Jun-22</t>
  </si>
  <si>
    <t>C-24523</t>
  </si>
  <si>
    <t>C-24524</t>
  </si>
  <si>
    <t>C-24525</t>
  </si>
  <si>
    <t>C-24526</t>
  </si>
  <si>
    <t>C-24527</t>
  </si>
  <si>
    <t>7-Jun-22--9-Jun-22</t>
  </si>
  <si>
    <t>C-24528</t>
  </si>
  <si>
    <t>C-24529</t>
  </si>
  <si>
    <t>C-24530</t>
  </si>
  <si>
    <t>C-24531</t>
  </si>
  <si>
    <t>C-24532</t>
  </si>
  <si>
    <t>C-24533</t>
  </si>
  <si>
    <t>C-24534</t>
  </si>
  <si>
    <t>C-24535</t>
  </si>
  <si>
    <t>C-24536</t>
  </si>
  <si>
    <t>C-24537</t>
  </si>
  <si>
    <t>C-24538</t>
  </si>
  <si>
    <t>C-24539</t>
  </si>
  <si>
    <t>C-24540</t>
  </si>
  <si>
    <t>C-24541</t>
  </si>
  <si>
    <t>C-24542</t>
  </si>
  <si>
    <t>C-24543</t>
  </si>
  <si>
    <t>C-24544</t>
  </si>
  <si>
    <t>C-24545</t>
  </si>
  <si>
    <t>C-24546</t>
  </si>
  <si>
    <t>C-24547</t>
  </si>
  <si>
    <t>C-24548</t>
  </si>
  <si>
    <t>C-24549</t>
  </si>
  <si>
    <t>C-24550</t>
  </si>
  <si>
    <t>C-24551</t>
  </si>
  <si>
    <t>C-24552</t>
  </si>
  <si>
    <t>C-24553</t>
  </si>
  <si>
    <t>C-24554</t>
  </si>
  <si>
    <t>C-24555</t>
  </si>
  <si>
    <t>C-24556</t>
  </si>
  <si>
    <t>C-24557</t>
  </si>
  <si>
    <t>C-24558</t>
  </si>
  <si>
    <t>C-24559</t>
  </si>
  <si>
    <t>C-24560</t>
  </si>
  <si>
    <t>C-24561</t>
  </si>
  <si>
    <t>C-24562</t>
  </si>
  <si>
    <t>C-24563</t>
  </si>
  <si>
    <t>C-24564</t>
  </si>
  <si>
    <t>C-24565</t>
  </si>
  <si>
    <t>C-24566</t>
  </si>
  <si>
    <t>C-24567</t>
  </si>
  <si>
    <t>C-24568</t>
  </si>
  <si>
    <t>C-24569</t>
  </si>
  <si>
    <t>C-24570</t>
  </si>
  <si>
    <t>C-24571</t>
  </si>
  <si>
    <t>C-24572</t>
  </si>
  <si>
    <t>C-24573</t>
  </si>
  <si>
    <t>C-24574</t>
  </si>
  <si>
    <t>C-24575</t>
  </si>
  <si>
    <t>C-24576</t>
  </si>
  <si>
    <t>C-24577</t>
  </si>
  <si>
    <t>C-24578</t>
  </si>
  <si>
    <t>C-24579</t>
  </si>
  <si>
    <t>C-24580</t>
  </si>
  <si>
    <t>C-24581</t>
  </si>
  <si>
    <t>C-24582</t>
  </si>
  <si>
    <t>C-24583</t>
  </si>
  <si>
    <t>C-24584</t>
  </si>
  <si>
    <t>C-24585</t>
  </si>
  <si>
    <t>C-24586</t>
  </si>
  <si>
    <r>
      <t xml:space="preserve">(826)LUIS ALBERTO SERRANO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</si>
  <si>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C-24587</t>
  </si>
  <si>
    <t>C-24587</t>
  </si>
  <si>
    <t>C-24588</t>
  </si>
  <si>
    <r>
      <t>(71)ARCADIO LEDO RAMIREZ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</si>
  <si>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C-24589</t>
  </si>
  <si>
    <t>C-24589</t>
  </si>
  <si>
    <t>C-24590</t>
  </si>
  <si>
    <t>C-24591</t>
  </si>
  <si>
    <t>C-24592</t>
  </si>
  <si>
    <t>C-24593</t>
  </si>
  <si>
    <t>C-24594</t>
  </si>
  <si>
    <t>C-24595</t>
  </si>
  <si>
    <t>C-24596</t>
  </si>
  <si>
    <t>C-24597</t>
  </si>
  <si>
    <t>C-24598</t>
  </si>
  <si>
    <t>C-24599</t>
  </si>
  <si>
    <t>C-24600</t>
  </si>
  <si>
    <t>C-24601</t>
  </si>
  <si>
    <r>
      <t xml:space="preserve">(363)ADRIAN JUAREZ  </t>
    </r>
    <r>
      <rPr>
        <b/>
        <sz val="12"/>
        <color rgb="FFFF0000"/>
        <rFont val="Calibri"/>
        <family val="2"/>
        <scheme val="minor"/>
      </rPr>
      <t>CANCELADA</t>
    </r>
  </si>
  <si>
    <t>se sustituyo x la  C-24604</t>
  </si>
  <si>
    <t>C-24602</t>
  </si>
  <si>
    <t>C-24603</t>
  </si>
  <si>
    <t>C-24604</t>
  </si>
  <si>
    <t>C-24605</t>
  </si>
  <si>
    <t>C-24606</t>
  </si>
  <si>
    <t>C-24607</t>
  </si>
  <si>
    <t>C-24608</t>
  </si>
  <si>
    <t>C-24609</t>
  </si>
  <si>
    <t>C-24610</t>
  </si>
  <si>
    <t>C-24611</t>
  </si>
  <si>
    <t>C-24612</t>
  </si>
  <si>
    <t>C-24613</t>
  </si>
  <si>
    <t>C-24614</t>
  </si>
  <si>
    <t>C-24615</t>
  </si>
  <si>
    <t>C-24616</t>
  </si>
  <si>
    <t>C-24617</t>
  </si>
  <si>
    <t>C-24618</t>
  </si>
  <si>
    <t>C-24619</t>
  </si>
  <si>
    <t>C-24620</t>
  </si>
  <si>
    <t>C-24621</t>
  </si>
  <si>
    <t>C-24622</t>
  </si>
  <si>
    <t>C-24623</t>
  </si>
  <si>
    <t>C-24624</t>
  </si>
  <si>
    <t>C-24625</t>
  </si>
  <si>
    <t>C-24626</t>
  </si>
  <si>
    <t>C-24627</t>
  </si>
  <si>
    <t>C-24628</t>
  </si>
  <si>
    <t>C-24629</t>
  </si>
  <si>
    <t>C-24630</t>
  </si>
  <si>
    <t>C-24631</t>
  </si>
  <si>
    <t>C-24632</t>
  </si>
  <si>
    <t>C-24633</t>
  </si>
  <si>
    <t>C-24634</t>
  </si>
  <si>
    <t>C-24635</t>
  </si>
  <si>
    <t>C-24636</t>
  </si>
  <si>
    <t>C-24637</t>
  </si>
  <si>
    <t>C-24638</t>
  </si>
  <si>
    <t>C-24639</t>
  </si>
  <si>
    <t>C-24640</t>
  </si>
  <si>
    <t>C-24641</t>
  </si>
  <si>
    <t>C-24642</t>
  </si>
  <si>
    <t>C-24643</t>
  </si>
  <si>
    <t>C-24644</t>
  </si>
  <si>
    <t>C-24645</t>
  </si>
  <si>
    <t>C-24646</t>
  </si>
  <si>
    <t>C-24647</t>
  </si>
  <si>
    <t>C-24648</t>
  </si>
  <si>
    <t>6-Jun-22--7-Jun-22</t>
  </si>
  <si>
    <t>C-24649</t>
  </si>
  <si>
    <t>C-24650</t>
  </si>
  <si>
    <t>C-24651</t>
  </si>
  <si>
    <t>C-24652</t>
  </si>
  <si>
    <t>C-24653</t>
  </si>
  <si>
    <t>C-24654</t>
  </si>
  <si>
    <t>C-24655</t>
  </si>
  <si>
    <t>C-24656</t>
  </si>
  <si>
    <t>C-24657</t>
  </si>
  <si>
    <t>C-24658</t>
  </si>
  <si>
    <t>C-24659</t>
  </si>
  <si>
    <t>C-24660</t>
  </si>
  <si>
    <t>C-24661</t>
  </si>
  <si>
    <t>C-24662</t>
  </si>
  <si>
    <t>C-24663</t>
  </si>
  <si>
    <t>C-24664</t>
  </si>
  <si>
    <t>C-24665</t>
  </si>
  <si>
    <t>C-24666</t>
  </si>
  <si>
    <t>C-24667</t>
  </si>
  <si>
    <t>C-24668</t>
  </si>
  <si>
    <t>C-24669</t>
  </si>
  <si>
    <t>C-24670</t>
  </si>
  <si>
    <t>C-24671</t>
  </si>
  <si>
    <t>C-24672</t>
  </si>
  <si>
    <t>C-24673</t>
  </si>
  <si>
    <t>C-24674</t>
  </si>
  <si>
    <t>C-24675</t>
  </si>
  <si>
    <t>C-24676</t>
  </si>
  <si>
    <t>C-24677</t>
  </si>
  <si>
    <t>C-24678</t>
  </si>
  <si>
    <t>C-24679</t>
  </si>
  <si>
    <t>C-24680</t>
  </si>
  <si>
    <t>C-24681</t>
  </si>
  <si>
    <t>C-24682</t>
  </si>
  <si>
    <t>(148)ANTONIO HERNANDEZ</t>
  </si>
  <si>
    <t>C-24683</t>
  </si>
  <si>
    <t>C-24684</t>
  </si>
  <si>
    <t>C-24685</t>
  </si>
  <si>
    <t>C-24686</t>
  </si>
  <si>
    <t>C-24687</t>
  </si>
  <si>
    <t>C-24688</t>
  </si>
  <si>
    <t>C-24689</t>
  </si>
  <si>
    <t>C-24690</t>
  </si>
  <si>
    <t>C-24691</t>
  </si>
  <si>
    <t>C-24692</t>
  </si>
  <si>
    <t>C-24693</t>
  </si>
  <si>
    <t>C-24694</t>
  </si>
  <si>
    <t>(812)OSVALDO MANCILLA</t>
  </si>
  <si>
    <t>C-24695</t>
  </si>
  <si>
    <t>C-24696</t>
  </si>
  <si>
    <t>C-24697</t>
  </si>
  <si>
    <t>C-24698</t>
  </si>
  <si>
    <t>C-24699</t>
  </si>
  <si>
    <t>C-24700</t>
  </si>
  <si>
    <t>C-24701</t>
  </si>
  <si>
    <t>C-24702</t>
  </si>
  <si>
    <t>C-24703</t>
  </si>
  <si>
    <t>7-Jun-22--8-Jun-22--9-Jun-22</t>
  </si>
  <si>
    <t>C-24704</t>
  </si>
  <si>
    <t>C-24705</t>
  </si>
  <si>
    <t>C-24706</t>
  </si>
  <si>
    <t>C-24707</t>
  </si>
  <si>
    <t>C-24708</t>
  </si>
  <si>
    <t>C-24709</t>
  </si>
  <si>
    <t>C-24710</t>
  </si>
  <si>
    <t>C-24711</t>
  </si>
  <si>
    <t>C-24712</t>
  </si>
  <si>
    <t>C-24713</t>
  </si>
  <si>
    <t>C-24714</t>
  </si>
  <si>
    <t>C-24715</t>
  </si>
  <si>
    <t>C-24716</t>
  </si>
  <si>
    <t>C-24717</t>
  </si>
  <si>
    <t>C-24718</t>
  </si>
  <si>
    <t>C-24719</t>
  </si>
  <si>
    <t>C-24720</t>
  </si>
  <si>
    <t>7-Jun-22--8-Jun-22</t>
  </si>
  <si>
    <t>C-24721</t>
  </si>
  <si>
    <t>C-24722</t>
  </si>
  <si>
    <t>C-24723</t>
  </si>
  <si>
    <t>C-24724</t>
  </si>
  <si>
    <t>C-24725</t>
  </si>
  <si>
    <t>C-24726</t>
  </si>
  <si>
    <t>C-24727</t>
  </si>
  <si>
    <t>C-24728</t>
  </si>
  <si>
    <t>C-24729</t>
  </si>
  <si>
    <t>C-24730</t>
  </si>
  <si>
    <t>C-24731</t>
  </si>
  <si>
    <t>C-24732</t>
  </si>
  <si>
    <t>C-24733</t>
  </si>
  <si>
    <t>C-24734</t>
  </si>
  <si>
    <t>C-24735</t>
  </si>
  <si>
    <t>C-24736</t>
  </si>
  <si>
    <t>C-24737</t>
  </si>
  <si>
    <t>C-24738</t>
  </si>
  <si>
    <t>C-24739</t>
  </si>
  <si>
    <t>C-24740</t>
  </si>
  <si>
    <t>C-24741</t>
  </si>
  <si>
    <t>C-24742</t>
  </si>
  <si>
    <t>C-24743</t>
  </si>
  <si>
    <t>C-24744</t>
  </si>
  <si>
    <t>C-24745</t>
  </si>
  <si>
    <t>C-24746</t>
  </si>
  <si>
    <t>C-24747</t>
  </si>
  <si>
    <t>C-24748</t>
  </si>
  <si>
    <t>C-24749</t>
  </si>
  <si>
    <t>C-24750</t>
  </si>
  <si>
    <t>C-24751</t>
  </si>
  <si>
    <t>C-24752</t>
  </si>
  <si>
    <t>C-24753</t>
  </si>
  <si>
    <t>C-24754</t>
  </si>
  <si>
    <t>C-24755</t>
  </si>
  <si>
    <t>C-24756</t>
  </si>
  <si>
    <t>C-24757</t>
  </si>
  <si>
    <t>C-24758</t>
  </si>
  <si>
    <t>C-24759</t>
  </si>
  <si>
    <t>C-24760</t>
  </si>
  <si>
    <t>C-24761</t>
  </si>
  <si>
    <t>C-24762</t>
  </si>
  <si>
    <t>C-24763</t>
  </si>
  <si>
    <t>C-24764</t>
  </si>
  <si>
    <t>C-24765</t>
  </si>
  <si>
    <t>C-24766</t>
  </si>
  <si>
    <t>C-24767</t>
  </si>
  <si>
    <t>C-24768</t>
  </si>
  <si>
    <t>C-24769</t>
  </si>
  <si>
    <t>C-24770</t>
  </si>
  <si>
    <t>C-24771</t>
  </si>
  <si>
    <t>C-24772</t>
  </si>
  <si>
    <t>C-24773</t>
  </si>
  <si>
    <t>C-24774</t>
  </si>
  <si>
    <t>C-24775</t>
  </si>
  <si>
    <t>C-24776</t>
  </si>
  <si>
    <t>C-24777</t>
  </si>
  <si>
    <t>C-24778</t>
  </si>
  <si>
    <t>C-24779</t>
  </si>
  <si>
    <t>C-24780</t>
  </si>
  <si>
    <t>C-24781</t>
  </si>
  <si>
    <t>C-24782</t>
  </si>
  <si>
    <t>C-24783</t>
  </si>
  <si>
    <t>C-24784</t>
  </si>
  <si>
    <t>C-24785</t>
  </si>
  <si>
    <t>C-24786</t>
  </si>
  <si>
    <t>C-24787</t>
  </si>
  <si>
    <t>C-24788</t>
  </si>
  <si>
    <t>C-24789</t>
  </si>
  <si>
    <t>C-24790</t>
  </si>
  <si>
    <t>C-24791</t>
  </si>
  <si>
    <t>C-24792</t>
  </si>
  <si>
    <t>C-24793</t>
  </si>
  <si>
    <t>C-24794</t>
  </si>
  <si>
    <t>C-24795</t>
  </si>
  <si>
    <t>C-24796</t>
  </si>
  <si>
    <t>C-24797</t>
  </si>
  <si>
    <t>C-24798</t>
  </si>
  <si>
    <t>C-24799</t>
  </si>
  <si>
    <t>C-24800</t>
  </si>
  <si>
    <t>C-24801</t>
  </si>
  <si>
    <t>C-24802</t>
  </si>
  <si>
    <t>C-24803</t>
  </si>
  <si>
    <t>C-24804</t>
  </si>
  <si>
    <t>C-24805</t>
  </si>
  <si>
    <t>C-24806</t>
  </si>
  <si>
    <t>C-24807</t>
  </si>
  <si>
    <t>C-24808</t>
  </si>
  <si>
    <t>C-24809</t>
  </si>
  <si>
    <t>C-24810</t>
  </si>
  <si>
    <t>C-24811</t>
  </si>
  <si>
    <t>C-24812</t>
  </si>
  <si>
    <t>C-24813</t>
  </si>
  <si>
    <t>C-24814</t>
  </si>
  <si>
    <t>C-24815</t>
  </si>
  <si>
    <t>C-24816</t>
  </si>
  <si>
    <t>C-24817</t>
  </si>
  <si>
    <t>C-24818</t>
  </si>
  <si>
    <t>C-24819</t>
  </si>
  <si>
    <t>C-24820</t>
  </si>
  <si>
    <t>C-24821</t>
  </si>
  <si>
    <t>C-24822</t>
  </si>
  <si>
    <t>C-24823</t>
  </si>
  <si>
    <t>C-24824</t>
  </si>
  <si>
    <t>C-24825</t>
  </si>
  <si>
    <t>C-24826</t>
  </si>
  <si>
    <t>C-24827</t>
  </si>
  <si>
    <t>C-24828</t>
  </si>
  <si>
    <t>C-24829</t>
  </si>
  <si>
    <t>C-24830</t>
  </si>
  <si>
    <t>C-24831</t>
  </si>
  <si>
    <t>8-Jun-22--9-Jun-22</t>
  </si>
  <si>
    <t>C-24832</t>
  </si>
  <si>
    <t>C-24833</t>
  </si>
  <si>
    <t>C-24834</t>
  </si>
  <si>
    <t>C-24835</t>
  </si>
  <si>
    <t>C-24836</t>
  </si>
  <si>
    <t>C-24837</t>
  </si>
  <si>
    <t>C-24838</t>
  </si>
  <si>
    <t>C-24839</t>
  </si>
  <si>
    <t>C-24840</t>
  </si>
  <si>
    <t>C-24841</t>
  </si>
  <si>
    <t>C-24842</t>
  </si>
  <si>
    <t>C-24843</t>
  </si>
  <si>
    <t>C-24844</t>
  </si>
  <si>
    <t>C-24845</t>
  </si>
  <si>
    <t>C-24846</t>
  </si>
  <si>
    <t>C-24847</t>
  </si>
  <si>
    <t>C-24848</t>
  </si>
  <si>
    <t>C-24849</t>
  </si>
  <si>
    <t>C-24850</t>
  </si>
  <si>
    <t>C-24851</t>
  </si>
  <si>
    <t>C-24852</t>
  </si>
  <si>
    <t>C-24853</t>
  </si>
  <si>
    <t>C-24854</t>
  </si>
  <si>
    <t>C-24855</t>
  </si>
  <si>
    <t>C-24856</t>
  </si>
  <si>
    <t>C-24857</t>
  </si>
  <si>
    <t>C-24858</t>
  </si>
  <si>
    <t>C-24859</t>
  </si>
  <si>
    <t>C-24860</t>
  </si>
  <si>
    <t>C-24861</t>
  </si>
  <si>
    <t>C-24862</t>
  </si>
  <si>
    <t>C-24863</t>
  </si>
  <si>
    <t>C-24864</t>
  </si>
  <si>
    <t>C-24865</t>
  </si>
  <si>
    <t>C-24866</t>
  </si>
  <si>
    <t>C-24867</t>
  </si>
  <si>
    <t>C-24868</t>
  </si>
  <si>
    <t>C-24869</t>
  </si>
  <si>
    <t>C-24870</t>
  </si>
  <si>
    <t>C-24871</t>
  </si>
  <si>
    <t>C-24872</t>
  </si>
  <si>
    <t>C-24873</t>
  </si>
  <si>
    <t>C-24874</t>
  </si>
  <si>
    <t>C-24875</t>
  </si>
  <si>
    <t>C-24876</t>
  </si>
  <si>
    <t>C-24877</t>
  </si>
  <si>
    <t>C-24878</t>
  </si>
  <si>
    <t>C-24879</t>
  </si>
  <si>
    <t>C-24880</t>
  </si>
  <si>
    <t>C-24881</t>
  </si>
  <si>
    <t>C-24882</t>
  </si>
  <si>
    <t>C-24883</t>
  </si>
  <si>
    <t>C-24884</t>
  </si>
  <si>
    <t>C-24885</t>
  </si>
  <si>
    <t>C-24886</t>
  </si>
  <si>
    <t>C-24887</t>
  </si>
  <si>
    <t>C-24888</t>
  </si>
  <si>
    <t>C-24889</t>
  </si>
  <si>
    <t>C-24890</t>
  </si>
  <si>
    <t>C-24891</t>
  </si>
  <si>
    <t>C-24892</t>
  </si>
  <si>
    <t>C-24893</t>
  </si>
  <si>
    <t>C-24894</t>
  </si>
  <si>
    <t>C-24895</t>
  </si>
  <si>
    <t>C-24896</t>
  </si>
  <si>
    <t>C-24897</t>
  </si>
  <si>
    <t>C-24898</t>
  </si>
  <si>
    <t>C-24899</t>
  </si>
  <si>
    <t>C-24900</t>
  </si>
  <si>
    <t>C-24901</t>
  </si>
  <si>
    <t>C-24902</t>
  </si>
  <si>
    <t>C-24903</t>
  </si>
  <si>
    <t>C-24904</t>
  </si>
  <si>
    <t>C-24905</t>
  </si>
  <si>
    <t>C-24906</t>
  </si>
  <si>
    <t>C-24907</t>
  </si>
  <si>
    <t>C-24908</t>
  </si>
  <si>
    <t>C-24909</t>
  </si>
  <si>
    <t>C-24910</t>
  </si>
  <si>
    <t>C-24911</t>
  </si>
  <si>
    <t>C-24912</t>
  </si>
  <si>
    <t>C-24913</t>
  </si>
  <si>
    <t>C-24914</t>
  </si>
  <si>
    <t>C-24915</t>
  </si>
  <si>
    <t>C-24916</t>
  </si>
  <si>
    <t>C-24917</t>
  </si>
  <si>
    <t>C-24918</t>
  </si>
  <si>
    <t>C-24919</t>
  </si>
  <si>
    <t>C-24920</t>
  </si>
  <si>
    <t>C-24921</t>
  </si>
  <si>
    <t>C-24922</t>
  </si>
  <si>
    <t>9-Jun-22--10-Jun-22</t>
  </si>
  <si>
    <t>C-24923</t>
  </si>
  <si>
    <t>C-24924</t>
  </si>
  <si>
    <r>
      <t xml:space="preserve">(701)JULIO CESAR  GONZALEZ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</si>
  <si>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24925</t>
  </si>
  <si>
    <t>C-24925</t>
  </si>
  <si>
    <t>C-24926</t>
  </si>
  <si>
    <t>C-24927</t>
  </si>
  <si>
    <t>C-24928</t>
  </si>
  <si>
    <t>C-24929</t>
  </si>
  <si>
    <t>C-24930</t>
  </si>
  <si>
    <t>C-24931</t>
  </si>
  <si>
    <t>C-24932</t>
  </si>
  <si>
    <t>C-24933</t>
  </si>
  <si>
    <t>C-24934</t>
  </si>
  <si>
    <t>C-24935</t>
  </si>
  <si>
    <t>C-24936</t>
  </si>
  <si>
    <t>C-24937</t>
  </si>
  <si>
    <t>C-24938</t>
  </si>
  <si>
    <t>C-24939</t>
  </si>
  <si>
    <t>C-24940</t>
  </si>
  <si>
    <t>C-24941</t>
  </si>
  <si>
    <t>C-24942</t>
  </si>
  <si>
    <t>C-24943</t>
  </si>
  <si>
    <t>se sustituyo x la  24967</t>
  </si>
  <si>
    <t>C-24944</t>
  </si>
  <si>
    <t>C-24945</t>
  </si>
  <si>
    <t>C-24946</t>
  </si>
  <si>
    <t>C-24947</t>
  </si>
  <si>
    <t>C-24948</t>
  </si>
  <si>
    <t>C-24949</t>
  </si>
  <si>
    <t>C-24950</t>
  </si>
  <si>
    <t>C-24951</t>
  </si>
  <si>
    <t>C-24952</t>
  </si>
  <si>
    <t>C-24953</t>
  </si>
  <si>
    <t>C-24954</t>
  </si>
  <si>
    <t>C-24955</t>
  </si>
  <si>
    <t>C-24956</t>
  </si>
  <si>
    <t>C-24957</t>
  </si>
  <si>
    <t>C-24958</t>
  </si>
  <si>
    <t>C-24959</t>
  </si>
  <si>
    <t>C-24960</t>
  </si>
  <si>
    <t>C-24961</t>
  </si>
  <si>
    <t>C-24962</t>
  </si>
  <si>
    <t>C-24963</t>
  </si>
  <si>
    <t>C-24964</t>
  </si>
  <si>
    <t>C-24965</t>
  </si>
  <si>
    <t>C-24966</t>
  </si>
  <si>
    <t>C-24967</t>
  </si>
  <si>
    <t>C-24968</t>
  </si>
  <si>
    <t>C-24969</t>
  </si>
  <si>
    <t>C-24970</t>
  </si>
  <si>
    <t>C-24971</t>
  </si>
  <si>
    <t>C-24972</t>
  </si>
  <si>
    <t>C-24973</t>
  </si>
  <si>
    <t>C-24974</t>
  </si>
  <si>
    <t>C-24975</t>
  </si>
  <si>
    <t>C-24976</t>
  </si>
  <si>
    <t>C-24977</t>
  </si>
  <si>
    <t>C-24978</t>
  </si>
  <si>
    <t>C-24979</t>
  </si>
  <si>
    <t>C-24980</t>
  </si>
  <si>
    <t>C-24981</t>
  </si>
  <si>
    <t>se sustituyo x la  D-00006</t>
  </si>
  <si>
    <t>C-24982</t>
  </si>
  <si>
    <t>C-24983</t>
  </si>
  <si>
    <t>C-24984</t>
  </si>
  <si>
    <t>C-24985</t>
  </si>
  <si>
    <t>C-24986</t>
  </si>
  <si>
    <t>C-24987</t>
  </si>
  <si>
    <t>C-24988</t>
  </si>
  <si>
    <t>C-24989</t>
  </si>
  <si>
    <t>C-24990</t>
  </si>
  <si>
    <t>C-24991</t>
  </si>
  <si>
    <t>C-24992</t>
  </si>
  <si>
    <t>C-24993</t>
  </si>
  <si>
    <t>C-24994</t>
  </si>
  <si>
    <t>C-24995</t>
  </si>
  <si>
    <t>C-24996</t>
  </si>
  <si>
    <t>C-24997</t>
  </si>
  <si>
    <t>C-24998</t>
  </si>
  <si>
    <t>C-24999</t>
  </si>
  <si>
    <t>C-25000</t>
  </si>
  <si>
    <t>D-1</t>
  </si>
  <si>
    <t>D-2</t>
  </si>
  <si>
    <t>D-3</t>
  </si>
  <si>
    <t>D-4</t>
  </si>
  <si>
    <t>D-5</t>
  </si>
  <si>
    <t>D-6</t>
  </si>
  <si>
    <t>D-7</t>
  </si>
  <si>
    <t>D-8</t>
  </si>
  <si>
    <t>D-9</t>
  </si>
  <si>
    <t>D-10</t>
  </si>
  <si>
    <t>D-11</t>
  </si>
  <si>
    <t>D-12</t>
  </si>
  <si>
    <t>D-13</t>
  </si>
  <si>
    <t>D-14</t>
  </si>
  <si>
    <t>D-15</t>
  </si>
  <si>
    <t>D-16</t>
  </si>
  <si>
    <t>D-17</t>
  </si>
  <si>
    <t>D-18</t>
  </si>
  <si>
    <t>D-19</t>
  </si>
  <si>
    <t>D-20</t>
  </si>
  <si>
    <t>D-21</t>
  </si>
  <si>
    <t>D-22</t>
  </si>
  <si>
    <t>D-23</t>
  </si>
  <si>
    <t>D-24</t>
  </si>
  <si>
    <t>D-25</t>
  </si>
  <si>
    <t>D-26</t>
  </si>
  <si>
    <t>D-27</t>
  </si>
  <si>
    <t>D-28</t>
  </si>
  <si>
    <t>D-29</t>
  </si>
  <si>
    <t>D-30</t>
  </si>
  <si>
    <t>D-31</t>
  </si>
  <si>
    <r>
      <t xml:space="preserve">(657)CORAZON DE BRASIL CENTRO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</si>
  <si>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D-00032</t>
  </si>
  <si>
    <t>D-32</t>
  </si>
  <si>
    <t>D-33</t>
  </si>
  <si>
    <t>D-34</t>
  </si>
  <si>
    <t>D-35</t>
  </si>
  <si>
    <t>D-36</t>
  </si>
  <si>
    <t>D-37</t>
  </si>
  <si>
    <t>D-38</t>
  </si>
  <si>
    <t>D-39</t>
  </si>
  <si>
    <t>D-40</t>
  </si>
  <si>
    <t>D-41</t>
  </si>
  <si>
    <t>D-42</t>
  </si>
  <si>
    <t>D-43</t>
  </si>
  <si>
    <t>12-Jun-22--13-Jun-22</t>
  </si>
  <si>
    <t>D-44</t>
  </si>
  <si>
    <t>D-45</t>
  </si>
  <si>
    <t>D-46</t>
  </si>
  <si>
    <t>D-47</t>
  </si>
  <si>
    <t>D-48</t>
  </si>
  <si>
    <t>D-49</t>
  </si>
  <si>
    <t>D-50</t>
  </si>
  <si>
    <t>D-51</t>
  </si>
  <si>
    <t>D-52</t>
  </si>
  <si>
    <t>D-53</t>
  </si>
  <si>
    <t>D-54</t>
  </si>
  <si>
    <t>D-55</t>
  </si>
  <si>
    <t>D-56</t>
  </si>
  <si>
    <t>D-57</t>
  </si>
  <si>
    <t>D-58</t>
  </si>
  <si>
    <t>D-59</t>
  </si>
  <si>
    <t>D-60</t>
  </si>
  <si>
    <t>D-61</t>
  </si>
  <si>
    <t>D-62</t>
  </si>
  <si>
    <t>D-63</t>
  </si>
  <si>
    <t>D-64</t>
  </si>
  <si>
    <t>D-65</t>
  </si>
  <si>
    <t>D-66</t>
  </si>
  <si>
    <t>D-67</t>
  </si>
  <si>
    <t>D-68</t>
  </si>
  <si>
    <t>D-69</t>
  </si>
  <si>
    <t>D-70</t>
  </si>
  <si>
    <t>D-71</t>
  </si>
  <si>
    <t>D-72</t>
  </si>
  <si>
    <t>D-73</t>
  </si>
  <si>
    <t>D-74</t>
  </si>
  <si>
    <t>D-75</t>
  </si>
  <si>
    <t>D-76</t>
  </si>
  <si>
    <t>D-77</t>
  </si>
  <si>
    <t>D-78</t>
  </si>
  <si>
    <t>D-79</t>
  </si>
  <si>
    <t>D-80</t>
  </si>
  <si>
    <t>D-81</t>
  </si>
  <si>
    <t>D-82</t>
  </si>
  <si>
    <t>D-83</t>
  </si>
  <si>
    <t>D-84</t>
  </si>
  <si>
    <t>D-85</t>
  </si>
  <si>
    <t>D-86</t>
  </si>
  <si>
    <t>D-87</t>
  </si>
  <si>
    <t>D-88</t>
  </si>
  <si>
    <t>D-89</t>
  </si>
  <si>
    <t>D-90</t>
  </si>
  <si>
    <t>D-91</t>
  </si>
  <si>
    <t>D-92</t>
  </si>
  <si>
    <t>D-93</t>
  </si>
  <si>
    <t>D-94</t>
  </si>
  <si>
    <t>D-95</t>
  </si>
  <si>
    <t>D-96</t>
  </si>
  <si>
    <t>D-97</t>
  </si>
  <si>
    <t>D-98</t>
  </si>
  <si>
    <t>D-99</t>
  </si>
  <si>
    <t>D-100</t>
  </si>
  <si>
    <t>D-101</t>
  </si>
  <si>
    <t>D-102</t>
  </si>
  <si>
    <t>D-103</t>
  </si>
  <si>
    <t>D-104</t>
  </si>
  <si>
    <t>D-105</t>
  </si>
  <si>
    <t>D-106</t>
  </si>
  <si>
    <t>D-107</t>
  </si>
  <si>
    <t>D-108</t>
  </si>
  <si>
    <t>D-109</t>
  </si>
  <si>
    <t>D-110</t>
  </si>
  <si>
    <t>D-111</t>
  </si>
  <si>
    <t>D-112</t>
  </si>
  <si>
    <t>D-113</t>
  </si>
  <si>
    <t>D-114</t>
  </si>
  <si>
    <t>D-115</t>
  </si>
  <si>
    <t>D-116</t>
  </si>
  <si>
    <t>D-117</t>
  </si>
  <si>
    <t>D-118</t>
  </si>
  <si>
    <t>D-119</t>
  </si>
  <si>
    <t>D-120</t>
  </si>
  <si>
    <t>D-121</t>
  </si>
  <si>
    <t>D-122</t>
  </si>
  <si>
    <t>D-123</t>
  </si>
  <si>
    <t>D-124</t>
  </si>
  <si>
    <t>(314)EMILIO CUAUTLE</t>
  </si>
  <si>
    <t>D-125</t>
  </si>
  <si>
    <t>D-126</t>
  </si>
  <si>
    <t>D-127</t>
  </si>
  <si>
    <t>D-128</t>
  </si>
  <si>
    <t>D-129</t>
  </si>
  <si>
    <t>D-130</t>
  </si>
  <si>
    <t>D-131</t>
  </si>
  <si>
    <t>D-132</t>
  </si>
  <si>
    <t>D-133</t>
  </si>
  <si>
    <t>D-134</t>
  </si>
  <si>
    <t>D-135</t>
  </si>
  <si>
    <t>D-136</t>
  </si>
  <si>
    <t>D-137</t>
  </si>
  <si>
    <t>D-138</t>
  </si>
  <si>
    <t>D-139</t>
  </si>
  <si>
    <t>D-140</t>
  </si>
  <si>
    <t>D-141</t>
  </si>
  <si>
    <t>D-142</t>
  </si>
  <si>
    <t>D-143</t>
  </si>
  <si>
    <t>D-144</t>
  </si>
  <si>
    <t>D-145</t>
  </si>
  <si>
    <t>D-146</t>
  </si>
  <si>
    <t>D-147</t>
  </si>
  <si>
    <t>D-148</t>
  </si>
  <si>
    <t>D-149</t>
  </si>
  <si>
    <t>D-150</t>
  </si>
  <si>
    <t>D-151</t>
  </si>
  <si>
    <t>D-152</t>
  </si>
  <si>
    <t>D-153</t>
  </si>
  <si>
    <t>D-154</t>
  </si>
  <si>
    <t>D-155</t>
  </si>
  <si>
    <t>D-156</t>
  </si>
  <si>
    <t>D-157</t>
  </si>
  <si>
    <t>D-158</t>
  </si>
  <si>
    <t>D-159</t>
  </si>
  <si>
    <t>D-160</t>
  </si>
  <si>
    <t>D-161</t>
  </si>
  <si>
    <t>11-Jun-22--13-Jun-22</t>
  </si>
  <si>
    <t>D-162</t>
  </si>
  <si>
    <t>D-163</t>
  </si>
  <si>
    <t>D-164</t>
  </si>
  <si>
    <t>D-165</t>
  </si>
  <si>
    <t>D-166</t>
  </si>
  <si>
    <t>D-167</t>
  </si>
  <si>
    <t>se sustituyo x la  D-00179</t>
  </si>
  <si>
    <t>D-168</t>
  </si>
  <si>
    <t>D-169</t>
  </si>
  <si>
    <t>D-170</t>
  </si>
  <si>
    <t>D-171</t>
  </si>
  <si>
    <t>13-Jun-22--15-Jun-22</t>
  </si>
  <si>
    <t>D-172</t>
  </si>
  <si>
    <t>D-173</t>
  </si>
  <si>
    <t>D-174</t>
  </si>
  <si>
    <t>D-175</t>
  </si>
  <si>
    <t>D-176</t>
  </si>
  <si>
    <t>D-177</t>
  </si>
  <si>
    <t>D-178</t>
  </si>
  <si>
    <t>D-179</t>
  </si>
  <si>
    <t>D-180</t>
  </si>
  <si>
    <t>D-181</t>
  </si>
  <si>
    <t>D-182</t>
  </si>
  <si>
    <t>D-183</t>
  </si>
  <si>
    <t>D-184</t>
  </si>
  <si>
    <t>D-185</t>
  </si>
  <si>
    <t>D-186</t>
  </si>
  <si>
    <t>D-187</t>
  </si>
  <si>
    <t>D-188</t>
  </si>
  <si>
    <t>D-189</t>
  </si>
  <si>
    <t>D-190</t>
  </si>
  <si>
    <t>D-191</t>
  </si>
  <si>
    <t>D-192</t>
  </si>
  <si>
    <t>D-193</t>
  </si>
  <si>
    <t>D-194</t>
  </si>
  <si>
    <t>D-195</t>
  </si>
  <si>
    <t>D-196</t>
  </si>
  <si>
    <t>D-197</t>
  </si>
  <si>
    <t>D-198</t>
  </si>
  <si>
    <t>D-199</t>
  </si>
  <si>
    <t>D-200</t>
  </si>
  <si>
    <t>D-201</t>
  </si>
  <si>
    <t>D-202</t>
  </si>
  <si>
    <t>D-203</t>
  </si>
  <si>
    <t>D-204</t>
  </si>
  <si>
    <t>D-205</t>
  </si>
  <si>
    <t>D-206</t>
  </si>
  <si>
    <t>D-207</t>
  </si>
  <si>
    <t>D-208</t>
  </si>
  <si>
    <t>D-209</t>
  </si>
  <si>
    <t>D-210</t>
  </si>
  <si>
    <t>D-211</t>
  </si>
  <si>
    <t>D-212</t>
  </si>
  <si>
    <t>D-213</t>
  </si>
  <si>
    <t>D-214</t>
  </si>
  <si>
    <t>D-215</t>
  </si>
  <si>
    <t>D-216</t>
  </si>
  <si>
    <t>D-217</t>
  </si>
  <si>
    <t>D-218</t>
  </si>
  <si>
    <t>D-219</t>
  </si>
  <si>
    <t>D-220</t>
  </si>
  <si>
    <t>D-221</t>
  </si>
  <si>
    <t>D-222</t>
  </si>
  <si>
    <t>D-223</t>
  </si>
  <si>
    <t>D-224</t>
  </si>
  <si>
    <t>D-225</t>
  </si>
  <si>
    <t>D-226</t>
  </si>
  <si>
    <t>D-227</t>
  </si>
  <si>
    <t>D-228</t>
  </si>
  <si>
    <t>D-229</t>
  </si>
  <si>
    <t>D-230</t>
  </si>
  <si>
    <t>D-231</t>
  </si>
  <si>
    <t>D-232</t>
  </si>
  <si>
    <t>D-233</t>
  </si>
  <si>
    <t>D-234</t>
  </si>
  <si>
    <t>D-235</t>
  </si>
  <si>
    <t>D-236</t>
  </si>
  <si>
    <t>D-237</t>
  </si>
  <si>
    <t>D-238</t>
  </si>
  <si>
    <t>D-239</t>
  </si>
  <si>
    <t>D-240</t>
  </si>
  <si>
    <t>D-241</t>
  </si>
  <si>
    <t>D-242</t>
  </si>
  <si>
    <t>D-243</t>
  </si>
  <si>
    <t>D-244</t>
  </si>
  <si>
    <t>17-Jun-22--24-Jun-22</t>
  </si>
  <si>
    <t>D-245</t>
  </si>
  <si>
    <t>D-246</t>
  </si>
  <si>
    <t>D-247</t>
  </si>
  <si>
    <t>D-248</t>
  </si>
  <si>
    <t>D-249</t>
  </si>
  <si>
    <t>D-250</t>
  </si>
  <si>
    <t>D-251</t>
  </si>
  <si>
    <t>D-252</t>
  </si>
  <si>
    <t>D-253</t>
  </si>
  <si>
    <t>D-254</t>
  </si>
  <si>
    <t>D-255</t>
  </si>
  <si>
    <t>D-256</t>
  </si>
  <si>
    <t>D-257</t>
  </si>
  <si>
    <t>D-258</t>
  </si>
  <si>
    <t>D-259</t>
  </si>
  <si>
    <t>D-260</t>
  </si>
  <si>
    <t>D-261</t>
  </si>
  <si>
    <t>D-262</t>
  </si>
  <si>
    <t>D-263</t>
  </si>
  <si>
    <t>D-264</t>
  </si>
  <si>
    <t>D-265</t>
  </si>
  <si>
    <t>D-266</t>
  </si>
  <si>
    <t>D-267</t>
  </si>
  <si>
    <t>D-268</t>
  </si>
  <si>
    <r>
      <t>(653)MOISES GONZALEZ</t>
    </r>
    <r>
      <rPr>
        <b/>
        <sz val="12"/>
        <color rgb="FFFF0000"/>
        <rFont val="Calibri"/>
        <family val="2"/>
        <scheme val="minor"/>
      </rPr>
      <t xml:space="preserve">   CANCELADA</t>
    </r>
  </si>
  <si>
    <t>D-269</t>
  </si>
  <si>
    <t>D-270</t>
  </si>
  <si>
    <t>D-271</t>
  </si>
  <si>
    <t>12-Jun-22--14-Jun-22</t>
  </si>
  <si>
    <t>D-272</t>
  </si>
  <si>
    <t>11-Jun-22--12-Jun-22</t>
  </si>
  <si>
    <t>D-273</t>
  </si>
  <si>
    <t>D-274</t>
  </si>
  <si>
    <t>D-275</t>
  </si>
  <si>
    <t>D-276</t>
  </si>
  <si>
    <t>D-277</t>
  </si>
  <si>
    <t>D-278</t>
  </si>
  <si>
    <t>D-279</t>
  </si>
  <si>
    <t>D-280</t>
  </si>
  <si>
    <t>D-281</t>
  </si>
  <si>
    <t>D-282</t>
  </si>
  <si>
    <t>D-283</t>
  </si>
  <si>
    <t>D-284</t>
  </si>
  <si>
    <t>D-285</t>
  </si>
  <si>
    <t>13-Jun-22--14-Jun-22</t>
  </si>
  <si>
    <t>D-286</t>
  </si>
  <si>
    <t>D-287</t>
  </si>
  <si>
    <t>D-288</t>
  </si>
  <si>
    <t>D-289</t>
  </si>
  <si>
    <t>D-290</t>
  </si>
  <si>
    <t>D-291</t>
  </si>
  <si>
    <t>D-292</t>
  </si>
  <si>
    <t>D-293</t>
  </si>
  <si>
    <t>D-294</t>
  </si>
  <si>
    <t>D-295</t>
  </si>
  <si>
    <t>D-296</t>
  </si>
  <si>
    <t>D-297</t>
  </si>
  <si>
    <t>D-298</t>
  </si>
  <si>
    <t>D-299</t>
  </si>
  <si>
    <t>D-300</t>
  </si>
  <si>
    <t>D-301</t>
  </si>
  <si>
    <t>D-302</t>
  </si>
  <si>
    <t>D-303</t>
  </si>
  <si>
    <t>D-304</t>
  </si>
  <si>
    <t>D-305</t>
  </si>
  <si>
    <t>D-306</t>
  </si>
  <si>
    <t>D-307</t>
  </si>
  <si>
    <t>11/06/2022</t>
  </si>
  <si>
    <t>D-308</t>
  </si>
  <si>
    <t>D-309</t>
  </si>
  <si>
    <t>14-Jun-22--20-Jun-22</t>
  </si>
  <si>
    <t>D-310</t>
  </si>
  <si>
    <t>D-311</t>
  </si>
  <si>
    <t>D-312</t>
  </si>
  <si>
    <t>D-313</t>
  </si>
  <si>
    <t>D-314</t>
  </si>
  <si>
    <t>D-315</t>
  </si>
  <si>
    <t>D-316</t>
  </si>
  <si>
    <t>D-317</t>
  </si>
  <si>
    <t>D-318</t>
  </si>
  <si>
    <t>D-319</t>
  </si>
  <si>
    <t>D-320</t>
  </si>
  <si>
    <t>D-321</t>
  </si>
  <si>
    <t>D-322</t>
  </si>
  <si>
    <r>
      <t xml:space="preserve">(16)ENRIQUE MARTINEZ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</si>
  <si>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D-323</t>
  </si>
  <si>
    <t>D-324</t>
  </si>
  <si>
    <t>D-325</t>
  </si>
  <si>
    <t>D-326</t>
  </si>
  <si>
    <t>D-327</t>
  </si>
  <si>
    <t>D-328</t>
  </si>
  <si>
    <r>
      <t xml:space="preserve">(703)CARNICERIA  ABRAHAM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</si>
  <si>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D-329</t>
  </si>
  <si>
    <t>D-330</t>
  </si>
  <si>
    <t>D-331</t>
  </si>
  <si>
    <t>D-332</t>
  </si>
  <si>
    <t>D-333</t>
  </si>
  <si>
    <t>D-334</t>
  </si>
  <si>
    <t>D-335</t>
  </si>
  <si>
    <t>D-336</t>
  </si>
  <si>
    <t>D-337</t>
  </si>
  <si>
    <t>D-338</t>
  </si>
  <si>
    <t>D-339</t>
  </si>
  <si>
    <t>D-340</t>
  </si>
  <si>
    <t>D-341</t>
  </si>
  <si>
    <t>D-342</t>
  </si>
  <si>
    <t>D-343</t>
  </si>
  <si>
    <t>D-344</t>
  </si>
  <si>
    <t>D-345</t>
  </si>
  <si>
    <t>D-346</t>
  </si>
  <si>
    <t>D-347</t>
  </si>
  <si>
    <t>D-348</t>
  </si>
  <si>
    <t>D-349</t>
  </si>
  <si>
    <t>D-350</t>
  </si>
  <si>
    <t>D-351</t>
  </si>
  <si>
    <t>D-352</t>
  </si>
  <si>
    <t>D-353</t>
  </si>
  <si>
    <t>D-354</t>
  </si>
  <si>
    <t>D-355</t>
  </si>
  <si>
    <t>D-356</t>
  </si>
  <si>
    <t>D-357</t>
  </si>
  <si>
    <t>D-358</t>
  </si>
  <si>
    <t>D-359</t>
  </si>
  <si>
    <t>D-360</t>
  </si>
  <si>
    <t>D-361</t>
  </si>
  <si>
    <t>D-362</t>
  </si>
  <si>
    <t>D-363</t>
  </si>
  <si>
    <t>D-364</t>
  </si>
  <si>
    <t>D-365</t>
  </si>
  <si>
    <t>D-366</t>
  </si>
  <si>
    <t>D-367</t>
  </si>
  <si>
    <t>D-368</t>
  </si>
  <si>
    <t>D-369</t>
  </si>
  <si>
    <t>D-370</t>
  </si>
  <si>
    <t>D-371</t>
  </si>
  <si>
    <t>D-372</t>
  </si>
  <si>
    <t>D-373</t>
  </si>
  <si>
    <t>D-374</t>
  </si>
  <si>
    <t>D-375</t>
  </si>
  <si>
    <t>D-376</t>
  </si>
  <si>
    <t>D-377</t>
  </si>
  <si>
    <t>D-378</t>
  </si>
  <si>
    <t>D-379</t>
  </si>
  <si>
    <t>D-380</t>
  </si>
  <si>
    <t>D-381</t>
  </si>
  <si>
    <t>D-382</t>
  </si>
  <si>
    <t>D-383</t>
  </si>
  <si>
    <t>D-384</t>
  </si>
  <si>
    <t>D-385</t>
  </si>
  <si>
    <t>D-386</t>
  </si>
  <si>
    <t>D-387</t>
  </si>
  <si>
    <t>D-388</t>
  </si>
  <si>
    <t>D-389</t>
  </si>
  <si>
    <t>D-390</t>
  </si>
  <si>
    <t>D-391</t>
  </si>
  <si>
    <t>D-392</t>
  </si>
  <si>
    <t>D-393</t>
  </si>
  <si>
    <t>D-394</t>
  </si>
  <si>
    <t>D-395</t>
  </si>
  <si>
    <t>D-396</t>
  </si>
  <si>
    <t>D-397</t>
  </si>
  <si>
    <t>D-398</t>
  </si>
  <si>
    <t>D-399</t>
  </si>
  <si>
    <t>D-400</t>
  </si>
  <si>
    <t>D-401</t>
  </si>
  <si>
    <t>D-402</t>
  </si>
  <si>
    <t>D-403</t>
  </si>
  <si>
    <t>D-404</t>
  </si>
  <si>
    <t>D-405</t>
  </si>
  <si>
    <t>D-406</t>
  </si>
  <si>
    <t>D-407</t>
  </si>
  <si>
    <t>D-408</t>
  </si>
  <si>
    <t>D-409</t>
  </si>
  <si>
    <t>D-410</t>
  </si>
  <si>
    <t>D-411</t>
  </si>
  <si>
    <t>D-412</t>
  </si>
  <si>
    <t>D-413</t>
  </si>
  <si>
    <t>D-414</t>
  </si>
  <si>
    <t>D-415</t>
  </si>
  <si>
    <t>D-416</t>
  </si>
  <si>
    <t>D-417</t>
  </si>
  <si>
    <t>D-418</t>
  </si>
  <si>
    <t>D-419</t>
  </si>
  <si>
    <t>D-420</t>
  </si>
  <si>
    <t>D-421</t>
  </si>
  <si>
    <t>D-422</t>
  </si>
  <si>
    <t>D-423</t>
  </si>
  <si>
    <t>D-424</t>
  </si>
  <si>
    <t>D-425</t>
  </si>
  <si>
    <t>D-426</t>
  </si>
  <si>
    <t>D-427</t>
  </si>
  <si>
    <t>D-428</t>
  </si>
  <si>
    <t>D-429</t>
  </si>
  <si>
    <t>D-430</t>
  </si>
  <si>
    <t>D-431</t>
  </si>
  <si>
    <t>D-432</t>
  </si>
  <si>
    <t>D-433</t>
  </si>
  <si>
    <t>D-434</t>
  </si>
  <si>
    <t>D-435</t>
  </si>
  <si>
    <t>D-436</t>
  </si>
  <si>
    <t>D-437</t>
  </si>
  <si>
    <t>D-438</t>
  </si>
  <si>
    <t>D-439</t>
  </si>
  <si>
    <t>D-440</t>
  </si>
  <si>
    <t>D-441</t>
  </si>
  <si>
    <t>D-442</t>
  </si>
  <si>
    <t>D-443</t>
  </si>
  <si>
    <t>D-444</t>
  </si>
  <si>
    <t>D-445</t>
  </si>
  <si>
    <t>D-446</t>
  </si>
  <si>
    <t>D-447</t>
  </si>
  <si>
    <t>D-448</t>
  </si>
  <si>
    <t>D-449</t>
  </si>
  <si>
    <t>D-450</t>
  </si>
  <si>
    <t>D-451</t>
  </si>
  <si>
    <t>D-452</t>
  </si>
  <si>
    <t>D-453</t>
  </si>
  <si>
    <t>D-454</t>
  </si>
  <si>
    <t>D-455</t>
  </si>
  <si>
    <t>D-456</t>
  </si>
  <si>
    <t>D-457</t>
  </si>
  <si>
    <t>D-458</t>
  </si>
  <si>
    <t>D-459</t>
  </si>
  <si>
    <t>D-460</t>
  </si>
  <si>
    <t>D-461</t>
  </si>
  <si>
    <t>D-462</t>
  </si>
  <si>
    <t>D-463</t>
  </si>
  <si>
    <t>D-464</t>
  </si>
  <si>
    <t>14-Jun-22--16-Jun-22</t>
  </si>
  <si>
    <t>D-465</t>
  </si>
  <si>
    <t>D-466</t>
  </si>
  <si>
    <t>D-467</t>
  </si>
  <si>
    <t>D-468</t>
  </si>
  <si>
    <t>D-469</t>
  </si>
  <si>
    <t>D-470</t>
  </si>
  <si>
    <t>D-471</t>
  </si>
  <si>
    <t>D-472</t>
  </si>
  <si>
    <t>D-473</t>
  </si>
  <si>
    <t>D-474</t>
  </si>
  <si>
    <t>D-475</t>
  </si>
  <si>
    <t>D-476</t>
  </si>
  <si>
    <t>D-477</t>
  </si>
  <si>
    <t>D-478</t>
  </si>
  <si>
    <t>D-479</t>
  </si>
  <si>
    <t>D-480</t>
  </si>
  <si>
    <t>D-481</t>
  </si>
  <si>
    <t>D-482</t>
  </si>
  <si>
    <t>D-483</t>
  </si>
  <si>
    <t>D-484</t>
  </si>
  <si>
    <t>D-485</t>
  </si>
  <si>
    <t>D-486</t>
  </si>
  <si>
    <t>D-487</t>
  </si>
  <si>
    <t>D-488</t>
  </si>
  <si>
    <t>D-489</t>
  </si>
  <si>
    <t>14-Jun-22--15-Jun-22</t>
  </si>
  <si>
    <t>D-490</t>
  </si>
  <si>
    <t>D-491</t>
  </si>
  <si>
    <t>D-492</t>
  </si>
  <si>
    <t>D-493</t>
  </si>
  <si>
    <t>D-494</t>
  </si>
  <si>
    <t>D-495</t>
  </si>
  <si>
    <t>D-496</t>
  </si>
  <si>
    <t>D-497</t>
  </si>
  <si>
    <t>D-498</t>
  </si>
  <si>
    <t>D-499</t>
  </si>
  <si>
    <t>D-500</t>
  </si>
  <si>
    <t>D-501</t>
  </si>
  <si>
    <t>D-502</t>
  </si>
  <si>
    <t>D-503</t>
  </si>
  <si>
    <t>D-504</t>
  </si>
  <si>
    <t>D-505</t>
  </si>
  <si>
    <t>D-506</t>
  </si>
  <si>
    <t>D-507</t>
  </si>
  <si>
    <t>D-508</t>
  </si>
  <si>
    <t>D-509</t>
  </si>
  <si>
    <t>D-510</t>
  </si>
  <si>
    <t>D-511</t>
  </si>
  <si>
    <t>D-512</t>
  </si>
  <si>
    <t>D-513</t>
  </si>
  <si>
    <t>D-514</t>
  </si>
  <si>
    <t>D-515</t>
  </si>
  <si>
    <t>D-516</t>
  </si>
  <si>
    <t>D-517</t>
  </si>
  <si>
    <t>D-518</t>
  </si>
  <si>
    <t>D-519</t>
  </si>
  <si>
    <t>D-520</t>
  </si>
  <si>
    <t>D-521</t>
  </si>
  <si>
    <t>D-522</t>
  </si>
  <si>
    <t>D-523</t>
  </si>
  <si>
    <t>D-524</t>
  </si>
  <si>
    <t>D-525</t>
  </si>
  <si>
    <t>D-526</t>
  </si>
  <si>
    <t>D-527</t>
  </si>
  <si>
    <t>D-528</t>
  </si>
  <si>
    <t>D-529</t>
  </si>
  <si>
    <t>D-530</t>
  </si>
  <si>
    <t>D-531</t>
  </si>
  <si>
    <t>D-532</t>
  </si>
  <si>
    <t>D-533</t>
  </si>
  <si>
    <t>D-534</t>
  </si>
  <si>
    <t>D-535</t>
  </si>
  <si>
    <t>D-536</t>
  </si>
  <si>
    <t>D-537</t>
  </si>
  <si>
    <t>D-538</t>
  </si>
  <si>
    <t>D-539</t>
  </si>
  <si>
    <t>D-540</t>
  </si>
  <si>
    <t>D-541</t>
  </si>
  <si>
    <t>D-542</t>
  </si>
  <si>
    <t>D-543</t>
  </si>
  <si>
    <t>D-544</t>
  </si>
  <si>
    <t>D-545</t>
  </si>
  <si>
    <t>D-546</t>
  </si>
  <si>
    <t>D-547</t>
  </si>
  <si>
    <t>D-548</t>
  </si>
  <si>
    <t>D-549</t>
  </si>
  <si>
    <t>D-550</t>
  </si>
  <si>
    <t>D-551</t>
  </si>
  <si>
    <t>D-552</t>
  </si>
  <si>
    <t>D-553</t>
  </si>
  <si>
    <t>D-554</t>
  </si>
  <si>
    <t>D-555</t>
  </si>
  <si>
    <t>D-556</t>
  </si>
  <si>
    <t>D-557</t>
  </si>
  <si>
    <t>D-558</t>
  </si>
  <si>
    <t>D-559</t>
  </si>
  <si>
    <t>D-560</t>
  </si>
  <si>
    <t>D-561</t>
  </si>
  <si>
    <t>D-562</t>
  </si>
  <si>
    <t>(644)BRAYAN RAMIREZ</t>
  </si>
  <si>
    <t>D-563</t>
  </si>
  <si>
    <t>D-564</t>
  </si>
  <si>
    <t>D-565</t>
  </si>
  <si>
    <t>D-566</t>
  </si>
  <si>
    <t>D-567</t>
  </si>
  <si>
    <t>D-568</t>
  </si>
  <si>
    <t>D-569</t>
  </si>
  <si>
    <t>D-570</t>
  </si>
  <si>
    <t>D-571</t>
  </si>
  <si>
    <t>D-572</t>
  </si>
  <si>
    <t>D-573</t>
  </si>
  <si>
    <t>D-574</t>
  </si>
  <si>
    <t>20-Jun-22--22-Jun-22</t>
  </si>
  <si>
    <t>D-575</t>
  </si>
  <si>
    <t>D-576</t>
  </si>
  <si>
    <t>D-577</t>
  </si>
  <si>
    <t>D-578</t>
  </si>
  <si>
    <t>D-579</t>
  </si>
  <si>
    <t>D-580</t>
  </si>
  <si>
    <t>D-581</t>
  </si>
  <si>
    <t>D-582</t>
  </si>
  <si>
    <t>D-583</t>
  </si>
  <si>
    <t>D-584</t>
  </si>
  <si>
    <t>D-585</t>
  </si>
  <si>
    <t>15-Jun-22--16-Jun-22</t>
  </si>
  <si>
    <t>D-586</t>
  </si>
  <si>
    <t>D-587</t>
  </si>
  <si>
    <t>D-588</t>
  </si>
  <si>
    <t>D-589</t>
  </si>
  <si>
    <t>D-590</t>
  </si>
  <si>
    <t>D-591</t>
  </si>
  <si>
    <t>D-592</t>
  </si>
  <si>
    <t>D-593</t>
  </si>
  <si>
    <t>D-594</t>
  </si>
  <si>
    <t>D-595</t>
  </si>
  <si>
    <t>D-596</t>
  </si>
  <si>
    <t>D-597</t>
  </si>
  <si>
    <t>D-598</t>
  </si>
  <si>
    <t>D-599</t>
  </si>
  <si>
    <t>D-600</t>
  </si>
  <si>
    <t>D-601</t>
  </si>
  <si>
    <t>D-602</t>
  </si>
  <si>
    <t>D-603</t>
  </si>
  <si>
    <t>D-604</t>
  </si>
  <si>
    <t>D-605</t>
  </si>
  <si>
    <t>D-606</t>
  </si>
  <si>
    <t>D-607</t>
  </si>
  <si>
    <t>D-608</t>
  </si>
  <si>
    <t>D-609</t>
  </si>
  <si>
    <t>D-610</t>
  </si>
  <si>
    <t>D-611</t>
  </si>
  <si>
    <t>D-612</t>
  </si>
  <si>
    <t>D-613</t>
  </si>
  <si>
    <t>D-614</t>
  </si>
  <si>
    <t>D-615</t>
  </si>
  <si>
    <r>
      <t xml:space="preserve">(152)PEDRO RAMIRO  </t>
    </r>
    <r>
      <rPr>
        <b/>
        <sz val="12"/>
        <color rgb="FFFF0000"/>
        <rFont val="Calibri"/>
        <family val="2"/>
        <scheme val="minor"/>
      </rPr>
      <t>CANCELADA</t>
    </r>
  </si>
  <si>
    <t>se sustituyo x la  D-00618</t>
  </si>
  <si>
    <t>D-616</t>
  </si>
  <si>
    <t>.</t>
  </si>
  <si>
    <t>D-617</t>
  </si>
  <si>
    <t>D-618</t>
  </si>
  <si>
    <t>D-619</t>
  </si>
  <si>
    <t>D-620</t>
  </si>
  <si>
    <t>D-621</t>
  </si>
  <si>
    <t>D-622</t>
  </si>
  <si>
    <t>D-623</t>
  </si>
  <si>
    <t>D-624</t>
  </si>
  <si>
    <t>D-625</t>
  </si>
  <si>
    <t>14/06/2022</t>
  </si>
  <si>
    <t>D-626</t>
  </si>
  <si>
    <r>
      <t>(23)ALVARO MEZA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</si>
  <si>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 D-00630</t>
  </si>
  <si>
    <t>D-627</t>
  </si>
  <si>
    <t>D-628</t>
  </si>
  <si>
    <r>
      <t xml:space="preserve">(114)SAGRADO CORAZON ZAVALETA  </t>
    </r>
    <r>
      <rPr>
        <b/>
        <sz val="12"/>
        <color rgb="FFFF0000"/>
        <rFont val="Calibri"/>
        <family val="2"/>
        <scheme val="minor"/>
      </rPr>
      <t>CANCELADA</t>
    </r>
  </si>
  <si>
    <t>D-629</t>
  </si>
  <si>
    <t>D-630</t>
  </si>
  <si>
    <t>D-631</t>
  </si>
  <si>
    <t>D-632</t>
  </si>
  <si>
    <t>D-633</t>
  </si>
  <si>
    <t>D-634</t>
  </si>
  <si>
    <t>D-635</t>
  </si>
  <si>
    <t>D-636</t>
  </si>
  <si>
    <t>D-637</t>
  </si>
  <si>
    <t>D-638</t>
  </si>
  <si>
    <t>D-639</t>
  </si>
  <si>
    <t>D-640</t>
  </si>
  <si>
    <t>D-641</t>
  </si>
  <si>
    <t>D-642</t>
  </si>
  <si>
    <t>D-643</t>
  </si>
  <si>
    <t>D-644</t>
  </si>
  <si>
    <t>D-645</t>
  </si>
  <si>
    <t>D-646</t>
  </si>
  <si>
    <t>D-647</t>
  </si>
  <si>
    <t>D-648</t>
  </si>
  <si>
    <t>D-649</t>
  </si>
  <si>
    <t>D-650</t>
  </si>
  <si>
    <t>D-651</t>
  </si>
  <si>
    <t>D-652</t>
  </si>
  <si>
    <t>D-653</t>
  </si>
  <si>
    <t>D-654</t>
  </si>
  <si>
    <t>D-655</t>
  </si>
  <si>
    <t>D-656</t>
  </si>
  <si>
    <t>D-657</t>
  </si>
  <si>
    <t>D-658</t>
  </si>
  <si>
    <t>D-659</t>
  </si>
  <si>
    <t>D-660</t>
  </si>
  <si>
    <t>D-661</t>
  </si>
  <si>
    <t>D-662</t>
  </si>
  <si>
    <t>D-663</t>
  </si>
  <si>
    <t>D-664</t>
  </si>
  <si>
    <t>D-665</t>
  </si>
  <si>
    <t>D-666</t>
  </si>
  <si>
    <t>D-667</t>
  </si>
  <si>
    <t>D-668</t>
  </si>
  <si>
    <t>D-669</t>
  </si>
  <si>
    <t>D-670</t>
  </si>
  <si>
    <t>D-671</t>
  </si>
  <si>
    <t>D-672</t>
  </si>
  <si>
    <t>D-673</t>
  </si>
  <si>
    <t>D-674</t>
  </si>
  <si>
    <t>D-675</t>
  </si>
  <si>
    <t>D-676</t>
  </si>
  <si>
    <t>D-677</t>
  </si>
  <si>
    <t>D-678</t>
  </si>
  <si>
    <t>D-679</t>
  </si>
  <si>
    <t>D-680</t>
  </si>
  <si>
    <t>D-681</t>
  </si>
  <si>
    <t>D-682</t>
  </si>
  <si>
    <t>D-683</t>
  </si>
  <si>
    <t>D-684</t>
  </si>
  <si>
    <r>
      <t xml:space="preserve">(687)OMAR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</si>
  <si>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D-00686</t>
  </si>
  <si>
    <t>D-685</t>
  </si>
  <si>
    <t>D-686</t>
  </si>
  <si>
    <t>D-687</t>
  </si>
  <si>
    <t>D-688</t>
  </si>
  <si>
    <t>D-689</t>
  </si>
  <si>
    <t>D-690</t>
  </si>
  <si>
    <t>D-691</t>
  </si>
  <si>
    <t>D-692</t>
  </si>
  <si>
    <t>D-693</t>
  </si>
  <si>
    <t>D-694</t>
  </si>
  <si>
    <t>D-695</t>
  </si>
  <si>
    <t>D-696</t>
  </si>
  <si>
    <t>D-697</t>
  </si>
  <si>
    <t>D-698</t>
  </si>
  <si>
    <t>D-699</t>
  </si>
  <si>
    <t>D-700</t>
  </si>
  <si>
    <t>D-701</t>
  </si>
  <si>
    <t>D-702</t>
  </si>
  <si>
    <t>D-703</t>
  </si>
  <si>
    <t>D-704</t>
  </si>
  <si>
    <t>D-705</t>
  </si>
  <si>
    <t>D-706</t>
  </si>
  <si>
    <t>D-707</t>
  </si>
  <si>
    <t>D-708</t>
  </si>
  <si>
    <t>D-709</t>
  </si>
  <si>
    <t>D-710</t>
  </si>
  <si>
    <t>D-711</t>
  </si>
  <si>
    <t>D-712</t>
  </si>
  <si>
    <t>D-713</t>
  </si>
  <si>
    <t>D-714</t>
  </si>
  <si>
    <t>16-Jun-22--17-Jun-22</t>
  </si>
  <si>
    <t>D-715</t>
  </si>
  <si>
    <t>D-716</t>
  </si>
  <si>
    <t>D-717</t>
  </si>
  <si>
    <t>D-718</t>
  </si>
  <si>
    <t>D-719</t>
  </si>
  <si>
    <t>D-720</t>
  </si>
  <si>
    <t>D-721</t>
  </si>
  <si>
    <t>D-722</t>
  </si>
  <si>
    <t>D-723</t>
  </si>
  <si>
    <t>D-724</t>
  </si>
  <si>
    <t>D-725</t>
  </si>
  <si>
    <t>D-726</t>
  </si>
  <si>
    <t>D-727</t>
  </si>
  <si>
    <r>
      <t>(493)GIL 5 MAYO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</si>
  <si>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D-728</t>
  </si>
  <si>
    <t>D-729</t>
  </si>
  <si>
    <t>D-730</t>
  </si>
  <si>
    <t>D-731</t>
  </si>
  <si>
    <t>D-732</t>
  </si>
  <si>
    <t>D-733</t>
  </si>
  <si>
    <t>D-734</t>
  </si>
  <si>
    <t>D-735</t>
  </si>
  <si>
    <t>D-736</t>
  </si>
  <si>
    <t>D-737</t>
  </si>
  <si>
    <t>D-738</t>
  </si>
  <si>
    <t>D-739</t>
  </si>
  <si>
    <t>D-740</t>
  </si>
  <si>
    <t>D-741</t>
  </si>
  <si>
    <t>D-742</t>
  </si>
  <si>
    <t>15/06/2022</t>
  </si>
  <si>
    <t>D-743</t>
  </si>
  <si>
    <t>D-744</t>
  </si>
  <si>
    <t>D-745</t>
  </si>
  <si>
    <t>D-746</t>
  </si>
  <si>
    <t>D-747</t>
  </si>
  <si>
    <t>D-748</t>
  </si>
  <si>
    <t>D-749</t>
  </si>
  <si>
    <t>D-750</t>
  </si>
  <si>
    <t>D-751</t>
  </si>
  <si>
    <t>D-752</t>
  </si>
  <si>
    <t>D-753</t>
  </si>
  <si>
    <t>D-754</t>
  </si>
  <si>
    <t>D-755</t>
  </si>
  <si>
    <t>D-756</t>
  </si>
  <si>
    <t>D-757</t>
  </si>
  <si>
    <t>D-758</t>
  </si>
  <si>
    <t>D-759</t>
  </si>
  <si>
    <t>D-760</t>
  </si>
  <si>
    <t>D-761</t>
  </si>
  <si>
    <t>D-762</t>
  </si>
  <si>
    <t>D-763</t>
  </si>
  <si>
    <t>D-764</t>
  </si>
  <si>
    <t>D-765</t>
  </si>
  <si>
    <t>D-766</t>
  </si>
  <si>
    <t>D-767</t>
  </si>
  <si>
    <t>D-768</t>
  </si>
  <si>
    <t>15-Jun-22--17-Jun-22</t>
  </si>
  <si>
    <t>D-769</t>
  </si>
  <si>
    <t>D-770</t>
  </si>
  <si>
    <t>D-771</t>
  </si>
  <si>
    <t>D-772</t>
  </si>
  <si>
    <t>D-773</t>
  </si>
  <si>
    <t>D-774</t>
  </si>
  <si>
    <t>D-775</t>
  </si>
  <si>
    <t>D-776</t>
  </si>
  <si>
    <t>D-777</t>
  </si>
  <si>
    <t>D-778</t>
  </si>
  <si>
    <t>D-779</t>
  </si>
  <si>
    <t>D-780</t>
  </si>
  <si>
    <t>D-781</t>
  </si>
  <si>
    <t>D-782</t>
  </si>
  <si>
    <t>D-783</t>
  </si>
  <si>
    <t>D-784</t>
  </si>
  <si>
    <t>D-785</t>
  </si>
  <si>
    <t>D-786</t>
  </si>
  <si>
    <t>D-787</t>
  </si>
  <si>
    <t>D-788</t>
  </si>
  <si>
    <t>D-789</t>
  </si>
  <si>
    <t>D-790</t>
  </si>
  <si>
    <t>D-791</t>
  </si>
  <si>
    <t>D-792</t>
  </si>
  <si>
    <t>D-793</t>
  </si>
  <si>
    <t>D-794</t>
  </si>
  <si>
    <t>D-795</t>
  </si>
  <si>
    <t>D-796</t>
  </si>
  <si>
    <t>D-797</t>
  </si>
  <si>
    <t>D-798</t>
  </si>
  <si>
    <t>D-799</t>
  </si>
  <si>
    <t>D-800</t>
  </si>
  <si>
    <t>D-801</t>
  </si>
  <si>
    <t>D-802</t>
  </si>
  <si>
    <t>D-803</t>
  </si>
  <si>
    <t>D-804</t>
  </si>
  <si>
    <t>D-805</t>
  </si>
  <si>
    <t>D-806</t>
  </si>
  <si>
    <t>D-807</t>
  </si>
  <si>
    <t>D-808</t>
  </si>
  <si>
    <t>D-809</t>
  </si>
  <si>
    <t>D-810</t>
  </si>
  <si>
    <t>D-811</t>
  </si>
  <si>
    <t>D-812</t>
  </si>
  <si>
    <t>D-813</t>
  </si>
  <si>
    <t>D-814</t>
  </si>
  <si>
    <t>D-815</t>
  </si>
  <si>
    <t>D-816</t>
  </si>
  <si>
    <t>D-817</t>
  </si>
  <si>
    <t>D-818</t>
  </si>
  <si>
    <t>D-819</t>
  </si>
  <si>
    <t>D-820</t>
  </si>
  <si>
    <t>D-821</t>
  </si>
  <si>
    <t>D-822</t>
  </si>
  <si>
    <t>D-823</t>
  </si>
  <si>
    <t>D-824</t>
  </si>
  <si>
    <t>D-825</t>
  </si>
  <si>
    <t>D-826</t>
  </si>
  <si>
    <t>D-827</t>
  </si>
  <si>
    <t>D-828</t>
  </si>
  <si>
    <t>D-829</t>
  </si>
  <si>
    <t>D-830</t>
  </si>
  <si>
    <t>D-831</t>
  </si>
  <si>
    <t>D-832</t>
  </si>
  <si>
    <t>D-833</t>
  </si>
  <si>
    <t>D-834</t>
  </si>
  <si>
    <t>17-Jun-22--18-Jun-22</t>
  </si>
  <si>
    <t>D-835</t>
  </si>
  <si>
    <t>D-836</t>
  </si>
  <si>
    <t>D-837</t>
  </si>
  <si>
    <t>D-838</t>
  </si>
  <si>
    <t>D-839</t>
  </si>
  <si>
    <t>D-840</t>
  </si>
  <si>
    <t>D-841</t>
  </si>
  <si>
    <t>D-842</t>
  </si>
  <si>
    <t>D-843</t>
  </si>
  <si>
    <t>D-844</t>
  </si>
  <si>
    <t>D-845</t>
  </si>
  <si>
    <t>D-846</t>
  </si>
  <si>
    <t>D-847</t>
  </si>
  <si>
    <t>D-848</t>
  </si>
  <si>
    <t>D-849</t>
  </si>
  <si>
    <t>D-850</t>
  </si>
  <si>
    <t>D-851</t>
  </si>
  <si>
    <t>D-852</t>
  </si>
  <si>
    <t>D-853</t>
  </si>
  <si>
    <t>D-854</t>
  </si>
  <si>
    <t>D-855</t>
  </si>
  <si>
    <t>D-856</t>
  </si>
  <si>
    <r>
      <t>(297)ZAPATA  JUQUILA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</si>
  <si>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D-00931</t>
  </si>
  <si>
    <t>D-857</t>
  </si>
  <si>
    <t>D-858</t>
  </si>
  <si>
    <t>D-859</t>
  </si>
  <si>
    <t>D-860</t>
  </si>
  <si>
    <t>D-861</t>
  </si>
  <si>
    <t>D-862</t>
  </si>
  <si>
    <t>D-863</t>
  </si>
  <si>
    <t>D-864</t>
  </si>
  <si>
    <t>D-865</t>
  </si>
  <si>
    <t>D-866</t>
  </si>
  <si>
    <t>D-867</t>
  </si>
  <si>
    <t>D-868</t>
  </si>
  <si>
    <t>D-869</t>
  </si>
  <si>
    <t>D-870</t>
  </si>
  <si>
    <t>D-871</t>
  </si>
  <si>
    <t>D-872</t>
  </si>
  <si>
    <t>D-873</t>
  </si>
  <si>
    <t>D-874</t>
  </si>
  <si>
    <t>D-875</t>
  </si>
  <si>
    <t>D-876</t>
  </si>
  <si>
    <t>D-877</t>
  </si>
  <si>
    <t>D-878</t>
  </si>
  <si>
    <t>D-879</t>
  </si>
  <si>
    <t>D-880</t>
  </si>
  <si>
    <t>D-881</t>
  </si>
  <si>
    <t>D-882</t>
  </si>
  <si>
    <t>D-883</t>
  </si>
  <si>
    <t>D-884</t>
  </si>
  <si>
    <t>D-885</t>
  </si>
  <si>
    <t>D-886</t>
  </si>
  <si>
    <t>D-887</t>
  </si>
  <si>
    <t>D-888</t>
  </si>
  <si>
    <t>D-889</t>
  </si>
  <si>
    <t>D-890</t>
  </si>
  <si>
    <t>D-891</t>
  </si>
  <si>
    <t>D-892</t>
  </si>
  <si>
    <t>D-893</t>
  </si>
  <si>
    <t>D-894</t>
  </si>
  <si>
    <t>D-895</t>
  </si>
  <si>
    <t>D-896</t>
  </si>
  <si>
    <t>D-897</t>
  </si>
  <si>
    <t>D-898</t>
  </si>
  <si>
    <t>D-899</t>
  </si>
  <si>
    <t>D-900</t>
  </si>
  <si>
    <t>D-901</t>
  </si>
  <si>
    <t>D-902</t>
  </si>
  <si>
    <t>D-903</t>
  </si>
  <si>
    <t>D-904</t>
  </si>
  <si>
    <t>D-905</t>
  </si>
  <si>
    <t>D-906</t>
  </si>
  <si>
    <t>D-907</t>
  </si>
  <si>
    <t>D-908</t>
  </si>
  <si>
    <t>D-909</t>
  </si>
  <si>
    <t>(696)CORAZON DE BRASIL WV</t>
  </si>
  <si>
    <t>D-910</t>
  </si>
  <si>
    <t>D-911</t>
  </si>
  <si>
    <t>D-912</t>
  </si>
  <si>
    <t>D-913</t>
  </si>
  <si>
    <t>D-914</t>
  </si>
  <si>
    <t>D-915</t>
  </si>
  <si>
    <t>D-916</t>
  </si>
  <si>
    <t>D-917</t>
  </si>
  <si>
    <t>D-918</t>
  </si>
  <si>
    <t>D-919</t>
  </si>
  <si>
    <t>D-920</t>
  </si>
  <si>
    <t>D-921</t>
  </si>
  <si>
    <t>D-922</t>
  </si>
  <si>
    <t>D-923</t>
  </si>
  <si>
    <t>D-924</t>
  </si>
  <si>
    <t>D-925</t>
  </si>
  <si>
    <t>D-926</t>
  </si>
  <si>
    <t>D-927</t>
  </si>
  <si>
    <t>D-928</t>
  </si>
  <si>
    <t>D-929</t>
  </si>
  <si>
    <t>D-930</t>
  </si>
  <si>
    <t>D-931</t>
  </si>
  <si>
    <t>se sustituyo x la D-00932</t>
  </si>
  <si>
    <t>D-932</t>
  </si>
  <si>
    <t>D-933</t>
  </si>
  <si>
    <t>D-934</t>
  </si>
  <si>
    <t>18-Jun-22--19-Jun-22</t>
  </si>
  <si>
    <t>D-935</t>
  </si>
  <si>
    <t>D-936</t>
  </si>
  <si>
    <t>D-937</t>
  </si>
  <si>
    <t>D-938</t>
  </si>
  <si>
    <t>D-939</t>
  </si>
  <si>
    <t>D-940</t>
  </si>
  <si>
    <t>D-941</t>
  </si>
  <si>
    <t>D-942</t>
  </si>
  <si>
    <t>D-943</t>
  </si>
  <si>
    <t>D-944</t>
  </si>
  <si>
    <t>D-945</t>
  </si>
  <si>
    <t>D-946</t>
  </si>
  <si>
    <t>D-947</t>
  </si>
  <si>
    <t>18-Jun-22--21-Jun-22</t>
  </si>
  <si>
    <t>D-948</t>
  </si>
  <si>
    <t>D-949</t>
  </si>
  <si>
    <t>D-950</t>
  </si>
  <si>
    <t>D-951</t>
  </si>
  <si>
    <t>D-952</t>
  </si>
  <si>
    <t>D-953</t>
  </si>
  <si>
    <t>D-954</t>
  </si>
  <si>
    <t>D-955</t>
  </si>
  <si>
    <t>D-956</t>
  </si>
  <si>
    <t>D-957</t>
  </si>
  <si>
    <t>D-958</t>
  </si>
  <si>
    <t>D-959</t>
  </si>
  <si>
    <t>D-960</t>
  </si>
  <si>
    <t>D-961</t>
  </si>
  <si>
    <t>D-962</t>
  </si>
  <si>
    <t>D-963</t>
  </si>
  <si>
    <t>D-964</t>
  </si>
  <si>
    <t>D-965</t>
  </si>
  <si>
    <t>D-966</t>
  </si>
  <si>
    <t>D-967</t>
  </si>
  <si>
    <t>D-968</t>
  </si>
  <si>
    <t>D-969</t>
  </si>
  <si>
    <t>D-970</t>
  </si>
  <si>
    <t>D-971</t>
  </si>
  <si>
    <t>D-972</t>
  </si>
  <si>
    <t>D-973</t>
  </si>
  <si>
    <t>D-974</t>
  </si>
  <si>
    <t>D-975</t>
  </si>
  <si>
    <t>D-976</t>
  </si>
  <si>
    <t>se sustituyo x la D-00989</t>
  </si>
  <si>
    <t>D-977</t>
  </si>
  <si>
    <t>D-978</t>
  </si>
  <si>
    <t>D-979</t>
  </si>
  <si>
    <t>D-980</t>
  </si>
  <si>
    <t>D-981</t>
  </si>
  <si>
    <t>D-982</t>
  </si>
  <si>
    <t>D-983</t>
  </si>
  <si>
    <t>D-984</t>
  </si>
  <si>
    <t>D-985</t>
  </si>
  <si>
    <t>D-986</t>
  </si>
  <si>
    <t>D-987</t>
  </si>
  <si>
    <t>D-988</t>
  </si>
  <si>
    <t>D-989</t>
  </si>
  <si>
    <t>D-990</t>
  </si>
  <si>
    <t>D-991</t>
  </si>
  <si>
    <t>D-992</t>
  </si>
  <si>
    <t>D-993</t>
  </si>
  <si>
    <t>D-994</t>
  </si>
  <si>
    <t>D-995</t>
  </si>
  <si>
    <t>D-996</t>
  </si>
  <si>
    <t>D-997</t>
  </si>
  <si>
    <t>D-998</t>
  </si>
  <si>
    <t>D-999</t>
  </si>
  <si>
    <t>D-1000</t>
  </si>
  <si>
    <t>D-1001</t>
  </si>
  <si>
    <t>D-1002</t>
  </si>
  <si>
    <t>D-1003</t>
  </si>
  <si>
    <t>D-1004</t>
  </si>
  <si>
    <t>D-1005</t>
  </si>
  <si>
    <t>D-1006</t>
  </si>
  <si>
    <t>D-1007</t>
  </si>
  <si>
    <t>D-1008</t>
  </si>
  <si>
    <t>D-1009</t>
  </si>
  <si>
    <t>D-1010</t>
  </si>
  <si>
    <t>D-1011</t>
  </si>
  <si>
    <t>D-1012</t>
  </si>
  <si>
    <t>D-1013</t>
  </si>
  <si>
    <t>D-1014</t>
  </si>
  <si>
    <t>D-1015</t>
  </si>
  <si>
    <t>D-1016</t>
  </si>
  <si>
    <t>D-1017</t>
  </si>
  <si>
    <t>D-1018</t>
  </si>
  <si>
    <t>D-1019</t>
  </si>
  <si>
    <t>D-1020</t>
  </si>
  <si>
    <t>D-1021</t>
  </si>
  <si>
    <t>D-1022</t>
  </si>
  <si>
    <t>D-1023</t>
  </si>
  <si>
    <t>D-1024</t>
  </si>
  <si>
    <t>D-1025</t>
  </si>
  <si>
    <t>D-1026</t>
  </si>
  <si>
    <t>D-1027</t>
  </si>
  <si>
    <t>D-1028</t>
  </si>
  <si>
    <t>D-1029</t>
  </si>
  <si>
    <t>D-1030</t>
  </si>
  <si>
    <t>D-1031</t>
  </si>
  <si>
    <t>D-1032</t>
  </si>
  <si>
    <t>D-1033</t>
  </si>
  <si>
    <t>D-1034</t>
  </si>
  <si>
    <t>D-1035</t>
  </si>
  <si>
    <t>D-1036</t>
  </si>
  <si>
    <t>D-1037</t>
  </si>
  <si>
    <t>D-1038</t>
  </si>
  <si>
    <t>D-1039</t>
  </si>
  <si>
    <t>D-1040</t>
  </si>
  <si>
    <t>D-1041</t>
  </si>
  <si>
    <t>D-1042</t>
  </si>
  <si>
    <t>D-1043</t>
  </si>
  <si>
    <t>D-1044</t>
  </si>
  <si>
    <t>D-1045</t>
  </si>
  <si>
    <t>D-1046</t>
  </si>
  <si>
    <t>D-1047</t>
  </si>
  <si>
    <t>D-1048</t>
  </si>
  <si>
    <t>D-1049</t>
  </si>
  <si>
    <t>D-1050</t>
  </si>
  <si>
    <t>D-1051</t>
  </si>
  <si>
    <t>D-1052</t>
  </si>
  <si>
    <t>D-1053</t>
  </si>
  <si>
    <t>D-1054</t>
  </si>
  <si>
    <t>D-1055</t>
  </si>
  <si>
    <t>D-1056</t>
  </si>
  <si>
    <t>D-1057</t>
  </si>
  <si>
    <t>D-1058</t>
  </si>
  <si>
    <t>D-1059</t>
  </si>
  <si>
    <t>D-1060</t>
  </si>
  <si>
    <t>D-1061</t>
  </si>
  <si>
    <t>D-1062</t>
  </si>
  <si>
    <t>D-1063</t>
  </si>
  <si>
    <t>D-1064</t>
  </si>
  <si>
    <t>D-1065</t>
  </si>
  <si>
    <t>D-1066</t>
  </si>
  <si>
    <t>D-1067</t>
  </si>
  <si>
    <t>D-1068</t>
  </si>
  <si>
    <t>D-1069</t>
  </si>
  <si>
    <t>D-1070</t>
  </si>
  <si>
    <t>D-1071</t>
  </si>
  <si>
    <t>D-1072</t>
  </si>
  <si>
    <t>D-1073</t>
  </si>
  <si>
    <t>D-1074</t>
  </si>
  <si>
    <t>D-1075</t>
  </si>
  <si>
    <t>19-Jun-22--20-Jun-22</t>
  </si>
  <si>
    <t>D-1076</t>
  </si>
  <si>
    <t>D-1077</t>
  </si>
  <si>
    <t>D-1078</t>
  </si>
  <si>
    <t>D-1079</t>
  </si>
  <si>
    <t>D-1080</t>
  </si>
  <si>
    <t>D-1081</t>
  </si>
  <si>
    <t>D-1082</t>
  </si>
  <si>
    <t>D-1083</t>
  </si>
  <si>
    <t>20-Jun-22--21-Jun-22--22-Jun-22</t>
  </si>
  <si>
    <t>D-1084</t>
  </si>
  <si>
    <t>D-1085</t>
  </si>
  <si>
    <t>D-1086</t>
  </si>
  <si>
    <t>D-1087</t>
  </si>
  <si>
    <t>se sustituyo x la D-001184</t>
  </si>
  <si>
    <t>D-1088</t>
  </si>
  <si>
    <t>D-1089</t>
  </si>
  <si>
    <t>D-1090</t>
  </si>
  <si>
    <t>D-1091</t>
  </si>
  <si>
    <t>D-1092</t>
  </si>
  <si>
    <t>D-1093</t>
  </si>
  <si>
    <t>D-1094</t>
  </si>
  <si>
    <t>D-1095</t>
  </si>
  <si>
    <t>D-1096</t>
  </si>
  <si>
    <t>D-1097</t>
  </si>
  <si>
    <t>D-1098</t>
  </si>
  <si>
    <t>D-1099</t>
  </si>
  <si>
    <t>D-1100</t>
  </si>
  <si>
    <t>D-1101</t>
  </si>
  <si>
    <t>D-1102</t>
  </si>
  <si>
    <t>D-1103</t>
  </si>
  <si>
    <t>D-1104</t>
  </si>
  <si>
    <t>D-1105</t>
  </si>
  <si>
    <t>D-1106</t>
  </si>
  <si>
    <t>D-1107</t>
  </si>
  <si>
    <t>D-1108</t>
  </si>
  <si>
    <t>D-1109</t>
  </si>
  <si>
    <t>D-1110</t>
  </si>
  <si>
    <t>D-1111</t>
  </si>
  <si>
    <t>D-1112</t>
  </si>
  <si>
    <r>
      <t xml:space="preserve">(360)MANUEL REYES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</si>
  <si>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D-1113</t>
  </si>
  <si>
    <t>D-1114</t>
  </si>
  <si>
    <t>D-1115</t>
  </si>
  <si>
    <t>D-1116</t>
  </si>
  <si>
    <t>D-1117</t>
  </si>
  <si>
    <t>D-1118</t>
  </si>
  <si>
    <t>D-1119</t>
  </si>
  <si>
    <t>D-1120</t>
  </si>
  <si>
    <t>D-1121</t>
  </si>
  <si>
    <t>D-1122</t>
  </si>
  <si>
    <t>D-1123</t>
  </si>
  <si>
    <t>D-1124</t>
  </si>
  <si>
    <t>D-1125</t>
  </si>
  <si>
    <t>D-1126</t>
  </si>
  <si>
    <t>D-1127</t>
  </si>
  <si>
    <t>D-1128</t>
  </si>
  <si>
    <t>D-1129</t>
  </si>
  <si>
    <t>D-1130</t>
  </si>
  <si>
    <t>D-1131</t>
  </si>
  <si>
    <t>D-1132</t>
  </si>
  <si>
    <t>D-1133</t>
  </si>
  <si>
    <t>D-1134</t>
  </si>
  <si>
    <t>D-1135</t>
  </si>
  <si>
    <t>D-1136</t>
  </si>
  <si>
    <t>D-1137</t>
  </si>
  <si>
    <t>D-1138</t>
  </si>
  <si>
    <t>D-1139</t>
  </si>
  <si>
    <t>D-1140</t>
  </si>
  <si>
    <t>D-1141</t>
  </si>
  <si>
    <t>D-1142</t>
  </si>
  <si>
    <r>
      <t xml:space="preserve">(781)GIOVANY TITLA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</si>
  <si>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D-001143</t>
  </si>
  <si>
    <t>D-1143</t>
  </si>
  <si>
    <t>D-1144</t>
  </si>
  <si>
    <t>D-1145</t>
  </si>
  <si>
    <t>D-1146</t>
  </si>
  <si>
    <t>D-1147</t>
  </si>
  <si>
    <t>D-1148</t>
  </si>
  <si>
    <t>D-1149</t>
  </si>
  <si>
    <t>D-1150</t>
  </si>
  <si>
    <t>D-1151</t>
  </si>
  <si>
    <t>D-1152</t>
  </si>
  <si>
    <t>D-1153</t>
  </si>
  <si>
    <t>D-1154</t>
  </si>
  <si>
    <t>D-1155</t>
  </si>
  <si>
    <t>D-1156</t>
  </si>
  <si>
    <t>D-1157</t>
  </si>
  <si>
    <t>D-1158</t>
  </si>
  <si>
    <t>D-1159</t>
  </si>
  <si>
    <t>D-1160</t>
  </si>
  <si>
    <t>D-1161</t>
  </si>
  <si>
    <t>se sustituyo x la D-001162</t>
  </si>
  <si>
    <t>D-1162</t>
  </si>
  <si>
    <t>D-1163</t>
  </si>
  <si>
    <t>D-1164</t>
  </si>
  <si>
    <t>se sustituyo x la D-001165</t>
  </si>
  <si>
    <t>D-1165</t>
  </si>
  <si>
    <t>D-1166</t>
  </si>
  <si>
    <t>D-1167</t>
  </si>
  <si>
    <t>D-1168</t>
  </si>
  <si>
    <t>D-1169</t>
  </si>
  <si>
    <t>D-1170</t>
  </si>
  <si>
    <t>D-1171</t>
  </si>
  <si>
    <t>D-1172</t>
  </si>
  <si>
    <t>D-1173</t>
  </si>
  <si>
    <t>D-1174</t>
  </si>
  <si>
    <t>D-1175</t>
  </si>
  <si>
    <t>D-1176</t>
  </si>
  <si>
    <t>D-1177</t>
  </si>
  <si>
    <t>D-1178</t>
  </si>
  <si>
    <t>D-1179</t>
  </si>
  <si>
    <t>D-1180</t>
  </si>
  <si>
    <t>D-1181</t>
  </si>
  <si>
    <t>D-1182</t>
  </si>
  <si>
    <t>D-1183</t>
  </si>
  <si>
    <t>D-1184</t>
  </si>
  <si>
    <t>D-1185</t>
  </si>
  <si>
    <t>D-1186</t>
  </si>
  <si>
    <t>D-1187</t>
  </si>
  <si>
    <t>D-1188</t>
  </si>
  <si>
    <t>D-1189</t>
  </si>
  <si>
    <t>D-1190</t>
  </si>
  <si>
    <t>D-1191</t>
  </si>
  <si>
    <t>D-1192</t>
  </si>
  <si>
    <t>D-1193</t>
  </si>
  <si>
    <t>D-1194</t>
  </si>
  <si>
    <t>D-1195</t>
  </si>
  <si>
    <t>D-1196</t>
  </si>
  <si>
    <t>D-1197</t>
  </si>
  <si>
    <t>D-1198</t>
  </si>
  <si>
    <t>D-1199</t>
  </si>
  <si>
    <t>D-1200</t>
  </si>
  <si>
    <t>D-1201</t>
  </si>
  <si>
    <t>D-1202</t>
  </si>
  <si>
    <t>D-1203</t>
  </si>
  <si>
    <t>D-1204</t>
  </si>
  <si>
    <t>D-1205</t>
  </si>
  <si>
    <t>D-1206</t>
  </si>
  <si>
    <t>D-1207</t>
  </si>
  <si>
    <t>D-1208</t>
  </si>
  <si>
    <t>D-1209</t>
  </si>
  <si>
    <t>D-1210</t>
  </si>
  <si>
    <t>D-1211</t>
  </si>
  <si>
    <t>D-1212</t>
  </si>
  <si>
    <t>D-1213</t>
  </si>
  <si>
    <t>D-1214</t>
  </si>
  <si>
    <t>D-1215</t>
  </si>
  <si>
    <t>D-1216</t>
  </si>
  <si>
    <t>D-1217</t>
  </si>
  <si>
    <t>D-1218</t>
  </si>
  <si>
    <t>D-1219</t>
  </si>
  <si>
    <t>D-1220</t>
  </si>
  <si>
    <t>D-1221</t>
  </si>
  <si>
    <t>D-1222</t>
  </si>
  <si>
    <t>D-1223</t>
  </si>
  <si>
    <t>D-1224</t>
  </si>
  <si>
    <t>D-1225</t>
  </si>
  <si>
    <t>D-1226</t>
  </si>
  <si>
    <t>D-1227</t>
  </si>
  <si>
    <t>D-1228</t>
  </si>
  <si>
    <t>D-1229</t>
  </si>
  <si>
    <t>D-1230</t>
  </si>
  <si>
    <t>D-1231</t>
  </si>
  <si>
    <t>D-1232</t>
  </si>
  <si>
    <t>D-1233</t>
  </si>
  <si>
    <t>D-1234</t>
  </si>
  <si>
    <t>D-1235</t>
  </si>
  <si>
    <t>D-1236</t>
  </si>
  <si>
    <t>D-1237</t>
  </si>
  <si>
    <t>D-1238</t>
  </si>
  <si>
    <r>
      <t xml:space="preserve">(699)ISRAEL PADILLA  HABANA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</si>
  <si>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D-001239</t>
  </si>
  <si>
    <t>D-1239</t>
  </si>
  <si>
    <t>D-1240</t>
  </si>
  <si>
    <t>D-1241</t>
  </si>
  <si>
    <t>D-1242</t>
  </si>
  <si>
    <t>D-1243</t>
  </si>
  <si>
    <t>D-1244</t>
  </si>
  <si>
    <t>D-1245</t>
  </si>
  <si>
    <t>D-1246</t>
  </si>
  <si>
    <t>se sustituyo x la D-001606</t>
  </si>
  <si>
    <t>D-1247</t>
  </si>
  <si>
    <t>D-1248</t>
  </si>
  <si>
    <t>D-1249</t>
  </si>
  <si>
    <t>D-1250</t>
  </si>
  <si>
    <t>D-1251</t>
  </si>
  <si>
    <t>D-1252</t>
  </si>
  <si>
    <t>D-1253</t>
  </si>
  <si>
    <t>D-1254</t>
  </si>
  <si>
    <t>D-1255</t>
  </si>
  <si>
    <t>D-1256</t>
  </si>
  <si>
    <t>D-1257</t>
  </si>
  <si>
    <t>D-1258</t>
  </si>
  <si>
    <t>D-1259</t>
  </si>
  <si>
    <t>D-1260</t>
  </si>
  <si>
    <t>D-1261</t>
  </si>
  <si>
    <t>D-1262</t>
  </si>
  <si>
    <t>D-1263</t>
  </si>
  <si>
    <t>D-1264</t>
  </si>
  <si>
    <t>D-1265</t>
  </si>
  <si>
    <t>D-1266</t>
  </si>
  <si>
    <t>D-1267</t>
  </si>
  <si>
    <t>D-1268</t>
  </si>
  <si>
    <t>D-1269</t>
  </si>
  <si>
    <t>D-1270</t>
  </si>
  <si>
    <t>D-1271</t>
  </si>
  <si>
    <t>D-1272</t>
  </si>
  <si>
    <t>D-1273</t>
  </si>
  <si>
    <t>D-1274</t>
  </si>
  <si>
    <t>D-1275</t>
  </si>
  <si>
    <t>D-1276</t>
  </si>
  <si>
    <t>D-1277</t>
  </si>
  <si>
    <t>D-1278</t>
  </si>
  <si>
    <t>D-1279</t>
  </si>
  <si>
    <t>22-Jun-22--23-Jun-22</t>
  </si>
  <si>
    <t>D-1280</t>
  </si>
  <si>
    <t>D-1281</t>
  </si>
  <si>
    <t>D-1282</t>
  </si>
  <si>
    <t>D-1283</t>
  </si>
  <si>
    <t>D-1284</t>
  </si>
  <si>
    <t>D-1285</t>
  </si>
  <si>
    <t>D-1286</t>
  </si>
  <si>
    <t>D-1287</t>
  </si>
  <si>
    <t>D-1288</t>
  </si>
  <si>
    <t>D-1289</t>
  </si>
  <si>
    <t>D-1290</t>
  </si>
  <si>
    <t>D-1291</t>
  </si>
  <si>
    <t>D-1292</t>
  </si>
  <si>
    <t>D-1293</t>
  </si>
  <si>
    <t>D-1294</t>
  </si>
  <si>
    <t>D-1295</t>
  </si>
  <si>
    <t>D-1296</t>
  </si>
  <si>
    <t>D-1297</t>
  </si>
  <si>
    <t>D-1298</t>
  </si>
  <si>
    <t>D-1299</t>
  </si>
  <si>
    <t>D-1300</t>
  </si>
  <si>
    <t>D-1301</t>
  </si>
  <si>
    <t>D-1302</t>
  </si>
  <si>
    <t>D-1303</t>
  </si>
  <si>
    <t>D-1304</t>
  </si>
  <si>
    <t>D-1305</t>
  </si>
  <si>
    <t>D-1306</t>
  </si>
  <si>
    <t>D-1307</t>
  </si>
  <si>
    <t>D-1308</t>
  </si>
  <si>
    <t>D-1309</t>
  </si>
  <si>
    <t>D-1310</t>
  </si>
  <si>
    <t>D-1311</t>
  </si>
  <si>
    <t>D-1312</t>
  </si>
  <si>
    <t>D-1313</t>
  </si>
  <si>
    <t>D-1314</t>
  </si>
  <si>
    <t>D-1315</t>
  </si>
  <si>
    <t>D-1316</t>
  </si>
  <si>
    <t>D-1317</t>
  </si>
  <si>
    <t>D-1318</t>
  </si>
  <si>
    <t>se sustituyo x la D-001320</t>
  </si>
  <si>
    <t>D-1319</t>
  </si>
  <si>
    <t>D-1320</t>
  </si>
  <si>
    <t>D-1321</t>
  </si>
  <si>
    <t>D-1322</t>
  </si>
  <si>
    <t>D-1323</t>
  </si>
  <si>
    <t>D-1324</t>
  </si>
  <si>
    <t>D-1325</t>
  </si>
  <si>
    <t>D-1326</t>
  </si>
  <si>
    <t>D-1327</t>
  </si>
  <si>
    <t>D-1328</t>
  </si>
  <si>
    <t>D-1329</t>
  </si>
  <si>
    <t>D-1330</t>
  </si>
  <si>
    <t>D-1331</t>
  </si>
  <si>
    <t>D-1332</t>
  </si>
  <si>
    <t>D-1333</t>
  </si>
  <si>
    <t>D-1334</t>
  </si>
  <si>
    <t>D-1335</t>
  </si>
  <si>
    <t>D-1336</t>
  </si>
  <si>
    <t>D-1337</t>
  </si>
  <si>
    <t>D-1338</t>
  </si>
  <si>
    <t>D-1339</t>
  </si>
  <si>
    <t>D-1340</t>
  </si>
  <si>
    <t>D-1341</t>
  </si>
  <si>
    <t>D-1342</t>
  </si>
  <si>
    <t>D-1343</t>
  </si>
  <si>
    <t>D-1344</t>
  </si>
  <si>
    <t>D-1345</t>
  </si>
  <si>
    <t>D-1346</t>
  </si>
  <si>
    <t>D-1347</t>
  </si>
  <si>
    <t>D-1348</t>
  </si>
  <si>
    <t>D-1349</t>
  </si>
  <si>
    <t>D-1350</t>
  </si>
  <si>
    <t>D-1351</t>
  </si>
  <si>
    <t>D-1352</t>
  </si>
  <si>
    <t>D-1353</t>
  </si>
  <si>
    <t>D-1354</t>
  </si>
  <si>
    <t>D-1355</t>
  </si>
  <si>
    <t>D-1356</t>
  </si>
  <si>
    <t>D-1357</t>
  </si>
  <si>
    <t>D-1358</t>
  </si>
  <si>
    <t>D-1359</t>
  </si>
  <si>
    <t>D-1360</t>
  </si>
  <si>
    <t>D-1361</t>
  </si>
  <si>
    <t>D-1362</t>
  </si>
  <si>
    <t>D-1363</t>
  </si>
  <si>
    <t>D-1364</t>
  </si>
  <si>
    <t>D-1365</t>
  </si>
  <si>
    <t>D-1366</t>
  </si>
  <si>
    <t>D-1367</t>
  </si>
  <si>
    <t>D-1368</t>
  </si>
  <si>
    <t>D-1369</t>
  </si>
  <si>
    <t>D-1370</t>
  </si>
  <si>
    <t>D-1371</t>
  </si>
  <si>
    <t>D-1372</t>
  </si>
  <si>
    <t>D-1373</t>
  </si>
  <si>
    <t>D-1374</t>
  </si>
  <si>
    <t>D-1375</t>
  </si>
  <si>
    <t>D-1376</t>
  </si>
  <si>
    <t>D-1377</t>
  </si>
  <si>
    <t>D-1378</t>
  </si>
  <si>
    <t>D-1379</t>
  </si>
  <si>
    <t>D-1380</t>
  </si>
  <si>
    <t>D-1381</t>
  </si>
  <si>
    <t>D-1382</t>
  </si>
  <si>
    <t>D-1383</t>
  </si>
  <si>
    <t>D-1384</t>
  </si>
  <si>
    <t>D-1385</t>
  </si>
  <si>
    <t>D-1386</t>
  </si>
  <si>
    <t>D-1387</t>
  </si>
  <si>
    <t>D-1388</t>
  </si>
  <si>
    <t>D-1389</t>
  </si>
  <si>
    <t>D-1390</t>
  </si>
  <si>
    <t>D-1391</t>
  </si>
  <si>
    <t>D-1392</t>
  </si>
  <si>
    <t>D-1393</t>
  </si>
  <si>
    <t>D-1394</t>
  </si>
  <si>
    <t>D-1395</t>
  </si>
  <si>
    <t>D-1396</t>
  </si>
  <si>
    <t>D-1397</t>
  </si>
  <si>
    <t>D-1398</t>
  </si>
  <si>
    <t>D-1399</t>
  </si>
  <si>
    <r>
      <t>(263)LEONARDO SANCHEZ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</si>
  <si>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D-1400</t>
  </si>
  <si>
    <t>D-1401</t>
  </si>
  <si>
    <t>D-1402</t>
  </si>
  <si>
    <t>D-1403</t>
  </si>
  <si>
    <t>D-1404</t>
  </si>
  <si>
    <t>D-1405</t>
  </si>
  <si>
    <t>D-1406</t>
  </si>
  <si>
    <t>D-1407</t>
  </si>
  <si>
    <t>D-1408</t>
  </si>
  <si>
    <t>D-1409</t>
  </si>
  <si>
    <t>D-1410</t>
  </si>
  <si>
    <t>D-1411</t>
  </si>
  <si>
    <t>D-1412</t>
  </si>
  <si>
    <t>D-1413</t>
  </si>
  <si>
    <t>D-1414</t>
  </si>
  <si>
    <t>D-1415</t>
  </si>
  <si>
    <t>D-1416</t>
  </si>
  <si>
    <t>D-1417</t>
  </si>
  <si>
    <t>D-1418</t>
  </si>
  <si>
    <t>D-1419</t>
  </si>
  <si>
    <t>D-1420</t>
  </si>
  <si>
    <t>D-1421</t>
  </si>
  <si>
    <t>D-1422</t>
  </si>
  <si>
    <t>D-1423</t>
  </si>
  <si>
    <t>D-1424</t>
  </si>
  <si>
    <t>D-1425</t>
  </si>
  <si>
    <t>se sustituyo x la D-001453</t>
  </si>
  <si>
    <t>D-1426</t>
  </si>
  <si>
    <t>D-1427</t>
  </si>
  <si>
    <t>D-1428</t>
  </si>
  <si>
    <t>D-1429</t>
  </si>
  <si>
    <t>se sustituyo x la D-001436</t>
  </si>
  <si>
    <t>D-1430</t>
  </si>
  <si>
    <t>D-1431</t>
  </si>
  <si>
    <t>D-1432</t>
  </si>
  <si>
    <t>D-1433</t>
  </si>
  <si>
    <r>
      <t xml:space="preserve">(122)PATY FLORES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</si>
  <si>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D-001437</t>
  </si>
  <si>
    <t>D-1434</t>
  </si>
  <si>
    <t>D-1435</t>
  </si>
  <si>
    <t>D-1436</t>
  </si>
  <si>
    <t>D-1437</t>
  </si>
  <si>
    <t>D-1438</t>
  </si>
  <si>
    <t>D-1439</t>
  </si>
  <si>
    <t>D-1440</t>
  </si>
  <si>
    <t>D-1441</t>
  </si>
  <si>
    <t>D-1442</t>
  </si>
  <si>
    <t>D-1443</t>
  </si>
  <si>
    <t>D-1444</t>
  </si>
  <si>
    <t>D-1445</t>
  </si>
  <si>
    <t>D-1446</t>
  </si>
  <si>
    <t>D-1447</t>
  </si>
  <si>
    <t>D-1448</t>
  </si>
  <si>
    <t>D-1449</t>
  </si>
  <si>
    <t>D-1450</t>
  </si>
  <si>
    <t>D-1451</t>
  </si>
  <si>
    <t>D-1452</t>
  </si>
  <si>
    <t>D-1453</t>
  </si>
  <si>
    <t>D-1454</t>
  </si>
  <si>
    <t>D-1455</t>
  </si>
  <si>
    <t>D-1456</t>
  </si>
  <si>
    <t>D-1457</t>
  </si>
  <si>
    <t>D-1458</t>
  </si>
  <si>
    <t>D-1459</t>
  </si>
  <si>
    <t>D-1460</t>
  </si>
  <si>
    <t>D-1461</t>
  </si>
  <si>
    <t>D-1462</t>
  </si>
  <si>
    <t>D-1463</t>
  </si>
  <si>
    <t>D-1464</t>
  </si>
  <si>
    <t>D-1465</t>
  </si>
  <si>
    <t>21/06/2022</t>
  </si>
  <si>
    <t>D-1466</t>
  </si>
  <si>
    <t>D-1467</t>
  </si>
  <si>
    <t>D-1468</t>
  </si>
  <si>
    <t>D-1469</t>
  </si>
  <si>
    <t>D-1470</t>
  </si>
  <si>
    <t>D-1471</t>
  </si>
  <si>
    <t>D-1472</t>
  </si>
  <si>
    <t>D-1473</t>
  </si>
  <si>
    <t>D-1474</t>
  </si>
  <si>
    <t>D-1475</t>
  </si>
  <si>
    <t>D-1476</t>
  </si>
  <si>
    <t>D-1477</t>
  </si>
  <si>
    <t>D-1478</t>
  </si>
  <si>
    <t>D-1479</t>
  </si>
  <si>
    <t>D-1480</t>
  </si>
  <si>
    <t>D-1481</t>
  </si>
  <si>
    <t>D-1482</t>
  </si>
  <si>
    <t>D-1483</t>
  </si>
  <si>
    <t>D-1484</t>
  </si>
  <si>
    <t>D-1485</t>
  </si>
  <si>
    <t>D-1486</t>
  </si>
  <si>
    <t>D-1487</t>
  </si>
  <si>
    <t>D-1488</t>
  </si>
  <si>
    <t>D-1489</t>
  </si>
  <si>
    <t>D-1490</t>
  </si>
  <si>
    <t>D-1491</t>
  </si>
  <si>
    <t>D-1492</t>
  </si>
  <si>
    <t>D-1493</t>
  </si>
  <si>
    <t>D-1494</t>
  </si>
  <si>
    <t>D-1495</t>
  </si>
  <si>
    <t>D-1496</t>
  </si>
  <si>
    <t>D-1497</t>
  </si>
  <si>
    <t>D-1498</t>
  </si>
  <si>
    <t>D-1499</t>
  </si>
  <si>
    <t>D-1500</t>
  </si>
  <si>
    <t>D-1501</t>
  </si>
  <si>
    <t>D-1502</t>
  </si>
  <si>
    <t>D-1503</t>
  </si>
  <si>
    <t>D-1504</t>
  </si>
  <si>
    <t>D-1505</t>
  </si>
  <si>
    <t>D-1506</t>
  </si>
  <si>
    <t>D-1507</t>
  </si>
  <si>
    <t>D-1508</t>
  </si>
  <si>
    <t>D-1509</t>
  </si>
  <si>
    <t>D-1510</t>
  </si>
  <si>
    <t>D-1511</t>
  </si>
  <si>
    <t>D-1512</t>
  </si>
  <si>
    <t>23-Jun-22--24-Jun-22</t>
  </si>
  <si>
    <t>D-1513</t>
  </si>
  <si>
    <t>D-1514</t>
  </si>
  <si>
    <t>23/06/2022</t>
  </si>
  <si>
    <t>D-1515</t>
  </si>
  <si>
    <t>D-1516</t>
  </si>
  <si>
    <t>D-1517</t>
  </si>
  <si>
    <t>D-1518</t>
  </si>
  <si>
    <t>D-1519</t>
  </si>
  <si>
    <t>D-1520</t>
  </si>
  <si>
    <t>D-1521</t>
  </si>
  <si>
    <t>D-1522</t>
  </si>
  <si>
    <t>D-1523</t>
  </si>
  <si>
    <t>D-1524</t>
  </si>
  <si>
    <t>D-1525</t>
  </si>
  <si>
    <t>D-1526</t>
  </si>
  <si>
    <t>D-1527</t>
  </si>
  <si>
    <t>D-1528</t>
  </si>
  <si>
    <t>D-1529</t>
  </si>
  <si>
    <t>D-1530</t>
  </si>
  <si>
    <t>D-1531</t>
  </si>
  <si>
    <t>D-1532</t>
  </si>
  <si>
    <t>D-1533</t>
  </si>
  <si>
    <t>D-1534</t>
  </si>
  <si>
    <t>D-1535</t>
  </si>
  <si>
    <t>D-1536</t>
  </si>
  <si>
    <t>D-1537</t>
  </si>
  <si>
    <t>D-1538</t>
  </si>
  <si>
    <t>D-1539</t>
  </si>
  <si>
    <t>D-1540</t>
  </si>
  <si>
    <t>D-1541</t>
  </si>
  <si>
    <t>D-1542</t>
  </si>
  <si>
    <t>D-1543</t>
  </si>
  <si>
    <t>D-1544</t>
  </si>
  <si>
    <t>D-1545</t>
  </si>
  <si>
    <t>D-1546</t>
  </si>
  <si>
    <t>D-1547</t>
  </si>
  <si>
    <t>D-1548</t>
  </si>
  <si>
    <t>D-1549</t>
  </si>
  <si>
    <t>D-1550</t>
  </si>
  <si>
    <t>D-1551</t>
  </si>
  <si>
    <t>D-1552</t>
  </si>
  <si>
    <t>D-1553</t>
  </si>
  <si>
    <t>D-1554</t>
  </si>
  <si>
    <t>D-1555</t>
  </si>
  <si>
    <t>D-1556</t>
  </si>
  <si>
    <t>D-1557</t>
  </si>
  <si>
    <t>D-1558</t>
  </si>
  <si>
    <t>D-1559</t>
  </si>
  <si>
    <t>D-1560</t>
  </si>
  <si>
    <t>D-1561</t>
  </si>
  <si>
    <t>D-1562</t>
  </si>
  <si>
    <t>D-1563</t>
  </si>
  <si>
    <t>D-1564</t>
  </si>
  <si>
    <t>D-1565</t>
  </si>
  <si>
    <t>D-1566</t>
  </si>
  <si>
    <t>D-1567</t>
  </si>
  <si>
    <t>D-1568</t>
  </si>
  <si>
    <t>D-1569</t>
  </si>
  <si>
    <t>D-1570</t>
  </si>
  <si>
    <t>D-1571</t>
  </si>
  <si>
    <t>D-1572</t>
  </si>
  <si>
    <t>D-1573</t>
  </si>
  <si>
    <t>D-1574</t>
  </si>
  <si>
    <t>D-1575</t>
  </si>
  <si>
    <t>D-1576</t>
  </si>
  <si>
    <t>D-1577</t>
  </si>
  <si>
    <t>D-1578</t>
  </si>
  <si>
    <t>D-1579</t>
  </si>
  <si>
    <t>D-1580</t>
  </si>
  <si>
    <t>D-1581</t>
  </si>
  <si>
    <t>D-1582</t>
  </si>
  <si>
    <t>D-1583</t>
  </si>
  <si>
    <t>D-1584</t>
  </si>
  <si>
    <t>D-1585</t>
  </si>
  <si>
    <t>D-1586</t>
  </si>
  <si>
    <t>D-1587</t>
  </si>
  <si>
    <r>
      <t xml:space="preserve">(415)VIKI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</si>
  <si>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D001595</t>
  </si>
  <si>
    <t>D-1588</t>
  </si>
  <si>
    <t>D-1589</t>
  </si>
  <si>
    <t>D-1590</t>
  </si>
  <si>
    <t>D-1591</t>
  </si>
  <si>
    <t>D-1592</t>
  </si>
  <si>
    <t>D-1593</t>
  </si>
  <si>
    <t>D-1594</t>
  </si>
  <si>
    <t>D-1595</t>
  </si>
  <si>
    <t>se sustituyo x la D001609</t>
  </si>
  <si>
    <t>D-1596</t>
  </si>
  <si>
    <t>D-1597</t>
  </si>
  <si>
    <t>D-1598</t>
  </si>
  <si>
    <t>D-1599</t>
  </si>
  <si>
    <t>D-1600</t>
  </si>
  <si>
    <t>D-1601</t>
  </si>
  <si>
    <t>D-1602</t>
  </si>
  <si>
    <t>D-1603</t>
  </si>
  <si>
    <t>D-1604</t>
  </si>
  <si>
    <t>D-1605</t>
  </si>
  <si>
    <t>D-1606</t>
  </si>
  <si>
    <t>D-1607</t>
  </si>
  <si>
    <t>D-1608</t>
  </si>
  <si>
    <t>D-1609</t>
  </si>
  <si>
    <t>D-1610</t>
  </si>
  <si>
    <t>D-1611</t>
  </si>
  <si>
    <t>D-1612</t>
  </si>
  <si>
    <t>D-1613</t>
  </si>
  <si>
    <t>D-1614</t>
  </si>
  <si>
    <t>D-1615</t>
  </si>
  <si>
    <t>D-1616</t>
  </si>
  <si>
    <t>D-1617</t>
  </si>
  <si>
    <t>D-1618</t>
  </si>
  <si>
    <t>D-1619</t>
  </si>
  <si>
    <t>D-1620</t>
  </si>
  <si>
    <t>24-Jun-22--25-Jun-22</t>
  </si>
  <si>
    <t>D-1621</t>
  </si>
  <si>
    <t>D-1622</t>
  </si>
  <si>
    <t>D-1623</t>
  </si>
  <si>
    <t>D-1624</t>
  </si>
  <si>
    <t>D-1625</t>
  </si>
  <si>
    <t>D-1626</t>
  </si>
  <si>
    <t>D-1627</t>
  </si>
  <si>
    <t>D-1628</t>
  </si>
  <si>
    <t>D-1629</t>
  </si>
  <si>
    <t>D-1630</t>
  </si>
  <si>
    <t>D-1631</t>
  </si>
  <si>
    <t>D-1632</t>
  </si>
  <si>
    <t>D-1633</t>
  </si>
  <si>
    <t>D-1634</t>
  </si>
  <si>
    <t>D-1635</t>
  </si>
  <si>
    <t>D-1636</t>
  </si>
  <si>
    <t>D-1637</t>
  </si>
  <si>
    <t>D-1638</t>
  </si>
  <si>
    <t>D-1639</t>
  </si>
  <si>
    <t>D-1640</t>
  </si>
  <si>
    <t>D-1641</t>
  </si>
  <si>
    <t>D-1642</t>
  </si>
  <si>
    <t>D-1643</t>
  </si>
  <si>
    <t>D-1644</t>
  </si>
  <si>
    <t>D-1645</t>
  </si>
  <si>
    <t>D-1646</t>
  </si>
  <si>
    <t>D-1647</t>
  </si>
  <si>
    <t>D-1648</t>
  </si>
  <si>
    <t>D-1649</t>
  </si>
  <si>
    <t>D-1650</t>
  </si>
  <si>
    <t>D-1651</t>
  </si>
  <si>
    <t>D-1652</t>
  </si>
  <si>
    <t>D-1653</t>
  </si>
  <si>
    <t>D-1654</t>
  </si>
  <si>
    <t>D-1655</t>
  </si>
  <si>
    <t>D-1656</t>
  </si>
  <si>
    <t>D-1657</t>
  </si>
  <si>
    <t>D-1658</t>
  </si>
  <si>
    <t>D-1659</t>
  </si>
  <si>
    <t>D-1660</t>
  </si>
  <si>
    <t>D-1661</t>
  </si>
  <si>
    <t>D-1662</t>
  </si>
  <si>
    <t>D-1663</t>
  </si>
  <si>
    <t>D-1664</t>
  </si>
  <si>
    <r>
      <t xml:space="preserve">(618)CORAZON DE BRASIL SANTA ANA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</si>
  <si>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 D001669</t>
  </si>
  <si>
    <t>D-1665</t>
  </si>
  <si>
    <t>D-1666</t>
  </si>
  <si>
    <t>D-1667</t>
  </si>
  <si>
    <t>D-1668</t>
  </si>
  <si>
    <t>D-1669</t>
  </si>
  <si>
    <t>D-1670</t>
  </si>
  <si>
    <t>D-1671</t>
  </si>
  <si>
    <t>D-1672</t>
  </si>
  <si>
    <t>D-1673</t>
  </si>
  <si>
    <t>D-1674</t>
  </si>
  <si>
    <t>D-1675</t>
  </si>
  <si>
    <t>D-1676</t>
  </si>
  <si>
    <t>D-1677</t>
  </si>
  <si>
    <t>D-1678</t>
  </si>
  <si>
    <t>D-1679</t>
  </si>
  <si>
    <t>D-1680</t>
  </si>
  <si>
    <t>D-1681</t>
  </si>
  <si>
    <t>D-1682</t>
  </si>
  <si>
    <t>D-1683</t>
  </si>
  <si>
    <t>D-1684</t>
  </si>
  <si>
    <t>D-1685</t>
  </si>
  <si>
    <t>D-1686</t>
  </si>
  <si>
    <t>D-1687</t>
  </si>
  <si>
    <t>23-Jul-22--24-Jun-22</t>
  </si>
  <si>
    <t>D-1688</t>
  </si>
  <si>
    <t>D-1689</t>
  </si>
  <si>
    <t>D-1690</t>
  </si>
  <si>
    <t>D-1691</t>
  </si>
  <si>
    <t>D-1692</t>
  </si>
  <si>
    <t>D-1693</t>
  </si>
  <si>
    <t>D-1694</t>
  </si>
  <si>
    <t>D-1695</t>
  </si>
  <si>
    <t>D-1696</t>
  </si>
  <si>
    <t>D-1697</t>
  </si>
  <si>
    <t>D-1698</t>
  </si>
  <si>
    <t>D-1699</t>
  </si>
  <si>
    <t>se sustituyo x la   D001701</t>
  </si>
  <si>
    <t>D-1700</t>
  </si>
  <si>
    <t>D-1701</t>
  </si>
  <si>
    <t>D-1702</t>
  </si>
  <si>
    <t>D-1703</t>
  </si>
  <si>
    <t>D-1704</t>
  </si>
  <si>
    <t>D-1705</t>
  </si>
  <si>
    <t>D-1706</t>
  </si>
  <si>
    <t>D-1707</t>
  </si>
  <si>
    <t>D-1708</t>
  </si>
  <si>
    <t>D-1709</t>
  </si>
  <si>
    <t>D-1710</t>
  </si>
  <si>
    <t>D-1711</t>
  </si>
  <si>
    <t>D-1712</t>
  </si>
  <si>
    <t>D-1713</t>
  </si>
  <si>
    <t>D-1714</t>
  </si>
  <si>
    <t>D-1715</t>
  </si>
  <si>
    <t>D-1716</t>
  </si>
  <si>
    <t>D-1717</t>
  </si>
  <si>
    <t>D-1718</t>
  </si>
  <si>
    <t>D-1719</t>
  </si>
  <si>
    <t>D-1720</t>
  </si>
  <si>
    <t>D-1721</t>
  </si>
  <si>
    <t>D-1722</t>
  </si>
  <si>
    <t>23-Jun-22--25-Jun-22</t>
  </si>
  <si>
    <t>D-1723</t>
  </si>
  <si>
    <t>D-1724</t>
  </si>
  <si>
    <t>D-1725</t>
  </si>
  <si>
    <t>D-1726</t>
  </si>
  <si>
    <t>D-1727</t>
  </si>
  <si>
    <t>D-1728</t>
  </si>
  <si>
    <t>D-1729</t>
  </si>
  <si>
    <t>D-1730</t>
  </si>
  <si>
    <t>D-1731</t>
  </si>
  <si>
    <t>D-1732</t>
  </si>
  <si>
    <t>D-1733</t>
  </si>
  <si>
    <t>D-1734</t>
  </si>
  <si>
    <t>D-1735</t>
  </si>
  <si>
    <t>D-1736</t>
  </si>
  <si>
    <t>D-1737</t>
  </si>
  <si>
    <t>D-1738</t>
  </si>
  <si>
    <t>25-Jun-22--26-Jun-22</t>
  </si>
  <si>
    <t>D-1739</t>
  </si>
  <si>
    <t>D-1740</t>
  </si>
  <si>
    <t>25-Jun-22--27-Jun-22</t>
  </si>
  <si>
    <t>D-1741</t>
  </si>
  <si>
    <t>D-1742</t>
  </si>
  <si>
    <t>D-1743</t>
  </si>
  <si>
    <t>D-1744</t>
  </si>
  <si>
    <t>D-1745</t>
  </si>
  <si>
    <t>D-1746</t>
  </si>
  <si>
    <t>D-1747</t>
  </si>
  <si>
    <t>D-1748</t>
  </si>
  <si>
    <t>D-1749</t>
  </si>
  <si>
    <t>D-1750</t>
  </si>
  <si>
    <t>D-1751</t>
  </si>
  <si>
    <t>D-1752</t>
  </si>
  <si>
    <t>D-1753</t>
  </si>
  <si>
    <t>D-1754</t>
  </si>
  <si>
    <t>D-1755</t>
  </si>
  <si>
    <t>25-Jul-22--27-Jun-22</t>
  </si>
  <si>
    <t>D-1756</t>
  </si>
  <si>
    <t>D-1757</t>
  </si>
  <si>
    <t>D-1758</t>
  </si>
  <si>
    <t>D-1759</t>
  </si>
  <si>
    <t>D-1760</t>
  </si>
  <si>
    <t>D-1761</t>
  </si>
  <si>
    <t>D-1762</t>
  </si>
  <si>
    <t>D-1763</t>
  </si>
  <si>
    <t>D-1764</t>
  </si>
  <si>
    <t>D-1765</t>
  </si>
  <si>
    <t>D-1766</t>
  </si>
  <si>
    <t>D-1767</t>
  </si>
  <si>
    <t>D-1768</t>
  </si>
  <si>
    <t>D-1769</t>
  </si>
  <si>
    <t>D-1770</t>
  </si>
  <si>
    <t>D-1771</t>
  </si>
  <si>
    <t>D-1772</t>
  </si>
  <si>
    <t>D-1773</t>
  </si>
  <si>
    <t>D-1774</t>
  </si>
  <si>
    <t>D-1775</t>
  </si>
  <si>
    <t>D-1776</t>
  </si>
  <si>
    <t>D-1777</t>
  </si>
  <si>
    <t>D-1778</t>
  </si>
  <si>
    <t>D-1779</t>
  </si>
  <si>
    <t>D-1780</t>
  </si>
  <si>
    <t>D-1781</t>
  </si>
  <si>
    <t>D-1782</t>
  </si>
  <si>
    <t>D-1783</t>
  </si>
  <si>
    <t>D-1784</t>
  </si>
  <si>
    <t>D-1785</t>
  </si>
  <si>
    <t>D-1786</t>
  </si>
  <si>
    <t>D-1787</t>
  </si>
  <si>
    <t>D-1788</t>
  </si>
  <si>
    <t>D-1789</t>
  </si>
  <si>
    <t>D-1790</t>
  </si>
  <si>
    <t>D-1791</t>
  </si>
  <si>
    <t>D-1792</t>
  </si>
  <si>
    <t>D-1793</t>
  </si>
  <si>
    <t>D-1794</t>
  </si>
  <si>
    <t>D-1795</t>
  </si>
  <si>
    <t>D-1796</t>
  </si>
  <si>
    <t>D-1797</t>
  </si>
  <si>
    <t>D-1798</t>
  </si>
  <si>
    <t>D-1799</t>
  </si>
  <si>
    <t>D-1800</t>
  </si>
  <si>
    <t>D-1801</t>
  </si>
  <si>
    <t>D-1802</t>
  </si>
  <si>
    <t>D-1803</t>
  </si>
  <si>
    <t>D-1804</t>
  </si>
  <si>
    <t>D-1805</t>
  </si>
  <si>
    <t>D-1806</t>
  </si>
  <si>
    <t>D-1807</t>
  </si>
  <si>
    <t>D-1808</t>
  </si>
  <si>
    <t>D-1809</t>
  </si>
  <si>
    <t>D-1810</t>
  </si>
  <si>
    <t>D-1811</t>
  </si>
  <si>
    <t>D-1812</t>
  </si>
  <si>
    <t>D-1813</t>
  </si>
  <si>
    <t>D-1814</t>
  </si>
  <si>
    <t>D-1815</t>
  </si>
  <si>
    <t>D-1816</t>
  </si>
  <si>
    <t>D-1817</t>
  </si>
  <si>
    <t>D-1818</t>
  </si>
  <si>
    <t>D-1819</t>
  </si>
  <si>
    <t>D-1820</t>
  </si>
  <si>
    <t>D-1821</t>
  </si>
  <si>
    <t>D-1822</t>
  </si>
  <si>
    <t>D-1823</t>
  </si>
  <si>
    <t>D-1824</t>
  </si>
  <si>
    <t>D-1825</t>
  </si>
  <si>
    <t>D-1826</t>
  </si>
  <si>
    <t>D-1827</t>
  </si>
  <si>
    <t>D-1828</t>
  </si>
  <si>
    <t>D-1829</t>
  </si>
  <si>
    <t>D-1830</t>
  </si>
  <si>
    <t>D-1831</t>
  </si>
  <si>
    <t>D-1832</t>
  </si>
  <si>
    <t>D-1833</t>
  </si>
  <si>
    <t>D-1834</t>
  </si>
  <si>
    <t>D-1835</t>
  </si>
  <si>
    <t>D-1836</t>
  </si>
  <si>
    <t>D-1837</t>
  </si>
  <si>
    <t>D-1838</t>
  </si>
  <si>
    <t>D-1839</t>
  </si>
  <si>
    <t>D-1840</t>
  </si>
  <si>
    <t>D-1841</t>
  </si>
  <si>
    <t>D-1842</t>
  </si>
  <si>
    <t>D-1843</t>
  </si>
  <si>
    <t>D-1844</t>
  </si>
  <si>
    <t>D-1845</t>
  </si>
  <si>
    <t>D-1846</t>
  </si>
  <si>
    <t>D-1847</t>
  </si>
  <si>
    <t>D-1848</t>
  </si>
  <si>
    <t>D-1849</t>
  </si>
  <si>
    <t>D-1850</t>
  </si>
  <si>
    <t>D-1851</t>
  </si>
  <si>
    <t>D-1852</t>
  </si>
  <si>
    <t>D-1853</t>
  </si>
  <si>
    <t>D-1854</t>
  </si>
  <si>
    <t>D-1855</t>
  </si>
  <si>
    <t>D-1856</t>
  </si>
  <si>
    <t>26-Jun-22--27-Jun-22</t>
  </si>
  <si>
    <t>D-1857</t>
  </si>
  <si>
    <t>D-1858</t>
  </si>
  <si>
    <t>D-1859</t>
  </si>
  <si>
    <t>D-1860</t>
  </si>
  <si>
    <t>D-1861</t>
  </si>
  <si>
    <t>D-1862</t>
  </si>
  <si>
    <t>D-1863</t>
  </si>
  <si>
    <t>D-1864</t>
  </si>
  <si>
    <t>D-1865</t>
  </si>
  <si>
    <t>27-Jun-22--28-Jun-22--29-Jun-22</t>
  </si>
  <si>
    <t>D-1866</t>
  </si>
  <si>
    <t xml:space="preserve">27-Jun-22--28-Jun-22  </t>
  </si>
  <si>
    <t>D-1867</t>
  </si>
  <si>
    <t>D-1868</t>
  </si>
  <si>
    <t>D-1869</t>
  </si>
  <si>
    <t>D-1870</t>
  </si>
  <si>
    <t>D-1871</t>
  </si>
  <si>
    <t>D-1872</t>
  </si>
  <si>
    <t>D-1873</t>
  </si>
  <si>
    <t>D-1874</t>
  </si>
  <si>
    <t>D-1875</t>
  </si>
  <si>
    <t>D-1876</t>
  </si>
  <si>
    <t>D-1877</t>
  </si>
  <si>
    <t>D-1878</t>
  </si>
  <si>
    <t>D-1879</t>
  </si>
  <si>
    <t>D-1880</t>
  </si>
  <si>
    <t>D-1881</t>
  </si>
  <si>
    <t>D-1882</t>
  </si>
  <si>
    <t>D-1883</t>
  </si>
  <si>
    <t>D-1884</t>
  </si>
  <si>
    <t>D-1885</t>
  </si>
  <si>
    <t>D-1886</t>
  </si>
  <si>
    <t>D-1887</t>
  </si>
  <si>
    <t>D-1888</t>
  </si>
  <si>
    <t>D-1889</t>
  </si>
  <si>
    <t>D-1890</t>
  </si>
  <si>
    <t>D-1891</t>
  </si>
  <si>
    <t>D-1892</t>
  </si>
  <si>
    <t>D-1893</t>
  </si>
  <si>
    <t>D-1894</t>
  </si>
  <si>
    <t>D-1895</t>
  </si>
  <si>
    <t>D-1896</t>
  </si>
  <si>
    <t>D-1897</t>
  </si>
  <si>
    <t>D-1898</t>
  </si>
  <si>
    <t>D-1899</t>
  </si>
  <si>
    <t>D-1900</t>
  </si>
  <si>
    <t>D-1901</t>
  </si>
  <si>
    <t>D-1902</t>
  </si>
  <si>
    <t>D-1903</t>
  </si>
  <si>
    <t>D-1904</t>
  </si>
  <si>
    <t>D-1905</t>
  </si>
  <si>
    <t>D-1906</t>
  </si>
  <si>
    <r>
      <t xml:space="preserve">(900)GUADALUPE ANDRADE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</si>
  <si>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D-1907</t>
  </si>
  <si>
    <t>D-1908</t>
  </si>
  <si>
    <t>D-1909</t>
  </si>
  <si>
    <t>D-1910</t>
  </si>
  <si>
    <t>D-1911</t>
  </si>
  <si>
    <t>D-1912</t>
  </si>
  <si>
    <t>D-1913</t>
  </si>
  <si>
    <t>D-1914</t>
  </si>
  <si>
    <t>D-1915</t>
  </si>
  <si>
    <t>D-1916</t>
  </si>
  <si>
    <t>D-1917</t>
  </si>
  <si>
    <t>D-1918</t>
  </si>
  <si>
    <t>D-1919</t>
  </si>
  <si>
    <t>D-1920</t>
  </si>
  <si>
    <t>D-1921</t>
  </si>
  <si>
    <t>D-1922</t>
  </si>
  <si>
    <t>D-1923</t>
  </si>
  <si>
    <t>D-1924</t>
  </si>
  <si>
    <t>D-1925</t>
  </si>
  <si>
    <t>D-1926</t>
  </si>
  <si>
    <t>D-1927</t>
  </si>
  <si>
    <t>D-1928</t>
  </si>
  <si>
    <t>D-1929</t>
  </si>
  <si>
    <t>D-1930</t>
  </si>
  <si>
    <t>D-1931</t>
  </si>
  <si>
    <t>D-1932</t>
  </si>
  <si>
    <t>D-1933</t>
  </si>
  <si>
    <r>
      <t xml:space="preserve">(247)SALOME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</si>
  <si>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D-1934</t>
  </si>
  <si>
    <t>D-1935</t>
  </si>
  <si>
    <t>D-1936</t>
  </si>
  <si>
    <t>D-1937</t>
  </si>
  <si>
    <t>D-1938</t>
  </si>
  <si>
    <t>D-1939</t>
  </si>
  <si>
    <t>(903)ELIZABETH</t>
  </si>
  <si>
    <t>D-1940</t>
  </si>
  <si>
    <t>D-1941</t>
  </si>
  <si>
    <t>D-1942</t>
  </si>
  <si>
    <t>D-1943</t>
  </si>
  <si>
    <t>D-1944</t>
  </si>
  <si>
    <t>D-1945</t>
  </si>
  <si>
    <t>D-1946</t>
  </si>
  <si>
    <t>D-1947</t>
  </si>
  <si>
    <t>D-1948</t>
  </si>
  <si>
    <t>D-1949</t>
  </si>
  <si>
    <t>D-1950</t>
  </si>
  <si>
    <t>D-1951</t>
  </si>
  <si>
    <t>D-1952</t>
  </si>
  <si>
    <t>D-1953</t>
  </si>
  <si>
    <t>D-1954</t>
  </si>
  <si>
    <t>D-1955</t>
  </si>
  <si>
    <t>D-1956</t>
  </si>
  <si>
    <t>D-1957</t>
  </si>
  <si>
    <t>D-1958</t>
  </si>
  <si>
    <t>D-1959</t>
  </si>
  <si>
    <r>
      <t xml:space="preserve">(64)CARBONCITO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</si>
  <si>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D001963</t>
  </si>
  <si>
    <t>D-1960</t>
  </si>
  <si>
    <t>D-1961</t>
  </si>
  <si>
    <t>D-1962</t>
  </si>
  <si>
    <t>D-1963</t>
  </si>
  <si>
    <t>D-1964</t>
  </si>
  <si>
    <t>D-1965</t>
  </si>
  <si>
    <t>D-1966</t>
  </si>
  <si>
    <t>D-1967</t>
  </si>
  <si>
    <t>D-1968</t>
  </si>
  <si>
    <t>D-1969</t>
  </si>
  <si>
    <r>
      <t xml:space="preserve">(839)RESTAURANT EL TEOTON  </t>
    </r>
    <r>
      <rPr>
        <b/>
        <sz val="12"/>
        <color rgb="FFFF0000"/>
        <rFont val="Calibri"/>
        <family val="2"/>
        <scheme val="minor"/>
      </rPr>
      <t>CANCELADA</t>
    </r>
  </si>
  <si>
    <t>se sustituyo x la   D001970</t>
  </si>
  <si>
    <t>D-1970</t>
  </si>
  <si>
    <t>D-1971</t>
  </si>
  <si>
    <t>D-1972</t>
  </si>
  <si>
    <t>D-1973</t>
  </si>
  <si>
    <t>D-1974</t>
  </si>
  <si>
    <t>D-1975</t>
  </si>
  <si>
    <t>D-1976</t>
  </si>
  <si>
    <t>D-1977</t>
  </si>
  <si>
    <t>D-1978</t>
  </si>
  <si>
    <t>D-1979</t>
  </si>
  <si>
    <t>27-Jun-22--28-Jun-22</t>
  </si>
  <si>
    <t>D-1980</t>
  </si>
  <si>
    <t>D-1981</t>
  </si>
  <si>
    <t>D-1982</t>
  </si>
  <si>
    <t>D-1983</t>
  </si>
  <si>
    <t>D-1984</t>
  </si>
  <si>
    <t>D-1985</t>
  </si>
  <si>
    <t>D-1986</t>
  </si>
  <si>
    <t>D-1987</t>
  </si>
  <si>
    <t>D-1988</t>
  </si>
  <si>
    <t>D-1989</t>
  </si>
  <si>
    <t>D-1990</t>
  </si>
  <si>
    <t>D-1991</t>
  </si>
  <si>
    <t>D-1992</t>
  </si>
  <si>
    <t>D-1993</t>
  </si>
  <si>
    <t>D-1994</t>
  </si>
  <si>
    <t>D-1995</t>
  </si>
  <si>
    <t>D-1996</t>
  </si>
  <si>
    <t>D-1997</t>
  </si>
  <si>
    <t>D-1998</t>
  </si>
  <si>
    <t>D-1999</t>
  </si>
  <si>
    <t>D-2000</t>
  </si>
  <si>
    <t>D-2001</t>
  </si>
  <si>
    <t>D-2002</t>
  </si>
  <si>
    <t>D-2003</t>
  </si>
  <si>
    <t>D-2004</t>
  </si>
  <si>
    <t>D-2005</t>
  </si>
  <si>
    <t>D-2006</t>
  </si>
  <si>
    <t>D-2007</t>
  </si>
  <si>
    <t>D-2008</t>
  </si>
  <si>
    <t>D-2009</t>
  </si>
  <si>
    <t>D-2010</t>
  </si>
  <si>
    <t>D-2011</t>
  </si>
  <si>
    <t>D-2012</t>
  </si>
  <si>
    <t>D-2013</t>
  </si>
  <si>
    <t>D-2014</t>
  </si>
  <si>
    <t>D-2015</t>
  </si>
  <si>
    <t>D-2016</t>
  </si>
  <si>
    <t>D-2017</t>
  </si>
  <si>
    <t>D-2018</t>
  </si>
  <si>
    <t>D-2019</t>
  </si>
  <si>
    <t>D-2020</t>
  </si>
  <si>
    <t>D-2021</t>
  </si>
  <si>
    <t>D-2022</t>
  </si>
  <si>
    <t>D-2023</t>
  </si>
  <si>
    <t>D-2024</t>
  </si>
  <si>
    <t>D-2025</t>
  </si>
  <si>
    <t>D-2026</t>
  </si>
  <si>
    <t>D-2027</t>
  </si>
  <si>
    <t>28-Jun-22--30-Jun-22</t>
  </si>
  <si>
    <t>D-2028</t>
  </si>
  <si>
    <t>D-2029</t>
  </si>
  <si>
    <t>D-2030</t>
  </si>
  <si>
    <t>D-2031</t>
  </si>
  <si>
    <t>D-2032</t>
  </si>
  <si>
    <t>D-2033</t>
  </si>
  <si>
    <t>D-2034</t>
  </si>
  <si>
    <t>D-2035</t>
  </si>
  <si>
    <t>D-2036</t>
  </si>
  <si>
    <t>D-2037</t>
  </si>
  <si>
    <t>D-2038</t>
  </si>
  <si>
    <t>D-2039</t>
  </si>
  <si>
    <t>D-2040</t>
  </si>
  <si>
    <t>D-2041</t>
  </si>
  <si>
    <t>D-2042</t>
  </si>
  <si>
    <t>D-2043</t>
  </si>
  <si>
    <t>D-2044</t>
  </si>
  <si>
    <t>D-2045</t>
  </si>
  <si>
    <t>D-2046</t>
  </si>
  <si>
    <t>D-2047</t>
  </si>
  <si>
    <t>D-2048</t>
  </si>
  <si>
    <t>D-2049</t>
  </si>
  <si>
    <t>D-2050</t>
  </si>
  <si>
    <t>D-2051</t>
  </si>
  <si>
    <t>D-2052</t>
  </si>
  <si>
    <t>D-2053</t>
  </si>
  <si>
    <t>D-2054</t>
  </si>
  <si>
    <t>D-2055</t>
  </si>
  <si>
    <t>D-2056</t>
  </si>
  <si>
    <t>D-2057</t>
  </si>
  <si>
    <t>D-2058</t>
  </si>
  <si>
    <t>D-2059</t>
  </si>
  <si>
    <t>D-2060</t>
  </si>
  <si>
    <t>D-2061</t>
  </si>
  <si>
    <t>D-2062</t>
  </si>
  <si>
    <t>D-2063</t>
  </si>
  <si>
    <t>D-2064</t>
  </si>
  <si>
    <t>D-2065</t>
  </si>
  <si>
    <t>D-2066</t>
  </si>
  <si>
    <t>D-2067</t>
  </si>
  <si>
    <t>D-2068</t>
  </si>
  <si>
    <t>D-2069</t>
  </si>
  <si>
    <t>D-2070</t>
  </si>
  <si>
    <t>D-2071</t>
  </si>
  <si>
    <t>D-2072</t>
  </si>
  <si>
    <t>(757)EMMANUEL GUADALUPE</t>
  </si>
  <si>
    <t>D-2073</t>
  </si>
  <si>
    <t>D-2074</t>
  </si>
  <si>
    <t>D-2075</t>
  </si>
  <si>
    <t>D-2076</t>
  </si>
  <si>
    <t>D-2077</t>
  </si>
  <si>
    <t>D-2078</t>
  </si>
  <si>
    <t>D-2079</t>
  </si>
  <si>
    <t>D-2080</t>
  </si>
  <si>
    <t>D-2081</t>
  </si>
  <si>
    <t>D-2082</t>
  </si>
  <si>
    <t>D-2083</t>
  </si>
  <si>
    <t>D-2084</t>
  </si>
  <si>
    <t>D-2085</t>
  </si>
  <si>
    <t>D-2086</t>
  </si>
  <si>
    <t>D-2087</t>
  </si>
  <si>
    <t>D-2088</t>
  </si>
  <si>
    <t>D-2089</t>
  </si>
  <si>
    <t>D-2090</t>
  </si>
  <si>
    <t>D-2091</t>
  </si>
  <si>
    <t>D-2092</t>
  </si>
  <si>
    <t>D-2093</t>
  </si>
  <si>
    <t>D-2094</t>
  </si>
  <si>
    <t>D-2095</t>
  </si>
  <si>
    <t>D-2096</t>
  </si>
  <si>
    <t>D-2097</t>
  </si>
  <si>
    <t>D-2098</t>
  </si>
  <si>
    <t>D-2099</t>
  </si>
  <si>
    <t>D-2100</t>
  </si>
  <si>
    <t>D-2101</t>
  </si>
  <si>
    <t>D-2102</t>
  </si>
  <si>
    <t>D-2103</t>
  </si>
  <si>
    <t>D-2104</t>
  </si>
  <si>
    <t>D-2105</t>
  </si>
  <si>
    <t>D-2106</t>
  </si>
  <si>
    <t>D-2107</t>
  </si>
  <si>
    <t>D-2108</t>
  </si>
  <si>
    <t>D-2109</t>
  </si>
  <si>
    <t>D-2110</t>
  </si>
  <si>
    <t>D-2111</t>
  </si>
  <si>
    <t>D-2112</t>
  </si>
  <si>
    <t>D-2113</t>
  </si>
  <si>
    <t>D-2114</t>
  </si>
  <si>
    <t>D-2115</t>
  </si>
  <si>
    <t>D-2116</t>
  </si>
  <si>
    <t>D-2117</t>
  </si>
  <si>
    <t>D-2118</t>
  </si>
  <si>
    <t>D-2119</t>
  </si>
  <si>
    <t>D-2120</t>
  </si>
  <si>
    <t>D-2121</t>
  </si>
  <si>
    <t>D-2122</t>
  </si>
  <si>
    <t>D-2123</t>
  </si>
  <si>
    <t>D-2124</t>
  </si>
  <si>
    <t>D-2125</t>
  </si>
  <si>
    <t>D-2126</t>
  </si>
  <si>
    <t>D-2127</t>
  </si>
  <si>
    <t>D-2128</t>
  </si>
  <si>
    <t>D-2129</t>
  </si>
  <si>
    <t>D-2130</t>
  </si>
  <si>
    <t>D-2131</t>
  </si>
  <si>
    <r>
      <t xml:space="preserve">(412)LUIS LUNA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</si>
  <si>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D02134</t>
  </si>
  <si>
    <t>D-2132</t>
  </si>
  <si>
    <t>D-2133</t>
  </si>
  <si>
    <t>D-2134</t>
  </si>
  <si>
    <t>D-2135</t>
  </si>
  <si>
    <t>se sustituyo x la D02137</t>
  </si>
  <si>
    <t>D-2136</t>
  </si>
  <si>
    <t>D-2137</t>
  </si>
  <si>
    <t>29-Jun-22--30-Jun-22</t>
  </si>
  <si>
    <t>D-2138</t>
  </si>
  <si>
    <t>D-2139</t>
  </si>
  <si>
    <t>D-2140</t>
  </si>
  <si>
    <t>D-2141</t>
  </si>
  <si>
    <t>D-2142</t>
  </si>
  <si>
    <t>D-2143</t>
  </si>
  <si>
    <t>D-2144</t>
  </si>
  <si>
    <t>D-2145</t>
  </si>
  <si>
    <t>D-2146</t>
  </si>
  <si>
    <t>D-2147</t>
  </si>
  <si>
    <t>D-2148</t>
  </si>
  <si>
    <t>D-2149</t>
  </si>
  <si>
    <t>D-2150</t>
  </si>
  <si>
    <t>D-2151</t>
  </si>
  <si>
    <t>D-2152</t>
  </si>
  <si>
    <t>D-2153</t>
  </si>
  <si>
    <t>D-2154</t>
  </si>
  <si>
    <t>D-2155</t>
  </si>
  <si>
    <t>D-2156</t>
  </si>
  <si>
    <t>D-2157</t>
  </si>
  <si>
    <t>D-2158</t>
  </si>
  <si>
    <t>D-2159</t>
  </si>
  <si>
    <t>D-2160</t>
  </si>
  <si>
    <t>D-2161</t>
  </si>
  <si>
    <t>D-2162</t>
  </si>
  <si>
    <t>D-2163</t>
  </si>
  <si>
    <t>D-2164</t>
  </si>
  <si>
    <t>D-2165</t>
  </si>
  <si>
    <t>D-2166</t>
  </si>
  <si>
    <t>D-2167</t>
  </si>
  <si>
    <t>D-2168</t>
  </si>
  <si>
    <t>D-2169</t>
  </si>
  <si>
    <t>D-2170</t>
  </si>
  <si>
    <t>D-2171</t>
  </si>
  <si>
    <t>D-2172</t>
  </si>
  <si>
    <t>D-2173</t>
  </si>
  <si>
    <t>D-2174</t>
  </si>
  <si>
    <t>D-2175</t>
  </si>
  <si>
    <t>D-2176</t>
  </si>
  <si>
    <t>D-2177</t>
  </si>
  <si>
    <t>D-2178</t>
  </si>
  <si>
    <t>D-2179</t>
  </si>
  <si>
    <t>D-2180</t>
  </si>
  <si>
    <t>D-2181</t>
  </si>
  <si>
    <t>D-2182</t>
  </si>
  <si>
    <t>D-2183</t>
  </si>
  <si>
    <t>D-2184</t>
  </si>
  <si>
    <t>D-2185</t>
  </si>
  <si>
    <t>D-2186</t>
  </si>
  <si>
    <t>D-2187</t>
  </si>
  <si>
    <t>D-2188</t>
  </si>
  <si>
    <t>D-2189</t>
  </si>
  <si>
    <t>D-2190</t>
  </si>
  <si>
    <t>D-2191</t>
  </si>
  <si>
    <t>D-2192</t>
  </si>
  <si>
    <t>D-2193</t>
  </si>
  <si>
    <t>D-2194</t>
  </si>
  <si>
    <t>D-2195</t>
  </si>
  <si>
    <t>D-2196</t>
  </si>
  <si>
    <t>D-2197</t>
  </si>
  <si>
    <t>D-2198</t>
  </si>
  <si>
    <t>D-2199</t>
  </si>
  <si>
    <t>D-2200</t>
  </si>
  <si>
    <t>D-2201</t>
  </si>
  <si>
    <t>D-2202</t>
  </si>
  <si>
    <t>D-2203</t>
  </si>
  <si>
    <t>D-2204</t>
  </si>
  <si>
    <t>D-2205</t>
  </si>
  <si>
    <t>D-2206</t>
  </si>
  <si>
    <t>D-2207</t>
  </si>
  <si>
    <t>D-2208</t>
  </si>
  <si>
    <t>D-2209</t>
  </si>
  <si>
    <t>D-2210</t>
  </si>
  <si>
    <t>D-2211</t>
  </si>
  <si>
    <t>D-2212</t>
  </si>
  <si>
    <t>D-2213</t>
  </si>
  <si>
    <t>D-2214</t>
  </si>
  <si>
    <t>D-2215</t>
  </si>
  <si>
    <t>D-2216</t>
  </si>
  <si>
    <t>D-2217</t>
  </si>
  <si>
    <t>D-2218</t>
  </si>
  <si>
    <t>D-2219</t>
  </si>
  <si>
    <t>D-2220</t>
  </si>
  <si>
    <t>D-2221</t>
  </si>
  <si>
    <t>D-2222</t>
  </si>
  <si>
    <t>D-2223</t>
  </si>
  <si>
    <t>D-2224</t>
  </si>
  <si>
    <t>D-2225</t>
  </si>
  <si>
    <t>D-2226</t>
  </si>
  <si>
    <t>D-2227</t>
  </si>
  <si>
    <t>D-2228</t>
  </si>
  <si>
    <t>D-2229</t>
  </si>
  <si>
    <t>D-2230</t>
  </si>
  <si>
    <t>D-2231</t>
  </si>
  <si>
    <t>D-2232</t>
  </si>
  <si>
    <t>D-2233</t>
  </si>
  <si>
    <t>D-2234</t>
  </si>
  <si>
    <t>D-2235</t>
  </si>
  <si>
    <t>D-2236</t>
  </si>
  <si>
    <t>D-2237</t>
  </si>
  <si>
    <t>D-2238</t>
  </si>
  <si>
    <t>D-2239</t>
  </si>
  <si>
    <t>D-2240</t>
  </si>
  <si>
    <t>D-2241</t>
  </si>
  <si>
    <t>D-2242</t>
  </si>
  <si>
    <t>D-2243</t>
  </si>
  <si>
    <t>D-2244</t>
  </si>
  <si>
    <t>D-2245</t>
  </si>
  <si>
    <t>D-2246</t>
  </si>
  <si>
    <t>D-2247</t>
  </si>
  <si>
    <t>D-2248</t>
  </si>
  <si>
    <t>D-2249</t>
  </si>
  <si>
    <t>D-2250</t>
  </si>
  <si>
    <t>D-2251</t>
  </si>
  <si>
    <t>D-2252</t>
  </si>
  <si>
    <t>D-2253</t>
  </si>
  <si>
    <t>D-2254</t>
  </si>
  <si>
    <t>D-2255</t>
  </si>
  <si>
    <t>D-2256</t>
  </si>
  <si>
    <t>D-2257</t>
  </si>
  <si>
    <t>D-2258</t>
  </si>
  <si>
    <t>D-2259</t>
  </si>
  <si>
    <t>D-2260</t>
  </si>
  <si>
    <t>D-2261</t>
  </si>
  <si>
    <t>D-2262</t>
  </si>
  <si>
    <t>D-2263</t>
  </si>
  <si>
    <t>D-2264</t>
  </si>
  <si>
    <t>D-2265</t>
  </si>
  <si>
    <t>D-2266</t>
  </si>
  <si>
    <t>D-2267</t>
  </si>
  <si>
    <t>D-2268</t>
  </si>
  <si>
    <t>D-2269</t>
  </si>
  <si>
    <t>D-2270</t>
  </si>
  <si>
    <t>D-2271</t>
  </si>
  <si>
    <t>D-2272</t>
  </si>
  <si>
    <t>D-2273</t>
  </si>
  <si>
    <t>D-2274</t>
  </si>
  <si>
    <t>D-2275</t>
  </si>
  <si>
    <t>D-2276</t>
  </si>
  <si>
    <t>D-2277</t>
  </si>
  <si>
    <t>D-2278</t>
  </si>
  <si>
    <t>D-2279</t>
  </si>
  <si>
    <t>D-2280</t>
  </si>
  <si>
    <t>D-2281</t>
  </si>
  <si>
    <t>D-2282</t>
  </si>
  <si>
    <t>se sustituyo x la D-002290</t>
  </si>
  <si>
    <t>D-2283</t>
  </si>
  <si>
    <t>D-2284</t>
  </si>
  <si>
    <t>se sustituyo x la D-002295</t>
  </si>
  <si>
    <t>D-2285</t>
  </si>
  <si>
    <t>D-2286</t>
  </si>
  <si>
    <t>D-2287</t>
  </si>
  <si>
    <t>D-2288</t>
  </si>
  <si>
    <t>D-2289</t>
  </si>
  <si>
    <t>D-2290</t>
  </si>
  <si>
    <t>D-2291</t>
  </si>
  <si>
    <t>D-2292</t>
  </si>
  <si>
    <t>D-2293</t>
  </si>
  <si>
    <t>D-2294</t>
  </si>
  <si>
    <t>D-2295</t>
  </si>
  <si>
    <t>D-2296</t>
  </si>
  <si>
    <t>D-2297</t>
  </si>
  <si>
    <t>D-2298</t>
  </si>
  <si>
    <t>D-2299</t>
  </si>
  <si>
    <t>D-2300</t>
  </si>
  <si>
    <t>(613)BASILIO BAEZ</t>
  </si>
  <si>
    <t>D-2301</t>
  </si>
  <si>
    <t>D-2302</t>
  </si>
  <si>
    <t>D-2303</t>
  </si>
  <si>
    <t>D-2304</t>
  </si>
  <si>
    <t>D-2305</t>
  </si>
  <si>
    <t>D-2306</t>
  </si>
  <si>
    <t>D-2307</t>
  </si>
  <si>
    <t>D-2308</t>
  </si>
  <si>
    <t>D-2309</t>
  </si>
  <si>
    <t>D-2310</t>
  </si>
  <si>
    <t>D-2311</t>
  </si>
  <si>
    <t>D-2312</t>
  </si>
  <si>
    <t>D-2313</t>
  </si>
  <si>
    <t>D-2314</t>
  </si>
  <si>
    <t>D-2315</t>
  </si>
  <si>
    <t>D-2316</t>
  </si>
  <si>
    <t>D-2317</t>
  </si>
  <si>
    <t>D-2318</t>
  </si>
  <si>
    <t>D-2319</t>
  </si>
  <si>
    <t>D-2320</t>
  </si>
  <si>
    <t>D-2321</t>
  </si>
  <si>
    <t>D-2322</t>
  </si>
  <si>
    <t>D-2323</t>
  </si>
  <si>
    <t>D-2324</t>
  </si>
  <si>
    <t>D-2325</t>
  </si>
  <si>
    <t>D-2326</t>
  </si>
  <si>
    <t>D-2327</t>
  </si>
  <si>
    <t>D-2328</t>
  </si>
  <si>
    <t>D-2329</t>
  </si>
  <si>
    <t>D-2330</t>
  </si>
  <si>
    <t>D-2331</t>
  </si>
  <si>
    <t>D-2332</t>
  </si>
  <si>
    <t>D-2333</t>
  </si>
  <si>
    <t>D-2334</t>
  </si>
  <si>
    <t>D-2335</t>
  </si>
  <si>
    <t>D-2336</t>
  </si>
  <si>
    <t>D-2337</t>
  </si>
  <si>
    <t>D-2338</t>
  </si>
  <si>
    <t>D-2339</t>
  </si>
  <si>
    <t>D-2340</t>
  </si>
  <si>
    <t>D-2341</t>
  </si>
  <si>
    <t>D-2342</t>
  </si>
  <si>
    <t>D-2343</t>
  </si>
  <si>
    <t>D-2344</t>
  </si>
  <si>
    <t>D-2345</t>
  </si>
  <si>
    <t>D-2346</t>
  </si>
  <si>
    <t>D-2347</t>
  </si>
  <si>
    <t>D-2348</t>
  </si>
  <si>
    <t>D-2349</t>
  </si>
  <si>
    <t>D-2350</t>
  </si>
  <si>
    <t>D-2351</t>
  </si>
  <si>
    <t>D-2352</t>
  </si>
  <si>
    <t>D-2353</t>
  </si>
  <si>
    <t>D-2354</t>
  </si>
  <si>
    <t>D-2355</t>
  </si>
  <si>
    <t>D-2356</t>
  </si>
  <si>
    <t>D-2357</t>
  </si>
  <si>
    <t>D-2358</t>
  </si>
  <si>
    <t>D-2359</t>
  </si>
  <si>
    <t>D-2360</t>
  </si>
  <si>
    <t>D-2361</t>
  </si>
  <si>
    <t>D-2362</t>
  </si>
  <si>
    <t>D-2363</t>
  </si>
  <si>
    <t>se sustituyo x la D-002434</t>
  </si>
  <si>
    <t>D-2364</t>
  </si>
  <si>
    <t>D-2365</t>
  </si>
  <si>
    <t>D-2366</t>
  </si>
  <si>
    <t>D-2367</t>
  </si>
  <si>
    <t>D-2368</t>
  </si>
  <si>
    <t>D-2369</t>
  </si>
  <si>
    <t>D-2370</t>
  </si>
  <si>
    <t>D-2371</t>
  </si>
  <si>
    <t>D-2372</t>
  </si>
  <si>
    <t>D-2373</t>
  </si>
  <si>
    <t>D-2374</t>
  </si>
  <si>
    <t>D-2375</t>
  </si>
  <si>
    <t>D-2376</t>
  </si>
  <si>
    <t>D-2377</t>
  </si>
  <si>
    <t>D-2378</t>
  </si>
  <si>
    <t>D-2379</t>
  </si>
  <si>
    <t>D-2380</t>
  </si>
  <si>
    <t>D-2381</t>
  </si>
  <si>
    <t>D-2382</t>
  </si>
  <si>
    <t>D-2383</t>
  </si>
  <si>
    <t>D-2384</t>
  </si>
  <si>
    <t>D-2385</t>
  </si>
  <si>
    <t>D-2386</t>
  </si>
  <si>
    <t>D-2387</t>
  </si>
  <si>
    <t>D-2388</t>
  </si>
  <si>
    <t>D-2389</t>
  </si>
  <si>
    <r>
      <t xml:space="preserve">(679)JUANA CASTILLO  </t>
    </r>
    <r>
      <rPr>
        <b/>
        <sz val="12"/>
        <color rgb="FFFF0000"/>
        <rFont val="Calibri"/>
        <family val="2"/>
        <scheme val="minor"/>
      </rPr>
      <t>CANCELADA</t>
    </r>
  </si>
  <si>
    <t>se sustituyo x la D-002390</t>
  </si>
  <si>
    <t>D-2390</t>
  </si>
  <si>
    <t>D-2391</t>
  </si>
  <si>
    <t>D-2392</t>
  </si>
  <si>
    <t>D-2393</t>
  </si>
  <si>
    <t>D-2394</t>
  </si>
  <si>
    <t>D-2395</t>
  </si>
  <si>
    <t>D-2396</t>
  </si>
  <si>
    <t>D-2397</t>
  </si>
  <si>
    <t>D-2398</t>
  </si>
  <si>
    <t>D-2399</t>
  </si>
  <si>
    <t>D-2400</t>
  </si>
  <si>
    <t>D-2401</t>
  </si>
  <si>
    <t>D-2402</t>
  </si>
  <si>
    <t>D-2403</t>
  </si>
  <si>
    <t>D-2404</t>
  </si>
  <si>
    <t>D-2405</t>
  </si>
  <si>
    <t>D-2406</t>
  </si>
  <si>
    <t>D-2407</t>
  </si>
  <si>
    <t>D-2408</t>
  </si>
  <si>
    <t>D-2409</t>
  </si>
  <si>
    <t>D-2410</t>
  </si>
  <si>
    <t>D-2411</t>
  </si>
  <si>
    <t>D-2412</t>
  </si>
  <si>
    <t>D-2413</t>
  </si>
  <si>
    <t>D-2414</t>
  </si>
  <si>
    <t>D-2415</t>
  </si>
  <si>
    <t>D-2416</t>
  </si>
  <si>
    <t>D-2417</t>
  </si>
  <si>
    <t>D-2418</t>
  </si>
  <si>
    <t>D-2419</t>
  </si>
  <si>
    <t>D-2420</t>
  </si>
  <si>
    <t>D-2421</t>
  </si>
  <si>
    <t>D-2422</t>
  </si>
  <si>
    <t>D-2423</t>
  </si>
  <si>
    <t>D-2424</t>
  </si>
  <si>
    <t>D-2425</t>
  </si>
  <si>
    <t>D-2426</t>
  </si>
  <si>
    <t>D-2427</t>
  </si>
  <si>
    <t>D-2428</t>
  </si>
  <si>
    <t>D-2429</t>
  </si>
  <si>
    <t>D-2430</t>
  </si>
  <si>
    <t>D-2431</t>
  </si>
  <si>
    <t>D-2432</t>
  </si>
  <si>
    <t>D-2433</t>
  </si>
  <si>
    <t>D-2434</t>
  </si>
  <si>
    <t>D-2435</t>
  </si>
  <si>
    <t>D-2436</t>
  </si>
  <si>
    <t>D-2437</t>
  </si>
  <si>
    <t>D-2438</t>
  </si>
  <si>
    <t>D-2439</t>
  </si>
  <si>
    <t>D-2440</t>
  </si>
  <si>
    <t>D-2441</t>
  </si>
  <si>
    <t>D-2442</t>
  </si>
  <si>
    <t>D-2443</t>
  </si>
  <si>
    <t>D-2444</t>
  </si>
  <si>
    <t>D-2445</t>
  </si>
  <si>
    <t>D-2446</t>
  </si>
  <si>
    <t>D-2447</t>
  </si>
  <si>
    <t>D-2448</t>
  </si>
  <si>
    <t>D-2449</t>
  </si>
  <si>
    <t>D-2450</t>
  </si>
  <si>
    <t>D-2451</t>
  </si>
  <si>
    <t>D-2452</t>
  </si>
  <si>
    <t>D-2453</t>
  </si>
  <si>
    <t>D-2454</t>
  </si>
  <si>
    <t>D-2455</t>
  </si>
  <si>
    <t>D-2456</t>
  </si>
  <si>
    <t>D-2457</t>
  </si>
  <si>
    <t>D-2458</t>
  </si>
  <si>
    <r>
      <t xml:space="preserve">(815)FRANCISCO PRADO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</si>
  <si>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D-002459</t>
  </si>
  <si>
    <t>D-2459</t>
  </si>
  <si>
    <t>D-2460</t>
  </si>
  <si>
    <t>D-2461</t>
  </si>
  <si>
    <t>D-2462</t>
  </si>
  <si>
    <t>D-2463</t>
  </si>
  <si>
    <t>D-2464</t>
  </si>
  <si>
    <t>D-2465</t>
  </si>
  <si>
    <t>D-2466</t>
  </si>
  <si>
    <t>D-2467</t>
  </si>
  <si>
    <t>D-2468</t>
  </si>
  <si>
    <t>24-Jun-22--1-Jul-22</t>
  </si>
  <si>
    <t>30-Jun-22--1-Jul-22</t>
  </si>
  <si>
    <t>1-Jul-22--2-Jul-22</t>
  </si>
  <si>
    <t>30-Jun-22--2-Jul-22</t>
  </si>
  <si>
    <t>2-Jul-22--8-Jul-22</t>
  </si>
  <si>
    <t>3-Jul-22--8-Jul-22</t>
  </si>
  <si>
    <t>8-Jul-22--15-Jul-22</t>
  </si>
  <si>
    <t>D-2469</t>
  </si>
  <si>
    <t>D-2470</t>
  </si>
  <si>
    <t>D-2471</t>
  </si>
  <si>
    <t>D-2472</t>
  </si>
  <si>
    <t>D-2473</t>
  </si>
  <si>
    <t>D-2474</t>
  </si>
  <si>
    <t>D-2475</t>
  </si>
  <si>
    <t>D-2476</t>
  </si>
  <si>
    <t>D-2477</t>
  </si>
  <si>
    <t>D-2478</t>
  </si>
  <si>
    <t>D-2479</t>
  </si>
  <si>
    <t>D-2480</t>
  </si>
  <si>
    <t>D-2481</t>
  </si>
  <si>
    <t>D-2482</t>
  </si>
  <si>
    <t>2-Jul-22--4-Jul-22</t>
  </si>
  <si>
    <t>D-2483</t>
  </si>
  <si>
    <t>D-2484</t>
  </si>
  <si>
    <t>D-2485</t>
  </si>
  <si>
    <t>D-2486</t>
  </si>
  <si>
    <t>D-2487</t>
  </si>
  <si>
    <t>D-2488</t>
  </si>
  <si>
    <t>D-2489</t>
  </si>
  <si>
    <t>D-2490</t>
  </si>
  <si>
    <t>D-2491</t>
  </si>
  <si>
    <t>D-2492</t>
  </si>
  <si>
    <t>D-2493</t>
  </si>
  <si>
    <t>D-2494</t>
  </si>
  <si>
    <t>D-2495</t>
  </si>
  <si>
    <t>D-2496</t>
  </si>
  <si>
    <t>D-2497</t>
  </si>
  <si>
    <t>2-Jul-22--3-Jul-22</t>
  </si>
  <si>
    <t>D-2498</t>
  </si>
  <si>
    <t>D-2499</t>
  </si>
  <si>
    <t>D-2500</t>
  </si>
  <si>
    <t>D-2501</t>
  </si>
  <si>
    <t>D-2502</t>
  </si>
  <si>
    <t>D-2503</t>
  </si>
  <si>
    <t>(427)ROGELIO ESCOBAR TLAXCO</t>
  </si>
  <si>
    <t>D-2504</t>
  </si>
  <si>
    <t>D-2505</t>
  </si>
  <si>
    <t>D-2506</t>
  </si>
  <si>
    <t>D-2507</t>
  </si>
  <si>
    <t>D-2508</t>
  </si>
  <si>
    <t>D-2509</t>
  </si>
  <si>
    <t>D-2510</t>
  </si>
  <si>
    <t>D-2511</t>
  </si>
  <si>
    <t>D-2512</t>
  </si>
  <si>
    <t>D-2513</t>
  </si>
  <si>
    <t>D-2514</t>
  </si>
  <si>
    <t>D-2515</t>
  </si>
  <si>
    <t>D-2516</t>
  </si>
  <si>
    <t>D-2517</t>
  </si>
  <si>
    <t>D-2518</t>
  </si>
  <si>
    <t>D-2519</t>
  </si>
  <si>
    <t>D-2520</t>
  </si>
  <si>
    <t>D-2521</t>
  </si>
  <si>
    <t>1-Jul-22--12-Jul-22</t>
  </si>
  <si>
    <t>D-2522</t>
  </si>
  <si>
    <t>D-2523</t>
  </si>
  <si>
    <t>D-2524</t>
  </si>
  <si>
    <t>D-2525</t>
  </si>
  <si>
    <t>D-2526</t>
  </si>
  <si>
    <t>D-2527</t>
  </si>
  <si>
    <t>D-2528</t>
  </si>
  <si>
    <t>D-2529</t>
  </si>
  <si>
    <t>D-2530</t>
  </si>
  <si>
    <t>D-2531</t>
  </si>
  <si>
    <t>D-2532</t>
  </si>
  <si>
    <t>D-2533</t>
  </si>
  <si>
    <t>D-2534</t>
  </si>
  <si>
    <t>D-2535</t>
  </si>
  <si>
    <t>D-2536</t>
  </si>
  <si>
    <t>D-2537</t>
  </si>
  <si>
    <t>D-2538</t>
  </si>
  <si>
    <t>D-2539</t>
  </si>
  <si>
    <t>D-2540</t>
  </si>
  <si>
    <t>D-2541</t>
  </si>
  <si>
    <t>D-2542</t>
  </si>
  <si>
    <t>D-2543</t>
  </si>
  <si>
    <t>D-2544</t>
  </si>
  <si>
    <t>D-2545</t>
  </si>
  <si>
    <t>D-2546</t>
  </si>
  <si>
    <t>D-2547</t>
  </si>
  <si>
    <t>D-2548</t>
  </si>
  <si>
    <t>D-2549</t>
  </si>
  <si>
    <t>D-2550</t>
  </si>
  <si>
    <t>D-2551</t>
  </si>
  <si>
    <t>D-2552</t>
  </si>
  <si>
    <t>D-2553</t>
  </si>
  <si>
    <t>D-2554</t>
  </si>
  <si>
    <t>D-2555</t>
  </si>
  <si>
    <t>D-2556</t>
  </si>
  <si>
    <t>D-2557</t>
  </si>
  <si>
    <t>D-2558</t>
  </si>
  <si>
    <t>D-2559</t>
  </si>
  <si>
    <t>D-2560</t>
  </si>
  <si>
    <t>D-2561</t>
  </si>
  <si>
    <t>D-2562</t>
  </si>
  <si>
    <t>D-2563</t>
  </si>
  <si>
    <t>D-2564</t>
  </si>
  <si>
    <t>D-2565</t>
  </si>
  <si>
    <t>D-2566</t>
  </si>
  <si>
    <t>D-2567</t>
  </si>
  <si>
    <t>D-2568</t>
  </si>
  <si>
    <t>D-2569</t>
  </si>
  <si>
    <t>D-2570</t>
  </si>
  <si>
    <t>D-2571</t>
  </si>
  <si>
    <t>D-2572</t>
  </si>
  <si>
    <t>D-2573</t>
  </si>
  <si>
    <r>
      <t xml:space="preserve">(234)ANTONIO JUAREZ  </t>
    </r>
    <r>
      <rPr>
        <b/>
        <sz val="12"/>
        <color rgb="FFFF0000"/>
        <rFont val="Calibri"/>
        <family val="2"/>
        <scheme val="minor"/>
      </rPr>
      <t>CANCELADA</t>
    </r>
  </si>
  <si>
    <t>D-2574</t>
  </si>
  <si>
    <t>D-2575</t>
  </si>
  <si>
    <t>D-2576</t>
  </si>
  <si>
    <t>D-2577</t>
  </si>
  <si>
    <t>D-2578</t>
  </si>
  <si>
    <t>D-2579</t>
  </si>
  <si>
    <t>D-2580</t>
  </si>
  <si>
    <t>D-2581</t>
  </si>
  <si>
    <t>D-2582</t>
  </si>
  <si>
    <t>D-2583</t>
  </si>
  <si>
    <t>D-2584</t>
  </si>
  <si>
    <t>D-2585</t>
  </si>
  <si>
    <t>D-2586</t>
  </si>
  <si>
    <t>D-2587</t>
  </si>
  <si>
    <t>D-2588</t>
  </si>
  <si>
    <t>D-2589</t>
  </si>
  <si>
    <t>D-2590</t>
  </si>
  <si>
    <t>D-2591</t>
  </si>
  <si>
    <t>D-2592</t>
  </si>
  <si>
    <t>D-2593</t>
  </si>
  <si>
    <t>D-2594</t>
  </si>
  <si>
    <t>D-2595</t>
  </si>
  <si>
    <t>D-2596</t>
  </si>
  <si>
    <t>D-2597</t>
  </si>
  <si>
    <t>D-2598</t>
  </si>
  <si>
    <t>D-2599</t>
  </si>
  <si>
    <t>D-2600</t>
  </si>
  <si>
    <t>D-2601</t>
  </si>
  <si>
    <t>D-2602</t>
  </si>
  <si>
    <t>D-2603</t>
  </si>
  <si>
    <t>D-2604</t>
  </si>
  <si>
    <t>3-Jul-22--4-Jul-22</t>
  </si>
  <si>
    <t>D-2605</t>
  </si>
  <si>
    <t>D-2606</t>
  </si>
  <si>
    <t>D-2607</t>
  </si>
  <si>
    <t>D-2608</t>
  </si>
  <si>
    <t>D-2609</t>
  </si>
  <si>
    <t>D-2610</t>
  </si>
  <si>
    <t>D-2611</t>
  </si>
  <si>
    <t>D-2612</t>
  </si>
  <si>
    <t>D-2613</t>
  </si>
  <si>
    <t>D-2614</t>
  </si>
  <si>
    <t>D-2615</t>
  </si>
  <si>
    <t>D-2616</t>
  </si>
  <si>
    <t>D-2617</t>
  </si>
  <si>
    <t>4-Jul-22--5-Jul-22</t>
  </si>
  <si>
    <t>D-2618</t>
  </si>
  <si>
    <t>D-2619</t>
  </si>
  <si>
    <t>D-2620</t>
  </si>
  <si>
    <t>D-2621</t>
  </si>
  <si>
    <t>D-2622</t>
  </si>
  <si>
    <t>D-2623</t>
  </si>
  <si>
    <t>D-2624</t>
  </si>
  <si>
    <t>D-2625</t>
  </si>
  <si>
    <t>D-2626</t>
  </si>
  <si>
    <t>D-2627</t>
  </si>
  <si>
    <t>D-2628</t>
  </si>
  <si>
    <t>D-2629</t>
  </si>
  <si>
    <t>D-2630</t>
  </si>
  <si>
    <t>D-2631</t>
  </si>
  <si>
    <t>D-2632</t>
  </si>
  <si>
    <t>D-2633</t>
  </si>
  <si>
    <t>D-2634</t>
  </si>
  <si>
    <t>D-2635</t>
  </si>
  <si>
    <t>D-2636</t>
  </si>
  <si>
    <t>D-2637</t>
  </si>
  <si>
    <t>D-2638</t>
  </si>
  <si>
    <t>D-2639</t>
  </si>
  <si>
    <t>15-Jul-22--22-Jul-22</t>
  </si>
  <si>
    <t>D-2640</t>
  </si>
  <si>
    <t>D-2641</t>
  </si>
  <si>
    <t>D-2642</t>
  </si>
  <si>
    <t>D-2643</t>
  </si>
  <si>
    <t>D-2644</t>
  </si>
  <si>
    <t>D-2645</t>
  </si>
  <si>
    <t>D-2646</t>
  </si>
  <si>
    <t>D-2647</t>
  </si>
  <si>
    <t>D-2648</t>
  </si>
  <si>
    <t>D-2649</t>
  </si>
  <si>
    <t>D-2650</t>
  </si>
  <si>
    <t>D-2651</t>
  </si>
  <si>
    <t>D-2652</t>
  </si>
  <si>
    <t>D-2653</t>
  </si>
  <si>
    <t>D-2654</t>
  </si>
  <si>
    <t>D-2655</t>
  </si>
  <si>
    <t>D-2656</t>
  </si>
  <si>
    <t>D-2657</t>
  </si>
  <si>
    <t>D-2658</t>
  </si>
  <si>
    <t>D-2659</t>
  </si>
  <si>
    <t>D-2660</t>
  </si>
  <si>
    <t>D-2661</t>
  </si>
  <si>
    <t>D-2662</t>
  </si>
  <si>
    <t>D-2663</t>
  </si>
  <si>
    <t>D-2664</t>
  </si>
  <si>
    <t>D-2665</t>
  </si>
  <si>
    <t>D-2666</t>
  </si>
  <si>
    <t>D-2667</t>
  </si>
  <si>
    <t>D-2668</t>
  </si>
  <si>
    <t>D-2669</t>
  </si>
  <si>
    <t>D-2670</t>
  </si>
  <si>
    <t>D-2671</t>
  </si>
  <si>
    <t>D-2672</t>
  </si>
  <si>
    <t>D-2673</t>
  </si>
  <si>
    <t>D-2674</t>
  </si>
  <si>
    <t>D-2675</t>
  </si>
  <si>
    <t>D-2676</t>
  </si>
  <si>
    <t>D-2677</t>
  </si>
  <si>
    <t>D-2678</t>
  </si>
  <si>
    <t>D-2679</t>
  </si>
  <si>
    <t>D-2680</t>
  </si>
  <si>
    <t>D-2681</t>
  </si>
  <si>
    <t>D-2682</t>
  </si>
  <si>
    <t>D-2683</t>
  </si>
  <si>
    <t>D-2684</t>
  </si>
  <si>
    <t>D-2685</t>
  </si>
  <si>
    <t>D-2686</t>
  </si>
  <si>
    <t>D-2687</t>
  </si>
  <si>
    <t>D-2688</t>
  </si>
  <si>
    <t>D-2689</t>
  </si>
  <si>
    <t>D-2690</t>
  </si>
  <si>
    <t>D-2691</t>
  </si>
  <si>
    <t>D-2692</t>
  </si>
  <si>
    <t>D-2693</t>
  </si>
  <si>
    <t>D-2694</t>
  </si>
  <si>
    <t>D-2695</t>
  </si>
  <si>
    <t>D-2696</t>
  </si>
  <si>
    <t>D-2697</t>
  </si>
  <si>
    <t>D-2698</t>
  </si>
  <si>
    <t>D-2699</t>
  </si>
  <si>
    <t>D-2700</t>
  </si>
  <si>
    <t>D-2701</t>
  </si>
  <si>
    <t>D-2702</t>
  </si>
  <si>
    <t>D-2703</t>
  </si>
  <si>
    <t>2-Jul-22--5-Jul-22</t>
  </si>
  <si>
    <t>D-2704</t>
  </si>
  <si>
    <t>D-2705</t>
  </si>
  <si>
    <t>D-2706</t>
  </si>
  <si>
    <t>D-2707</t>
  </si>
  <si>
    <t>D-2708</t>
  </si>
  <si>
    <t>D-2709</t>
  </si>
  <si>
    <t>D-2710</t>
  </si>
  <si>
    <r>
      <t xml:space="preserve">(257)ALFONSO RUIZ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</si>
  <si>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2711</t>
  </si>
  <si>
    <t>D-2711</t>
  </si>
  <si>
    <t>D-2712</t>
  </si>
  <si>
    <t>D-2713</t>
  </si>
  <si>
    <t>D-2714</t>
  </si>
  <si>
    <t>D-2715</t>
  </si>
  <si>
    <t>D-2716</t>
  </si>
  <si>
    <t>D-2717</t>
  </si>
  <si>
    <t>D-2718</t>
  </si>
  <si>
    <t>D-2719</t>
  </si>
  <si>
    <t>D-2720</t>
  </si>
  <si>
    <t>D-2721</t>
  </si>
  <si>
    <t>D-2722</t>
  </si>
  <si>
    <t>D-2723</t>
  </si>
  <si>
    <t>D-2724</t>
  </si>
  <si>
    <t>D-2725</t>
  </si>
  <si>
    <t>D-2726</t>
  </si>
  <si>
    <t>D-2727</t>
  </si>
  <si>
    <t>D-2728</t>
  </si>
  <si>
    <t>D-2729</t>
  </si>
  <si>
    <t>D-2730</t>
  </si>
  <si>
    <t>D-2731</t>
  </si>
  <si>
    <t>D-2732</t>
  </si>
  <si>
    <t>D-2733</t>
  </si>
  <si>
    <t>D-2734</t>
  </si>
  <si>
    <t>D-2735</t>
  </si>
  <si>
    <t>D-2736</t>
  </si>
  <si>
    <t>D-2737</t>
  </si>
  <si>
    <t>D-2738</t>
  </si>
  <si>
    <t>D-2739</t>
  </si>
  <si>
    <t>D-2740</t>
  </si>
  <si>
    <t>D-2741</t>
  </si>
  <si>
    <t>D-2742</t>
  </si>
  <si>
    <t>D-2743</t>
  </si>
  <si>
    <t>D-2744</t>
  </si>
  <si>
    <t>D-2745</t>
  </si>
  <si>
    <t>D-2746</t>
  </si>
  <si>
    <t>D-2747</t>
  </si>
  <si>
    <t>D-2748</t>
  </si>
  <si>
    <t>D-2749</t>
  </si>
  <si>
    <t>D-2750</t>
  </si>
  <si>
    <t>D-2751</t>
  </si>
  <si>
    <t>D-2752</t>
  </si>
  <si>
    <t>D-2753</t>
  </si>
  <si>
    <t>D-2754</t>
  </si>
  <si>
    <t>D-2755</t>
  </si>
  <si>
    <t>D-2756</t>
  </si>
  <si>
    <t>D-2757</t>
  </si>
  <si>
    <t>D-2758</t>
  </si>
  <si>
    <t>D-2759</t>
  </si>
  <si>
    <t>D-2760</t>
  </si>
  <si>
    <t>D-2761</t>
  </si>
  <si>
    <t>D-2762</t>
  </si>
  <si>
    <t>D-2763</t>
  </si>
  <si>
    <t>D-2764</t>
  </si>
  <si>
    <t>D-2765</t>
  </si>
  <si>
    <t>D-2766</t>
  </si>
  <si>
    <t>D-2767</t>
  </si>
  <si>
    <t>D-2768</t>
  </si>
  <si>
    <t>D-2769</t>
  </si>
  <si>
    <t>D-2770</t>
  </si>
  <si>
    <t>D-2771</t>
  </si>
  <si>
    <t>D-2772</t>
  </si>
  <si>
    <t>D-2773</t>
  </si>
  <si>
    <t>D-2774</t>
  </si>
  <si>
    <t>D-2775</t>
  </si>
  <si>
    <t>D-2776</t>
  </si>
  <si>
    <t>D-2777</t>
  </si>
  <si>
    <t>D-2778</t>
  </si>
  <si>
    <t>D-2779</t>
  </si>
  <si>
    <t>D-2780</t>
  </si>
  <si>
    <t>D-2781</t>
  </si>
  <si>
    <t>D-2782</t>
  </si>
  <si>
    <t>D-2783</t>
  </si>
  <si>
    <t>D-2784</t>
  </si>
  <si>
    <t>D-2785</t>
  </si>
  <si>
    <t>D-2786</t>
  </si>
  <si>
    <t>D-2787</t>
  </si>
  <si>
    <t>5-Jul-22--7-Jul-22</t>
  </si>
  <si>
    <t>D-2788</t>
  </si>
  <si>
    <t>D-2789</t>
  </si>
  <si>
    <t>D-2790</t>
  </si>
  <si>
    <t>D-2791</t>
  </si>
  <si>
    <t>D-2792</t>
  </si>
  <si>
    <t>D-2793</t>
  </si>
  <si>
    <t>D-2794</t>
  </si>
  <si>
    <t>D-2795</t>
  </si>
  <si>
    <t>5-Jul-22--6-Jul-22</t>
  </si>
  <si>
    <t>D-2796</t>
  </si>
  <si>
    <t>D-2797</t>
  </si>
  <si>
    <t>D-2798</t>
  </si>
  <si>
    <t>D-2799</t>
  </si>
  <si>
    <t>D-2800</t>
  </si>
  <si>
    <t>D-2801</t>
  </si>
  <si>
    <t>D-2802</t>
  </si>
  <si>
    <t>D-2803</t>
  </si>
  <si>
    <t>D-2804</t>
  </si>
  <si>
    <t>D-2805</t>
  </si>
  <si>
    <t>D-2806</t>
  </si>
  <si>
    <t>D-2807</t>
  </si>
  <si>
    <t>D-2808</t>
  </si>
  <si>
    <t>D-2809</t>
  </si>
  <si>
    <t>D-2810</t>
  </si>
  <si>
    <t>D-2811</t>
  </si>
  <si>
    <t>D-2812</t>
  </si>
  <si>
    <t>D-2813</t>
  </si>
  <si>
    <t>D-2814</t>
  </si>
  <si>
    <t>D-2815</t>
  </si>
  <si>
    <r>
      <t xml:space="preserve">(708)EL SAGRARIO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</si>
  <si>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D-2816</t>
  </si>
  <si>
    <t>D-2817</t>
  </si>
  <si>
    <t>D-2818</t>
  </si>
  <si>
    <t>D-2819</t>
  </si>
  <si>
    <t>D-2820</t>
  </si>
  <si>
    <t>D-2821</t>
  </si>
  <si>
    <t>D-2822</t>
  </si>
  <si>
    <t>D-2823</t>
  </si>
  <si>
    <t>D-2824</t>
  </si>
  <si>
    <t>D-2825</t>
  </si>
  <si>
    <t>D-2826</t>
  </si>
  <si>
    <t>D-2827</t>
  </si>
  <si>
    <t>D-2828</t>
  </si>
  <si>
    <t>D-2829</t>
  </si>
  <si>
    <t>D-2830</t>
  </si>
  <si>
    <t>D-2831</t>
  </si>
  <si>
    <t>D-2832</t>
  </si>
  <si>
    <t>D-2833</t>
  </si>
  <si>
    <t>D-2834</t>
  </si>
  <si>
    <t>D-2835</t>
  </si>
  <si>
    <t>D-2836</t>
  </si>
  <si>
    <t>D-2837</t>
  </si>
  <si>
    <t>D-2838</t>
  </si>
  <si>
    <t>D-2839</t>
  </si>
  <si>
    <t>D-2840</t>
  </si>
  <si>
    <t>D-2841</t>
  </si>
  <si>
    <t>D-2842</t>
  </si>
  <si>
    <t>D-2843</t>
  </si>
  <si>
    <t>D-2844</t>
  </si>
  <si>
    <t>D-2845</t>
  </si>
  <si>
    <t>D-2846</t>
  </si>
  <si>
    <t>D-2847</t>
  </si>
  <si>
    <t>D-2848</t>
  </si>
  <si>
    <t>D-2849</t>
  </si>
  <si>
    <t>D-2850</t>
  </si>
  <si>
    <t>D-2851</t>
  </si>
  <si>
    <t>D-2852</t>
  </si>
  <si>
    <t>D-2853</t>
  </si>
  <si>
    <t>D-2854</t>
  </si>
  <si>
    <t>D-2855</t>
  </si>
  <si>
    <t>D-2856</t>
  </si>
  <si>
    <t>D-2857</t>
  </si>
  <si>
    <t>D-2858</t>
  </si>
  <si>
    <t>D-2859</t>
  </si>
  <si>
    <t>D-2860</t>
  </si>
  <si>
    <t>D-2861</t>
  </si>
  <si>
    <t>D-2862</t>
  </si>
  <si>
    <t>D-2863</t>
  </si>
  <si>
    <t>D-2864</t>
  </si>
  <si>
    <t>D-2865</t>
  </si>
  <si>
    <t>D-2866</t>
  </si>
  <si>
    <t>D-2867</t>
  </si>
  <si>
    <t>D-2868</t>
  </si>
  <si>
    <t>D-2869</t>
  </si>
  <si>
    <t>D-2870</t>
  </si>
  <si>
    <t>D-2871</t>
  </si>
  <si>
    <t>D-2872</t>
  </si>
  <si>
    <t>D-2873</t>
  </si>
  <si>
    <t>D-2874</t>
  </si>
  <si>
    <t>D-2875</t>
  </si>
  <si>
    <t>D-2876</t>
  </si>
  <si>
    <t>D-2877</t>
  </si>
  <si>
    <t>D-2878</t>
  </si>
  <si>
    <t>D-2879</t>
  </si>
  <si>
    <t>D-2880</t>
  </si>
  <si>
    <t>D-2881</t>
  </si>
  <si>
    <t>D-2882</t>
  </si>
  <si>
    <t>D-2883</t>
  </si>
  <si>
    <t>D-2884</t>
  </si>
  <si>
    <t>D-2885</t>
  </si>
  <si>
    <t>D-2886</t>
  </si>
  <si>
    <t>D-2887</t>
  </si>
  <si>
    <t>D-2888</t>
  </si>
  <si>
    <t>D-2889</t>
  </si>
  <si>
    <t>D-2890</t>
  </si>
  <si>
    <t>D-2891</t>
  </si>
  <si>
    <t>D-2892</t>
  </si>
  <si>
    <t>D-2893</t>
  </si>
  <si>
    <t>D-2894</t>
  </si>
  <si>
    <t>D-2895</t>
  </si>
  <si>
    <t>D-2896</t>
  </si>
  <si>
    <t>D-2897</t>
  </si>
  <si>
    <t>D-2898</t>
  </si>
  <si>
    <t>D-2899</t>
  </si>
  <si>
    <t>D-2900</t>
  </si>
  <si>
    <t>D-2901</t>
  </si>
  <si>
    <t>D-2902</t>
  </si>
  <si>
    <t>D-2903</t>
  </si>
  <si>
    <t>D-2904</t>
  </si>
  <si>
    <t>D-2905</t>
  </si>
  <si>
    <t>12-Jul-22--16-Jul-22</t>
  </si>
  <si>
    <t>D-2906</t>
  </si>
  <si>
    <t>D-2907</t>
  </si>
  <si>
    <t>D-2908</t>
  </si>
  <si>
    <t>D-2909</t>
  </si>
  <si>
    <t>D-2910</t>
  </si>
  <si>
    <t>D-2911</t>
  </si>
  <si>
    <t>D-2912</t>
  </si>
  <si>
    <t>D-2913</t>
  </si>
  <si>
    <t>D-2914</t>
  </si>
  <si>
    <t>D-2915</t>
  </si>
  <si>
    <t>D-2916</t>
  </si>
  <si>
    <t>D-2917</t>
  </si>
  <si>
    <t>D-2918</t>
  </si>
  <si>
    <t>D-2919</t>
  </si>
  <si>
    <t>D-2920</t>
  </si>
  <si>
    <t>D-2921</t>
  </si>
  <si>
    <t>D-2922</t>
  </si>
  <si>
    <t>D-2923</t>
  </si>
  <si>
    <t>D-2924</t>
  </si>
  <si>
    <t>D-2925</t>
  </si>
  <si>
    <t>D-2926</t>
  </si>
  <si>
    <t>D-2927</t>
  </si>
  <si>
    <t>D-2928</t>
  </si>
  <si>
    <t>D-2929</t>
  </si>
  <si>
    <t>D-2930</t>
  </si>
  <si>
    <t>D-2931</t>
  </si>
  <si>
    <t>D-2932</t>
  </si>
  <si>
    <t>D-2933</t>
  </si>
  <si>
    <t>D-2934</t>
  </si>
  <si>
    <t>7-Jul-22--8-Jul-22</t>
  </si>
  <si>
    <t>D-2935</t>
  </si>
  <si>
    <t>D-2936</t>
  </si>
  <si>
    <t>D-2937</t>
  </si>
  <si>
    <t>D-2938</t>
  </si>
  <si>
    <t>D-2939</t>
  </si>
  <si>
    <t>D-2940</t>
  </si>
  <si>
    <t>D-2941</t>
  </si>
  <si>
    <t>D-2942</t>
  </si>
  <si>
    <t>D-2943</t>
  </si>
  <si>
    <t>D-2944</t>
  </si>
  <si>
    <t>D-2945</t>
  </si>
  <si>
    <t>D-2946</t>
  </si>
  <si>
    <t>D-2947</t>
  </si>
  <si>
    <t>D-2948</t>
  </si>
  <si>
    <t>se sustituyo x la 2953</t>
  </si>
  <si>
    <t>D-2949</t>
  </si>
  <si>
    <t>D-2950</t>
  </si>
  <si>
    <t>D-2951</t>
  </si>
  <si>
    <t>D-2952</t>
  </si>
  <si>
    <t>D-2953</t>
  </si>
  <si>
    <t>D-2954</t>
  </si>
  <si>
    <t>D-2955</t>
  </si>
  <si>
    <t>D-2956</t>
  </si>
  <si>
    <t>D-2957</t>
  </si>
  <si>
    <t>D-2958</t>
  </si>
  <si>
    <t>D-2959</t>
  </si>
  <si>
    <t>D-2960</t>
  </si>
  <si>
    <t>D-2961</t>
  </si>
  <si>
    <t>D-2962</t>
  </si>
  <si>
    <t>D-2963</t>
  </si>
  <si>
    <t>D-2964</t>
  </si>
  <si>
    <t>D-2965</t>
  </si>
  <si>
    <t>D-2966</t>
  </si>
  <si>
    <t>D-2967</t>
  </si>
  <si>
    <t>D-2968</t>
  </si>
  <si>
    <t>D-2969</t>
  </si>
  <si>
    <t>D-2970</t>
  </si>
  <si>
    <t>D-2971</t>
  </si>
  <si>
    <t>D-2972</t>
  </si>
  <si>
    <t>D-2973</t>
  </si>
  <si>
    <t>D-2974</t>
  </si>
  <si>
    <t>D-2975</t>
  </si>
  <si>
    <t>D-2976</t>
  </si>
  <si>
    <t>D-2977</t>
  </si>
  <si>
    <t>D-2978</t>
  </si>
  <si>
    <t>D-2979</t>
  </si>
  <si>
    <t>D-2980</t>
  </si>
  <si>
    <t>D-2981</t>
  </si>
  <si>
    <t>D-2982</t>
  </si>
  <si>
    <t>D-2983</t>
  </si>
  <si>
    <t>D-2984</t>
  </si>
  <si>
    <t>D-2985</t>
  </si>
  <si>
    <t>D-2986</t>
  </si>
  <si>
    <t>D-2987</t>
  </si>
  <si>
    <t>D-2988</t>
  </si>
  <si>
    <t>D-2989</t>
  </si>
  <si>
    <t>D-2990</t>
  </si>
  <si>
    <t>D-2991</t>
  </si>
  <si>
    <t>D-2992</t>
  </si>
  <si>
    <t>D-2993</t>
  </si>
  <si>
    <r>
      <t xml:space="preserve">(904)ALBERTO CARRILLO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</si>
  <si>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2995</t>
  </si>
  <si>
    <t>D-2994</t>
  </si>
  <si>
    <t>D-2995</t>
  </si>
  <si>
    <t>(904)ALBERTO CARRILLO</t>
  </si>
  <si>
    <t>D-2996</t>
  </si>
  <si>
    <t>D-2997</t>
  </si>
  <si>
    <t>D-2998</t>
  </si>
  <si>
    <t>D-2999</t>
  </si>
  <si>
    <t>D-3000</t>
  </si>
  <si>
    <t>D-3001</t>
  </si>
  <si>
    <t>D-3002</t>
  </si>
  <si>
    <t>D-3003</t>
  </si>
  <si>
    <t>D-3004</t>
  </si>
  <si>
    <t>D-3005</t>
  </si>
  <si>
    <t>D-3006</t>
  </si>
  <si>
    <t>D-3007</t>
  </si>
  <si>
    <t>D-3008</t>
  </si>
  <si>
    <t>D-3009</t>
  </si>
  <si>
    <t>D-3010</t>
  </si>
  <si>
    <t>D-3011</t>
  </si>
  <si>
    <t>D-3012</t>
  </si>
  <si>
    <t>D-3013</t>
  </si>
  <si>
    <t>D-3014</t>
  </si>
  <si>
    <t>D-3015</t>
  </si>
  <si>
    <t>(905)EL LECHON DE YORKSHIRE</t>
  </si>
  <si>
    <t>D-3016</t>
  </si>
  <si>
    <t>D-3017</t>
  </si>
  <si>
    <t>D-3018</t>
  </si>
  <si>
    <t>D-3019</t>
  </si>
  <si>
    <t>D-3020</t>
  </si>
  <si>
    <t>D-3021</t>
  </si>
  <si>
    <t>D-3022</t>
  </si>
  <si>
    <t>D-3023</t>
  </si>
  <si>
    <t>D-3024</t>
  </si>
  <si>
    <t>D-3025</t>
  </si>
  <si>
    <t>D-3026</t>
  </si>
  <si>
    <t>D-3027</t>
  </si>
  <si>
    <t>D-3028</t>
  </si>
  <si>
    <t>D-3029</t>
  </si>
  <si>
    <t>D-3030</t>
  </si>
  <si>
    <t>D-3031</t>
  </si>
  <si>
    <t>D-3032</t>
  </si>
  <si>
    <t>D-3033</t>
  </si>
  <si>
    <t>D-3034</t>
  </si>
  <si>
    <t>D-3035</t>
  </si>
  <si>
    <t>D-3036</t>
  </si>
  <si>
    <t>D-3037</t>
  </si>
  <si>
    <t>D-3038</t>
  </si>
  <si>
    <t>D-3039</t>
  </si>
  <si>
    <t>D-3040</t>
  </si>
  <si>
    <t>D-3041</t>
  </si>
  <si>
    <t>D-3042</t>
  </si>
  <si>
    <t>D-3043</t>
  </si>
  <si>
    <t>D-3044</t>
  </si>
  <si>
    <t>D-3045</t>
  </si>
  <si>
    <t>D-3046</t>
  </si>
  <si>
    <t>D-3047</t>
  </si>
  <si>
    <r>
      <t xml:space="preserve">(790)POLLERIA TORRES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</si>
  <si>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D-3048</t>
  </si>
  <si>
    <t>D-3049</t>
  </si>
  <si>
    <t>D-3050</t>
  </si>
  <si>
    <t>D-3051</t>
  </si>
  <si>
    <t>D-3052</t>
  </si>
  <si>
    <t>D-3053</t>
  </si>
  <si>
    <t>D-3054</t>
  </si>
  <si>
    <t>D-3055</t>
  </si>
  <si>
    <t>D-3056</t>
  </si>
  <si>
    <t>D-3057</t>
  </si>
  <si>
    <t>D-3058</t>
  </si>
  <si>
    <t>D-3059</t>
  </si>
  <si>
    <t>D-3060</t>
  </si>
  <si>
    <t>D-3061</t>
  </si>
  <si>
    <t>D-3062</t>
  </si>
  <si>
    <t>D-3063</t>
  </si>
  <si>
    <t>D-3064</t>
  </si>
  <si>
    <t>D-3065</t>
  </si>
  <si>
    <t>D-3066</t>
  </si>
  <si>
    <t>D-3067</t>
  </si>
  <si>
    <t>D-3068</t>
  </si>
  <si>
    <t>D-3069</t>
  </si>
  <si>
    <t>D-3070</t>
  </si>
  <si>
    <t>D-3071</t>
  </si>
  <si>
    <t>D-3072</t>
  </si>
  <si>
    <t>D-3073</t>
  </si>
  <si>
    <t>D-3074</t>
  </si>
  <si>
    <t>D-3075</t>
  </si>
  <si>
    <t>D-3076</t>
  </si>
  <si>
    <t>D-3077</t>
  </si>
  <si>
    <t>D-3078</t>
  </si>
  <si>
    <t>D-3079</t>
  </si>
  <si>
    <t>D-3080</t>
  </si>
  <si>
    <t>D-3081</t>
  </si>
  <si>
    <t>D-3082</t>
  </si>
  <si>
    <t>D-3083</t>
  </si>
  <si>
    <t>D-3084</t>
  </si>
  <si>
    <t>D-3085</t>
  </si>
  <si>
    <t>D-3086</t>
  </si>
  <si>
    <t>D-3087</t>
  </si>
  <si>
    <t>D-3088</t>
  </si>
  <si>
    <t>D-3089</t>
  </si>
  <si>
    <t>D-3090</t>
  </si>
  <si>
    <t>D-3091</t>
  </si>
  <si>
    <t>D-3092</t>
  </si>
  <si>
    <t>D-3093</t>
  </si>
  <si>
    <t>D-3094</t>
  </si>
  <si>
    <t>D-3095</t>
  </si>
  <si>
    <t>D-3096</t>
  </si>
  <si>
    <t>D-3097</t>
  </si>
  <si>
    <t>D-3098</t>
  </si>
  <si>
    <t>D-3099</t>
  </si>
  <si>
    <r>
      <t xml:space="preserve">(651)NEALTICAN YOLANDA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</si>
  <si>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D-3100</t>
  </si>
  <si>
    <t>D-3101</t>
  </si>
  <si>
    <t>D-3102</t>
  </si>
  <si>
    <t>D-3103</t>
  </si>
  <si>
    <t>D-3104</t>
  </si>
  <si>
    <r>
      <t xml:space="preserve">(894)GLORIA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</si>
  <si>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3110</t>
  </si>
  <si>
    <t>D-3105</t>
  </si>
  <si>
    <t>D-3106</t>
  </si>
  <si>
    <t>D-3107</t>
  </si>
  <si>
    <t>D-3108</t>
  </si>
  <si>
    <t>D-3109</t>
  </si>
  <si>
    <t>D-3110</t>
  </si>
  <si>
    <t>D-3111</t>
  </si>
  <si>
    <t>D-3112</t>
  </si>
  <si>
    <t>D-3113</t>
  </si>
  <si>
    <t>D-3114</t>
  </si>
  <si>
    <t>D-3115</t>
  </si>
  <si>
    <t>D-3116</t>
  </si>
  <si>
    <t>D-3117</t>
  </si>
  <si>
    <t>D-3118</t>
  </si>
  <si>
    <t>D-3119</t>
  </si>
  <si>
    <t>D-3120</t>
  </si>
  <si>
    <t>D-3121</t>
  </si>
  <si>
    <t>D-3122</t>
  </si>
  <si>
    <t>D-3123</t>
  </si>
  <si>
    <t>D-3124</t>
  </si>
  <si>
    <t>D-3125</t>
  </si>
  <si>
    <t>D-3126</t>
  </si>
  <si>
    <t>D-3127</t>
  </si>
  <si>
    <t>D-3128</t>
  </si>
  <si>
    <t>D-3129</t>
  </si>
  <si>
    <t>D-3130</t>
  </si>
  <si>
    <t>D-3131</t>
  </si>
  <si>
    <t>D-3132</t>
  </si>
  <si>
    <t>D-3133</t>
  </si>
  <si>
    <t>8-Jul-22--9-Jul-22</t>
  </si>
  <si>
    <t>D-3134</t>
  </si>
  <si>
    <t>D-3135</t>
  </si>
  <si>
    <t>D-3136</t>
  </si>
  <si>
    <t>D-3137</t>
  </si>
  <si>
    <t>D-3138</t>
  </si>
  <si>
    <t>D-3139</t>
  </si>
  <si>
    <t>D-3140</t>
  </si>
  <si>
    <t>D-3141</t>
  </si>
  <si>
    <t>D-3142</t>
  </si>
  <si>
    <t>D-3143</t>
  </si>
  <si>
    <t>D-3144</t>
  </si>
  <si>
    <t>D-3145</t>
  </si>
  <si>
    <t>D-3146</t>
  </si>
  <si>
    <t>D-3147</t>
  </si>
  <si>
    <t>D-3148</t>
  </si>
  <si>
    <t>D-3149</t>
  </si>
  <si>
    <t>D-3150</t>
  </si>
  <si>
    <t>D-3151</t>
  </si>
  <si>
    <t>D-3152</t>
  </si>
  <si>
    <t>D-3153</t>
  </si>
  <si>
    <t>D-3154</t>
  </si>
  <si>
    <t>D-3155</t>
  </si>
  <si>
    <t>D-3156</t>
  </si>
  <si>
    <t>D-3157</t>
  </si>
  <si>
    <t>D-3158</t>
  </si>
  <si>
    <t>D-3159</t>
  </si>
  <si>
    <t>D-3160</t>
  </si>
  <si>
    <t>D-3161</t>
  </si>
  <si>
    <t>D-3162</t>
  </si>
  <si>
    <t>D-3163</t>
  </si>
  <si>
    <t>D-3164</t>
  </si>
  <si>
    <t>D-3165</t>
  </si>
  <si>
    <t>D-3166</t>
  </si>
  <si>
    <t>D-3167</t>
  </si>
  <si>
    <t>D-3168</t>
  </si>
  <si>
    <t>D-3169</t>
  </si>
  <si>
    <t>D-3170</t>
  </si>
  <si>
    <t>D-3171</t>
  </si>
  <si>
    <t>D-3172</t>
  </si>
  <si>
    <t>D-3173</t>
  </si>
  <si>
    <t>D-3174</t>
  </si>
  <si>
    <t>D-3175</t>
  </si>
  <si>
    <t>D-3176</t>
  </si>
  <si>
    <t>D-3177</t>
  </si>
  <si>
    <t>D-3178</t>
  </si>
  <si>
    <t>D-3179</t>
  </si>
  <si>
    <t>D-3180</t>
  </si>
  <si>
    <t>D-3181</t>
  </si>
  <si>
    <t>D-3182</t>
  </si>
  <si>
    <t>D-3183</t>
  </si>
  <si>
    <t>D-3184</t>
  </si>
  <si>
    <t>D-3185</t>
  </si>
  <si>
    <t>D-3186</t>
  </si>
  <si>
    <t>D-3187</t>
  </si>
  <si>
    <t>D-3188</t>
  </si>
  <si>
    <t>D-3189</t>
  </si>
  <si>
    <t>D-3190</t>
  </si>
  <si>
    <t>D-3191</t>
  </si>
  <si>
    <t>D-3192</t>
  </si>
  <si>
    <t>D-3193</t>
  </si>
  <si>
    <t>D-3194</t>
  </si>
  <si>
    <t>D-3195</t>
  </si>
  <si>
    <t>D-3196</t>
  </si>
  <si>
    <t>D-3197</t>
  </si>
  <si>
    <t>D-3198</t>
  </si>
  <si>
    <t>D-3199</t>
  </si>
  <si>
    <t>D-3200</t>
  </si>
  <si>
    <t>D-3201</t>
  </si>
  <si>
    <t>D-3202</t>
  </si>
  <si>
    <t>D-3203</t>
  </si>
  <si>
    <t>D-3204</t>
  </si>
  <si>
    <t>D-3205</t>
  </si>
  <si>
    <t>D-3206</t>
  </si>
  <si>
    <t>D-3207</t>
  </si>
  <si>
    <t>D-3208</t>
  </si>
  <si>
    <t>D-3209</t>
  </si>
  <si>
    <t>D-3210</t>
  </si>
  <si>
    <t>D-3211</t>
  </si>
  <si>
    <t>D-3212</t>
  </si>
  <si>
    <t>D-3213</t>
  </si>
  <si>
    <t>D-3214</t>
  </si>
  <si>
    <t>D-3215</t>
  </si>
  <si>
    <t>D-3216</t>
  </si>
  <si>
    <t>D-3217</t>
  </si>
  <si>
    <t>D-3218</t>
  </si>
  <si>
    <t>D-3219</t>
  </si>
  <si>
    <t>D-3220</t>
  </si>
  <si>
    <t>D-3221</t>
  </si>
  <si>
    <t>D-3222</t>
  </si>
  <si>
    <t>D-3223</t>
  </si>
  <si>
    <t>D-3224</t>
  </si>
  <si>
    <t>D-3225</t>
  </si>
  <si>
    <t>D-3226</t>
  </si>
  <si>
    <t>D-3227</t>
  </si>
  <si>
    <t>D-3228</t>
  </si>
  <si>
    <t>D-3229</t>
  </si>
  <si>
    <t>D-3230</t>
  </si>
  <si>
    <t>D-3231</t>
  </si>
  <si>
    <t>D-3232</t>
  </si>
  <si>
    <t>D-3233</t>
  </si>
  <si>
    <t>D-3234</t>
  </si>
  <si>
    <t>D-3235</t>
  </si>
  <si>
    <t>D-3236</t>
  </si>
  <si>
    <t>D-3237</t>
  </si>
  <si>
    <t>D-3238</t>
  </si>
  <si>
    <t>D-3239</t>
  </si>
  <si>
    <t>D-3240</t>
  </si>
  <si>
    <t>D-3241</t>
  </si>
  <si>
    <t>D-3242</t>
  </si>
  <si>
    <t>D-3243</t>
  </si>
  <si>
    <t>D-3244</t>
  </si>
  <si>
    <t>9-Jul-22--11-Jul-22</t>
  </si>
  <si>
    <t>D-3245</t>
  </si>
  <si>
    <t>D-3246</t>
  </si>
  <si>
    <t>D-3247</t>
  </si>
  <si>
    <t>D-3248</t>
  </si>
  <si>
    <t>D-3249</t>
  </si>
  <si>
    <t>D-3250</t>
  </si>
  <si>
    <t>D-3251</t>
  </si>
  <si>
    <t>D-3252</t>
  </si>
  <si>
    <t>9-Jul-22--10-Jul-22</t>
  </si>
  <si>
    <t>D-3253</t>
  </si>
  <si>
    <t>D-3254</t>
  </si>
  <si>
    <t>D-3255</t>
  </si>
  <si>
    <t>D-3256</t>
  </si>
  <si>
    <t>D-3257</t>
  </si>
  <si>
    <t>D-3258</t>
  </si>
  <si>
    <t>D-3259</t>
  </si>
  <si>
    <t>D-3260</t>
  </si>
  <si>
    <t>D-3261</t>
  </si>
  <si>
    <t>D-3262</t>
  </si>
  <si>
    <t>D-3263</t>
  </si>
  <si>
    <t>D-3264</t>
  </si>
  <si>
    <t>D-3265</t>
  </si>
  <si>
    <t>D-3266</t>
  </si>
  <si>
    <t>D-3267</t>
  </si>
  <si>
    <t>D-3268</t>
  </si>
  <si>
    <t>D-3269</t>
  </si>
  <si>
    <t>D-3270</t>
  </si>
  <si>
    <r>
      <t xml:space="preserve">(710)ERIK  </t>
    </r>
    <r>
      <rPr>
        <b/>
        <sz val="12"/>
        <color rgb="FFFF0000"/>
        <rFont val="Calibri"/>
        <family val="2"/>
        <scheme val="minor"/>
      </rPr>
      <t>CANCELADA</t>
    </r>
  </si>
  <si>
    <t>D-3271</t>
  </si>
  <si>
    <t>D-3272</t>
  </si>
  <si>
    <t>D-3273</t>
  </si>
  <si>
    <t>D-3274</t>
  </si>
  <si>
    <t>D-3275</t>
  </si>
  <si>
    <t>D-3276</t>
  </si>
  <si>
    <t>D-3277</t>
  </si>
  <si>
    <t>D-3278</t>
  </si>
  <si>
    <t>D-3279</t>
  </si>
  <si>
    <t>D-3280</t>
  </si>
  <si>
    <t>D-3281</t>
  </si>
  <si>
    <t>D-3282</t>
  </si>
  <si>
    <t>D-3283</t>
  </si>
  <si>
    <t>D-3284</t>
  </si>
  <si>
    <t>D-3285</t>
  </si>
  <si>
    <t>D-3286</t>
  </si>
  <si>
    <r>
      <t>(836)JACINTO HERNANDEZ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</si>
  <si>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D-3287</t>
  </si>
  <si>
    <t>D-3288</t>
  </si>
  <si>
    <t>D-3289</t>
  </si>
  <si>
    <t>D-3290</t>
  </si>
  <si>
    <t>D-3291</t>
  </si>
  <si>
    <t>D-3292</t>
  </si>
  <si>
    <t>D-3293</t>
  </si>
  <si>
    <t>D-3294</t>
  </si>
  <si>
    <t>D-3295</t>
  </si>
  <si>
    <t>D-3296</t>
  </si>
  <si>
    <t>D-3297</t>
  </si>
  <si>
    <t>D-3298</t>
  </si>
  <si>
    <t>D-3299</t>
  </si>
  <si>
    <t>D-3300</t>
  </si>
  <si>
    <t>D-3301</t>
  </si>
  <si>
    <t>D-3302</t>
  </si>
  <si>
    <t>D-3303</t>
  </si>
  <si>
    <t>D-3304</t>
  </si>
  <si>
    <t>D-3305</t>
  </si>
  <si>
    <t>D-3306</t>
  </si>
  <si>
    <t>D-3307</t>
  </si>
  <si>
    <t>D-3308</t>
  </si>
  <si>
    <t>D-3309</t>
  </si>
  <si>
    <t>D-3310</t>
  </si>
  <si>
    <t>D-3311</t>
  </si>
  <si>
    <t>D-3312</t>
  </si>
  <si>
    <t>D-3313</t>
  </si>
  <si>
    <t>D-3314</t>
  </si>
  <si>
    <t>D-3315</t>
  </si>
  <si>
    <t>D-3316</t>
  </si>
  <si>
    <t>D-3317</t>
  </si>
  <si>
    <t>D-3318</t>
  </si>
  <si>
    <t>D-3319</t>
  </si>
  <si>
    <t>D-3320</t>
  </si>
  <si>
    <t>D-3321</t>
  </si>
  <si>
    <t>D-3322</t>
  </si>
  <si>
    <t>D-3323</t>
  </si>
  <si>
    <t>D-3324</t>
  </si>
  <si>
    <t>D-3325</t>
  </si>
  <si>
    <t>D-3326</t>
  </si>
  <si>
    <t>D-3327</t>
  </si>
  <si>
    <t>D-3328</t>
  </si>
  <si>
    <t>D-3329</t>
  </si>
  <si>
    <t>D-3330</t>
  </si>
  <si>
    <t>D-3331</t>
  </si>
  <si>
    <t>D-3332</t>
  </si>
  <si>
    <t>D-3333</t>
  </si>
  <si>
    <t>D-3334</t>
  </si>
  <si>
    <t>D-3335</t>
  </si>
  <si>
    <t>D-3336</t>
  </si>
  <si>
    <t>D-3337</t>
  </si>
  <si>
    <t>D-3338</t>
  </si>
  <si>
    <t>D-3339</t>
  </si>
  <si>
    <t>D-3340</t>
  </si>
  <si>
    <t>D-3341</t>
  </si>
  <si>
    <t>se sustituyo x la 3348</t>
  </si>
  <si>
    <t>D-3342</t>
  </si>
  <si>
    <t>D-3343</t>
  </si>
  <si>
    <t>D-3344</t>
  </si>
  <si>
    <t>D-3345</t>
  </si>
  <si>
    <t>D-3346</t>
  </si>
  <si>
    <t>D-3347</t>
  </si>
  <si>
    <t>D-3348</t>
  </si>
  <si>
    <t>D-3349</t>
  </si>
  <si>
    <t>D-3350</t>
  </si>
  <si>
    <t>D-3351</t>
  </si>
  <si>
    <t>D-3352</t>
  </si>
  <si>
    <t>D-3353</t>
  </si>
  <si>
    <t>D-3354</t>
  </si>
  <si>
    <t>D-3355</t>
  </si>
  <si>
    <t>D-3356</t>
  </si>
  <si>
    <t>D-3357</t>
  </si>
  <si>
    <t>D-3358</t>
  </si>
  <si>
    <t>D-3359</t>
  </si>
  <si>
    <t>D-3360</t>
  </si>
  <si>
    <t>D-3361</t>
  </si>
  <si>
    <t>D-3362</t>
  </si>
  <si>
    <t>D-3363</t>
  </si>
  <si>
    <t>D-3364</t>
  </si>
  <si>
    <t>D-3365</t>
  </si>
  <si>
    <t>D-3366</t>
  </si>
  <si>
    <t>D-3367</t>
  </si>
  <si>
    <t>D-3368</t>
  </si>
  <si>
    <t>10-Jul-22--11-Jul-22</t>
  </si>
  <si>
    <t>D-3369</t>
  </si>
  <si>
    <t>D-3370</t>
  </si>
  <si>
    <t>D-3371</t>
  </si>
  <si>
    <t>D-3372</t>
  </si>
  <si>
    <t>D-3373</t>
  </si>
  <si>
    <t>12-Jul-22--13-Jul-22</t>
  </si>
  <si>
    <t>D-3374</t>
  </si>
  <si>
    <t>D-3375</t>
  </si>
  <si>
    <t>D-3376</t>
  </si>
  <si>
    <t>D-3377</t>
  </si>
  <si>
    <t>D-3378</t>
  </si>
  <si>
    <t>D-3379</t>
  </si>
  <si>
    <t>D-3380</t>
  </si>
  <si>
    <t>D-3381</t>
  </si>
  <si>
    <t>D-3382</t>
  </si>
  <si>
    <t>D-3383</t>
  </si>
  <si>
    <t>11-Jul-22--12-Jul-22--13-Jul-22</t>
  </si>
  <si>
    <t>D-3384</t>
  </si>
  <si>
    <t>D-3385</t>
  </si>
  <si>
    <t>D-3386</t>
  </si>
  <si>
    <t>D-3387</t>
  </si>
  <si>
    <t>D-3388</t>
  </si>
  <si>
    <r>
      <t xml:space="preserve">(373)MARIA LUISA TELLEZ LOMA VERDE   </t>
    </r>
    <r>
      <rPr>
        <b/>
        <sz val="12"/>
        <color rgb="FFFF0000"/>
        <rFont val="Calibri"/>
        <family val="2"/>
        <scheme val="minor"/>
      </rPr>
      <t>CANCELADA</t>
    </r>
  </si>
  <si>
    <t>D-3389</t>
  </si>
  <si>
    <t>D-3390</t>
  </si>
  <si>
    <t>D-3391</t>
  </si>
  <si>
    <t>D-3392</t>
  </si>
  <si>
    <t>D-3393</t>
  </si>
  <si>
    <t>D-3394</t>
  </si>
  <si>
    <t>D-3395</t>
  </si>
  <si>
    <t>D-3396</t>
  </si>
  <si>
    <t>D-3397</t>
  </si>
  <si>
    <t>D-3398</t>
  </si>
  <si>
    <t>D-3399</t>
  </si>
  <si>
    <t>D-3400</t>
  </si>
  <si>
    <t>D-3401</t>
  </si>
  <si>
    <t>D-3402</t>
  </si>
  <si>
    <t>D-3403</t>
  </si>
  <si>
    <t>D-3404</t>
  </si>
  <si>
    <t>D-3405</t>
  </si>
  <si>
    <t>D-3406</t>
  </si>
  <si>
    <t>D-3407</t>
  </si>
  <si>
    <t>D-3408</t>
  </si>
  <si>
    <t>D-3409</t>
  </si>
  <si>
    <t>D-3410</t>
  </si>
  <si>
    <t>D-3411</t>
  </si>
  <si>
    <t>D-3412</t>
  </si>
  <si>
    <t>D-3413</t>
  </si>
  <si>
    <t>D-3414</t>
  </si>
  <si>
    <t>D-3415</t>
  </si>
  <si>
    <t>D-3416</t>
  </si>
  <si>
    <t>D-3417</t>
  </si>
  <si>
    <t>D-3418</t>
  </si>
  <si>
    <t>D-3419</t>
  </si>
  <si>
    <t>D-3420</t>
  </si>
  <si>
    <t>D-3421</t>
  </si>
  <si>
    <t>D-3422</t>
  </si>
  <si>
    <t>D-3423</t>
  </si>
  <si>
    <t>D-3424</t>
  </si>
  <si>
    <t>D-3425</t>
  </si>
  <si>
    <t>D-3426</t>
  </si>
  <si>
    <t>D-3427</t>
  </si>
  <si>
    <t>D-3428</t>
  </si>
  <si>
    <t>D-3429</t>
  </si>
  <si>
    <t>D-3430</t>
  </si>
  <si>
    <r>
      <t xml:space="preserve">(47)NOE COYOTL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</si>
  <si>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D-3431</t>
  </si>
  <si>
    <t>D-3432</t>
  </si>
  <si>
    <t>D-3433</t>
  </si>
  <si>
    <t>D-3434</t>
  </si>
  <si>
    <t>D-3435</t>
  </si>
  <si>
    <t>D-3436</t>
  </si>
  <si>
    <t>D-3437</t>
  </si>
  <si>
    <t>D-3438</t>
  </si>
  <si>
    <t>D-3439</t>
  </si>
  <si>
    <t>D-3440</t>
  </si>
  <si>
    <t>D-3441</t>
  </si>
  <si>
    <t>D-3442</t>
  </si>
  <si>
    <t>D-3443</t>
  </si>
  <si>
    <t>D-3444</t>
  </si>
  <si>
    <t>D-3445</t>
  </si>
  <si>
    <t>D-3446</t>
  </si>
  <si>
    <t>D-3447</t>
  </si>
  <si>
    <t>D-3448</t>
  </si>
  <si>
    <t>D-3449</t>
  </si>
  <si>
    <t>D-3450</t>
  </si>
  <si>
    <t>D-3451</t>
  </si>
  <si>
    <t>D-3452</t>
  </si>
  <si>
    <t>D-3453</t>
  </si>
  <si>
    <t>D-3454</t>
  </si>
  <si>
    <t>D-3455</t>
  </si>
  <si>
    <t>D-3456</t>
  </si>
  <si>
    <t>18-Jul-22--22-Jul-22</t>
  </si>
  <si>
    <t>D-3457</t>
  </si>
  <si>
    <t>D-3458</t>
  </si>
  <si>
    <t>se sustituyo x la 3459</t>
  </si>
  <si>
    <t>D-3459</t>
  </si>
  <si>
    <t>D-3460</t>
  </si>
  <si>
    <t>D-3461</t>
  </si>
  <si>
    <t>D-3462</t>
  </si>
  <si>
    <t>D-3463</t>
  </si>
  <si>
    <t>D-3464</t>
  </si>
  <si>
    <t>22-Jul-22--29-Jul-22</t>
  </si>
  <si>
    <t>D-3465</t>
  </si>
  <si>
    <t>D-3466</t>
  </si>
  <si>
    <t>D-3467</t>
  </si>
  <si>
    <t>D-3468</t>
  </si>
  <si>
    <t>D-3469</t>
  </si>
  <si>
    <t>D-3470</t>
  </si>
  <si>
    <t>D-3471</t>
  </si>
  <si>
    <t>D-3472</t>
  </si>
  <si>
    <r>
      <t xml:space="preserve">(136)RICARDO DELEITA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</si>
  <si>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D-3473</t>
  </si>
  <si>
    <t>D-3474</t>
  </si>
  <si>
    <t>D-3475</t>
  </si>
  <si>
    <t>D-3476</t>
  </si>
  <si>
    <t>D-3477</t>
  </si>
  <si>
    <t>D-3478</t>
  </si>
  <si>
    <t>D-3479</t>
  </si>
  <si>
    <t>D-3480</t>
  </si>
  <si>
    <t>D-3481</t>
  </si>
  <si>
    <t>D-3482</t>
  </si>
  <si>
    <t>D-3483</t>
  </si>
  <si>
    <t>D-3484</t>
  </si>
  <si>
    <t>D-3485</t>
  </si>
  <si>
    <t>D-3486</t>
  </si>
  <si>
    <t>D-3487</t>
  </si>
  <si>
    <t>D-3488</t>
  </si>
  <si>
    <t>D-3489</t>
  </si>
  <si>
    <t>D-3490</t>
  </si>
  <si>
    <t>D-3491</t>
  </si>
  <si>
    <t>D-3492</t>
  </si>
  <si>
    <t>D-3493</t>
  </si>
  <si>
    <t>D-3494</t>
  </si>
  <si>
    <t>D-3495</t>
  </si>
  <si>
    <t>D-3496</t>
  </si>
  <si>
    <t>(876)JOSE ANTONIO</t>
  </si>
  <si>
    <t>D-3497</t>
  </si>
  <si>
    <t>D-3498</t>
  </si>
  <si>
    <t>D-3499</t>
  </si>
  <si>
    <t>D-3500</t>
  </si>
  <si>
    <t>D-3501</t>
  </si>
  <si>
    <t>D-3502</t>
  </si>
  <si>
    <t>D-3503</t>
  </si>
  <si>
    <t>D-3504</t>
  </si>
  <si>
    <t>D-3505</t>
  </si>
  <si>
    <t>11-Jul-22--13-Jul-22</t>
  </si>
  <si>
    <t>D-3506</t>
  </si>
  <si>
    <t>D-3507</t>
  </si>
  <si>
    <t>D-3508</t>
  </si>
  <si>
    <t>D-3509</t>
  </si>
  <si>
    <t>D-3510</t>
  </si>
  <si>
    <t>D-3511</t>
  </si>
  <si>
    <t>D-3512</t>
  </si>
  <si>
    <t>D-3513</t>
  </si>
  <si>
    <t xml:space="preserve">11-Jul-22--12-Jul-22  </t>
  </si>
  <si>
    <t>D-3514</t>
  </si>
  <si>
    <t>D-3515</t>
  </si>
  <si>
    <t>D-3516</t>
  </si>
  <si>
    <t>D-3517</t>
  </si>
  <si>
    <t>D-3518</t>
  </si>
  <si>
    <t>D-3519</t>
  </si>
  <si>
    <t>D-3520</t>
  </si>
  <si>
    <t>D-3521</t>
  </si>
  <si>
    <t>D-3522</t>
  </si>
  <si>
    <t>D-3523</t>
  </si>
  <si>
    <t>D-3524</t>
  </si>
  <si>
    <t>D-3525</t>
  </si>
  <si>
    <t>D-3526</t>
  </si>
  <si>
    <t>D-3527</t>
  </si>
  <si>
    <t>D-3528</t>
  </si>
  <si>
    <t>D-3529</t>
  </si>
  <si>
    <t>D-3530</t>
  </si>
  <si>
    <t>10-Jul-22--12-Jul-22-----</t>
  </si>
  <si>
    <t>D-3531</t>
  </si>
  <si>
    <t>D-3532</t>
  </si>
  <si>
    <t>D-3533</t>
  </si>
  <si>
    <t>D-3534</t>
  </si>
  <si>
    <t>D-3535</t>
  </si>
  <si>
    <t>D-3536</t>
  </si>
  <si>
    <t>D-3537</t>
  </si>
  <si>
    <t>D-3538</t>
  </si>
  <si>
    <t>D-3539</t>
  </si>
  <si>
    <t>D-3540</t>
  </si>
  <si>
    <t>D-3541</t>
  </si>
  <si>
    <t>D-3542</t>
  </si>
  <si>
    <t>D-3543</t>
  </si>
  <si>
    <t>D-3544</t>
  </si>
  <si>
    <t>D-3545</t>
  </si>
  <si>
    <t>D-3546</t>
  </si>
  <si>
    <t>D-3547</t>
  </si>
  <si>
    <t>D-3548</t>
  </si>
  <si>
    <t>D-3549</t>
  </si>
  <si>
    <t>D-3550</t>
  </si>
  <si>
    <t>D-3551</t>
  </si>
  <si>
    <t>D-3552</t>
  </si>
  <si>
    <t>D-3553</t>
  </si>
  <si>
    <t>D-3554</t>
  </si>
  <si>
    <t>D-3555</t>
  </si>
  <si>
    <t>D-3556</t>
  </si>
  <si>
    <t>D-3557</t>
  </si>
  <si>
    <t>13-Jul-22--14-Jul-22</t>
  </si>
  <si>
    <t>D-3558</t>
  </si>
  <si>
    <t>D-3559</t>
  </si>
  <si>
    <t>D-3560</t>
  </si>
  <si>
    <t>D-3561</t>
  </si>
  <si>
    <t>D-3562</t>
  </si>
  <si>
    <t>D-3563</t>
  </si>
  <si>
    <t>D-3564</t>
  </si>
  <si>
    <t>D-3565</t>
  </si>
  <si>
    <t>D-3566</t>
  </si>
  <si>
    <t>D-3567</t>
  </si>
  <si>
    <t>D-3568</t>
  </si>
  <si>
    <t>D-3569</t>
  </si>
  <si>
    <t>D-3570</t>
  </si>
  <si>
    <t>D-3571</t>
  </si>
  <si>
    <t>D-3572</t>
  </si>
  <si>
    <t>D-3573</t>
  </si>
  <si>
    <t>D-3574</t>
  </si>
  <si>
    <t>D-3575</t>
  </si>
  <si>
    <t>D-3576</t>
  </si>
  <si>
    <t>D-3577</t>
  </si>
  <si>
    <t>D-3578</t>
  </si>
  <si>
    <t>D-3579</t>
  </si>
  <si>
    <t>D-3580</t>
  </si>
  <si>
    <t>D-3581</t>
  </si>
  <si>
    <t>D-3582</t>
  </si>
  <si>
    <t>D-3583</t>
  </si>
  <si>
    <t>D-3584</t>
  </si>
  <si>
    <t>D-3585</t>
  </si>
  <si>
    <t>D-3586</t>
  </si>
  <si>
    <t>D-3587</t>
  </si>
  <si>
    <t>D-3588</t>
  </si>
  <si>
    <t>D-3589</t>
  </si>
  <si>
    <t>D-3590</t>
  </si>
  <si>
    <t>D-3591</t>
  </si>
  <si>
    <t>D-3592</t>
  </si>
  <si>
    <t>D-3593</t>
  </si>
  <si>
    <t>D-3594</t>
  </si>
  <si>
    <t>D-3595</t>
  </si>
  <si>
    <t>D-3596</t>
  </si>
  <si>
    <t>D-3597</t>
  </si>
  <si>
    <t>D-3598</t>
  </si>
  <si>
    <t>D-3599</t>
  </si>
  <si>
    <t>D-3600</t>
  </si>
  <si>
    <t>D-3601</t>
  </si>
  <si>
    <t>D-3602</t>
  </si>
  <si>
    <t>D-3603</t>
  </si>
  <si>
    <t>D-3604</t>
  </si>
  <si>
    <t>D-3605</t>
  </si>
  <si>
    <t>D-3606</t>
  </si>
  <si>
    <t>D-3607</t>
  </si>
  <si>
    <t>D-3608</t>
  </si>
  <si>
    <t>D-3609</t>
  </si>
  <si>
    <t>D-3610</t>
  </si>
  <si>
    <t>D-3611</t>
  </si>
  <si>
    <t>D-3612</t>
  </si>
  <si>
    <t>D-3613</t>
  </si>
  <si>
    <t>D-3614</t>
  </si>
  <si>
    <t>D-3615</t>
  </si>
  <si>
    <t>D-3616</t>
  </si>
  <si>
    <t>D-3617</t>
  </si>
  <si>
    <t>D-3618</t>
  </si>
  <si>
    <t>D-3619</t>
  </si>
  <si>
    <t>D-3620</t>
  </si>
  <si>
    <t>D-3621</t>
  </si>
  <si>
    <t>D-3622</t>
  </si>
  <si>
    <t>D-3623</t>
  </si>
  <si>
    <t>D-3624</t>
  </si>
  <si>
    <t>D-3625</t>
  </si>
  <si>
    <t>D-3626</t>
  </si>
  <si>
    <t>D-3627</t>
  </si>
  <si>
    <t>D-3628</t>
  </si>
  <si>
    <t>D-3629</t>
  </si>
  <si>
    <t>D-3630</t>
  </si>
  <si>
    <t>D-3631</t>
  </si>
  <si>
    <t>D-3632</t>
  </si>
  <si>
    <t>D-3633</t>
  </si>
  <si>
    <t>D-3634</t>
  </si>
  <si>
    <t>D-3635</t>
  </si>
  <si>
    <t>D-3636</t>
  </si>
  <si>
    <t>D-3637</t>
  </si>
  <si>
    <t>D-3638</t>
  </si>
  <si>
    <t>D-3639</t>
  </si>
  <si>
    <t>D-3640</t>
  </si>
  <si>
    <t>D-3641</t>
  </si>
  <si>
    <t>D-3642</t>
  </si>
  <si>
    <t>D-3643</t>
  </si>
  <si>
    <t>D-3644</t>
  </si>
  <si>
    <t>D-3645</t>
  </si>
  <si>
    <t>D-3646</t>
  </si>
  <si>
    <t>D-3647</t>
  </si>
  <si>
    <t>D-3648</t>
  </si>
  <si>
    <t>D-3649</t>
  </si>
  <si>
    <t>D-3650</t>
  </si>
  <si>
    <t>D-3651</t>
  </si>
  <si>
    <t>D-3652</t>
  </si>
  <si>
    <t>D-3653</t>
  </si>
  <si>
    <t>D-3654</t>
  </si>
  <si>
    <t>D-3655</t>
  </si>
  <si>
    <t>D-3656</t>
  </si>
  <si>
    <t>D-3657</t>
  </si>
  <si>
    <t>D-3658</t>
  </si>
  <si>
    <t>D-3659</t>
  </si>
  <si>
    <t>D-3660</t>
  </si>
  <si>
    <t>D-3661</t>
  </si>
  <si>
    <t>D-3662</t>
  </si>
  <si>
    <t>D-3663</t>
  </si>
  <si>
    <t>D-3664</t>
  </si>
  <si>
    <t>D-3665</t>
  </si>
  <si>
    <t>D-3666</t>
  </si>
  <si>
    <t>D-3667</t>
  </si>
  <si>
    <t>D-3668</t>
  </si>
  <si>
    <t>D-3669</t>
  </si>
  <si>
    <t>D-3670</t>
  </si>
  <si>
    <t>D-3671</t>
  </si>
  <si>
    <t>D-3672</t>
  </si>
  <si>
    <t>D-3673</t>
  </si>
  <si>
    <t>D-3674</t>
  </si>
  <si>
    <t>D-3675</t>
  </si>
  <si>
    <t>D-3676</t>
  </si>
  <si>
    <t>D-3677</t>
  </si>
  <si>
    <t>D-3678</t>
  </si>
  <si>
    <t>D-3679</t>
  </si>
  <si>
    <t>D-3680</t>
  </si>
  <si>
    <t>D-3681</t>
  </si>
  <si>
    <t>D-3682</t>
  </si>
  <si>
    <t>D-3683</t>
  </si>
  <si>
    <t>D-3684</t>
  </si>
  <si>
    <t>D-3685</t>
  </si>
  <si>
    <t>D-3686</t>
  </si>
  <si>
    <t>D-3687</t>
  </si>
  <si>
    <t>D-3688</t>
  </si>
  <si>
    <t>D-3689</t>
  </si>
  <si>
    <t>14-Jul-22--15-Jul-22</t>
  </si>
  <si>
    <t>D-3690</t>
  </si>
  <si>
    <t>D-3691</t>
  </si>
  <si>
    <t>D-3692</t>
  </si>
  <si>
    <t>D-3693</t>
  </si>
  <si>
    <t>D-3694</t>
  </si>
  <si>
    <t>D-3695</t>
  </si>
  <si>
    <r>
      <t xml:space="preserve">(748)HECTOR HERNANDEZ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</si>
  <si>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3696</t>
  </si>
  <si>
    <t>D-3696</t>
  </si>
  <si>
    <t>D-3697</t>
  </si>
  <si>
    <t>D-3698</t>
  </si>
  <si>
    <t>D-3699</t>
  </si>
  <si>
    <t>D-3700</t>
  </si>
  <si>
    <t>D-3701</t>
  </si>
  <si>
    <t>D-3702</t>
  </si>
  <si>
    <t>D-3703</t>
  </si>
  <si>
    <t>D-3704</t>
  </si>
  <si>
    <t>D-3705</t>
  </si>
  <si>
    <t>D-3706</t>
  </si>
  <si>
    <t>D-3707</t>
  </si>
  <si>
    <t>D-3708</t>
  </si>
  <si>
    <t>D-3709</t>
  </si>
  <si>
    <t>D-3710</t>
  </si>
  <si>
    <t>D-3711</t>
  </si>
  <si>
    <t>D-3712</t>
  </si>
  <si>
    <t>D-3713</t>
  </si>
  <si>
    <t>D-3714</t>
  </si>
  <si>
    <t>D-3715</t>
  </si>
  <si>
    <t>D-3716</t>
  </si>
  <si>
    <t>D-3717</t>
  </si>
  <si>
    <t>D-3718</t>
  </si>
  <si>
    <t>D-3719</t>
  </si>
  <si>
    <t>D-3720</t>
  </si>
  <si>
    <t>D-3721</t>
  </si>
  <si>
    <t>D-3722</t>
  </si>
  <si>
    <t>D-3723</t>
  </si>
  <si>
    <t>D-3724</t>
  </si>
  <si>
    <t>D-3725</t>
  </si>
  <si>
    <t>D-3726</t>
  </si>
  <si>
    <t>D-3727</t>
  </si>
  <si>
    <t>D-3728</t>
  </si>
  <si>
    <t>D-3729</t>
  </si>
  <si>
    <t>D-3730</t>
  </si>
  <si>
    <t>D-3731</t>
  </si>
  <si>
    <t>D-3732</t>
  </si>
  <si>
    <t>D-3733</t>
  </si>
  <si>
    <t>D-3734</t>
  </si>
  <si>
    <t>D-3735</t>
  </si>
  <si>
    <t>D-3736</t>
  </si>
  <si>
    <t>D-3737</t>
  </si>
  <si>
    <t>D-3738</t>
  </si>
  <si>
    <t>D-3739</t>
  </si>
  <si>
    <t>D-3740</t>
  </si>
  <si>
    <t>D-3741</t>
  </si>
  <si>
    <t>D-3742</t>
  </si>
  <si>
    <t>D-3743</t>
  </si>
  <si>
    <t>D-3744</t>
  </si>
  <si>
    <t>D-3745</t>
  </si>
  <si>
    <t>D-3746</t>
  </si>
  <si>
    <t>D-3747</t>
  </si>
  <si>
    <t>D-3748</t>
  </si>
  <si>
    <t>D-3749</t>
  </si>
  <si>
    <t>D-3750</t>
  </si>
  <si>
    <t>D-3751</t>
  </si>
  <si>
    <t>D-3752</t>
  </si>
  <si>
    <t>D-3753</t>
  </si>
  <si>
    <t>D-3754</t>
  </si>
  <si>
    <t>D-3755</t>
  </si>
  <si>
    <t>D-3756</t>
  </si>
  <si>
    <t>D-3757</t>
  </si>
  <si>
    <t>D-3758</t>
  </si>
  <si>
    <t>D-3759</t>
  </si>
  <si>
    <t>D-3760</t>
  </si>
  <si>
    <t>D-3761</t>
  </si>
  <si>
    <t>D-3762</t>
  </si>
  <si>
    <t>D-3763</t>
  </si>
  <si>
    <t>D-3764</t>
  </si>
  <si>
    <t>D-3765</t>
  </si>
  <si>
    <t>D-3766</t>
  </si>
  <si>
    <t>D-3767</t>
  </si>
  <si>
    <t>D-3768</t>
  </si>
  <si>
    <t>D-3769</t>
  </si>
  <si>
    <t>D-3770</t>
  </si>
  <si>
    <t>D-3771</t>
  </si>
  <si>
    <t>D-3772</t>
  </si>
  <si>
    <t>D-3773</t>
  </si>
  <si>
    <t>D-3774</t>
  </si>
  <si>
    <t>D-3775</t>
  </si>
  <si>
    <t>D-3776</t>
  </si>
  <si>
    <t>D-3777</t>
  </si>
  <si>
    <t>D-3778</t>
  </si>
  <si>
    <t>D-3779</t>
  </si>
  <si>
    <t>D-3780</t>
  </si>
  <si>
    <t>D-3781</t>
  </si>
  <si>
    <t>D-3782</t>
  </si>
  <si>
    <t>D-3783</t>
  </si>
  <si>
    <t>D-3784</t>
  </si>
  <si>
    <t>D-3785</t>
  </si>
  <si>
    <t>D-3786</t>
  </si>
  <si>
    <t>D-3787</t>
  </si>
  <si>
    <t>D-3788</t>
  </si>
  <si>
    <t>D-3789</t>
  </si>
  <si>
    <t>D-3790</t>
  </si>
  <si>
    <t>D-3791</t>
  </si>
  <si>
    <t>D-3792</t>
  </si>
  <si>
    <r>
      <t xml:space="preserve">(856)MIGUEL 5 MAYO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</si>
  <si>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3872</t>
  </si>
  <si>
    <t>D-3793</t>
  </si>
  <si>
    <t>D-3794</t>
  </si>
  <si>
    <t>D-3795</t>
  </si>
  <si>
    <t>D-3796</t>
  </si>
  <si>
    <t>D-3797</t>
  </si>
  <si>
    <t>D-3798</t>
  </si>
  <si>
    <t>D-3799</t>
  </si>
  <si>
    <t>D-3800</t>
  </si>
  <si>
    <t>D-3801</t>
  </si>
  <si>
    <t>D-3802</t>
  </si>
  <si>
    <t>D-3803</t>
  </si>
  <si>
    <t>D-3804</t>
  </si>
  <si>
    <t>D-3805</t>
  </si>
  <si>
    <t>D-3806</t>
  </si>
  <si>
    <t>D-3807</t>
  </si>
  <si>
    <t>D-3808</t>
  </si>
  <si>
    <t>D-3809</t>
  </si>
  <si>
    <t>D-3810</t>
  </si>
  <si>
    <t>D-3811</t>
  </si>
  <si>
    <t>D-3812</t>
  </si>
  <si>
    <t>D-3813</t>
  </si>
  <si>
    <t>D-3814</t>
  </si>
  <si>
    <t>D-3815</t>
  </si>
  <si>
    <t>D-3816</t>
  </si>
  <si>
    <t>D-3817</t>
  </si>
  <si>
    <t>D-3818</t>
  </si>
  <si>
    <t>D-3819</t>
  </si>
  <si>
    <t>D-3820</t>
  </si>
  <si>
    <t>D-3821</t>
  </si>
  <si>
    <t>D-3822</t>
  </si>
  <si>
    <t>se sustituyo x la 3833</t>
  </si>
  <si>
    <t>D-3823</t>
  </si>
  <si>
    <t>D-3824</t>
  </si>
  <si>
    <t>D-3825</t>
  </si>
  <si>
    <t>D-3826</t>
  </si>
  <si>
    <t>D-3827</t>
  </si>
  <si>
    <t>D-3828</t>
  </si>
  <si>
    <t>D-3829</t>
  </si>
  <si>
    <t>D-3830</t>
  </si>
  <si>
    <t>D-3831</t>
  </si>
  <si>
    <t>D-3832</t>
  </si>
  <si>
    <t>D-3833</t>
  </si>
  <si>
    <t>D-3834</t>
  </si>
  <si>
    <t>D-3835</t>
  </si>
  <si>
    <t>D-3836</t>
  </si>
  <si>
    <t>D-3837</t>
  </si>
  <si>
    <t>D-3838</t>
  </si>
  <si>
    <t>D-3839</t>
  </si>
  <si>
    <t>D-3840</t>
  </si>
  <si>
    <t>D-3841</t>
  </si>
  <si>
    <t>D-3842</t>
  </si>
  <si>
    <t>D-3843</t>
  </si>
  <si>
    <t>D-3844</t>
  </si>
  <si>
    <t>D-3845</t>
  </si>
  <si>
    <t>D-3846</t>
  </si>
  <si>
    <t>D-3847</t>
  </si>
  <si>
    <t>D-3848</t>
  </si>
  <si>
    <t>13-Jul-22--28-Jul-22</t>
  </si>
  <si>
    <t>D-3849</t>
  </si>
  <si>
    <t>D-3850</t>
  </si>
  <si>
    <t>D-3851</t>
  </si>
  <si>
    <t>D-3852</t>
  </si>
  <si>
    <t>D-3853</t>
  </si>
  <si>
    <t>D-3854</t>
  </si>
  <si>
    <t>D-3855</t>
  </si>
  <si>
    <t>D-3856</t>
  </si>
  <si>
    <t>D-3857</t>
  </si>
  <si>
    <t>D-3858</t>
  </si>
  <si>
    <t>D-3859</t>
  </si>
  <si>
    <t>D-3860</t>
  </si>
  <si>
    <t>D-3861</t>
  </si>
  <si>
    <t>D-3862</t>
  </si>
  <si>
    <t>D-3863</t>
  </si>
  <si>
    <t>D-3864</t>
  </si>
  <si>
    <t>D-3865</t>
  </si>
  <si>
    <t>D-3866</t>
  </si>
  <si>
    <t>D-3867</t>
  </si>
  <si>
    <t>D-3868</t>
  </si>
  <si>
    <t>D-3869</t>
  </si>
  <si>
    <t>D-3870</t>
  </si>
  <si>
    <t>D-3871</t>
  </si>
  <si>
    <t>D-3872</t>
  </si>
  <si>
    <t>D-3873</t>
  </si>
  <si>
    <t>D-3874</t>
  </si>
  <si>
    <t>D-3875</t>
  </si>
  <si>
    <t>D-3876</t>
  </si>
  <si>
    <t>D-3877</t>
  </si>
  <si>
    <t>D-3878</t>
  </si>
  <si>
    <t>D-3879</t>
  </si>
  <si>
    <t>D-3880</t>
  </si>
  <si>
    <t>D-3881</t>
  </si>
  <si>
    <t>D-3882</t>
  </si>
  <si>
    <t>D-3883</t>
  </si>
  <si>
    <t>D-3884</t>
  </si>
  <si>
    <t>D-3885</t>
  </si>
  <si>
    <t>D-3886</t>
  </si>
  <si>
    <t>D-3887</t>
  </si>
  <si>
    <t>D-3888</t>
  </si>
  <si>
    <t>D-3889</t>
  </si>
  <si>
    <t>D-3890</t>
  </si>
  <si>
    <t>D-3891</t>
  </si>
  <si>
    <t>D-3892</t>
  </si>
  <si>
    <t>D-3893</t>
  </si>
  <si>
    <t>D-3894</t>
  </si>
  <si>
    <t>D-3895</t>
  </si>
  <si>
    <t>D-3896</t>
  </si>
  <si>
    <t>D-3897</t>
  </si>
  <si>
    <t>D-3898</t>
  </si>
  <si>
    <t>D-3899</t>
  </si>
  <si>
    <t>(459)MIGUEL HERRERA</t>
  </si>
  <si>
    <t>D-3900</t>
  </si>
  <si>
    <t>D-3901</t>
  </si>
  <si>
    <t>D-3902</t>
  </si>
  <si>
    <t>D-3903</t>
  </si>
  <si>
    <t>D-3904</t>
  </si>
  <si>
    <t>D-3905</t>
  </si>
  <si>
    <t>D-3906</t>
  </si>
  <si>
    <t>D-3907</t>
  </si>
  <si>
    <t>D-3908</t>
  </si>
  <si>
    <t>D-3909</t>
  </si>
  <si>
    <t>D-3910</t>
  </si>
  <si>
    <t>15-Jul-22--16-Jul-22</t>
  </si>
  <si>
    <t>D-3911</t>
  </si>
  <si>
    <t>D-3912</t>
  </si>
  <si>
    <t>D-3913</t>
  </si>
  <si>
    <t>D-3914</t>
  </si>
  <si>
    <t>D-3915</t>
  </si>
  <si>
    <t>D-3916</t>
  </si>
  <si>
    <t>D-3917</t>
  </si>
  <si>
    <t>D-3918</t>
  </si>
  <si>
    <t>D-3919</t>
  </si>
  <si>
    <t>D-3920</t>
  </si>
  <si>
    <t>D-3921</t>
  </si>
  <si>
    <t>D-3922</t>
  </si>
  <si>
    <t>D-3923</t>
  </si>
  <si>
    <t>D-3924</t>
  </si>
  <si>
    <t>D-3925</t>
  </si>
  <si>
    <t>D-3926</t>
  </si>
  <si>
    <t>D-3927</t>
  </si>
  <si>
    <t>D-3928</t>
  </si>
  <si>
    <t>D-3929</t>
  </si>
  <si>
    <t>D-3930</t>
  </si>
  <si>
    <t>D-3931</t>
  </si>
  <si>
    <t>(906)ROLANDO ALMAZAN</t>
  </si>
  <si>
    <t>D-3932</t>
  </si>
  <si>
    <t>D-3933</t>
  </si>
  <si>
    <r>
      <t xml:space="preserve">(266)CRISTIAN-GRACIELA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</si>
  <si>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3991</t>
  </si>
  <si>
    <t>D-3934</t>
  </si>
  <si>
    <t>D-3935</t>
  </si>
  <si>
    <t>D-3936</t>
  </si>
  <si>
    <t>D-3937</t>
  </si>
  <si>
    <t>D-3938</t>
  </si>
  <si>
    <t>D-3939</t>
  </si>
  <si>
    <t>D-3940</t>
  </si>
  <si>
    <t>D-3941</t>
  </si>
  <si>
    <t>14-Jul-22--15-Jul-22--16-Jul-22</t>
  </si>
  <si>
    <t>D-3942</t>
  </si>
  <si>
    <t>D-3943</t>
  </si>
  <si>
    <t>D-3944</t>
  </si>
  <si>
    <t>D-3945</t>
  </si>
  <si>
    <t>D-3946</t>
  </si>
  <si>
    <t>D-3947</t>
  </si>
  <si>
    <t>D-3948</t>
  </si>
  <si>
    <t>D-3949</t>
  </si>
  <si>
    <t>D-3950</t>
  </si>
  <si>
    <t>D-3951</t>
  </si>
  <si>
    <t>D-3952</t>
  </si>
  <si>
    <t>D-3953</t>
  </si>
  <si>
    <t>D-3954</t>
  </si>
  <si>
    <t>D-3955</t>
  </si>
  <si>
    <t>D-3956</t>
  </si>
  <si>
    <t>D-3957</t>
  </si>
  <si>
    <t>D-3958</t>
  </si>
  <si>
    <t>D-3959</t>
  </si>
  <si>
    <t>D-3960</t>
  </si>
  <si>
    <t>D-3961</t>
  </si>
  <si>
    <t>D-3962</t>
  </si>
  <si>
    <t>D-3963</t>
  </si>
  <si>
    <t>D-3964</t>
  </si>
  <si>
    <t>D-3965</t>
  </si>
  <si>
    <t>D-3966</t>
  </si>
  <si>
    <t>D-3967</t>
  </si>
  <si>
    <t>D-3968</t>
  </si>
  <si>
    <t>D-3969</t>
  </si>
  <si>
    <t>D-3970</t>
  </si>
  <si>
    <t>D-3971</t>
  </si>
  <si>
    <t>D-3972</t>
  </si>
  <si>
    <t>D-3973</t>
  </si>
  <si>
    <t>D-3974</t>
  </si>
  <si>
    <t>D-3975</t>
  </si>
  <si>
    <t>D-3976</t>
  </si>
  <si>
    <t>D-3977</t>
  </si>
  <si>
    <t>D-3978</t>
  </si>
  <si>
    <t>D-3979</t>
  </si>
  <si>
    <t>D-3980</t>
  </si>
  <si>
    <t>D-3981</t>
  </si>
  <si>
    <t>D-3982</t>
  </si>
  <si>
    <t>D-3983</t>
  </si>
  <si>
    <t>D-3984</t>
  </si>
  <si>
    <t>D-3985</t>
  </si>
  <si>
    <t>D-3986</t>
  </si>
  <si>
    <t>D-3987</t>
  </si>
  <si>
    <t>D-3988</t>
  </si>
  <si>
    <t>D-3989</t>
  </si>
  <si>
    <t>D-3990</t>
  </si>
  <si>
    <t>D-3991</t>
  </si>
  <si>
    <t>D-3992</t>
  </si>
  <si>
    <t>D-3993</t>
  </si>
  <si>
    <t>D-3994</t>
  </si>
  <si>
    <t>D-3995</t>
  </si>
  <si>
    <t>D-3996</t>
  </si>
  <si>
    <t>D-3997</t>
  </si>
  <si>
    <t>D-3998</t>
  </si>
  <si>
    <t>D-3999</t>
  </si>
  <si>
    <t>D-4000</t>
  </si>
  <si>
    <t>D-4001</t>
  </si>
  <si>
    <t>D-4002</t>
  </si>
  <si>
    <t>D-4003</t>
  </si>
  <si>
    <t>D-4004</t>
  </si>
  <si>
    <t>D-4005</t>
  </si>
  <si>
    <t>D-4006</t>
  </si>
  <si>
    <t>D-4007</t>
  </si>
  <si>
    <t>D-4008</t>
  </si>
  <si>
    <t>D-4009</t>
  </si>
  <si>
    <t>D-4010</t>
  </si>
  <si>
    <t>16-Jul-22--17-Jul-22</t>
  </si>
  <si>
    <t>D-4011</t>
  </si>
  <si>
    <t>D-4012</t>
  </si>
  <si>
    <t>D-4013</t>
  </si>
  <si>
    <t>D-4014</t>
  </si>
  <si>
    <t>D-4015</t>
  </si>
  <si>
    <t>D-4016</t>
  </si>
  <si>
    <t>D-4017</t>
  </si>
  <si>
    <t>D-4018</t>
  </si>
  <si>
    <t>D-4019</t>
  </si>
  <si>
    <t>D-4020</t>
  </si>
  <si>
    <t>D-4021</t>
  </si>
  <si>
    <t>D-4022</t>
  </si>
  <si>
    <t>D-4023</t>
  </si>
  <si>
    <t>D-4024</t>
  </si>
  <si>
    <t>D-4025</t>
  </si>
  <si>
    <t>D-4026</t>
  </si>
  <si>
    <t>D-4027</t>
  </si>
  <si>
    <t>D-4028</t>
  </si>
  <si>
    <t>16-Jul-22--18-Jul-22</t>
  </si>
  <si>
    <t>D-4029</t>
  </si>
  <si>
    <t>D-4030</t>
  </si>
  <si>
    <t>D-4031</t>
  </si>
  <si>
    <t>D-4032</t>
  </si>
  <si>
    <t>D-4033</t>
  </si>
  <si>
    <t>D-4034</t>
  </si>
  <si>
    <t>D-4035</t>
  </si>
  <si>
    <t>D-4036</t>
  </si>
  <si>
    <t>D-4037</t>
  </si>
  <si>
    <t>D-4038</t>
  </si>
  <si>
    <t>D-4039</t>
  </si>
  <si>
    <t>D-4040</t>
  </si>
  <si>
    <t>D-4041</t>
  </si>
  <si>
    <t>D-4042</t>
  </si>
  <si>
    <t>D-4043</t>
  </si>
  <si>
    <t>D-4044</t>
  </si>
  <si>
    <t>D-4045</t>
  </si>
  <si>
    <t>D-4046</t>
  </si>
  <si>
    <t>D-4047</t>
  </si>
  <si>
    <t>D-4048</t>
  </si>
  <si>
    <t>D-4049</t>
  </si>
  <si>
    <t>D-4050</t>
  </si>
  <si>
    <t>D-4051</t>
  </si>
  <si>
    <t>D-4052</t>
  </si>
  <si>
    <t>D-4053</t>
  </si>
  <si>
    <t>D-4054</t>
  </si>
  <si>
    <t>D-4055</t>
  </si>
  <si>
    <t>D-4056</t>
  </si>
  <si>
    <t>D-4057</t>
  </si>
  <si>
    <t>D-4058</t>
  </si>
  <si>
    <t>D-4059</t>
  </si>
  <si>
    <t>D-4060</t>
  </si>
  <si>
    <t>D-4061</t>
  </si>
  <si>
    <t>D-4062</t>
  </si>
  <si>
    <t>D-4063</t>
  </si>
  <si>
    <t>D-4064</t>
  </si>
  <si>
    <t>D-4065</t>
  </si>
  <si>
    <t>D-4066</t>
  </si>
  <si>
    <t>D-4067</t>
  </si>
  <si>
    <t>D-4068</t>
  </si>
  <si>
    <t>D-4069</t>
  </si>
  <si>
    <t>D-4070</t>
  </si>
  <si>
    <t>D-4071</t>
  </si>
  <si>
    <t>D-4072</t>
  </si>
  <si>
    <t>D-4073</t>
  </si>
  <si>
    <t>D-4074</t>
  </si>
  <si>
    <t>D-4075</t>
  </si>
  <si>
    <t>D-4076</t>
  </si>
  <si>
    <t>D-4077</t>
  </si>
  <si>
    <t>D-4078</t>
  </si>
  <si>
    <t>D-4079</t>
  </si>
  <si>
    <t>D-4080</t>
  </si>
  <si>
    <t>D-4081</t>
  </si>
  <si>
    <t>D-4082</t>
  </si>
  <si>
    <t>D-4083</t>
  </si>
  <si>
    <t>D-4084</t>
  </si>
  <si>
    <t>D-4085</t>
  </si>
  <si>
    <t>D-4086</t>
  </si>
  <si>
    <t>D-4087</t>
  </si>
  <si>
    <t>D-4088</t>
  </si>
  <si>
    <t>D-4089</t>
  </si>
  <si>
    <t>D-4090</t>
  </si>
  <si>
    <t>D-4091</t>
  </si>
  <si>
    <t>D-4092</t>
  </si>
  <si>
    <t>D-4093</t>
  </si>
  <si>
    <t>D-4094</t>
  </si>
  <si>
    <t>D-4095</t>
  </si>
  <si>
    <t>D-4096</t>
  </si>
  <si>
    <t>D-4097</t>
  </si>
  <si>
    <t>D-4098</t>
  </si>
  <si>
    <t>D-4099</t>
  </si>
  <si>
    <t>D-4100</t>
  </si>
  <si>
    <t>D-4101</t>
  </si>
  <si>
    <t>D-4102</t>
  </si>
  <si>
    <t>D-4103</t>
  </si>
  <si>
    <t>D-4104</t>
  </si>
  <si>
    <t>D-4105</t>
  </si>
  <si>
    <t>D-4106</t>
  </si>
  <si>
    <t>D-4107</t>
  </si>
  <si>
    <t>D-4108</t>
  </si>
  <si>
    <t>D-4109</t>
  </si>
  <si>
    <t>D-4110</t>
  </si>
  <si>
    <t>D-4111</t>
  </si>
  <si>
    <t>D-4112</t>
  </si>
  <si>
    <t>D-4113</t>
  </si>
  <si>
    <t>D-4114</t>
  </si>
  <si>
    <t>D-4115</t>
  </si>
  <si>
    <t>D-4116</t>
  </si>
  <si>
    <t>D-4117</t>
  </si>
  <si>
    <t>D-4118</t>
  </si>
  <si>
    <t>D-4119</t>
  </si>
  <si>
    <t>D-4120</t>
  </si>
  <si>
    <t>D-4121</t>
  </si>
  <si>
    <t>D-4122</t>
  </si>
  <si>
    <t>D-4123</t>
  </si>
  <si>
    <t>D-4124</t>
  </si>
  <si>
    <t>D-4125</t>
  </si>
  <si>
    <t>D-4126</t>
  </si>
  <si>
    <t>D-4127</t>
  </si>
  <si>
    <t>D-4128</t>
  </si>
  <si>
    <t>D-4129</t>
  </si>
  <si>
    <t>D-4130</t>
  </si>
  <si>
    <t>D-4131</t>
  </si>
  <si>
    <t>D-4132</t>
  </si>
  <si>
    <t>17-Jul-22--18-Jul-22</t>
  </si>
  <si>
    <t>D-4133</t>
  </si>
  <si>
    <t>D-4134</t>
  </si>
  <si>
    <t>D-4135</t>
  </si>
  <si>
    <t>D-4136</t>
  </si>
  <si>
    <t>D-4137</t>
  </si>
  <si>
    <t>D-4138</t>
  </si>
  <si>
    <t>D-4139</t>
  </si>
  <si>
    <t>D-4140</t>
  </si>
  <si>
    <t>D-4141</t>
  </si>
  <si>
    <t>D-4142</t>
  </si>
  <si>
    <t>D-4143</t>
  </si>
  <si>
    <t>D-4144</t>
  </si>
  <si>
    <t>D-4145</t>
  </si>
  <si>
    <t>D-4146</t>
  </si>
  <si>
    <t>se sustituyo x la 4147</t>
  </si>
  <si>
    <t>D-4147</t>
  </si>
  <si>
    <t>D-4148</t>
  </si>
  <si>
    <t>D-4149</t>
  </si>
  <si>
    <t>D-4150</t>
  </si>
  <si>
    <t>D-4151</t>
  </si>
  <si>
    <t>D-4152</t>
  </si>
  <si>
    <t>D-4153</t>
  </si>
  <si>
    <t>D-4154</t>
  </si>
  <si>
    <t>D-4155</t>
  </si>
  <si>
    <t>D-4156</t>
  </si>
  <si>
    <t>D-4157</t>
  </si>
  <si>
    <t>18-Jul-22--19-Jul-22</t>
  </si>
  <si>
    <t>D-4158</t>
  </si>
  <si>
    <t>D-4159</t>
  </si>
  <si>
    <t>18-Jul-22--19-Jul-22--20-Jul-22</t>
  </si>
  <si>
    <t>D-4160</t>
  </si>
  <si>
    <t>D-4161</t>
  </si>
  <si>
    <t>29-Jul-22--31-Jul-22</t>
  </si>
  <si>
    <t>D-4162</t>
  </si>
  <si>
    <t>D-4163</t>
  </si>
  <si>
    <t>D-4164</t>
  </si>
  <si>
    <t>D-4165</t>
  </si>
  <si>
    <t>D-4166</t>
  </si>
  <si>
    <t>D-4167</t>
  </si>
  <si>
    <t>D-4168</t>
  </si>
  <si>
    <t>D-4169</t>
  </si>
  <si>
    <t>D-4170</t>
  </si>
  <si>
    <t>D-4171</t>
  </si>
  <si>
    <t>D-4172</t>
  </si>
  <si>
    <t>D-4173</t>
  </si>
  <si>
    <t>D-4174</t>
  </si>
  <si>
    <t>D-4175</t>
  </si>
  <si>
    <t>D-4176</t>
  </si>
  <si>
    <t>D-4177</t>
  </si>
  <si>
    <t>D-4178</t>
  </si>
  <si>
    <t>D-4179</t>
  </si>
  <si>
    <t>D-4180</t>
  </si>
  <si>
    <t>D-4181</t>
  </si>
  <si>
    <t>D-4182</t>
  </si>
  <si>
    <t>D-4183</t>
  </si>
  <si>
    <t>D-4184</t>
  </si>
  <si>
    <t>D-4185</t>
  </si>
  <si>
    <t>D-4186</t>
  </si>
  <si>
    <t>D-4187</t>
  </si>
  <si>
    <t>D-4188</t>
  </si>
  <si>
    <t>D-4189</t>
  </si>
  <si>
    <t>D-4190</t>
  </si>
  <si>
    <t>D-4191</t>
  </si>
  <si>
    <t>D-4192</t>
  </si>
  <si>
    <t>D-4193</t>
  </si>
  <si>
    <t>D-4194</t>
  </si>
  <si>
    <t>D-4195</t>
  </si>
  <si>
    <t>D-4196</t>
  </si>
  <si>
    <t>D-4197</t>
  </si>
  <si>
    <t>D-4198</t>
  </si>
  <si>
    <t>D-4199</t>
  </si>
  <si>
    <t>D-4200</t>
  </si>
  <si>
    <t>D-4201</t>
  </si>
  <si>
    <t>D-4202</t>
  </si>
  <si>
    <t>D-4203</t>
  </si>
  <si>
    <t>D-4204</t>
  </si>
  <si>
    <t>D-4205</t>
  </si>
  <si>
    <t>D-4206</t>
  </si>
  <si>
    <t>D-4207</t>
  </si>
  <si>
    <t>D-4208</t>
  </si>
  <si>
    <t>D-4209</t>
  </si>
  <si>
    <t>D-4210</t>
  </si>
  <si>
    <t>D-4211</t>
  </si>
  <si>
    <t>D-4212</t>
  </si>
  <si>
    <t>D-4213</t>
  </si>
  <si>
    <t>D-4214</t>
  </si>
  <si>
    <t>D-4215</t>
  </si>
  <si>
    <t>D-4216</t>
  </si>
  <si>
    <t>D-4217</t>
  </si>
  <si>
    <t>D-4218</t>
  </si>
  <si>
    <t>D-4219</t>
  </si>
  <si>
    <t>D-4220</t>
  </si>
  <si>
    <t>D-4221</t>
  </si>
  <si>
    <t>D-4222</t>
  </si>
  <si>
    <t>D-4223</t>
  </si>
  <si>
    <t>D-4224</t>
  </si>
  <si>
    <t>D-4225</t>
  </si>
  <si>
    <t>D-4226</t>
  </si>
  <si>
    <t>D-4227</t>
  </si>
  <si>
    <t>D-4228</t>
  </si>
  <si>
    <t>D-4229</t>
  </si>
  <si>
    <t>D-4230</t>
  </si>
  <si>
    <t>D-4231</t>
  </si>
  <si>
    <t>D-4232</t>
  </si>
  <si>
    <t>D-4233</t>
  </si>
  <si>
    <t>D-4234</t>
  </si>
  <si>
    <t>D-4235</t>
  </si>
  <si>
    <t>D-4236</t>
  </si>
  <si>
    <t>D-4237</t>
  </si>
  <si>
    <t>D-4238</t>
  </si>
  <si>
    <t>D-4239</t>
  </si>
  <si>
    <t>D-4240</t>
  </si>
  <si>
    <t>D-4241</t>
  </si>
  <si>
    <t>D-4242</t>
  </si>
  <si>
    <t>D-4243</t>
  </si>
  <si>
    <t>D-4244</t>
  </si>
  <si>
    <t>D-4245</t>
  </si>
  <si>
    <t>D-4246</t>
  </si>
  <si>
    <t>D-4247</t>
  </si>
  <si>
    <t>D-4248</t>
  </si>
  <si>
    <t>D-4249</t>
  </si>
  <si>
    <t>D-4250</t>
  </si>
  <si>
    <t>D-4251</t>
  </si>
  <si>
    <t>D-4252</t>
  </si>
  <si>
    <t>D-4253</t>
  </si>
  <si>
    <t>D-4254</t>
  </si>
  <si>
    <t>D-4255</t>
  </si>
  <si>
    <t>D-4256</t>
  </si>
  <si>
    <t>D-4257</t>
  </si>
  <si>
    <t>18-Jul-22--20-Jul-22</t>
  </si>
  <si>
    <t>D-4258</t>
  </si>
  <si>
    <t>D-4259</t>
  </si>
  <si>
    <t>D-4260</t>
  </si>
  <si>
    <t>D-4261</t>
  </si>
  <si>
    <t>D-4262</t>
  </si>
  <si>
    <t>D-4263</t>
  </si>
  <si>
    <t>D-4264</t>
  </si>
  <si>
    <t>D-4265</t>
  </si>
  <si>
    <t>D-4266</t>
  </si>
  <si>
    <t>D-4267</t>
  </si>
  <si>
    <t>D-4268</t>
  </si>
  <si>
    <t>D-4269</t>
  </si>
  <si>
    <t>D-4270</t>
  </si>
  <si>
    <t>D-4271</t>
  </si>
  <si>
    <t>D-4272</t>
  </si>
  <si>
    <t>D-4273</t>
  </si>
  <si>
    <t>D-4274</t>
  </si>
  <si>
    <t>D-4275</t>
  </si>
  <si>
    <t>D-4276</t>
  </si>
  <si>
    <t>D-4277</t>
  </si>
  <si>
    <t>D-4278</t>
  </si>
  <si>
    <t>D-4279</t>
  </si>
  <si>
    <t>D-4280</t>
  </si>
  <si>
    <t>D-4281</t>
  </si>
  <si>
    <t>D-4282</t>
  </si>
  <si>
    <t>D-4283</t>
  </si>
  <si>
    <t>D-4284</t>
  </si>
  <si>
    <t>D-4285</t>
  </si>
  <si>
    <t>D-4286</t>
  </si>
  <si>
    <t>D-4287</t>
  </si>
  <si>
    <t>D-4288</t>
  </si>
  <si>
    <t>D-4289</t>
  </si>
  <si>
    <t>D-4290</t>
  </si>
  <si>
    <t>D-4291</t>
  </si>
  <si>
    <t>D-4292</t>
  </si>
  <si>
    <t>D-4293</t>
  </si>
  <si>
    <t>D-4294</t>
  </si>
  <si>
    <t>D-4295</t>
  </si>
  <si>
    <t>D-4296</t>
  </si>
  <si>
    <t>D-4297</t>
  </si>
  <si>
    <t>D-4298</t>
  </si>
  <si>
    <t>D-4299</t>
  </si>
  <si>
    <t>D-4300</t>
  </si>
  <si>
    <t>D-4301</t>
  </si>
  <si>
    <t>D-4302</t>
  </si>
  <si>
    <t>D-4303</t>
  </si>
  <si>
    <t>D-4304</t>
  </si>
  <si>
    <t>D-4305</t>
  </si>
  <si>
    <t>D-4306</t>
  </si>
  <si>
    <t>D-4307</t>
  </si>
  <si>
    <t>D-4308</t>
  </si>
  <si>
    <t>D-4309</t>
  </si>
  <si>
    <t>D-4310</t>
  </si>
  <si>
    <t>D-4311</t>
  </si>
  <si>
    <t>D-4312</t>
  </si>
  <si>
    <t>D-4313</t>
  </si>
  <si>
    <t>D-4314</t>
  </si>
  <si>
    <t>D-4315</t>
  </si>
  <si>
    <t>D-4316</t>
  </si>
  <si>
    <t>D-4317</t>
  </si>
  <si>
    <t>D-4318</t>
  </si>
  <si>
    <t>D-4319</t>
  </si>
  <si>
    <t>D-4320</t>
  </si>
  <si>
    <t>D-4321</t>
  </si>
  <si>
    <t>D-4322</t>
  </si>
  <si>
    <t>D-4323</t>
  </si>
  <si>
    <t>D-4324</t>
  </si>
  <si>
    <t>D-4325</t>
  </si>
  <si>
    <t>D-4326</t>
  </si>
  <si>
    <t>D-4327</t>
  </si>
  <si>
    <t>D-4328</t>
  </si>
  <si>
    <t>D-4329</t>
  </si>
  <si>
    <t>D-4330</t>
  </si>
  <si>
    <t>D-4331</t>
  </si>
  <si>
    <t>D-4332</t>
  </si>
  <si>
    <t>D-4333</t>
  </si>
  <si>
    <t>D-4334</t>
  </si>
  <si>
    <t>D-4335</t>
  </si>
  <si>
    <t>D-4336</t>
  </si>
  <si>
    <t>19-Jul-22--20-Jul-22</t>
  </si>
  <si>
    <t>D-4337</t>
  </si>
  <si>
    <t>D-4338</t>
  </si>
  <si>
    <t>D-4339</t>
  </si>
  <si>
    <t>D-4340</t>
  </si>
  <si>
    <t>D-4341</t>
  </si>
  <si>
    <t>(785)GOZO</t>
  </si>
  <si>
    <t>D-4342</t>
  </si>
  <si>
    <t>D-4343</t>
  </si>
  <si>
    <t>D-4344</t>
  </si>
  <si>
    <t>D-4345</t>
  </si>
  <si>
    <t>D-4346</t>
  </si>
  <si>
    <t>D-4347</t>
  </si>
  <si>
    <t>D-4348</t>
  </si>
  <si>
    <t>D-4349</t>
  </si>
  <si>
    <t>D-4350</t>
  </si>
  <si>
    <t>D-4351</t>
  </si>
  <si>
    <t>D-4352</t>
  </si>
  <si>
    <t>D-4353</t>
  </si>
  <si>
    <t>D-4354</t>
  </si>
  <si>
    <t>D-4355</t>
  </si>
  <si>
    <t>D-4356</t>
  </si>
  <si>
    <t>D-4357</t>
  </si>
  <si>
    <t>D-4358</t>
  </si>
  <si>
    <t>D-4359</t>
  </si>
  <si>
    <t>D-4360</t>
  </si>
  <si>
    <t>D-4361</t>
  </si>
  <si>
    <t>D-4362</t>
  </si>
  <si>
    <t>D-4363</t>
  </si>
  <si>
    <t>D-4364</t>
  </si>
  <si>
    <t>D-4365</t>
  </si>
  <si>
    <t>D-4366</t>
  </si>
  <si>
    <t>D-4367</t>
  </si>
  <si>
    <t>D-4368</t>
  </si>
  <si>
    <t>D-4369</t>
  </si>
  <si>
    <t>D-4370</t>
  </si>
  <si>
    <t>D-4371</t>
  </si>
  <si>
    <t>D-4372</t>
  </si>
  <si>
    <t>D-4373</t>
  </si>
  <si>
    <t>D-4374</t>
  </si>
  <si>
    <t>D-4375</t>
  </si>
  <si>
    <t>D-4376</t>
  </si>
  <si>
    <t>D-4377</t>
  </si>
  <si>
    <t>D-4378</t>
  </si>
  <si>
    <t>D-4379</t>
  </si>
  <si>
    <t>D-4380</t>
  </si>
  <si>
    <t>D-4381</t>
  </si>
  <si>
    <t>D-4382</t>
  </si>
  <si>
    <t>D-4383</t>
  </si>
  <si>
    <t>D-4384</t>
  </si>
  <si>
    <t>D-4385</t>
  </si>
  <si>
    <t>D-4386</t>
  </si>
  <si>
    <t>D-4387</t>
  </si>
  <si>
    <t>D-4388</t>
  </si>
  <si>
    <t>D-4389</t>
  </si>
  <si>
    <t>D-4390</t>
  </si>
  <si>
    <t>D-4391</t>
  </si>
  <si>
    <t>D-4392</t>
  </si>
  <si>
    <t>D-4393</t>
  </si>
  <si>
    <t>D-4394</t>
  </si>
  <si>
    <t>D-4395</t>
  </si>
  <si>
    <t>D-4396</t>
  </si>
  <si>
    <t>D-4397</t>
  </si>
  <si>
    <t>D-4398</t>
  </si>
  <si>
    <t>D-4399</t>
  </si>
  <si>
    <t>D-4400</t>
  </si>
  <si>
    <t>D-4401</t>
  </si>
  <si>
    <t>D-4402</t>
  </si>
  <si>
    <t>D-4403</t>
  </si>
  <si>
    <t>D-4404</t>
  </si>
  <si>
    <t>D-4405</t>
  </si>
  <si>
    <t>D-4406</t>
  </si>
  <si>
    <t>D-4407</t>
  </si>
  <si>
    <t>D-4408</t>
  </si>
  <si>
    <t>D-4409</t>
  </si>
  <si>
    <t>D-4410</t>
  </si>
  <si>
    <t>D-4411</t>
  </si>
  <si>
    <t>D-4412</t>
  </si>
  <si>
    <t>D-4413</t>
  </si>
  <si>
    <t>D-4414</t>
  </si>
  <si>
    <t>D-4415</t>
  </si>
  <si>
    <t>D-4416</t>
  </si>
  <si>
    <t>D-4417</t>
  </si>
  <si>
    <t>D-4418</t>
  </si>
  <si>
    <t>D-4419</t>
  </si>
  <si>
    <t>D-4420</t>
  </si>
  <si>
    <t>D-4421</t>
  </si>
  <si>
    <t>D-4422</t>
  </si>
  <si>
    <t>D-4423</t>
  </si>
  <si>
    <t>D-4424</t>
  </si>
  <si>
    <t>D-4425</t>
  </si>
  <si>
    <t>D-4426</t>
  </si>
  <si>
    <t>D-4427</t>
  </si>
  <si>
    <t>D-4428</t>
  </si>
  <si>
    <t>D-4429</t>
  </si>
  <si>
    <t>D-4430</t>
  </si>
  <si>
    <t>D-4431</t>
  </si>
  <si>
    <t>D-4432</t>
  </si>
  <si>
    <t>D-4433</t>
  </si>
  <si>
    <t>D-4434</t>
  </si>
  <si>
    <t>D-4435</t>
  </si>
  <si>
    <t>D-4436</t>
  </si>
  <si>
    <t>D-4437</t>
  </si>
  <si>
    <t>D-4438</t>
  </si>
  <si>
    <t>D-4439</t>
  </si>
  <si>
    <t>D-4440</t>
  </si>
  <si>
    <t>D-4441</t>
  </si>
  <si>
    <t>D-4442</t>
  </si>
  <si>
    <t>D-4443</t>
  </si>
  <si>
    <t>D-4444</t>
  </si>
  <si>
    <t>D-4445</t>
  </si>
  <si>
    <t>D-4446</t>
  </si>
  <si>
    <t>D-4447</t>
  </si>
  <si>
    <t>21-Jul-22--22-Jul-22</t>
  </si>
  <si>
    <t>D-4448</t>
  </si>
  <si>
    <t>D-4449</t>
  </si>
  <si>
    <t>D-4450</t>
  </si>
  <si>
    <t>D-4451</t>
  </si>
  <si>
    <t>D-4452</t>
  </si>
  <si>
    <t>D-4453</t>
  </si>
  <si>
    <t>D-4454</t>
  </si>
  <si>
    <t>D-4455</t>
  </si>
  <si>
    <t>D-4456</t>
  </si>
  <si>
    <t>20-Jul-22--21-Jul-22</t>
  </si>
  <si>
    <t>D-4457</t>
  </si>
  <si>
    <t>D-4458</t>
  </si>
  <si>
    <t>D-4459</t>
  </si>
  <si>
    <t>D-4460</t>
  </si>
  <si>
    <t>D-4461</t>
  </si>
  <si>
    <t>D-4462</t>
  </si>
  <si>
    <t>D-4463</t>
  </si>
  <si>
    <t>D-4464</t>
  </si>
  <si>
    <t>D-4465</t>
  </si>
  <si>
    <t>D-4466</t>
  </si>
  <si>
    <t>D-4467</t>
  </si>
  <si>
    <t>D-4468</t>
  </si>
  <si>
    <t>D-4469</t>
  </si>
  <si>
    <t>D-4470</t>
  </si>
  <si>
    <t>D-4471</t>
  </si>
  <si>
    <t>D-4472</t>
  </si>
  <si>
    <t>D-4473</t>
  </si>
  <si>
    <t>D-4474</t>
  </si>
  <si>
    <t>D-4475</t>
  </si>
  <si>
    <t>D-4476</t>
  </si>
  <si>
    <t>D-4477</t>
  </si>
  <si>
    <t>D-4478</t>
  </si>
  <si>
    <t>D-4479</t>
  </si>
  <si>
    <t>D-4480</t>
  </si>
  <si>
    <t>D-4481</t>
  </si>
  <si>
    <t>D-4482</t>
  </si>
  <si>
    <t>D-4483</t>
  </si>
  <si>
    <t>D-4484</t>
  </si>
  <si>
    <t>D-4485</t>
  </si>
  <si>
    <t>D-4486</t>
  </si>
  <si>
    <t>D-4487</t>
  </si>
  <si>
    <t>D-4488</t>
  </si>
  <si>
    <t>D-4489</t>
  </si>
  <si>
    <t>D-4490</t>
  </si>
  <si>
    <t>D-4491</t>
  </si>
  <si>
    <t>D-4492</t>
  </si>
  <si>
    <t>D-4493</t>
  </si>
  <si>
    <t>D-4494</t>
  </si>
  <si>
    <t>D-4495</t>
  </si>
  <si>
    <t>D-4496</t>
  </si>
  <si>
    <t>D-4497</t>
  </si>
  <si>
    <t>D-4498</t>
  </si>
  <si>
    <t>D-4499</t>
  </si>
  <si>
    <t>D-4500</t>
  </si>
  <si>
    <t>D-4501</t>
  </si>
  <si>
    <t>D-4502</t>
  </si>
  <si>
    <t>D-4503</t>
  </si>
  <si>
    <t>D-4504</t>
  </si>
  <si>
    <t>D-4505</t>
  </si>
  <si>
    <t>D-4506</t>
  </si>
  <si>
    <t>D-4507</t>
  </si>
  <si>
    <t>se sustituyo x la 4508</t>
  </si>
  <si>
    <t>D-4508</t>
  </si>
  <si>
    <t>D-4509</t>
  </si>
  <si>
    <t>D-4510</t>
  </si>
  <si>
    <t>D-4511</t>
  </si>
  <si>
    <t>D-4512</t>
  </si>
  <si>
    <t>D-4513</t>
  </si>
  <si>
    <t>D-4514</t>
  </si>
  <si>
    <t>D-4515</t>
  </si>
  <si>
    <t>D-4516</t>
  </si>
  <si>
    <t>D-4517</t>
  </si>
  <si>
    <t>D-4518</t>
  </si>
  <si>
    <t>D-4519</t>
  </si>
  <si>
    <t>D-4520</t>
  </si>
  <si>
    <t>D-4521</t>
  </si>
  <si>
    <t>D-4522</t>
  </si>
  <si>
    <t>D-4523</t>
  </si>
  <si>
    <t>D-4524</t>
  </si>
  <si>
    <t>D-4525</t>
  </si>
  <si>
    <t>D-4526</t>
  </si>
  <si>
    <t>D-4527</t>
  </si>
  <si>
    <t>D-4528</t>
  </si>
  <si>
    <t>D-4529</t>
  </si>
  <si>
    <t>D-4530</t>
  </si>
  <si>
    <t>D-4531</t>
  </si>
  <si>
    <t>D-4532</t>
  </si>
  <si>
    <t>D-4533</t>
  </si>
  <si>
    <t>D-4534</t>
  </si>
  <si>
    <t>D-4535</t>
  </si>
  <si>
    <t>D-4536</t>
  </si>
  <si>
    <t>D-4537</t>
  </si>
  <si>
    <t>D-4538</t>
  </si>
  <si>
    <t>D-4539</t>
  </si>
  <si>
    <t>D-4540</t>
  </si>
  <si>
    <t>D-4541</t>
  </si>
  <si>
    <t>D-4542</t>
  </si>
  <si>
    <t>D-4543</t>
  </si>
  <si>
    <t>D-4544</t>
  </si>
  <si>
    <t>D-4545</t>
  </si>
  <si>
    <t>D-4546</t>
  </si>
  <si>
    <t>D-4547</t>
  </si>
  <si>
    <t>D-4548</t>
  </si>
  <si>
    <t>D-4549</t>
  </si>
  <si>
    <t>D-4550</t>
  </si>
  <si>
    <t>D-4551</t>
  </si>
  <si>
    <t>D-4552</t>
  </si>
  <si>
    <t>D-4553</t>
  </si>
  <si>
    <t>D-4554</t>
  </si>
  <si>
    <t>D-4555</t>
  </si>
  <si>
    <t>D-4556</t>
  </si>
  <si>
    <r>
      <t xml:space="preserve">(330)PANCHO ALTEPEJI  </t>
    </r>
    <r>
      <rPr>
        <b/>
        <sz val="12"/>
        <color rgb="FFFF0000"/>
        <rFont val="Calibri"/>
        <family val="2"/>
        <scheme val="minor"/>
      </rPr>
      <t>CANCELADA</t>
    </r>
  </si>
  <si>
    <t>D-4557</t>
  </si>
  <si>
    <t>D-4558</t>
  </si>
  <si>
    <t>D-4559</t>
  </si>
  <si>
    <t>D-4560</t>
  </si>
  <si>
    <t>D-4561</t>
  </si>
  <si>
    <t>D-4562</t>
  </si>
  <si>
    <t>D-4563</t>
  </si>
  <si>
    <t>D-4564</t>
  </si>
  <si>
    <t>D-4565</t>
  </si>
  <si>
    <t>D-4566</t>
  </si>
  <si>
    <t>D-4567</t>
  </si>
  <si>
    <t>D-4568</t>
  </si>
  <si>
    <t>D-4569</t>
  </si>
  <si>
    <r>
      <t>(113)SAGRADO CORAZON HEROES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</si>
  <si>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4617</t>
  </si>
  <si>
    <t>D-4570</t>
  </si>
  <si>
    <t>D-4571</t>
  </si>
  <si>
    <t>D-4572</t>
  </si>
  <si>
    <t>D-4573</t>
  </si>
  <si>
    <t>D-4574</t>
  </si>
  <si>
    <t>D-4575</t>
  </si>
  <si>
    <t>D-4576</t>
  </si>
  <si>
    <t>D-4577</t>
  </si>
  <si>
    <t>D-4578</t>
  </si>
  <si>
    <t>D-4579</t>
  </si>
  <si>
    <t>D-4580</t>
  </si>
  <si>
    <t>D-4581</t>
  </si>
  <si>
    <t>D-4582</t>
  </si>
  <si>
    <t>se sustituyo x la 4588</t>
  </si>
  <si>
    <t>D-4583</t>
  </si>
  <si>
    <t>D-4584</t>
  </si>
  <si>
    <t>D-4585</t>
  </si>
  <si>
    <t>D-4586</t>
  </si>
  <si>
    <t>D-4587</t>
  </si>
  <si>
    <t>D-4588</t>
  </si>
  <si>
    <t>D-4589</t>
  </si>
  <si>
    <t>D-4590</t>
  </si>
  <si>
    <t>D-4591</t>
  </si>
  <si>
    <t>D-4592</t>
  </si>
  <si>
    <t>D-4593</t>
  </si>
  <si>
    <t>D-4594</t>
  </si>
  <si>
    <t>D-4595</t>
  </si>
  <si>
    <t>D-4596</t>
  </si>
  <si>
    <t>D-4597</t>
  </si>
  <si>
    <t>D-4598</t>
  </si>
  <si>
    <t>D-4599</t>
  </si>
  <si>
    <t>D-4600</t>
  </si>
  <si>
    <t>D-4601</t>
  </si>
  <si>
    <t>D-4602</t>
  </si>
  <si>
    <t>D-4603</t>
  </si>
  <si>
    <t>D-4604</t>
  </si>
  <si>
    <t>D-4605</t>
  </si>
  <si>
    <t>D-4606</t>
  </si>
  <si>
    <t>D-4607</t>
  </si>
  <si>
    <t>D-4608</t>
  </si>
  <si>
    <t>D-4609</t>
  </si>
  <si>
    <t>D-4610</t>
  </si>
  <si>
    <t>D-4611</t>
  </si>
  <si>
    <t>D-4612</t>
  </si>
  <si>
    <t>D-4613</t>
  </si>
  <si>
    <t>D-4614</t>
  </si>
  <si>
    <t>D-4615</t>
  </si>
  <si>
    <t>D-4616</t>
  </si>
  <si>
    <t>D-4617</t>
  </si>
  <si>
    <t>D-4618</t>
  </si>
  <si>
    <t>D-4619</t>
  </si>
  <si>
    <t>D-4620</t>
  </si>
  <si>
    <t>D-4621</t>
  </si>
  <si>
    <t>D-4622</t>
  </si>
  <si>
    <t>D-4623</t>
  </si>
  <si>
    <t>D-4624</t>
  </si>
  <si>
    <t>D-4625</t>
  </si>
  <si>
    <t>D-4626</t>
  </si>
  <si>
    <t>D-4627</t>
  </si>
  <si>
    <t>D-4628</t>
  </si>
  <si>
    <t>D-4629</t>
  </si>
  <si>
    <t>D-4630</t>
  </si>
  <si>
    <t>D-4631</t>
  </si>
  <si>
    <t>D-4632</t>
  </si>
  <si>
    <t>D-4633</t>
  </si>
  <si>
    <t>D-4634</t>
  </si>
  <si>
    <t>D-4635</t>
  </si>
  <si>
    <t>D-4636</t>
  </si>
  <si>
    <t>D-4637</t>
  </si>
  <si>
    <t>23-Jul-22--25-Jul-22</t>
  </si>
  <si>
    <t>D-4638</t>
  </si>
  <si>
    <t>D-4639</t>
  </si>
  <si>
    <t>D-4640</t>
  </si>
  <si>
    <t>D-4641</t>
  </si>
  <si>
    <t>D-4642</t>
  </si>
  <si>
    <t>D-4643</t>
  </si>
  <si>
    <t>D-4644</t>
  </si>
  <si>
    <t>D-4645</t>
  </si>
  <si>
    <t>D-4646</t>
  </si>
  <si>
    <t>D-4647</t>
  </si>
  <si>
    <t>D-4648</t>
  </si>
  <si>
    <t>D-4649</t>
  </si>
  <si>
    <t>D-4650</t>
  </si>
  <si>
    <t>D-4651</t>
  </si>
  <si>
    <t>22-Jul-22--23-Jul-22</t>
  </si>
  <si>
    <t>D-4652</t>
  </si>
  <si>
    <t>D-4653</t>
  </si>
  <si>
    <t>D-4654</t>
  </si>
  <si>
    <t>D-4655</t>
  </si>
  <si>
    <t>D-4656</t>
  </si>
  <si>
    <t>D-4657</t>
  </si>
  <si>
    <t>D-4658</t>
  </si>
  <si>
    <t>D-4659</t>
  </si>
  <si>
    <t>D-4660</t>
  </si>
  <si>
    <t>D-4661</t>
  </si>
  <si>
    <t>D-4662</t>
  </si>
  <si>
    <t>D-4663</t>
  </si>
  <si>
    <t>D-4664</t>
  </si>
  <si>
    <t>D-4665</t>
  </si>
  <si>
    <t>D-4666</t>
  </si>
  <si>
    <t>D-4667</t>
  </si>
  <si>
    <t>D-4668</t>
  </si>
  <si>
    <t>D-4669</t>
  </si>
  <si>
    <t>D-4670</t>
  </si>
  <si>
    <t>D-4671</t>
  </si>
  <si>
    <t>D-4672</t>
  </si>
  <si>
    <t>D-4673</t>
  </si>
  <si>
    <t>D-4674</t>
  </si>
  <si>
    <t>D-4675</t>
  </si>
  <si>
    <t>D-4676</t>
  </si>
  <si>
    <t>D-4677</t>
  </si>
  <si>
    <t>D-4678</t>
  </si>
  <si>
    <t>D-4679</t>
  </si>
  <si>
    <t>D-4680</t>
  </si>
  <si>
    <t>D-4681</t>
  </si>
  <si>
    <t>D-4682</t>
  </si>
  <si>
    <t>D-4683</t>
  </si>
  <si>
    <t>D-4684</t>
  </si>
  <si>
    <t>D-4685</t>
  </si>
  <si>
    <t>D-4686</t>
  </si>
  <si>
    <t>D-4687</t>
  </si>
  <si>
    <t>D-4688</t>
  </si>
  <si>
    <t>D-4689</t>
  </si>
  <si>
    <t>D-4690</t>
  </si>
  <si>
    <t>D-4691</t>
  </si>
  <si>
    <t>D-4692</t>
  </si>
  <si>
    <t>D-4693</t>
  </si>
  <si>
    <t>D-4694</t>
  </si>
  <si>
    <t>D-4695</t>
  </si>
  <si>
    <t>D-4696</t>
  </si>
  <si>
    <t>D-4697</t>
  </si>
  <si>
    <t>se sustituyo x la 4713 D</t>
  </si>
  <si>
    <t>D-4698</t>
  </si>
  <si>
    <t>D-4699</t>
  </si>
  <si>
    <t>D-4700</t>
  </si>
  <si>
    <t>D-4701</t>
  </si>
  <si>
    <t>D-4702</t>
  </si>
  <si>
    <t>D-4703</t>
  </si>
  <si>
    <t>D-4704</t>
  </si>
  <si>
    <t>D-4705</t>
  </si>
  <si>
    <t>D-4706</t>
  </si>
  <si>
    <t>D-4707</t>
  </si>
  <si>
    <t>D-4708</t>
  </si>
  <si>
    <t>D-4709</t>
  </si>
  <si>
    <t>D-4710</t>
  </si>
  <si>
    <t>D-4711</t>
  </si>
  <si>
    <t>D-4712</t>
  </si>
  <si>
    <t>D-4713</t>
  </si>
  <si>
    <t>D-4714</t>
  </si>
  <si>
    <t>D-4715</t>
  </si>
  <si>
    <t>D-4716</t>
  </si>
  <si>
    <t>D-4717</t>
  </si>
  <si>
    <t>D-4718</t>
  </si>
  <si>
    <t>D-4719</t>
  </si>
  <si>
    <t>D-4720</t>
  </si>
  <si>
    <t>D-4721</t>
  </si>
  <si>
    <t>D-4722</t>
  </si>
  <si>
    <t>D-4723</t>
  </si>
  <si>
    <t>D-4724</t>
  </si>
  <si>
    <t>se sustituyo x la 4726 D</t>
  </si>
  <si>
    <t>D-4725</t>
  </si>
  <si>
    <t>D-4726</t>
  </si>
  <si>
    <t>D-4727</t>
  </si>
  <si>
    <t>D-4728</t>
  </si>
  <si>
    <t>D-4729</t>
  </si>
  <si>
    <t>D-4730</t>
  </si>
  <si>
    <t>D-4731</t>
  </si>
  <si>
    <t>D-4732</t>
  </si>
  <si>
    <t>D-4733</t>
  </si>
  <si>
    <t>D-4734</t>
  </si>
  <si>
    <t>D-4735</t>
  </si>
  <si>
    <t>D-4736</t>
  </si>
  <si>
    <t>D-4737</t>
  </si>
  <si>
    <t>D-4738</t>
  </si>
  <si>
    <t>D-4739</t>
  </si>
  <si>
    <t>D-4740</t>
  </si>
  <si>
    <t>D-4741</t>
  </si>
  <si>
    <t>D-4742</t>
  </si>
  <si>
    <t>D-4743</t>
  </si>
  <si>
    <t>D-4744</t>
  </si>
  <si>
    <t>25-Jul-22--26-Jul-22</t>
  </si>
  <si>
    <t>D-4745</t>
  </si>
  <si>
    <t>D-4746</t>
  </si>
  <si>
    <t>D-4747</t>
  </si>
  <si>
    <t>D-4748</t>
  </si>
  <si>
    <t>D-4749</t>
  </si>
  <si>
    <t>D-4750</t>
  </si>
  <si>
    <t>D-4751</t>
  </si>
  <si>
    <t>D-4752</t>
  </si>
  <si>
    <t>D-4753</t>
  </si>
  <si>
    <t>D-4754</t>
  </si>
  <si>
    <t>D-4755</t>
  </si>
  <si>
    <t>D-4756</t>
  </si>
  <si>
    <t>D-4757</t>
  </si>
  <si>
    <t>D-4758</t>
  </si>
  <si>
    <t>D-4759</t>
  </si>
  <si>
    <t>D-4760</t>
  </si>
  <si>
    <t>D-4761</t>
  </si>
  <si>
    <t>D-4762</t>
  </si>
  <si>
    <t>D-4763</t>
  </si>
  <si>
    <t>D-4764</t>
  </si>
  <si>
    <t>23-Jul-22--24-Jul-22</t>
  </si>
  <si>
    <t>D-4765</t>
  </si>
  <si>
    <t>D-4766</t>
  </si>
  <si>
    <t>D-4767</t>
  </si>
  <si>
    <t>D-4768</t>
  </si>
  <si>
    <t>D-4769</t>
  </si>
  <si>
    <t>D-4770</t>
  </si>
  <si>
    <t>D-4771</t>
  </si>
  <si>
    <t>D-4772</t>
  </si>
  <si>
    <t>D-4773</t>
  </si>
  <si>
    <t>D-4774</t>
  </si>
  <si>
    <t>D-4775</t>
  </si>
  <si>
    <t>D-4776</t>
  </si>
  <si>
    <t>D-4777</t>
  </si>
  <si>
    <t>D-4778</t>
  </si>
  <si>
    <t>D-4779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</si>
  <si>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>CANCELADA</t>
    </r>
  </si>
  <si>
    <t>D-4780</t>
  </si>
  <si>
    <t>D-4781</t>
  </si>
  <si>
    <t>D-4782</t>
  </si>
  <si>
    <t>D-4783</t>
  </si>
  <si>
    <t>D-4784</t>
  </si>
  <si>
    <t>D-4785</t>
  </si>
  <si>
    <t>D-4786</t>
  </si>
  <si>
    <t>D-4787</t>
  </si>
  <si>
    <t>D-4788</t>
  </si>
  <si>
    <t>D-4789</t>
  </si>
  <si>
    <t>D-4790</t>
  </si>
  <si>
    <t>D-4791</t>
  </si>
  <si>
    <t>D-4792</t>
  </si>
  <si>
    <t>D-4793</t>
  </si>
  <si>
    <r>
      <t xml:space="preserve">(122)PATY FLORES  </t>
    </r>
    <r>
      <rPr>
        <b/>
        <sz val="12"/>
        <color rgb="FFFF0000"/>
        <rFont val="Calibri"/>
        <family val="2"/>
        <scheme val="minor"/>
      </rPr>
      <t>CANCELADA</t>
    </r>
  </si>
  <si>
    <t>falta Original y copia VERDE  Y ponen cancelada la 04916 D Original y copia verde</t>
  </si>
  <si>
    <t>D-4794</t>
  </si>
  <si>
    <t>D-4795</t>
  </si>
  <si>
    <t>D-4796</t>
  </si>
  <si>
    <t>D-4797</t>
  </si>
  <si>
    <t>D-4798</t>
  </si>
  <si>
    <t>D-4799</t>
  </si>
  <si>
    <t>D-4800</t>
  </si>
  <si>
    <t>D-4801</t>
  </si>
  <si>
    <t>D-4802</t>
  </si>
  <si>
    <t>D-4803</t>
  </si>
  <si>
    <t>D-4804</t>
  </si>
  <si>
    <t>D-4805</t>
  </si>
  <si>
    <t>D-4806</t>
  </si>
  <si>
    <t>D-4807</t>
  </si>
  <si>
    <t>D-4808</t>
  </si>
  <si>
    <t>D-4809</t>
  </si>
  <si>
    <t>D-4810</t>
  </si>
  <si>
    <t>D-4811</t>
  </si>
  <si>
    <t>D-4812</t>
  </si>
  <si>
    <t>D-4813</t>
  </si>
  <si>
    <t>D-4814</t>
  </si>
  <si>
    <t>D-4815</t>
  </si>
  <si>
    <t>D-4816</t>
  </si>
  <si>
    <r>
      <t xml:space="preserve">(678)MAURO LOPEZ XIMELLO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</si>
  <si>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D-4817</t>
  </si>
  <si>
    <t>D-4818</t>
  </si>
  <si>
    <t>D-4819</t>
  </si>
  <si>
    <t>D-4820</t>
  </si>
  <si>
    <t>D-4821</t>
  </si>
  <si>
    <t>D-4822</t>
  </si>
  <si>
    <t>D-4823</t>
  </si>
  <si>
    <t>D-4824</t>
  </si>
  <si>
    <t>D-4825</t>
  </si>
  <si>
    <r>
      <t xml:space="preserve">(679)JUANA CASTILLO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</si>
  <si>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D-4826</t>
  </si>
  <si>
    <t>D-4827</t>
  </si>
  <si>
    <t>D-4828</t>
  </si>
  <si>
    <t>D-4829</t>
  </si>
  <si>
    <t>D-4830</t>
  </si>
  <si>
    <t>D-4831</t>
  </si>
  <si>
    <t>D-4832</t>
  </si>
  <si>
    <t>D-4833</t>
  </si>
  <si>
    <t>D-4834</t>
  </si>
  <si>
    <t>D-4835</t>
  </si>
  <si>
    <t>D-4836</t>
  </si>
  <si>
    <t>D-4837</t>
  </si>
  <si>
    <t>D-4838</t>
  </si>
  <si>
    <t>D-4839</t>
  </si>
  <si>
    <t>D-4840</t>
  </si>
  <si>
    <t>D-4841</t>
  </si>
  <si>
    <t>D-4842</t>
  </si>
  <si>
    <t>D-4843</t>
  </si>
  <si>
    <t>D-4844</t>
  </si>
  <si>
    <t>D-4845</t>
  </si>
  <si>
    <t>D-4846</t>
  </si>
  <si>
    <t>D-4847</t>
  </si>
  <si>
    <t>D-4848</t>
  </si>
  <si>
    <t>D-4849</t>
  </si>
  <si>
    <t>D-4850</t>
  </si>
  <si>
    <t>24-Jul-22--25-Jul-22</t>
  </si>
  <si>
    <t>D-4851</t>
  </si>
  <si>
    <t>D-4852</t>
  </si>
  <si>
    <t>D-4853</t>
  </si>
  <si>
    <t>D-4854</t>
  </si>
  <si>
    <t>25-Jul-22--26-Jul-22--27-Jul-22</t>
  </si>
  <si>
    <t>D-4855</t>
  </si>
  <si>
    <t>26-Jul-22---27-Jul-22--28-Jul-22</t>
  </si>
  <si>
    <t>D-4856</t>
  </si>
  <si>
    <t>D-4857</t>
  </si>
  <si>
    <t>D-4858</t>
  </si>
  <si>
    <t>D-4859</t>
  </si>
  <si>
    <t>D-4860</t>
  </si>
  <si>
    <t>D-4861</t>
  </si>
  <si>
    <t>D-4862</t>
  </si>
  <si>
    <t>D-4863</t>
  </si>
  <si>
    <t>D-4864</t>
  </si>
  <si>
    <t>D-4865</t>
  </si>
  <si>
    <t>D-4866</t>
  </si>
  <si>
    <t>D-4867</t>
  </si>
  <si>
    <t>D-4868</t>
  </si>
  <si>
    <t>D-4869</t>
  </si>
  <si>
    <t>D-4870</t>
  </si>
  <si>
    <t>D-4871</t>
  </si>
  <si>
    <t>D-4872</t>
  </si>
  <si>
    <t>D-4873</t>
  </si>
  <si>
    <t>D-4874</t>
  </si>
  <si>
    <t>D-4875</t>
  </si>
  <si>
    <t>D-4876</t>
  </si>
  <si>
    <t>D-4877</t>
  </si>
  <si>
    <t>D-4878</t>
  </si>
  <si>
    <t>D-4879</t>
  </si>
  <si>
    <t>D-4880</t>
  </si>
  <si>
    <t>D-4881</t>
  </si>
  <si>
    <t>D-4882</t>
  </si>
  <si>
    <r>
      <t xml:space="preserve">(204)ABASTO DE 4 CARNES SUC.  ZAVALETA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</si>
  <si>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4883 D</t>
  </si>
  <si>
    <t>D-4883</t>
  </si>
  <si>
    <t>D-4884</t>
  </si>
  <si>
    <t>D-4885</t>
  </si>
  <si>
    <t>D-4886</t>
  </si>
  <si>
    <t>D-4887</t>
  </si>
  <si>
    <t>D-4888</t>
  </si>
  <si>
    <t>D-4889</t>
  </si>
  <si>
    <t>D-4890</t>
  </si>
  <si>
    <t>D-4891</t>
  </si>
  <si>
    <t>D-4892</t>
  </si>
  <si>
    <t>D-4893</t>
  </si>
  <si>
    <t>D-4894</t>
  </si>
  <si>
    <t>D-4895</t>
  </si>
  <si>
    <t>D-4896</t>
  </si>
  <si>
    <t>D-4897</t>
  </si>
  <si>
    <t>D-4898</t>
  </si>
  <si>
    <t>D-4899</t>
  </si>
  <si>
    <t>D-4900</t>
  </si>
  <si>
    <t>D-4901</t>
  </si>
  <si>
    <t>D-4902</t>
  </si>
  <si>
    <t>D-4903</t>
  </si>
  <si>
    <t>D-4904</t>
  </si>
  <si>
    <t>D-4905</t>
  </si>
  <si>
    <t>D-4906</t>
  </si>
  <si>
    <t>D-4907</t>
  </si>
  <si>
    <t>D-4908</t>
  </si>
  <si>
    <t>D-4909</t>
  </si>
  <si>
    <t>D-4910</t>
  </si>
  <si>
    <t>D-4911</t>
  </si>
  <si>
    <t>D-4912</t>
  </si>
  <si>
    <t>D-4913</t>
  </si>
  <si>
    <t>D-4914</t>
  </si>
  <si>
    <t>D-4915</t>
  </si>
  <si>
    <t>D-4916</t>
  </si>
  <si>
    <t>D-4917</t>
  </si>
  <si>
    <t>D-4918</t>
  </si>
  <si>
    <t>D-4919</t>
  </si>
  <si>
    <t>D-4920</t>
  </si>
  <si>
    <t>D-4921</t>
  </si>
  <si>
    <t>D-4922</t>
  </si>
  <si>
    <t>D-4923</t>
  </si>
  <si>
    <t>D-4924</t>
  </si>
  <si>
    <t>D-4925</t>
  </si>
  <si>
    <t>D-4926</t>
  </si>
  <si>
    <t>D-4927</t>
  </si>
  <si>
    <t>D-4928</t>
  </si>
  <si>
    <t>D-4929</t>
  </si>
  <si>
    <t>D-4930</t>
  </si>
  <si>
    <t>D-4931</t>
  </si>
  <si>
    <r>
      <t xml:space="preserve">(415)VIKI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</si>
  <si>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4932 D</t>
  </si>
  <si>
    <t>D-4932</t>
  </si>
  <si>
    <t>D-4933</t>
  </si>
  <si>
    <t>D-4934</t>
  </si>
  <si>
    <t>D-4935</t>
  </si>
  <si>
    <t>D-4936</t>
  </si>
  <si>
    <t>D-4937</t>
  </si>
  <si>
    <t>D-4938</t>
  </si>
  <si>
    <t>D-4939</t>
  </si>
  <si>
    <t>D-4940</t>
  </si>
  <si>
    <t>D-4941</t>
  </si>
  <si>
    <t>D-4942</t>
  </si>
  <si>
    <t>D-4943</t>
  </si>
  <si>
    <t>D-4944</t>
  </si>
  <si>
    <t>D-4945</t>
  </si>
  <si>
    <t>D-4946</t>
  </si>
  <si>
    <t>D-4947</t>
  </si>
  <si>
    <t>D-4948</t>
  </si>
  <si>
    <t>D-4949</t>
  </si>
  <si>
    <t>D-4950</t>
  </si>
  <si>
    <t>D-4951</t>
  </si>
  <si>
    <t>D-4952</t>
  </si>
  <si>
    <t>D-4953</t>
  </si>
  <si>
    <t>D-4954</t>
  </si>
  <si>
    <t>D-4955</t>
  </si>
  <si>
    <t>23/07/2022</t>
  </si>
  <si>
    <t>D-4956</t>
  </si>
  <si>
    <t>D-4957</t>
  </si>
  <si>
    <t>se sustituyo x la 4958 D</t>
  </si>
  <si>
    <t>D-4958</t>
  </si>
  <si>
    <t>D-4959</t>
  </si>
  <si>
    <t>D-4960</t>
  </si>
  <si>
    <t>D-4961</t>
  </si>
  <si>
    <t>D-4962</t>
  </si>
  <si>
    <t>D-4963</t>
  </si>
  <si>
    <t>D-4964</t>
  </si>
  <si>
    <t>D-4965</t>
  </si>
  <si>
    <t>D-4966</t>
  </si>
  <si>
    <t>D-4967</t>
  </si>
  <si>
    <t>D-4968</t>
  </si>
  <si>
    <t>FISICA CANCELADA LA 04969 D</t>
  </si>
  <si>
    <t>D-4969</t>
  </si>
  <si>
    <t>D-4970</t>
  </si>
  <si>
    <t>D-4971</t>
  </si>
  <si>
    <t>D-4972</t>
  </si>
  <si>
    <t>D-4973</t>
  </si>
  <si>
    <t>D-4974</t>
  </si>
  <si>
    <t>D-4975</t>
  </si>
  <si>
    <t>D-4976</t>
  </si>
  <si>
    <t>D-4977</t>
  </si>
  <si>
    <t>D-4978</t>
  </si>
  <si>
    <t>D-4979</t>
  </si>
  <si>
    <t>D-4980</t>
  </si>
  <si>
    <t>D-4981</t>
  </si>
  <si>
    <t>D-4982</t>
  </si>
  <si>
    <t>D-4983</t>
  </si>
  <si>
    <t>D-4984</t>
  </si>
  <si>
    <t>D-4985</t>
  </si>
  <si>
    <t>25-Jul-22--27-Jul-22</t>
  </si>
  <si>
    <t>D-4986</t>
  </si>
  <si>
    <t>D-4987</t>
  </si>
  <si>
    <t>D-4988</t>
  </si>
  <si>
    <t>D-4989</t>
  </si>
  <si>
    <t>D-4990</t>
  </si>
  <si>
    <t>D-4991</t>
  </si>
  <si>
    <t>D-4992</t>
  </si>
  <si>
    <t>D-4993</t>
  </si>
  <si>
    <t>D-4994</t>
  </si>
  <si>
    <t>D-4995</t>
  </si>
  <si>
    <t>D-4996</t>
  </si>
  <si>
    <t>D-4997</t>
  </si>
  <si>
    <t>D-4998</t>
  </si>
  <si>
    <t>D-4999</t>
  </si>
  <si>
    <t>D-5000</t>
  </si>
  <si>
    <t>D-5001</t>
  </si>
  <si>
    <t>D-5002</t>
  </si>
  <si>
    <t>D-5003</t>
  </si>
  <si>
    <t>D-5004</t>
  </si>
  <si>
    <t>D-5005</t>
  </si>
  <si>
    <t>D-5006</t>
  </si>
  <si>
    <t>D-5007</t>
  </si>
  <si>
    <t>D-5008</t>
  </si>
  <si>
    <t>D-5009</t>
  </si>
  <si>
    <t>D-5010</t>
  </si>
  <si>
    <t>D-5011</t>
  </si>
  <si>
    <t>D-5012</t>
  </si>
  <si>
    <t>D-5013</t>
  </si>
  <si>
    <t>D-5014</t>
  </si>
  <si>
    <t>D-5015</t>
  </si>
  <si>
    <t>D-5016</t>
  </si>
  <si>
    <t>D-5017</t>
  </si>
  <si>
    <t>D-5018</t>
  </si>
  <si>
    <t>D-5019</t>
  </si>
  <si>
    <t>D-5020</t>
  </si>
  <si>
    <t>D-5021</t>
  </si>
  <si>
    <t>D-5022</t>
  </si>
  <si>
    <t>D-5023</t>
  </si>
  <si>
    <t>se sustituyo x la 5025 D</t>
  </si>
  <si>
    <t>D-5024</t>
  </si>
  <si>
    <t>D-5025</t>
  </si>
  <si>
    <t>27-Jul-22--28-Jul-22</t>
  </si>
  <si>
    <t>D-5026</t>
  </si>
  <si>
    <t>D-5027</t>
  </si>
  <si>
    <t>D-5028</t>
  </si>
  <si>
    <t>D-5029</t>
  </si>
  <si>
    <t>D-5030</t>
  </si>
  <si>
    <t>D-5031</t>
  </si>
  <si>
    <t>D-5032</t>
  </si>
  <si>
    <t>D-5033</t>
  </si>
  <si>
    <t>D-5034</t>
  </si>
  <si>
    <t>D-5035</t>
  </si>
  <si>
    <t>D-5036</t>
  </si>
  <si>
    <t>D-5037</t>
  </si>
  <si>
    <t>D-5038</t>
  </si>
  <si>
    <t>D-5039</t>
  </si>
  <si>
    <t>D-5040</t>
  </si>
  <si>
    <t>D-5041</t>
  </si>
  <si>
    <t>D-5042</t>
  </si>
  <si>
    <t>D-5043</t>
  </si>
  <si>
    <t>D-5044</t>
  </si>
  <si>
    <t>D-5045</t>
  </si>
  <si>
    <t>D-5046</t>
  </si>
  <si>
    <t>D-5047</t>
  </si>
  <si>
    <t>D-5048</t>
  </si>
  <si>
    <t>D-5049</t>
  </si>
  <si>
    <t>D-5050</t>
  </si>
  <si>
    <t>D-5051</t>
  </si>
  <si>
    <t>D-5052</t>
  </si>
  <si>
    <t>D-5053</t>
  </si>
  <si>
    <t>D-5054</t>
  </si>
  <si>
    <t>D-5055</t>
  </si>
  <si>
    <t>D-5056</t>
  </si>
  <si>
    <r>
      <t xml:space="preserve">(88)CENTRO COMERCIAL ALATRISTE  </t>
    </r>
    <r>
      <rPr>
        <b/>
        <sz val="12"/>
        <color rgb="FFFF0000"/>
        <rFont val="Calibri"/>
        <family val="2"/>
        <scheme val="minor"/>
      </rPr>
      <t>CANCELADA</t>
    </r>
  </si>
  <si>
    <t>se sustituyo x la 5057 D</t>
  </si>
  <si>
    <t>D-5057</t>
  </si>
  <si>
    <t>D-5058</t>
  </si>
  <si>
    <t>D-5059</t>
  </si>
  <si>
    <t>26-Jul-22--27-Jul-22</t>
  </si>
  <si>
    <t>D-5060</t>
  </si>
  <si>
    <t>D-5061</t>
  </si>
  <si>
    <t>D-5062</t>
  </si>
  <si>
    <t>D-5063</t>
  </si>
  <si>
    <t>D-5064</t>
  </si>
  <si>
    <t>D-5065</t>
  </si>
  <si>
    <t>D-5066</t>
  </si>
  <si>
    <t>D-5067</t>
  </si>
  <si>
    <t>D-5068</t>
  </si>
  <si>
    <t>D-5069</t>
  </si>
  <si>
    <t>D-5070</t>
  </si>
  <si>
    <t>D-5071</t>
  </si>
  <si>
    <t>D-5072</t>
  </si>
  <si>
    <t>D-5073</t>
  </si>
  <si>
    <t>D-5074</t>
  </si>
  <si>
    <t>D-5075</t>
  </si>
  <si>
    <t>D-5076</t>
  </si>
  <si>
    <t>D-5077</t>
  </si>
  <si>
    <t>D-5078</t>
  </si>
  <si>
    <t>D-5079</t>
  </si>
  <si>
    <t>D-5080</t>
  </si>
  <si>
    <t>D-5081</t>
  </si>
  <si>
    <t>D-5082</t>
  </si>
  <si>
    <t>D-5083</t>
  </si>
  <si>
    <t>D-5084</t>
  </si>
  <si>
    <t>D-5085</t>
  </si>
  <si>
    <t>D-5086</t>
  </si>
  <si>
    <t>D-5087</t>
  </si>
  <si>
    <t>D-5088</t>
  </si>
  <si>
    <t>D-5089</t>
  </si>
  <si>
    <t>D-5090</t>
  </si>
  <si>
    <t>D-5091</t>
  </si>
  <si>
    <t>D-5092</t>
  </si>
  <si>
    <t>D-5093</t>
  </si>
  <si>
    <t>D-5094</t>
  </si>
  <si>
    <t>D-5095</t>
  </si>
  <si>
    <t>D-5096</t>
  </si>
  <si>
    <t>D-5097</t>
  </si>
  <si>
    <t>D-5098</t>
  </si>
  <si>
    <t>D-5099</t>
  </si>
  <si>
    <t>D-5100</t>
  </si>
  <si>
    <t>se sustituyo x la 5103 D</t>
  </si>
  <si>
    <t>D-5101</t>
  </si>
  <si>
    <t>D-5102</t>
  </si>
  <si>
    <t>D-5103</t>
  </si>
  <si>
    <t>D-5104</t>
  </si>
  <si>
    <t>D-5105</t>
  </si>
  <si>
    <t>D-5106</t>
  </si>
  <si>
    <t>D-5107</t>
  </si>
  <si>
    <t>D-5108</t>
  </si>
  <si>
    <t>D-5109</t>
  </si>
  <si>
    <t>D-5110</t>
  </si>
  <si>
    <t>D-5111</t>
  </si>
  <si>
    <t>D-5112</t>
  </si>
  <si>
    <t>D-5113</t>
  </si>
  <si>
    <t>D-5114</t>
  </si>
  <si>
    <t>D-5115</t>
  </si>
  <si>
    <t>D-5116</t>
  </si>
  <si>
    <t>D-5117</t>
  </si>
  <si>
    <t>D-5118</t>
  </si>
  <si>
    <t>D-5119</t>
  </si>
  <si>
    <t>D-5120</t>
  </si>
  <si>
    <t>D-5121</t>
  </si>
  <si>
    <t>D-5122</t>
  </si>
  <si>
    <t>D-5123</t>
  </si>
  <si>
    <t>D-5124</t>
  </si>
  <si>
    <t>D-5125</t>
  </si>
  <si>
    <t>D-5126</t>
  </si>
  <si>
    <t>D-5127</t>
  </si>
  <si>
    <t>D-5128</t>
  </si>
  <si>
    <t>D-5129</t>
  </si>
  <si>
    <t>D-5130</t>
  </si>
  <si>
    <t>D-5131</t>
  </si>
  <si>
    <t>D-5132</t>
  </si>
  <si>
    <t>D-5133</t>
  </si>
  <si>
    <t>D-5134</t>
  </si>
  <si>
    <t>D-5135</t>
  </si>
  <si>
    <t>D-5136</t>
  </si>
  <si>
    <t>D-5137</t>
  </si>
  <si>
    <t>D-5138</t>
  </si>
  <si>
    <t>D-5139</t>
  </si>
  <si>
    <t>D-5140</t>
  </si>
  <si>
    <t>D-5141</t>
  </si>
  <si>
    <t>D-5142</t>
  </si>
  <si>
    <t>D-5143</t>
  </si>
  <si>
    <t>D-5144</t>
  </si>
  <si>
    <t>D-5145</t>
  </si>
  <si>
    <t>D-5146</t>
  </si>
  <si>
    <t>D-5147</t>
  </si>
  <si>
    <t>D-5148</t>
  </si>
  <si>
    <t>D-5149</t>
  </si>
  <si>
    <t>D-5150</t>
  </si>
  <si>
    <t>D-5151</t>
  </si>
  <si>
    <t>D-5152</t>
  </si>
  <si>
    <t>D-5153</t>
  </si>
  <si>
    <t>D-5154</t>
  </si>
  <si>
    <t>D-5155</t>
  </si>
  <si>
    <t>27-Jul-22--29-Jul-22</t>
  </si>
  <si>
    <t>D-5156</t>
  </si>
  <si>
    <t>D-5157</t>
  </si>
  <si>
    <t>D-5158</t>
  </si>
  <si>
    <t>D-5159</t>
  </si>
  <si>
    <t>D-5160</t>
  </si>
  <si>
    <t>D-5161</t>
  </si>
  <si>
    <t>D-5162</t>
  </si>
  <si>
    <t>D-5163</t>
  </si>
  <si>
    <t>D-5164</t>
  </si>
  <si>
    <t>D-5165</t>
  </si>
  <si>
    <t>D-5166</t>
  </si>
  <si>
    <t>D-5167</t>
  </si>
  <si>
    <t>D-5168</t>
  </si>
  <si>
    <t>D-5169</t>
  </si>
  <si>
    <t>D-5170</t>
  </si>
  <si>
    <t>D-5171</t>
  </si>
  <si>
    <t>D-5172</t>
  </si>
  <si>
    <t>D-5173</t>
  </si>
  <si>
    <t>D-5174</t>
  </si>
  <si>
    <t>D-5175</t>
  </si>
  <si>
    <t>D-5176</t>
  </si>
  <si>
    <t>D-5177</t>
  </si>
  <si>
    <t>D-5178</t>
  </si>
  <si>
    <t>D-5179</t>
  </si>
  <si>
    <t>D-5180</t>
  </si>
  <si>
    <t>D-5181</t>
  </si>
  <si>
    <t>D-5182</t>
  </si>
  <si>
    <t>D-5183</t>
  </si>
  <si>
    <t>D-5184</t>
  </si>
  <si>
    <t>D-5185</t>
  </si>
  <si>
    <t>D-5186</t>
  </si>
  <si>
    <t>D-5187</t>
  </si>
  <si>
    <t>D-5188</t>
  </si>
  <si>
    <t>D-5189</t>
  </si>
  <si>
    <t>D-5190</t>
  </si>
  <si>
    <t>D-5191</t>
  </si>
  <si>
    <t>D-5192</t>
  </si>
  <si>
    <t>D-5193</t>
  </si>
  <si>
    <t>D-5194</t>
  </si>
  <si>
    <t>D-5195</t>
  </si>
  <si>
    <t>D-5196</t>
  </si>
  <si>
    <t>D-5197</t>
  </si>
  <si>
    <t>D-5198</t>
  </si>
  <si>
    <t>D-5199</t>
  </si>
  <si>
    <t>D-5200</t>
  </si>
  <si>
    <r>
      <t>(725)ABASTO DE 4 CARNES SA DE CV 11 SUR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</si>
  <si>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5217 D</t>
  </si>
  <si>
    <t>D-5201</t>
  </si>
  <si>
    <t>D-5202</t>
  </si>
  <si>
    <t>D-5203</t>
  </si>
  <si>
    <t>D-5204</t>
  </si>
  <si>
    <t>D-5205</t>
  </si>
  <si>
    <t>D-5206</t>
  </si>
  <si>
    <t>D-5207</t>
  </si>
  <si>
    <t>D-5208</t>
  </si>
  <si>
    <t>D-5209</t>
  </si>
  <si>
    <t>D-5210</t>
  </si>
  <si>
    <t>D-5211</t>
  </si>
  <si>
    <t>D-5212</t>
  </si>
  <si>
    <t>D-5213</t>
  </si>
  <si>
    <t>D-5214</t>
  </si>
  <si>
    <t>D-5215</t>
  </si>
  <si>
    <t>D-5216</t>
  </si>
  <si>
    <t>D-5217</t>
  </si>
  <si>
    <t>D-5218</t>
  </si>
  <si>
    <t>D-5219</t>
  </si>
  <si>
    <t>D-5220</t>
  </si>
  <si>
    <t>D-5221</t>
  </si>
  <si>
    <t>D-5222</t>
  </si>
  <si>
    <t>D-5223</t>
  </si>
  <si>
    <t>D-5224</t>
  </si>
  <si>
    <t>D-5225</t>
  </si>
  <si>
    <t>D-5226</t>
  </si>
  <si>
    <t>D-5227</t>
  </si>
  <si>
    <t>D-5228</t>
  </si>
  <si>
    <t>28-Jul-22---29-Jul-22</t>
  </si>
  <si>
    <t>D-5229</t>
  </si>
  <si>
    <t>D-5230</t>
  </si>
  <si>
    <t>D-5231</t>
  </si>
  <si>
    <t>D-5232</t>
  </si>
  <si>
    <t>D-5233</t>
  </si>
  <si>
    <t>D-5234</t>
  </si>
  <si>
    <t>D-5235</t>
  </si>
  <si>
    <t>D-5236</t>
  </si>
  <si>
    <t>D-5237</t>
  </si>
  <si>
    <t>D-5238</t>
  </si>
  <si>
    <t>D-5239</t>
  </si>
  <si>
    <t>D-5240</t>
  </si>
  <si>
    <t>D-5241</t>
  </si>
  <si>
    <t>D-5242</t>
  </si>
  <si>
    <t>D-5243</t>
  </si>
  <si>
    <t>D-5244</t>
  </si>
  <si>
    <t>D-5245</t>
  </si>
  <si>
    <t>D-5246</t>
  </si>
  <si>
    <t>D-5247</t>
  </si>
  <si>
    <t>D-5248</t>
  </si>
  <si>
    <t>D-5249</t>
  </si>
  <si>
    <t>D-5250</t>
  </si>
  <si>
    <t>D-5251</t>
  </si>
  <si>
    <t>D-5252</t>
  </si>
  <si>
    <t>D-5253</t>
  </si>
  <si>
    <t>D-5254</t>
  </si>
  <si>
    <t>D-5255</t>
  </si>
  <si>
    <t>D-5256</t>
  </si>
  <si>
    <t>D-5257</t>
  </si>
  <si>
    <t>D-5258</t>
  </si>
  <si>
    <t>D-5259</t>
  </si>
  <si>
    <t>D-5260</t>
  </si>
  <si>
    <t>D-5261</t>
  </si>
  <si>
    <t>D-5262</t>
  </si>
  <si>
    <t>D-5263</t>
  </si>
  <si>
    <t>D-5264</t>
  </si>
  <si>
    <t>D-5265</t>
  </si>
  <si>
    <t>D-5266</t>
  </si>
  <si>
    <t>D-5267</t>
  </si>
  <si>
    <t>D-5268</t>
  </si>
  <si>
    <t>D-5269</t>
  </si>
  <si>
    <t>D-5270</t>
  </si>
  <si>
    <t>D-5271</t>
  </si>
  <si>
    <t>D-5272</t>
  </si>
  <si>
    <t>D-5273</t>
  </si>
  <si>
    <t>D-5274</t>
  </si>
  <si>
    <t>D-5275</t>
  </si>
  <si>
    <t>D-5276</t>
  </si>
  <si>
    <t>D-5277</t>
  </si>
  <si>
    <t>D-5278</t>
  </si>
  <si>
    <t>D-5279</t>
  </si>
  <si>
    <t>D-5280</t>
  </si>
  <si>
    <t>D-5281</t>
  </si>
  <si>
    <t>D-5282</t>
  </si>
  <si>
    <t>D-5283</t>
  </si>
  <si>
    <t>D-5284</t>
  </si>
  <si>
    <t>D-5285</t>
  </si>
  <si>
    <t>D-5286</t>
  </si>
  <si>
    <t>D-5287</t>
  </si>
  <si>
    <t>D-5288</t>
  </si>
  <si>
    <t>D-5289</t>
  </si>
  <si>
    <t>D-5290</t>
  </si>
  <si>
    <t>D-5291</t>
  </si>
  <si>
    <t>D-5292</t>
  </si>
  <si>
    <t>D-5293</t>
  </si>
  <si>
    <t>D-5294</t>
  </si>
  <si>
    <t>D-5295</t>
  </si>
  <si>
    <t>D-5296</t>
  </si>
  <si>
    <t>D-5297</t>
  </si>
  <si>
    <t>D-5298</t>
  </si>
  <si>
    <t>D-5299</t>
  </si>
  <si>
    <t>D-5300</t>
  </si>
  <si>
    <t>D-5301</t>
  </si>
  <si>
    <t>D-5302</t>
  </si>
  <si>
    <t>D-5303</t>
  </si>
  <si>
    <t>D-5304</t>
  </si>
  <si>
    <t>D-5305</t>
  </si>
  <si>
    <t>D-5306</t>
  </si>
  <si>
    <t>D-5307</t>
  </si>
  <si>
    <t>D-5308</t>
  </si>
  <si>
    <t>D-5309</t>
  </si>
  <si>
    <t>D-5310</t>
  </si>
  <si>
    <t>D-5311</t>
  </si>
  <si>
    <t>D-5312</t>
  </si>
  <si>
    <t>D-5313</t>
  </si>
  <si>
    <t>D-5314</t>
  </si>
  <si>
    <t>D-5315</t>
  </si>
  <si>
    <t>D-5316</t>
  </si>
  <si>
    <t>D-5317</t>
  </si>
  <si>
    <t>D-5318</t>
  </si>
  <si>
    <t>D-5319</t>
  </si>
  <si>
    <t>D-5320</t>
  </si>
  <si>
    <t>D-5321</t>
  </si>
  <si>
    <t>D-5322</t>
  </si>
  <si>
    <t>D-5323</t>
  </si>
  <si>
    <t>29-Jul-22--30-Jul-22</t>
  </si>
  <si>
    <t>D-5324</t>
  </si>
  <si>
    <t>D-5325</t>
  </si>
  <si>
    <t>D-5326</t>
  </si>
  <si>
    <t>D-5327</t>
  </si>
  <si>
    <t>D-5328</t>
  </si>
  <si>
    <t>D-5329</t>
  </si>
  <si>
    <t>D-5330</t>
  </si>
  <si>
    <t>D-5331</t>
  </si>
  <si>
    <t>D-5332</t>
  </si>
  <si>
    <t>D-5333</t>
  </si>
  <si>
    <t>D-5334</t>
  </si>
  <si>
    <t>D-5335</t>
  </si>
  <si>
    <t>D-5336</t>
  </si>
  <si>
    <t>D-5337</t>
  </si>
  <si>
    <t>D-5338</t>
  </si>
  <si>
    <t>D-5339</t>
  </si>
  <si>
    <t>D-5340</t>
  </si>
  <si>
    <t>D-5341</t>
  </si>
  <si>
    <t>D-5342</t>
  </si>
  <si>
    <t>D-5343</t>
  </si>
  <si>
    <t>D-5344</t>
  </si>
  <si>
    <t>D-5345</t>
  </si>
  <si>
    <t>D-5346</t>
  </si>
  <si>
    <t>D-5347</t>
  </si>
  <si>
    <t>D-5348</t>
  </si>
  <si>
    <t>D-5349</t>
  </si>
  <si>
    <t>D-5350</t>
  </si>
  <si>
    <t>D-5351</t>
  </si>
  <si>
    <t>D-5352</t>
  </si>
  <si>
    <t>D-5353</t>
  </si>
  <si>
    <t>D-5354</t>
  </si>
  <si>
    <t>D-5355</t>
  </si>
  <si>
    <t>D-5356</t>
  </si>
  <si>
    <t>D-5357</t>
  </si>
  <si>
    <t>D-5358</t>
  </si>
  <si>
    <t>D-5359</t>
  </si>
  <si>
    <t>D-5360</t>
  </si>
  <si>
    <t>D-5361</t>
  </si>
  <si>
    <t>D-5362</t>
  </si>
  <si>
    <t>D-5363</t>
  </si>
  <si>
    <t>D-5364</t>
  </si>
  <si>
    <t>D-5365</t>
  </si>
  <si>
    <t>D-5366</t>
  </si>
  <si>
    <t>D-5367</t>
  </si>
  <si>
    <t>D-5368</t>
  </si>
  <si>
    <t>D-5369</t>
  </si>
  <si>
    <t>D-5370</t>
  </si>
  <si>
    <t>D-5371</t>
  </si>
  <si>
    <t>D-5372</t>
  </si>
  <si>
    <t>D-5373</t>
  </si>
  <si>
    <t>D-5374</t>
  </si>
  <si>
    <t>28-Jul-22--30-Jul-22</t>
  </si>
  <si>
    <t>D-5375</t>
  </si>
  <si>
    <t>D-5376</t>
  </si>
  <si>
    <t>D-5377</t>
  </si>
  <si>
    <t>(871)CESAR FLORES</t>
  </si>
  <si>
    <t>D-5378</t>
  </si>
  <si>
    <t>D-5379</t>
  </si>
  <si>
    <t>D-5380</t>
  </si>
  <si>
    <t>D-5381</t>
  </si>
  <si>
    <t>D-5382</t>
  </si>
  <si>
    <t>D-5383</t>
  </si>
  <si>
    <t>D-5384</t>
  </si>
  <si>
    <t>D-5385</t>
  </si>
  <si>
    <t>D-5386</t>
  </si>
  <si>
    <t>D-5387</t>
  </si>
  <si>
    <t>D-5388</t>
  </si>
  <si>
    <t>D-5389</t>
  </si>
  <si>
    <t>D-5390</t>
  </si>
  <si>
    <t>D-5391</t>
  </si>
  <si>
    <t>D-5392</t>
  </si>
  <si>
    <t>D-5393</t>
  </si>
  <si>
    <t>D-5394</t>
  </si>
  <si>
    <t>D-5395</t>
  </si>
  <si>
    <t>D-5396</t>
  </si>
  <si>
    <t>D-5397</t>
  </si>
  <si>
    <t>D-5398</t>
  </si>
  <si>
    <t>D-5399</t>
  </si>
  <si>
    <t>D-5400</t>
  </si>
  <si>
    <t>D-5401</t>
  </si>
  <si>
    <t>D-5402</t>
  </si>
  <si>
    <t>D-5403</t>
  </si>
  <si>
    <t>D-5404</t>
  </si>
  <si>
    <t>D-5405</t>
  </si>
  <si>
    <t>D-5406</t>
  </si>
  <si>
    <t>D-5407</t>
  </si>
  <si>
    <t>D-5408</t>
  </si>
  <si>
    <t>D-5409</t>
  </si>
  <si>
    <t>D-5410</t>
  </si>
  <si>
    <t>D-5411</t>
  </si>
  <si>
    <t>D-5412</t>
  </si>
  <si>
    <t>D-5413</t>
  </si>
  <si>
    <t>D-5414</t>
  </si>
  <si>
    <t>D-5415</t>
  </si>
  <si>
    <t>D-5416</t>
  </si>
  <si>
    <t>D-5417</t>
  </si>
  <si>
    <t>D-5418</t>
  </si>
  <si>
    <t>D-5419</t>
  </si>
  <si>
    <t>D-5420</t>
  </si>
  <si>
    <t>D-5421</t>
  </si>
  <si>
    <t>D-5422</t>
  </si>
  <si>
    <t>D-5423</t>
  </si>
  <si>
    <t>D-5424</t>
  </si>
  <si>
    <t>30-Jul-22--31-Jul-22</t>
  </si>
  <si>
    <t>D-5425</t>
  </si>
  <si>
    <t>D-5426</t>
  </si>
  <si>
    <t>D-5427</t>
  </si>
  <si>
    <t>D-5428</t>
  </si>
  <si>
    <t>D-5429</t>
  </si>
  <si>
    <t>D-5430</t>
  </si>
  <si>
    <t>D-5431</t>
  </si>
  <si>
    <t>D-5432</t>
  </si>
  <si>
    <t>D-5433</t>
  </si>
  <si>
    <t>D-5434</t>
  </si>
  <si>
    <t>D-5435</t>
  </si>
  <si>
    <t>D-5436</t>
  </si>
  <si>
    <t>D-5437</t>
  </si>
  <si>
    <t>D-5438</t>
  </si>
  <si>
    <t>D-5439</t>
  </si>
  <si>
    <t>D-5440</t>
  </si>
  <si>
    <t>D-5441</t>
  </si>
  <si>
    <t>D-5442</t>
  </si>
  <si>
    <t>D-5443</t>
  </si>
  <si>
    <t>D-5444</t>
  </si>
  <si>
    <t>D-5445</t>
  </si>
  <si>
    <t>D-5446</t>
  </si>
  <si>
    <t>(677)MAX</t>
  </si>
  <si>
    <t>D-5447</t>
  </si>
  <si>
    <t>D-5448</t>
  </si>
  <si>
    <t>D-5449</t>
  </si>
  <si>
    <t>D-5450</t>
  </si>
  <si>
    <t>D-5451</t>
  </si>
  <si>
    <t>D-5452</t>
  </si>
  <si>
    <t>D-5453</t>
  </si>
  <si>
    <t>D-5454</t>
  </si>
  <si>
    <t>D-5455</t>
  </si>
  <si>
    <t>D-5456</t>
  </si>
  <si>
    <t>D-5457</t>
  </si>
  <si>
    <t>D-5458</t>
  </si>
  <si>
    <t>D-5459</t>
  </si>
  <si>
    <t>D-5460</t>
  </si>
  <si>
    <t>D-5461</t>
  </si>
  <si>
    <t>D-5462</t>
  </si>
  <si>
    <t>D-5463</t>
  </si>
  <si>
    <t>D-5464</t>
  </si>
  <si>
    <t>D-5465</t>
  </si>
  <si>
    <r>
      <t>(746)CARLOS CASTRO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</si>
  <si>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D-5466</t>
  </si>
  <si>
    <t>D-5467</t>
  </si>
  <si>
    <t>D-5468</t>
  </si>
  <si>
    <t>D-5469</t>
  </si>
  <si>
    <t>D-5470</t>
  </si>
  <si>
    <t>D-5471</t>
  </si>
  <si>
    <t>D-5472</t>
  </si>
  <si>
    <t>D-5473</t>
  </si>
  <si>
    <t>D-5474</t>
  </si>
  <si>
    <t>D-5475</t>
  </si>
  <si>
    <t>D-5476</t>
  </si>
  <si>
    <t>D-5477</t>
  </si>
  <si>
    <t>D-5478</t>
  </si>
  <si>
    <t>D-5479</t>
  </si>
  <si>
    <t>D-5480</t>
  </si>
  <si>
    <t>D-5481</t>
  </si>
  <si>
    <t>D-5482</t>
  </si>
  <si>
    <t>D-5483</t>
  </si>
  <si>
    <t>D-5484</t>
  </si>
  <si>
    <t>D-5485</t>
  </si>
  <si>
    <t>D-5486</t>
  </si>
  <si>
    <t>D-5487</t>
  </si>
  <si>
    <t>D-5488</t>
  </si>
  <si>
    <t>D-5489</t>
  </si>
  <si>
    <t>D-5490</t>
  </si>
  <si>
    <t>D-5491</t>
  </si>
  <si>
    <t>D-5492</t>
  </si>
  <si>
    <t>D-5493</t>
  </si>
  <si>
    <t>D-5494</t>
  </si>
  <si>
    <t>D-5495</t>
  </si>
  <si>
    <t>D-5496</t>
  </si>
  <si>
    <t>D-5497</t>
  </si>
  <si>
    <t>D-5498</t>
  </si>
  <si>
    <t>D-5499</t>
  </si>
  <si>
    <t>D-5500</t>
  </si>
  <si>
    <t>D-5501</t>
  </si>
  <si>
    <t>D-5502</t>
  </si>
  <si>
    <t>D-5503</t>
  </si>
  <si>
    <t>D-5504</t>
  </si>
  <si>
    <t>D-5505</t>
  </si>
  <si>
    <t>D-5506</t>
  </si>
  <si>
    <t>D-5507</t>
  </si>
  <si>
    <t>D-5508</t>
  </si>
  <si>
    <t>D-5509</t>
  </si>
  <si>
    <t>se sustituyo x la 5510 D</t>
  </si>
  <si>
    <t>D-5510</t>
  </si>
  <si>
    <t>D-5511</t>
  </si>
  <si>
    <t>D-5512</t>
  </si>
  <si>
    <t>D-5513</t>
  </si>
  <si>
    <t>D-5514</t>
  </si>
  <si>
    <t>D-5515</t>
  </si>
  <si>
    <t>D-5516</t>
  </si>
  <si>
    <t>D-5517</t>
  </si>
  <si>
    <t>D-5518</t>
  </si>
  <si>
    <t>D-5519</t>
  </si>
  <si>
    <t>D-5520</t>
  </si>
  <si>
    <t>D-5521</t>
  </si>
  <si>
    <t>D-5522</t>
  </si>
  <si>
    <t>D-5523</t>
  </si>
  <si>
    <t>D-5524</t>
  </si>
  <si>
    <t>D-5525</t>
  </si>
  <si>
    <t>D-5526</t>
  </si>
  <si>
    <t>D-5527</t>
  </si>
  <si>
    <t>D-5528</t>
  </si>
  <si>
    <t>D-5529</t>
  </si>
  <si>
    <t>D-5530</t>
  </si>
  <si>
    <t>D-5531</t>
  </si>
  <si>
    <t>D-5532</t>
  </si>
  <si>
    <t>D-5533</t>
  </si>
  <si>
    <t>D-5534</t>
  </si>
  <si>
    <t>D-5535</t>
  </si>
  <si>
    <t>D-5536</t>
  </si>
  <si>
    <t>D-5537</t>
  </si>
  <si>
    <t>D-5538</t>
  </si>
  <si>
    <t>D-5539</t>
  </si>
  <si>
    <t>D-5540</t>
  </si>
  <si>
    <t>D-5541</t>
  </si>
  <si>
    <t>D-5542</t>
  </si>
  <si>
    <t>D-5543</t>
  </si>
  <si>
    <t>D-5544</t>
  </si>
  <si>
    <t>D-5545</t>
  </si>
  <si>
    <t>D-5546</t>
  </si>
  <si>
    <t>D-5547</t>
  </si>
  <si>
    <t>D-5548</t>
  </si>
  <si>
    <t>D-5549</t>
  </si>
  <si>
    <t>D-5550</t>
  </si>
  <si>
    <t>D-5551</t>
  </si>
  <si>
    <t>D-5552</t>
  </si>
  <si>
    <t>D-5553</t>
  </si>
  <si>
    <t>D-5554</t>
  </si>
  <si>
    <t>D-5555</t>
  </si>
  <si>
    <t>D-5556</t>
  </si>
  <si>
    <t>D-5557</t>
  </si>
  <si>
    <t>D-5558</t>
  </si>
  <si>
    <t>D-5559</t>
  </si>
  <si>
    <t>D-5560</t>
  </si>
  <si>
    <t>D-5561</t>
  </si>
  <si>
    <t>D-5562</t>
  </si>
  <si>
    <t>D-5563</t>
  </si>
  <si>
    <t>D-5564</t>
  </si>
  <si>
    <t>D-5565</t>
  </si>
  <si>
    <r>
      <t xml:space="preserve">(268)BURRO NORTEÑO  </t>
    </r>
    <r>
      <rPr>
        <b/>
        <sz val="12"/>
        <color rgb="FFFF0000"/>
        <rFont val="Calibri"/>
        <family val="2"/>
        <scheme val="minor"/>
      </rPr>
      <t>CANCELADA</t>
    </r>
  </si>
  <si>
    <t>se sustituyo x la 5567 D</t>
  </si>
  <si>
    <t>D-5566</t>
  </si>
  <si>
    <t>D-5567</t>
  </si>
  <si>
    <t>D-5568</t>
  </si>
  <si>
    <t>D-5569</t>
  </si>
  <si>
    <t>D-5570</t>
  </si>
  <si>
    <t>D-5571</t>
  </si>
  <si>
    <t>D-5572</t>
  </si>
  <si>
    <t>D-5573</t>
  </si>
  <si>
    <t>D-5574</t>
  </si>
  <si>
    <t>D-5575</t>
  </si>
  <si>
    <t>D-5576</t>
  </si>
  <si>
    <t>D-5577</t>
  </si>
  <si>
    <t>D-5578</t>
  </si>
  <si>
    <t>D-5579</t>
  </si>
  <si>
    <t>D-5580</t>
  </si>
  <si>
    <t>D-5581</t>
  </si>
  <si>
    <t>D-5582</t>
  </si>
  <si>
    <t>D-5583</t>
  </si>
  <si>
    <t>D-5584</t>
  </si>
  <si>
    <t>D-5585</t>
  </si>
  <si>
    <t>D-5586</t>
  </si>
  <si>
    <t>D-5587</t>
  </si>
  <si>
    <t>D-5588</t>
  </si>
  <si>
    <t>D-5589</t>
  </si>
  <si>
    <t>D-5590</t>
  </si>
  <si>
    <t>D-5591</t>
  </si>
  <si>
    <t>D-5592</t>
  </si>
  <si>
    <t>D-5593</t>
  </si>
  <si>
    <t>D-5594</t>
  </si>
  <si>
    <t>D-5595</t>
  </si>
  <si>
    <t>D-5596</t>
  </si>
  <si>
    <t>D-5597</t>
  </si>
  <si>
    <t>D-5598</t>
  </si>
  <si>
    <t>D-5599</t>
  </si>
  <si>
    <t>D-5600</t>
  </si>
  <si>
    <t>D-5601</t>
  </si>
  <si>
    <t>D-5602</t>
  </si>
  <si>
    <t>D-5603</t>
  </si>
  <si>
    <t>D-5604</t>
  </si>
  <si>
    <t>D-5605</t>
  </si>
  <si>
    <t>D-5606</t>
  </si>
  <si>
    <t>D-5607</t>
  </si>
  <si>
    <t>D-5608</t>
  </si>
  <si>
    <t>D-5609</t>
  </si>
  <si>
    <t>D-5610</t>
  </si>
  <si>
    <t>D-5611</t>
  </si>
  <si>
    <t>D-5612</t>
  </si>
  <si>
    <t>D-5613</t>
  </si>
  <si>
    <t>D-5614</t>
  </si>
  <si>
    <t>D-5615</t>
  </si>
  <si>
    <t>D-5616</t>
  </si>
  <si>
    <t>D-5617</t>
  </si>
  <si>
    <t>D-5618</t>
  </si>
  <si>
    <t>D-5619</t>
  </si>
  <si>
    <t>D-5620</t>
  </si>
  <si>
    <t>D-5621</t>
  </si>
  <si>
    <t>D-5622</t>
  </si>
  <si>
    <t>D-5623</t>
  </si>
  <si>
    <t>D-5624</t>
  </si>
  <si>
    <t>D-5625</t>
  </si>
  <si>
    <t>D-5626</t>
  </si>
  <si>
    <t>D-5627</t>
  </si>
  <si>
    <t>se sustituyo x la 5629 D</t>
  </si>
  <si>
    <t>D-5628</t>
  </si>
  <si>
    <t>D-5629</t>
  </si>
  <si>
    <t>D-5630</t>
  </si>
  <si>
    <t>D-5631</t>
  </si>
  <si>
    <t>D-5632</t>
  </si>
  <si>
    <t>D-5633</t>
  </si>
  <si>
    <t>D-5634</t>
  </si>
  <si>
    <t>D-5635</t>
  </si>
  <si>
    <t>D-5636</t>
  </si>
  <si>
    <t>D-5637</t>
  </si>
  <si>
    <t>D-5638</t>
  </si>
  <si>
    <t>D-5639</t>
  </si>
  <si>
    <t>D-5640</t>
  </si>
  <si>
    <t>D-5641</t>
  </si>
  <si>
    <t>D-5642</t>
  </si>
  <si>
    <t>D-5643</t>
  </si>
  <si>
    <t>D-5644</t>
  </si>
  <si>
    <t>D-5645</t>
  </si>
  <si>
    <t>D-5646</t>
  </si>
  <si>
    <t>D-5647</t>
  </si>
  <si>
    <t>D-5648</t>
  </si>
  <si>
    <t>D-5649</t>
  </si>
  <si>
    <t>D-5650</t>
  </si>
  <si>
    <t>D-5651</t>
  </si>
  <si>
    <t>D-5652</t>
  </si>
  <si>
    <t>D-5653</t>
  </si>
  <si>
    <t>D-5654</t>
  </si>
  <si>
    <t>D-5655</t>
  </si>
  <si>
    <t>D-5656</t>
  </si>
  <si>
    <t>D-5657</t>
  </si>
  <si>
    <t>D-5658</t>
  </si>
  <si>
    <t>D-5659</t>
  </si>
  <si>
    <t>D-5660</t>
  </si>
  <si>
    <t>D-5661</t>
  </si>
  <si>
    <t>D-5662</t>
  </si>
  <si>
    <t>D-5663</t>
  </si>
  <si>
    <t>D-5664</t>
  </si>
  <si>
    <t>D-5665</t>
  </si>
  <si>
    <t>D-5666</t>
  </si>
  <si>
    <t>D-5667</t>
  </si>
  <si>
    <t>D-5668</t>
  </si>
  <si>
    <t>D-5669</t>
  </si>
  <si>
    <t>D-5670</t>
  </si>
  <si>
    <t>D-5671</t>
  </si>
  <si>
    <t>D-5672</t>
  </si>
  <si>
    <t>D-5673</t>
  </si>
  <si>
    <t>D-5674</t>
  </si>
  <si>
    <t>D-5675</t>
  </si>
  <si>
    <t>D-5676</t>
  </si>
  <si>
    <t>D-5677</t>
  </si>
  <si>
    <t>D-5678</t>
  </si>
  <si>
    <t>D-5679</t>
  </si>
  <si>
    <t>D-5680</t>
  </si>
  <si>
    <t>D-5681</t>
  </si>
  <si>
    <t>D-5682</t>
  </si>
  <si>
    <t>D-5683</t>
  </si>
  <si>
    <t>D-5684</t>
  </si>
  <si>
    <t>D-5685</t>
  </si>
  <si>
    <t>D-5686</t>
  </si>
  <si>
    <t>D-5687</t>
  </si>
  <si>
    <t>D-5688</t>
  </si>
  <si>
    <t>D-5689</t>
  </si>
  <si>
    <t>D-5690</t>
  </si>
  <si>
    <t>D-5691</t>
  </si>
  <si>
    <t>(754)BENITO MOLEROS</t>
  </si>
  <si>
    <t>D-5692</t>
  </si>
  <si>
    <t>D-5693</t>
  </si>
  <si>
    <t>D-5694</t>
  </si>
  <si>
    <t>D-5695</t>
  </si>
  <si>
    <t>D-5696</t>
  </si>
  <si>
    <t>D-5697</t>
  </si>
  <si>
    <t xml:space="preserve">TOTAL  </t>
  </si>
  <si>
    <t>30-Jul-22--1-Ago-22</t>
  </si>
  <si>
    <t>31-Jul-22--1-Ago-22</t>
  </si>
  <si>
    <t>1-Ago-22--2-Ago-22</t>
  </si>
  <si>
    <t>28-Jul-22--3-Ago-22</t>
  </si>
  <si>
    <t>1-Ago-22--2-Ago-22--3-Ago-22</t>
  </si>
  <si>
    <t>1-Ago-22--3-Ago-22</t>
  </si>
  <si>
    <t>31-Jul-22--5-Ago-22</t>
  </si>
  <si>
    <r>
      <t xml:space="preserve">(717)ALFREDO RAMIREZ  </t>
    </r>
    <r>
      <rPr>
        <b/>
        <sz val="12"/>
        <color rgb="FFFF0000"/>
        <rFont val="Calibri"/>
        <family val="2"/>
        <scheme val="minor"/>
      </rPr>
      <t>CANCELADA</t>
    </r>
  </si>
  <si>
    <t>6-Ago-22--10-Ago-22--11-Ago-22</t>
  </si>
  <si>
    <t>4-Jul-22---12-Jul-22--13-Jul-22--23-Jul-22--4-Ago-22--12-Ago-22</t>
  </si>
  <si>
    <t>5-Ago-22--12-Ago-22</t>
  </si>
  <si>
    <t>25-May-22--28-Jun-22--13-Ago-22</t>
  </si>
  <si>
    <t>5-Ago-22--13-Ago-22</t>
  </si>
  <si>
    <t>13-Ago-22--16-Ago-22</t>
  </si>
  <si>
    <t>16-Ago-22--19-Ago-22</t>
  </si>
  <si>
    <t>30-Jul-22--19-Ago-22</t>
  </si>
  <si>
    <t>16-Jul-22--20-Jul-22--01-Ago-22--10-Ago-22--17-Ago-22--22-Ago-22</t>
  </si>
  <si>
    <t>15-Ene-22--17-Ene-22--9-Feb-22--23-Mar-22--29-Mar-22--11-May-22--12-May-22--21-May-22--2-Jul-22--6-Jul-22--9-Jul-22--23-Ago-22------</t>
  </si>
  <si>
    <t>27-Jul-22--26-Ago-22</t>
  </si>
  <si>
    <t>D-5698</t>
  </si>
  <si>
    <t>D-5699</t>
  </si>
  <si>
    <t>D-5700</t>
  </si>
  <si>
    <t>3-Ago-22--4-Ago-22</t>
  </si>
  <si>
    <t>D-5701</t>
  </si>
  <si>
    <t>D-5702</t>
  </si>
  <si>
    <t>D-5703</t>
  </si>
  <si>
    <t>D-5704</t>
  </si>
  <si>
    <t>D-5705</t>
  </si>
  <si>
    <t>D-5706</t>
  </si>
  <si>
    <t>D-5707</t>
  </si>
  <si>
    <t>D-5708</t>
  </si>
  <si>
    <t>2-Ago-22--3-Ago-22</t>
  </si>
  <si>
    <t>D-5709</t>
  </si>
  <si>
    <t>D-5710</t>
  </si>
  <si>
    <t>D-5711</t>
  </si>
  <si>
    <t>D-5712</t>
  </si>
  <si>
    <t>D-5713</t>
  </si>
  <si>
    <t>D-5714</t>
  </si>
  <si>
    <t>D-5715</t>
  </si>
  <si>
    <t>D-5716</t>
  </si>
  <si>
    <t>Se sustituye x la  5723 D</t>
  </si>
  <si>
    <t>D-5717</t>
  </si>
  <si>
    <t>D-5718</t>
  </si>
  <si>
    <t>D-5719</t>
  </si>
  <si>
    <t>D-5720</t>
  </si>
  <si>
    <t>D-5721</t>
  </si>
  <si>
    <t>D-5722</t>
  </si>
  <si>
    <t>D-5723</t>
  </si>
  <si>
    <t>D-5724</t>
  </si>
  <si>
    <t>D-5725</t>
  </si>
  <si>
    <t>D-5726</t>
  </si>
  <si>
    <t>D-5727</t>
  </si>
  <si>
    <t>D-5728</t>
  </si>
  <si>
    <t>D-5729</t>
  </si>
  <si>
    <t>D-5730</t>
  </si>
  <si>
    <t>D-5731</t>
  </si>
  <si>
    <t>D-5732</t>
  </si>
  <si>
    <t>D-5733</t>
  </si>
  <si>
    <t>D-5734</t>
  </si>
  <si>
    <t>D-5735</t>
  </si>
  <si>
    <t>D-5736</t>
  </si>
  <si>
    <t>D-5737</t>
  </si>
  <si>
    <t>D-5738</t>
  </si>
  <si>
    <t>D-5739</t>
  </si>
  <si>
    <t>D-5740</t>
  </si>
  <si>
    <t>D-5741</t>
  </si>
  <si>
    <t>D-5742</t>
  </si>
  <si>
    <t>D-5743</t>
  </si>
  <si>
    <t>D-5744</t>
  </si>
  <si>
    <t>D-5745</t>
  </si>
  <si>
    <t>D-5746</t>
  </si>
  <si>
    <t>D-5747</t>
  </si>
  <si>
    <t>D-5748</t>
  </si>
  <si>
    <t>D-5749</t>
  </si>
  <si>
    <t>D-5750</t>
  </si>
  <si>
    <t>D-5751</t>
  </si>
  <si>
    <r>
      <t xml:space="preserve">(449)MOISES ARCE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</si>
  <si>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sustituye x la  5754 D</t>
  </si>
  <si>
    <t>D-5752</t>
  </si>
  <si>
    <t>D-5753</t>
  </si>
  <si>
    <t>D-5754</t>
  </si>
  <si>
    <t>D-5755</t>
  </si>
  <si>
    <t>D-5756</t>
  </si>
  <si>
    <t>D-5757</t>
  </si>
  <si>
    <t>D-5758</t>
  </si>
  <si>
    <t>D-5759</t>
  </si>
  <si>
    <t>D-5760</t>
  </si>
  <si>
    <t>D-5761</t>
  </si>
  <si>
    <t>D-5762</t>
  </si>
  <si>
    <t>D-5763</t>
  </si>
  <si>
    <t>D-5764</t>
  </si>
  <si>
    <t>D-5765</t>
  </si>
  <si>
    <t>D-5766</t>
  </si>
  <si>
    <t>D-5767</t>
  </si>
  <si>
    <t>D-5768</t>
  </si>
  <si>
    <t>D-5769</t>
  </si>
  <si>
    <t>D-5770</t>
  </si>
  <si>
    <t>D-5771</t>
  </si>
  <si>
    <t>D-5772</t>
  </si>
  <si>
    <t>D-5773</t>
  </si>
  <si>
    <t>D-5774</t>
  </si>
  <si>
    <t>D-5775</t>
  </si>
  <si>
    <t>D-5776</t>
  </si>
  <si>
    <t>D-5777</t>
  </si>
  <si>
    <t>D-5778</t>
  </si>
  <si>
    <t>D-5779</t>
  </si>
  <si>
    <t>D-5780</t>
  </si>
  <si>
    <t>D-5781</t>
  </si>
  <si>
    <r>
      <t xml:space="preserve">(710)ERIK   </t>
    </r>
    <r>
      <rPr>
        <b/>
        <sz val="12"/>
        <color rgb="FFFF0000"/>
        <rFont val="Calibri"/>
        <family val="2"/>
        <scheme val="minor"/>
      </rPr>
      <t>CANCELADA</t>
    </r>
  </si>
  <si>
    <t>Se sustituyo x la  5782 D</t>
  </si>
  <si>
    <t>D-5782</t>
  </si>
  <si>
    <t>D-5783</t>
  </si>
  <si>
    <t>D-5784</t>
  </si>
  <si>
    <t>D-5785</t>
  </si>
  <si>
    <t>D-5786</t>
  </si>
  <si>
    <t>D-5787</t>
  </si>
  <si>
    <t>D-5788</t>
  </si>
  <si>
    <t>D-5789</t>
  </si>
  <si>
    <t>D-5790</t>
  </si>
  <si>
    <t>D-5791</t>
  </si>
  <si>
    <t>D-5792</t>
  </si>
  <si>
    <t>D-5793</t>
  </si>
  <si>
    <t>D-5794</t>
  </si>
  <si>
    <t>D-5795</t>
  </si>
  <si>
    <t>D-5796</t>
  </si>
  <si>
    <t>D-5797</t>
  </si>
  <si>
    <t>D-5798</t>
  </si>
  <si>
    <t>D-5799</t>
  </si>
  <si>
    <t>D-5800</t>
  </si>
  <si>
    <t>D-5801</t>
  </si>
  <si>
    <t>D-5802</t>
  </si>
  <si>
    <t>D-5803</t>
  </si>
  <si>
    <t>D-5804</t>
  </si>
  <si>
    <t>9-Ago-22--13-Ago-22</t>
  </si>
  <si>
    <t>D-5805</t>
  </si>
  <si>
    <t>D-5806</t>
  </si>
  <si>
    <t>D-5807</t>
  </si>
  <si>
    <t>D-5808</t>
  </si>
  <si>
    <t>D-5809</t>
  </si>
  <si>
    <t>D-5810</t>
  </si>
  <si>
    <t>D-5811</t>
  </si>
  <si>
    <t>D-5812</t>
  </si>
  <si>
    <t>D-5813</t>
  </si>
  <si>
    <t>D-5814</t>
  </si>
  <si>
    <t>D-5815</t>
  </si>
  <si>
    <t>D-5816</t>
  </si>
  <si>
    <t>D-5817</t>
  </si>
  <si>
    <t>D-5818</t>
  </si>
  <si>
    <t>D-5819</t>
  </si>
  <si>
    <t>D-5820</t>
  </si>
  <si>
    <t>D-5821</t>
  </si>
  <si>
    <t>D-5822</t>
  </si>
  <si>
    <t>D-5823</t>
  </si>
  <si>
    <t>D-5824</t>
  </si>
  <si>
    <t>(907)ANDRES ARCE</t>
  </si>
  <si>
    <t>D-5825</t>
  </si>
  <si>
    <t>D-5826</t>
  </si>
  <si>
    <t>D-5827</t>
  </si>
  <si>
    <t>D-5828</t>
  </si>
  <si>
    <t>D-5829</t>
  </si>
  <si>
    <t>D-5830</t>
  </si>
  <si>
    <t>D-5831</t>
  </si>
  <si>
    <t>D-5832</t>
  </si>
  <si>
    <t>D-5833</t>
  </si>
  <si>
    <t>D-5834</t>
  </si>
  <si>
    <t>D-5835</t>
  </si>
  <si>
    <t>D-5836</t>
  </si>
  <si>
    <t>D-5837</t>
  </si>
  <si>
    <t>D-5838</t>
  </si>
  <si>
    <t>D-5839</t>
  </si>
  <si>
    <t>D-5840</t>
  </si>
  <si>
    <t>D-5841</t>
  </si>
  <si>
    <t>D-5842</t>
  </si>
  <si>
    <t>D-5843</t>
  </si>
  <si>
    <t>D-5844</t>
  </si>
  <si>
    <t>D-5845</t>
  </si>
  <si>
    <t>D-5846</t>
  </si>
  <si>
    <t>D-5847</t>
  </si>
  <si>
    <t>D-5848</t>
  </si>
  <si>
    <t>D-5849</t>
  </si>
  <si>
    <t>D-5850</t>
  </si>
  <si>
    <t>D-5851</t>
  </si>
  <si>
    <t>D-5852</t>
  </si>
  <si>
    <t>D-5853</t>
  </si>
  <si>
    <t>D-5854</t>
  </si>
  <si>
    <t>D-5855</t>
  </si>
  <si>
    <t>D-5856</t>
  </si>
  <si>
    <t>D-5857</t>
  </si>
  <si>
    <t>D-5858</t>
  </si>
  <si>
    <t>D-5859</t>
  </si>
  <si>
    <t>D-5860</t>
  </si>
  <si>
    <t>D-5861</t>
  </si>
  <si>
    <t>D-5862</t>
  </si>
  <si>
    <t>D-5863</t>
  </si>
  <si>
    <t>D-5864</t>
  </si>
  <si>
    <t>D-5865</t>
  </si>
  <si>
    <t>D-5866</t>
  </si>
  <si>
    <t>D-5867</t>
  </si>
  <si>
    <t>D-5868</t>
  </si>
  <si>
    <t>D-5869</t>
  </si>
  <si>
    <t>D-5870</t>
  </si>
  <si>
    <t>D-5871</t>
  </si>
  <si>
    <t>D-5872</t>
  </si>
  <si>
    <t>D-5873</t>
  </si>
  <si>
    <t>D-5874</t>
  </si>
  <si>
    <t>D-5875</t>
  </si>
  <si>
    <t>D-5876</t>
  </si>
  <si>
    <t>D-5877</t>
  </si>
  <si>
    <t>D-5878</t>
  </si>
  <si>
    <t>D-5879</t>
  </si>
  <si>
    <t>D-5880</t>
  </si>
  <si>
    <t>D-5881</t>
  </si>
  <si>
    <t>D-5882</t>
  </si>
  <si>
    <t>D-5883</t>
  </si>
  <si>
    <t>D-5884</t>
  </si>
  <si>
    <t>D-5885</t>
  </si>
  <si>
    <t>D-5886</t>
  </si>
  <si>
    <t>D-5887</t>
  </si>
  <si>
    <t>D-5888</t>
  </si>
  <si>
    <t>D-5889</t>
  </si>
  <si>
    <t>D-5890</t>
  </si>
  <si>
    <t>D-5891</t>
  </si>
  <si>
    <t>D-5892</t>
  </si>
  <si>
    <t>D-5893</t>
  </si>
  <si>
    <t>D-5894</t>
  </si>
  <si>
    <t>D-5895</t>
  </si>
  <si>
    <t>D-5896</t>
  </si>
  <si>
    <t>D-5897</t>
  </si>
  <si>
    <t>D-5898</t>
  </si>
  <si>
    <t>D-5899</t>
  </si>
  <si>
    <t>D-5900</t>
  </si>
  <si>
    <t>D-5901</t>
  </si>
  <si>
    <t>D-5902</t>
  </si>
  <si>
    <r>
      <t>(266)CRISTIAN-GRACIELA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</si>
  <si>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D-5903</t>
  </si>
  <si>
    <t>D-5904</t>
  </si>
  <si>
    <t>D-5905</t>
  </si>
  <si>
    <t>D-5906</t>
  </si>
  <si>
    <t>D-5907</t>
  </si>
  <si>
    <t>D-5908</t>
  </si>
  <si>
    <t>D-5909</t>
  </si>
  <si>
    <t>D-5910</t>
  </si>
  <si>
    <t>D-5911</t>
  </si>
  <si>
    <t>D-5912</t>
  </si>
  <si>
    <t>D-5913</t>
  </si>
  <si>
    <t>D-5914</t>
  </si>
  <si>
    <t>D-5915</t>
  </si>
  <si>
    <t>D-5916</t>
  </si>
  <si>
    <t>D-5917</t>
  </si>
  <si>
    <t>D-5918</t>
  </si>
  <si>
    <t>D-5919</t>
  </si>
  <si>
    <t>D-5920</t>
  </si>
  <si>
    <t>D-5921</t>
  </si>
  <si>
    <t>D-5922</t>
  </si>
  <si>
    <t>4-Ago-22--5-Ago-22</t>
  </si>
  <si>
    <t>D-5923</t>
  </si>
  <si>
    <t>D-5924</t>
  </si>
  <si>
    <t>D-5925</t>
  </si>
  <si>
    <t>D-5926</t>
  </si>
  <si>
    <t>D-5927</t>
  </si>
  <si>
    <t>D-5928</t>
  </si>
  <si>
    <t>D-5929</t>
  </si>
  <si>
    <t>D-5930</t>
  </si>
  <si>
    <t>D-5931</t>
  </si>
  <si>
    <t>D-5932</t>
  </si>
  <si>
    <t>D-5933</t>
  </si>
  <si>
    <t>D-5934</t>
  </si>
  <si>
    <t>D-5935</t>
  </si>
  <si>
    <t>D-5936</t>
  </si>
  <si>
    <t>D-5937</t>
  </si>
  <si>
    <t>D-5938</t>
  </si>
  <si>
    <t>D-5939</t>
  </si>
  <si>
    <t>D-5940</t>
  </si>
  <si>
    <t>D-5941</t>
  </si>
  <si>
    <t>D-5942</t>
  </si>
  <si>
    <t>D-5943</t>
  </si>
  <si>
    <t>D-5944</t>
  </si>
  <si>
    <t>D-5945</t>
  </si>
  <si>
    <t>D-5946</t>
  </si>
  <si>
    <t>D-5947</t>
  </si>
  <si>
    <t>D-5948</t>
  </si>
  <si>
    <t>D-5949</t>
  </si>
  <si>
    <t>D-5950</t>
  </si>
  <si>
    <t>D-5951</t>
  </si>
  <si>
    <t>D-5952</t>
  </si>
  <si>
    <t>D-5953</t>
  </si>
  <si>
    <t>D-5954</t>
  </si>
  <si>
    <t>D-5955</t>
  </si>
  <si>
    <t>D-5956</t>
  </si>
  <si>
    <t>D-5957</t>
  </si>
  <si>
    <t>D-5958</t>
  </si>
  <si>
    <t>D-5959</t>
  </si>
  <si>
    <t>D-5960</t>
  </si>
  <si>
    <t>D-5961</t>
  </si>
  <si>
    <t>D-5962</t>
  </si>
  <si>
    <t>D-5963</t>
  </si>
  <si>
    <t>D-5964</t>
  </si>
  <si>
    <t>D-5965</t>
  </si>
  <si>
    <t>D-5966</t>
  </si>
  <si>
    <t>D-5967</t>
  </si>
  <si>
    <t>D-5968</t>
  </si>
  <si>
    <t>D-5969</t>
  </si>
  <si>
    <r>
      <t xml:space="preserve">(623)COMPAITO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</si>
  <si>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5984 D</t>
  </si>
  <si>
    <t>D-5970</t>
  </si>
  <si>
    <t>D-5971</t>
  </si>
  <si>
    <t>D-5972</t>
  </si>
  <si>
    <t>D-5973</t>
  </si>
  <si>
    <t>D-5974</t>
  </si>
  <si>
    <t>D-5975</t>
  </si>
  <si>
    <r>
      <t xml:space="preserve">(749)TEODORO GAMEZ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</si>
  <si>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5976 D</t>
  </si>
  <si>
    <t>D-5976</t>
  </si>
  <si>
    <t>D-5977</t>
  </si>
  <si>
    <t>D-5978</t>
  </si>
  <si>
    <t>D-5979</t>
  </si>
  <si>
    <t>D-5980</t>
  </si>
  <si>
    <t>D-5981</t>
  </si>
  <si>
    <t>D-5982</t>
  </si>
  <si>
    <t>D-5983</t>
  </si>
  <si>
    <t>D-5984</t>
  </si>
  <si>
    <t>D-5985</t>
  </si>
  <si>
    <t>D-5986</t>
  </si>
  <si>
    <t>D-5987</t>
  </si>
  <si>
    <t>D-5988</t>
  </si>
  <si>
    <t>D-5989</t>
  </si>
  <si>
    <t>D-5990</t>
  </si>
  <si>
    <t>D-5991</t>
  </si>
  <si>
    <t>D-5992</t>
  </si>
  <si>
    <t>D-5993</t>
  </si>
  <si>
    <t>D-5994</t>
  </si>
  <si>
    <t>D-5995</t>
  </si>
  <si>
    <t>5-Ago-22--6-Ago-22</t>
  </si>
  <si>
    <t>D-5996</t>
  </si>
  <si>
    <t>D-5997</t>
  </si>
  <si>
    <t>D-5998</t>
  </si>
  <si>
    <t>D-5999</t>
  </si>
  <si>
    <t>D-6000</t>
  </si>
  <si>
    <t>D-6001</t>
  </si>
  <si>
    <t>D-6002</t>
  </si>
  <si>
    <t>D-6003</t>
  </si>
  <si>
    <t>D-6004</t>
  </si>
  <si>
    <t>D-6005</t>
  </si>
  <si>
    <t>D-6006</t>
  </si>
  <si>
    <t>D-6007</t>
  </si>
  <si>
    <t>D-6008</t>
  </si>
  <si>
    <t>19-Ago-22--26-Ago-22</t>
  </si>
  <si>
    <t>D-6009</t>
  </si>
  <si>
    <t>D-6010</t>
  </si>
  <si>
    <t>D-6011</t>
  </si>
  <si>
    <r>
      <t xml:space="preserve">(728)MANUEL MOTA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</si>
  <si>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6012D</t>
  </si>
  <si>
    <t>D-6012</t>
  </si>
  <si>
    <t>D-6013</t>
  </si>
  <si>
    <t>D-6014</t>
  </si>
  <si>
    <t>D-6015</t>
  </si>
  <si>
    <t>D-6016</t>
  </si>
  <si>
    <t>D-6017</t>
  </si>
  <si>
    <t>D-6018</t>
  </si>
  <si>
    <t>D-6019</t>
  </si>
  <si>
    <t>D-6020</t>
  </si>
  <si>
    <t>D-6021</t>
  </si>
  <si>
    <t>D-6022</t>
  </si>
  <si>
    <t>D-6023</t>
  </si>
  <si>
    <t>D-6024</t>
  </si>
  <si>
    <t>D-6025</t>
  </si>
  <si>
    <t>D-6026</t>
  </si>
  <si>
    <t>D-6027</t>
  </si>
  <si>
    <t>D-6028</t>
  </si>
  <si>
    <t>D-6029</t>
  </si>
  <si>
    <t>D-6030</t>
  </si>
  <si>
    <t>D-6031</t>
  </si>
  <si>
    <t>D-6032</t>
  </si>
  <si>
    <t>D-6033</t>
  </si>
  <si>
    <t>D-6034</t>
  </si>
  <si>
    <t>D-6035</t>
  </si>
  <si>
    <t>D-6036</t>
  </si>
  <si>
    <t>D-6037</t>
  </si>
  <si>
    <t>D-6038</t>
  </si>
  <si>
    <t>D-6039</t>
  </si>
  <si>
    <t>D-6040</t>
  </si>
  <si>
    <t>D-6041</t>
  </si>
  <si>
    <t>D-6042</t>
  </si>
  <si>
    <t>D-6043</t>
  </si>
  <si>
    <t>D-6044</t>
  </si>
  <si>
    <t>D-6045</t>
  </si>
  <si>
    <t>D-6046</t>
  </si>
  <si>
    <t>D-6047</t>
  </si>
  <si>
    <t>D-6048</t>
  </si>
  <si>
    <t>D-6049</t>
  </si>
  <si>
    <t>D-6050</t>
  </si>
  <si>
    <t>D-6051</t>
  </si>
  <si>
    <t>D-6052</t>
  </si>
  <si>
    <r>
      <t xml:space="preserve">(701)JULIO CESAR  GONZALEZ  </t>
    </r>
    <r>
      <rPr>
        <b/>
        <sz val="12"/>
        <color rgb="FFFF0000"/>
        <rFont val="Calibri"/>
        <family val="2"/>
        <scheme val="minor"/>
      </rPr>
      <t>CANCELADA</t>
    </r>
  </si>
  <si>
    <t>se sustituyo x la 6053 D</t>
  </si>
  <si>
    <t>D-6053</t>
  </si>
  <si>
    <t>D-6054</t>
  </si>
  <si>
    <t>D-6055</t>
  </si>
  <si>
    <t>D-6056</t>
  </si>
  <si>
    <t>D-6057</t>
  </si>
  <si>
    <t>D-6058</t>
  </si>
  <si>
    <t>D-6059</t>
  </si>
  <si>
    <t>D-6060</t>
  </si>
  <si>
    <t>D-6061</t>
  </si>
  <si>
    <t>D-6062</t>
  </si>
  <si>
    <t>D-6063</t>
  </si>
  <si>
    <t>D-6064</t>
  </si>
  <si>
    <t>D-6065</t>
  </si>
  <si>
    <t>D-6066</t>
  </si>
  <si>
    <t>D-6067</t>
  </si>
  <si>
    <t>D-6068</t>
  </si>
  <si>
    <t>D-6069</t>
  </si>
  <si>
    <t>D-6070</t>
  </si>
  <si>
    <t>D-6071</t>
  </si>
  <si>
    <t>D-6072</t>
  </si>
  <si>
    <t>D-6073</t>
  </si>
  <si>
    <t>D-6074</t>
  </si>
  <si>
    <t>D-6075</t>
  </si>
  <si>
    <t>D-6076</t>
  </si>
  <si>
    <t>D-6077</t>
  </si>
  <si>
    <t>D-6078</t>
  </si>
  <si>
    <t>D-6079</t>
  </si>
  <si>
    <t>D-6080</t>
  </si>
  <si>
    <t>D-6081</t>
  </si>
  <si>
    <t>D-6082</t>
  </si>
  <si>
    <t>D-6083</t>
  </si>
  <si>
    <t>D-6084</t>
  </si>
  <si>
    <t>D-6085</t>
  </si>
  <si>
    <t>D-6086</t>
  </si>
  <si>
    <t>D-6087</t>
  </si>
  <si>
    <t>D-6088</t>
  </si>
  <si>
    <t>D-6089</t>
  </si>
  <si>
    <t>D-6090</t>
  </si>
  <si>
    <t>D-6091</t>
  </si>
  <si>
    <t>D-6092</t>
  </si>
  <si>
    <t>D-6093</t>
  </si>
  <si>
    <t>D-6094</t>
  </si>
  <si>
    <t>D-6095</t>
  </si>
  <si>
    <t>D-6096</t>
  </si>
  <si>
    <t>D-6097</t>
  </si>
  <si>
    <t>D-6098</t>
  </si>
  <si>
    <t>D-6099</t>
  </si>
  <si>
    <t>D-6100</t>
  </si>
  <si>
    <t>D-6101</t>
  </si>
  <si>
    <t>D-6102</t>
  </si>
  <si>
    <t>D-6103</t>
  </si>
  <si>
    <t>D-6104</t>
  </si>
  <si>
    <t>D-6105</t>
  </si>
  <si>
    <t>6-Ago-22--8-Ago-22</t>
  </si>
  <si>
    <t>D-6106</t>
  </si>
  <si>
    <t>D-6107</t>
  </si>
  <si>
    <t>D-6108</t>
  </si>
  <si>
    <t>D-6109</t>
  </si>
  <si>
    <t>D-6110</t>
  </si>
  <si>
    <t>D-6111</t>
  </si>
  <si>
    <t>D-6112</t>
  </si>
  <si>
    <t>D-6113</t>
  </si>
  <si>
    <t>D-6114</t>
  </si>
  <si>
    <t>D-6115</t>
  </si>
  <si>
    <t>D-6116</t>
  </si>
  <si>
    <t>D-6117</t>
  </si>
  <si>
    <t>D-6118</t>
  </si>
  <si>
    <t>D-6119</t>
  </si>
  <si>
    <t>D-6120</t>
  </si>
  <si>
    <t>D-6121</t>
  </si>
  <si>
    <t>D-6122</t>
  </si>
  <si>
    <t>D-6123</t>
  </si>
  <si>
    <t>D-6124</t>
  </si>
  <si>
    <t>D-6125</t>
  </si>
  <si>
    <t>D-6126</t>
  </si>
  <si>
    <t>D-6127</t>
  </si>
  <si>
    <t>D-6128</t>
  </si>
  <si>
    <t>D-6129</t>
  </si>
  <si>
    <t>D-6130</t>
  </si>
  <si>
    <t>D-6131</t>
  </si>
  <si>
    <t>D-6132</t>
  </si>
  <si>
    <t>D-6133</t>
  </si>
  <si>
    <t>D-6134</t>
  </si>
  <si>
    <t>D-6135</t>
  </si>
  <si>
    <t>D-6136</t>
  </si>
  <si>
    <t>05/08/2022</t>
  </si>
  <si>
    <t>D-6137</t>
  </si>
  <si>
    <r>
      <t xml:space="preserve">(562)SAGRADO CORAZON ZAPATA  </t>
    </r>
    <r>
      <rPr>
        <b/>
        <sz val="12"/>
        <color rgb="FFFF0000"/>
        <rFont val="Calibri"/>
        <family val="2"/>
        <scheme val="minor"/>
      </rPr>
      <t>CANCELADA</t>
    </r>
  </si>
  <si>
    <t>se sustituyo x la 6141 D</t>
  </si>
  <si>
    <t>D-6138</t>
  </si>
  <si>
    <t>D-6139</t>
  </si>
  <si>
    <t>D-6140</t>
  </si>
  <si>
    <t>se sustituyo x la  6143 D</t>
  </si>
  <si>
    <t>D-6141</t>
  </si>
  <si>
    <t>D-6142</t>
  </si>
  <si>
    <t>D-6143</t>
  </si>
  <si>
    <t>D-6144</t>
  </si>
  <si>
    <t>D-6145</t>
  </si>
  <si>
    <t>D-6146</t>
  </si>
  <si>
    <t>D-6147</t>
  </si>
  <si>
    <t>D-6148</t>
  </si>
  <si>
    <t>D-6149</t>
  </si>
  <si>
    <t>D-6150</t>
  </si>
  <si>
    <t>D-6151</t>
  </si>
  <si>
    <t>D-6152</t>
  </si>
  <si>
    <t>se sustituyo x la 6183 D</t>
  </si>
  <si>
    <t>D-6153</t>
  </si>
  <si>
    <t>D-6154</t>
  </si>
  <si>
    <t>D-6155</t>
  </si>
  <si>
    <t>D-6156</t>
  </si>
  <si>
    <t>D-6157</t>
  </si>
  <si>
    <t>D-6158</t>
  </si>
  <si>
    <t>D-6159</t>
  </si>
  <si>
    <t>D-6160</t>
  </si>
  <si>
    <t>D-6161</t>
  </si>
  <si>
    <t>D-6162</t>
  </si>
  <si>
    <t>D-6163</t>
  </si>
  <si>
    <t>D-6164</t>
  </si>
  <si>
    <t>D-6165</t>
  </si>
  <si>
    <t>D-6166</t>
  </si>
  <si>
    <r>
      <t xml:space="preserve">(610)BRAULIO APANGO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</si>
  <si>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6167 D</t>
  </si>
  <si>
    <t>D-6167</t>
  </si>
  <si>
    <t>D-6168</t>
  </si>
  <si>
    <t>D-6169</t>
  </si>
  <si>
    <t>D-6170</t>
  </si>
  <si>
    <t>D-6171</t>
  </si>
  <si>
    <t>D-6172</t>
  </si>
  <si>
    <t>D-6173</t>
  </si>
  <si>
    <t>D-6174</t>
  </si>
  <si>
    <t>D-6175</t>
  </si>
  <si>
    <t>D-6176</t>
  </si>
  <si>
    <t>D-6177</t>
  </si>
  <si>
    <t>D-6178</t>
  </si>
  <si>
    <t>D-6179</t>
  </si>
  <si>
    <t>D-6180</t>
  </si>
  <si>
    <t>D-6181</t>
  </si>
  <si>
    <t>D-6182</t>
  </si>
  <si>
    <t>D-6183</t>
  </si>
  <si>
    <t>D-6184</t>
  </si>
  <si>
    <t>D-6185</t>
  </si>
  <si>
    <t>D-6186</t>
  </si>
  <si>
    <t>D-6187</t>
  </si>
  <si>
    <t>D-6188</t>
  </si>
  <si>
    <t>D-6189</t>
  </si>
  <si>
    <t>D-6190</t>
  </si>
  <si>
    <t>D-6191</t>
  </si>
  <si>
    <t>D-6192</t>
  </si>
  <si>
    <t>D-6193</t>
  </si>
  <si>
    <t>D-6194</t>
  </si>
  <si>
    <t>D-6195</t>
  </si>
  <si>
    <t>D-6196</t>
  </si>
  <si>
    <t>D-6197</t>
  </si>
  <si>
    <t>D-6198</t>
  </si>
  <si>
    <t>D-6199</t>
  </si>
  <si>
    <t>D-6200</t>
  </si>
  <si>
    <t>D-6201</t>
  </si>
  <si>
    <t>D-6202</t>
  </si>
  <si>
    <t>D-6203</t>
  </si>
  <si>
    <t>D-6204</t>
  </si>
  <si>
    <t>D-6205</t>
  </si>
  <si>
    <t>D-6206</t>
  </si>
  <si>
    <t>D-6207</t>
  </si>
  <si>
    <t>D-6208</t>
  </si>
  <si>
    <t>D-6209</t>
  </si>
  <si>
    <t>D-6210</t>
  </si>
  <si>
    <t>D-6211</t>
  </si>
  <si>
    <t>D-6212</t>
  </si>
  <si>
    <t>7-Ago-22--8-Ago-22</t>
  </si>
  <si>
    <t>D-6213</t>
  </si>
  <si>
    <t>D-6214</t>
  </si>
  <si>
    <t>D-6215</t>
  </si>
  <si>
    <t>D-6216</t>
  </si>
  <si>
    <t>D-6217</t>
  </si>
  <si>
    <t>D-6218</t>
  </si>
  <si>
    <t>D-6219</t>
  </si>
  <si>
    <t>D-6220</t>
  </si>
  <si>
    <t>D-6221</t>
  </si>
  <si>
    <t>D-6222</t>
  </si>
  <si>
    <t>D-6223</t>
  </si>
  <si>
    <t>D-6224</t>
  </si>
  <si>
    <t>D-6225</t>
  </si>
  <si>
    <t>D-6226</t>
  </si>
  <si>
    <t>D-6227</t>
  </si>
  <si>
    <t>8-Ago-22--9-Ago-22</t>
  </si>
  <si>
    <t>D-6228</t>
  </si>
  <si>
    <t>D-6229</t>
  </si>
  <si>
    <t>8-Ago-22--9-Ago-22--10-Ago-22</t>
  </si>
  <si>
    <t>D-6230</t>
  </si>
  <si>
    <t>D-6231</t>
  </si>
  <si>
    <t>D-6232</t>
  </si>
  <si>
    <t>D-6233</t>
  </si>
  <si>
    <t>D-6234</t>
  </si>
  <si>
    <t>D-6235</t>
  </si>
  <si>
    <t>D-6236</t>
  </si>
  <si>
    <t>D-6237</t>
  </si>
  <si>
    <t>D-6238</t>
  </si>
  <si>
    <t>D-6239</t>
  </si>
  <si>
    <t>D-6240</t>
  </si>
  <si>
    <t>D-6241</t>
  </si>
  <si>
    <t>D-6242</t>
  </si>
  <si>
    <t>D-6243</t>
  </si>
  <si>
    <t>D-6244</t>
  </si>
  <si>
    <t>D-6245</t>
  </si>
  <si>
    <t>D-6246</t>
  </si>
  <si>
    <t>D-6247</t>
  </si>
  <si>
    <t>D-6248</t>
  </si>
  <si>
    <t>D-6249</t>
  </si>
  <si>
    <t>D-6250</t>
  </si>
  <si>
    <t>D-6251</t>
  </si>
  <si>
    <t>D-6252</t>
  </si>
  <si>
    <t>D-6253</t>
  </si>
  <si>
    <t>D-6254</t>
  </si>
  <si>
    <t>D-6255</t>
  </si>
  <si>
    <t>D-6256</t>
  </si>
  <si>
    <t>D-6257</t>
  </si>
  <si>
    <t>D-6258</t>
  </si>
  <si>
    <t>D-6259</t>
  </si>
  <si>
    <t>D-6260</t>
  </si>
  <si>
    <t>D-6261</t>
  </si>
  <si>
    <t>D-6262</t>
  </si>
  <si>
    <t>D-6263</t>
  </si>
  <si>
    <t>D-6264</t>
  </si>
  <si>
    <t>D-6265</t>
  </si>
  <si>
    <t>D-6266</t>
  </si>
  <si>
    <t>D-6267</t>
  </si>
  <si>
    <r>
      <t>(225)ABASTOS DE 4 CARNES SA DE CV SUC. HERRADURA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</si>
  <si>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D-6268</t>
  </si>
  <si>
    <t>D-6269</t>
  </si>
  <si>
    <t>D-6270</t>
  </si>
  <si>
    <t>D-6271</t>
  </si>
  <si>
    <t>D-6272</t>
  </si>
  <si>
    <t>D-6273</t>
  </si>
  <si>
    <t>D-6274</t>
  </si>
  <si>
    <t>D-6275</t>
  </si>
  <si>
    <t>D-6276</t>
  </si>
  <si>
    <t>D-6277</t>
  </si>
  <si>
    <t>D-6278</t>
  </si>
  <si>
    <t>D-6279</t>
  </si>
  <si>
    <t>D-6280</t>
  </si>
  <si>
    <t>D-6281</t>
  </si>
  <si>
    <t>D-6282</t>
  </si>
  <si>
    <t>D-6283</t>
  </si>
  <si>
    <t>D-6284</t>
  </si>
  <si>
    <t>D-6285</t>
  </si>
  <si>
    <t>D-6286</t>
  </si>
  <si>
    <t>D-6287</t>
  </si>
  <si>
    <t>D-6288</t>
  </si>
  <si>
    <t>D-6289</t>
  </si>
  <si>
    <t>D-6290</t>
  </si>
  <si>
    <t>D-6291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</si>
  <si>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</si>
  <si>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D-6292</t>
  </si>
  <si>
    <t>D-6293</t>
  </si>
  <si>
    <t>D-6294</t>
  </si>
  <si>
    <t>D-6295</t>
  </si>
  <si>
    <t>D-6296</t>
  </si>
  <si>
    <t>D-6297</t>
  </si>
  <si>
    <t>D-6298</t>
  </si>
  <si>
    <t>D-6299</t>
  </si>
  <si>
    <t>D-6300</t>
  </si>
  <si>
    <t>D-6301</t>
  </si>
  <si>
    <t>D-6302</t>
  </si>
  <si>
    <t>D-6303</t>
  </si>
  <si>
    <t>D-6304</t>
  </si>
  <si>
    <t>D-6305</t>
  </si>
  <si>
    <t>D-6306</t>
  </si>
  <si>
    <t>D-6307</t>
  </si>
  <si>
    <t>D-6308</t>
  </si>
  <si>
    <t>D-6309</t>
  </si>
  <si>
    <t>D-6310</t>
  </si>
  <si>
    <t>D-6311</t>
  </si>
  <si>
    <t>D-6312</t>
  </si>
  <si>
    <t>D-6313</t>
  </si>
  <si>
    <t>D-6314</t>
  </si>
  <si>
    <t>D-6315</t>
  </si>
  <si>
    <t>D-6316</t>
  </si>
  <si>
    <t>D-6317</t>
  </si>
  <si>
    <t>D-6318</t>
  </si>
  <si>
    <t>D-6319</t>
  </si>
  <si>
    <t>D-6320</t>
  </si>
  <si>
    <t>D-6321</t>
  </si>
  <si>
    <t>D-6322</t>
  </si>
  <si>
    <t>D-6323</t>
  </si>
  <si>
    <t>D-6324</t>
  </si>
  <si>
    <t>D-6325</t>
  </si>
  <si>
    <t>D-6326</t>
  </si>
  <si>
    <t>D-6327</t>
  </si>
  <si>
    <t>D-6328</t>
  </si>
  <si>
    <t>D-6329</t>
  </si>
  <si>
    <t>D-6330</t>
  </si>
  <si>
    <t>D-6331</t>
  </si>
  <si>
    <t>D-6332</t>
  </si>
  <si>
    <t>D-6333</t>
  </si>
  <si>
    <t>D-6334</t>
  </si>
  <si>
    <t>D-6335</t>
  </si>
  <si>
    <t>D-6336</t>
  </si>
  <si>
    <t>D-6337</t>
  </si>
  <si>
    <t>D-6338</t>
  </si>
  <si>
    <t>D-6339</t>
  </si>
  <si>
    <t>D-6340</t>
  </si>
  <si>
    <t>D-6341</t>
  </si>
  <si>
    <t>D-6342</t>
  </si>
  <si>
    <t>D-6343</t>
  </si>
  <si>
    <t>D-6344</t>
  </si>
  <si>
    <t>D-6345</t>
  </si>
  <si>
    <t>D-6346</t>
  </si>
  <si>
    <t>D-6347</t>
  </si>
  <si>
    <t>D-6348</t>
  </si>
  <si>
    <t>D-6349</t>
  </si>
  <si>
    <t>D-6350</t>
  </si>
  <si>
    <t>D-6351</t>
  </si>
  <si>
    <t>D-6352</t>
  </si>
  <si>
    <t>D-6353</t>
  </si>
  <si>
    <t>D-6354</t>
  </si>
  <si>
    <t>D-6355</t>
  </si>
  <si>
    <t>D-6356</t>
  </si>
  <si>
    <t>D-6357</t>
  </si>
  <si>
    <t>D-6358</t>
  </si>
  <si>
    <t>D-6359</t>
  </si>
  <si>
    <t>D-6360</t>
  </si>
  <si>
    <t>D-6361</t>
  </si>
  <si>
    <t>D-6362</t>
  </si>
  <si>
    <t>D-6363</t>
  </si>
  <si>
    <t>D-6364</t>
  </si>
  <si>
    <t>D-6365</t>
  </si>
  <si>
    <t>D-6366</t>
  </si>
  <si>
    <t>D-6367</t>
  </si>
  <si>
    <t>10-Ago-22--11-Ago-22</t>
  </si>
  <si>
    <t>D-6368</t>
  </si>
  <si>
    <t>D-6369</t>
  </si>
  <si>
    <t>D-6370</t>
  </si>
  <si>
    <t>D-6371</t>
  </si>
  <si>
    <t>D-6372</t>
  </si>
  <si>
    <t>D-6373</t>
  </si>
  <si>
    <t>D-6374</t>
  </si>
  <si>
    <t>D-6375</t>
  </si>
  <si>
    <t>D-6376</t>
  </si>
  <si>
    <t>D-6377</t>
  </si>
  <si>
    <t>D-6378</t>
  </si>
  <si>
    <t>D-6379</t>
  </si>
  <si>
    <t>D-6380</t>
  </si>
  <si>
    <t>D-6381</t>
  </si>
  <si>
    <t>D-6382</t>
  </si>
  <si>
    <t>D-6383</t>
  </si>
  <si>
    <t>D-6384</t>
  </si>
  <si>
    <t>D-6385</t>
  </si>
  <si>
    <t>D-6386</t>
  </si>
  <si>
    <t>D-6387</t>
  </si>
  <si>
    <t>D-6388</t>
  </si>
  <si>
    <t>D-6389</t>
  </si>
  <si>
    <t>D-6390</t>
  </si>
  <si>
    <t>se sustituyo x la  6391 D</t>
  </si>
  <si>
    <t>D-6391</t>
  </si>
  <si>
    <t>D-6392</t>
  </si>
  <si>
    <t>D-6393</t>
  </si>
  <si>
    <t>D-6394</t>
  </si>
  <si>
    <t>D-6395</t>
  </si>
  <si>
    <t>D-6396</t>
  </si>
  <si>
    <t>9-Ago-22--10-Ago-22</t>
  </si>
  <si>
    <t>D-6397</t>
  </si>
  <si>
    <t>D-6398</t>
  </si>
  <si>
    <t>D-6399</t>
  </si>
  <si>
    <t>D-6400</t>
  </si>
  <si>
    <t>D-6401</t>
  </si>
  <si>
    <t>D-6402</t>
  </si>
  <si>
    <t>D-6403</t>
  </si>
  <si>
    <t>D-6404</t>
  </si>
  <si>
    <t>D-6405</t>
  </si>
  <si>
    <t>D-6406</t>
  </si>
  <si>
    <t>D-6407</t>
  </si>
  <si>
    <t>D-6408</t>
  </si>
  <si>
    <t>D-6409</t>
  </si>
  <si>
    <t>D-6410</t>
  </si>
  <si>
    <t>D-6411</t>
  </si>
  <si>
    <t>D-6412</t>
  </si>
  <si>
    <t>D-6413</t>
  </si>
  <si>
    <t>D-6414</t>
  </si>
  <si>
    <t>D-6415</t>
  </si>
  <si>
    <t>D-6416</t>
  </si>
  <si>
    <t>D-6417</t>
  </si>
  <si>
    <t>D-6418</t>
  </si>
  <si>
    <t>D-6419</t>
  </si>
  <si>
    <t>D-6420</t>
  </si>
  <si>
    <t>D-6421</t>
  </si>
  <si>
    <t>D-6422</t>
  </si>
  <si>
    <t>D-6423</t>
  </si>
  <si>
    <t>D-6424</t>
  </si>
  <si>
    <t>D-6425</t>
  </si>
  <si>
    <t>D-6426</t>
  </si>
  <si>
    <t>D-6427</t>
  </si>
  <si>
    <t>D-6428</t>
  </si>
  <si>
    <t>D-6429</t>
  </si>
  <si>
    <t>D-6430</t>
  </si>
  <si>
    <t>D-6431</t>
  </si>
  <si>
    <t>D-6432</t>
  </si>
  <si>
    <t>D-6433</t>
  </si>
  <si>
    <t>D-6434</t>
  </si>
  <si>
    <t>D-6435</t>
  </si>
  <si>
    <t>D-6436</t>
  </si>
  <si>
    <t>D-6437</t>
  </si>
  <si>
    <t>D-6438</t>
  </si>
  <si>
    <t>D-6439</t>
  </si>
  <si>
    <t>D-6440</t>
  </si>
  <si>
    <t>D-6441</t>
  </si>
  <si>
    <t>D-6442</t>
  </si>
  <si>
    <t>D-6443</t>
  </si>
  <si>
    <t>D-6444</t>
  </si>
  <si>
    <t>D-6445</t>
  </si>
  <si>
    <t>D-6446</t>
  </si>
  <si>
    <t>D-6447</t>
  </si>
  <si>
    <t>D-6448</t>
  </si>
  <si>
    <t>D-6449</t>
  </si>
  <si>
    <t>D-6450</t>
  </si>
  <si>
    <t>D-6451</t>
  </si>
  <si>
    <t>D-6452</t>
  </si>
  <si>
    <t>D-6453</t>
  </si>
  <si>
    <t>D-6454</t>
  </si>
  <si>
    <t>D-6455</t>
  </si>
  <si>
    <t>26-Ago-22------02/09/2022</t>
  </si>
  <si>
    <t>D-6456</t>
  </si>
  <si>
    <t>D-6457</t>
  </si>
  <si>
    <t>D-6458</t>
  </si>
  <si>
    <r>
      <t xml:space="preserve">(34)HILDA LUNA  </t>
    </r>
    <r>
      <rPr>
        <b/>
        <sz val="12"/>
        <color rgb="FFFF0000"/>
        <rFont val="Calibri"/>
        <family val="2"/>
        <scheme val="minor"/>
      </rPr>
      <t>CANCELADA</t>
    </r>
  </si>
  <si>
    <t>se sustituyo x la  6459 D</t>
  </si>
  <si>
    <t>D-6459</t>
  </si>
  <si>
    <t>D-6460</t>
  </si>
  <si>
    <t>D-6461</t>
  </si>
  <si>
    <t>D-6462</t>
  </si>
  <si>
    <t>D-6463</t>
  </si>
  <si>
    <t>D-6464</t>
  </si>
  <si>
    <t>(12)VICENTE ZAMBRANO</t>
  </si>
  <si>
    <t>D-6465</t>
  </si>
  <si>
    <t>D-6466</t>
  </si>
  <si>
    <t>D-6467</t>
  </si>
  <si>
    <t>D-6468</t>
  </si>
  <si>
    <t>D-6469</t>
  </si>
  <si>
    <t>D-6470</t>
  </si>
  <si>
    <t>D-6471</t>
  </si>
  <si>
    <t>D-6472</t>
  </si>
  <si>
    <t>D-6473</t>
  </si>
  <si>
    <t>D-6474</t>
  </si>
  <si>
    <t>D-6475</t>
  </si>
  <si>
    <t>D-6476</t>
  </si>
  <si>
    <t>D-6477</t>
  </si>
  <si>
    <t>D-6478</t>
  </si>
  <si>
    <t>16-Ago-22--20-Ago-22</t>
  </si>
  <si>
    <t>D-6479</t>
  </si>
  <si>
    <t>D-6480</t>
  </si>
  <si>
    <t>D-6481</t>
  </si>
  <si>
    <t>D-6482</t>
  </si>
  <si>
    <t>D-6483</t>
  </si>
  <si>
    <t>D-6484</t>
  </si>
  <si>
    <t>10-Ago-22--11-Ago-22--12-Ago-22----</t>
  </si>
  <si>
    <t>D-6485</t>
  </si>
  <si>
    <t>D-6486</t>
  </si>
  <si>
    <t>D-6487</t>
  </si>
  <si>
    <t>D-6488</t>
  </si>
  <si>
    <t>D-6489</t>
  </si>
  <si>
    <t>D-6490</t>
  </si>
  <si>
    <t>D-6491</t>
  </si>
  <si>
    <t>D-6492</t>
  </si>
  <si>
    <t>D-6493</t>
  </si>
  <si>
    <t>D-6494</t>
  </si>
  <si>
    <t>D-6495</t>
  </si>
  <si>
    <t>D-6496</t>
  </si>
  <si>
    <t>D-6497</t>
  </si>
  <si>
    <t>D-6498</t>
  </si>
  <si>
    <t>D-6499</t>
  </si>
  <si>
    <t>D-6500</t>
  </si>
  <si>
    <t>D-6501</t>
  </si>
  <si>
    <t>D-6502</t>
  </si>
  <si>
    <t>D-6503</t>
  </si>
  <si>
    <t>D-6504</t>
  </si>
  <si>
    <t>D-6505</t>
  </si>
  <si>
    <t>D-6506</t>
  </si>
  <si>
    <t>D-6507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</si>
  <si>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</si>
  <si>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 6509 D</t>
  </si>
  <si>
    <t>D-6508</t>
  </si>
  <si>
    <t>D-6509</t>
  </si>
  <si>
    <t>D-6510</t>
  </si>
  <si>
    <t>D-6511</t>
  </si>
  <si>
    <t>D-6512</t>
  </si>
  <si>
    <t>D-6513</t>
  </si>
  <si>
    <t>D-6514</t>
  </si>
  <si>
    <t>D-6515</t>
  </si>
  <si>
    <t>D-6516</t>
  </si>
  <si>
    <t>D-6517</t>
  </si>
  <si>
    <t>D-6518</t>
  </si>
  <si>
    <t>D-6519</t>
  </si>
  <si>
    <t>D-6520</t>
  </si>
  <si>
    <t>D-6521</t>
  </si>
  <si>
    <t>D-6522</t>
  </si>
  <si>
    <t>D-6523</t>
  </si>
  <si>
    <t>D-6524</t>
  </si>
  <si>
    <t>D-6525</t>
  </si>
  <si>
    <t>D-6526</t>
  </si>
  <si>
    <t>D-6527</t>
  </si>
  <si>
    <t>D-6528</t>
  </si>
  <si>
    <t>D-6529</t>
  </si>
  <si>
    <t>D-6530</t>
  </si>
  <si>
    <t>D-6531</t>
  </si>
  <si>
    <t>D-6532</t>
  </si>
  <si>
    <t>D-6533</t>
  </si>
  <si>
    <t>D-6534</t>
  </si>
  <si>
    <t>D-6535</t>
  </si>
  <si>
    <t>D-6536</t>
  </si>
  <si>
    <t>D-6537</t>
  </si>
  <si>
    <t>(617)CRISTIAN ZARATE</t>
  </si>
  <si>
    <t>D-6538</t>
  </si>
  <si>
    <t>D-6539</t>
  </si>
  <si>
    <t>D-6540</t>
  </si>
  <si>
    <t>D-6541</t>
  </si>
  <si>
    <t>D-6542</t>
  </si>
  <si>
    <t>D-6543</t>
  </si>
  <si>
    <t>D-6544</t>
  </si>
  <si>
    <t>D-6545</t>
  </si>
  <si>
    <t>D-6546</t>
  </si>
  <si>
    <t>D-6547</t>
  </si>
  <si>
    <t>D-6548</t>
  </si>
  <si>
    <t>D-6549</t>
  </si>
  <si>
    <t>D-6550</t>
  </si>
  <si>
    <t>D-6551</t>
  </si>
  <si>
    <t>D-6552</t>
  </si>
  <si>
    <t>D-6553</t>
  </si>
  <si>
    <t>D-6554</t>
  </si>
  <si>
    <t>D-6555</t>
  </si>
  <si>
    <t>D-6556</t>
  </si>
  <si>
    <t>D-6557</t>
  </si>
  <si>
    <t>D-6558</t>
  </si>
  <si>
    <t>D-6559</t>
  </si>
  <si>
    <t>D-6560</t>
  </si>
  <si>
    <t>D-6561</t>
  </si>
  <si>
    <t>D-6562</t>
  </si>
  <si>
    <t>D-6563</t>
  </si>
  <si>
    <t>D-6564</t>
  </si>
  <si>
    <t>D-6565</t>
  </si>
  <si>
    <t>D-6566</t>
  </si>
  <si>
    <t>D-6567</t>
  </si>
  <si>
    <t>02/09/2022</t>
  </si>
  <si>
    <t>D-6568</t>
  </si>
  <si>
    <t>D-6569</t>
  </si>
  <si>
    <t>D-6570</t>
  </si>
  <si>
    <t>D-6571</t>
  </si>
  <si>
    <t>D-6572</t>
  </si>
  <si>
    <t>D-6573</t>
  </si>
  <si>
    <t>D-6574</t>
  </si>
  <si>
    <t>D-6575</t>
  </si>
  <si>
    <t>D-6576</t>
  </si>
  <si>
    <t>D-6577</t>
  </si>
  <si>
    <t>D-6578</t>
  </si>
  <si>
    <t>D-6579</t>
  </si>
  <si>
    <t>D-6580</t>
  </si>
  <si>
    <t>D-6581</t>
  </si>
  <si>
    <t>D-6582</t>
  </si>
  <si>
    <t>D-6583</t>
  </si>
  <si>
    <t>D-6584</t>
  </si>
  <si>
    <t>D-6585</t>
  </si>
  <si>
    <t>D-6586</t>
  </si>
  <si>
    <t>D-6587</t>
  </si>
  <si>
    <t>D-6588</t>
  </si>
  <si>
    <t>D-6589</t>
  </si>
  <si>
    <t>D-6590</t>
  </si>
  <si>
    <t>D-6591</t>
  </si>
  <si>
    <t>D-6592</t>
  </si>
  <si>
    <t>D-6593</t>
  </si>
  <si>
    <t>D-6594</t>
  </si>
  <si>
    <t>D-6595</t>
  </si>
  <si>
    <t>D-6596</t>
  </si>
  <si>
    <t>D-6597</t>
  </si>
  <si>
    <t>D-6598</t>
  </si>
  <si>
    <t>D-6599</t>
  </si>
  <si>
    <t>D-6600</t>
  </si>
  <si>
    <t>D-6601</t>
  </si>
  <si>
    <t>D-6602</t>
  </si>
  <si>
    <t>D-6603</t>
  </si>
  <si>
    <t>D-6604</t>
  </si>
  <si>
    <t>D-6605</t>
  </si>
  <si>
    <t>11-Ago-22--12-Ago-22</t>
  </si>
  <si>
    <t>D-6606</t>
  </si>
  <si>
    <t>D-6607</t>
  </si>
  <si>
    <t>D-6608</t>
  </si>
  <si>
    <t>D-6609</t>
  </si>
  <si>
    <t>D-6610</t>
  </si>
  <si>
    <t>18-Ago-22--20-Ago-22</t>
  </si>
  <si>
    <t>D-6611</t>
  </si>
  <si>
    <t>D-6612</t>
  </si>
  <si>
    <t>D-6613</t>
  </si>
  <si>
    <t>D-6614</t>
  </si>
  <si>
    <t>D-6615</t>
  </si>
  <si>
    <t>D-6616</t>
  </si>
  <si>
    <t>D-6617</t>
  </si>
  <si>
    <t>D-6618</t>
  </si>
  <si>
    <t>D-6619</t>
  </si>
  <si>
    <t>D-6620</t>
  </si>
  <si>
    <t>D-6621</t>
  </si>
  <si>
    <t>D-6622</t>
  </si>
  <si>
    <t>D-6623</t>
  </si>
  <si>
    <t>D-6624</t>
  </si>
  <si>
    <t>D-6625</t>
  </si>
  <si>
    <t>D-6626</t>
  </si>
  <si>
    <t>D-6627</t>
  </si>
  <si>
    <t>D-6628</t>
  </si>
  <si>
    <t>D-6629</t>
  </si>
  <si>
    <t>D-6630</t>
  </si>
  <si>
    <t>D-6631</t>
  </si>
  <si>
    <t>D-6632</t>
  </si>
  <si>
    <t>D-6633</t>
  </si>
  <si>
    <t>D-6634</t>
  </si>
  <si>
    <t>D-6635</t>
  </si>
  <si>
    <t>D-6636</t>
  </si>
  <si>
    <t>D-6637</t>
  </si>
  <si>
    <t>D-6638</t>
  </si>
  <si>
    <t>D-6639</t>
  </si>
  <si>
    <t>D-6640</t>
  </si>
  <si>
    <t>D-6641</t>
  </si>
  <si>
    <t>D-6642</t>
  </si>
  <si>
    <t>D-6643</t>
  </si>
  <si>
    <t>D-6644</t>
  </si>
  <si>
    <t>D-6645</t>
  </si>
  <si>
    <t>D-6646</t>
  </si>
  <si>
    <t>D-6647</t>
  </si>
  <si>
    <t>D-6648</t>
  </si>
  <si>
    <t>D-6649</t>
  </si>
  <si>
    <t>D-6650</t>
  </si>
  <si>
    <t>D-6651</t>
  </si>
  <si>
    <t>D-6652</t>
  </si>
  <si>
    <t>se sustituyo x la  6653 D</t>
  </si>
  <si>
    <t>D-6653</t>
  </si>
  <si>
    <t>D-6654</t>
  </si>
  <si>
    <t>D-6655</t>
  </si>
  <si>
    <t>D-6656</t>
  </si>
  <si>
    <t>D-6657</t>
  </si>
  <si>
    <t>D-6658</t>
  </si>
  <si>
    <t>D-6659</t>
  </si>
  <si>
    <t>D-6660</t>
  </si>
  <si>
    <t>D-6661</t>
  </si>
  <si>
    <t>D-6662</t>
  </si>
  <si>
    <t>D-6663</t>
  </si>
  <si>
    <t>D-6664</t>
  </si>
  <si>
    <t>D-6665</t>
  </si>
  <si>
    <t>se sustituyo x la  6666  D</t>
  </si>
  <si>
    <t>D-6666</t>
  </si>
  <si>
    <t>D-6667</t>
  </si>
  <si>
    <t>D-6668</t>
  </si>
  <si>
    <t>D-6669</t>
  </si>
  <si>
    <t>D-6670</t>
  </si>
  <si>
    <t>D-6671</t>
  </si>
  <si>
    <t>D-6672</t>
  </si>
  <si>
    <t>D-6673</t>
  </si>
  <si>
    <r>
      <t xml:space="preserve">(433)FERNANDO ROMERO  </t>
    </r>
    <r>
      <rPr>
        <b/>
        <sz val="12"/>
        <color rgb="FFFF0000"/>
        <rFont val="Calibri"/>
        <family val="2"/>
        <scheme val="minor"/>
      </rPr>
      <t>CANCELADO</t>
    </r>
  </si>
  <si>
    <t>se sustituyo x la 6674 D</t>
  </si>
  <si>
    <t>D-6674</t>
  </si>
  <si>
    <t>D-6675</t>
  </si>
  <si>
    <t>D-6676</t>
  </si>
  <si>
    <t>D-6677</t>
  </si>
  <si>
    <t>D-6678</t>
  </si>
  <si>
    <t>D-6679</t>
  </si>
  <si>
    <t>D-6680</t>
  </si>
  <si>
    <t>D-6681</t>
  </si>
  <si>
    <t>D-6682</t>
  </si>
  <si>
    <t>D-6683</t>
  </si>
  <si>
    <t>D-6684</t>
  </si>
  <si>
    <t>D-6685</t>
  </si>
  <si>
    <t>D-6686</t>
  </si>
  <si>
    <t>D-6687</t>
  </si>
  <si>
    <t>D-6688</t>
  </si>
  <si>
    <t>D-6689</t>
  </si>
  <si>
    <t>D-6690</t>
  </si>
  <si>
    <t>D-6691</t>
  </si>
  <si>
    <t>D-6692</t>
  </si>
  <si>
    <r>
      <t xml:space="preserve">(110)SAGRADO CORAZON CENTRO  </t>
    </r>
    <r>
      <rPr>
        <b/>
        <sz val="12"/>
        <color rgb="FFFF0000"/>
        <rFont val="Calibri"/>
        <family val="2"/>
        <scheme val="minor"/>
      </rPr>
      <t>CANCELADA</t>
    </r>
  </si>
  <si>
    <t>se sustituyo x la 6693 D</t>
  </si>
  <si>
    <t>D-6693</t>
  </si>
  <si>
    <t>D-6694</t>
  </si>
  <si>
    <t>D-6695</t>
  </si>
  <si>
    <t>D-6696</t>
  </si>
  <si>
    <t>D-6697</t>
  </si>
  <si>
    <t>D-6698</t>
  </si>
  <si>
    <t>D-6699</t>
  </si>
  <si>
    <t>D-6700</t>
  </si>
  <si>
    <t>D-6701</t>
  </si>
  <si>
    <t>D-6702</t>
  </si>
  <si>
    <t>D-6703</t>
  </si>
  <si>
    <t>D-6704</t>
  </si>
  <si>
    <t>D-6705</t>
  </si>
  <si>
    <t>12-Ago-22--13-Ago-22</t>
  </si>
  <si>
    <t>D-6706</t>
  </si>
  <si>
    <t>D-6707</t>
  </si>
  <si>
    <t>D-6708</t>
  </si>
  <si>
    <t>D-6709</t>
  </si>
  <si>
    <t>D-6710</t>
  </si>
  <si>
    <t>D-6711</t>
  </si>
  <si>
    <t>D-6712</t>
  </si>
  <si>
    <t>D-6713</t>
  </si>
  <si>
    <t>D-6714</t>
  </si>
  <si>
    <t>D-6715</t>
  </si>
  <si>
    <t>D-6716</t>
  </si>
  <si>
    <t>D-6717</t>
  </si>
  <si>
    <t>D-6718</t>
  </si>
  <si>
    <t>D-6719</t>
  </si>
  <si>
    <t>D-6720</t>
  </si>
  <si>
    <t>D-6721</t>
  </si>
  <si>
    <t>D-6722</t>
  </si>
  <si>
    <t>D-6723</t>
  </si>
  <si>
    <t>D-6724</t>
  </si>
  <si>
    <t>D-6725</t>
  </si>
  <si>
    <t>D-6726</t>
  </si>
  <si>
    <t>D-6727</t>
  </si>
  <si>
    <t>D-6728</t>
  </si>
  <si>
    <t>se sustituyo x la 6783 D</t>
  </si>
  <si>
    <t>D-6729</t>
  </si>
  <si>
    <r>
      <t xml:space="preserve">(144)SAGRADO 14 SUR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</si>
  <si>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6784 D</t>
  </si>
  <si>
    <t>D-6730</t>
  </si>
  <si>
    <t>D-6731</t>
  </si>
  <si>
    <t>D-6732</t>
  </si>
  <si>
    <r>
      <t xml:space="preserve">(546)MAURICIO HERNANDEZ  </t>
    </r>
    <r>
      <rPr>
        <b/>
        <sz val="12"/>
        <color rgb="FFFF0000"/>
        <rFont val="Calibri"/>
        <family val="2"/>
        <scheme val="minor"/>
      </rPr>
      <t>CANCELADA</t>
    </r>
  </si>
  <si>
    <t>se sustituyo x la 6733 D</t>
  </si>
  <si>
    <t>D-6733</t>
  </si>
  <si>
    <t>D-6734</t>
  </si>
  <si>
    <t>D-6735</t>
  </si>
  <si>
    <t>D-6736</t>
  </si>
  <si>
    <t>D-6737</t>
  </si>
  <si>
    <t>D-6738</t>
  </si>
  <si>
    <t>D-6739</t>
  </si>
  <si>
    <t>D-6740</t>
  </si>
  <si>
    <t>D-6741</t>
  </si>
  <si>
    <t>D-6742</t>
  </si>
  <si>
    <t>D-6743</t>
  </si>
  <si>
    <t>D-6744</t>
  </si>
  <si>
    <t>D-6745</t>
  </si>
  <si>
    <t>D-6746</t>
  </si>
  <si>
    <t>D-6747</t>
  </si>
  <si>
    <t>D-6748</t>
  </si>
  <si>
    <t>D-6749</t>
  </si>
  <si>
    <t>D-6750</t>
  </si>
  <si>
    <t>D-6751</t>
  </si>
  <si>
    <t>D-6752</t>
  </si>
  <si>
    <t>D-6753</t>
  </si>
  <si>
    <t>D-6754</t>
  </si>
  <si>
    <t>D-6755</t>
  </si>
  <si>
    <t>D-6756</t>
  </si>
  <si>
    <t>D-6757</t>
  </si>
  <si>
    <t>D-6758</t>
  </si>
  <si>
    <t>D-6759</t>
  </si>
  <si>
    <t>D-6760</t>
  </si>
  <si>
    <t>D-6761</t>
  </si>
  <si>
    <t>D-6762</t>
  </si>
  <si>
    <t>D-6763</t>
  </si>
  <si>
    <t>D-6764</t>
  </si>
  <si>
    <t>D-6765</t>
  </si>
  <si>
    <t>D-6766</t>
  </si>
  <si>
    <t>D-6767</t>
  </si>
  <si>
    <t>D-6768</t>
  </si>
  <si>
    <t>D-6769</t>
  </si>
  <si>
    <t>D-6770</t>
  </si>
  <si>
    <t>D-6771</t>
  </si>
  <si>
    <t>D-6772</t>
  </si>
  <si>
    <t>D-6773</t>
  </si>
  <si>
    <t>D-6774</t>
  </si>
  <si>
    <t>D-6775</t>
  </si>
  <si>
    <t>D-6776</t>
  </si>
  <si>
    <t>D-6777</t>
  </si>
  <si>
    <t>D-6778</t>
  </si>
  <si>
    <t>11/08/2022</t>
  </si>
  <si>
    <t>D-6779</t>
  </si>
  <si>
    <t>D-6780</t>
  </si>
  <si>
    <t>D-6781</t>
  </si>
  <si>
    <t>D-6782</t>
  </si>
  <si>
    <t>D-6783</t>
  </si>
  <si>
    <t>D-6784</t>
  </si>
  <si>
    <t>D-6785</t>
  </si>
  <si>
    <t>D-6786</t>
  </si>
  <si>
    <t>D-6787</t>
  </si>
  <si>
    <t>D-6788</t>
  </si>
  <si>
    <t>D-6789</t>
  </si>
  <si>
    <t>D-6790</t>
  </si>
  <si>
    <t>D-6791</t>
  </si>
  <si>
    <t>D-6792</t>
  </si>
  <si>
    <t>D-6793</t>
  </si>
  <si>
    <t>D-6794</t>
  </si>
  <si>
    <t>D-6795</t>
  </si>
  <si>
    <t>D-6796</t>
  </si>
  <si>
    <t>D-6797</t>
  </si>
  <si>
    <t>D-6798</t>
  </si>
  <si>
    <t>D-6799</t>
  </si>
  <si>
    <t>D-6800</t>
  </si>
  <si>
    <t>D-6801</t>
  </si>
  <si>
    <t>13-Ago-22--14-Ago-22</t>
  </si>
  <si>
    <t>D-6802</t>
  </si>
  <si>
    <t>D-6803</t>
  </si>
  <si>
    <t>D-6804</t>
  </si>
  <si>
    <r>
      <t xml:space="preserve">(412)LUIS LUNA   </t>
    </r>
    <r>
      <rPr>
        <b/>
        <sz val="12"/>
        <color rgb="FFFF0000"/>
        <rFont val="Calibri"/>
        <family val="2"/>
        <scheme val="minor"/>
      </rPr>
      <t>CANCELADA</t>
    </r>
  </si>
  <si>
    <t>se sustituyo x la  6803-D y 6805 D</t>
  </si>
  <si>
    <t>D-6805</t>
  </si>
  <si>
    <t>D-6806</t>
  </si>
  <si>
    <t>D-6807</t>
  </si>
  <si>
    <t>D-6808</t>
  </si>
  <si>
    <t>D-6809</t>
  </si>
  <si>
    <t>15-Ago-22--19-Ago-22</t>
  </si>
  <si>
    <t>D-6810</t>
  </si>
  <si>
    <t>D-6811</t>
  </si>
  <si>
    <t>D-6812</t>
  </si>
  <si>
    <t>D-6813</t>
  </si>
  <si>
    <t>D-6814</t>
  </si>
  <si>
    <t>D-6815</t>
  </si>
  <si>
    <t>13-Ago-22--15-Ago-22</t>
  </si>
  <si>
    <t>D-6816</t>
  </si>
  <si>
    <t>D-6817</t>
  </si>
  <si>
    <t>D-6818</t>
  </si>
  <si>
    <t>D-6819</t>
  </si>
  <si>
    <t>D-6820</t>
  </si>
  <si>
    <t>D-6821</t>
  </si>
  <si>
    <t>D-6822</t>
  </si>
  <si>
    <t>D-6823</t>
  </si>
  <si>
    <t>D-6824</t>
  </si>
  <si>
    <t>D-6825</t>
  </si>
  <si>
    <t>D-6826</t>
  </si>
  <si>
    <t>D-6827</t>
  </si>
  <si>
    <t>D-6828</t>
  </si>
  <si>
    <t>D-6829</t>
  </si>
  <si>
    <t>D-6830</t>
  </si>
  <si>
    <t>D-6831</t>
  </si>
  <si>
    <t>D-6832</t>
  </si>
  <si>
    <t>D-6833</t>
  </si>
  <si>
    <t>D-6834</t>
  </si>
  <si>
    <t>D-6835</t>
  </si>
  <si>
    <t>D-6836</t>
  </si>
  <si>
    <t>D-6837</t>
  </si>
  <si>
    <t>D-6838</t>
  </si>
  <si>
    <t>D-6839</t>
  </si>
  <si>
    <t>D-6840</t>
  </si>
  <si>
    <t>D-6841</t>
  </si>
  <si>
    <t>D-6842</t>
  </si>
  <si>
    <t>D-6843</t>
  </si>
  <si>
    <t>D-6844</t>
  </si>
  <si>
    <t>D-6845</t>
  </si>
  <si>
    <t>D-6846</t>
  </si>
  <si>
    <t>D-6847</t>
  </si>
  <si>
    <t>D-6848</t>
  </si>
  <si>
    <t>D-6849</t>
  </si>
  <si>
    <t>D-6850</t>
  </si>
  <si>
    <t>D-6851</t>
  </si>
  <si>
    <t>D-6852</t>
  </si>
  <si>
    <t>D-6853</t>
  </si>
  <si>
    <t>D-6854</t>
  </si>
  <si>
    <t>D-6855</t>
  </si>
  <si>
    <t>D-6856</t>
  </si>
  <si>
    <t>D-6857</t>
  </si>
  <si>
    <t>D-6858</t>
  </si>
  <si>
    <t>D-6859</t>
  </si>
  <si>
    <t>D-6860</t>
  </si>
  <si>
    <t>D-6861</t>
  </si>
  <si>
    <t>D-6862</t>
  </si>
  <si>
    <t>D-6863</t>
  </si>
  <si>
    <t>D-6864</t>
  </si>
  <si>
    <t>D-6865</t>
  </si>
  <si>
    <t>D-6866</t>
  </si>
  <si>
    <t>D-6867</t>
  </si>
  <si>
    <t>D-6868</t>
  </si>
  <si>
    <t>D-6869</t>
  </si>
  <si>
    <t>D-6870</t>
  </si>
  <si>
    <t>D-6871</t>
  </si>
  <si>
    <t>D-6872</t>
  </si>
  <si>
    <t>D-6873</t>
  </si>
  <si>
    <t>D-6874</t>
  </si>
  <si>
    <t>D-6875</t>
  </si>
  <si>
    <t>D-6876</t>
  </si>
  <si>
    <t>D-6877</t>
  </si>
  <si>
    <t>D-6878</t>
  </si>
  <si>
    <t>D-6879</t>
  </si>
  <si>
    <t>D-6880</t>
  </si>
  <si>
    <t>D-6881</t>
  </si>
  <si>
    <t>D-6882</t>
  </si>
  <si>
    <t>D-6883</t>
  </si>
  <si>
    <t>D-6884</t>
  </si>
  <si>
    <t>D-6885</t>
  </si>
  <si>
    <t>D-6886</t>
  </si>
  <si>
    <t>D-6887</t>
  </si>
  <si>
    <t>D-6888</t>
  </si>
  <si>
    <t>D-6889</t>
  </si>
  <si>
    <t>D-6890</t>
  </si>
  <si>
    <t>D-6891</t>
  </si>
  <si>
    <t>D-6892</t>
  </si>
  <si>
    <t>D-6893</t>
  </si>
  <si>
    <t>D-6894</t>
  </si>
  <si>
    <t>D-6895</t>
  </si>
  <si>
    <t>D-6896</t>
  </si>
  <si>
    <t>D-6897</t>
  </si>
  <si>
    <t>D-6898</t>
  </si>
  <si>
    <t>D-6899</t>
  </si>
  <si>
    <t>D-6900</t>
  </si>
  <si>
    <t>D-6901</t>
  </si>
  <si>
    <t>D-6902</t>
  </si>
  <si>
    <t>D-6903</t>
  </si>
  <si>
    <t>D-6904</t>
  </si>
  <si>
    <t>D-6905</t>
  </si>
  <si>
    <t>D-6906</t>
  </si>
  <si>
    <t>D-6907</t>
  </si>
  <si>
    <t>D-6908</t>
  </si>
  <si>
    <t>D-6909</t>
  </si>
  <si>
    <t>D-6910</t>
  </si>
  <si>
    <t>D-6911</t>
  </si>
  <si>
    <t>D-6912</t>
  </si>
  <si>
    <t>D-6913</t>
  </si>
  <si>
    <t>D-6914</t>
  </si>
  <si>
    <t>D-6915</t>
  </si>
  <si>
    <t>D-6916</t>
  </si>
  <si>
    <t>D-6917</t>
  </si>
  <si>
    <t>D-6918</t>
  </si>
  <si>
    <t>D-6919</t>
  </si>
  <si>
    <t>D-6920</t>
  </si>
  <si>
    <t>D-6921</t>
  </si>
  <si>
    <t>14-Ago-22--15-Ago-22</t>
  </si>
  <si>
    <t>D-6922</t>
  </si>
  <si>
    <t>D-6923</t>
  </si>
  <si>
    <t>D-6924</t>
  </si>
  <si>
    <t>D-6925</t>
  </si>
  <si>
    <t>D-6926</t>
  </si>
  <si>
    <t>D-6927</t>
  </si>
  <si>
    <t>D-6928</t>
  </si>
  <si>
    <t>D-6929</t>
  </si>
  <si>
    <t>D-6930</t>
  </si>
  <si>
    <t>D-6931</t>
  </si>
  <si>
    <t>D-6932</t>
  </si>
  <si>
    <t>D-6933</t>
  </si>
  <si>
    <t>D-6934</t>
  </si>
  <si>
    <t>D-6935</t>
  </si>
  <si>
    <t>D-6936</t>
  </si>
  <si>
    <t>15-Ago-22--16-Ago-22</t>
  </si>
  <si>
    <t>D-6937</t>
  </si>
  <si>
    <t>D-6938</t>
  </si>
  <si>
    <t>D-6939</t>
  </si>
  <si>
    <t>17-Ago-22--18-Ago-22--19-Ago-22--20-Ago-22</t>
  </si>
  <si>
    <t>D-6940</t>
  </si>
  <si>
    <t>D-6941</t>
  </si>
  <si>
    <t>D-6942</t>
  </si>
  <si>
    <t>D-6943</t>
  </si>
  <si>
    <t>D-6944</t>
  </si>
  <si>
    <t>D-6945</t>
  </si>
  <si>
    <t>D-6946</t>
  </si>
  <si>
    <t>D-6947</t>
  </si>
  <si>
    <t>D-6948</t>
  </si>
  <si>
    <t>D-6949</t>
  </si>
  <si>
    <t>D-6950</t>
  </si>
  <si>
    <t>D-6951</t>
  </si>
  <si>
    <t>D-6952</t>
  </si>
  <si>
    <t>D-6953</t>
  </si>
  <si>
    <t>D-6954</t>
  </si>
  <si>
    <t>D-6955</t>
  </si>
  <si>
    <t>D-6956</t>
  </si>
  <si>
    <t>D-6957</t>
  </si>
  <si>
    <t>D-6958</t>
  </si>
  <si>
    <t>se sustituyo x la 6963 D</t>
  </si>
  <si>
    <t>D-6959</t>
  </si>
  <si>
    <t>D-6960</t>
  </si>
  <si>
    <r>
      <t xml:space="preserve">(694)SONIA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</si>
  <si>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6961 D</t>
  </si>
  <si>
    <t>D-6961</t>
  </si>
  <si>
    <t>D-6962</t>
  </si>
  <si>
    <t>D-6963</t>
  </si>
  <si>
    <t>D-6964</t>
  </si>
  <si>
    <t>D-6965</t>
  </si>
  <si>
    <t>D-6966</t>
  </si>
  <si>
    <t>D-6967</t>
  </si>
  <si>
    <t>D-6968</t>
  </si>
  <si>
    <t>D-6969</t>
  </si>
  <si>
    <t>D-6970</t>
  </si>
  <si>
    <t>D-6971</t>
  </si>
  <si>
    <t>D-6972</t>
  </si>
  <si>
    <t>D-6973</t>
  </si>
  <si>
    <t>D-6974</t>
  </si>
  <si>
    <r>
      <t xml:space="preserve">(180)FELIX CEREZO  </t>
    </r>
    <r>
      <rPr>
        <b/>
        <sz val="12"/>
        <color rgb="FFFF0000"/>
        <rFont val="Calibri"/>
        <family val="2"/>
        <scheme val="minor"/>
      </rPr>
      <t>CANCELADA</t>
    </r>
  </si>
  <si>
    <t>se sustituyo x la  6998 D</t>
  </si>
  <si>
    <t>D-6975</t>
  </si>
  <si>
    <t>D-6976</t>
  </si>
  <si>
    <t>D-6977</t>
  </si>
  <si>
    <t>D-6978</t>
  </si>
  <si>
    <t>D-6979</t>
  </si>
  <si>
    <t>D-6980</t>
  </si>
  <si>
    <t>D-6981</t>
  </si>
  <si>
    <r>
      <t xml:space="preserve">(137)HARBANO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</si>
  <si>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D-6982</t>
  </si>
  <si>
    <t>D-6983</t>
  </si>
  <si>
    <t>D-6984</t>
  </si>
  <si>
    <t>D-6985</t>
  </si>
  <si>
    <t>D-6986</t>
  </si>
  <si>
    <t>D-6987</t>
  </si>
  <si>
    <t>D-6988</t>
  </si>
  <si>
    <t>D-6989</t>
  </si>
  <si>
    <t>D-6990</t>
  </si>
  <si>
    <t>D-6991</t>
  </si>
  <si>
    <t>D-6992</t>
  </si>
  <si>
    <t>D-6993</t>
  </si>
  <si>
    <t>D-6994</t>
  </si>
  <si>
    <t>D-6995</t>
  </si>
  <si>
    <t>D-6996</t>
  </si>
  <si>
    <t>D-6997</t>
  </si>
  <si>
    <t>D-6998</t>
  </si>
  <si>
    <t>D-6999</t>
  </si>
  <si>
    <t>D-7000</t>
  </si>
  <si>
    <t>D-7001</t>
  </si>
  <si>
    <t>D-7002</t>
  </si>
  <si>
    <t>D-7003</t>
  </si>
  <si>
    <t>D-7004</t>
  </si>
  <si>
    <t>D-7005</t>
  </si>
  <si>
    <t>D-7006</t>
  </si>
  <si>
    <t>D-7007</t>
  </si>
  <si>
    <t>D-7008</t>
  </si>
  <si>
    <t>D-7009</t>
  </si>
  <si>
    <t>D-7010</t>
  </si>
  <si>
    <t>D-7011</t>
  </si>
  <si>
    <t>D-7012</t>
  </si>
  <si>
    <t>13-8/</t>
  </si>
  <si>
    <t>D-7013</t>
  </si>
  <si>
    <t>D-7014</t>
  </si>
  <si>
    <t>D-7015</t>
  </si>
  <si>
    <t>D-7016</t>
  </si>
  <si>
    <t>D-7017</t>
  </si>
  <si>
    <t>D-7018</t>
  </si>
  <si>
    <t>D-7019</t>
  </si>
  <si>
    <t>D-7020</t>
  </si>
  <si>
    <t>D-7021</t>
  </si>
  <si>
    <t>D-7022</t>
  </si>
  <si>
    <t>D-7023</t>
  </si>
  <si>
    <t>D-7024</t>
  </si>
  <si>
    <t>D-7025</t>
  </si>
  <si>
    <t>D-7026</t>
  </si>
  <si>
    <t>D-7027</t>
  </si>
  <si>
    <t>D-7028</t>
  </si>
  <si>
    <t>D-7029</t>
  </si>
  <si>
    <t>D-7030</t>
  </si>
  <si>
    <t>D-7031</t>
  </si>
  <si>
    <t>D-7032</t>
  </si>
  <si>
    <t>D-7033</t>
  </si>
  <si>
    <t>D-7034</t>
  </si>
  <si>
    <t>D-7035</t>
  </si>
  <si>
    <t>D-7036</t>
  </si>
  <si>
    <t>D-7037</t>
  </si>
  <si>
    <t>D-7038</t>
  </si>
  <si>
    <t>D-7039</t>
  </si>
  <si>
    <t>D-7040</t>
  </si>
  <si>
    <t>D-7041</t>
  </si>
  <si>
    <t>D-7042</t>
  </si>
  <si>
    <t>D-7043</t>
  </si>
  <si>
    <t>D-7044</t>
  </si>
  <si>
    <t>D-7045</t>
  </si>
  <si>
    <t>D-7046</t>
  </si>
  <si>
    <t>D-7047</t>
  </si>
  <si>
    <t>D-7048</t>
  </si>
  <si>
    <t>D-7049</t>
  </si>
  <si>
    <t>D-7050</t>
  </si>
  <si>
    <t>D-7051</t>
  </si>
  <si>
    <t>D-7052</t>
  </si>
  <si>
    <t>D-7053</t>
  </si>
  <si>
    <t>D-7054</t>
  </si>
  <si>
    <t>D-7055</t>
  </si>
  <si>
    <t>D-7056</t>
  </si>
  <si>
    <t>D-7057</t>
  </si>
  <si>
    <t>D-7058</t>
  </si>
  <si>
    <t>D-7059</t>
  </si>
  <si>
    <t>15-Ago-22--17-Ago-22</t>
  </si>
  <si>
    <t>D-7060</t>
  </si>
  <si>
    <t>D-7061</t>
  </si>
  <si>
    <t>D-7062</t>
  </si>
  <si>
    <t>D-7063</t>
  </si>
  <si>
    <t>D-7064</t>
  </si>
  <si>
    <t>D-7065</t>
  </si>
  <si>
    <t>D-7066</t>
  </si>
  <si>
    <t>D-7067</t>
  </si>
  <si>
    <t>D-7068</t>
  </si>
  <si>
    <t>D-7069</t>
  </si>
  <si>
    <t>D-7070</t>
  </si>
  <si>
    <t>D-7071</t>
  </si>
  <si>
    <t>D-7072</t>
  </si>
  <si>
    <t>D-7073</t>
  </si>
  <si>
    <t>D-7074</t>
  </si>
  <si>
    <t>D-7075</t>
  </si>
  <si>
    <t>D-7076</t>
  </si>
  <si>
    <t>D-7077</t>
  </si>
  <si>
    <t>D-7078</t>
  </si>
  <si>
    <t>D-7079</t>
  </si>
  <si>
    <t>D-7080</t>
  </si>
  <si>
    <t>D-7081</t>
  </si>
  <si>
    <t>D-7082</t>
  </si>
  <si>
    <t>D-7083</t>
  </si>
  <si>
    <t>D-7084</t>
  </si>
  <si>
    <t>D-7085</t>
  </si>
  <si>
    <t>D-7086</t>
  </si>
  <si>
    <t>D-7087</t>
  </si>
  <si>
    <t>D-7088</t>
  </si>
  <si>
    <t>D-7089</t>
  </si>
  <si>
    <t>D-7090</t>
  </si>
  <si>
    <t>D-7091</t>
  </si>
  <si>
    <t>D-7092</t>
  </si>
  <si>
    <t>D-7093</t>
  </si>
  <si>
    <t>D-7094</t>
  </si>
  <si>
    <t>D-7095</t>
  </si>
  <si>
    <t>D-7096</t>
  </si>
  <si>
    <t>D-7097</t>
  </si>
  <si>
    <t>D-7098</t>
  </si>
  <si>
    <t>D-7099</t>
  </si>
  <si>
    <t>D-7100</t>
  </si>
  <si>
    <t>14/08/2022</t>
  </si>
  <si>
    <t>D-7101</t>
  </si>
  <si>
    <t>D-7102</t>
  </si>
  <si>
    <t>D-7103</t>
  </si>
  <si>
    <t>17-Ago-22--19-Ago-22</t>
  </si>
  <si>
    <t>D-7104</t>
  </si>
  <si>
    <t>D-7105</t>
  </si>
  <si>
    <t>D-7106</t>
  </si>
  <si>
    <t>D-7107</t>
  </si>
  <si>
    <t>D-7108</t>
  </si>
  <si>
    <t>D-7109</t>
  </si>
  <si>
    <t>D-7110</t>
  </si>
  <si>
    <t>D-7111</t>
  </si>
  <si>
    <t>D-7112</t>
  </si>
  <si>
    <t>D-7113</t>
  </si>
  <si>
    <t>D-7114</t>
  </si>
  <si>
    <t>D-7115</t>
  </si>
  <si>
    <t>D-7116</t>
  </si>
  <si>
    <t>D-7117</t>
  </si>
  <si>
    <t>D-7118</t>
  </si>
  <si>
    <t>D-7119</t>
  </si>
  <si>
    <t>D-7120</t>
  </si>
  <si>
    <t>D-7121</t>
  </si>
  <si>
    <t>D-7122</t>
  </si>
  <si>
    <t>D-7123</t>
  </si>
  <si>
    <t>D-7124</t>
  </si>
  <si>
    <t>D-7125</t>
  </si>
  <si>
    <t>D-7126</t>
  </si>
  <si>
    <t>D-7127</t>
  </si>
  <si>
    <t>D-7128</t>
  </si>
  <si>
    <t>D-7129</t>
  </si>
  <si>
    <t>D-7130</t>
  </si>
  <si>
    <t>D-7131</t>
  </si>
  <si>
    <t>D-7132</t>
  </si>
  <si>
    <t>D-7133</t>
  </si>
  <si>
    <t>D-7134</t>
  </si>
  <si>
    <t>D-7135</t>
  </si>
  <si>
    <t>D-7136</t>
  </si>
  <si>
    <t>D-7137</t>
  </si>
  <si>
    <t>D-7138</t>
  </si>
  <si>
    <t>D-7139</t>
  </si>
  <si>
    <t>16-Ag0-22--18-Ago-22</t>
  </si>
  <si>
    <t>D-7140</t>
  </si>
  <si>
    <t>D-7141</t>
  </si>
  <si>
    <t>D-7142</t>
  </si>
  <si>
    <t>D-7143</t>
  </si>
  <si>
    <t>D-7144</t>
  </si>
  <si>
    <t>D-7145</t>
  </si>
  <si>
    <t>D-7146</t>
  </si>
  <si>
    <t>D-7147</t>
  </si>
  <si>
    <t>D-7148</t>
  </si>
  <si>
    <t>D-7149</t>
  </si>
  <si>
    <t>D-7150</t>
  </si>
  <si>
    <t>D-7151</t>
  </si>
  <si>
    <t>D-7152</t>
  </si>
  <si>
    <t>D-7153</t>
  </si>
  <si>
    <t>D-7154</t>
  </si>
  <si>
    <t>D-7155</t>
  </si>
  <si>
    <t>D-7156</t>
  </si>
  <si>
    <t>D-7157</t>
  </si>
  <si>
    <t>D-7158</t>
  </si>
  <si>
    <t>D-7159</t>
  </si>
  <si>
    <t>D-7160</t>
  </si>
  <si>
    <t>D-7161</t>
  </si>
  <si>
    <t>D-7162</t>
  </si>
  <si>
    <t>D-7163</t>
  </si>
  <si>
    <t>D-7164</t>
  </si>
  <si>
    <t>D-7165</t>
  </si>
  <si>
    <t>se sustituyo x la  7168 D</t>
  </si>
  <si>
    <t>D-7166</t>
  </si>
  <si>
    <t>D-7167</t>
  </si>
  <si>
    <t>D-7168</t>
  </si>
  <si>
    <t>D-7169</t>
  </si>
  <si>
    <t>D-7170</t>
  </si>
  <si>
    <t>D-7171</t>
  </si>
  <si>
    <t>D-7172</t>
  </si>
  <si>
    <t>D-7173</t>
  </si>
  <si>
    <t>D-7174</t>
  </si>
  <si>
    <t>D-7175</t>
  </si>
  <si>
    <t>D-7176</t>
  </si>
  <si>
    <t>D-7177</t>
  </si>
  <si>
    <t>D-7178</t>
  </si>
  <si>
    <t>D-7179</t>
  </si>
  <si>
    <t>D-7180</t>
  </si>
  <si>
    <t>D-7181</t>
  </si>
  <si>
    <t>D-7182</t>
  </si>
  <si>
    <t>D-7183</t>
  </si>
  <si>
    <t>D-7184</t>
  </si>
  <si>
    <t>se sustituyo x la  7208  D</t>
  </si>
  <si>
    <t>D-7185</t>
  </si>
  <si>
    <t>D-7186</t>
  </si>
  <si>
    <t>D-7187</t>
  </si>
  <si>
    <t>D-7188</t>
  </si>
  <si>
    <t>D-7189</t>
  </si>
  <si>
    <t>D-7190</t>
  </si>
  <si>
    <t>D-7191</t>
  </si>
  <si>
    <t>D-7192</t>
  </si>
  <si>
    <t>D-7193</t>
  </si>
  <si>
    <t>D-7194</t>
  </si>
  <si>
    <t>D-7195</t>
  </si>
  <si>
    <t>D-7196</t>
  </si>
  <si>
    <t>D-7197</t>
  </si>
  <si>
    <t>D-7198</t>
  </si>
  <si>
    <t>D-7199</t>
  </si>
  <si>
    <t>D-7200</t>
  </si>
  <si>
    <t>D-7201</t>
  </si>
  <si>
    <t>D-7202</t>
  </si>
  <si>
    <t>05/09/2022</t>
  </si>
  <si>
    <t>D-7203</t>
  </si>
  <si>
    <t>D-7204</t>
  </si>
  <si>
    <t>D-7205</t>
  </si>
  <si>
    <t>D-7206</t>
  </si>
  <si>
    <t>D-7207</t>
  </si>
  <si>
    <t>D-7208</t>
  </si>
  <si>
    <t>D-7209</t>
  </si>
  <si>
    <t>D-7210</t>
  </si>
  <si>
    <t>D-7211</t>
  </si>
  <si>
    <t>D-7212</t>
  </si>
  <si>
    <t>D-7213</t>
  </si>
  <si>
    <t>D-7214</t>
  </si>
  <si>
    <t>D-7215</t>
  </si>
  <si>
    <t>D-7216</t>
  </si>
  <si>
    <t>D-7217</t>
  </si>
  <si>
    <t>D-7218</t>
  </si>
  <si>
    <t>D-7219</t>
  </si>
  <si>
    <t>D-7220</t>
  </si>
  <si>
    <t>D-7221</t>
  </si>
  <si>
    <t>D-7222</t>
  </si>
  <si>
    <t>D-7223</t>
  </si>
  <si>
    <t>D-7224</t>
  </si>
  <si>
    <t>D-7225</t>
  </si>
  <si>
    <t>D-7226</t>
  </si>
  <si>
    <t>D-7227</t>
  </si>
  <si>
    <t>D-7228</t>
  </si>
  <si>
    <t>D-7229</t>
  </si>
  <si>
    <t>D-7230</t>
  </si>
  <si>
    <t>D-7231</t>
  </si>
  <si>
    <t>D-7232</t>
  </si>
  <si>
    <t>D-7233</t>
  </si>
  <si>
    <t>D-7234</t>
  </si>
  <si>
    <t>D-7235</t>
  </si>
  <si>
    <t>D-7236</t>
  </si>
  <si>
    <t>D-7237</t>
  </si>
  <si>
    <t>D-7238</t>
  </si>
  <si>
    <t>D-7239</t>
  </si>
  <si>
    <t>D-7240</t>
  </si>
  <si>
    <t>D-7241</t>
  </si>
  <si>
    <t>D-7242</t>
  </si>
  <si>
    <t>D-7243</t>
  </si>
  <si>
    <t>D-7244</t>
  </si>
  <si>
    <t>D-7245</t>
  </si>
  <si>
    <t>D-7246</t>
  </si>
  <si>
    <t>D-7247</t>
  </si>
  <si>
    <t>18-Ago-22--19-Ago-22</t>
  </si>
  <si>
    <t>D-7248</t>
  </si>
  <si>
    <t>D-7249</t>
  </si>
  <si>
    <t>D-7250</t>
  </si>
  <si>
    <t>D-7251</t>
  </si>
  <si>
    <t>se sustituyo x la 7305 D</t>
  </si>
  <si>
    <t>D-7252</t>
  </si>
  <si>
    <t>D-7253</t>
  </si>
  <si>
    <t>D-7254</t>
  </si>
  <si>
    <t>D-7255</t>
  </si>
  <si>
    <t>D-7256</t>
  </si>
  <si>
    <t>D-7257</t>
  </si>
  <si>
    <t>D-7258</t>
  </si>
  <si>
    <t>D-7259</t>
  </si>
  <si>
    <t>D-7260</t>
  </si>
  <si>
    <t>D-7261</t>
  </si>
  <si>
    <t>D-7262</t>
  </si>
  <si>
    <t>D-7263</t>
  </si>
  <si>
    <t>D-7264</t>
  </si>
  <si>
    <t>D-7265</t>
  </si>
  <si>
    <t>D-7266</t>
  </si>
  <si>
    <t>D-7267</t>
  </si>
  <si>
    <t>D-7268</t>
  </si>
  <si>
    <t>D-7269</t>
  </si>
  <si>
    <t>D-7270</t>
  </si>
  <si>
    <t>D-7271</t>
  </si>
  <si>
    <t>D-7272</t>
  </si>
  <si>
    <t>D-7273</t>
  </si>
  <si>
    <t>D-7274</t>
  </si>
  <si>
    <t>D-7275</t>
  </si>
  <si>
    <t>D-7276</t>
  </si>
  <si>
    <t>D-7277</t>
  </si>
  <si>
    <t>D-7278</t>
  </si>
  <si>
    <t>D-7279</t>
  </si>
  <si>
    <t>D-7280</t>
  </si>
  <si>
    <t>D-7281</t>
  </si>
  <si>
    <t>D-7282</t>
  </si>
  <si>
    <t>D-7283</t>
  </si>
  <si>
    <t>D-7284</t>
  </si>
  <si>
    <t>D-7285</t>
  </si>
  <si>
    <t>D-7286</t>
  </si>
  <si>
    <t>D-7287</t>
  </si>
  <si>
    <t>D-7288</t>
  </si>
  <si>
    <t>D-7289</t>
  </si>
  <si>
    <t>D-7290</t>
  </si>
  <si>
    <t>D-7291</t>
  </si>
  <si>
    <r>
      <t xml:space="preserve">(306)JAVIER HERRERA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</si>
  <si>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D-7292</t>
  </si>
  <si>
    <t>D-7293</t>
  </si>
  <si>
    <t>D-7294</t>
  </si>
  <si>
    <t>D-7295</t>
  </si>
  <si>
    <t>D-7296</t>
  </si>
  <si>
    <t>D-7297</t>
  </si>
  <si>
    <t>D-7298</t>
  </si>
  <si>
    <t>D-7299</t>
  </si>
  <si>
    <t>D-7300</t>
  </si>
  <si>
    <t>D-7301</t>
  </si>
  <si>
    <t>D-7302</t>
  </si>
  <si>
    <t>D-7303</t>
  </si>
  <si>
    <t>D-7304</t>
  </si>
  <si>
    <t>D-7305</t>
  </si>
  <si>
    <t>D-7306</t>
  </si>
  <si>
    <t>D-7307</t>
  </si>
  <si>
    <t>D-7308</t>
  </si>
  <si>
    <t>D-7309</t>
  </si>
  <si>
    <t>D-7310</t>
  </si>
  <si>
    <t>D-7311</t>
  </si>
  <si>
    <t>D-7312</t>
  </si>
  <si>
    <t>D-7313</t>
  </si>
  <si>
    <t>D-7314</t>
  </si>
  <si>
    <t>D-7315</t>
  </si>
  <si>
    <t>D-7316</t>
  </si>
  <si>
    <t>19-Ago-22--20-Ago-22</t>
  </si>
  <si>
    <t>D-7317</t>
  </si>
  <si>
    <t>D-7318</t>
  </si>
  <si>
    <t>D-7319</t>
  </si>
  <si>
    <t>D-7320</t>
  </si>
  <si>
    <t>D-7321</t>
  </si>
  <si>
    <t>D-7322</t>
  </si>
  <si>
    <t>D-7323</t>
  </si>
  <si>
    <t>D-7324</t>
  </si>
  <si>
    <t>D-7325</t>
  </si>
  <si>
    <t>D-7326</t>
  </si>
  <si>
    <t>D-7327</t>
  </si>
  <si>
    <t>D-7328</t>
  </si>
  <si>
    <t>D-7329</t>
  </si>
  <si>
    <t>D-7330</t>
  </si>
  <si>
    <t>D-7331</t>
  </si>
  <si>
    <t>D-7332</t>
  </si>
  <si>
    <t>D-7333</t>
  </si>
  <si>
    <t>D-7334</t>
  </si>
  <si>
    <t>D-7335</t>
  </si>
  <si>
    <t>D-7336</t>
  </si>
  <si>
    <t>D-7337</t>
  </si>
  <si>
    <t>D-7338</t>
  </si>
  <si>
    <t>D-7339</t>
  </si>
  <si>
    <r>
      <t xml:space="preserve">(292)NERY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</si>
  <si>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7341 D</t>
  </si>
  <si>
    <t>D-7340</t>
  </si>
  <si>
    <t>D-7341</t>
  </si>
  <si>
    <t>D-7342</t>
  </si>
  <si>
    <t>D-7343</t>
  </si>
  <si>
    <t>D-7344</t>
  </si>
  <si>
    <t>D-7345</t>
  </si>
  <si>
    <t>D-7346</t>
  </si>
  <si>
    <t>D-7347</t>
  </si>
  <si>
    <t>D-7348</t>
  </si>
  <si>
    <t>D-7349</t>
  </si>
  <si>
    <t>D-7350</t>
  </si>
  <si>
    <t>D-7351</t>
  </si>
  <si>
    <t>D-7352</t>
  </si>
  <si>
    <t>D-7353</t>
  </si>
  <si>
    <t>D-7354</t>
  </si>
  <si>
    <t>D-7355</t>
  </si>
  <si>
    <t>D-7356</t>
  </si>
  <si>
    <t>D-7357</t>
  </si>
  <si>
    <t>D-7358</t>
  </si>
  <si>
    <t>D-7359</t>
  </si>
  <si>
    <t>D-7360</t>
  </si>
  <si>
    <t>D-7361</t>
  </si>
  <si>
    <t>D-7362</t>
  </si>
  <si>
    <t>D-7363</t>
  </si>
  <si>
    <t>D-7364</t>
  </si>
  <si>
    <t>D-7365</t>
  </si>
  <si>
    <r>
      <t xml:space="preserve">(117)NARCISO ROMERO CAMALEON  </t>
    </r>
    <r>
      <rPr>
        <b/>
        <sz val="12"/>
        <color rgb="FFFF0000"/>
        <rFont val="Calibri"/>
        <family val="2"/>
        <scheme val="minor"/>
      </rPr>
      <t>CANCELADA</t>
    </r>
  </si>
  <si>
    <t>se sustituyo x la 7366 D</t>
  </si>
  <si>
    <t>D-7366</t>
  </si>
  <si>
    <t>D-7367</t>
  </si>
  <si>
    <t>D-7368</t>
  </si>
  <si>
    <t>D-7369</t>
  </si>
  <si>
    <t>D-7370</t>
  </si>
  <si>
    <t>D-7371</t>
  </si>
  <si>
    <t>D-7372</t>
  </si>
  <si>
    <t>D-7373</t>
  </si>
  <si>
    <t>D-7374</t>
  </si>
  <si>
    <t>D-7375</t>
  </si>
  <si>
    <t>D-7376</t>
  </si>
  <si>
    <t>D-7377</t>
  </si>
  <si>
    <t>D-7378</t>
  </si>
  <si>
    <t>D-7379</t>
  </si>
  <si>
    <t>D-7380</t>
  </si>
  <si>
    <t>D-7381</t>
  </si>
  <si>
    <t>D-7382</t>
  </si>
  <si>
    <t>D-7383</t>
  </si>
  <si>
    <t>D-7384</t>
  </si>
  <si>
    <t>D-7385</t>
  </si>
  <si>
    <t>D-7386</t>
  </si>
  <si>
    <t>D-7387</t>
  </si>
  <si>
    <t>D-7388</t>
  </si>
  <si>
    <t>D-7389</t>
  </si>
  <si>
    <t>D-7390</t>
  </si>
  <si>
    <t>D-7391</t>
  </si>
  <si>
    <t>D-7392</t>
  </si>
  <si>
    <t>D-7393</t>
  </si>
  <si>
    <t>D-7394</t>
  </si>
  <si>
    <t>D-7395</t>
  </si>
  <si>
    <t>D-7396</t>
  </si>
  <si>
    <t>D-7397</t>
  </si>
  <si>
    <t>D-7398</t>
  </si>
  <si>
    <t>D-7399</t>
  </si>
  <si>
    <t>D-7400</t>
  </si>
  <si>
    <t>D-7401</t>
  </si>
  <si>
    <t>D-7402</t>
  </si>
  <si>
    <t>D-7403</t>
  </si>
  <si>
    <t>D-7404</t>
  </si>
  <si>
    <t>D-7405</t>
  </si>
  <si>
    <t>D-7406</t>
  </si>
  <si>
    <t>D-7407</t>
  </si>
  <si>
    <t>D-7408</t>
  </si>
  <si>
    <t>D-7409</t>
  </si>
  <si>
    <r>
      <t xml:space="preserve">(257)ALFONSO RUIZ  </t>
    </r>
    <r>
      <rPr>
        <b/>
        <sz val="12"/>
        <color rgb="FFFF0000"/>
        <rFont val="Calibri"/>
        <family val="2"/>
        <scheme val="minor"/>
      </rPr>
      <t>CANCELADA</t>
    </r>
  </si>
  <si>
    <t>D-7410</t>
  </si>
  <si>
    <t>D-7411</t>
  </si>
  <si>
    <t>D-7412</t>
  </si>
  <si>
    <t>D-7413</t>
  </si>
  <si>
    <t>(676)BENJAMIN ALVA</t>
  </si>
  <si>
    <t>D-7414</t>
  </si>
  <si>
    <t>D-7415</t>
  </si>
  <si>
    <t>D-7416</t>
  </si>
  <si>
    <t>D-7417</t>
  </si>
  <si>
    <t>D-7418</t>
  </si>
  <si>
    <t>D-7419</t>
  </si>
  <si>
    <t>D-7420</t>
  </si>
  <si>
    <t>D-7421</t>
  </si>
  <si>
    <t>D-7422</t>
  </si>
  <si>
    <t>D-7423</t>
  </si>
  <si>
    <t>D-7424</t>
  </si>
  <si>
    <t>D-7425</t>
  </si>
  <si>
    <t>D-7426</t>
  </si>
  <si>
    <t>D-7427</t>
  </si>
  <si>
    <t>D-7428</t>
  </si>
  <si>
    <t>D-7429</t>
  </si>
  <si>
    <t>D-7430</t>
  </si>
  <si>
    <t>D-7431</t>
  </si>
  <si>
    <t>D-7432</t>
  </si>
  <si>
    <t>D-7433</t>
  </si>
  <si>
    <t>D-7434</t>
  </si>
  <si>
    <t>D-7435</t>
  </si>
  <si>
    <t>D-7436</t>
  </si>
  <si>
    <t>D-7437</t>
  </si>
  <si>
    <t>D-7438</t>
  </si>
  <si>
    <t>D-7439</t>
  </si>
  <si>
    <t>D-7440</t>
  </si>
  <si>
    <t>D-7441</t>
  </si>
  <si>
    <t>D-7442</t>
  </si>
  <si>
    <t>D-7443</t>
  </si>
  <si>
    <t>D-7444</t>
  </si>
  <si>
    <t>D-7445</t>
  </si>
  <si>
    <t>D-7446</t>
  </si>
  <si>
    <t>D-7447</t>
  </si>
  <si>
    <t>D-7448</t>
  </si>
  <si>
    <t>D-7449</t>
  </si>
  <si>
    <t>D-7450</t>
  </si>
  <si>
    <t>D-7451</t>
  </si>
  <si>
    <t>D-7452</t>
  </si>
  <si>
    <t>D-7453</t>
  </si>
  <si>
    <t>D-7454</t>
  </si>
  <si>
    <t>D-7455</t>
  </si>
  <si>
    <t>D-7456</t>
  </si>
  <si>
    <t>D-7457</t>
  </si>
  <si>
    <t>D-7458</t>
  </si>
  <si>
    <t>D-7459</t>
  </si>
  <si>
    <t>D-7460</t>
  </si>
  <si>
    <t>D-7461</t>
  </si>
  <si>
    <t>D-7462</t>
  </si>
  <si>
    <t>D-7463</t>
  </si>
  <si>
    <t>D-7464</t>
  </si>
  <si>
    <t>D-7465</t>
  </si>
  <si>
    <t>D-7466</t>
  </si>
  <si>
    <t>D-7467</t>
  </si>
  <si>
    <t>D-7468</t>
  </si>
  <si>
    <t>D-7469</t>
  </si>
  <si>
    <t>D-7470</t>
  </si>
  <si>
    <t>D-7471</t>
  </si>
  <si>
    <t>D-7472</t>
  </si>
  <si>
    <t>D-7473</t>
  </si>
  <si>
    <t>D-7474</t>
  </si>
  <si>
    <t>D-7475</t>
  </si>
  <si>
    <t>D-7476</t>
  </si>
  <si>
    <t>D-7477</t>
  </si>
  <si>
    <t>D-7478</t>
  </si>
  <si>
    <t>D-7479</t>
  </si>
  <si>
    <t>D-7480</t>
  </si>
  <si>
    <t>D-7481</t>
  </si>
  <si>
    <t>D-7482</t>
  </si>
  <si>
    <t>D-7483</t>
  </si>
  <si>
    <t>D-7484</t>
  </si>
  <si>
    <t>D-7485</t>
  </si>
  <si>
    <t>D-7486</t>
  </si>
  <si>
    <t>D-7487</t>
  </si>
  <si>
    <t>D-7488</t>
  </si>
  <si>
    <t>D-7489</t>
  </si>
  <si>
    <t>D-7490</t>
  </si>
  <si>
    <t>D-7491</t>
  </si>
  <si>
    <t>D-7492</t>
  </si>
  <si>
    <t>D-7493</t>
  </si>
  <si>
    <t>D-7494</t>
  </si>
  <si>
    <t>D-7495</t>
  </si>
  <si>
    <t>D-7496</t>
  </si>
  <si>
    <t>D-7497</t>
  </si>
  <si>
    <t>D-7498</t>
  </si>
  <si>
    <t>D-7499</t>
  </si>
  <si>
    <t>D-7500</t>
  </si>
  <si>
    <t>D-7501</t>
  </si>
  <si>
    <t>D-7502</t>
  </si>
  <si>
    <t>D-7503</t>
  </si>
  <si>
    <t>D-7504</t>
  </si>
  <si>
    <t>D-7505</t>
  </si>
  <si>
    <t>D-7506</t>
  </si>
  <si>
    <t>D-7507</t>
  </si>
  <si>
    <t>D-7508</t>
  </si>
  <si>
    <t>D-7509</t>
  </si>
  <si>
    <t>D-7510</t>
  </si>
  <si>
    <t>D-7511</t>
  </si>
  <si>
    <t>D-7512</t>
  </si>
  <si>
    <t>D-7513</t>
  </si>
  <si>
    <t>D-7514</t>
  </si>
  <si>
    <t>D-7515</t>
  </si>
  <si>
    <t>D-7516</t>
  </si>
  <si>
    <t>D-7517</t>
  </si>
  <si>
    <t>D-7518</t>
  </si>
  <si>
    <t>D-7519</t>
  </si>
  <si>
    <t>D-7520</t>
  </si>
  <si>
    <t>D-7521</t>
  </si>
  <si>
    <t>D-7522</t>
  </si>
  <si>
    <t>D-7523</t>
  </si>
  <si>
    <t>D-7524</t>
  </si>
  <si>
    <t>D-7525</t>
  </si>
  <si>
    <t>D-7526</t>
  </si>
  <si>
    <t>D-7527</t>
  </si>
  <si>
    <t>D-7528</t>
  </si>
  <si>
    <t>D-7529</t>
  </si>
  <si>
    <t>D-7530</t>
  </si>
  <si>
    <t>D-7531</t>
  </si>
  <si>
    <t>D-7532</t>
  </si>
  <si>
    <t>D-7533</t>
  </si>
  <si>
    <t>D-7534</t>
  </si>
  <si>
    <t>D-7535</t>
  </si>
  <si>
    <t>20-Ago-22--22-Ago-22</t>
  </si>
  <si>
    <t>D-7536</t>
  </si>
  <si>
    <t>D-7537</t>
  </si>
  <si>
    <t>D-7538</t>
  </si>
  <si>
    <t>D-7539</t>
  </si>
  <si>
    <t>D-7540</t>
  </si>
  <si>
    <t>D-7541</t>
  </si>
  <si>
    <t>D-7542</t>
  </si>
  <si>
    <t>D-7543</t>
  </si>
  <si>
    <t>D-7544</t>
  </si>
  <si>
    <t>D-7545</t>
  </si>
  <si>
    <t>D-7546</t>
  </si>
  <si>
    <t>D-7547</t>
  </si>
  <si>
    <t>D-7548</t>
  </si>
  <si>
    <t>D-7549</t>
  </si>
  <si>
    <t>D-7550</t>
  </si>
  <si>
    <t>D-7551</t>
  </si>
  <si>
    <t>D-7552</t>
  </si>
  <si>
    <t>D-7553</t>
  </si>
  <si>
    <t>D-7554</t>
  </si>
  <si>
    <t>D-7555</t>
  </si>
  <si>
    <t>D-7556</t>
  </si>
  <si>
    <t>D-7557</t>
  </si>
  <si>
    <t>D-7558</t>
  </si>
  <si>
    <t>D-7559</t>
  </si>
  <si>
    <t>D-7560</t>
  </si>
  <si>
    <t>D-7561</t>
  </si>
  <si>
    <t>D-7562</t>
  </si>
  <si>
    <t>D-7563</t>
  </si>
  <si>
    <t>D-7564</t>
  </si>
  <si>
    <t>D-7565</t>
  </si>
  <si>
    <t>D-7566</t>
  </si>
  <si>
    <t>D-7567</t>
  </si>
  <si>
    <t>D-7568</t>
  </si>
  <si>
    <t>se sustituyo x la 7569 D</t>
  </si>
  <si>
    <t>D-7569</t>
  </si>
  <si>
    <t>D-7570</t>
  </si>
  <si>
    <t>D-7571</t>
  </si>
  <si>
    <t>D-7572</t>
  </si>
  <si>
    <t>D-7573</t>
  </si>
  <si>
    <t>D-7574</t>
  </si>
  <si>
    <t>D-7575</t>
  </si>
  <si>
    <t>D-7576</t>
  </si>
  <si>
    <t>D-7577</t>
  </si>
  <si>
    <t>D-7578</t>
  </si>
  <si>
    <t>D-7579</t>
  </si>
  <si>
    <t>D-7580</t>
  </si>
  <si>
    <t>D-7581</t>
  </si>
  <si>
    <t>D-7582</t>
  </si>
  <si>
    <t>D-7583</t>
  </si>
  <si>
    <t>D-7584</t>
  </si>
  <si>
    <t>D-7585</t>
  </si>
  <si>
    <t>D-7586</t>
  </si>
  <si>
    <t>D-7587</t>
  </si>
  <si>
    <t>D-7588</t>
  </si>
  <si>
    <t>D-7589</t>
  </si>
  <si>
    <t>D-7590</t>
  </si>
  <si>
    <t>D-7591</t>
  </si>
  <si>
    <t>D-7592</t>
  </si>
  <si>
    <t>D-7593</t>
  </si>
  <si>
    <t>D-7594</t>
  </si>
  <si>
    <t>D-7595</t>
  </si>
  <si>
    <t>D-7596</t>
  </si>
  <si>
    <t>D-7597</t>
  </si>
  <si>
    <t>D-7598</t>
  </si>
  <si>
    <t>D-7599</t>
  </si>
  <si>
    <t>D-7600</t>
  </si>
  <si>
    <t>D-7601</t>
  </si>
  <si>
    <t>D-7602</t>
  </si>
  <si>
    <t>D-7603</t>
  </si>
  <si>
    <t>D-7604</t>
  </si>
  <si>
    <t>D-7605</t>
  </si>
  <si>
    <t>D-7606</t>
  </si>
  <si>
    <t>D-7607</t>
  </si>
  <si>
    <t>D-7608</t>
  </si>
  <si>
    <t>D-7609</t>
  </si>
  <si>
    <t>D-7610</t>
  </si>
  <si>
    <t>D-7611</t>
  </si>
  <si>
    <t>D-7612</t>
  </si>
  <si>
    <t>D-7613</t>
  </si>
  <si>
    <t>D-7614</t>
  </si>
  <si>
    <t>D-7615</t>
  </si>
  <si>
    <t>D-7616</t>
  </si>
  <si>
    <t>D-7617</t>
  </si>
  <si>
    <t>D-7618</t>
  </si>
  <si>
    <t>D-7619</t>
  </si>
  <si>
    <t>D-7620</t>
  </si>
  <si>
    <t>D-7621</t>
  </si>
  <si>
    <t>D-7622</t>
  </si>
  <si>
    <t>D-7623</t>
  </si>
  <si>
    <t>D-7624</t>
  </si>
  <si>
    <t>D-7625</t>
  </si>
  <si>
    <t>D-7626</t>
  </si>
  <si>
    <t>D-7627</t>
  </si>
  <si>
    <t>D-7628</t>
  </si>
  <si>
    <t>D-7629</t>
  </si>
  <si>
    <t>D-7630</t>
  </si>
  <si>
    <t>D-7631</t>
  </si>
  <si>
    <t>D-7632</t>
  </si>
  <si>
    <t>D-7633</t>
  </si>
  <si>
    <t>D-7634</t>
  </si>
  <si>
    <t>D-7635</t>
  </si>
  <si>
    <t>D-7636</t>
  </si>
  <si>
    <t>D-7637</t>
  </si>
  <si>
    <t>D-7638</t>
  </si>
  <si>
    <t>D-7639</t>
  </si>
  <si>
    <t>D-7640</t>
  </si>
  <si>
    <t>D-7641</t>
  </si>
  <si>
    <t>D-7642</t>
  </si>
  <si>
    <t>D-7643</t>
  </si>
  <si>
    <t>D-7644</t>
  </si>
  <si>
    <t>D-7645</t>
  </si>
  <si>
    <t>D-7646</t>
  </si>
  <si>
    <t>D-7647</t>
  </si>
  <si>
    <t>D-7648</t>
  </si>
  <si>
    <t>D-7649</t>
  </si>
  <si>
    <t>D-7650</t>
  </si>
  <si>
    <t>D-7651</t>
  </si>
  <si>
    <t>D-7652</t>
  </si>
  <si>
    <t>D-7653</t>
  </si>
  <si>
    <t>D-7654</t>
  </si>
  <si>
    <t>D-7655</t>
  </si>
  <si>
    <t>D-7656</t>
  </si>
  <si>
    <r>
      <t xml:space="preserve">(72)JUANITA  LEDO   </t>
    </r>
    <r>
      <rPr>
        <b/>
        <sz val="12"/>
        <color rgb="FFFF0000"/>
        <rFont val="Calibri"/>
        <family val="2"/>
        <scheme val="minor"/>
      </rPr>
      <t>CANCELADA</t>
    </r>
  </si>
  <si>
    <t>se sustituyo x la 7657 D</t>
  </si>
  <si>
    <t>D-7657</t>
  </si>
  <si>
    <t>D-7658</t>
  </si>
  <si>
    <t>D-7659</t>
  </si>
  <si>
    <t>D-7660</t>
  </si>
  <si>
    <t>D-7661</t>
  </si>
  <si>
    <t>D-7662</t>
  </si>
  <si>
    <t>D-7663</t>
  </si>
  <si>
    <t>D-7664</t>
  </si>
  <si>
    <t>D-7665</t>
  </si>
  <si>
    <t>D-7666</t>
  </si>
  <si>
    <t>D-7667</t>
  </si>
  <si>
    <t>D-7668</t>
  </si>
  <si>
    <t>D-7669</t>
  </si>
  <si>
    <t>D-7670</t>
  </si>
  <si>
    <t>D-7671</t>
  </si>
  <si>
    <t>D-7672</t>
  </si>
  <si>
    <t>D-7673</t>
  </si>
  <si>
    <t>D-7674</t>
  </si>
  <si>
    <t>D-7675</t>
  </si>
  <si>
    <t>D-7676</t>
  </si>
  <si>
    <t>D-7677</t>
  </si>
  <si>
    <t>D-7678</t>
  </si>
  <si>
    <t>D-7679</t>
  </si>
  <si>
    <r>
      <t xml:space="preserve">(643)LA PRINCESA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</si>
  <si>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7680 D</t>
  </si>
  <si>
    <t>D-7680</t>
  </si>
  <si>
    <t>22-Ago-22--23-Ago-22</t>
  </si>
  <si>
    <t>D-7681</t>
  </si>
  <si>
    <t>D-7682</t>
  </si>
  <si>
    <t>D-7683</t>
  </si>
  <si>
    <t>D-7684</t>
  </si>
  <si>
    <t>D-7685</t>
  </si>
  <si>
    <t>D-7686</t>
  </si>
  <si>
    <t>D-7687</t>
  </si>
  <si>
    <t>D-7688</t>
  </si>
  <si>
    <t>D-7689</t>
  </si>
  <si>
    <t>D-7690</t>
  </si>
  <si>
    <t>D-7691</t>
  </si>
  <si>
    <t>D-7692</t>
  </si>
  <si>
    <t>D-7693</t>
  </si>
  <si>
    <t>D-7694</t>
  </si>
  <si>
    <t>D-7695</t>
  </si>
  <si>
    <t>D-7696</t>
  </si>
  <si>
    <t>D-7697</t>
  </si>
  <si>
    <t>D-7698</t>
  </si>
  <si>
    <t>D-7699</t>
  </si>
  <si>
    <t>D-7700</t>
  </si>
  <si>
    <t>D-7701</t>
  </si>
  <si>
    <t>D-7702</t>
  </si>
  <si>
    <t>D-7703</t>
  </si>
  <si>
    <t>D-7704</t>
  </si>
  <si>
    <t>D-7705</t>
  </si>
  <si>
    <t>D-7706</t>
  </si>
  <si>
    <t>D-7707</t>
  </si>
  <si>
    <t>D-7708</t>
  </si>
  <si>
    <t>D-7709</t>
  </si>
  <si>
    <t>D-7710</t>
  </si>
  <si>
    <t>D-7711</t>
  </si>
  <si>
    <t>D-7712</t>
  </si>
  <si>
    <t>D-7713</t>
  </si>
  <si>
    <t>D-7714</t>
  </si>
  <si>
    <t>D-7715</t>
  </si>
  <si>
    <t>D-7716</t>
  </si>
  <si>
    <t>D-7717</t>
  </si>
  <si>
    <t>D-7718</t>
  </si>
  <si>
    <t>D-7719</t>
  </si>
  <si>
    <t>D-7720</t>
  </si>
  <si>
    <r>
      <t xml:space="preserve">(311)ALBERTO ARROYO  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</si>
  <si>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7722 D</t>
  </si>
  <si>
    <t>D-7721</t>
  </si>
  <si>
    <t>D-7722</t>
  </si>
  <si>
    <t>D-7723</t>
  </si>
  <si>
    <t>D-7724</t>
  </si>
  <si>
    <t>D-7725</t>
  </si>
  <si>
    <t>D-7726</t>
  </si>
  <si>
    <t>D-7727</t>
  </si>
  <si>
    <t>D-7728</t>
  </si>
  <si>
    <t>D-7729</t>
  </si>
  <si>
    <t>D-7730</t>
  </si>
  <si>
    <t>D-7731</t>
  </si>
  <si>
    <t>D-7732</t>
  </si>
  <si>
    <t>D-7733</t>
  </si>
  <si>
    <t>D-7734</t>
  </si>
  <si>
    <t>D-7735</t>
  </si>
  <si>
    <t>D-7736</t>
  </si>
  <si>
    <t>D-7737</t>
  </si>
  <si>
    <r>
      <t xml:space="preserve">(451)SERGIO LEDO 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</si>
  <si>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7741 D</t>
  </si>
  <si>
    <t>D-7738</t>
  </si>
  <si>
    <t>D-7739</t>
  </si>
  <si>
    <t>D-7740</t>
  </si>
  <si>
    <t>D-7741</t>
  </si>
  <si>
    <t>D-7742</t>
  </si>
  <si>
    <t>D-7743</t>
  </si>
  <si>
    <t>D-7744</t>
  </si>
  <si>
    <t>D-7745</t>
  </si>
  <si>
    <t>D-7746</t>
  </si>
  <si>
    <t>D-7747</t>
  </si>
  <si>
    <t>D-7748</t>
  </si>
  <si>
    <t>D-7749</t>
  </si>
  <si>
    <t>D-7750</t>
  </si>
  <si>
    <t>D-7751</t>
  </si>
  <si>
    <t>D-7752</t>
  </si>
  <si>
    <t>D-7753</t>
  </si>
  <si>
    <t>D-7754</t>
  </si>
  <si>
    <r>
      <t xml:space="preserve">(9)EL PASTORCITO I  </t>
    </r>
    <r>
      <rPr>
        <b/>
        <sz val="12"/>
        <color rgb="FFFF0000"/>
        <rFont val="Calibri"/>
        <family val="2"/>
        <scheme val="minor"/>
      </rPr>
      <t>CANCELADA</t>
    </r>
  </si>
  <si>
    <t>se sustituyo x la 7757 D</t>
  </si>
  <si>
    <t>D-7755</t>
  </si>
  <si>
    <t>D-7756</t>
  </si>
  <si>
    <t>D-7757</t>
  </si>
  <si>
    <t>D-7758</t>
  </si>
  <si>
    <t>D-7759</t>
  </si>
  <si>
    <t>D-7760</t>
  </si>
  <si>
    <t>D-7761</t>
  </si>
  <si>
    <t>D-7762</t>
  </si>
  <si>
    <t>D-7763</t>
  </si>
  <si>
    <t>D-7764</t>
  </si>
  <si>
    <t>D-7765</t>
  </si>
  <si>
    <t>D-7766</t>
  </si>
  <si>
    <t>D-7767</t>
  </si>
  <si>
    <t>D-7768</t>
  </si>
  <si>
    <t>D-7769</t>
  </si>
  <si>
    <t>D-7770</t>
  </si>
  <si>
    <t>D-7771</t>
  </si>
  <si>
    <t>D-7772</t>
  </si>
  <si>
    <t>D-7773</t>
  </si>
  <si>
    <t>D-7774</t>
  </si>
  <si>
    <t>D-7775</t>
  </si>
  <si>
    <t>D-7776</t>
  </si>
  <si>
    <t>D-7777</t>
  </si>
  <si>
    <t>D-7778</t>
  </si>
  <si>
    <t>D-7779</t>
  </si>
  <si>
    <t>D-7780</t>
  </si>
  <si>
    <t>D-7781</t>
  </si>
  <si>
    <t>D-7782</t>
  </si>
  <si>
    <t>D-7783</t>
  </si>
  <si>
    <t>D-7784</t>
  </si>
  <si>
    <t>D-7785</t>
  </si>
  <si>
    <t>D-7786</t>
  </si>
  <si>
    <t>D-7787</t>
  </si>
  <si>
    <t>D-7788</t>
  </si>
  <si>
    <t>D-7789</t>
  </si>
  <si>
    <t>D-7790</t>
  </si>
  <si>
    <t>D-7791</t>
  </si>
  <si>
    <t>D-7792</t>
  </si>
  <si>
    <t>D-7793</t>
  </si>
  <si>
    <t>D-7794</t>
  </si>
  <si>
    <t>D-7795</t>
  </si>
  <si>
    <t>D-7796</t>
  </si>
  <si>
    <t>D-7797</t>
  </si>
  <si>
    <t>D-7798</t>
  </si>
  <si>
    <t>D-7799</t>
  </si>
  <si>
    <t>D-7800</t>
  </si>
  <si>
    <t>D-7801</t>
  </si>
  <si>
    <t>D-7802</t>
  </si>
  <si>
    <t>D-7803</t>
  </si>
  <si>
    <t>D-7804</t>
  </si>
  <si>
    <t>D-7805</t>
  </si>
  <si>
    <t>D-7806</t>
  </si>
  <si>
    <t>D-7807</t>
  </si>
  <si>
    <t>D-7808</t>
  </si>
  <si>
    <t>D-7809</t>
  </si>
  <si>
    <t>D-7810</t>
  </si>
  <si>
    <t>D-7811</t>
  </si>
  <si>
    <t>D-7812</t>
  </si>
  <si>
    <t>D-7813</t>
  </si>
  <si>
    <t>D-7814</t>
  </si>
  <si>
    <t>D-7815</t>
  </si>
  <si>
    <t>D-7816</t>
  </si>
  <si>
    <t>D-7817</t>
  </si>
  <si>
    <t>D-7818</t>
  </si>
  <si>
    <t>D-7819</t>
  </si>
  <si>
    <t>D-7820</t>
  </si>
  <si>
    <t>D-7821</t>
  </si>
  <si>
    <t>D-7822</t>
  </si>
  <si>
    <t>D-7823</t>
  </si>
  <si>
    <t>D-7824</t>
  </si>
  <si>
    <t>D-7825</t>
  </si>
  <si>
    <t>D-7826</t>
  </si>
  <si>
    <t>D-7827</t>
  </si>
  <si>
    <t>D-7828</t>
  </si>
  <si>
    <t>D-7829</t>
  </si>
  <si>
    <t>D-7830</t>
  </si>
  <si>
    <t>D-7831</t>
  </si>
  <si>
    <t>D-7832</t>
  </si>
  <si>
    <t>D-7833</t>
  </si>
  <si>
    <t>D-7834</t>
  </si>
  <si>
    <t>D-7835</t>
  </si>
  <si>
    <t>D-7836</t>
  </si>
  <si>
    <t>D-7837</t>
  </si>
  <si>
    <t>D-7838</t>
  </si>
  <si>
    <t>D-7839</t>
  </si>
  <si>
    <t>D-7840</t>
  </si>
  <si>
    <t>D-7841</t>
  </si>
  <si>
    <t>D-7842</t>
  </si>
  <si>
    <t>D-7843</t>
  </si>
  <si>
    <t>D-7844</t>
  </si>
  <si>
    <t>D-7845</t>
  </si>
  <si>
    <t>23-Ago-22--24-Ago-22</t>
  </si>
  <si>
    <t>D-7846</t>
  </si>
  <si>
    <t>22-Ago-22--24-Ago-22</t>
  </si>
  <si>
    <t>D-7847</t>
  </si>
  <si>
    <t>D-7848</t>
  </si>
  <si>
    <t>D-7849</t>
  </si>
  <si>
    <t>D-7850</t>
  </si>
  <si>
    <t>D-7851</t>
  </si>
  <si>
    <t>D-7852</t>
  </si>
  <si>
    <t>D-7853</t>
  </si>
  <si>
    <t>D-7854</t>
  </si>
  <si>
    <t>D-7855</t>
  </si>
  <si>
    <t>D-7856</t>
  </si>
  <si>
    <t>D-7857</t>
  </si>
  <si>
    <t>D-7858</t>
  </si>
  <si>
    <t>D-7859</t>
  </si>
  <si>
    <t>D-7860</t>
  </si>
  <si>
    <t>D-7861</t>
  </si>
  <si>
    <t>D-7862</t>
  </si>
  <si>
    <t>D-7863</t>
  </si>
  <si>
    <t>D-7864</t>
  </si>
  <si>
    <t>D-7865</t>
  </si>
  <si>
    <t>D-7866</t>
  </si>
  <si>
    <t>D-7867</t>
  </si>
  <si>
    <t>D-7868</t>
  </si>
  <si>
    <t>D-7869</t>
  </si>
  <si>
    <t>D-7870</t>
  </si>
  <si>
    <t>D-7871</t>
  </si>
  <si>
    <t>D-7872</t>
  </si>
  <si>
    <t>D-7873</t>
  </si>
  <si>
    <t>D-7874</t>
  </si>
  <si>
    <t>D-7875</t>
  </si>
  <si>
    <t>D-7876</t>
  </si>
  <si>
    <t>D-7877</t>
  </si>
  <si>
    <t>D-7878</t>
  </si>
  <si>
    <t>D-7879</t>
  </si>
  <si>
    <t>D-7880</t>
  </si>
  <si>
    <t>D-7881</t>
  </si>
  <si>
    <t>D-7882</t>
  </si>
  <si>
    <t>D-7883</t>
  </si>
  <si>
    <t>D-7884</t>
  </si>
  <si>
    <t>D-7885</t>
  </si>
  <si>
    <t>D-7886</t>
  </si>
  <si>
    <t>D-7887</t>
  </si>
  <si>
    <t>D-7888</t>
  </si>
  <si>
    <t>D-7889</t>
  </si>
  <si>
    <t>D-7890</t>
  </si>
  <si>
    <t>D-7891</t>
  </si>
  <si>
    <t>D-7892</t>
  </si>
  <si>
    <t>D-7893</t>
  </si>
  <si>
    <t>D-7894</t>
  </si>
  <si>
    <t>D-7895</t>
  </si>
  <si>
    <t>D-7896</t>
  </si>
  <si>
    <t>D-7897</t>
  </si>
  <si>
    <t>D-7898</t>
  </si>
  <si>
    <t>D-7899</t>
  </si>
  <si>
    <t>D-7900</t>
  </si>
  <si>
    <r>
      <t xml:space="preserve">(303)SRA CORONA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</si>
  <si>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7901 D</t>
  </si>
  <si>
    <t>D-7901</t>
  </si>
  <si>
    <t>D-7902</t>
  </si>
  <si>
    <t>D-7903</t>
  </si>
  <si>
    <t>D-7904</t>
  </si>
  <si>
    <t>D-7905</t>
  </si>
  <si>
    <t>D-7906</t>
  </si>
  <si>
    <t>D-7907</t>
  </si>
  <si>
    <t>D-7908</t>
  </si>
  <si>
    <t>D-7909</t>
  </si>
  <si>
    <t>D-7910</t>
  </si>
  <si>
    <t>D-7911</t>
  </si>
  <si>
    <t>D-7912</t>
  </si>
  <si>
    <t>D-7913</t>
  </si>
  <si>
    <t>D-7914</t>
  </si>
  <si>
    <t>D-7915</t>
  </si>
  <si>
    <t>D-7916</t>
  </si>
  <si>
    <t>D-7917</t>
  </si>
  <si>
    <t>D-7918</t>
  </si>
  <si>
    <t>D-7919</t>
  </si>
  <si>
    <t>D-7920</t>
  </si>
  <si>
    <r>
      <t xml:space="preserve">(839)RESTAURANT EL TEOTON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</si>
  <si>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7924 D</t>
  </si>
  <si>
    <t>D-7921</t>
  </si>
  <si>
    <t>D-7922</t>
  </si>
  <si>
    <t>D-7923</t>
  </si>
  <si>
    <t>D-7924</t>
  </si>
  <si>
    <t>D-7925</t>
  </si>
  <si>
    <t>D-7926</t>
  </si>
  <si>
    <t>D-7927</t>
  </si>
  <si>
    <t>D-7928</t>
  </si>
  <si>
    <t>D-7929</t>
  </si>
  <si>
    <t>D-7930</t>
  </si>
  <si>
    <t>D-7931</t>
  </si>
  <si>
    <t>D-7932</t>
  </si>
  <si>
    <t>D-7933</t>
  </si>
  <si>
    <t>D-7934</t>
  </si>
  <si>
    <t>D-7935</t>
  </si>
  <si>
    <t>D-7936</t>
  </si>
  <si>
    <t>D-7937</t>
  </si>
  <si>
    <t>D-7938</t>
  </si>
  <si>
    <t>D-7939</t>
  </si>
  <si>
    <t>30-Ago-22-----03/09/2022</t>
  </si>
  <si>
    <t>D-7940</t>
  </si>
  <si>
    <t>D-7941</t>
  </si>
  <si>
    <t>D-7942</t>
  </si>
  <si>
    <t>D-7943</t>
  </si>
  <si>
    <t>D-7944</t>
  </si>
  <si>
    <t>D-7945</t>
  </si>
  <si>
    <t>24-Ago-22--25-Ago-22</t>
  </si>
  <si>
    <t>D-7946</t>
  </si>
  <si>
    <t>D-7947</t>
  </si>
  <si>
    <t>D-7948</t>
  </si>
  <si>
    <t>D-7949</t>
  </si>
  <si>
    <t>D-7950</t>
  </si>
  <si>
    <t>D-7951</t>
  </si>
  <si>
    <t>D-7952</t>
  </si>
  <si>
    <t>25-Ago-22--26-Ago-22</t>
  </si>
  <si>
    <t>D-7953</t>
  </si>
  <si>
    <t>D-7954</t>
  </si>
  <si>
    <t>D-7955</t>
  </si>
  <si>
    <t>D-7956</t>
  </si>
  <si>
    <t>D-7957</t>
  </si>
  <si>
    <t>D-7958</t>
  </si>
  <si>
    <t>D-7959</t>
  </si>
  <si>
    <t>D-7960</t>
  </si>
  <si>
    <t>D-7961</t>
  </si>
  <si>
    <t>D-7962</t>
  </si>
  <si>
    <t>D-7963</t>
  </si>
  <si>
    <t>D-7964</t>
  </si>
  <si>
    <t>D-7965</t>
  </si>
  <si>
    <t>D-7966</t>
  </si>
  <si>
    <t>D-7967</t>
  </si>
  <si>
    <t>D-7968</t>
  </si>
  <si>
    <t>D-7969</t>
  </si>
  <si>
    <t>D-7970</t>
  </si>
  <si>
    <t>D-7971</t>
  </si>
  <si>
    <t>D-7972</t>
  </si>
  <si>
    <t>D-7973</t>
  </si>
  <si>
    <t>D-7974</t>
  </si>
  <si>
    <t>D-7975</t>
  </si>
  <si>
    <t>D-7976</t>
  </si>
  <si>
    <r>
      <t xml:space="preserve">(113)SAGRADO CORAZON HEROES  </t>
    </r>
    <r>
      <rPr>
        <b/>
        <sz val="12"/>
        <color rgb="FFFF0000"/>
        <rFont val="Calibri"/>
        <family val="2"/>
        <scheme val="minor"/>
      </rPr>
      <t>CANCELADA</t>
    </r>
  </si>
  <si>
    <t>se sustituyo x la 8060 D</t>
  </si>
  <si>
    <t>D-7977</t>
  </si>
  <si>
    <t>D-7978</t>
  </si>
  <si>
    <t>D-7979</t>
  </si>
  <si>
    <t>D-7980</t>
  </si>
  <si>
    <t>D-7981</t>
  </si>
  <si>
    <t>D-7982</t>
  </si>
  <si>
    <t>D-7983</t>
  </si>
  <si>
    <t>D-7984</t>
  </si>
  <si>
    <t>D-7985</t>
  </si>
  <si>
    <t>D-7986</t>
  </si>
  <si>
    <t>D-7987</t>
  </si>
  <si>
    <t>D-7988</t>
  </si>
  <si>
    <t>D-7989</t>
  </si>
  <si>
    <r>
      <t xml:space="preserve">(19)ANGEL MARQUEZ  </t>
    </r>
    <r>
      <rPr>
        <b/>
        <sz val="12"/>
        <color rgb="FFFF0000"/>
        <rFont val="Calibri"/>
        <family val="2"/>
        <scheme val="minor"/>
      </rPr>
      <t>CANCELADA</t>
    </r>
  </si>
  <si>
    <t>se sustituyo x la 8010 D</t>
  </si>
  <si>
    <t>D-7990</t>
  </si>
  <si>
    <t>D-7991</t>
  </si>
  <si>
    <t>D-7992</t>
  </si>
  <si>
    <t>D-7993</t>
  </si>
  <si>
    <t>D-7994</t>
  </si>
  <si>
    <t>D-7995</t>
  </si>
  <si>
    <t>D-7996</t>
  </si>
  <si>
    <t>D-7997</t>
  </si>
  <si>
    <t>D-7998</t>
  </si>
  <si>
    <t>D-7999</t>
  </si>
  <si>
    <t>D-8000</t>
  </si>
  <si>
    <t>D-8001</t>
  </si>
  <si>
    <t>D-8002</t>
  </si>
  <si>
    <t>D-8003</t>
  </si>
  <si>
    <t>D-8004</t>
  </si>
  <si>
    <t>D-8005</t>
  </si>
  <si>
    <t>D-8006</t>
  </si>
  <si>
    <t>D-8007</t>
  </si>
  <si>
    <t>D-8008</t>
  </si>
  <si>
    <t>D-8009</t>
  </si>
  <si>
    <t>D-8010</t>
  </si>
  <si>
    <t>D-8011</t>
  </si>
  <si>
    <t>D-8012</t>
  </si>
  <si>
    <t>D-8013</t>
  </si>
  <si>
    <t>D-8014</t>
  </si>
  <si>
    <t>D-8015</t>
  </si>
  <si>
    <t>D-8016</t>
  </si>
  <si>
    <t>D-8017</t>
  </si>
  <si>
    <t>D-8018</t>
  </si>
  <si>
    <t>D-8019</t>
  </si>
  <si>
    <t>D-8020</t>
  </si>
  <si>
    <t>D-8021</t>
  </si>
  <si>
    <t>D-8022</t>
  </si>
  <si>
    <t>D-8023</t>
  </si>
  <si>
    <t>D-8024</t>
  </si>
  <si>
    <t>D-8025</t>
  </si>
  <si>
    <t>D-8026</t>
  </si>
  <si>
    <t>D-8027</t>
  </si>
  <si>
    <t>D-8028</t>
  </si>
  <si>
    <t>D-8029</t>
  </si>
  <si>
    <t>D-8030</t>
  </si>
  <si>
    <t>D-8031</t>
  </si>
  <si>
    <t>D-8032</t>
  </si>
  <si>
    <t>D-8033</t>
  </si>
  <si>
    <t>D-8034</t>
  </si>
  <si>
    <t>D-8035</t>
  </si>
  <si>
    <t>D-8036</t>
  </si>
  <si>
    <t>D-8037</t>
  </si>
  <si>
    <t>D-8038</t>
  </si>
  <si>
    <t>D-8039</t>
  </si>
  <si>
    <t>D-8040</t>
  </si>
  <si>
    <t>se sustituyo x la  8041 D</t>
  </si>
  <si>
    <t>D-8041</t>
  </si>
  <si>
    <t>D-8042</t>
  </si>
  <si>
    <t>D-8043</t>
  </si>
  <si>
    <t>D-8044</t>
  </si>
  <si>
    <t>D-8045</t>
  </si>
  <si>
    <t>D-8046</t>
  </si>
  <si>
    <t>D-8047</t>
  </si>
  <si>
    <t>D-8048</t>
  </si>
  <si>
    <t>07/09/2022</t>
  </si>
  <si>
    <t>D-8049</t>
  </si>
  <si>
    <t>D-8050</t>
  </si>
  <si>
    <t>D-8051</t>
  </si>
  <si>
    <t>D-8052</t>
  </si>
  <si>
    <t>D-8053</t>
  </si>
  <si>
    <t>D-8054</t>
  </si>
  <si>
    <t>D-8055</t>
  </si>
  <si>
    <t>D-8056</t>
  </si>
  <si>
    <t>D-8057</t>
  </si>
  <si>
    <t>D-8058</t>
  </si>
  <si>
    <t>D-8059</t>
  </si>
  <si>
    <t>D-8060</t>
  </si>
  <si>
    <t>D-8061</t>
  </si>
  <si>
    <t>D-8062</t>
  </si>
  <si>
    <t>D-8063</t>
  </si>
  <si>
    <t>D-8064</t>
  </si>
  <si>
    <t>D-8065</t>
  </si>
  <si>
    <t>D-8066</t>
  </si>
  <si>
    <t>D-8067</t>
  </si>
  <si>
    <t>D-8068</t>
  </si>
  <si>
    <t>D-8069</t>
  </si>
  <si>
    <t>D-8070</t>
  </si>
  <si>
    <t>D-8071</t>
  </si>
  <si>
    <t>D-8072</t>
  </si>
  <si>
    <t>D-8073</t>
  </si>
  <si>
    <t>D-8074</t>
  </si>
  <si>
    <t>D-8075</t>
  </si>
  <si>
    <t>D-8076</t>
  </si>
  <si>
    <t>D-8077</t>
  </si>
  <si>
    <t>D-8078</t>
  </si>
  <si>
    <t>D-8079</t>
  </si>
  <si>
    <t>D-8080</t>
  </si>
  <si>
    <t>D-8081</t>
  </si>
  <si>
    <t>D-8082</t>
  </si>
  <si>
    <t>D-8083</t>
  </si>
  <si>
    <r>
      <t>(34)HILDA LUNA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</si>
  <si>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D-8084</t>
  </si>
  <si>
    <t>D-8085</t>
  </si>
  <si>
    <t>D-8086</t>
  </si>
  <si>
    <t>D-8087</t>
  </si>
  <si>
    <t>D-8088</t>
  </si>
  <si>
    <t>D-8089</t>
  </si>
  <si>
    <t>D-8090</t>
  </si>
  <si>
    <t>D-8091</t>
  </si>
  <si>
    <t>D-8092</t>
  </si>
  <si>
    <t>D-8093</t>
  </si>
  <si>
    <t>D-8094</t>
  </si>
  <si>
    <t>D-8095</t>
  </si>
  <si>
    <t>D-8096</t>
  </si>
  <si>
    <t>D-8097</t>
  </si>
  <si>
    <t>D-8098</t>
  </si>
  <si>
    <t>D-8099</t>
  </si>
  <si>
    <t>D-8100</t>
  </si>
  <si>
    <t>(908)GUILLERMO BARRAGAN ALTEPEJI</t>
  </si>
  <si>
    <t>D-8101</t>
  </si>
  <si>
    <t>D-8102</t>
  </si>
  <si>
    <t>D-8103</t>
  </si>
  <si>
    <t>D-8104</t>
  </si>
  <si>
    <t>D-8105</t>
  </si>
  <si>
    <t>D-8106</t>
  </si>
  <si>
    <t>D-8107</t>
  </si>
  <si>
    <t>D-8108</t>
  </si>
  <si>
    <t>D-8109</t>
  </si>
  <si>
    <t>D-8110</t>
  </si>
  <si>
    <t>D-8111</t>
  </si>
  <si>
    <t>D-8112</t>
  </si>
  <si>
    <t>D-8113</t>
  </si>
  <si>
    <t>D-8114</t>
  </si>
  <si>
    <t>D-8115</t>
  </si>
  <si>
    <t>D-8116</t>
  </si>
  <si>
    <t>(645)FERNANDO ROSAS</t>
  </si>
  <si>
    <t>D-8117</t>
  </si>
  <si>
    <t>D-8118</t>
  </si>
  <si>
    <t>D-8119</t>
  </si>
  <si>
    <t>D-8120</t>
  </si>
  <si>
    <t>D-8121</t>
  </si>
  <si>
    <t>D-8122</t>
  </si>
  <si>
    <t>D-8123</t>
  </si>
  <si>
    <t>D-8124</t>
  </si>
  <si>
    <t>D-8125</t>
  </si>
  <si>
    <t>D-8126</t>
  </si>
  <si>
    <t>D-8127</t>
  </si>
  <si>
    <t>D-8128</t>
  </si>
  <si>
    <t>D-8129</t>
  </si>
  <si>
    <t>D-8130</t>
  </si>
  <si>
    <t>D-8131</t>
  </si>
  <si>
    <t>D-8132</t>
  </si>
  <si>
    <t>D-8133</t>
  </si>
  <si>
    <t>D-8134</t>
  </si>
  <si>
    <t>D-8135</t>
  </si>
  <si>
    <t>D-8136</t>
  </si>
  <si>
    <t>D-8137</t>
  </si>
  <si>
    <t>D-8138</t>
  </si>
  <si>
    <t>D-8139</t>
  </si>
  <si>
    <t>D-8140</t>
  </si>
  <si>
    <t>D-8141</t>
  </si>
  <si>
    <t>D-8142</t>
  </si>
  <si>
    <t>D-8143</t>
  </si>
  <si>
    <t>D-8144</t>
  </si>
  <si>
    <t>D-8145</t>
  </si>
  <si>
    <t>D-8146</t>
  </si>
  <si>
    <t>D-8147</t>
  </si>
  <si>
    <t>D-8148</t>
  </si>
  <si>
    <t>D-8149</t>
  </si>
  <si>
    <t>D-8150</t>
  </si>
  <si>
    <t>D-8151</t>
  </si>
  <si>
    <t>D-8152</t>
  </si>
  <si>
    <t>D-8153</t>
  </si>
  <si>
    <t>D-8154</t>
  </si>
  <si>
    <t>D-8155</t>
  </si>
  <si>
    <t>D-8156</t>
  </si>
  <si>
    <t>D-8157</t>
  </si>
  <si>
    <t>D-8158</t>
  </si>
  <si>
    <r>
      <t xml:space="preserve">(646)SANTIAGO HERRADURA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</si>
  <si>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D-8159</t>
  </si>
  <si>
    <t>D-8160</t>
  </si>
  <si>
    <t>D-8161</t>
  </si>
  <si>
    <t>D-8162</t>
  </si>
  <si>
    <t>D-8163</t>
  </si>
  <si>
    <t>D-8164</t>
  </si>
  <si>
    <t>D-8165</t>
  </si>
  <si>
    <t>D-8166</t>
  </si>
  <si>
    <t>D-8167</t>
  </si>
  <si>
    <t>D-8168</t>
  </si>
  <si>
    <t>D-8169</t>
  </si>
  <si>
    <t>D-8170</t>
  </si>
  <si>
    <t>D-8171</t>
  </si>
  <si>
    <t>D-8172</t>
  </si>
  <si>
    <t>D-8173</t>
  </si>
  <si>
    <t>se sustituyo x la  8254 D</t>
  </si>
  <si>
    <t>D-8174</t>
  </si>
  <si>
    <t>D-8175</t>
  </si>
  <si>
    <t>D-8176</t>
  </si>
  <si>
    <t>D-8177</t>
  </si>
  <si>
    <t>D-8178</t>
  </si>
  <si>
    <t>D-8179</t>
  </si>
  <si>
    <t>D-8180</t>
  </si>
  <si>
    <t>D-8181</t>
  </si>
  <si>
    <t>D-8182</t>
  </si>
  <si>
    <t>D-8183</t>
  </si>
  <si>
    <t>D-8184</t>
  </si>
  <si>
    <t>D-8185</t>
  </si>
  <si>
    <t>D-8186</t>
  </si>
  <si>
    <t>D-8187</t>
  </si>
  <si>
    <t>D-8188</t>
  </si>
  <si>
    <t>D-8189</t>
  </si>
  <si>
    <t>D-8190</t>
  </si>
  <si>
    <t>D-8191</t>
  </si>
  <si>
    <t>D-8192</t>
  </si>
  <si>
    <t>D-8193</t>
  </si>
  <si>
    <t>D-8194</t>
  </si>
  <si>
    <t>D-8195</t>
  </si>
  <si>
    <t>D-8196</t>
  </si>
  <si>
    <t>D-8197</t>
  </si>
  <si>
    <t>D-8198</t>
  </si>
  <si>
    <t>D-8199</t>
  </si>
  <si>
    <t>D-8200</t>
  </si>
  <si>
    <t>D-8201</t>
  </si>
  <si>
    <t>D-8202</t>
  </si>
  <si>
    <t>D-8203</t>
  </si>
  <si>
    <t>D-8204</t>
  </si>
  <si>
    <t>D-8205</t>
  </si>
  <si>
    <t>D-8206</t>
  </si>
  <si>
    <t>D-8207</t>
  </si>
  <si>
    <t>D-8208</t>
  </si>
  <si>
    <t>D-8209</t>
  </si>
  <si>
    <t>D-8210</t>
  </si>
  <si>
    <t>D-8211</t>
  </si>
  <si>
    <t>D-8212</t>
  </si>
  <si>
    <t>D-8213</t>
  </si>
  <si>
    <t>D-8214</t>
  </si>
  <si>
    <t>D-8215</t>
  </si>
  <si>
    <t>D-8216</t>
  </si>
  <si>
    <t>D-8217</t>
  </si>
  <si>
    <t>D-8218</t>
  </si>
  <si>
    <t>D-8219</t>
  </si>
  <si>
    <t>D-8220</t>
  </si>
  <si>
    <t>D-8221</t>
  </si>
  <si>
    <t>D-8222</t>
  </si>
  <si>
    <t>D-8223</t>
  </si>
  <si>
    <t>D-8224</t>
  </si>
  <si>
    <t>D-8225</t>
  </si>
  <si>
    <t>D-8226</t>
  </si>
  <si>
    <t>D-8227</t>
  </si>
  <si>
    <t>D-8228</t>
  </si>
  <si>
    <t>D-8229</t>
  </si>
  <si>
    <t>D-8230</t>
  </si>
  <si>
    <t>D-8231</t>
  </si>
  <si>
    <t>D-8232</t>
  </si>
  <si>
    <t>D-8233</t>
  </si>
  <si>
    <t>D-8234</t>
  </si>
  <si>
    <t>D-8235</t>
  </si>
  <si>
    <t>D-8236</t>
  </si>
  <si>
    <t>D-8237</t>
  </si>
  <si>
    <t>D-8238</t>
  </si>
  <si>
    <t>D-8239</t>
  </si>
  <si>
    <t>D-8240</t>
  </si>
  <si>
    <t>D-8241</t>
  </si>
  <si>
    <t>D-8242</t>
  </si>
  <si>
    <t>D-8243</t>
  </si>
  <si>
    <t>D-8244</t>
  </si>
  <si>
    <t>D-8245</t>
  </si>
  <si>
    <t>D-8246</t>
  </si>
  <si>
    <t>D-8247</t>
  </si>
  <si>
    <t>D-8248</t>
  </si>
  <si>
    <t>D-8249</t>
  </si>
  <si>
    <t>D-8250</t>
  </si>
  <si>
    <t>D-8251</t>
  </si>
  <si>
    <t>D-8252</t>
  </si>
  <si>
    <t>D-8253</t>
  </si>
  <si>
    <t>D-8254</t>
  </si>
  <si>
    <t>27-Ago-22--29-Ago-22</t>
  </si>
  <si>
    <t>D-8255</t>
  </si>
  <si>
    <t>D-8256</t>
  </si>
  <si>
    <t>D-8257</t>
  </si>
  <si>
    <t>D-8258</t>
  </si>
  <si>
    <t>D-8259</t>
  </si>
  <si>
    <t>D-8260</t>
  </si>
  <si>
    <t>D-8261</t>
  </si>
  <si>
    <t>D-8262</t>
  </si>
  <si>
    <t>D-8263</t>
  </si>
  <si>
    <t>D-8264</t>
  </si>
  <si>
    <t>D-8265</t>
  </si>
  <si>
    <t>D-8266</t>
  </si>
  <si>
    <t>D-8267</t>
  </si>
  <si>
    <t>D-8268</t>
  </si>
  <si>
    <t>D-8269</t>
  </si>
  <si>
    <t>D-8270</t>
  </si>
  <si>
    <t>D-8271</t>
  </si>
  <si>
    <t>D-8272</t>
  </si>
  <si>
    <t>D-8273</t>
  </si>
  <si>
    <t>D-8274</t>
  </si>
  <si>
    <t>D-8275</t>
  </si>
  <si>
    <t>D-8276</t>
  </si>
  <si>
    <t>D-8277</t>
  </si>
  <si>
    <t>D-8278</t>
  </si>
  <si>
    <t>D-8279</t>
  </si>
  <si>
    <t>D-8280</t>
  </si>
  <si>
    <t>D-8281</t>
  </si>
  <si>
    <t>D-8282</t>
  </si>
  <si>
    <t>D-8283</t>
  </si>
  <si>
    <t xml:space="preserve">  </t>
  </si>
  <si>
    <t>D-8284</t>
  </si>
  <si>
    <t>D-8285</t>
  </si>
  <si>
    <t>D-8286</t>
  </si>
  <si>
    <t>D-8287</t>
  </si>
  <si>
    <t>D-8288</t>
  </si>
  <si>
    <t>D-8289</t>
  </si>
  <si>
    <t>D-8290</t>
  </si>
  <si>
    <t>D-8291</t>
  </si>
  <si>
    <t>D-8292</t>
  </si>
  <si>
    <t>D-8293</t>
  </si>
  <si>
    <t>D-8294</t>
  </si>
  <si>
    <t>D-8295</t>
  </si>
  <si>
    <t>D-8296</t>
  </si>
  <si>
    <t>D-8297</t>
  </si>
  <si>
    <t>D-8298</t>
  </si>
  <si>
    <t>D-8299</t>
  </si>
  <si>
    <t>D-8300</t>
  </si>
  <si>
    <t>D-8301</t>
  </si>
  <si>
    <t>D-8302</t>
  </si>
  <si>
    <t>D-8303</t>
  </si>
  <si>
    <t>D-8304</t>
  </si>
  <si>
    <t>D-8305</t>
  </si>
  <si>
    <t>D-8306</t>
  </si>
  <si>
    <t>D-8307</t>
  </si>
  <si>
    <t>D-8308</t>
  </si>
  <si>
    <t>D-8309</t>
  </si>
  <si>
    <t>D-8310</t>
  </si>
  <si>
    <t>D-8311</t>
  </si>
  <si>
    <t>D-8312</t>
  </si>
  <si>
    <t>D-8313</t>
  </si>
  <si>
    <t>D-8314</t>
  </si>
  <si>
    <t>D-8315</t>
  </si>
  <si>
    <t>D-8316</t>
  </si>
  <si>
    <t>D-8317</t>
  </si>
  <si>
    <t>D-8318</t>
  </si>
  <si>
    <t>D-8319</t>
  </si>
  <si>
    <t>D-8320</t>
  </si>
  <si>
    <t>D-8321</t>
  </si>
  <si>
    <t>D-8322</t>
  </si>
  <si>
    <t>D-8323</t>
  </si>
  <si>
    <t>D-8324</t>
  </si>
  <si>
    <t>D-8325</t>
  </si>
  <si>
    <t>D-8326</t>
  </si>
  <si>
    <t>D-8327</t>
  </si>
  <si>
    <t>D-8328</t>
  </si>
  <si>
    <t>D-8329</t>
  </si>
  <si>
    <t>D-8330</t>
  </si>
  <si>
    <t>D-8331</t>
  </si>
  <si>
    <t>D-8332</t>
  </si>
  <si>
    <t>D-8333</t>
  </si>
  <si>
    <t>D-8334</t>
  </si>
  <si>
    <t>D-8335</t>
  </si>
  <si>
    <t>D-8336</t>
  </si>
  <si>
    <t>D-8337</t>
  </si>
  <si>
    <t>D-8338</t>
  </si>
  <si>
    <t>D-8339</t>
  </si>
  <si>
    <t>D-8340</t>
  </si>
  <si>
    <t>D-8341</t>
  </si>
  <si>
    <t>D-8342</t>
  </si>
  <si>
    <t>D-8343</t>
  </si>
  <si>
    <t>D-8344</t>
  </si>
  <si>
    <t>D-8345</t>
  </si>
  <si>
    <t>D-8346</t>
  </si>
  <si>
    <t>D-8347</t>
  </si>
  <si>
    <t>D-8348</t>
  </si>
  <si>
    <t>D-8349</t>
  </si>
  <si>
    <t>D-8350</t>
  </si>
  <si>
    <t>D-8351</t>
  </si>
  <si>
    <t>D-8352</t>
  </si>
  <si>
    <t>D-8353</t>
  </si>
  <si>
    <t>D-8354</t>
  </si>
  <si>
    <t>D-8355</t>
  </si>
  <si>
    <t>D-8356</t>
  </si>
  <si>
    <t>D-8357</t>
  </si>
  <si>
    <t>D-8358</t>
  </si>
  <si>
    <t>D-8359</t>
  </si>
  <si>
    <t>D-8360</t>
  </si>
  <si>
    <t>D-8361</t>
  </si>
  <si>
    <t>D-8362</t>
  </si>
  <si>
    <t>D-8363</t>
  </si>
  <si>
    <t>D-8364</t>
  </si>
  <si>
    <t>D-8365</t>
  </si>
  <si>
    <t>06/09/2022</t>
  </si>
  <si>
    <t>D-8366</t>
  </si>
  <si>
    <t>D-8367</t>
  </si>
  <si>
    <t>(784)IRENE ARENAS</t>
  </si>
  <si>
    <t>D-8368</t>
  </si>
  <si>
    <t>D-8369</t>
  </si>
  <si>
    <t>D-8370</t>
  </si>
  <si>
    <t>D-8371</t>
  </si>
  <si>
    <t>D-8372</t>
  </si>
  <si>
    <t>D-8373</t>
  </si>
  <si>
    <t>D-8374</t>
  </si>
  <si>
    <t>D-8375</t>
  </si>
  <si>
    <t>D-8376</t>
  </si>
  <si>
    <t>D-8377</t>
  </si>
  <si>
    <t>D-8378</t>
  </si>
  <si>
    <t>D-8379</t>
  </si>
  <si>
    <t>D-8380</t>
  </si>
  <si>
    <t>D-8381</t>
  </si>
  <si>
    <t>D-8382</t>
  </si>
  <si>
    <t>D-8383</t>
  </si>
  <si>
    <t>D-8384</t>
  </si>
  <si>
    <t>D-8385</t>
  </si>
  <si>
    <t>D-8386</t>
  </si>
  <si>
    <t>D-8387</t>
  </si>
  <si>
    <t>D-8388</t>
  </si>
  <si>
    <t>D-8389</t>
  </si>
  <si>
    <t>D-8390</t>
  </si>
  <si>
    <t>D-8391</t>
  </si>
  <si>
    <t>D-8392</t>
  </si>
  <si>
    <t>D-8393</t>
  </si>
  <si>
    <t>se sustituyo x la 8394 D</t>
  </si>
  <si>
    <t>D-8394</t>
  </si>
  <si>
    <t>D-8395</t>
  </si>
  <si>
    <t>D-8396</t>
  </si>
  <si>
    <t>D-8397</t>
  </si>
  <si>
    <t>D-8398</t>
  </si>
  <si>
    <t>D-8399</t>
  </si>
  <si>
    <t>D-8400</t>
  </si>
  <si>
    <t>D-8401</t>
  </si>
  <si>
    <t>D-8402</t>
  </si>
  <si>
    <t>D-8403</t>
  </si>
  <si>
    <t>D-8404</t>
  </si>
  <si>
    <t>D-8405</t>
  </si>
  <si>
    <t>(523)JUAN HUINATL</t>
  </si>
  <si>
    <t>D-8406</t>
  </si>
  <si>
    <t>D-8407</t>
  </si>
  <si>
    <t>D-8408</t>
  </si>
  <si>
    <t>D-8409</t>
  </si>
  <si>
    <t>D-8410</t>
  </si>
  <si>
    <t>D-8411</t>
  </si>
  <si>
    <t>D-8412</t>
  </si>
  <si>
    <t>D-8413</t>
  </si>
  <si>
    <t>03/09/2022</t>
  </si>
  <si>
    <t>D-8414</t>
  </si>
  <si>
    <t>D-8415</t>
  </si>
  <si>
    <t>D-8416</t>
  </si>
  <si>
    <t>D-8417</t>
  </si>
  <si>
    <t>D-8418</t>
  </si>
  <si>
    <t>D-8419</t>
  </si>
  <si>
    <t>D-8420</t>
  </si>
  <si>
    <t>D-8421</t>
  </si>
  <si>
    <t>D-8422</t>
  </si>
  <si>
    <t>D-8423</t>
  </si>
  <si>
    <t>29-Ago-22--30-Ago-22</t>
  </si>
  <si>
    <t>D-8424</t>
  </si>
  <si>
    <t>D-8425</t>
  </si>
  <si>
    <t>D-8426</t>
  </si>
  <si>
    <t>29-Ago-22--30-Ago-22--31-Ago-22</t>
  </si>
  <si>
    <t>D-8427</t>
  </si>
  <si>
    <t>D-8428</t>
  </si>
  <si>
    <t>D-8429</t>
  </si>
  <si>
    <t>D-8430</t>
  </si>
  <si>
    <t>D-8431</t>
  </si>
  <si>
    <t>D-8432</t>
  </si>
  <si>
    <t>D-8433</t>
  </si>
  <si>
    <t>D-8434</t>
  </si>
  <si>
    <t>D-8435</t>
  </si>
  <si>
    <t>D-8436</t>
  </si>
  <si>
    <t>D-8437</t>
  </si>
  <si>
    <t>D-8438</t>
  </si>
  <si>
    <t>D-8439</t>
  </si>
  <si>
    <t>D-8440</t>
  </si>
  <si>
    <t>D-8441</t>
  </si>
  <si>
    <t>D-8442</t>
  </si>
  <si>
    <t>D-8443</t>
  </si>
  <si>
    <t>D-8444</t>
  </si>
  <si>
    <t>D-8445</t>
  </si>
  <si>
    <t>D-8446</t>
  </si>
  <si>
    <t>D-8447</t>
  </si>
  <si>
    <t>D-8448</t>
  </si>
  <si>
    <t>D-8449</t>
  </si>
  <si>
    <t>D-8450</t>
  </si>
  <si>
    <t>D-8451</t>
  </si>
  <si>
    <t>D-8452</t>
  </si>
  <si>
    <t>D-8453</t>
  </si>
  <si>
    <t>D-8454</t>
  </si>
  <si>
    <t>D-8455</t>
  </si>
  <si>
    <t>D-8456</t>
  </si>
  <si>
    <t>D-8457</t>
  </si>
  <si>
    <t>D-8458</t>
  </si>
  <si>
    <t>D-8459</t>
  </si>
  <si>
    <t>D-8460</t>
  </si>
  <si>
    <t>D-8461</t>
  </si>
  <si>
    <t>D-8462</t>
  </si>
  <si>
    <t>D-8463</t>
  </si>
  <si>
    <t>D-8464</t>
  </si>
  <si>
    <t>D-8465</t>
  </si>
  <si>
    <t>D-8466</t>
  </si>
  <si>
    <t>D-8467</t>
  </si>
  <si>
    <t>D-8468</t>
  </si>
  <si>
    <t>D-8469</t>
  </si>
  <si>
    <t>D-8470</t>
  </si>
  <si>
    <t>D-8471</t>
  </si>
  <si>
    <t>D-8472</t>
  </si>
  <si>
    <t>D-8473</t>
  </si>
  <si>
    <t>D-8474</t>
  </si>
  <si>
    <t>D-8475</t>
  </si>
  <si>
    <t>D-8476</t>
  </si>
  <si>
    <t>D-8477</t>
  </si>
  <si>
    <t>D-8478</t>
  </si>
  <si>
    <t>D-8479</t>
  </si>
  <si>
    <t>D-8480</t>
  </si>
  <si>
    <t>D-8481</t>
  </si>
  <si>
    <t>D-8482</t>
  </si>
  <si>
    <t>D-8483</t>
  </si>
  <si>
    <t>D-8484</t>
  </si>
  <si>
    <t>D-8485</t>
  </si>
  <si>
    <t>D-8486</t>
  </si>
  <si>
    <t>D-8487</t>
  </si>
  <si>
    <t>D-8488</t>
  </si>
  <si>
    <t>D-8489</t>
  </si>
  <si>
    <t>D-8490</t>
  </si>
  <si>
    <t>D-8491</t>
  </si>
  <si>
    <t>D-8492</t>
  </si>
  <si>
    <t>D-8493</t>
  </si>
  <si>
    <t>D-8494</t>
  </si>
  <si>
    <t>D-8495</t>
  </si>
  <si>
    <t>D-8496</t>
  </si>
  <si>
    <t>D-8497</t>
  </si>
  <si>
    <t>D-8498</t>
  </si>
  <si>
    <t>D-8499</t>
  </si>
  <si>
    <t>D-8500</t>
  </si>
  <si>
    <t>se sustituyo x la 8501 D</t>
  </si>
  <si>
    <t>D-8501</t>
  </si>
  <si>
    <t>D-8502</t>
  </si>
  <si>
    <t>D-8503</t>
  </si>
  <si>
    <t>D-8504</t>
  </si>
  <si>
    <t>D-8505</t>
  </si>
  <si>
    <t>D-8506</t>
  </si>
  <si>
    <t>D-8507</t>
  </si>
  <si>
    <t>D-8508</t>
  </si>
  <si>
    <t>D-8509</t>
  </si>
  <si>
    <t>D-8510</t>
  </si>
  <si>
    <t>D-8511</t>
  </si>
  <si>
    <t>(446)MANUEL CARMONA</t>
  </si>
  <si>
    <t>D-8512</t>
  </si>
  <si>
    <t>D-8513</t>
  </si>
  <si>
    <t>D-8514</t>
  </si>
  <si>
    <t>D-8515</t>
  </si>
  <si>
    <t>D-8516</t>
  </si>
  <si>
    <r>
      <t xml:space="preserve">(685)VERONICA  </t>
    </r>
    <r>
      <rPr>
        <b/>
        <sz val="12"/>
        <color rgb="FFFF0000"/>
        <rFont val="Calibri"/>
        <family val="2"/>
        <scheme val="minor"/>
      </rPr>
      <t>CANCELADA</t>
    </r>
  </si>
  <si>
    <t>D-8517</t>
  </si>
  <si>
    <r>
      <t>(685)VERONICA</t>
    </r>
    <r>
      <rPr>
        <b/>
        <sz val="12"/>
        <color rgb="FFFF0000"/>
        <rFont val="Calibri"/>
        <family val="2"/>
        <scheme val="minor"/>
      </rPr>
      <t xml:space="preserve">  CANCELADA</t>
    </r>
  </si>
  <si>
    <t>se sustituyo x la 8518 D</t>
  </si>
  <si>
    <t>D-8518</t>
  </si>
  <si>
    <t>D-8519</t>
  </si>
  <si>
    <t>D-8520</t>
  </si>
  <si>
    <t>D-8521</t>
  </si>
  <si>
    <t>D-8522</t>
  </si>
  <si>
    <t>D-8523</t>
  </si>
  <si>
    <t>D-8524</t>
  </si>
  <si>
    <t>D-8525</t>
  </si>
  <si>
    <t>D-8526</t>
  </si>
  <si>
    <t>D-8527</t>
  </si>
  <si>
    <t>se sustituyo x la 8528 D</t>
  </si>
  <si>
    <t>D-8528</t>
  </si>
  <si>
    <t>D-8529</t>
  </si>
  <si>
    <t>D-8530</t>
  </si>
  <si>
    <t>D-8531</t>
  </si>
  <si>
    <t>D-8532</t>
  </si>
  <si>
    <t>D-8533</t>
  </si>
  <si>
    <t>D-8534</t>
  </si>
  <si>
    <t>D-8535</t>
  </si>
  <si>
    <t>D-8536</t>
  </si>
  <si>
    <t>D-8537</t>
  </si>
  <si>
    <t>D-8538</t>
  </si>
  <si>
    <t>D-8539</t>
  </si>
  <si>
    <t>D-8540</t>
  </si>
  <si>
    <t>D-8541</t>
  </si>
  <si>
    <t>D-8542</t>
  </si>
  <si>
    <t>D-8543</t>
  </si>
  <si>
    <t>D-8544</t>
  </si>
  <si>
    <t>D-8545</t>
  </si>
  <si>
    <t>D-8546</t>
  </si>
  <si>
    <t>D-8547</t>
  </si>
  <si>
    <t>D-8548</t>
  </si>
  <si>
    <t>D-8549</t>
  </si>
  <si>
    <t>D-8550</t>
  </si>
  <si>
    <t>D-8551</t>
  </si>
  <si>
    <t>D-8552</t>
  </si>
  <si>
    <t>D-8553</t>
  </si>
  <si>
    <t>D-8554</t>
  </si>
  <si>
    <t>D-8555</t>
  </si>
  <si>
    <t>D-8556</t>
  </si>
  <si>
    <t>D-8557</t>
  </si>
  <si>
    <t>D-8558</t>
  </si>
  <si>
    <t>D-8559</t>
  </si>
  <si>
    <t>D-8560</t>
  </si>
  <si>
    <t>D-8561</t>
  </si>
  <si>
    <t>D-8562</t>
  </si>
  <si>
    <t>D-8563</t>
  </si>
  <si>
    <t>D-8564</t>
  </si>
  <si>
    <t>D-8565</t>
  </si>
  <si>
    <t>D-8566</t>
  </si>
  <si>
    <t>D-8567</t>
  </si>
  <si>
    <t>D-8568</t>
  </si>
  <si>
    <t>D-8569</t>
  </si>
  <si>
    <t>D-8570</t>
  </si>
  <si>
    <t>D-8571</t>
  </si>
  <si>
    <t>D-8572</t>
  </si>
  <si>
    <t>D-8573</t>
  </si>
  <si>
    <t>D-8574</t>
  </si>
  <si>
    <t>D-8575</t>
  </si>
  <si>
    <t>D-8576</t>
  </si>
  <si>
    <t>D-8577</t>
  </si>
  <si>
    <t>D-8578</t>
  </si>
  <si>
    <t>D-8579</t>
  </si>
  <si>
    <t>D-8580</t>
  </si>
  <si>
    <t>D-8581</t>
  </si>
  <si>
    <t>D-8582</t>
  </si>
  <si>
    <t>D-8583</t>
  </si>
  <si>
    <t>D-8584</t>
  </si>
  <si>
    <t>D-8585</t>
  </si>
  <si>
    <t>D-8586</t>
  </si>
  <si>
    <t>D-8587</t>
  </si>
  <si>
    <t>D-8588</t>
  </si>
  <si>
    <t>D-8589</t>
  </si>
  <si>
    <t>D-8590</t>
  </si>
  <si>
    <t>D-8591</t>
  </si>
  <si>
    <t>D-8592</t>
  </si>
  <si>
    <t>D-8593</t>
  </si>
  <si>
    <t>D-8594</t>
  </si>
  <si>
    <t>D-8595</t>
  </si>
  <si>
    <t>D-8596</t>
  </si>
  <si>
    <t>D-8597</t>
  </si>
  <si>
    <t>D-8598</t>
  </si>
  <si>
    <t>D-8599</t>
  </si>
  <si>
    <t>D-8600</t>
  </si>
  <si>
    <t>D-8601</t>
  </si>
  <si>
    <t>D-8602</t>
  </si>
  <si>
    <t>D-8603</t>
  </si>
  <si>
    <t>D-8604</t>
  </si>
  <si>
    <t>D-8605</t>
  </si>
  <si>
    <t>D-8606</t>
  </si>
  <si>
    <t>D-8607</t>
  </si>
  <si>
    <t>31-Ago-22------02/09/2022</t>
  </si>
  <si>
    <t>D-8608</t>
  </si>
  <si>
    <t>D-8609</t>
  </si>
  <si>
    <t>D-8610</t>
  </si>
  <si>
    <t>D-8611</t>
  </si>
  <si>
    <t>D-8612</t>
  </si>
  <si>
    <t>D-8613</t>
  </si>
  <si>
    <t>D-8614</t>
  </si>
  <si>
    <t>D-8615</t>
  </si>
  <si>
    <t>D-8616</t>
  </si>
  <si>
    <t>D-8617</t>
  </si>
  <si>
    <t>D-8618</t>
  </si>
  <si>
    <t>D-8619</t>
  </si>
  <si>
    <t>D-8620</t>
  </si>
  <si>
    <t>D-8621</t>
  </si>
  <si>
    <t>D-8622</t>
  </si>
  <si>
    <t>D-8623</t>
  </si>
  <si>
    <t>D-8624</t>
  </si>
  <si>
    <t>D-8625</t>
  </si>
  <si>
    <t>D-8626</t>
  </si>
  <si>
    <t>D-8627</t>
  </si>
  <si>
    <t>D-8628</t>
  </si>
  <si>
    <t>D-8629</t>
  </si>
  <si>
    <t>D-8630</t>
  </si>
  <si>
    <t>D-8631</t>
  </si>
  <si>
    <t>D-8632</t>
  </si>
  <si>
    <t>D-8633</t>
  </si>
  <si>
    <t>D-8634</t>
  </si>
  <si>
    <t>D-8635</t>
  </si>
  <si>
    <t>D-8636</t>
  </si>
  <si>
    <t>D-8637</t>
  </si>
  <si>
    <t>se sustituyo x la  8648 D</t>
  </si>
  <si>
    <t>D-8638</t>
  </si>
  <si>
    <t>D-8639</t>
  </si>
  <si>
    <t>D-8640</t>
  </si>
  <si>
    <t>D-8641</t>
  </si>
  <si>
    <t>D-8642</t>
  </si>
  <si>
    <t>D-8643</t>
  </si>
  <si>
    <t>D-8644</t>
  </si>
  <si>
    <t>D-8645</t>
  </si>
  <si>
    <t>D-8646</t>
  </si>
  <si>
    <t>D-8647</t>
  </si>
  <si>
    <t>D-8648</t>
  </si>
  <si>
    <t>D-8649</t>
  </si>
  <si>
    <t>D-8650</t>
  </si>
  <si>
    <t>D-8651</t>
  </si>
  <si>
    <t>D-8652</t>
  </si>
  <si>
    <t>D-8653</t>
  </si>
  <si>
    <t>D-8654</t>
  </si>
  <si>
    <t>D-8655</t>
  </si>
  <si>
    <t>D-8656</t>
  </si>
  <si>
    <t>D-8657</t>
  </si>
  <si>
    <t>D-8658</t>
  </si>
  <si>
    <t>D-8659</t>
  </si>
  <si>
    <t>D-8660</t>
  </si>
  <si>
    <t>D-8661</t>
  </si>
  <si>
    <t>D-8662</t>
  </si>
  <si>
    <t>D-8663</t>
  </si>
  <si>
    <t>D-8664</t>
  </si>
  <si>
    <t>D-8665</t>
  </si>
  <si>
    <t>D-8666</t>
  </si>
  <si>
    <t>D-8667</t>
  </si>
  <si>
    <t>D-8668</t>
  </si>
  <si>
    <t>D-8669</t>
  </si>
  <si>
    <t>D-8670</t>
  </si>
  <si>
    <t>D-8671</t>
  </si>
  <si>
    <t>D-8672</t>
  </si>
  <si>
    <t>D-8673</t>
  </si>
  <si>
    <t>D-8674</t>
  </si>
  <si>
    <t>D-8675</t>
  </si>
  <si>
    <t>D-8676</t>
  </si>
  <si>
    <t>D-8677</t>
  </si>
  <si>
    <t>D-8678</t>
  </si>
  <si>
    <t>D-8679</t>
  </si>
  <si>
    <t>D-8680</t>
  </si>
  <si>
    <t>D-8681</t>
  </si>
  <si>
    <t>D-8682</t>
  </si>
  <si>
    <t>D-8683</t>
  </si>
  <si>
    <t>D-8684</t>
  </si>
  <si>
    <t>D-8685</t>
  </si>
  <si>
    <t>D-8686</t>
  </si>
  <si>
    <t>D-8687</t>
  </si>
  <si>
    <t>D-8688</t>
  </si>
  <si>
    <t>D-8689</t>
  </si>
  <si>
    <t>D-8690</t>
  </si>
  <si>
    <t>D-8691</t>
  </si>
  <si>
    <t>D-8692</t>
  </si>
  <si>
    <t>D-8693</t>
  </si>
  <si>
    <t>D-8694</t>
  </si>
  <si>
    <t>D-8695</t>
  </si>
  <si>
    <t>D-8696</t>
  </si>
  <si>
    <t>D-8697</t>
  </si>
  <si>
    <t>D-8698</t>
  </si>
  <si>
    <t>D-8699</t>
  </si>
  <si>
    <t>D-8700</t>
  </si>
  <si>
    <t>D-8701</t>
  </si>
  <si>
    <t>D-8702</t>
  </si>
  <si>
    <t>(909)FRANCISCO HUINATL</t>
  </si>
  <si>
    <t>D-8703</t>
  </si>
  <si>
    <t>D-8704</t>
  </si>
  <si>
    <t>D-8705</t>
  </si>
  <si>
    <t>D-8706</t>
  </si>
  <si>
    <t>D-8707</t>
  </si>
  <si>
    <t>D-8708</t>
  </si>
  <si>
    <t>D-8709</t>
  </si>
  <si>
    <t>D-8710</t>
  </si>
  <si>
    <t>D-8711</t>
  </si>
  <si>
    <t>D-8712</t>
  </si>
  <si>
    <t>D-8713</t>
  </si>
  <si>
    <t>D-8714</t>
  </si>
  <si>
    <t>D-8715</t>
  </si>
  <si>
    <t>D-8716</t>
  </si>
  <si>
    <t>D-8717</t>
  </si>
  <si>
    <t>D-8718</t>
  </si>
  <si>
    <t>D-8719</t>
  </si>
  <si>
    <t>D-8720</t>
  </si>
  <si>
    <t>D-8721</t>
  </si>
  <si>
    <t>D-8722</t>
  </si>
  <si>
    <t>D-8723</t>
  </si>
  <si>
    <t>D-8724</t>
  </si>
  <si>
    <t>D-8725</t>
  </si>
  <si>
    <t>D-8726</t>
  </si>
  <si>
    <t>D-8727</t>
  </si>
  <si>
    <t>se sustituyo x la  8728 D</t>
  </si>
  <si>
    <t>D-8728</t>
  </si>
  <si>
    <t>D-8729</t>
  </si>
  <si>
    <t>D-8730</t>
  </si>
  <si>
    <t>D-8731</t>
  </si>
  <si>
    <t>D-8732</t>
  </si>
  <si>
    <t>D-8733</t>
  </si>
  <si>
    <t>D-8734</t>
  </si>
  <si>
    <t>D-8735</t>
  </si>
  <si>
    <t>D-8736</t>
  </si>
  <si>
    <t>D-8737</t>
  </si>
  <si>
    <t>D-8738</t>
  </si>
  <si>
    <t>D-8739</t>
  </si>
  <si>
    <t>D-8740</t>
  </si>
  <si>
    <t>D-8741</t>
  </si>
  <si>
    <t>D-8742</t>
  </si>
  <si>
    <t>D-8743</t>
  </si>
  <si>
    <t>D-8744</t>
  </si>
  <si>
    <t>D-8745</t>
  </si>
  <si>
    <t>D-8746</t>
  </si>
  <si>
    <t>D-8747</t>
  </si>
  <si>
    <t>D-8748</t>
  </si>
  <si>
    <t>D-8749</t>
  </si>
  <si>
    <t>D-8750</t>
  </si>
  <si>
    <t>D-8751</t>
  </si>
  <si>
    <t>D-8752</t>
  </si>
  <si>
    <t>D-8753</t>
  </si>
  <si>
    <t>D-8754</t>
  </si>
  <si>
    <t>D-8755</t>
  </si>
  <si>
    <t>se sustituyo x la  8757 D</t>
  </si>
  <si>
    <t>D-8756</t>
  </si>
  <si>
    <t>D-8757</t>
  </si>
  <si>
    <t>D-8758</t>
  </si>
  <si>
    <t>D-8759</t>
  </si>
  <si>
    <t>D-8760</t>
  </si>
  <si>
    <t>D-8761</t>
  </si>
  <si>
    <t>D-8762</t>
  </si>
  <si>
    <t>D-8763</t>
  </si>
  <si>
    <t>D-8764</t>
  </si>
  <si>
    <t>D-8765</t>
  </si>
  <si>
    <t>D-8766</t>
  </si>
  <si>
    <t>D-8767</t>
  </si>
  <si>
    <t>D-8768</t>
  </si>
  <si>
    <t>D-8769</t>
  </si>
  <si>
    <t>D-8770</t>
  </si>
  <si>
    <t>D-8771</t>
  </si>
  <si>
    <t>D-8772</t>
  </si>
  <si>
    <t>D-8773</t>
  </si>
  <si>
    <t>D-8774</t>
  </si>
  <si>
    <t>D-8775</t>
  </si>
  <si>
    <t>D-8776</t>
  </si>
  <si>
    <t>D-8777</t>
  </si>
  <si>
    <t>D-8778</t>
  </si>
  <si>
    <t>D-8779</t>
  </si>
  <si>
    <t>D-8780</t>
  </si>
  <si>
    <t>D-8781</t>
  </si>
  <si>
    <t>D-8782</t>
  </si>
  <si>
    <t>D-8783</t>
  </si>
  <si>
    <r>
      <t xml:space="preserve">(128)HUGO LOPEZ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</si>
  <si>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8762 D</t>
  </si>
  <si>
    <t>D-8784</t>
  </si>
  <si>
    <t>D-8785</t>
  </si>
  <si>
    <t>D-8786</t>
  </si>
  <si>
    <t>D-8787</t>
  </si>
  <si>
    <t>D-8788</t>
  </si>
  <si>
    <t>D-8789</t>
  </si>
  <si>
    <t>D-8790</t>
  </si>
  <si>
    <t>D-8791</t>
  </si>
  <si>
    <t>D-8792</t>
  </si>
  <si>
    <t>D-8793</t>
  </si>
  <si>
    <t>D-8794</t>
  </si>
  <si>
    <t>D-8795</t>
  </si>
  <si>
    <t>D-8796</t>
  </si>
  <si>
    <t>D-8797</t>
  </si>
  <si>
    <t>D-8798</t>
  </si>
  <si>
    <t>D-8799</t>
  </si>
  <si>
    <t>D-8800</t>
  </si>
  <si>
    <t>D-8801</t>
  </si>
  <si>
    <t>D-8802</t>
  </si>
  <si>
    <t>D-8803</t>
  </si>
  <si>
    <t>D-8804</t>
  </si>
  <si>
    <t>D-8805</t>
  </si>
  <si>
    <t>D-8806</t>
  </si>
  <si>
    <t>D-8807</t>
  </si>
  <si>
    <t>D-8808</t>
  </si>
  <si>
    <t>D-8809</t>
  </si>
  <si>
    <t>D-8810</t>
  </si>
  <si>
    <t>D-8811</t>
  </si>
  <si>
    <t>D-8812</t>
  </si>
  <si>
    <t>D-8813</t>
  </si>
  <si>
    <t>D-8814</t>
  </si>
  <si>
    <t>D-8815</t>
  </si>
  <si>
    <t>D-8816</t>
  </si>
  <si>
    <t>D-8817</t>
  </si>
  <si>
    <t>D-8818</t>
  </si>
  <si>
    <t>D-8819</t>
  </si>
  <si>
    <t>D-8820</t>
  </si>
  <si>
    <t>D-8821</t>
  </si>
  <si>
    <t>D-8822</t>
  </si>
  <si>
    <t>D-8823</t>
  </si>
  <si>
    <t>D-8824</t>
  </si>
  <si>
    <t>D-8825</t>
  </si>
  <si>
    <t>D-8826</t>
  </si>
  <si>
    <t>D-8827</t>
  </si>
  <si>
    <t>D-8828</t>
  </si>
  <si>
    <t>D-8829</t>
  </si>
  <si>
    <t>D-8830</t>
  </si>
  <si>
    <t>D-8831</t>
  </si>
  <si>
    <t>D-8832</t>
  </si>
  <si>
    <t>D-8833</t>
  </si>
  <si>
    <t>D-8834</t>
  </si>
  <si>
    <t>D-8835</t>
  </si>
  <si>
    <t>D-8836</t>
  </si>
  <si>
    <t>D-8837</t>
  </si>
  <si>
    <t>D-8838</t>
  </si>
  <si>
    <t>D-8839</t>
  </si>
  <si>
    <t>D-8840</t>
  </si>
  <si>
    <t>D-8841</t>
  </si>
  <si>
    <t>D-8842</t>
  </si>
  <si>
    <t>D-8843</t>
  </si>
  <si>
    <t>D-8844</t>
  </si>
  <si>
    <t>D-8845</t>
  </si>
  <si>
    <t>D-8846</t>
  </si>
  <si>
    <t>D-8847</t>
  </si>
  <si>
    <t>D-8848</t>
  </si>
  <si>
    <t>D-8849</t>
  </si>
  <si>
    <t>D-8850</t>
  </si>
  <si>
    <t>D-8851</t>
  </si>
  <si>
    <t>D-8852</t>
  </si>
  <si>
    <t>D-8853</t>
  </si>
  <si>
    <t>D-8854</t>
  </si>
  <si>
    <t>D-8855</t>
  </si>
  <si>
    <t>D-8856</t>
  </si>
  <si>
    <t>D-8857</t>
  </si>
  <si>
    <t>D-8858</t>
  </si>
  <si>
    <t>D-8859</t>
  </si>
  <si>
    <t>D-8860</t>
  </si>
  <si>
    <t>D-8861</t>
  </si>
  <si>
    <t>D-8862</t>
  </si>
  <si>
    <t>D-8863</t>
  </si>
  <si>
    <t>D-8864</t>
  </si>
  <si>
    <t>D-8865</t>
  </si>
  <si>
    <t>D-8866</t>
  </si>
  <si>
    <t>D-8867</t>
  </si>
  <si>
    <t>D-8868</t>
  </si>
  <si>
    <t>D-8869</t>
  </si>
  <si>
    <t>D-8870</t>
  </si>
  <si>
    <t>D-8871</t>
  </si>
  <si>
    <t>D-8872</t>
  </si>
  <si>
    <t>D-8873</t>
  </si>
  <si>
    <t>D-8874</t>
  </si>
  <si>
    <t>(79)GUSTAVO JIMENEZ</t>
  </si>
  <si>
    <t>D-8875</t>
  </si>
  <si>
    <t>D-8876</t>
  </si>
  <si>
    <t>D-8877</t>
  </si>
  <si>
    <t>D-8878</t>
  </si>
  <si>
    <t>D-8879</t>
  </si>
  <si>
    <t>D-8880</t>
  </si>
  <si>
    <t>D-8881</t>
  </si>
  <si>
    <t>D-8882</t>
  </si>
  <si>
    <t>D-8883</t>
  </si>
  <si>
    <t>D-8884</t>
  </si>
  <si>
    <t>D-8885</t>
  </si>
  <si>
    <t>D-8886</t>
  </si>
  <si>
    <t>D-8887</t>
  </si>
  <si>
    <t>D-8888</t>
  </si>
  <si>
    <t>D-8889</t>
  </si>
  <si>
    <t>D-8890</t>
  </si>
  <si>
    <t>D-8891</t>
  </si>
  <si>
    <t>D-8892</t>
  </si>
  <si>
    <t>D-8893</t>
  </si>
  <si>
    <t>D-8894</t>
  </si>
  <si>
    <t>D-8895</t>
  </si>
  <si>
    <t>D-8896</t>
  </si>
  <si>
    <t>D-8897</t>
  </si>
  <si>
    <t>D-8898</t>
  </si>
  <si>
    <t>D-8899</t>
  </si>
  <si>
    <t>D-8900</t>
  </si>
  <si>
    <t>D-8901</t>
  </si>
  <si>
    <t>D-8902</t>
  </si>
  <si>
    <t>D-8903</t>
  </si>
  <si>
    <t>D-8904</t>
  </si>
  <si>
    <r>
      <t xml:space="preserve">(894)GLORIA </t>
    </r>
    <r>
      <rPr>
        <b/>
        <sz val="12"/>
        <color rgb="FFFF0000"/>
        <rFont val="Calibri"/>
        <family val="2"/>
        <scheme val="minor"/>
      </rPr>
      <t xml:space="preserve"> CANCELADA</t>
    </r>
  </si>
  <si>
    <t>se sustituyo x la 8986 D</t>
  </si>
  <si>
    <t>D-8905</t>
  </si>
  <si>
    <t>D-8906</t>
  </si>
  <si>
    <t>D-8907</t>
  </si>
  <si>
    <t>D-8908</t>
  </si>
  <si>
    <t>D-8909</t>
  </si>
  <si>
    <t>D-8910</t>
  </si>
  <si>
    <t>D-8911</t>
  </si>
  <si>
    <t>D-8912</t>
  </si>
  <si>
    <t>D-8913</t>
  </si>
  <si>
    <t>D-8914</t>
  </si>
  <si>
    <t>D-8915</t>
  </si>
  <si>
    <t>D-8916</t>
  </si>
  <si>
    <t xml:space="preserve">T O  T A L </t>
  </si>
  <si>
    <t>9-Ago-22--13-Ago-22--23-Ago-22--1-Sept-22</t>
  </si>
  <si>
    <t>31-Ago-22--1-Sept-22</t>
  </si>
  <si>
    <t>1-Sept-22-----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</si>
</sst>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7" formatCode="&quot;$&quot;#,##0.00;\-&quot;$&quot;#,##0.00"/>
    <numFmt numFmtId="44" formatCode="_-&quot;$&quot;* #,##0.00_-;\-&quot;$&quot;* #,##0.00_-;_-&quot;$&quot;* &quot;-&quot;??_-;_-@_-"/>
    <numFmt numFmtId="164" formatCode="&quot;$&quot;#,##0.00"/>
  </numFmts>
  <fonts count="2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4"/>
      <color rgb="FFFF0000"/>
      <name val="Calibri"/>
      <family val="2"/>
      <scheme val="minor"/>
    </font>
    <font>
      <b/>
      <sz val="2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8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rgb="FF0000FF"/>
      <name val="Calibri"/>
      <family val="2"/>
      <scheme val="minor"/>
    </font>
    <font>
      <b/>
      <sz val="13"/>
      <color theme="1"/>
      <name val="Calibri"/>
      <family val="2"/>
      <scheme val="minor"/>
    </font>
    <font>
      <b/>
      <sz val="18"/>
      <color rgb="FF0000FF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rgb="FF0000FF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1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double">
        <color indexed="64"/>
      </bottom>
      <diagonal/>
    </border>
    <border>
      <left style="thin">
        <color theme="4" tint="0.39997558519241921"/>
      </left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38">
    <xf numFmtId="0" fontId="0" fillId="0" borderId="0" xfId="0"/>
    <xf numFmtId="15" fontId="2" fillId="0" borderId="0" xfId="0" applyNumberFormat="1" applyFont="1" applyFill="1" applyAlignment="1">
      <alignment horizontal="center"/>
    </xf>
    <xf numFmtId="0" fontId="2" fillId="0" borderId="0" xfId="0" applyFont="1" applyFill="1" applyAlignment="1">
      <alignment horizontal="center"/>
    </xf>
    <xf numFmtId="0" fontId="2" fillId="0" borderId="0" xfId="0" applyFont="1" applyFill="1"/>
    <xf numFmtId="44" fontId="2" fillId="0" borderId="0" xfId="1" applyFont="1" applyFill="1"/>
    <xf numFmtId="15" fontId="2" fillId="0" borderId="0" xfId="0" applyNumberFormat="1" applyFont="1" applyFill="1" applyAlignment="1">
      <alignment horizontal="center" wrapText="1"/>
    </xf>
    <xf numFmtId="44" fontId="3" fillId="0" borderId="0" xfId="1" applyFont="1" applyFill="1"/>
    <xf numFmtId="15" fontId="2" fillId="0" borderId="1" xfId="0" applyNumberFormat="1" applyFont="1" applyFill="1" applyBorder="1" applyAlignment="1">
      <alignment horizontal="center"/>
    </xf>
    <xf numFmtId="49" fontId="2" fillId="0" borderId="2" xfId="0" applyNumberFormat="1" applyFont="1" applyFill="1" applyBorder="1" applyAlignment="1">
      <alignment horizontal="center"/>
    </xf>
    <xf numFmtId="49" fontId="2" fillId="0" borderId="2" xfId="0" applyNumberFormat="1" applyFont="1" applyFill="1" applyBorder="1"/>
    <xf numFmtId="44" fontId="2" fillId="0" borderId="2" xfId="1" applyFont="1" applyFill="1" applyBorder="1"/>
    <xf numFmtId="15" fontId="2" fillId="0" borderId="2" xfId="0" applyNumberFormat="1" applyFont="1" applyFill="1" applyBorder="1" applyAlignment="1">
      <alignment horizontal="center" wrapText="1"/>
    </xf>
    <xf numFmtId="44" fontId="3" fillId="0" borderId="2" xfId="1" applyFont="1" applyFill="1" applyBorder="1"/>
    <xf numFmtId="15" fontId="4" fillId="0" borderId="2" xfId="0" applyNumberFormat="1" applyFont="1" applyFill="1" applyBorder="1" applyAlignment="1">
      <alignment horizontal="center" wrapText="1"/>
    </xf>
    <xf numFmtId="44" fontId="3" fillId="2" borderId="2" xfId="1" applyFont="1" applyFill="1" applyBorder="1"/>
    <xf numFmtId="49" fontId="2" fillId="2" borderId="2" xfId="0" applyNumberFormat="1" applyFont="1" applyFill="1" applyBorder="1"/>
    <xf numFmtId="0" fontId="2" fillId="2" borderId="0" xfId="0" applyFont="1" applyFill="1"/>
    <xf numFmtId="49" fontId="3" fillId="0" borderId="2" xfId="0" applyNumberFormat="1" applyFont="1" applyFill="1" applyBorder="1"/>
    <xf numFmtId="49" fontId="2" fillId="0" borderId="2" xfId="0" applyNumberFormat="1" applyFont="1" applyFill="1" applyBorder="1" applyAlignment="1">
      <alignment wrapText="1"/>
    </xf>
    <xf numFmtId="15" fontId="5" fillId="0" borderId="3" xfId="0" applyNumberFormat="1" applyFont="1" applyFill="1" applyBorder="1" applyAlignment="1">
      <alignment horizontal="center"/>
    </xf>
    <xf numFmtId="49" fontId="5" fillId="0" borderId="4" xfId="0" applyNumberFormat="1" applyFont="1" applyFill="1" applyBorder="1" applyAlignment="1">
      <alignment horizontal="center"/>
    </xf>
    <xf numFmtId="49" fontId="5" fillId="0" borderId="4" xfId="0" applyNumberFormat="1" applyFont="1" applyFill="1" applyBorder="1"/>
    <xf numFmtId="44" fontId="2" fillId="0" borderId="5" xfId="1" applyFont="1" applyFill="1" applyBorder="1"/>
    <xf numFmtId="15" fontId="2" fillId="0" borderId="5" xfId="0" applyNumberFormat="1" applyFont="1" applyFill="1" applyBorder="1" applyAlignment="1">
      <alignment horizontal="center" wrapText="1"/>
    </xf>
    <xf numFmtId="44" fontId="3" fillId="0" borderId="5" xfId="1" applyFont="1" applyFill="1" applyBorder="1"/>
    <xf numFmtId="44" fontId="2" fillId="0" borderId="0" xfId="1" applyFont="1" applyFill="1" applyAlignment="1">
      <alignment vertical="center"/>
    </xf>
    <xf numFmtId="15" fontId="2" fillId="0" borderId="0" xfId="0" applyNumberFormat="1" applyFont="1" applyFill="1" applyAlignment="1">
      <alignment horizontal="center" vertical="center" wrapText="1"/>
    </xf>
    <xf numFmtId="44" fontId="3" fillId="0" borderId="0" xfId="1" applyFont="1" applyFill="1" applyAlignment="1">
      <alignment vertical="center"/>
    </xf>
    <xf numFmtId="15" fontId="5" fillId="0" borderId="6" xfId="0" applyNumberFormat="1" applyFont="1" applyFill="1" applyBorder="1" applyAlignment="1">
      <alignment horizontal="center" vertical="center" wrapText="1"/>
    </xf>
    <xf numFmtId="44" fontId="5" fillId="3" borderId="6" xfId="1" applyFont="1" applyFill="1" applyBorder="1" applyAlignment="1">
      <alignment vertical="center"/>
    </xf>
    <xf numFmtId="44" fontId="6" fillId="3" borderId="6" xfId="1" applyFont="1" applyFill="1" applyBorder="1" applyAlignment="1">
      <alignment vertical="center"/>
    </xf>
    <xf numFmtId="15" fontId="8" fillId="0" borderId="0" xfId="0" applyNumberFormat="1" applyFont="1" applyAlignment="1">
      <alignment horizontal="center"/>
    </xf>
    <xf numFmtId="0" fontId="8" fillId="0" borderId="0" xfId="0" applyFont="1" applyAlignment="1">
      <alignment horizontal="center"/>
    </xf>
    <xf numFmtId="0" fontId="8" fillId="0" borderId="0" xfId="0" applyFont="1"/>
    <xf numFmtId="44" fontId="8" fillId="0" borderId="0" xfId="1" applyFont="1"/>
    <xf numFmtId="15" fontId="8" fillId="0" borderId="0" xfId="0" applyNumberFormat="1" applyFont="1" applyAlignment="1">
      <alignment horizontal="center" wrapText="1"/>
    </xf>
    <xf numFmtId="44" fontId="9" fillId="0" borderId="0" xfId="1" applyFont="1"/>
    <xf numFmtId="49" fontId="8" fillId="0" borderId="0" xfId="0" applyNumberFormat="1" applyFont="1" applyAlignment="1">
      <alignment horizontal="center"/>
    </xf>
    <xf numFmtId="49" fontId="8" fillId="0" borderId="0" xfId="0" applyNumberFormat="1" applyFont="1"/>
    <xf numFmtId="15" fontId="10" fillId="0" borderId="0" xfId="0" applyNumberFormat="1" applyFont="1" applyAlignment="1">
      <alignment horizontal="center" wrapText="1"/>
    </xf>
    <xf numFmtId="49" fontId="9" fillId="0" borderId="0" xfId="0" applyNumberFormat="1" applyFont="1"/>
    <xf numFmtId="49" fontId="8" fillId="0" borderId="0" xfId="0" applyNumberFormat="1" applyFont="1" applyAlignment="1">
      <alignment wrapText="1"/>
    </xf>
    <xf numFmtId="15" fontId="8" fillId="0" borderId="0" xfId="0" applyNumberFormat="1" applyFont="1" applyFill="1" applyAlignment="1">
      <alignment wrapText="1"/>
    </xf>
    <xf numFmtId="44" fontId="9" fillId="0" borderId="0" xfId="1" applyFont="1" applyFill="1"/>
    <xf numFmtId="15" fontId="7" fillId="0" borderId="0" xfId="0" applyNumberFormat="1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horizontal="left" vertical="center"/>
    </xf>
    <xf numFmtId="44" fontId="7" fillId="0" borderId="0" xfId="1" applyFont="1" applyAlignment="1">
      <alignment horizontal="center" vertical="center"/>
    </xf>
    <xf numFmtId="15" fontId="7" fillId="0" borderId="0" xfId="0" applyNumberFormat="1" applyFont="1" applyAlignment="1">
      <alignment horizontal="center" vertical="center" wrapText="1"/>
    </xf>
    <xf numFmtId="44" fontId="12" fillId="0" borderId="0" xfId="1" applyFont="1" applyAlignment="1">
      <alignment horizontal="center" vertical="center"/>
    </xf>
    <xf numFmtId="0" fontId="7" fillId="0" borderId="0" xfId="0" applyFont="1" applyAlignment="1">
      <alignment vertical="center"/>
    </xf>
    <xf numFmtId="49" fontId="8" fillId="0" borderId="0" xfId="0" applyNumberFormat="1" applyFont="1" applyAlignment="1">
      <alignment horizontal="left"/>
    </xf>
    <xf numFmtId="44" fontId="8" fillId="0" borderId="0" xfId="1" applyFont="1" applyAlignment="1">
      <alignment horizontal="center"/>
    </xf>
    <xf numFmtId="44" fontId="9" fillId="0" borderId="0" xfId="1" applyFont="1" applyAlignment="1">
      <alignment horizontal="center"/>
    </xf>
    <xf numFmtId="49" fontId="9" fillId="0" borderId="0" xfId="0" applyNumberFormat="1" applyFont="1" applyAlignment="1">
      <alignment horizontal="left"/>
    </xf>
    <xf numFmtId="49" fontId="8" fillId="0" borderId="0" xfId="0" applyNumberFormat="1" applyFont="1" applyAlignment="1">
      <alignment horizontal="left" wrapText="1"/>
    </xf>
    <xf numFmtId="15" fontId="13" fillId="2" borderId="0" xfId="0" applyNumberFormat="1" applyFont="1" applyFill="1" applyAlignment="1">
      <alignment horizontal="center" wrapText="1"/>
    </xf>
    <xf numFmtId="44" fontId="8" fillId="2" borderId="0" xfId="1" applyFont="1" applyFill="1" applyAlignment="1">
      <alignment horizontal="center"/>
    </xf>
    <xf numFmtId="44" fontId="9" fillId="2" borderId="0" xfId="1" applyFont="1" applyFill="1" applyAlignment="1">
      <alignment horizontal="center"/>
    </xf>
    <xf numFmtId="49" fontId="9" fillId="2" borderId="0" xfId="0" applyNumberFormat="1" applyFont="1" applyFill="1" applyAlignment="1">
      <alignment horizontal="left"/>
    </xf>
    <xf numFmtId="0" fontId="8" fillId="2" borderId="0" xfId="0" applyFont="1" applyFill="1"/>
    <xf numFmtId="0" fontId="8" fillId="0" borderId="0" xfId="0" applyFont="1" applyAlignment="1">
      <alignment horizontal="left"/>
    </xf>
    <xf numFmtId="44" fontId="8" fillId="0" borderId="13" xfId="1" applyFont="1" applyBorder="1" applyAlignment="1">
      <alignment horizontal="center"/>
    </xf>
    <xf numFmtId="15" fontId="8" fillId="0" borderId="13" xfId="0" applyNumberFormat="1" applyFont="1" applyBorder="1" applyAlignment="1">
      <alignment horizontal="center" wrapText="1"/>
    </xf>
    <xf numFmtId="44" fontId="9" fillId="0" borderId="13" xfId="1" applyFont="1" applyBorder="1" applyAlignment="1">
      <alignment horizontal="center"/>
    </xf>
    <xf numFmtId="44" fontId="7" fillId="0" borderId="0" xfId="1" applyFont="1" applyAlignment="1">
      <alignment horizontal="center"/>
    </xf>
    <xf numFmtId="44" fontId="12" fillId="0" borderId="0" xfId="1" applyFont="1" applyAlignment="1">
      <alignment horizontal="center"/>
    </xf>
    <xf numFmtId="15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 applyAlignment="1">
      <alignment horizontal="center"/>
    </xf>
    <xf numFmtId="49" fontId="8" fillId="3" borderId="0" xfId="0" applyNumberFormat="1" applyFont="1" applyFill="1"/>
    <xf numFmtId="44" fontId="8" fillId="3" borderId="0" xfId="1" applyFont="1" applyFill="1"/>
    <xf numFmtId="15" fontId="8" fillId="3" borderId="0" xfId="0" applyNumberFormat="1" applyFont="1" applyFill="1" applyAlignment="1">
      <alignment horizontal="center" wrapText="1"/>
    </xf>
    <xf numFmtId="44" fontId="9" fillId="3" borderId="0" xfId="1" applyFont="1" applyFill="1"/>
    <xf numFmtId="15" fontId="8" fillId="5" borderId="1" xfId="0" applyNumberFormat="1" applyFont="1" applyFill="1" applyBorder="1" applyAlignment="1">
      <alignment horizontal="center"/>
    </xf>
    <xf numFmtId="49" fontId="8" fillId="5" borderId="2" xfId="0" applyNumberFormat="1" applyFont="1" applyFill="1" applyBorder="1" applyAlignment="1">
      <alignment horizontal="center"/>
    </xf>
    <xf numFmtId="49" fontId="8" fillId="5" borderId="2" xfId="0" applyNumberFormat="1" applyFont="1" applyFill="1" applyBorder="1"/>
    <xf numFmtId="15" fontId="8" fillId="3" borderId="1" xfId="0" applyNumberFormat="1" applyFont="1" applyFill="1" applyBorder="1" applyAlignment="1">
      <alignment horizontal="center"/>
    </xf>
    <xf numFmtId="49" fontId="8" fillId="3" borderId="2" xfId="0" applyNumberFormat="1" applyFont="1" applyFill="1" applyBorder="1" applyAlignment="1">
      <alignment horizontal="center"/>
    </xf>
    <xf numFmtId="49" fontId="8" fillId="3" borderId="2" xfId="0" applyNumberFormat="1" applyFont="1" applyFill="1" applyBorder="1"/>
    <xf numFmtId="0" fontId="8" fillId="5" borderId="14" xfId="0" applyFont="1" applyFill="1" applyBorder="1" applyAlignment="1">
      <alignment horizontal="center"/>
    </xf>
    <xf numFmtId="49" fontId="8" fillId="3" borderId="14" xfId="0" applyNumberFormat="1" applyFont="1" applyFill="1" applyBorder="1" applyAlignment="1">
      <alignment horizontal="center"/>
    </xf>
    <xf numFmtId="44" fontId="8" fillId="5" borderId="2" xfId="1" applyFont="1" applyFill="1" applyBorder="1"/>
    <xf numFmtId="44" fontId="8" fillId="3" borderId="2" xfId="1" applyFont="1" applyFill="1" applyBorder="1"/>
    <xf numFmtId="44" fontId="8" fillId="3" borderId="0" xfId="1" applyFont="1" applyFill="1" applyAlignment="1">
      <alignment horizontal="center"/>
    </xf>
    <xf numFmtId="44" fontId="9" fillId="3" borderId="0" xfId="1" applyFont="1" applyFill="1" applyAlignment="1">
      <alignment horizontal="center"/>
    </xf>
    <xf numFmtId="0" fontId="8" fillId="0" borderId="0" xfId="0" applyFont="1" applyAlignment="1">
      <alignment horizontal="center" wrapText="1"/>
    </xf>
    <xf numFmtId="0" fontId="8" fillId="0" borderId="0" xfId="0" applyFont="1" applyAlignment="1">
      <alignment wrapText="1"/>
    </xf>
    <xf numFmtId="44" fontId="8" fillId="0" borderId="0" xfId="1" applyFont="1" applyAlignment="1">
      <alignment wrapText="1"/>
    </xf>
    <xf numFmtId="44" fontId="15" fillId="0" borderId="0" xfId="1" applyFont="1" applyAlignment="1">
      <alignment wrapText="1"/>
    </xf>
    <xf numFmtId="0" fontId="8" fillId="0" borderId="0" xfId="0" applyFont="1" applyAlignment="1"/>
    <xf numFmtId="49" fontId="8" fillId="0" borderId="0" xfId="0" applyNumberFormat="1" applyFont="1" applyAlignment="1">
      <alignment horizontal="center" wrapText="1"/>
    </xf>
    <xf numFmtId="44" fontId="9" fillId="0" borderId="0" xfId="1" applyFont="1" applyAlignment="1">
      <alignment wrapText="1"/>
    </xf>
    <xf numFmtId="49" fontId="8" fillId="0" borderId="0" xfId="0" applyNumberFormat="1" applyFont="1" applyAlignment="1"/>
    <xf numFmtId="49" fontId="9" fillId="2" borderId="0" xfId="0" applyNumberFormat="1" applyFont="1" applyFill="1" applyAlignment="1"/>
    <xf numFmtId="49" fontId="9" fillId="0" borderId="0" xfId="0" applyNumberFormat="1" applyFont="1" applyAlignment="1"/>
    <xf numFmtId="0" fontId="7" fillId="0" borderId="0" xfId="0" applyFont="1" applyAlignment="1">
      <alignment wrapText="1"/>
    </xf>
    <xf numFmtId="15" fontId="17" fillId="0" borderId="0" xfId="0" applyNumberFormat="1" applyFont="1" applyAlignment="1">
      <alignment horizontal="center" wrapText="1"/>
    </xf>
    <xf numFmtId="0" fontId="17" fillId="0" borderId="0" xfId="0" applyFont="1" applyAlignment="1">
      <alignment horizontal="center" wrapText="1"/>
    </xf>
    <xf numFmtId="0" fontId="17" fillId="0" borderId="0" xfId="0" applyFont="1" applyAlignment="1">
      <alignment wrapText="1"/>
    </xf>
    <xf numFmtId="44" fontId="17" fillId="0" borderId="0" xfId="0" applyNumberFormat="1" applyFont="1" applyAlignment="1">
      <alignment vertical="center" wrapText="1"/>
    </xf>
    <xf numFmtId="15" fontId="17" fillId="0" borderId="0" xfId="0" applyNumberFormat="1" applyFont="1" applyAlignment="1">
      <alignment horizontal="center" vertical="center" wrapText="1"/>
    </xf>
    <xf numFmtId="44" fontId="18" fillId="0" borderId="0" xfId="0" applyNumberFormat="1" applyFont="1" applyAlignment="1">
      <alignment vertical="center" wrapText="1"/>
    </xf>
    <xf numFmtId="0" fontId="17" fillId="0" borderId="0" xfId="0" applyFont="1" applyAlignment="1"/>
    <xf numFmtId="15" fontId="19" fillId="0" borderId="2" xfId="0" applyNumberFormat="1" applyFont="1" applyFill="1" applyBorder="1" applyAlignment="1">
      <alignment horizontal="center" wrapText="1"/>
    </xf>
    <xf numFmtId="15" fontId="9" fillId="0" borderId="0" xfId="0" applyNumberFormat="1" applyFont="1" applyAlignment="1">
      <alignment horizontal="center" wrapText="1"/>
    </xf>
    <xf numFmtId="49" fontId="10" fillId="0" borderId="0" xfId="0" applyNumberFormat="1" applyFont="1"/>
    <xf numFmtId="15" fontId="20" fillId="0" borderId="0" xfId="0" applyNumberFormat="1" applyFont="1" applyAlignment="1">
      <alignment horizontal="center"/>
    </xf>
    <xf numFmtId="0" fontId="20" fillId="0" borderId="0" xfId="0" applyFont="1"/>
    <xf numFmtId="44" fontId="20" fillId="0" borderId="0" xfId="1" applyFont="1"/>
    <xf numFmtId="15" fontId="20" fillId="0" borderId="0" xfId="0" applyNumberFormat="1" applyFont="1" applyAlignment="1">
      <alignment horizontal="center" wrapText="1"/>
    </xf>
    <xf numFmtId="44" fontId="21" fillId="0" borderId="0" xfId="1" applyFont="1"/>
    <xf numFmtId="44" fontId="22" fillId="0" borderId="0" xfId="0" applyNumberFormat="1" applyFont="1"/>
    <xf numFmtId="15" fontId="22" fillId="0" borderId="0" xfId="0" applyNumberFormat="1" applyFont="1" applyAlignment="1">
      <alignment horizontal="center" wrapText="1"/>
    </xf>
    <xf numFmtId="44" fontId="23" fillId="0" borderId="0" xfId="0" applyNumberFormat="1" applyFont="1"/>
    <xf numFmtId="0" fontId="20" fillId="0" borderId="0" xfId="0" applyFont="1" applyAlignment="1">
      <alignment horizontal="center"/>
    </xf>
    <xf numFmtId="44" fontId="20" fillId="0" borderId="0" xfId="0" applyNumberFormat="1" applyFont="1"/>
    <xf numFmtId="44" fontId="21" fillId="0" borderId="0" xfId="0" applyNumberFormat="1" applyFont="1"/>
    <xf numFmtId="15" fontId="24" fillId="0" borderId="0" xfId="0" applyNumberFormat="1" applyFont="1" applyAlignment="1">
      <alignment horizontal="center" wrapText="1"/>
    </xf>
    <xf numFmtId="15" fontId="8" fillId="0" borderId="0" xfId="0" applyNumberFormat="1" applyFont="1" applyFill="1" applyAlignment="1">
      <alignment horizontal="center" wrapText="1"/>
    </xf>
    <xf numFmtId="0" fontId="8" fillId="0" borderId="0" xfId="0" applyFont="1" applyFill="1" applyAlignment="1">
      <alignment horizontal="center" wrapText="1"/>
    </xf>
    <xf numFmtId="49" fontId="8" fillId="0" borderId="2" xfId="0" applyNumberFormat="1" applyFont="1" applyFill="1" applyBorder="1" applyAlignment="1">
      <alignment wrapText="1"/>
    </xf>
    <xf numFmtId="44" fontId="8" fillId="0" borderId="0" xfId="1" applyFont="1" applyFill="1" applyAlignment="1">
      <alignment wrapText="1"/>
    </xf>
    <xf numFmtId="15" fontId="8" fillId="0" borderId="0" xfId="0" applyNumberFormat="1" applyFont="1" applyFill="1" applyAlignment="1">
      <alignment horizontal="center"/>
    </xf>
    <xf numFmtId="0" fontId="8" fillId="0" borderId="0" xfId="0" applyFont="1" applyFill="1" applyAlignment="1"/>
    <xf numFmtId="0" fontId="8" fillId="0" borderId="0" xfId="0" applyFont="1" applyFill="1" applyAlignment="1">
      <alignment horizontal="center"/>
    </xf>
    <xf numFmtId="44" fontId="8" fillId="0" borderId="0" xfId="1" applyFont="1" applyFill="1" applyAlignment="1">
      <alignment horizontal="center"/>
    </xf>
    <xf numFmtId="44" fontId="15" fillId="0" borderId="0" xfId="1" applyFont="1" applyFill="1" applyAlignment="1">
      <alignment horizontal="center"/>
    </xf>
    <xf numFmtId="15" fontId="8" fillId="0" borderId="1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>
      <alignment horizontal="center"/>
    </xf>
    <xf numFmtId="49" fontId="8" fillId="0" borderId="2" xfId="0" applyNumberFormat="1" applyFont="1" applyFill="1" applyBorder="1" applyAlignment="1"/>
    <xf numFmtId="44" fontId="8" fillId="0" borderId="2" xfId="1" applyNumberFormat="1" applyFont="1" applyFill="1" applyBorder="1" applyAlignment="1">
      <alignment horizontal="center"/>
    </xf>
    <xf numFmtId="15" fontId="8" fillId="0" borderId="2" xfId="0" applyNumberFormat="1" applyFont="1" applyFill="1" applyBorder="1" applyAlignment="1">
      <alignment horizontal="center" wrapText="1"/>
    </xf>
    <xf numFmtId="44" fontId="8" fillId="0" borderId="2" xfId="1" applyNumberFormat="1" applyFont="1" applyFill="1" applyBorder="1" applyAlignment="1"/>
    <xf numFmtId="44" fontId="9" fillId="0" borderId="2" xfId="1" applyNumberFormat="1" applyFont="1" applyFill="1" applyBorder="1" applyAlignment="1"/>
    <xf numFmtId="49" fontId="8" fillId="0" borderId="14" xfId="0" applyNumberFormat="1" applyFont="1" applyFill="1" applyBorder="1" applyAlignment="1"/>
    <xf numFmtId="0" fontId="2" fillId="0" borderId="0" xfId="0" applyFont="1" applyFill="1" applyAlignment="1"/>
    <xf numFmtId="15" fontId="10" fillId="0" borderId="2" xfId="0" applyNumberFormat="1" applyFont="1" applyFill="1" applyBorder="1" applyAlignment="1">
      <alignment horizontal="center" wrapText="1"/>
    </xf>
    <xf numFmtId="49" fontId="9" fillId="0" borderId="14" xfId="0" applyNumberFormat="1" applyFont="1" applyFill="1" applyBorder="1" applyAlignment="1"/>
    <xf numFmtId="15" fontId="24" fillId="0" borderId="2" xfId="0" applyNumberFormat="1" applyFont="1" applyFill="1" applyBorder="1" applyAlignment="1">
      <alignment horizontal="center" wrapText="1"/>
    </xf>
    <xf numFmtId="15" fontId="8" fillId="0" borderId="0" xfId="1" applyNumberFormat="1" applyFont="1" applyFill="1" applyAlignment="1">
      <alignment horizontal="center" wrapText="1"/>
    </xf>
    <xf numFmtId="44" fontId="9" fillId="0" borderId="0" xfId="1" applyFont="1" applyFill="1" applyAlignment="1"/>
    <xf numFmtId="44" fontId="8" fillId="0" borderId="0" xfId="1" applyFont="1" applyFill="1" applyAlignment="1"/>
    <xf numFmtId="44" fontId="7" fillId="0" borderId="0" xfId="0" applyNumberFormat="1" applyFont="1" applyFill="1" applyAlignment="1">
      <alignment horizontal="center" vertical="center"/>
    </xf>
    <xf numFmtId="15" fontId="7" fillId="0" borderId="0" xfId="0" applyNumberFormat="1" applyFont="1" applyFill="1" applyAlignment="1">
      <alignment horizontal="center" vertical="center" wrapText="1"/>
    </xf>
    <xf numFmtId="44" fontId="12" fillId="0" borderId="0" xfId="0" applyNumberFormat="1" applyFont="1" applyFill="1" applyAlignment="1">
      <alignment vertical="center"/>
    </xf>
    <xf numFmtId="44" fontId="8" fillId="0" borderId="0" xfId="0" applyNumberFormat="1" applyFont="1" applyFill="1" applyAlignment="1"/>
    <xf numFmtId="15" fontId="8" fillId="0" borderId="0" xfId="1" applyNumberFormat="1" applyFont="1" applyFill="1" applyAlignment="1">
      <alignment wrapText="1"/>
    </xf>
    <xf numFmtId="15" fontId="8" fillId="5" borderId="2" xfId="0" applyNumberFormat="1" applyFont="1" applyFill="1" applyBorder="1" applyAlignment="1">
      <alignment horizontal="center" wrapText="1"/>
    </xf>
    <xf numFmtId="15" fontId="8" fillId="0" borderId="1" xfId="0" applyNumberFormat="1" applyFont="1" applyBorder="1" applyAlignment="1">
      <alignment horizontal="center"/>
    </xf>
    <xf numFmtId="49" fontId="8" fillId="0" borderId="2" xfId="0" applyNumberFormat="1" applyFont="1" applyBorder="1" applyAlignment="1">
      <alignment horizontal="center"/>
    </xf>
    <xf numFmtId="15" fontId="8" fillId="0" borderId="2" xfId="0" applyNumberFormat="1" applyFont="1" applyBorder="1" applyAlignment="1">
      <alignment horizontal="center" wrapText="1"/>
    </xf>
    <xf numFmtId="15" fontId="8" fillId="5" borderId="2" xfId="0" applyNumberFormat="1" applyFont="1" applyFill="1" applyBorder="1" applyAlignment="1">
      <alignment horizontal="center"/>
    </xf>
    <xf numFmtId="44" fontId="9" fillId="5" borderId="2" xfId="1" applyFont="1" applyFill="1" applyBorder="1"/>
    <xf numFmtId="49" fontId="8" fillId="0" borderId="2" xfId="0" applyNumberFormat="1" applyFont="1" applyBorder="1"/>
    <xf numFmtId="44" fontId="8" fillId="0" borderId="2" xfId="1" applyFont="1" applyBorder="1"/>
    <xf numFmtId="15" fontId="8" fillId="0" borderId="2" xfId="0" applyNumberFormat="1" applyFont="1" applyBorder="1" applyAlignment="1">
      <alignment horizontal="center"/>
    </xf>
    <xf numFmtId="44" fontId="9" fillId="0" borderId="2" xfId="1" applyFont="1" applyBorder="1"/>
    <xf numFmtId="15" fontId="10" fillId="5" borderId="2" xfId="0" applyNumberFormat="1" applyFont="1" applyFill="1" applyBorder="1" applyAlignment="1">
      <alignment horizontal="center"/>
    </xf>
    <xf numFmtId="15" fontId="10" fillId="0" borderId="2" xfId="0" applyNumberFormat="1" applyFont="1" applyBorder="1" applyAlignment="1">
      <alignment horizontal="center"/>
    </xf>
    <xf numFmtId="49" fontId="9" fillId="0" borderId="2" xfId="0" applyNumberFormat="1" applyFont="1" applyBorder="1"/>
    <xf numFmtId="49" fontId="8" fillId="0" borderId="2" xfId="0" applyNumberFormat="1" applyFont="1" applyBorder="1" applyAlignment="1">
      <alignment wrapText="1"/>
    </xf>
    <xf numFmtId="49" fontId="9" fillId="5" borderId="2" xfId="0" applyNumberFormat="1" applyFont="1" applyFill="1" applyBorder="1"/>
    <xf numFmtId="44" fontId="8" fillId="0" borderId="2" xfId="1" applyFont="1" applyFill="1" applyBorder="1" applyAlignment="1"/>
    <xf numFmtId="15" fontId="26" fillId="5" borderId="20" xfId="0" applyNumberFormat="1" applyFont="1" applyFill="1" applyBorder="1" applyAlignment="1">
      <alignment horizontal="center"/>
    </xf>
    <xf numFmtId="49" fontId="26" fillId="5" borderId="0" xfId="0" applyNumberFormat="1" applyFont="1" applyFill="1" applyBorder="1" applyAlignment="1">
      <alignment horizontal="center"/>
    </xf>
    <xf numFmtId="49" fontId="26" fillId="5" borderId="0" xfId="0" applyNumberFormat="1" applyFont="1" applyFill="1" applyBorder="1"/>
    <xf numFmtId="44" fontId="26" fillId="5" borderId="0" xfId="1" applyFont="1" applyFill="1" applyBorder="1"/>
    <xf numFmtId="15" fontId="26" fillId="5" borderId="0" xfId="0" applyNumberFormat="1" applyFont="1" applyFill="1" applyBorder="1" applyAlignment="1">
      <alignment horizontal="center"/>
    </xf>
    <xf numFmtId="44" fontId="27" fillId="5" borderId="0" xfId="1" applyFont="1" applyFill="1" applyBorder="1"/>
    <xf numFmtId="15" fontId="26" fillId="5" borderId="19" xfId="0" applyNumberFormat="1" applyFont="1" applyFill="1" applyBorder="1" applyAlignment="1">
      <alignment horizontal="center"/>
    </xf>
    <xf numFmtId="49" fontId="26" fillId="5" borderId="5" xfId="0" applyNumberFormat="1" applyFont="1" applyFill="1" applyBorder="1" applyAlignment="1">
      <alignment horizontal="center"/>
    </xf>
    <xf numFmtId="49" fontId="26" fillId="5" borderId="5" xfId="0" applyNumberFormat="1" applyFont="1" applyFill="1" applyBorder="1"/>
    <xf numFmtId="44" fontId="26" fillId="5" borderId="5" xfId="1" applyFont="1" applyFill="1" applyBorder="1"/>
    <xf numFmtId="15" fontId="26" fillId="5" borderId="5" xfId="0" applyNumberFormat="1" applyFont="1" applyFill="1" applyBorder="1" applyAlignment="1">
      <alignment horizontal="center"/>
    </xf>
    <xf numFmtId="44" fontId="27" fillId="5" borderId="5" xfId="1" applyFont="1" applyFill="1" applyBorder="1"/>
    <xf numFmtId="15" fontId="2" fillId="5" borderId="2" xfId="0" applyNumberFormat="1" applyFont="1" applyFill="1" applyBorder="1" applyAlignment="1">
      <alignment horizontal="center" wrapText="1"/>
    </xf>
    <xf numFmtId="44" fontId="8" fillId="5" borderId="2" xfId="1" applyNumberFormat="1" applyFont="1" applyFill="1" applyBorder="1"/>
    <xf numFmtId="44" fontId="9" fillId="5" borderId="2" xfId="1" applyNumberFormat="1" applyFont="1" applyFill="1" applyBorder="1"/>
    <xf numFmtId="44" fontId="8" fillId="0" borderId="2" xfId="1" applyNumberFormat="1" applyFont="1" applyBorder="1"/>
    <xf numFmtId="44" fontId="9" fillId="0" borderId="2" xfId="1" applyNumberFormat="1" applyFont="1" applyBorder="1"/>
    <xf numFmtId="44" fontId="15" fillId="0" borderId="0" xfId="1" applyFont="1" applyAlignment="1">
      <alignment horizontal="center"/>
    </xf>
    <xf numFmtId="49" fontId="8" fillId="5" borderId="2" xfId="0" applyNumberFormat="1" applyFont="1" applyFill="1" applyBorder="1" applyAlignment="1">
      <alignment wrapText="1"/>
    </xf>
    <xf numFmtId="15" fontId="8" fillId="5" borderId="3" xfId="0" applyNumberFormat="1" applyFont="1" applyFill="1" applyBorder="1" applyAlignment="1">
      <alignment horizontal="center"/>
    </xf>
    <xf numFmtId="49" fontId="8" fillId="5" borderId="4" xfId="0" applyNumberFormat="1" applyFont="1" applyFill="1" applyBorder="1" applyAlignment="1">
      <alignment horizontal="center"/>
    </xf>
    <xf numFmtId="49" fontId="8" fillId="5" borderId="4" xfId="0" applyNumberFormat="1" applyFont="1" applyFill="1" applyBorder="1"/>
    <xf numFmtId="44" fontId="8" fillId="5" borderId="4" xfId="1" applyNumberFormat="1" applyFont="1" applyFill="1" applyBorder="1"/>
    <xf numFmtId="15" fontId="8" fillId="5" borderId="4" xfId="0" applyNumberFormat="1" applyFont="1" applyFill="1" applyBorder="1" applyAlignment="1">
      <alignment horizontal="center"/>
    </xf>
    <xf numFmtId="44" fontId="9" fillId="5" borderId="4" xfId="1" applyNumberFormat="1" applyFont="1" applyFill="1" applyBorder="1"/>
    <xf numFmtId="164" fontId="7" fillId="4" borderId="7" xfId="0" applyNumberFormat="1" applyFont="1" applyFill="1" applyBorder="1" applyAlignment="1">
      <alignment horizontal="center" vertical="center" wrapText="1"/>
    </xf>
    <xf numFmtId="164" fontId="7" fillId="4" borderId="8" xfId="0" applyNumberFormat="1" applyFont="1" applyFill="1" applyBorder="1" applyAlignment="1">
      <alignment horizontal="center" vertical="center" wrapText="1"/>
    </xf>
    <xf numFmtId="164" fontId="7" fillId="4" borderId="9" xfId="0" applyNumberFormat="1" applyFont="1" applyFill="1" applyBorder="1" applyAlignment="1">
      <alignment horizontal="center" vertical="center" wrapText="1"/>
    </xf>
    <xf numFmtId="164" fontId="7" fillId="4" borderId="10" xfId="0" applyNumberFormat="1" applyFont="1" applyFill="1" applyBorder="1" applyAlignment="1">
      <alignment horizontal="center" vertical="center" wrapText="1"/>
    </xf>
    <xf numFmtId="7" fontId="11" fillId="3" borderId="7" xfId="1" applyNumberFormat="1" applyFont="1" applyFill="1" applyBorder="1" applyAlignment="1">
      <alignment horizontal="center" vertical="center" wrapText="1"/>
    </xf>
    <xf numFmtId="7" fontId="11" fillId="3" borderId="8" xfId="1" applyNumberFormat="1" applyFont="1" applyFill="1" applyBorder="1" applyAlignment="1">
      <alignment horizontal="center" vertical="center" wrapText="1"/>
    </xf>
    <xf numFmtId="7" fontId="11" fillId="3" borderId="9" xfId="1" applyNumberFormat="1" applyFont="1" applyFill="1" applyBorder="1" applyAlignment="1">
      <alignment horizontal="center" vertical="center" wrapText="1"/>
    </xf>
    <xf numFmtId="7" fontId="11" fillId="3" borderId="10" xfId="1" applyNumberFormat="1" applyFont="1" applyFill="1" applyBorder="1" applyAlignment="1">
      <alignment horizontal="center" vertical="center" wrapText="1"/>
    </xf>
    <xf numFmtId="44" fontId="8" fillId="0" borderId="8" xfId="1" applyFont="1" applyBorder="1" applyAlignment="1">
      <alignment horizontal="center" vertical="center"/>
    </xf>
    <xf numFmtId="44" fontId="8" fillId="0" borderId="10" xfId="1" applyFont="1" applyBorder="1" applyAlignment="1">
      <alignment horizontal="center" vertical="center"/>
    </xf>
    <xf numFmtId="0" fontId="8" fillId="0" borderId="7" xfId="0" applyFont="1" applyBorder="1" applyAlignment="1">
      <alignment horizontal="right" vertical="center"/>
    </xf>
    <xf numFmtId="0" fontId="8" fillId="0" borderId="9" xfId="0" applyFont="1" applyBorder="1" applyAlignment="1">
      <alignment horizontal="right" vertical="center"/>
    </xf>
    <xf numFmtId="7" fontId="14" fillId="3" borderId="7" xfId="1" applyNumberFormat="1" applyFont="1" applyFill="1" applyBorder="1" applyAlignment="1">
      <alignment horizontal="center" vertical="center" wrapText="1"/>
    </xf>
    <xf numFmtId="7" fontId="14" fillId="3" borderId="8" xfId="1" applyNumberFormat="1" applyFont="1" applyFill="1" applyBorder="1" applyAlignment="1">
      <alignment horizontal="center" vertical="center" wrapText="1"/>
    </xf>
    <xf numFmtId="7" fontId="14" fillId="3" borderId="11" xfId="1" applyNumberFormat="1" applyFont="1" applyFill="1" applyBorder="1" applyAlignment="1">
      <alignment horizontal="center" vertical="center" wrapText="1"/>
    </xf>
    <xf numFmtId="7" fontId="14" fillId="3" borderId="12" xfId="1" applyNumberFormat="1" applyFont="1" applyFill="1" applyBorder="1" applyAlignment="1">
      <alignment horizontal="center" vertical="center" wrapText="1"/>
    </xf>
    <xf numFmtId="7" fontId="14" fillId="3" borderId="9" xfId="1" applyNumberFormat="1" applyFont="1" applyFill="1" applyBorder="1" applyAlignment="1">
      <alignment horizontal="center" vertical="center" wrapText="1"/>
    </xf>
    <xf numFmtId="7" fontId="14" fillId="3" borderId="10" xfId="1" applyNumberFormat="1" applyFont="1" applyFill="1" applyBorder="1" applyAlignment="1">
      <alignment horizontal="center" vertical="center" wrapText="1"/>
    </xf>
    <xf numFmtId="44" fontId="9" fillId="0" borderId="11" xfId="1" applyFont="1" applyBorder="1" applyAlignment="1">
      <alignment horizontal="center" vertical="center"/>
    </xf>
    <xf numFmtId="7" fontId="16" fillId="3" borderId="7" xfId="1" applyNumberFormat="1" applyFont="1" applyFill="1" applyBorder="1" applyAlignment="1">
      <alignment horizontal="center" vertical="center" wrapText="1"/>
    </xf>
    <xf numFmtId="7" fontId="16" fillId="3" borderId="8" xfId="1" applyNumberFormat="1" applyFont="1" applyFill="1" applyBorder="1" applyAlignment="1">
      <alignment horizontal="center" vertical="center" wrapText="1"/>
    </xf>
    <xf numFmtId="7" fontId="16" fillId="3" borderId="9" xfId="1" applyNumberFormat="1" applyFont="1" applyFill="1" applyBorder="1" applyAlignment="1">
      <alignment horizontal="center" vertical="center" wrapText="1"/>
    </xf>
    <xf numFmtId="7" fontId="16" fillId="3" borderId="10" xfId="1" applyNumberFormat="1" applyFont="1" applyFill="1" applyBorder="1" applyAlignment="1">
      <alignment horizontal="center" vertical="center" wrapText="1"/>
    </xf>
    <xf numFmtId="164" fontId="14" fillId="3" borderId="7" xfId="0" applyNumberFormat="1" applyFont="1" applyFill="1" applyBorder="1" applyAlignment="1">
      <alignment horizontal="center" vertical="center" wrapText="1"/>
    </xf>
    <xf numFmtId="164" fontId="14" fillId="3" borderId="15" xfId="0" applyNumberFormat="1" applyFont="1" applyFill="1" applyBorder="1" applyAlignment="1">
      <alignment horizontal="center" vertical="center" wrapText="1"/>
    </xf>
    <xf numFmtId="164" fontId="14" fillId="3" borderId="8" xfId="0" applyNumberFormat="1" applyFont="1" applyFill="1" applyBorder="1" applyAlignment="1">
      <alignment horizontal="center" vertical="center" wrapText="1"/>
    </xf>
    <xf numFmtId="164" fontId="14" fillId="3" borderId="11" xfId="0" applyNumberFormat="1" applyFont="1" applyFill="1" applyBorder="1" applyAlignment="1">
      <alignment horizontal="center" vertical="center" wrapText="1"/>
    </xf>
    <xf numFmtId="164" fontId="14" fillId="3" borderId="0" xfId="0" applyNumberFormat="1" applyFont="1" applyFill="1" applyBorder="1" applyAlignment="1">
      <alignment horizontal="center" vertical="center" wrapText="1"/>
    </xf>
    <xf numFmtId="164" fontId="14" fillId="3" borderId="12" xfId="0" applyNumberFormat="1" applyFont="1" applyFill="1" applyBorder="1" applyAlignment="1">
      <alignment horizontal="center" vertical="center" wrapText="1"/>
    </xf>
    <xf numFmtId="164" fontId="14" fillId="3" borderId="9" xfId="0" applyNumberFormat="1" applyFont="1" applyFill="1" applyBorder="1" applyAlignment="1">
      <alignment horizontal="center" vertical="center" wrapText="1"/>
    </xf>
    <xf numFmtId="164" fontId="14" fillId="3" borderId="16" xfId="0" applyNumberFormat="1" applyFont="1" applyFill="1" applyBorder="1" applyAlignment="1">
      <alignment horizontal="center" vertical="center" wrapText="1"/>
    </xf>
    <xf numFmtId="164" fontId="14" fillId="3" borderId="10" xfId="0" applyNumberFormat="1" applyFont="1" applyFill="1" applyBorder="1" applyAlignment="1">
      <alignment horizontal="center" vertical="center" wrapText="1"/>
    </xf>
    <xf numFmtId="0" fontId="16" fillId="0" borderId="17" xfId="0" applyFont="1" applyFill="1" applyBorder="1" applyAlignment="1">
      <alignment horizontal="center"/>
    </xf>
    <xf numFmtId="0" fontId="16" fillId="0" borderId="18" xfId="0" applyFont="1" applyFill="1" applyBorder="1" applyAlignment="1">
      <alignment horizontal="center"/>
    </xf>
    <xf numFmtId="164" fontId="25" fillId="3" borderId="7" xfId="1" applyNumberFormat="1" applyFont="1" applyFill="1" applyBorder="1" applyAlignment="1">
      <alignment horizontal="center" vertical="center" wrapText="1"/>
    </xf>
    <xf numFmtId="164" fontId="25" fillId="3" borderId="8" xfId="1" applyNumberFormat="1" applyFont="1" applyFill="1" applyBorder="1" applyAlignment="1">
      <alignment horizontal="center" vertical="center" wrapText="1"/>
    </xf>
    <xf numFmtId="164" fontId="25" fillId="3" borderId="9" xfId="1" applyNumberFormat="1" applyFont="1" applyFill="1" applyBorder="1" applyAlignment="1">
      <alignment horizontal="center" vertical="center" wrapText="1"/>
    </xf>
    <xf numFmtId="164" fontId="25" fillId="3" borderId="10" xfId="1" applyNumberFormat="1" applyFont="1" applyFill="1" applyBorder="1" applyAlignment="1">
      <alignment horizontal="center" vertical="center" wrapText="1"/>
    </xf>
    <xf numFmtId="164" fontId="28" fillId="3" borderId="7" xfId="1" applyNumberFormat="1" applyFont="1" applyFill="1" applyBorder="1" applyAlignment="1">
      <alignment horizontal="center" vertical="center"/>
    </xf>
    <xf numFmtId="164" fontId="28" fillId="3" borderId="8" xfId="1" applyNumberFormat="1" applyFont="1" applyFill="1" applyBorder="1" applyAlignment="1">
      <alignment horizontal="center" vertical="center"/>
    </xf>
    <xf numFmtId="164" fontId="28" fillId="3" borderId="9" xfId="1" applyNumberFormat="1" applyFont="1" applyFill="1" applyBorder="1" applyAlignment="1">
      <alignment horizontal="center" vertical="center"/>
    </xf>
    <xf numFmtId="164" fontId="28" fillId="3" borderId="10" xfId="1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/>
    </xf>
    <xf numFmtId="44" fontId="8" fillId="0" borderId="18" xfId="1" applyFont="1" applyBorder="1" applyAlignment="1">
      <alignment horizontal="center" vertical="center"/>
    </xf>
    <xf numFmtId="164" fontId="28" fillId="3" borderId="7" xfId="0" applyNumberFormat="1" applyFont="1" applyFill="1" applyBorder="1" applyAlignment="1">
      <alignment horizontal="center" vertical="center"/>
    </xf>
    <xf numFmtId="164" fontId="28" fillId="3" borderId="8" xfId="0" applyNumberFormat="1" applyFont="1" applyFill="1" applyBorder="1" applyAlignment="1">
      <alignment horizontal="center" vertical="center"/>
    </xf>
    <xf numFmtId="164" fontId="28" fillId="3" borderId="9" xfId="0" applyNumberFormat="1" applyFont="1" applyFill="1" applyBorder="1" applyAlignment="1">
      <alignment horizontal="center" vertical="center"/>
    </xf>
    <xf numFmtId="164" fontId="28" fillId="3" borderId="10" xfId="0" applyNumberFormat="1" applyFont="1" applyFill="1" applyBorder="1" applyAlignment="1">
      <alignment horizontal="center" vertical="center"/>
    </xf>
    <xf numFmtId="44" fontId="8" fillId="0" borderId="17" xfId="1" applyFont="1" applyBorder="1" applyAlignment="1">
      <alignment horizontal="center" vertical="center" wrapText="1"/>
    </xf>
    <xf numFmtId="44" fontId="8" fillId="0" borderId="18" xfId="1" applyFont="1" applyBorder="1" applyAlignment="1">
      <alignment horizontal="center" vertical="center" wrapText="1"/>
    </xf>
  </cellXfs>
  <cellStyles count="2">
    <cellStyle name="Moneda" xfId="1" builtinId="4"/>
    <cellStyle name="Normal" xfId="0" builtinId="0"/>
  </cellStyles>
  <dxfs count="123"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4" formatCode="_-&quot;$&quot;* #,##0.00_-;\-&quot;$&quot;* #,##0.00_-;_-&quot;$&quot;* &quot;-&quot;??_-;_-@_-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strike val="0"/>
        <outline val="0"/>
        <shadow val="0"/>
        <u val="none"/>
        <vertAlign val="baseline"/>
        <sz val="12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fill>
        <patternFill patternType="none">
          <fgColor indexed="64"/>
          <bgColor indexed="65"/>
        </patternFill>
      </fill>
      <alignment horizontal="center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fill>
        <patternFill patternType="none">
          <bgColor auto="1"/>
        </patternFill>
      </fill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fill>
        <patternFill patternType="none">
          <bgColor auto="1"/>
        </patternFill>
      </fill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rgb="FF0000FF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34" formatCode="_-&quot;$&quot;* #,##0.00_-;\-&quot;$&quot;* #,##0.00_-;_-&quot;$&quot;* &quot;-&quot;??_-;_-@_-"/>
      <alignment horizontal="general" vertical="center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general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4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4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name val="Calibri"/>
        <scheme val="minor"/>
      </font>
      <alignment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lef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4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rgb="FF0000FF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rgb="FF0000FF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34" formatCode="_-&quot;$&quot;* #,##0.00_-;\-&quot;$&quot;* #,##0.00_-;_-&quot;$&quot;* &quot;-&quot;??_-;_-@_-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20" formatCode="dd\-mmm\-yy"/>
      <alignment horizontal="center" vertical="bottom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FF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20" formatCode="dd\-mmm\-yy"/>
      <fill>
        <patternFill patternType="none">
          <fgColor theme="4" tint="0.79998168889431442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/>
      </font>
      <fill>
        <patternFill patternType="none">
          <bgColor auto="1"/>
        </patternFill>
      </fill>
    </dxf>
    <dxf>
      <font>
        <b/>
      </font>
      <fill>
        <patternFill patternType="none">
          <bgColor auto="1"/>
        </patternFill>
      </fill>
    </dxf>
  </dxfs>
  <tableStyles count="0" defaultTableStyle="TableStyleMedium2" defaultPivotStyle="PivotStyleLight16"/>
  <colors>
    <mruColors>
      <color rgb="FF990033"/>
      <color rgb="FF0000FF"/>
      <color rgb="FF33CC33"/>
      <color rgb="FF66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824278</xdr:colOff>
      <xdr:row>3238</xdr:row>
      <xdr:rowOff>300401</xdr:rowOff>
    </xdr:from>
    <xdr:to>
      <xdr:col>6</xdr:col>
      <xdr:colOff>534864</xdr:colOff>
      <xdr:row>3242</xdr:row>
      <xdr:rowOff>113565</xdr:rowOff>
    </xdr:to>
    <xdr:sp macro="" textlink="">
      <xdr:nvSpPr>
        <xdr:cNvPr id="2" name="Cerrar llave 1"/>
        <xdr:cNvSpPr/>
      </xdr:nvSpPr>
      <xdr:spPr>
        <a:xfrm rot="5400000">
          <a:off x="7030181" y="629111594"/>
          <a:ext cx="794972" cy="277324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990600</xdr:colOff>
      <xdr:row>3172</xdr:row>
      <xdr:rowOff>66675</xdr:rowOff>
    </xdr:from>
    <xdr:to>
      <xdr:col>6</xdr:col>
      <xdr:colOff>820615</xdr:colOff>
      <xdr:row>3176</xdr:row>
      <xdr:rowOff>61547</xdr:rowOff>
    </xdr:to>
    <xdr:sp macro="" textlink="">
      <xdr:nvSpPr>
        <xdr:cNvPr id="2" name="Cerrar llave 1"/>
        <xdr:cNvSpPr/>
      </xdr:nvSpPr>
      <xdr:spPr>
        <a:xfrm rot="5400000">
          <a:off x="7847134" y="646329866"/>
          <a:ext cx="794972" cy="3630490"/>
        </a:xfrm>
        <a:prstGeom prst="rightBrace">
          <a:avLst/>
        </a:prstGeom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876299</xdr:colOff>
      <xdr:row>3445</xdr:row>
      <xdr:rowOff>173932</xdr:rowOff>
    </xdr:from>
    <xdr:to>
      <xdr:col>6</xdr:col>
      <xdr:colOff>626298</xdr:colOff>
      <xdr:row>3449</xdr:row>
      <xdr:rowOff>195940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7169" y="697403932"/>
          <a:ext cx="3642825" cy="86683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422827</xdr:colOff>
      <xdr:row>3373</xdr:row>
      <xdr:rowOff>338345</xdr:rowOff>
    </xdr:from>
    <xdr:to>
      <xdr:col>6</xdr:col>
      <xdr:colOff>1194352</xdr:colOff>
      <xdr:row>3378</xdr:row>
      <xdr:rowOff>119276</xdr:rowOff>
    </xdr:to>
    <xdr:sp macro="" textlink="">
      <xdr:nvSpPr>
        <xdr:cNvPr id="2" name="Cerrar llave 1"/>
        <xdr:cNvSpPr/>
      </xdr:nvSpPr>
      <xdr:spPr>
        <a:xfrm rot="5400000">
          <a:off x="7519363" y="931967830"/>
          <a:ext cx="973627" cy="4680917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647700</xdr:colOff>
      <xdr:row>3556</xdr:row>
      <xdr:rowOff>38101</xdr:rowOff>
    </xdr:from>
    <xdr:to>
      <xdr:col>7</xdr:col>
      <xdr:colOff>508967</xdr:colOff>
      <xdr:row>3561</xdr:row>
      <xdr:rowOff>11603</xdr:rowOff>
    </xdr:to>
    <xdr:sp macro="" textlink="">
      <xdr:nvSpPr>
        <xdr:cNvPr id="2" name="Cerrar llave 1"/>
        <xdr:cNvSpPr/>
      </xdr:nvSpPr>
      <xdr:spPr>
        <a:xfrm rot="5400000">
          <a:off x="7925832" y="725194369"/>
          <a:ext cx="973627" cy="5242892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228600</xdr:colOff>
      <xdr:row>3338</xdr:row>
      <xdr:rowOff>66674</xdr:rowOff>
    </xdr:from>
    <xdr:to>
      <xdr:col>6</xdr:col>
      <xdr:colOff>1066800</xdr:colOff>
      <xdr:row>3341</xdr:row>
      <xdr:rowOff>166072</xdr:rowOff>
    </xdr:to>
    <xdr:sp macro="" textlink="">
      <xdr:nvSpPr>
        <xdr:cNvPr id="2" name="Cerrar llave 1"/>
        <xdr:cNvSpPr/>
      </xdr:nvSpPr>
      <xdr:spPr>
        <a:xfrm rot="5400000">
          <a:off x="8246576" y="929603973"/>
          <a:ext cx="699473" cy="4848225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390524</xdr:colOff>
      <xdr:row>3232</xdr:row>
      <xdr:rowOff>19050</xdr:rowOff>
    </xdr:from>
    <xdr:to>
      <xdr:col>6</xdr:col>
      <xdr:colOff>952498</xdr:colOff>
      <xdr:row>3235</xdr:row>
      <xdr:rowOff>152822</xdr:rowOff>
    </xdr:to>
    <xdr:sp macro="" textlink="">
      <xdr:nvSpPr>
        <xdr:cNvPr id="2" name="Cerrar llave 1"/>
        <xdr:cNvSpPr/>
      </xdr:nvSpPr>
      <xdr:spPr>
        <a:xfrm rot="5400000">
          <a:off x="7272125" y="663249774"/>
          <a:ext cx="733847" cy="4038599"/>
        </a:xfrm>
        <a:prstGeom prst="rightBrace">
          <a:avLst/>
        </a:prstGeom>
      </xdr:spPr>
      <xdr:style>
        <a:lnRef idx="3">
          <a:schemeClr val="accent2"/>
        </a:lnRef>
        <a:fillRef idx="0">
          <a:schemeClr val="accent2"/>
        </a:fillRef>
        <a:effectRef idx="2">
          <a:schemeClr val="accent2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304800</xdr:colOff>
      <xdr:row>3221</xdr:row>
      <xdr:rowOff>190500</xdr:rowOff>
    </xdr:from>
    <xdr:to>
      <xdr:col>6</xdr:col>
      <xdr:colOff>777591</xdr:colOff>
      <xdr:row>3225</xdr:row>
      <xdr:rowOff>195142</xdr:rowOff>
    </xdr:to>
    <xdr:pic>
      <xdr:nvPicPr>
        <xdr:cNvPr id="2" name="Imagen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553075" y="658272750"/>
          <a:ext cx="4054191" cy="804742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1:H3239" totalsRowShown="0" headerRowDxfId="122" dataDxfId="121">
  <autoFilter ref="A1:H3239"/>
  <tableColumns count="8">
    <tableColumn id="1" name="Fecha" dataDxfId="120"/>
    <tableColumn id="2" name="Folio-Serie" dataDxfId="119"/>
    <tableColumn id="4" name="Nombre-Cliente" dataDxfId="118"/>
    <tableColumn id="6" name="Importe" dataDxfId="117" dataCellStyle="Moneda"/>
    <tableColumn id="7" name="Fecha-Pago" dataDxfId="116"/>
    <tableColumn id="8" name="Pagado" dataDxfId="115" dataCellStyle="Moneda"/>
    <tableColumn id="9" name="Saldo" dataDxfId="114" dataCellStyle="Moneda">
      <calculatedColumnFormula>Tabla1[[#This Row],[Importe]]-Tabla1[[#This Row],[Pagado]]</calculatedColumnFormula>
    </tableColumn>
    <tableColumn id="10" name="Estado" dataDxfId="113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a13" displayName="Tabla13" ref="A1:I3172" totalsRowCount="1" headerRowDxfId="112" dataDxfId="111">
  <autoFilter ref="A1:I3171"/>
  <tableColumns count="9">
    <tableColumn id="1" name="Fecha" dataDxfId="110" totalsRowDxfId="109"/>
    <tableColumn id="2" name="Folio-Serie" dataDxfId="108" totalsRowDxfId="107"/>
    <tableColumn id="4" name="Nombre-Cliente" dataDxfId="106" totalsRowDxfId="105"/>
    <tableColumn id="6" name="Importe" totalsRowFunction="sum" dataDxfId="104" totalsRowDxfId="103" dataCellStyle="Moneda"/>
    <tableColumn id="7" name="Fecha-Pago" dataDxfId="102" totalsRowDxfId="101"/>
    <tableColumn id="8" name="Pagado" totalsRowFunction="sum" dataDxfId="100" totalsRowDxfId="99" dataCellStyle="Moneda"/>
    <tableColumn id="9" name="Saldo" totalsRowFunction="sum" dataDxfId="98" totalsRowDxfId="97" dataCellStyle="Moneda">
      <calculatedColumnFormula>Tabla13[[#This Row],[Importe]]-Tabla13[[#This Row],[Pagado]]</calculatedColumnFormula>
    </tableColumn>
    <tableColumn id="10" name="Estado" dataDxfId="96" totalsRowDxfId="95"/>
    <tableColumn id="3" name="Columna1" dataDxfId="94" totalsRowDxfId="93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a14" displayName="Tabla14" ref="A1:H3444" totalsRowShown="0" headerRowDxfId="92" dataDxfId="91">
  <autoFilter ref="A1:H3444"/>
  <tableColumns count="8">
    <tableColumn id="1" name="Fecha" dataDxfId="90"/>
    <tableColumn id="2" name="Folio-Serie" dataDxfId="89"/>
    <tableColumn id="4" name="Nombre-Cliente" dataDxfId="88"/>
    <tableColumn id="6" name="Importe" dataDxfId="87" dataCellStyle="Moneda"/>
    <tableColumn id="7" name="Fecha-Pago" dataDxfId="86"/>
    <tableColumn id="8" name="Pagado" dataDxfId="85" dataCellStyle="Moneda"/>
    <tableColumn id="9" name="Saldo" dataDxfId="84" dataCellStyle="Moneda">
      <calculatedColumnFormula>Tabla14[[#This Row],[Importe]]-Tabla14[[#This Row],[Pagado]]</calculatedColumnFormula>
    </tableColumn>
    <tableColumn id="10" name="Estado" dataDxfId="83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id="4" name="Tabla15" displayName="Tabla15" ref="A1:H3374" totalsRowCount="1" headerRowDxfId="82" dataDxfId="81" totalsRowDxfId="80">
  <autoFilter ref="A1:H3373"/>
  <tableColumns count="8">
    <tableColumn id="1" name="Fecha" dataDxfId="79" totalsRowDxfId="78"/>
    <tableColumn id="2" name="Folio-Serie" dataDxfId="77" totalsRowDxfId="76"/>
    <tableColumn id="4" name="Nombre-Cliente" dataDxfId="75" totalsRowDxfId="74"/>
    <tableColumn id="6" name="Importe" totalsRowFunction="sum" dataDxfId="73" totalsRowDxfId="72" dataCellStyle="Moneda"/>
    <tableColumn id="7" name="Fecha-Pago" dataDxfId="71" totalsRowDxfId="70"/>
    <tableColumn id="8" name="Pagado" totalsRowFunction="sum" dataDxfId="69" totalsRowDxfId="68" dataCellStyle="Moneda"/>
    <tableColumn id="9" name="Saldo" totalsRowFunction="sum" dataDxfId="67" totalsRowDxfId="66" dataCellStyle="Moneda">
      <calculatedColumnFormula>Tabla15[[#This Row],[Importe]]-Tabla15[[#This Row],[Pagado]]</calculatedColumnFormula>
    </tableColumn>
    <tableColumn id="10" name="Estado" dataDxfId="65" totalsRowDxfId="6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5" name="Tabla16" displayName="Tabla16" ref="A1:H3556" totalsRowCount="1" headerRowDxfId="63" dataDxfId="62">
  <autoFilter ref="A1:H3555"/>
  <tableColumns count="8">
    <tableColumn id="1" name="Fecha" dataDxfId="61" totalsRowDxfId="60"/>
    <tableColumn id="2" name="Folio-Serie" dataDxfId="59" totalsRowDxfId="58"/>
    <tableColumn id="4" name="Nombre-Cliente" dataDxfId="57" totalsRowDxfId="56"/>
    <tableColumn id="6" name="Importe" totalsRowFunction="sum" dataDxfId="55" totalsRowDxfId="54" dataCellStyle="Moneda"/>
    <tableColumn id="7" name="Fecha-Pago" dataDxfId="53" totalsRowDxfId="52"/>
    <tableColumn id="8" name="Pagado" totalsRowFunction="sum" dataDxfId="51" totalsRowDxfId="50" dataCellStyle="Moneda"/>
    <tableColumn id="9" name="Saldo" totalsRowFunction="sum" dataDxfId="49" totalsRowDxfId="48" dataCellStyle="Moneda">
      <calculatedColumnFormula>Tabla16[[#This Row],[Importe]]-Tabla16[[#This Row],[Pagado]]</calculatedColumnFormula>
    </tableColumn>
    <tableColumn id="10" name="Estado" dataDxfId="47" totalsRowDxfId="46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abla147" displayName="Tabla147" ref="A1:H3338" totalsRowCount="1" headerRowDxfId="45" dataDxfId="44">
  <autoFilter ref="A1:H3337"/>
  <tableColumns count="8">
    <tableColumn id="1" name="Fecha" dataDxfId="43" totalsRowDxfId="42"/>
    <tableColumn id="2" name="Folio-Serie" dataDxfId="41" totalsRowDxfId="40"/>
    <tableColumn id="4" name="Nombre-Cliente" dataDxfId="39" totalsRowDxfId="38"/>
    <tableColumn id="6" name="Importe" totalsRowFunction="sum" dataDxfId="37" totalsRowDxfId="36" dataCellStyle="Moneda"/>
    <tableColumn id="7" name="Fecha-Pago" dataDxfId="35" totalsRowDxfId="34" dataCellStyle="Moneda"/>
    <tableColumn id="8" name="Pagado" totalsRowFunction="sum" dataDxfId="33" totalsRowDxfId="32" dataCellStyle="Moneda"/>
    <tableColumn id="9" name="Saldo" totalsRowFunction="sum" dataDxfId="31" totalsRowDxfId="30" dataCellStyle="Moneda"/>
    <tableColumn id="10" name="Estado" dataDxfId="29" totalsRowDxfId="28" dataCellStyle="Moneda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id="7" name="Tabla18" displayName="Tabla18" ref="A1:H3232" totalsRowShown="0" headerRowDxfId="27" dataDxfId="26">
  <autoFilter ref="A1:H3232"/>
  <tableColumns count="8">
    <tableColumn id="1" name="Fecha" dataDxfId="25"/>
    <tableColumn id="2" name="Folio-Serie" dataDxfId="24"/>
    <tableColumn id="4" name="Nombre-Cliente" dataDxfId="23"/>
    <tableColumn id="6" name="Importe" dataDxfId="22" dataCellStyle="Moneda"/>
    <tableColumn id="7" name="Fecha-Pago" dataDxfId="21"/>
    <tableColumn id="8" name="Pagado" dataDxfId="20" dataCellStyle="Moneda"/>
    <tableColumn id="9" name="Saldo" dataDxfId="19" dataCellStyle="Moneda">
      <calculatedColumnFormula>Tabla18[[#This Row],[Importe]]-Tabla18[[#This Row],[Pagado]]</calculatedColumnFormula>
    </tableColumn>
    <tableColumn id="10" name="Estado" dataDxfId="1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id="8" name="Tabla19" displayName="Tabla19" ref="A1:H3222" totalsRowCount="1" headerRowDxfId="17" dataDxfId="16">
  <autoFilter ref="A1:H3221"/>
  <tableColumns count="8">
    <tableColumn id="1" name="Fecha" dataDxfId="15" totalsRowDxfId="7"/>
    <tableColumn id="2" name="Folio-Serie" dataDxfId="14" totalsRowDxfId="6"/>
    <tableColumn id="4" name="Nombre-Cliente" dataDxfId="13" totalsRowDxfId="5"/>
    <tableColumn id="6" name="Importe" totalsRowFunction="sum" dataDxfId="12" totalsRowDxfId="4" dataCellStyle="Moneda"/>
    <tableColumn id="7" name="Fecha-Pago" dataDxfId="11" totalsRowDxfId="3"/>
    <tableColumn id="8" name="Pagado" totalsRowFunction="sum" dataDxfId="10" totalsRowDxfId="2" dataCellStyle="Moneda"/>
    <tableColumn id="9" name="Saldo" totalsRowFunction="sum" dataDxfId="9" totalsRowDxfId="1" dataCellStyle="Moneda">
      <calculatedColumnFormula>Tabla19[[#This Row],[Importe]]-Tabla19[[#This Row],[Pagado]]</calculatedColumnFormula>
    </tableColumn>
    <tableColumn id="10" name="Estado" dataDxfId="8" totalsRow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5.x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33CC33"/>
  </sheetPr>
  <dimension ref="A1:K3246"/>
  <sheetViews>
    <sheetView zoomScale="130" zoomScaleNormal="130" workbookViewId="0">
      <pane xSplit="2" ySplit="1" topLeftCell="D1386" activePane="bottomRight" state="frozen"/>
      <selection pane="topRight" activeCell="C1" sqref="C1"/>
      <selection pane="bottomLeft" activeCell="A2" sqref="A2"/>
      <selection pane="bottomRight" activeCell="G1398" sqref="G1398"/>
    </sheetView>
  </sheetViews>
  <sheetFormatPr baseColWidth="10" defaultRowHeight="15" x14ac:dyDescent="0.25"/>
  <cols>
    <col min="1" max="1" width="15.140625" style="1" customWidth="1"/>
    <col min="2" max="2" width="13" style="2" bestFit="1" customWidth="1"/>
    <col min="3" max="3" width="50.140625" style="3" bestFit="1" customWidth="1"/>
    <col min="4" max="4" width="16" style="4" customWidth="1"/>
    <col min="5" max="5" width="13.42578125" style="5" bestFit="1" customWidth="1"/>
    <col min="6" max="6" width="16.42578125" style="4" customWidth="1"/>
    <col min="7" max="7" width="22" style="6" customWidth="1"/>
    <col min="8" max="8" width="11.7109375" style="3" bestFit="1" customWidth="1"/>
    <col min="9" max="16384" width="11.42578125" style="3"/>
  </cols>
  <sheetData>
    <row r="1" spans="1: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4" t="s">
        <v>5</v>
      </c>
      <c r="G1" s="6" t="s">
        <v>6</v>
      </c>
      <c r="H1" s="3" t="s">
        <v>7</v>
      </c>
    </row>
    <row r="2" spans="1:8" x14ac:dyDescent="0.25">
      <c r="A2" s="7">
        <v>44563</v>
      </c>
      <c r="B2" s="8" t="s">
        <v>8</v>
      </c>
      <c r="C2" s="9" t="s">
        <v>9</v>
      </c>
      <c r="D2" s="10">
        <v>4925.6000000000004</v>
      </c>
      <c r="E2" s="11">
        <v>44563</v>
      </c>
      <c r="F2" s="10">
        <v>4925.6000000000004</v>
      </c>
      <c r="G2" s="12">
        <f>Tabla1[[#This Row],[Importe]]-Tabla1[[#This Row],[Pagado]]</f>
        <v>0</v>
      </c>
      <c r="H2" s="9" t="s">
        <v>10</v>
      </c>
    </row>
    <row r="3" spans="1:8" x14ac:dyDescent="0.25">
      <c r="A3" s="7">
        <v>44563</v>
      </c>
      <c r="B3" s="8" t="s">
        <v>11</v>
      </c>
      <c r="C3" s="9" t="s">
        <v>12</v>
      </c>
      <c r="D3" s="10">
        <v>55031.65</v>
      </c>
      <c r="E3" s="11">
        <v>44564</v>
      </c>
      <c r="F3" s="10">
        <v>55031.65</v>
      </c>
      <c r="G3" s="12">
        <f>Tabla1[[#This Row],[Importe]]-Tabla1[[#This Row],[Pagado]]</f>
        <v>0</v>
      </c>
      <c r="H3" s="9" t="s">
        <v>10</v>
      </c>
    </row>
    <row r="4" spans="1:8" x14ac:dyDescent="0.25">
      <c r="A4" s="7">
        <v>44563</v>
      </c>
      <c r="B4" s="8" t="s">
        <v>13</v>
      </c>
      <c r="C4" s="9" t="s">
        <v>14</v>
      </c>
      <c r="D4" s="10">
        <v>22050</v>
      </c>
      <c r="E4" s="11">
        <v>44563</v>
      </c>
      <c r="F4" s="10">
        <v>22050</v>
      </c>
      <c r="G4" s="12">
        <f>Tabla1[[#This Row],[Importe]]-Tabla1[[#This Row],[Pagado]]</f>
        <v>0</v>
      </c>
      <c r="H4" s="9" t="s">
        <v>10</v>
      </c>
    </row>
    <row r="5" spans="1:8" x14ac:dyDescent="0.25">
      <c r="A5" s="7">
        <v>44563</v>
      </c>
      <c r="B5" s="8" t="s">
        <v>15</v>
      </c>
      <c r="C5" s="9" t="s">
        <v>16</v>
      </c>
      <c r="D5" s="10">
        <v>9650.7999999999993</v>
      </c>
      <c r="E5" s="11">
        <v>44563</v>
      </c>
      <c r="F5" s="10">
        <v>9650.7999999999993</v>
      </c>
      <c r="G5" s="12">
        <f>Tabla1[[#This Row],[Importe]]-Tabla1[[#This Row],[Pagado]]</f>
        <v>0</v>
      </c>
      <c r="H5" s="9" t="s">
        <v>10</v>
      </c>
    </row>
    <row r="6" spans="1:8" x14ac:dyDescent="0.25">
      <c r="A6" s="7">
        <v>44563</v>
      </c>
      <c r="B6" s="8" t="s">
        <v>17</v>
      </c>
      <c r="C6" s="9" t="s">
        <v>18</v>
      </c>
      <c r="D6" s="10">
        <v>1410.1</v>
      </c>
      <c r="E6" s="11">
        <v>44563</v>
      </c>
      <c r="F6" s="10">
        <v>1410.1</v>
      </c>
      <c r="G6" s="12">
        <f>Tabla1[[#This Row],[Importe]]-Tabla1[[#This Row],[Pagado]]</f>
        <v>0</v>
      </c>
      <c r="H6" s="9" t="s">
        <v>10</v>
      </c>
    </row>
    <row r="7" spans="1:8" x14ac:dyDescent="0.25">
      <c r="A7" s="7">
        <v>44563</v>
      </c>
      <c r="B7" s="8" t="s">
        <v>19</v>
      </c>
      <c r="C7" s="9" t="s">
        <v>20</v>
      </c>
      <c r="D7" s="10">
        <v>7246.2</v>
      </c>
      <c r="E7" s="11">
        <v>44563</v>
      </c>
      <c r="F7" s="10">
        <v>7246.2</v>
      </c>
      <c r="G7" s="12">
        <f>Tabla1[[#This Row],[Importe]]-Tabla1[[#This Row],[Pagado]]</f>
        <v>0</v>
      </c>
      <c r="H7" s="9" t="s">
        <v>10</v>
      </c>
    </row>
    <row r="8" spans="1:8" x14ac:dyDescent="0.25">
      <c r="A8" s="7">
        <v>44563</v>
      </c>
      <c r="B8" s="8" t="s">
        <v>21</v>
      </c>
      <c r="C8" s="9" t="s">
        <v>22</v>
      </c>
      <c r="D8" s="10">
        <v>34709.300000000003</v>
      </c>
      <c r="E8" s="11">
        <v>44563</v>
      </c>
      <c r="F8" s="10">
        <v>34709.300000000003</v>
      </c>
      <c r="G8" s="12">
        <f>Tabla1[[#This Row],[Importe]]-Tabla1[[#This Row],[Pagado]]</f>
        <v>0</v>
      </c>
      <c r="H8" s="9" t="s">
        <v>10</v>
      </c>
    </row>
    <row r="9" spans="1:8" x14ac:dyDescent="0.25">
      <c r="A9" s="7">
        <v>44563</v>
      </c>
      <c r="B9" s="8" t="s">
        <v>23</v>
      </c>
      <c r="C9" s="9" t="s">
        <v>24</v>
      </c>
      <c r="D9" s="10">
        <v>5089.2</v>
      </c>
      <c r="E9" s="11">
        <v>44563</v>
      </c>
      <c r="F9" s="10">
        <v>5089.2</v>
      </c>
      <c r="G9" s="12">
        <f>Tabla1[[#This Row],[Importe]]-Tabla1[[#This Row],[Pagado]]</f>
        <v>0</v>
      </c>
      <c r="H9" s="9" t="s">
        <v>10</v>
      </c>
    </row>
    <row r="10" spans="1:8" x14ac:dyDescent="0.25">
      <c r="A10" s="7">
        <v>44563</v>
      </c>
      <c r="B10" s="8" t="s">
        <v>25</v>
      </c>
      <c r="C10" s="9" t="s">
        <v>12</v>
      </c>
      <c r="D10" s="10">
        <v>690</v>
      </c>
      <c r="E10" s="11">
        <v>44564</v>
      </c>
      <c r="F10" s="10">
        <v>690</v>
      </c>
      <c r="G10" s="12">
        <f>Tabla1[[#This Row],[Importe]]-Tabla1[[#This Row],[Pagado]]</f>
        <v>0</v>
      </c>
      <c r="H10" s="9" t="s">
        <v>10</v>
      </c>
    </row>
    <row r="11" spans="1:8" x14ac:dyDescent="0.25">
      <c r="A11" s="7">
        <v>44563</v>
      </c>
      <c r="B11" s="8" t="s">
        <v>26</v>
      </c>
      <c r="C11" s="9" t="s">
        <v>27</v>
      </c>
      <c r="D11" s="10">
        <v>4558.2</v>
      </c>
      <c r="E11" s="11">
        <v>44563</v>
      </c>
      <c r="F11" s="10">
        <v>4558.2</v>
      </c>
      <c r="G11" s="12">
        <f>Tabla1[[#This Row],[Importe]]-Tabla1[[#This Row],[Pagado]]</f>
        <v>0</v>
      </c>
      <c r="H11" s="9" t="s">
        <v>10</v>
      </c>
    </row>
    <row r="12" spans="1:8" x14ac:dyDescent="0.25">
      <c r="A12" s="7">
        <v>44563</v>
      </c>
      <c r="B12" s="8" t="s">
        <v>28</v>
      </c>
      <c r="C12" s="9" t="s">
        <v>29</v>
      </c>
      <c r="D12" s="10">
        <v>8713.6</v>
      </c>
      <c r="E12" s="11">
        <v>44563</v>
      </c>
      <c r="F12" s="10">
        <v>8713.6</v>
      </c>
      <c r="G12" s="12">
        <f>Tabla1[[#This Row],[Importe]]-Tabla1[[#This Row],[Pagado]]</f>
        <v>0</v>
      </c>
      <c r="H12" s="9" t="s">
        <v>10</v>
      </c>
    </row>
    <row r="13" spans="1:8" x14ac:dyDescent="0.25">
      <c r="A13" s="7">
        <v>44563</v>
      </c>
      <c r="B13" s="8" t="s">
        <v>30</v>
      </c>
      <c r="C13" s="9" t="s">
        <v>31</v>
      </c>
      <c r="D13" s="10">
        <v>1094.5999999999999</v>
      </c>
      <c r="E13" s="11">
        <v>44563</v>
      </c>
      <c r="F13" s="10">
        <v>1094.5999999999999</v>
      </c>
      <c r="G13" s="12">
        <f>Tabla1[[#This Row],[Importe]]-Tabla1[[#This Row],[Pagado]]</f>
        <v>0</v>
      </c>
      <c r="H13" s="9" t="s">
        <v>10</v>
      </c>
    </row>
    <row r="14" spans="1:8" x14ac:dyDescent="0.25">
      <c r="A14" s="7">
        <v>44563</v>
      </c>
      <c r="B14" s="8" t="s">
        <v>32</v>
      </c>
      <c r="C14" s="9" t="s">
        <v>33</v>
      </c>
      <c r="D14" s="10">
        <v>20639.599999999999</v>
      </c>
      <c r="E14" s="11">
        <v>44563</v>
      </c>
      <c r="F14" s="10">
        <v>20639.599999999999</v>
      </c>
      <c r="G14" s="12">
        <f>Tabla1[[#This Row],[Importe]]-Tabla1[[#This Row],[Pagado]]</f>
        <v>0</v>
      </c>
      <c r="H14" s="9" t="s">
        <v>10</v>
      </c>
    </row>
    <row r="15" spans="1:8" x14ac:dyDescent="0.25">
      <c r="A15" s="7">
        <v>44563</v>
      </c>
      <c r="B15" s="8" t="s">
        <v>34</v>
      </c>
      <c r="C15" s="9" t="s">
        <v>35</v>
      </c>
      <c r="D15" s="10">
        <v>616.5</v>
      </c>
      <c r="E15" s="11">
        <v>44563</v>
      </c>
      <c r="F15" s="10">
        <v>616.5</v>
      </c>
      <c r="G15" s="12">
        <f>Tabla1[[#This Row],[Importe]]-Tabla1[[#This Row],[Pagado]]</f>
        <v>0</v>
      </c>
      <c r="H15" s="9" t="s">
        <v>10</v>
      </c>
    </row>
    <row r="16" spans="1:8" x14ac:dyDescent="0.25">
      <c r="A16" s="7">
        <v>44563</v>
      </c>
      <c r="B16" s="8" t="s">
        <v>36</v>
      </c>
      <c r="C16" s="9" t="s">
        <v>37</v>
      </c>
      <c r="D16" s="10">
        <v>3429</v>
      </c>
      <c r="E16" s="11">
        <v>44563</v>
      </c>
      <c r="F16" s="10">
        <v>3429</v>
      </c>
      <c r="G16" s="12">
        <f>Tabla1[[#This Row],[Importe]]-Tabla1[[#This Row],[Pagado]]</f>
        <v>0</v>
      </c>
      <c r="H16" s="9" t="s">
        <v>10</v>
      </c>
    </row>
    <row r="17" spans="1:8" ht="30" x14ac:dyDescent="0.25">
      <c r="A17" s="7">
        <v>44563</v>
      </c>
      <c r="B17" s="8" t="s">
        <v>38</v>
      </c>
      <c r="C17" s="9" t="s">
        <v>39</v>
      </c>
      <c r="D17" s="10">
        <v>16035</v>
      </c>
      <c r="E17" s="11" t="s">
        <v>40</v>
      </c>
      <c r="F17" s="10">
        <f>8500+7535</f>
        <v>16035</v>
      </c>
      <c r="G17" s="12">
        <f>Tabla1[[#This Row],[Importe]]-Tabla1[[#This Row],[Pagado]]</f>
        <v>0</v>
      </c>
      <c r="H17" s="9" t="s">
        <v>10</v>
      </c>
    </row>
    <row r="18" spans="1:8" x14ac:dyDescent="0.25">
      <c r="A18" s="7">
        <v>44563</v>
      </c>
      <c r="B18" s="8" t="s">
        <v>41</v>
      </c>
      <c r="C18" s="9" t="s">
        <v>31</v>
      </c>
      <c r="D18" s="10">
        <v>1040</v>
      </c>
      <c r="E18" s="11">
        <v>44563</v>
      </c>
      <c r="F18" s="10">
        <v>1040</v>
      </c>
      <c r="G18" s="12">
        <f>Tabla1[[#This Row],[Importe]]-Tabla1[[#This Row],[Pagado]]</f>
        <v>0</v>
      </c>
      <c r="H18" s="9" t="s">
        <v>10</v>
      </c>
    </row>
    <row r="19" spans="1:8" x14ac:dyDescent="0.25">
      <c r="A19" s="7">
        <v>44563</v>
      </c>
      <c r="B19" s="8" t="s">
        <v>42</v>
      </c>
      <c r="C19" s="9" t="s">
        <v>43</v>
      </c>
      <c r="D19" s="10">
        <v>8424</v>
      </c>
      <c r="E19" s="11">
        <v>44563</v>
      </c>
      <c r="F19" s="10">
        <v>8424</v>
      </c>
      <c r="G19" s="12">
        <f>Tabla1[[#This Row],[Importe]]-Tabla1[[#This Row],[Pagado]]</f>
        <v>0</v>
      </c>
      <c r="H19" s="9" t="s">
        <v>10</v>
      </c>
    </row>
    <row r="20" spans="1:8" x14ac:dyDescent="0.25">
      <c r="A20" s="7">
        <v>44563</v>
      </c>
      <c r="B20" s="8" t="s">
        <v>44</v>
      </c>
      <c r="C20" s="9" t="s">
        <v>45</v>
      </c>
      <c r="D20" s="10">
        <v>8759.4</v>
      </c>
      <c r="E20" s="11">
        <v>44563</v>
      </c>
      <c r="F20" s="10">
        <v>8759.4</v>
      </c>
      <c r="G20" s="12">
        <f>Tabla1[[#This Row],[Importe]]-Tabla1[[#This Row],[Pagado]]</f>
        <v>0</v>
      </c>
      <c r="H20" s="9" t="s">
        <v>10</v>
      </c>
    </row>
    <row r="21" spans="1:8" x14ac:dyDescent="0.25">
      <c r="A21" s="7">
        <v>44563</v>
      </c>
      <c r="B21" s="8" t="s">
        <v>46</v>
      </c>
      <c r="C21" s="9" t="s">
        <v>47</v>
      </c>
      <c r="D21" s="10">
        <v>44499.28</v>
      </c>
      <c r="E21" s="11">
        <v>44563</v>
      </c>
      <c r="F21" s="10">
        <v>44499.28</v>
      </c>
      <c r="G21" s="12">
        <f>Tabla1[[#This Row],[Importe]]-Tabla1[[#This Row],[Pagado]]</f>
        <v>0</v>
      </c>
      <c r="H21" s="9" t="s">
        <v>10</v>
      </c>
    </row>
    <row r="22" spans="1:8" x14ac:dyDescent="0.25">
      <c r="A22" s="7">
        <v>44563</v>
      </c>
      <c r="B22" s="8" t="s">
        <v>48</v>
      </c>
      <c r="C22" s="9" t="s">
        <v>49</v>
      </c>
      <c r="D22" s="10">
        <v>4816.8</v>
      </c>
      <c r="E22" s="11">
        <v>44563</v>
      </c>
      <c r="F22" s="10">
        <v>4816.8</v>
      </c>
      <c r="G22" s="12">
        <f>Tabla1[[#This Row],[Importe]]-Tabla1[[#This Row],[Pagado]]</f>
        <v>0</v>
      </c>
      <c r="H22" s="9" t="s">
        <v>10</v>
      </c>
    </row>
    <row r="23" spans="1:8" x14ac:dyDescent="0.25">
      <c r="A23" s="7">
        <v>44563</v>
      </c>
      <c r="B23" s="8" t="s">
        <v>50</v>
      </c>
      <c r="C23" s="9" t="s">
        <v>51</v>
      </c>
      <c r="D23" s="10">
        <v>3051.4</v>
      </c>
      <c r="E23" s="11">
        <v>44563</v>
      </c>
      <c r="F23" s="10">
        <v>3051.4</v>
      </c>
      <c r="G23" s="12">
        <f>Tabla1[[#This Row],[Importe]]-Tabla1[[#This Row],[Pagado]]</f>
        <v>0</v>
      </c>
      <c r="H23" s="9" t="s">
        <v>10</v>
      </c>
    </row>
    <row r="24" spans="1:8" x14ac:dyDescent="0.25">
      <c r="A24" s="7">
        <v>44563</v>
      </c>
      <c r="B24" s="8" t="s">
        <v>52</v>
      </c>
      <c r="C24" s="9" t="s">
        <v>53</v>
      </c>
      <c r="D24" s="10">
        <v>1902.4</v>
      </c>
      <c r="E24" s="11">
        <v>44563</v>
      </c>
      <c r="F24" s="10">
        <v>1902.4</v>
      </c>
      <c r="G24" s="12">
        <f>Tabla1[[#This Row],[Importe]]-Tabla1[[#This Row],[Pagado]]</f>
        <v>0</v>
      </c>
      <c r="H24" s="9" t="s">
        <v>10</v>
      </c>
    </row>
    <row r="25" spans="1:8" x14ac:dyDescent="0.25">
      <c r="A25" s="7">
        <v>44563</v>
      </c>
      <c r="B25" s="8" t="s">
        <v>54</v>
      </c>
      <c r="C25" s="9" t="s">
        <v>22</v>
      </c>
      <c r="D25" s="10">
        <v>17145.599999999999</v>
      </c>
      <c r="E25" s="11">
        <v>44564</v>
      </c>
      <c r="F25" s="10">
        <v>17145.599999999999</v>
      </c>
      <c r="G25" s="12">
        <f>Tabla1[[#This Row],[Importe]]-Tabla1[[#This Row],[Pagado]]</f>
        <v>0</v>
      </c>
      <c r="H25" s="9" t="s">
        <v>10</v>
      </c>
    </row>
    <row r="26" spans="1:8" x14ac:dyDescent="0.25">
      <c r="A26" s="7">
        <v>44563</v>
      </c>
      <c r="B26" s="8" t="s">
        <v>55</v>
      </c>
      <c r="C26" s="9" t="s">
        <v>56</v>
      </c>
      <c r="D26" s="10">
        <v>1475.6</v>
      </c>
      <c r="E26" s="11">
        <v>44563</v>
      </c>
      <c r="F26" s="10">
        <v>1475.6</v>
      </c>
      <c r="G26" s="12">
        <f>Tabla1[[#This Row],[Importe]]-Tabla1[[#This Row],[Pagado]]</f>
        <v>0</v>
      </c>
      <c r="H26" s="9" t="s">
        <v>10</v>
      </c>
    </row>
    <row r="27" spans="1:8" x14ac:dyDescent="0.25">
      <c r="A27" s="7">
        <v>44563</v>
      </c>
      <c r="B27" s="8" t="s">
        <v>57</v>
      </c>
      <c r="C27" s="9" t="s">
        <v>58</v>
      </c>
      <c r="D27" s="10">
        <v>2340</v>
      </c>
      <c r="E27" s="11">
        <v>44563</v>
      </c>
      <c r="F27" s="10">
        <v>2340</v>
      </c>
      <c r="G27" s="12">
        <f>Tabla1[[#This Row],[Importe]]-Tabla1[[#This Row],[Pagado]]</f>
        <v>0</v>
      </c>
      <c r="H27" s="9" t="s">
        <v>10</v>
      </c>
    </row>
    <row r="28" spans="1:8" x14ac:dyDescent="0.25">
      <c r="A28" s="7">
        <v>44563</v>
      </c>
      <c r="B28" s="8" t="s">
        <v>59</v>
      </c>
      <c r="C28" s="9" t="s">
        <v>60</v>
      </c>
      <c r="D28" s="10">
        <v>5190.8999999999996</v>
      </c>
      <c r="E28" s="11">
        <v>44565</v>
      </c>
      <c r="F28" s="10">
        <v>5190.8999999999996</v>
      </c>
      <c r="G28" s="12">
        <f>Tabla1[[#This Row],[Importe]]-Tabla1[[#This Row],[Pagado]]</f>
        <v>0</v>
      </c>
      <c r="H28" s="9" t="s">
        <v>10</v>
      </c>
    </row>
    <row r="29" spans="1:8" x14ac:dyDescent="0.25">
      <c r="A29" s="7">
        <v>44563</v>
      </c>
      <c r="B29" s="8" t="s">
        <v>61</v>
      </c>
      <c r="C29" s="9" t="s">
        <v>62</v>
      </c>
      <c r="D29" s="10">
        <v>1875</v>
      </c>
      <c r="E29" s="11">
        <v>44563</v>
      </c>
      <c r="F29" s="10">
        <v>1875</v>
      </c>
      <c r="G29" s="12">
        <f>Tabla1[[#This Row],[Importe]]-Tabla1[[#This Row],[Pagado]]</f>
        <v>0</v>
      </c>
      <c r="H29" s="9" t="s">
        <v>10</v>
      </c>
    </row>
    <row r="30" spans="1:8" x14ac:dyDescent="0.25">
      <c r="A30" s="7">
        <v>44563</v>
      </c>
      <c r="B30" s="8" t="s">
        <v>63</v>
      </c>
      <c r="C30" s="9" t="s">
        <v>64</v>
      </c>
      <c r="D30" s="10">
        <v>4180</v>
      </c>
      <c r="E30" s="11">
        <v>44565</v>
      </c>
      <c r="F30" s="10">
        <v>4180</v>
      </c>
      <c r="G30" s="12">
        <f>Tabla1[[#This Row],[Importe]]-Tabla1[[#This Row],[Pagado]]</f>
        <v>0</v>
      </c>
      <c r="H30" s="9" t="s">
        <v>10</v>
      </c>
    </row>
    <row r="31" spans="1:8" x14ac:dyDescent="0.25">
      <c r="A31" s="7">
        <v>44563</v>
      </c>
      <c r="B31" s="8" t="s">
        <v>65</v>
      </c>
      <c r="C31" s="9" t="s">
        <v>31</v>
      </c>
      <c r="D31" s="10">
        <v>1083.8</v>
      </c>
      <c r="E31" s="11">
        <v>44563</v>
      </c>
      <c r="F31" s="10">
        <v>1083.8</v>
      </c>
      <c r="G31" s="12">
        <f>Tabla1[[#This Row],[Importe]]-Tabla1[[#This Row],[Pagado]]</f>
        <v>0</v>
      </c>
      <c r="H31" s="9" t="s">
        <v>10</v>
      </c>
    </row>
    <row r="32" spans="1:8" x14ac:dyDescent="0.25">
      <c r="A32" s="7">
        <v>44563</v>
      </c>
      <c r="B32" s="8" t="s">
        <v>66</v>
      </c>
      <c r="C32" s="9" t="s">
        <v>67</v>
      </c>
      <c r="D32" s="10">
        <v>3917.6</v>
      </c>
      <c r="E32" s="11">
        <v>44563</v>
      </c>
      <c r="F32" s="10">
        <v>3917.6</v>
      </c>
      <c r="G32" s="12">
        <f>Tabla1[[#This Row],[Importe]]-Tabla1[[#This Row],[Pagado]]</f>
        <v>0</v>
      </c>
      <c r="H32" s="9" t="s">
        <v>10</v>
      </c>
    </row>
    <row r="33" spans="1:8" x14ac:dyDescent="0.25">
      <c r="A33" s="7">
        <v>44563</v>
      </c>
      <c r="B33" s="8" t="s">
        <v>68</v>
      </c>
      <c r="C33" s="9" t="s">
        <v>69</v>
      </c>
      <c r="D33" s="10">
        <v>2884</v>
      </c>
      <c r="E33" s="11">
        <v>44563</v>
      </c>
      <c r="F33" s="10">
        <v>2884</v>
      </c>
      <c r="G33" s="12">
        <f>Tabla1[[#This Row],[Importe]]-Tabla1[[#This Row],[Pagado]]</f>
        <v>0</v>
      </c>
      <c r="H33" s="9" t="s">
        <v>10</v>
      </c>
    </row>
    <row r="34" spans="1:8" x14ac:dyDescent="0.25">
      <c r="A34" s="7">
        <v>44563</v>
      </c>
      <c r="B34" s="8" t="s">
        <v>70</v>
      </c>
      <c r="C34" s="9" t="s">
        <v>71</v>
      </c>
      <c r="D34" s="10">
        <v>1399.5</v>
      </c>
      <c r="E34" s="11">
        <v>44563</v>
      </c>
      <c r="F34" s="10">
        <v>1399.5</v>
      </c>
      <c r="G34" s="12">
        <f>Tabla1[[#This Row],[Importe]]-Tabla1[[#This Row],[Pagado]]</f>
        <v>0</v>
      </c>
      <c r="H34" s="9" t="s">
        <v>10</v>
      </c>
    </row>
    <row r="35" spans="1:8" x14ac:dyDescent="0.25">
      <c r="A35" s="7">
        <v>44563</v>
      </c>
      <c r="B35" s="8" t="s">
        <v>72</v>
      </c>
      <c r="C35" s="9" t="s">
        <v>16</v>
      </c>
      <c r="D35" s="10">
        <v>2661</v>
      </c>
      <c r="E35" s="11">
        <v>44563</v>
      </c>
      <c r="F35" s="10">
        <v>2661</v>
      </c>
      <c r="G35" s="12">
        <f>Tabla1[[#This Row],[Importe]]-Tabla1[[#This Row],[Pagado]]</f>
        <v>0</v>
      </c>
      <c r="H35" s="9" t="s">
        <v>10</v>
      </c>
    </row>
    <row r="36" spans="1:8" x14ac:dyDescent="0.25">
      <c r="A36" s="7">
        <v>44563</v>
      </c>
      <c r="B36" s="8" t="s">
        <v>73</v>
      </c>
      <c r="C36" s="9" t="s">
        <v>16</v>
      </c>
      <c r="D36" s="10">
        <v>585</v>
      </c>
      <c r="E36" s="11">
        <v>44563</v>
      </c>
      <c r="F36" s="10">
        <v>585</v>
      </c>
      <c r="G36" s="12">
        <f>Tabla1[[#This Row],[Importe]]-Tabla1[[#This Row],[Pagado]]</f>
        <v>0</v>
      </c>
      <c r="H36" s="9" t="s">
        <v>10</v>
      </c>
    </row>
    <row r="37" spans="1:8" x14ac:dyDescent="0.25">
      <c r="A37" s="7">
        <v>44563</v>
      </c>
      <c r="B37" s="8" t="s">
        <v>74</v>
      </c>
      <c r="C37" s="9" t="s">
        <v>75</v>
      </c>
      <c r="D37" s="10">
        <v>8517.6</v>
      </c>
      <c r="E37" s="11">
        <v>44563</v>
      </c>
      <c r="F37" s="10">
        <v>8517.6</v>
      </c>
      <c r="G37" s="12">
        <f>Tabla1[[#This Row],[Importe]]-Tabla1[[#This Row],[Pagado]]</f>
        <v>0</v>
      </c>
      <c r="H37" s="9" t="s">
        <v>10</v>
      </c>
    </row>
    <row r="38" spans="1:8" x14ac:dyDescent="0.25">
      <c r="A38" s="7">
        <v>44563</v>
      </c>
      <c r="B38" s="8" t="s">
        <v>76</v>
      </c>
      <c r="C38" s="9" t="s">
        <v>31</v>
      </c>
      <c r="D38" s="10">
        <v>946.4</v>
      </c>
      <c r="E38" s="11">
        <v>44563</v>
      </c>
      <c r="F38" s="10">
        <v>946.4</v>
      </c>
      <c r="G38" s="12">
        <f>Tabla1[[#This Row],[Importe]]-Tabla1[[#This Row],[Pagado]]</f>
        <v>0</v>
      </c>
      <c r="H38" s="9" t="s">
        <v>10</v>
      </c>
    </row>
    <row r="39" spans="1:8" x14ac:dyDescent="0.25">
      <c r="A39" s="7">
        <v>44563</v>
      </c>
      <c r="B39" s="8" t="s">
        <v>77</v>
      </c>
      <c r="C39" s="9" t="s">
        <v>62</v>
      </c>
      <c r="D39" s="10">
        <v>7301.2</v>
      </c>
      <c r="E39" s="11">
        <v>44564</v>
      </c>
      <c r="F39" s="10">
        <v>7301.2</v>
      </c>
      <c r="G39" s="12">
        <f>Tabla1[[#This Row],[Importe]]-Tabla1[[#This Row],[Pagado]]</f>
        <v>0</v>
      </c>
      <c r="H39" s="9" t="s">
        <v>10</v>
      </c>
    </row>
    <row r="40" spans="1:8" x14ac:dyDescent="0.25">
      <c r="A40" s="7">
        <v>44564</v>
      </c>
      <c r="B40" s="8" t="s">
        <v>78</v>
      </c>
      <c r="C40" s="9" t="s">
        <v>79</v>
      </c>
      <c r="D40" s="10">
        <v>5896.8</v>
      </c>
      <c r="E40" s="11">
        <v>44564</v>
      </c>
      <c r="F40" s="10">
        <v>5896.8</v>
      </c>
      <c r="G40" s="12">
        <f>Tabla1[[#This Row],[Importe]]-Tabla1[[#This Row],[Pagado]]</f>
        <v>0</v>
      </c>
      <c r="H40" s="9" t="s">
        <v>10</v>
      </c>
    </row>
    <row r="41" spans="1:8" x14ac:dyDescent="0.25">
      <c r="A41" s="7">
        <v>44564</v>
      </c>
      <c r="B41" s="8" t="s">
        <v>80</v>
      </c>
      <c r="C41" s="9" t="s">
        <v>79</v>
      </c>
      <c r="D41" s="10">
        <v>9578.7999999999993</v>
      </c>
      <c r="E41" s="11">
        <v>44564</v>
      </c>
      <c r="F41" s="10">
        <v>9578.7999999999993</v>
      </c>
      <c r="G41" s="12">
        <f>Tabla1[[#This Row],[Importe]]-Tabla1[[#This Row],[Pagado]]</f>
        <v>0</v>
      </c>
      <c r="H41" s="9" t="s">
        <v>10</v>
      </c>
    </row>
    <row r="42" spans="1:8" x14ac:dyDescent="0.25">
      <c r="A42" s="7">
        <v>44564</v>
      </c>
      <c r="B42" s="8" t="s">
        <v>81</v>
      </c>
      <c r="C42" s="9" t="s">
        <v>12</v>
      </c>
      <c r="D42" s="10">
        <v>43423.45</v>
      </c>
      <c r="E42" s="11">
        <v>44565</v>
      </c>
      <c r="F42" s="10">
        <v>43423.45</v>
      </c>
      <c r="G42" s="12">
        <f>Tabla1[[#This Row],[Importe]]-Tabla1[[#This Row],[Pagado]]</f>
        <v>0</v>
      </c>
      <c r="H42" s="9" t="s">
        <v>10</v>
      </c>
    </row>
    <row r="43" spans="1:8" x14ac:dyDescent="0.25">
      <c r="A43" s="7">
        <v>44564</v>
      </c>
      <c r="B43" s="8" t="s">
        <v>82</v>
      </c>
      <c r="C43" s="9" t="s">
        <v>83</v>
      </c>
      <c r="D43" s="10">
        <v>9418.7999999999993</v>
      </c>
      <c r="E43" s="11">
        <v>44564</v>
      </c>
      <c r="F43" s="10">
        <v>9418.7999999999993</v>
      </c>
      <c r="G43" s="12">
        <f>Tabla1[[#This Row],[Importe]]-Tabla1[[#This Row],[Pagado]]</f>
        <v>0</v>
      </c>
      <c r="H43" s="9" t="s">
        <v>10</v>
      </c>
    </row>
    <row r="44" spans="1:8" x14ac:dyDescent="0.25">
      <c r="A44" s="7">
        <v>44564</v>
      </c>
      <c r="B44" s="8" t="s">
        <v>84</v>
      </c>
      <c r="C44" s="9" t="s">
        <v>85</v>
      </c>
      <c r="D44" s="10">
        <v>1741.6</v>
      </c>
      <c r="E44" s="11">
        <v>44564</v>
      </c>
      <c r="F44" s="10">
        <v>1741.6</v>
      </c>
      <c r="G44" s="12">
        <f>Tabla1[[#This Row],[Importe]]-Tabla1[[#This Row],[Pagado]]</f>
        <v>0</v>
      </c>
      <c r="H44" s="9" t="s">
        <v>10</v>
      </c>
    </row>
    <row r="45" spans="1:8" x14ac:dyDescent="0.25">
      <c r="A45" s="7">
        <v>44564</v>
      </c>
      <c r="B45" s="8" t="s">
        <v>86</v>
      </c>
      <c r="C45" s="9" t="s">
        <v>87</v>
      </c>
      <c r="D45" s="10">
        <v>2438.8000000000002</v>
      </c>
      <c r="E45" s="11">
        <v>44564</v>
      </c>
      <c r="F45" s="10">
        <v>2438.8000000000002</v>
      </c>
      <c r="G45" s="12">
        <f>Tabla1[[#This Row],[Importe]]-Tabla1[[#This Row],[Pagado]]</f>
        <v>0</v>
      </c>
      <c r="H45" s="9" t="s">
        <v>10</v>
      </c>
    </row>
    <row r="46" spans="1:8" x14ac:dyDescent="0.25">
      <c r="A46" s="7">
        <v>44564</v>
      </c>
      <c r="B46" s="8" t="s">
        <v>88</v>
      </c>
      <c r="C46" s="9" t="s">
        <v>89</v>
      </c>
      <c r="D46" s="10">
        <v>5674.5</v>
      </c>
      <c r="E46" s="11">
        <v>44565</v>
      </c>
      <c r="F46" s="10">
        <v>5674.5</v>
      </c>
      <c r="G46" s="12">
        <f>Tabla1[[#This Row],[Importe]]-Tabla1[[#This Row],[Pagado]]</f>
        <v>0</v>
      </c>
      <c r="H46" s="9" t="s">
        <v>10</v>
      </c>
    </row>
    <row r="47" spans="1:8" x14ac:dyDescent="0.25">
      <c r="A47" s="7">
        <v>44564</v>
      </c>
      <c r="B47" s="8" t="s">
        <v>90</v>
      </c>
      <c r="C47" s="9" t="s">
        <v>91</v>
      </c>
      <c r="D47" s="10">
        <v>4575.2</v>
      </c>
      <c r="E47" s="11">
        <v>44569</v>
      </c>
      <c r="F47" s="10">
        <v>4575.2</v>
      </c>
      <c r="G47" s="12">
        <f>Tabla1[[#This Row],[Importe]]-Tabla1[[#This Row],[Pagado]]</f>
        <v>0</v>
      </c>
      <c r="H47" s="9" t="s">
        <v>10</v>
      </c>
    </row>
    <row r="48" spans="1:8" x14ac:dyDescent="0.25">
      <c r="A48" s="7">
        <v>44564</v>
      </c>
      <c r="B48" s="8" t="s">
        <v>92</v>
      </c>
      <c r="C48" s="9" t="s">
        <v>93</v>
      </c>
      <c r="D48" s="10">
        <v>5631.7</v>
      </c>
      <c r="E48" s="11">
        <v>44565</v>
      </c>
      <c r="F48" s="10">
        <v>5631.7</v>
      </c>
      <c r="G48" s="12">
        <f>Tabla1[[#This Row],[Importe]]-Tabla1[[#This Row],[Pagado]]</f>
        <v>0</v>
      </c>
      <c r="H48" s="9" t="s">
        <v>10</v>
      </c>
    </row>
    <row r="49" spans="1:8" x14ac:dyDescent="0.25">
      <c r="A49" s="7">
        <v>44564</v>
      </c>
      <c r="B49" s="8" t="s">
        <v>94</v>
      </c>
      <c r="C49" s="9" t="s">
        <v>95</v>
      </c>
      <c r="D49" s="10">
        <v>5783.2</v>
      </c>
      <c r="E49" s="11">
        <v>44564</v>
      </c>
      <c r="F49" s="10">
        <v>5783.2</v>
      </c>
      <c r="G49" s="12">
        <f>Tabla1[[#This Row],[Importe]]-Tabla1[[#This Row],[Pagado]]</f>
        <v>0</v>
      </c>
      <c r="H49" s="9" t="s">
        <v>10</v>
      </c>
    </row>
    <row r="50" spans="1:8" x14ac:dyDescent="0.25">
      <c r="A50" s="7">
        <v>44564</v>
      </c>
      <c r="B50" s="8" t="s">
        <v>96</v>
      </c>
      <c r="C50" s="9" t="s">
        <v>97</v>
      </c>
      <c r="D50" s="10">
        <v>5582.5</v>
      </c>
      <c r="E50" s="11">
        <v>44565</v>
      </c>
      <c r="F50" s="10">
        <v>5582.5</v>
      </c>
      <c r="G50" s="12">
        <f>Tabla1[[#This Row],[Importe]]-Tabla1[[#This Row],[Pagado]]</f>
        <v>0</v>
      </c>
      <c r="H50" s="9" t="s">
        <v>10</v>
      </c>
    </row>
    <row r="51" spans="1:8" ht="30" x14ac:dyDescent="0.25">
      <c r="A51" s="7">
        <v>44564</v>
      </c>
      <c r="B51" s="8" t="s">
        <v>98</v>
      </c>
      <c r="C51" s="9" t="s">
        <v>99</v>
      </c>
      <c r="D51" s="10">
        <v>7733.5</v>
      </c>
      <c r="E51" s="11" t="s">
        <v>100</v>
      </c>
      <c r="F51" s="10">
        <f>5000+2733.5</f>
        <v>7733.5</v>
      </c>
      <c r="G51" s="12">
        <f>Tabla1[[#This Row],[Importe]]-Tabla1[[#This Row],[Pagado]]</f>
        <v>0</v>
      </c>
      <c r="H51" s="9" t="s">
        <v>10</v>
      </c>
    </row>
    <row r="52" spans="1:8" x14ac:dyDescent="0.25">
      <c r="A52" s="7">
        <v>44564</v>
      </c>
      <c r="B52" s="8" t="s">
        <v>101</v>
      </c>
      <c r="C52" s="9" t="s">
        <v>60</v>
      </c>
      <c r="D52" s="10">
        <v>4330</v>
      </c>
      <c r="E52" s="11">
        <v>44567</v>
      </c>
      <c r="F52" s="10">
        <v>4330</v>
      </c>
      <c r="G52" s="12">
        <f>Tabla1[[#This Row],[Importe]]-Tabla1[[#This Row],[Pagado]]</f>
        <v>0</v>
      </c>
      <c r="H52" s="9" t="s">
        <v>10</v>
      </c>
    </row>
    <row r="53" spans="1:8" x14ac:dyDescent="0.25">
      <c r="A53" s="7">
        <v>44564</v>
      </c>
      <c r="B53" s="8" t="s">
        <v>102</v>
      </c>
      <c r="C53" s="9" t="s">
        <v>22</v>
      </c>
      <c r="D53" s="10">
        <v>50529.3</v>
      </c>
      <c r="E53" s="11">
        <v>44566</v>
      </c>
      <c r="F53" s="10">
        <v>50529.3</v>
      </c>
      <c r="G53" s="12">
        <f>Tabla1[[#This Row],[Importe]]-Tabla1[[#This Row],[Pagado]]</f>
        <v>0</v>
      </c>
      <c r="H53" s="9" t="s">
        <v>10</v>
      </c>
    </row>
    <row r="54" spans="1:8" x14ac:dyDescent="0.25">
      <c r="A54" s="7">
        <v>44564</v>
      </c>
      <c r="B54" s="8" t="s">
        <v>103</v>
      </c>
      <c r="C54" s="9" t="s">
        <v>64</v>
      </c>
      <c r="D54" s="10">
        <v>3824.7</v>
      </c>
      <c r="E54" s="11">
        <v>44565</v>
      </c>
      <c r="F54" s="10">
        <v>3824.7</v>
      </c>
      <c r="G54" s="12">
        <f>Tabla1[[#This Row],[Importe]]-Tabla1[[#This Row],[Pagado]]</f>
        <v>0</v>
      </c>
      <c r="H54" s="9" t="s">
        <v>10</v>
      </c>
    </row>
    <row r="55" spans="1:8" x14ac:dyDescent="0.25">
      <c r="A55" s="7">
        <v>44564</v>
      </c>
      <c r="B55" s="8" t="s">
        <v>104</v>
      </c>
      <c r="C55" s="9" t="s">
        <v>105</v>
      </c>
      <c r="D55" s="10">
        <v>4455</v>
      </c>
      <c r="E55" s="11">
        <v>44565</v>
      </c>
      <c r="F55" s="10">
        <v>4455</v>
      </c>
      <c r="G55" s="12">
        <f>Tabla1[[#This Row],[Importe]]-Tabla1[[#This Row],[Pagado]]</f>
        <v>0</v>
      </c>
      <c r="H55" s="9" t="s">
        <v>10</v>
      </c>
    </row>
    <row r="56" spans="1:8" x14ac:dyDescent="0.25">
      <c r="A56" s="7">
        <v>44564</v>
      </c>
      <c r="B56" s="8" t="s">
        <v>106</v>
      </c>
      <c r="C56" s="9" t="s">
        <v>107</v>
      </c>
      <c r="D56" s="10">
        <v>12374.7</v>
      </c>
      <c r="E56" s="11">
        <v>44564</v>
      </c>
      <c r="F56" s="10">
        <v>12374.7</v>
      </c>
      <c r="G56" s="12">
        <f>Tabla1[[#This Row],[Importe]]-Tabla1[[#This Row],[Pagado]]</f>
        <v>0</v>
      </c>
      <c r="H56" s="9" t="s">
        <v>10</v>
      </c>
    </row>
    <row r="57" spans="1:8" x14ac:dyDescent="0.25">
      <c r="A57" s="7">
        <v>44564</v>
      </c>
      <c r="B57" s="8" t="s">
        <v>108</v>
      </c>
      <c r="C57" s="9" t="s">
        <v>109</v>
      </c>
      <c r="D57" s="10">
        <v>4433</v>
      </c>
      <c r="E57" s="11">
        <v>44565</v>
      </c>
      <c r="F57" s="10">
        <v>4433</v>
      </c>
      <c r="G57" s="12">
        <f>Tabla1[[#This Row],[Importe]]-Tabla1[[#This Row],[Pagado]]</f>
        <v>0</v>
      </c>
      <c r="H57" s="9" t="s">
        <v>10</v>
      </c>
    </row>
    <row r="58" spans="1:8" x14ac:dyDescent="0.25">
      <c r="A58" s="7">
        <v>44564</v>
      </c>
      <c r="B58" s="8" t="s">
        <v>110</v>
      </c>
      <c r="C58" s="9" t="s">
        <v>111</v>
      </c>
      <c r="D58" s="10">
        <v>4103</v>
      </c>
      <c r="E58" s="11">
        <v>44565</v>
      </c>
      <c r="F58" s="10">
        <v>4103</v>
      </c>
      <c r="G58" s="12">
        <f>Tabla1[[#This Row],[Importe]]-Tabla1[[#This Row],[Pagado]]</f>
        <v>0</v>
      </c>
      <c r="H58" s="9" t="s">
        <v>10</v>
      </c>
    </row>
    <row r="59" spans="1:8" x14ac:dyDescent="0.25">
      <c r="A59" s="7">
        <v>44564</v>
      </c>
      <c r="B59" s="8" t="s">
        <v>112</v>
      </c>
      <c r="C59" s="9" t="s">
        <v>9</v>
      </c>
      <c r="D59" s="10">
        <v>5380.2</v>
      </c>
      <c r="E59" s="11">
        <v>44564</v>
      </c>
      <c r="F59" s="10">
        <v>5380.2</v>
      </c>
      <c r="G59" s="12">
        <f>Tabla1[[#This Row],[Importe]]-Tabla1[[#This Row],[Pagado]]</f>
        <v>0</v>
      </c>
      <c r="H59" s="9" t="s">
        <v>10</v>
      </c>
    </row>
    <row r="60" spans="1:8" x14ac:dyDescent="0.25">
      <c r="A60" s="7">
        <v>44564</v>
      </c>
      <c r="B60" s="8" t="s">
        <v>113</v>
      </c>
      <c r="C60" s="9" t="s">
        <v>114</v>
      </c>
      <c r="D60" s="10">
        <v>4493.5</v>
      </c>
      <c r="E60" s="11">
        <v>44565</v>
      </c>
      <c r="F60" s="10">
        <v>4493.5</v>
      </c>
      <c r="G60" s="12">
        <f>Tabla1[[#This Row],[Importe]]-Tabla1[[#This Row],[Pagado]]</f>
        <v>0</v>
      </c>
      <c r="H60" s="9" t="s">
        <v>10</v>
      </c>
    </row>
    <row r="61" spans="1:8" x14ac:dyDescent="0.25">
      <c r="A61" s="7">
        <v>44564</v>
      </c>
      <c r="B61" s="8" t="s">
        <v>115</v>
      </c>
      <c r="C61" s="9" t="s">
        <v>116</v>
      </c>
      <c r="D61" s="10">
        <v>4041.3</v>
      </c>
      <c r="E61" s="11">
        <v>44565</v>
      </c>
      <c r="F61" s="10">
        <v>4041.3</v>
      </c>
      <c r="G61" s="12">
        <f>Tabla1[[#This Row],[Importe]]-Tabla1[[#This Row],[Pagado]]</f>
        <v>0</v>
      </c>
      <c r="H61" s="9" t="s">
        <v>10</v>
      </c>
    </row>
    <row r="62" spans="1:8" x14ac:dyDescent="0.25">
      <c r="A62" s="7">
        <v>44564</v>
      </c>
      <c r="B62" s="8" t="s">
        <v>117</v>
      </c>
      <c r="C62" s="9" t="s">
        <v>118</v>
      </c>
      <c r="D62" s="10">
        <v>4110.3999999999996</v>
      </c>
      <c r="E62" s="11">
        <v>44564</v>
      </c>
      <c r="F62" s="10">
        <v>4110.3999999999996</v>
      </c>
      <c r="G62" s="12">
        <f>Tabla1[[#This Row],[Importe]]-Tabla1[[#This Row],[Pagado]]</f>
        <v>0</v>
      </c>
      <c r="H62" s="9" t="s">
        <v>10</v>
      </c>
    </row>
    <row r="63" spans="1:8" x14ac:dyDescent="0.25">
      <c r="A63" s="7">
        <v>44564</v>
      </c>
      <c r="B63" s="8" t="s">
        <v>119</v>
      </c>
      <c r="C63" s="9" t="s">
        <v>120</v>
      </c>
      <c r="D63" s="10">
        <v>4360.5</v>
      </c>
      <c r="E63" s="11">
        <v>44566</v>
      </c>
      <c r="F63" s="10">
        <v>4360.5</v>
      </c>
      <c r="G63" s="12">
        <f>Tabla1[[#This Row],[Importe]]-Tabla1[[#This Row],[Pagado]]</f>
        <v>0</v>
      </c>
      <c r="H63" s="9" t="s">
        <v>10</v>
      </c>
    </row>
    <row r="64" spans="1:8" ht="30" x14ac:dyDescent="0.25">
      <c r="A64" s="7">
        <v>44564</v>
      </c>
      <c r="B64" s="8" t="s">
        <v>121</v>
      </c>
      <c r="C64" s="9" t="s">
        <v>39</v>
      </c>
      <c r="D64" s="10">
        <v>23726.7</v>
      </c>
      <c r="E64" s="11" t="s">
        <v>122</v>
      </c>
      <c r="F64" s="10">
        <f>4000+19726.7</f>
        <v>23726.7</v>
      </c>
      <c r="G64" s="12">
        <f>Tabla1[[#This Row],[Importe]]-Tabla1[[#This Row],[Pagado]]</f>
        <v>0</v>
      </c>
      <c r="H64" s="9" t="s">
        <v>10</v>
      </c>
    </row>
    <row r="65" spans="1:8" x14ac:dyDescent="0.25">
      <c r="A65" s="7">
        <v>44564</v>
      </c>
      <c r="B65" s="8" t="s">
        <v>123</v>
      </c>
      <c r="C65" s="9" t="s">
        <v>47</v>
      </c>
      <c r="D65" s="10">
        <v>38397.800000000003</v>
      </c>
      <c r="E65" s="11">
        <v>44564</v>
      </c>
      <c r="F65" s="10">
        <v>38397.800000000003</v>
      </c>
      <c r="G65" s="12">
        <f>Tabla1[[#This Row],[Importe]]-Tabla1[[#This Row],[Pagado]]</f>
        <v>0</v>
      </c>
      <c r="H65" s="9" t="s">
        <v>10</v>
      </c>
    </row>
    <row r="66" spans="1:8" x14ac:dyDescent="0.25">
      <c r="A66" s="7">
        <v>44564</v>
      </c>
      <c r="B66" s="8" t="s">
        <v>124</v>
      </c>
      <c r="C66" s="9" t="s">
        <v>125</v>
      </c>
      <c r="D66" s="10">
        <v>2339.8000000000002</v>
      </c>
      <c r="E66" s="11">
        <v>44564</v>
      </c>
      <c r="F66" s="10">
        <v>2339.8000000000002</v>
      </c>
      <c r="G66" s="12">
        <f>Tabla1[[#This Row],[Importe]]-Tabla1[[#This Row],[Pagado]]</f>
        <v>0</v>
      </c>
      <c r="H66" s="9" t="s">
        <v>10</v>
      </c>
    </row>
    <row r="67" spans="1:8" x14ac:dyDescent="0.25">
      <c r="A67" s="7">
        <v>44564</v>
      </c>
      <c r="B67" s="8" t="s">
        <v>126</v>
      </c>
      <c r="C67" s="9" t="s">
        <v>127</v>
      </c>
      <c r="D67" s="10">
        <v>3771</v>
      </c>
      <c r="E67" s="11">
        <v>44564</v>
      </c>
      <c r="F67" s="10">
        <v>3771</v>
      </c>
      <c r="G67" s="12">
        <f>Tabla1[[#This Row],[Importe]]-Tabla1[[#This Row],[Pagado]]</f>
        <v>0</v>
      </c>
      <c r="H67" s="9" t="s">
        <v>10</v>
      </c>
    </row>
    <row r="68" spans="1:8" x14ac:dyDescent="0.25">
      <c r="A68" s="7">
        <v>44564</v>
      </c>
      <c r="B68" s="8" t="s">
        <v>128</v>
      </c>
      <c r="C68" s="9" t="s">
        <v>129</v>
      </c>
      <c r="D68" s="10">
        <v>3451.8</v>
      </c>
      <c r="E68" s="11">
        <v>44564</v>
      </c>
      <c r="F68" s="10">
        <v>3451.8</v>
      </c>
      <c r="G68" s="12">
        <f>Tabla1[[#This Row],[Importe]]-Tabla1[[#This Row],[Pagado]]</f>
        <v>0</v>
      </c>
      <c r="H68" s="9" t="s">
        <v>10</v>
      </c>
    </row>
    <row r="69" spans="1:8" x14ac:dyDescent="0.25">
      <c r="A69" s="7">
        <v>44564</v>
      </c>
      <c r="B69" s="8" t="s">
        <v>130</v>
      </c>
      <c r="C69" s="9" t="s">
        <v>131</v>
      </c>
      <c r="D69" s="10">
        <v>12163.2</v>
      </c>
      <c r="E69" s="11">
        <v>44564</v>
      </c>
      <c r="F69" s="10">
        <v>12163.2</v>
      </c>
      <c r="G69" s="12">
        <f>Tabla1[[#This Row],[Importe]]-Tabla1[[#This Row],[Pagado]]</f>
        <v>0</v>
      </c>
      <c r="H69" s="9" t="s">
        <v>10</v>
      </c>
    </row>
    <row r="70" spans="1:8" x14ac:dyDescent="0.25">
      <c r="A70" s="7">
        <v>44564</v>
      </c>
      <c r="B70" s="8" t="s">
        <v>132</v>
      </c>
      <c r="C70" s="9" t="s">
        <v>133</v>
      </c>
      <c r="D70" s="10">
        <v>7643.7</v>
      </c>
      <c r="E70" s="11">
        <v>44565</v>
      </c>
      <c r="F70" s="10">
        <v>7643.7</v>
      </c>
      <c r="G70" s="12">
        <f>Tabla1[[#This Row],[Importe]]-Tabla1[[#This Row],[Pagado]]</f>
        <v>0</v>
      </c>
      <c r="H70" s="9" t="s">
        <v>10</v>
      </c>
    </row>
    <row r="71" spans="1:8" x14ac:dyDescent="0.25">
      <c r="A71" s="7">
        <v>44564</v>
      </c>
      <c r="B71" s="8" t="s">
        <v>134</v>
      </c>
      <c r="C71" s="9" t="s">
        <v>135</v>
      </c>
      <c r="D71" s="10">
        <v>1035.8</v>
      </c>
      <c r="E71" s="11">
        <v>44564</v>
      </c>
      <c r="F71" s="10">
        <v>1035.8</v>
      </c>
      <c r="G71" s="12">
        <f>Tabla1[[#This Row],[Importe]]-Tabla1[[#This Row],[Pagado]]</f>
        <v>0</v>
      </c>
      <c r="H71" s="9" t="s">
        <v>10</v>
      </c>
    </row>
    <row r="72" spans="1:8" x14ac:dyDescent="0.25">
      <c r="A72" s="7">
        <v>44564</v>
      </c>
      <c r="B72" s="8" t="s">
        <v>136</v>
      </c>
      <c r="C72" s="9" t="s">
        <v>137</v>
      </c>
      <c r="D72" s="10">
        <v>19477.599999999999</v>
      </c>
      <c r="E72" s="11">
        <v>44564</v>
      </c>
      <c r="F72" s="10">
        <v>19477.599999999999</v>
      </c>
      <c r="G72" s="12">
        <f>Tabla1[[#This Row],[Importe]]-Tabla1[[#This Row],[Pagado]]</f>
        <v>0</v>
      </c>
      <c r="H72" s="9" t="s">
        <v>10</v>
      </c>
    </row>
    <row r="73" spans="1:8" x14ac:dyDescent="0.25">
      <c r="A73" s="7">
        <v>44564</v>
      </c>
      <c r="B73" s="8" t="s">
        <v>138</v>
      </c>
      <c r="C73" s="9" t="s">
        <v>27</v>
      </c>
      <c r="D73" s="10">
        <v>6085.5</v>
      </c>
      <c r="E73" s="11">
        <v>44564</v>
      </c>
      <c r="F73" s="10">
        <v>6085.5</v>
      </c>
      <c r="G73" s="12">
        <f>Tabla1[[#This Row],[Importe]]-Tabla1[[#This Row],[Pagado]]</f>
        <v>0</v>
      </c>
      <c r="H73" s="9" t="s">
        <v>10</v>
      </c>
    </row>
    <row r="74" spans="1:8" x14ac:dyDescent="0.25">
      <c r="A74" s="7">
        <v>44564</v>
      </c>
      <c r="B74" s="8" t="s">
        <v>139</v>
      </c>
      <c r="C74" s="9" t="s">
        <v>140</v>
      </c>
      <c r="D74" s="10">
        <v>711</v>
      </c>
      <c r="E74" s="11">
        <v>44564</v>
      </c>
      <c r="F74" s="10">
        <v>711</v>
      </c>
      <c r="G74" s="12">
        <f>Tabla1[[#This Row],[Importe]]-Tabla1[[#This Row],[Pagado]]</f>
        <v>0</v>
      </c>
      <c r="H74" s="9" t="s">
        <v>10</v>
      </c>
    </row>
    <row r="75" spans="1:8" x14ac:dyDescent="0.25">
      <c r="A75" s="7">
        <v>44564</v>
      </c>
      <c r="B75" s="8" t="s">
        <v>141</v>
      </c>
      <c r="C75" s="9" t="s">
        <v>142</v>
      </c>
      <c r="D75" s="10">
        <v>52139.3</v>
      </c>
      <c r="E75" s="11">
        <v>44589</v>
      </c>
      <c r="F75" s="10">
        <v>52139.3</v>
      </c>
      <c r="G75" s="12">
        <f>Tabla1[[#This Row],[Importe]]-Tabla1[[#This Row],[Pagado]]</f>
        <v>0</v>
      </c>
      <c r="H75" s="9" t="s">
        <v>10</v>
      </c>
    </row>
    <row r="76" spans="1:8" x14ac:dyDescent="0.25">
      <c r="A76" s="7">
        <v>44564</v>
      </c>
      <c r="B76" s="8" t="s">
        <v>143</v>
      </c>
      <c r="C76" s="9" t="s">
        <v>144</v>
      </c>
      <c r="D76" s="10">
        <v>3617.6</v>
      </c>
      <c r="E76" s="11">
        <v>44564</v>
      </c>
      <c r="F76" s="10">
        <v>3617.6</v>
      </c>
      <c r="G76" s="12">
        <f>Tabla1[[#This Row],[Importe]]-Tabla1[[#This Row],[Pagado]]</f>
        <v>0</v>
      </c>
      <c r="H76" s="9" t="s">
        <v>10</v>
      </c>
    </row>
    <row r="77" spans="1:8" x14ac:dyDescent="0.25">
      <c r="A77" s="7">
        <v>44564</v>
      </c>
      <c r="B77" s="8" t="s">
        <v>145</v>
      </c>
      <c r="C77" s="9" t="s">
        <v>146</v>
      </c>
      <c r="D77" s="10">
        <v>3121.5</v>
      </c>
      <c r="E77" s="11">
        <v>44564</v>
      </c>
      <c r="F77" s="10">
        <v>3121.5</v>
      </c>
      <c r="G77" s="12">
        <f>Tabla1[[#This Row],[Importe]]-Tabla1[[#This Row],[Pagado]]</f>
        <v>0</v>
      </c>
      <c r="H77" s="9" t="s">
        <v>10</v>
      </c>
    </row>
    <row r="78" spans="1:8" x14ac:dyDescent="0.25">
      <c r="A78" s="7">
        <v>44564</v>
      </c>
      <c r="B78" s="8" t="s">
        <v>147</v>
      </c>
      <c r="C78" s="9" t="s">
        <v>71</v>
      </c>
      <c r="D78" s="10">
        <v>3121.2</v>
      </c>
      <c r="E78" s="11">
        <v>44564</v>
      </c>
      <c r="F78" s="10">
        <v>3121.2</v>
      </c>
      <c r="G78" s="12">
        <f>Tabla1[[#This Row],[Importe]]-Tabla1[[#This Row],[Pagado]]</f>
        <v>0</v>
      </c>
      <c r="H78" s="9" t="s">
        <v>10</v>
      </c>
    </row>
    <row r="79" spans="1:8" x14ac:dyDescent="0.25">
      <c r="A79" s="7">
        <v>44564</v>
      </c>
      <c r="B79" s="8" t="s">
        <v>148</v>
      </c>
      <c r="C79" s="9" t="s">
        <v>149</v>
      </c>
      <c r="D79" s="10">
        <v>1858.8</v>
      </c>
      <c r="E79" s="11">
        <v>44564</v>
      </c>
      <c r="F79" s="10">
        <v>1858.8</v>
      </c>
      <c r="G79" s="12">
        <f>Tabla1[[#This Row],[Importe]]-Tabla1[[#This Row],[Pagado]]</f>
        <v>0</v>
      </c>
      <c r="H79" s="9" t="s">
        <v>10</v>
      </c>
    </row>
    <row r="80" spans="1:8" x14ac:dyDescent="0.25">
      <c r="A80" s="7">
        <v>44564</v>
      </c>
      <c r="B80" s="8" t="s">
        <v>150</v>
      </c>
      <c r="C80" s="9" t="s">
        <v>151</v>
      </c>
      <c r="D80" s="10">
        <v>7774.8</v>
      </c>
      <c r="E80" s="11">
        <v>44564</v>
      </c>
      <c r="F80" s="10">
        <v>7774.8</v>
      </c>
      <c r="G80" s="12">
        <f>Tabla1[[#This Row],[Importe]]-Tabla1[[#This Row],[Pagado]]</f>
        <v>0</v>
      </c>
      <c r="H80" s="9" t="s">
        <v>10</v>
      </c>
    </row>
    <row r="81" spans="1:8" x14ac:dyDescent="0.25">
      <c r="A81" s="7">
        <v>44564</v>
      </c>
      <c r="B81" s="8" t="s">
        <v>152</v>
      </c>
      <c r="C81" s="9" t="s">
        <v>16</v>
      </c>
      <c r="D81" s="10">
        <v>3687.9</v>
      </c>
      <c r="E81" s="11">
        <v>44564</v>
      </c>
      <c r="F81" s="10">
        <v>3687.9</v>
      </c>
      <c r="G81" s="12">
        <f>Tabla1[[#This Row],[Importe]]-Tabla1[[#This Row],[Pagado]]</f>
        <v>0</v>
      </c>
      <c r="H81" s="9" t="s">
        <v>10</v>
      </c>
    </row>
    <row r="82" spans="1:8" x14ac:dyDescent="0.25">
      <c r="A82" s="7">
        <v>44564</v>
      </c>
      <c r="B82" s="8" t="s">
        <v>153</v>
      </c>
      <c r="C82" s="9" t="s">
        <v>154</v>
      </c>
      <c r="D82" s="10">
        <v>33792.6</v>
      </c>
      <c r="E82" s="11">
        <v>44569</v>
      </c>
      <c r="F82" s="10">
        <v>33792.6</v>
      </c>
      <c r="G82" s="12">
        <f>Tabla1[[#This Row],[Importe]]-Tabla1[[#This Row],[Pagado]]</f>
        <v>0</v>
      </c>
      <c r="H82" s="9" t="s">
        <v>10</v>
      </c>
    </row>
    <row r="83" spans="1:8" x14ac:dyDescent="0.25">
      <c r="A83" s="7">
        <v>44564</v>
      </c>
      <c r="B83" s="8" t="s">
        <v>155</v>
      </c>
      <c r="C83" s="9" t="s">
        <v>49</v>
      </c>
      <c r="D83" s="10">
        <v>2854.4</v>
      </c>
      <c r="E83" s="11">
        <v>44564</v>
      </c>
      <c r="F83" s="10">
        <v>2854.4</v>
      </c>
      <c r="G83" s="12">
        <f>Tabla1[[#This Row],[Importe]]-Tabla1[[#This Row],[Pagado]]</f>
        <v>0</v>
      </c>
      <c r="H83" s="9" t="s">
        <v>10</v>
      </c>
    </row>
    <row r="84" spans="1:8" x14ac:dyDescent="0.25">
      <c r="A84" s="7">
        <v>44564</v>
      </c>
      <c r="B84" s="8" t="s">
        <v>156</v>
      </c>
      <c r="C84" s="9" t="s">
        <v>157</v>
      </c>
      <c r="D84" s="10">
        <v>3883.5</v>
      </c>
      <c r="E84" s="11">
        <v>44564</v>
      </c>
      <c r="F84" s="10">
        <v>3883.5</v>
      </c>
      <c r="G84" s="12">
        <f>Tabla1[[#This Row],[Importe]]-Tabla1[[#This Row],[Pagado]]</f>
        <v>0</v>
      </c>
      <c r="H84" s="9" t="s">
        <v>10</v>
      </c>
    </row>
    <row r="85" spans="1:8" x14ac:dyDescent="0.25">
      <c r="A85" s="7">
        <v>44564</v>
      </c>
      <c r="B85" s="8" t="s">
        <v>158</v>
      </c>
      <c r="C85" s="9" t="s">
        <v>159</v>
      </c>
      <c r="D85" s="10">
        <v>2358</v>
      </c>
      <c r="E85" s="11">
        <v>44564</v>
      </c>
      <c r="F85" s="10">
        <v>2358</v>
      </c>
      <c r="G85" s="12">
        <f>Tabla1[[#This Row],[Importe]]-Tabla1[[#This Row],[Pagado]]</f>
        <v>0</v>
      </c>
      <c r="H85" s="9" t="s">
        <v>10</v>
      </c>
    </row>
    <row r="86" spans="1:8" x14ac:dyDescent="0.25">
      <c r="A86" s="7">
        <v>44564</v>
      </c>
      <c r="B86" s="8" t="s">
        <v>160</v>
      </c>
      <c r="C86" s="9" t="s">
        <v>161</v>
      </c>
      <c r="D86" s="10">
        <v>1872</v>
      </c>
      <c r="E86" s="11">
        <v>44564</v>
      </c>
      <c r="F86" s="10">
        <v>1872</v>
      </c>
      <c r="G86" s="12">
        <f>Tabla1[[#This Row],[Importe]]-Tabla1[[#This Row],[Pagado]]</f>
        <v>0</v>
      </c>
      <c r="H86" s="9" t="s">
        <v>10</v>
      </c>
    </row>
    <row r="87" spans="1:8" x14ac:dyDescent="0.25">
      <c r="A87" s="7">
        <v>44564</v>
      </c>
      <c r="B87" s="8" t="s">
        <v>162</v>
      </c>
      <c r="C87" s="9" t="s">
        <v>142</v>
      </c>
      <c r="D87" s="10">
        <v>22993.599999999999</v>
      </c>
      <c r="E87" s="11">
        <v>44589</v>
      </c>
      <c r="F87" s="10">
        <v>22993.599999999999</v>
      </c>
      <c r="G87" s="12">
        <f>Tabla1[[#This Row],[Importe]]-Tabla1[[#This Row],[Pagado]]</f>
        <v>0</v>
      </c>
      <c r="H87" s="9" t="s">
        <v>10</v>
      </c>
    </row>
    <row r="88" spans="1:8" x14ac:dyDescent="0.25">
      <c r="A88" s="7">
        <v>44564</v>
      </c>
      <c r="B88" s="8" t="s">
        <v>163</v>
      </c>
      <c r="C88" s="9" t="s">
        <v>45</v>
      </c>
      <c r="D88" s="10">
        <v>7191.7</v>
      </c>
      <c r="E88" s="11">
        <v>44564</v>
      </c>
      <c r="F88" s="10">
        <v>7191.7</v>
      </c>
      <c r="G88" s="12">
        <f>Tabla1[[#This Row],[Importe]]-Tabla1[[#This Row],[Pagado]]</f>
        <v>0</v>
      </c>
      <c r="H88" s="9" t="s">
        <v>10</v>
      </c>
    </row>
    <row r="89" spans="1:8" x14ac:dyDescent="0.25">
      <c r="A89" s="7">
        <v>44564</v>
      </c>
      <c r="B89" s="8" t="s">
        <v>164</v>
      </c>
      <c r="C89" s="9" t="s">
        <v>24</v>
      </c>
      <c r="D89" s="10">
        <v>1519.6</v>
      </c>
      <c r="E89" s="11">
        <v>44564</v>
      </c>
      <c r="F89" s="10">
        <v>1519.6</v>
      </c>
      <c r="G89" s="12">
        <f>Tabla1[[#This Row],[Importe]]-Tabla1[[#This Row],[Pagado]]</f>
        <v>0</v>
      </c>
      <c r="H89" s="9" t="s">
        <v>10</v>
      </c>
    </row>
    <row r="90" spans="1:8" x14ac:dyDescent="0.25">
      <c r="A90" s="7">
        <v>44564</v>
      </c>
      <c r="B90" s="8" t="s">
        <v>165</v>
      </c>
      <c r="C90" s="9" t="s">
        <v>56</v>
      </c>
      <c r="D90" s="10">
        <v>6915.6</v>
      </c>
      <c r="E90" s="11">
        <v>44564</v>
      </c>
      <c r="F90" s="10">
        <v>6915.6</v>
      </c>
      <c r="G90" s="12">
        <f>Tabla1[[#This Row],[Importe]]-Tabla1[[#This Row],[Pagado]]</f>
        <v>0</v>
      </c>
      <c r="H90" s="9" t="s">
        <v>10</v>
      </c>
    </row>
    <row r="91" spans="1:8" x14ac:dyDescent="0.25">
      <c r="A91" s="7">
        <v>44564</v>
      </c>
      <c r="B91" s="8" t="s">
        <v>166</v>
      </c>
      <c r="C91" s="9" t="s">
        <v>167</v>
      </c>
      <c r="D91" s="10">
        <v>4720.5</v>
      </c>
      <c r="E91" s="11">
        <v>44564</v>
      </c>
      <c r="F91" s="10">
        <v>4720.5</v>
      </c>
      <c r="G91" s="12">
        <f>Tabla1[[#This Row],[Importe]]-Tabla1[[#This Row],[Pagado]]</f>
        <v>0</v>
      </c>
      <c r="H91" s="9" t="s">
        <v>10</v>
      </c>
    </row>
    <row r="92" spans="1:8" x14ac:dyDescent="0.25">
      <c r="A92" s="7">
        <v>44564</v>
      </c>
      <c r="B92" s="8" t="s">
        <v>168</v>
      </c>
      <c r="C92" s="9" t="s">
        <v>169</v>
      </c>
      <c r="D92" s="10">
        <v>6144.1</v>
      </c>
      <c r="E92" s="11">
        <v>44564</v>
      </c>
      <c r="F92" s="10">
        <v>6144.1</v>
      </c>
      <c r="G92" s="12">
        <f>Tabla1[[#This Row],[Importe]]-Tabla1[[#This Row],[Pagado]]</f>
        <v>0</v>
      </c>
      <c r="H92" s="9" t="s">
        <v>10</v>
      </c>
    </row>
    <row r="93" spans="1:8" x14ac:dyDescent="0.25">
      <c r="A93" s="7">
        <v>44564</v>
      </c>
      <c r="B93" s="8" t="s">
        <v>170</v>
      </c>
      <c r="C93" s="9" t="s">
        <v>151</v>
      </c>
      <c r="D93" s="10">
        <v>1959.84</v>
      </c>
      <c r="E93" s="11">
        <v>44564</v>
      </c>
      <c r="F93" s="10">
        <v>1959.84</v>
      </c>
      <c r="G93" s="12">
        <f>Tabla1[[#This Row],[Importe]]-Tabla1[[#This Row],[Pagado]]</f>
        <v>0</v>
      </c>
      <c r="H93" s="9" t="s">
        <v>10</v>
      </c>
    </row>
    <row r="94" spans="1:8" x14ac:dyDescent="0.25">
      <c r="A94" s="7">
        <v>44564</v>
      </c>
      <c r="B94" s="8" t="s">
        <v>171</v>
      </c>
      <c r="C94" s="9" t="s">
        <v>24</v>
      </c>
      <c r="D94" s="10">
        <v>4440.2</v>
      </c>
      <c r="E94" s="11">
        <v>44564</v>
      </c>
      <c r="F94" s="10">
        <v>4440.2</v>
      </c>
      <c r="G94" s="12">
        <f>Tabla1[[#This Row],[Importe]]-Tabla1[[#This Row],[Pagado]]</f>
        <v>0</v>
      </c>
      <c r="H94" s="9" t="s">
        <v>10</v>
      </c>
    </row>
    <row r="95" spans="1:8" x14ac:dyDescent="0.25">
      <c r="A95" s="7">
        <v>44564</v>
      </c>
      <c r="B95" s="8" t="s">
        <v>172</v>
      </c>
      <c r="C95" s="9" t="s">
        <v>173</v>
      </c>
      <c r="D95" s="10">
        <v>34216.42</v>
      </c>
      <c r="E95" s="11">
        <v>44565</v>
      </c>
      <c r="F95" s="10">
        <v>34216.42</v>
      </c>
      <c r="G95" s="12">
        <f>Tabla1[[#This Row],[Importe]]-Tabla1[[#This Row],[Pagado]]</f>
        <v>0</v>
      </c>
      <c r="H95" s="9" t="s">
        <v>10</v>
      </c>
    </row>
    <row r="96" spans="1:8" x14ac:dyDescent="0.25">
      <c r="A96" s="7">
        <v>44564</v>
      </c>
      <c r="B96" s="8" t="s">
        <v>174</v>
      </c>
      <c r="C96" s="9" t="s">
        <v>175</v>
      </c>
      <c r="D96" s="10">
        <v>12714</v>
      </c>
      <c r="E96" s="11">
        <v>44564</v>
      </c>
      <c r="F96" s="10">
        <v>12714</v>
      </c>
      <c r="G96" s="12">
        <f>Tabla1[[#This Row],[Importe]]-Tabla1[[#This Row],[Pagado]]</f>
        <v>0</v>
      </c>
      <c r="H96" s="9" t="s">
        <v>10</v>
      </c>
    </row>
    <row r="97" spans="1:8" x14ac:dyDescent="0.25">
      <c r="A97" s="7">
        <v>44564</v>
      </c>
      <c r="B97" s="8" t="s">
        <v>176</v>
      </c>
      <c r="C97" s="9" t="s">
        <v>31</v>
      </c>
      <c r="D97" s="10">
        <v>1107</v>
      </c>
      <c r="E97" s="11">
        <v>44564</v>
      </c>
      <c r="F97" s="10">
        <v>1107</v>
      </c>
      <c r="G97" s="12">
        <f>Tabla1[[#This Row],[Importe]]-Tabla1[[#This Row],[Pagado]]</f>
        <v>0</v>
      </c>
      <c r="H97" s="9" t="s">
        <v>10</v>
      </c>
    </row>
    <row r="98" spans="1:8" x14ac:dyDescent="0.25">
      <c r="A98" s="7">
        <v>44564</v>
      </c>
      <c r="B98" s="8" t="s">
        <v>177</v>
      </c>
      <c r="C98" s="9" t="s">
        <v>31</v>
      </c>
      <c r="D98" s="10">
        <v>481.4</v>
      </c>
      <c r="E98" s="11">
        <v>44564</v>
      </c>
      <c r="F98" s="10">
        <v>481.4</v>
      </c>
      <c r="G98" s="12">
        <f>Tabla1[[#This Row],[Importe]]-Tabla1[[#This Row],[Pagado]]</f>
        <v>0</v>
      </c>
      <c r="H98" s="9" t="s">
        <v>10</v>
      </c>
    </row>
    <row r="99" spans="1:8" x14ac:dyDescent="0.25">
      <c r="A99" s="7">
        <v>44564</v>
      </c>
      <c r="B99" s="8" t="s">
        <v>178</v>
      </c>
      <c r="C99" s="9" t="s">
        <v>179</v>
      </c>
      <c r="D99" s="10">
        <v>952</v>
      </c>
      <c r="E99" s="11">
        <v>44564</v>
      </c>
      <c r="F99" s="10">
        <v>952</v>
      </c>
      <c r="G99" s="12">
        <f>Tabla1[[#This Row],[Importe]]-Tabla1[[#This Row],[Pagado]]</f>
        <v>0</v>
      </c>
      <c r="H99" s="9" t="s">
        <v>10</v>
      </c>
    </row>
    <row r="100" spans="1:8" x14ac:dyDescent="0.25">
      <c r="A100" s="7">
        <v>44564</v>
      </c>
      <c r="B100" s="8" t="s">
        <v>180</v>
      </c>
      <c r="C100" s="9" t="s">
        <v>181</v>
      </c>
      <c r="D100" s="10">
        <v>10046.6</v>
      </c>
      <c r="E100" s="11">
        <v>44564</v>
      </c>
      <c r="F100" s="10">
        <v>10046.6</v>
      </c>
      <c r="G100" s="12">
        <f>Tabla1[[#This Row],[Importe]]-Tabla1[[#This Row],[Pagado]]</f>
        <v>0</v>
      </c>
      <c r="H100" s="9" t="s">
        <v>10</v>
      </c>
    </row>
    <row r="101" spans="1:8" x14ac:dyDescent="0.25">
      <c r="A101" s="7">
        <v>44564</v>
      </c>
      <c r="B101" s="8" t="s">
        <v>182</v>
      </c>
      <c r="C101" s="9" t="s">
        <v>183</v>
      </c>
      <c r="D101" s="10">
        <v>3986.4</v>
      </c>
      <c r="E101" s="11">
        <v>44564</v>
      </c>
      <c r="F101" s="10">
        <v>3986.4</v>
      </c>
      <c r="G101" s="12">
        <f>Tabla1[[#This Row],[Importe]]-Tabla1[[#This Row],[Pagado]]</f>
        <v>0</v>
      </c>
      <c r="H101" s="9" t="s">
        <v>10</v>
      </c>
    </row>
    <row r="102" spans="1:8" x14ac:dyDescent="0.25">
      <c r="A102" s="7">
        <v>44564</v>
      </c>
      <c r="B102" s="8" t="s">
        <v>184</v>
      </c>
      <c r="C102" s="9" t="s">
        <v>185</v>
      </c>
      <c r="D102" s="10">
        <v>3587.8</v>
      </c>
      <c r="E102" s="11">
        <v>44564</v>
      </c>
      <c r="F102" s="10">
        <v>3587.8</v>
      </c>
      <c r="G102" s="12">
        <f>Tabla1[[#This Row],[Importe]]-Tabla1[[#This Row],[Pagado]]</f>
        <v>0</v>
      </c>
      <c r="H102" s="9" t="s">
        <v>10</v>
      </c>
    </row>
    <row r="103" spans="1:8" x14ac:dyDescent="0.25">
      <c r="A103" s="7">
        <v>44564</v>
      </c>
      <c r="B103" s="8" t="s">
        <v>186</v>
      </c>
      <c r="C103" s="9" t="s">
        <v>12</v>
      </c>
      <c r="D103" s="10">
        <v>8937.75</v>
      </c>
      <c r="E103" s="11">
        <v>44565</v>
      </c>
      <c r="F103" s="10">
        <v>8937.75</v>
      </c>
      <c r="G103" s="12">
        <f>Tabla1[[#This Row],[Importe]]-Tabla1[[#This Row],[Pagado]]</f>
        <v>0</v>
      </c>
      <c r="H103" s="9" t="s">
        <v>10</v>
      </c>
    </row>
    <row r="104" spans="1:8" x14ac:dyDescent="0.25">
      <c r="A104" s="7">
        <v>44564</v>
      </c>
      <c r="B104" s="8" t="s">
        <v>187</v>
      </c>
      <c r="C104" s="9" t="s">
        <v>188</v>
      </c>
      <c r="D104" s="10">
        <v>0</v>
      </c>
      <c r="E104" s="13" t="s">
        <v>189</v>
      </c>
      <c r="F104" s="10">
        <v>0</v>
      </c>
      <c r="G104" s="12">
        <f>Tabla1[[#This Row],[Importe]]-Tabla1[[#This Row],[Pagado]]</f>
        <v>0</v>
      </c>
      <c r="H104" s="9" t="s">
        <v>189</v>
      </c>
    </row>
    <row r="105" spans="1:8" x14ac:dyDescent="0.25">
      <c r="A105" s="7">
        <v>44564</v>
      </c>
      <c r="B105" s="8" t="s">
        <v>190</v>
      </c>
      <c r="C105" s="9" t="s">
        <v>191</v>
      </c>
      <c r="D105" s="10">
        <v>3141.6</v>
      </c>
      <c r="E105" s="11">
        <v>44564</v>
      </c>
      <c r="F105" s="10">
        <v>3141.6</v>
      </c>
      <c r="G105" s="12">
        <f>Tabla1[[#This Row],[Importe]]-Tabla1[[#This Row],[Pagado]]</f>
        <v>0</v>
      </c>
      <c r="H105" s="9" t="s">
        <v>10</v>
      </c>
    </row>
    <row r="106" spans="1:8" x14ac:dyDescent="0.25">
      <c r="A106" s="7">
        <v>44564</v>
      </c>
      <c r="B106" s="8" t="s">
        <v>192</v>
      </c>
      <c r="C106" s="9" t="s">
        <v>193</v>
      </c>
      <c r="D106" s="10">
        <v>2704</v>
      </c>
      <c r="E106" s="11">
        <v>44564</v>
      </c>
      <c r="F106" s="10">
        <v>2704</v>
      </c>
      <c r="G106" s="12">
        <f>Tabla1[[#This Row],[Importe]]-Tabla1[[#This Row],[Pagado]]</f>
        <v>0</v>
      </c>
      <c r="H106" s="9" t="s">
        <v>10</v>
      </c>
    </row>
    <row r="107" spans="1:8" x14ac:dyDescent="0.25">
      <c r="A107" s="7">
        <v>44564</v>
      </c>
      <c r="B107" s="8" t="s">
        <v>194</v>
      </c>
      <c r="C107" s="9" t="s">
        <v>91</v>
      </c>
      <c r="D107" s="10">
        <v>6708.8</v>
      </c>
      <c r="E107" s="11">
        <v>44569</v>
      </c>
      <c r="F107" s="10">
        <v>6708.8</v>
      </c>
      <c r="G107" s="12">
        <f>Tabla1[[#This Row],[Importe]]-Tabla1[[#This Row],[Pagado]]</f>
        <v>0</v>
      </c>
      <c r="H107" s="9" t="s">
        <v>10</v>
      </c>
    </row>
    <row r="108" spans="1:8" x14ac:dyDescent="0.25">
      <c r="A108" s="7">
        <v>44564</v>
      </c>
      <c r="B108" s="8" t="s">
        <v>195</v>
      </c>
      <c r="C108" s="9" t="s">
        <v>196</v>
      </c>
      <c r="D108" s="10">
        <v>4720</v>
      </c>
      <c r="E108" s="11">
        <v>44568</v>
      </c>
      <c r="F108" s="10">
        <v>4720</v>
      </c>
      <c r="G108" s="12">
        <f>Tabla1[[#This Row],[Importe]]-Tabla1[[#This Row],[Pagado]]</f>
        <v>0</v>
      </c>
      <c r="H108" s="9" t="s">
        <v>10</v>
      </c>
    </row>
    <row r="109" spans="1:8" x14ac:dyDescent="0.25">
      <c r="A109" s="7">
        <v>44564</v>
      </c>
      <c r="B109" s="8" t="s">
        <v>197</v>
      </c>
      <c r="C109" s="9" t="s">
        <v>198</v>
      </c>
      <c r="D109" s="10">
        <v>3999.6</v>
      </c>
      <c r="E109" s="11">
        <v>44565</v>
      </c>
      <c r="F109" s="10">
        <v>3999.6</v>
      </c>
      <c r="G109" s="12">
        <f>Tabla1[[#This Row],[Importe]]-Tabla1[[#This Row],[Pagado]]</f>
        <v>0</v>
      </c>
      <c r="H109" s="9" t="s">
        <v>10</v>
      </c>
    </row>
    <row r="110" spans="1:8" x14ac:dyDescent="0.25">
      <c r="A110" s="7">
        <v>44564</v>
      </c>
      <c r="B110" s="8" t="s">
        <v>199</v>
      </c>
      <c r="C110" s="9" t="s">
        <v>200</v>
      </c>
      <c r="D110" s="10">
        <v>963.2</v>
      </c>
      <c r="E110" s="11">
        <v>44564</v>
      </c>
      <c r="F110" s="10">
        <v>963.2</v>
      </c>
      <c r="G110" s="12">
        <f>Tabla1[[#This Row],[Importe]]-Tabla1[[#This Row],[Pagado]]</f>
        <v>0</v>
      </c>
      <c r="H110" s="9" t="s">
        <v>10</v>
      </c>
    </row>
    <row r="111" spans="1:8" x14ac:dyDescent="0.25">
      <c r="A111" s="7">
        <v>44564</v>
      </c>
      <c r="B111" s="8" t="s">
        <v>201</v>
      </c>
      <c r="C111" s="9" t="s">
        <v>202</v>
      </c>
      <c r="D111" s="10">
        <v>594</v>
      </c>
      <c r="E111" s="11">
        <v>44564</v>
      </c>
      <c r="F111" s="10">
        <v>594</v>
      </c>
      <c r="G111" s="12">
        <f>Tabla1[[#This Row],[Importe]]-Tabla1[[#This Row],[Pagado]]</f>
        <v>0</v>
      </c>
      <c r="H111" s="9" t="s">
        <v>10</v>
      </c>
    </row>
    <row r="112" spans="1:8" x14ac:dyDescent="0.25">
      <c r="A112" s="7">
        <v>44564</v>
      </c>
      <c r="B112" s="8" t="s">
        <v>203</v>
      </c>
      <c r="C112" s="9" t="s">
        <v>204</v>
      </c>
      <c r="D112" s="10">
        <v>450</v>
      </c>
      <c r="E112" s="11">
        <v>44564</v>
      </c>
      <c r="F112" s="10">
        <v>450</v>
      </c>
      <c r="G112" s="12">
        <f>Tabla1[[#This Row],[Importe]]-Tabla1[[#This Row],[Pagado]]</f>
        <v>0</v>
      </c>
      <c r="H112" s="9" t="s">
        <v>10</v>
      </c>
    </row>
    <row r="113" spans="1:8" x14ac:dyDescent="0.25">
      <c r="A113" s="7">
        <v>44564</v>
      </c>
      <c r="B113" s="8" t="s">
        <v>205</v>
      </c>
      <c r="C113" s="9" t="s">
        <v>206</v>
      </c>
      <c r="D113" s="10">
        <v>24346.9</v>
      </c>
      <c r="E113" s="11">
        <v>44569</v>
      </c>
      <c r="F113" s="10">
        <v>24346.9</v>
      </c>
      <c r="G113" s="12">
        <f>Tabla1[[#This Row],[Importe]]-Tabla1[[#This Row],[Pagado]]</f>
        <v>0</v>
      </c>
      <c r="H113" s="9" t="s">
        <v>10</v>
      </c>
    </row>
    <row r="114" spans="1:8" x14ac:dyDescent="0.25">
      <c r="A114" s="7">
        <v>44564</v>
      </c>
      <c r="B114" s="8" t="s">
        <v>207</v>
      </c>
      <c r="C114" s="9" t="s">
        <v>208</v>
      </c>
      <c r="D114" s="10">
        <v>15178.8</v>
      </c>
      <c r="E114" s="11">
        <v>44565</v>
      </c>
      <c r="F114" s="10">
        <v>15178.8</v>
      </c>
      <c r="G114" s="12">
        <f>Tabla1[[#This Row],[Importe]]-Tabla1[[#This Row],[Pagado]]</f>
        <v>0</v>
      </c>
      <c r="H114" s="9" t="s">
        <v>10</v>
      </c>
    </row>
    <row r="115" spans="1:8" x14ac:dyDescent="0.25">
      <c r="A115" s="7">
        <v>44564</v>
      </c>
      <c r="B115" s="8" t="s">
        <v>209</v>
      </c>
      <c r="C115" s="9" t="s">
        <v>210</v>
      </c>
      <c r="D115" s="10">
        <v>25892.6</v>
      </c>
      <c r="E115" s="11">
        <v>44564</v>
      </c>
      <c r="F115" s="10">
        <v>25892.6</v>
      </c>
      <c r="G115" s="12">
        <f>Tabla1[[#This Row],[Importe]]-Tabla1[[#This Row],[Pagado]]</f>
        <v>0</v>
      </c>
      <c r="H115" s="9" t="s">
        <v>10</v>
      </c>
    </row>
    <row r="116" spans="1:8" x14ac:dyDescent="0.25">
      <c r="A116" s="7">
        <v>44564</v>
      </c>
      <c r="B116" s="8" t="s">
        <v>211</v>
      </c>
      <c r="C116" s="9" t="s">
        <v>212</v>
      </c>
      <c r="D116" s="10">
        <v>20656.5</v>
      </c>
      <c r="E116" s="11">
        <v>44569</v>
      </c>
      <c r="F116" s="10">
        <v>20656.5</v>
      </c>
      <c r="G116" s="12">
        <f>Tabla1[[#This Row],[Importe]]-Tabla1[[#This Row],[Pagado]]</f>
        <v>0</v>
      </c>
      <c r="H116" s="9" t="s">
        <v>10</v>
      </c>
    </row>
    <row r="117" spans="1:8" x14ac:dyDescent="0.25">
      <c r="A117" s="7">
        <v>44564</v>
      </c>
      <c r="B117" s="8" t="s">
        <v>213</v>
      </c>
      <c r="C117" s="9" t="s">
        <v>214</v>
      </c>
      <c r="D117" s="10">
        <v>10727.6</v>
      </c>
      <c r="E117" s="11">
        <v>44564</v>
      </c>
      <c r="F117" s="10">
        <v>10727.6</v>
      </c>
      <c r="G117" s="12">
        <f>Tabla1[[#This Row],[Importe]]-Tabla1[[#This Row],[Pagado]]</f>
        <v>0</v>
      </c>
      <c r="H117" s="9" t="s">
        <v>10</v>
      </c>
    </row>
    <row r="118" spans="1:8" x14ac:dyDescent="0.25">
      <c r="A118" s="7">
        <v>44564</v>
      </c>
      <c r="B118" s="8" t="s">
        <v>215</v>
      </c>
      <c r="C118" s="9" t="s">
        <v>216</v>
      </c>
      <c r="D118" s="10">
        <v>2301.6</v>
      </c>
      <c r="E118" s="11">
        <v>44564</v>
      </c>
      <c r="F118" s="10">
        <v>2301.6</v>
      </c>
      <c r="G118" s="12">
        <f>Tabla1[[#This Row],[Importe]]-Tabla1[[#This Row],[Pagado]]</f>
        <v>0</v>
      </c>
      <c r="H118" s="9" t="s">
        <v>10</v>
      </c>
    </row>
    <row r="119" spans="1:8" x14ac:dyDescent="0.25">
      <c r="A119" s="7">
        <v>44564</v>
      </c>
      <c r="B119" s="8" t="s">
        <v>217</v>
      </c>
      <c r="C119" s="9" t="s">
        <v>218</v>
      </c>
      <c r="D119" s="10">
        <v>18989.7</v>
      </c>
      <c r="E119" s="11">
        <v>44569</v>
      </c>
      <c r="F119" s="10">
        <v>18989.7</v>
      </c>
      <c r="G119" s="12">
        <f>Tabla1[[#This Row],[Importe]]-Tabla1[[#This Row],[Pagado]]</f>
        <v>0</v>
      </c>
      <c r="H119" s="9" t="s">
        <v>10</v>
      </c>
    </row>
    <row r="120" spans="1:8" x14ac:dyDescent="0.25">
      <c r="A120" s="7">
        <v>44564</v>
      </c>
      <c r="B120" s="8" t="s">
        <v>219</v>
      </c>
      <c r="C120" s="9" t="s">
        <v>220</v>
      </c>
      <c r="D120" s="10">
        <v>0</v>
      </c>
      <c r="E120" s="13" t="s">
        <v>189</v>
      </c>
      <c r="F120" s="10">
        <v>0</v>
      </c>
      <c r="G120" s="12">
        <f>Tabla1[[#This Row],[Importe]]-Tabla1[[#This Row],[Pagado]]</f>
        <v>0</v>
      </c>
      <c r="H120" s="9" t="s">
        <v>189</v>
      </c>
    </row>
    <row r="121" spans="1:8" x14ac:dyDescent="0.25">
      <c r="A121" s="7">
        <v>44564</v>
      </c>
      <c r="B121" s="8" t="s">
        <v>221</v>
      </c>
      <c r="C121" s="9" t="s">
        <v>222</v>
      </c>
      <c r="D121" s="10">
        <v>7630.2</v>
      </c>
      <c r="E121" s="11">
        <v>44564</v>
      </c>
      <c r="F121" s="10">
        <v>7630.2</v>
      </c>
      <c r="G121" s="12">
        <f>Tabla1[[#This Row],[Importe]]-Tabla1[[#This Row],[Pagado]]</f>
        <v>0</v>
      </c>
      <c r="H121" s="9" t="s">
        <v>10</v>
      </c>
    </row>
    <row r="122" spans="1:8" x14ac:dyDescent="0.25">
      <c r="A122" s="7">
        <v>44564</v>
      </c>
      <c r="B122" s="8" t="s">
        <v>223</v>
      </c>
      <c r="C122" s="9" t="s">
        <v>224</v>
      </c>
      <c r="D122" s="10">
        <v>10940.6</v>
      </c>
      <c r="E122" s="11">
        <v>44571</v>
      </c>
      <c r="F122" s="10">
        <v>10940.6</v>
      </c>
      <c r="G122" s="12">
        <f>Tabla1[[#This Row],[Importe]]-Tabla1[[#This Row],[Pagado]]</f>
        <v>0</v>
      </c>
      <c r="H122" s="9" t="s">
        <v>10</v>
      </c>
    </row>
    <row r="123" spans="1:8" x14ac:dyDescent="0.25">
      <c r="A123" s="7">
        <v>44564</v>
      </c>
      <c r="B123" s="8" t="s">
        <v>225</v>
      </c>
      <c r="C123" s="9" t="s">
        <v>226</v>
      </c>
      <c r="D123" s="10">
        <v>21952.7</v>
      </c>
      <c r="E123" s="11">
        <v>44564</v>
      </c>
      <c r="F123" s="10">
        <v>21952.7</v>
      </c>
      <c r="G123" s="12">
        <f>Tabla1[[#This Row],[Importe]]-Tabla1[[#This Row],[Pagado]]</f>
        <v>0</v>
      </c>
      <c r="H123" s="9" t="s">
        <v>10</v>
      </c>
    </row>
    <row r="124" spans="1:8" x14ac:dyDescent="0.25">
      <c r="A124" s="7">
        <v>44564</v>
      </c>
      <c r="B124" s="8" t="s">
        <v>227</v>
      </c>
      <c r="C124" s="9" t="s">
        <v>228</v>
      </c>
      <c r="D124" s="10">
        <v>7487.2</v>
      </c>
      <c r="E124" s="11">
        <v>44564</v>
      </c>
      <c r="F124" s="10">
        <v>7487.2</v>
      </c>
      <c r="G124" s="12">
        <f>Tabla1[[#This Row],[Importe]]-Tabla1[[#This Row],[Pagado]]</f>
        <v>0</v>
      </c>
      <c r="H124" s="9" t="s">
        <v>10</v>
      </c>
    </row>
    <row r="125" spans="1:8" x14ac:dyDescent="0.25">
      <c r="A125" s="7">
        <v>44564</v>
      </c>
      <c r="B125" s="8" t="s">
        <v>229</v>
      </c>
      <c r="C125" s="9" t="s">
        <v>230</v>
      </c>
      <c r="D125" s="10">
        <v>5290.8</v>
      </c>
      <c r="E125" s="11">
        <v>44564</v>
      </c>
      <c r="F125" s="10">
        <v>5290.8</v>
      </c>
      <c r="G125" s="12">
        <f>Tabla1[[#This Row],[Importe]]-Tabla1[[#This Row],[Pagado]]</f>
        <v>0</v>
      </c>
      <c r="H125" s="9" t="s">
        <v>10</v>
      </c>
    </row>
    <row r="126" spans="1:8" x14ac:dyDescent="0.25">
      <c r="A126" s="7">
        <v>44564</v>
      </c>
      <c r="B126" s="8" t="s">
        <v>231</v>
      </c>
      <c r="C126" s="9" t="s">
        <v>228</v>
      </c>
      <c r="D126" s="10">
        <v>6087.2</v>
      </c>
      <c r="E126" s="11">
        <v>44564</v>
      </c>
      <c r="F126" s="10">
        <v>6087.2</v>
      </c>
      <c r="G126" s="12">
        <f>Tabla1[[#This Row],[Importe]]-Tabla1[[#This Row],[Pagado]]</f>
        <v>0</v>
      </c>
      <c r="H126" s="9" t="s">
        <v>10</v>
      </c>
    </row>
    <row r="127" spans="1:8" x14ac:dyDescent="0.25">
      <c r="A127" s="7">
        <v>44564</v>
      </c>
      <c r="B127" s="8" t="s">
        <v>232</v>
      </c>
      <c r="C127" s="9" t="s">
        <v>233</v>
      </c>
      <c r="D127" s="10">
        <v>4702.5</v>
      </c>
      <c r="E127" s="11">
        <v>44564</v>
      </c>
      <c r="F127" s="10">
        <v>4702.5</v>
      </c>
      <c r="G127" s="12">
        <f>Tabla1[[#This Row],[Importe]]-Tabla1[[#This Row],[Pagado]]</f>
        <v>0</v>
      </c>
      <c r="H127" s="9" t="s">
        <v>10</v>
      </c>
    </row>
    <row r="128" spans="1:8" x14ac:dyDescent="0.25">
      <c r="A128" s="7">
        <v>44564</v>
      </c>
      <c r="B128" s="8" t="s">
        <v>234</v>
      </c>
      <c r="C128" s="9" t="s">
        <v>235</v>
      </c>
      <c r="D128" s="10">
        <v>6066</v>
      </c>
      <c r="E128" s="11">
        <v>44564</v>
      </c>
      <c r="F128" s="10">
        <v>6066</v>
      </c>
      <c r="G128" s="12">
        <f>Tabla1[[#This Row],[Importe]]-Tabla1[[#This Row],[Pagado]]</f>
        <v>0</v>
      </c>
      <c r="H128" s="9" t="s">
        <v>10</v>
      </c>
    </row>
    <row r="129" spans="1:11" x14ac:dyDescent="0.25">
      <c r="A129" s="7">
        <v>44564</v>
      </c>
      <c r="B129" s="8" t="s">
        <v>236</v>
      </c>
      <c r="C129" s="9" t="s">
        <v>237</v>
      </c>
      <c r="D129" s="10">
        <v>2584.6</v>
      </c>
      <c r="E129" s="11">
        <v>44564</v>
      </c>
      <c r="F129" s="10">
        <v>2584.6</v>
      </c>
      <c r="G129" s="12">
        <f>Tabla1[[#This Row],[Importe]]-Tabla1[[#This Row],[Pagado]]</f>
        <v>0</v>
      </c>
      <c r="H129" s="9" t="s">
        <v>10</v>
      </c>
    </row>
    <row r="130" spans="1:11" x14ac:dyDescent="0.25">
      <c r="A130" s="7">
        <v>44564</v>
      </c>
      <c r="B130" s="8" t="s">
        <v>238</v>
      </c>
      <c r="C130" s="9" t="s">
        <v>58</v>
      </c>
      <c r="D130" s="10">
        <v>2630.7</v>
      </c>
      <c r="E130" s="11">
        <v>44564</v>
      </c>
      <c r="F130" s="10">
        <v>2630.7</v>
      </c>
      <c r="G130" s="12">
        <f>Tabla1[[#This Row],[Importe]]-Tabla1[[#This Row],[Pagado]]</f>
        <v>0</v>
      </c>
      <c r="H130" s="9" t="s">
        <v>10</v>
      </c>
    </row>
    <row r="131" spans="1:11" x14ac:dyDescent="0.25">
      <c r="A131" s="7">
        <v>44564</v>
      </c>
      <c r="B131" s="8" t="s">
        <v>239</v>
      </c>
      <c r="C131" s="9" t="s">
        <v>240</v>
      </c>
      <c r="D131" s="10">
        <v>10262.799999999999</v>
      </c>
      <c r="E131" s="11">
        <v>44564</v>
      </c>
      <c r="F131" s="10">
        <v>10262.799999999999</v>
      </c>
      <c r="G131" s="12">
        <f>Tabla1[[#This Row],[Importe]]-Tabla1[[#This Row],[Pagado]]</f>
        <v>0</v>
      </c>
      <c r="H131" s="9" t="s">
        <v>10</v>
      </c>
    </row>
    <row r="132" spans="1:11" x14ac:dyDescent="0.25">
      <c r="A132" s="7">
        <v>44564</v>
      </c>
      <c r="B132" s="8" t="s">
        <v>241</v>
      </c>
      <c r="C132" s="9" t="s">
        <v>196</v>
      </c>
      <c r="D132" s="10">
        <v>15065.6</v>
      </c>
      <c r="E132" s="11">
        <v>44568</v>
      </c>
      <c r="F132" s="10">
        <v>15065.6</v>
      </c>
      <c r="G132" s="12">
        <f>Tabla1[[#This Row],[Importe]]-Tabla1[[#This Row],[Pagado]]</f>
        <v>0</v>
      </c>
      <c r="H132" s="9" t="s">
        <v>10</v>
      </c>
    </row>
    <row r="133" spans="1:11" x14ac:dyDescent="0.25">
      <c r="A133" s="7">
        <v>44564</v>
      </c>
      <c r="B133" s="8" t="s">
        <v>242</v>
      </c>
      <c r="C133" s="9" t="s">
        <v>31</v>
      </c>
      <c r="D133" s="10">
        <v>1331.2</v>
      </c>
      <c r="E133" s="11">
        <v>44564</v>
      </c>
      <c r="F133" s="10">
        <v>1331.2</v>
      </c>
      <c r="G133" s="12">
        <f>Tabla1[[#This Row],[Importe]]-Tabla1[[#This Row],[Pagado]]</f>
        <v>0</v>
      </c>
      <c r="H133" s="9" t="s">
        <v>10</v>
      </c>
    </row>
    <row r="134" spans="1:11" x14ac:dyDescent="0.25">
      <c r="A134" s="7">
        <v>44564</v>
      </c>
      <c r="B134" s="8" t="s">
        <v>243</v>
      </c>
      <c r="C134" s="9" t="s">
        <v>244</v>
      </c>
      <c r="D134" s="10">
        <v>1657.5</v>
      </c>
      <c r="E134" s="11">
        <v>44564</v>
      </c>
      <c r="F134" s="10">
        <v>1657.5</v>
      </c>
      <c r="G134" s="12">
        <f>Tabla1[[#This Row],[Importe]]-Tabla1[[#This Row],[Pagado]]</f>
        <v>0</v>
      </c>
      <c r="H134" s="9" t="s">
        <v>10</v>
      </c>
    </row>
    <row r="135" spans="1:11" x14ac:dyDescent="0.25">
      <c r="A135" s="7">
        <v>44564</v>
      </c>
      <c r="B135" s="8" t="s">
        <v>245</v>
      </c>
      <c r="C135" s="9" t="s">
        <v>246</v>
      </c>
      <c r="D135" s="10">
        <v>31244.5</v>
      </c>
      <c r="E135" s="11">
        <v>44564</v>
      </c>
      <c r="F135" s="10">
        <v>31244.5</v>
      </c>
      <c r="G135" s="12">
        <f>Tabla1[[#This Row],[Importe]]-Tabla1[[#This Row],[Pagado]]</f>
        <v>0</v>
      </c>
      <c r="H135" s="9" t="s">
        <v>10</v>
      </c>
    </row>
    <row r="136" spans="1:11" x14ac:dyDescent="0.25">
      <c r="A136" s="7">
        <v>44564</v>
      </c>
      <c r="B136" s="8" t="s">
        <v>247</v>
      </c>
      <c r="C136" s="9" t="s">
        <v>246</v>
      </c>
      <c r="D136" s="10">
        <v>17545.5</v>
      </c>
      <c r="E136" s="11">
        <v>44564</v>
      </c>
      <c r="F136" s="10">
        <v>17545.5</v>
      </c>
      <c r="G136" s="12">
        <f>Tabla1[[#This Row],[Importe]]-Tabla1[[#This Row],[Pagado]]</f>
        <v>0</v>
      </c>
      <c r="H136" s="9" t="s">
        <v>10</v>
      </c>
    </row>
    <row r="137" spans="1:11" x14ac:dyDescent="0.25">
      <c r="A137" s="7">
        <v>44564</v>
      </c>
      <c r="B137" s="8" t="s">
        <v>248</v>
      </c>
      <c r="C137" s="9" t="s">
        <v>249</v>
      </c>
      <c r="D137" s="10">
        <v>1690.2</v>
      </c>
      <c r="E137" s="11">
        <v>44564</v>
      </c>
      <c r="F137" s="10">
        <v>1690.2</v>
      </c>
      <c r="G137" s="12">
        <f>Tabla1[[#This Row],[Importe]]-Tabla1[[#This Row],[Pagado]]</f>
        <v>0</v>
      </c>
      <c r="H137" s="9" t="s">
        <v>10</v>
      </c>
    </row>
    <row r="138" spans="1:11" x14ac:dyDescent="0.25">
      <c r="A138" s="7">
        <v>44564</v>
      </c>
      <c r="B138" s="8" t="s">
        <v>250</v>
      </c>
      <c r="C138" s="9" t="s">
        <v>251</v>
      </c>
      <c r="D138" s="10">
        <v>1897</v>
      </c>
      <c r="E138" s="11">
        <v>44564</v>
      </c>
      <c r="F138" s="10">
        <v>1897</v>
      </c>
      <c r="G138" s="12">
        <f>Tabla1[[#This Row],[Importe]]-Tabla1[[#This Row],[Pagado]]</f>
        <v>0</v>
      </c>
      <c r="H138" s="9" t="s">
        <v>10</v>
      </c>
    </row>
    <row r="139" spans="1:11" x14ac:dyDescent="0.25">
      <c r="A139" s="7">
        <v>44564</v>
      </c>
      <c r="B139" s="8" t="s">
        <v>252</v>
      </c>
      <c r="C139" s="9" t="s">
        <v>253</v>
      </c>
      <c r="D139" s="10">
        <v>0</v>
      </c>
      <c r="E139" s="13" t="s">
        <v>189</v>
      </c>
      <c r="F139" s="10">
        <v>0</v>
      </c>
      <c r="G139" s="12">
        <f>Tabla1[[#This Row],[Importe]]-Tabla1[[#This Row],[Pagado]]</f>
        <v>0</v>
      </c>
      <c r="H139" s="9" t="s">
        <v>189</v>
      </c>
    </row>
    <row r="140" spans="1:11" x14ac:dyDescent="0.25">
      <c r="A140" s="7">
        <v>44564</v>
      </c>
      <c r="B140" s="8" t="s">
        <v>254</v>
      </c>
      <c r="C140" s="9" t="s">
        <v>255</v>
      </c>
      <c r="D140" s="10">
        <v>0</v>
      </c>
      <c r="E140" s="13" t="s">
        <v>189</v>
      </c>
      <c r="F140" s="10">
        <v>0</v>
      </c>
      <c r="G140" s="14">
        <f>Tabla1[[#This Row],[Importe]]-Tabla1[[#This Row],[Pagado]]</f>
        <v>0</v>
      </c>
      <c r="H140" s="15" t="s">
        <v>256</v>
      </c>
      <c r="I140" s="16"/>
      <c r="J140" s="16"/>
      <c r="K140" s="16"/>
    </row>
    <row r="141" spans="1:11" x14ac:dyDescent="0.25">
      <c r="A141" s="7">
        <v>44564</v>
      </c>
      <c r="B141" s="8" t="s">
        <v>257</v>
      </c>
      <c r="C141" s="9" t="s">
        <v>188</v>
      </c>
      <c r="D141" s="10">
        <v>0</v>
      </c>
      <c r="E141" s="13" t="s">
        <v>189</v>
      </c>
      <c r="F141" s="10">
        <v>0</v>
      </c>
      <c r="G141" s="14">
        <f>Tabla1[[#This Row],[Importe]]-Tabla1[[#This Row],[Pagado]]</f>
        <v>0</v>
      </c>
      <c r="H141" s="15" t="s">
        <v>258</v>
      </c>
      <c r="I141" s="16"/>
      <c r="J141" s="16"/>
      <c r="K141" s="16"/>
    </row>
    <row r="142" spans="1:11" x14ac:dyDescent="0.25">
      <c r="A142" s="7">
        <v>44564</v>
      </c>
      <c r="B142" s="8" t="s">
        <v>259</v>
      </c>
      <c r="C142" s="9" t="s">
        <v>71</v>
      </c>
      <c r="D142" s="10">
        <v>1476.6</v>
      </c>
      <c r="E142" s="11">
        <v>44564</v>
      </c>
      <c r="F142" s="10">
        <v>1476.6</v>
      </c>
      <c r="G142" s="12">
        <f>Tabla1[[#This Row],[Importe]]-Tabla1[[#This Row],[Pagado]]</f>
        <v>0</v>
      </c>
      <c r="H142" s="9" t="s">
        <v>10</v>
      </c>
    </row>
    <row r="143" spans="1:11" x14ac:dyDescent="0.25">
      <c r="A143" s="7">
        <v>44564</v>
      </c>
      <c r="B143" s="8" t="s">
        <v>260</v>
      </c>
      <c r="C143" s="9" t="s">
        <v>261</v>
      </c>
      <c r="D143" s="10">
        <v>34145.800000000003</v>
      </c>
      <c r="E143" s="11">
        <v>44564</v>
      </c>
      <c r="F143" s="10">
        <v>34145.800000000003</v>
      </c>
      <c r="G143" s="12">
        <f>Tabla1[[#This Row],[Importe]]-Tabla1[[#This Row],[Pagado]]</f>
        <v>0</v>
      </c>
      <c r="H143" s="9" t="s">
        <v>10</v>
      </c>
    </row>
    <row r="144" spans="1:11" x14ac:dyDescent="0.25">
      <c r="A144" s="7">
        <v>44564</v>
      </c>
      <c r="B144" s="8" t="s">
        <v>262</v>
      </c>
      <c r="C144" s="9" t="s">
        <v>263</v>
      </c>
      <c r="D144" s="10">
        <v>27209</v>
      </c>
      <c r="E144" s="11">
        <v>44579</v>
      </c>
      <c r="F144" s="10">
        <v>27209</v>
      </c>
      <c r="G144" s="12">
        <f>Tabla1[[#This Row],[Importe]]-Tabla1[[#This Row],[Pagado]]</f>
        <v>0</v>
      </c>
      <c r="H144" s="9" t="s">
        <v>10</v>
      </c>
    </row>
    <row r="145" spans="1:8" x14ac:dyDescent="0.25">
      <c r="A145" s="7">
        <v>44564</v>
      </c>
      <c r="B145" s="8" t="s">
        <v>264</v>
      </c>
      <c r="C145" s="9" t="s">
        <v>95</v>
      </c>
      <c r="D145" s="10">
        <v>12740</v>
      </c>
      <c r="E145" s="11">
        <v>44564</v>
      </c>
      <c r="F145" s="10">
        <v>12740</v>
      </c>
      <c r="G145" s="12">
        <f>Tabla1[[#This Row],[Importe]]-Tabla1[[#This Row],[Pagado]]</f>
        <v>0</v>
      </c>
      <c r="H145" s="9" t="s">
        <v>10</v>
      </c>
    </row>
    <row r="146" spans="1:8" x14ac:dyDescent="0.25">
      <c r="A146" s="7">
        <v>44564</v>
      </c>
      <c r="B146" s="8" t="s">
        <v>265</v>
      </c>
      <c r="C146" s="9" t="s">
        <v>266</v>
      </c>
      <c r="D146" s="10">
        <v>4134.3999999999996</v>
      </c>
      <c r="E146" s="11">
        <v>44564</v>
      </c>
      <c r="F146" s="10">
        <v>4134.3999999999996</v>
      </c>
      <c r="G146" s="12">
        <f>Tabla1[[#This Row],[Importe]]-Tabla1[[#This Row],[Pagado]]</f>
        <v>0</v>
      </c>
      <c r="H146" s="9" t="s">
        <v>10</v>
      </c>
    </row>
    <row r="147" spans="1:8" x14ac:dyDescent="0.25">
      <c r="A147" s="7">
        <v>44564</v>
      </c>
      <c r="B147" s="8" t="s">
        <v>267</v>
      </c>
      <c r="C147" s="9" t="s">
        <v>266</v>
      </c>
      <c r="D147" s="10">
        <v>945.2</v>
      </c>
      <c r="E147" s="11">
        <v>44564</v>
      </c>
      <c r="F147" s="10">
        <v>945.2</v>
      </c>
      <c r="G147" s="12">
        <f>Tabla1[[#This Row],[Importe]]-Tabla1[[#This Row],[Pagado]]</f>
        <v>0</v>
      </c>
      <c r="H147" s="9" t="s">
        <v>10</v>
      </c>
    </row>
    <row r="148" spans="1:8" x14ac:dyDescent="0.25">
      <c r="A148" s="7">
        <v>44564</v>
      </c>
      <c r="B148" s="8" t="s">
        <v>268</v>
      </c>
      <c r="C148" s="9" t="s">
        <v>269</v>
      </c>
      <c r="D148" s="10">
        <v>1590.4</v>
      </c>
      <c r="E148" s="11">
        <v>44564</v>
      </c>
      <c r="F148" s="10">
        <v>1590.4</v>
      </c>
      <c r="G148" s="12">
        <f>Tabla1[[#This Row],[Importe]]-Tabla1[[#This Row],[Pagado]]</f>
        <v>0</v>
      </c>
      <c r="H148" s="9" t="s">
        <v>10</v>
      </c>
    </row>
    <row r="149" spans="1:8" x14ac:dyDescent="0.25">
      <c r="A149" s="7">
        <v>44564</v>
      </c>
      <c r="B149" s="8" t="s">
        <v>270</v>
      </c>
      <c r="C149" s="9" t="s">
        <v>271</v>
      </c>
      <c r="D149" s="10">
        <v>15562.8</v>
      </c>
      <c r="E149" s="11">
        <v>44564</v>
      </c>
      <c r="F149" s="10">
        <v>15562.8</v>
      </c>
      <c r="G149" s="12">
        <f>Tabla1[[#This Row],[Importe]]-Tabla1[[#This Row],[Pagado]]</f>
        <v>0</v>
      </c>
      <c r="H149" s="9" t="s">
        <v>10</v>
      </c>
    </row>
    <row r="150" spans="1:8" x14ac:dyDescent="0.25">
      <c r="A150" s="7">
        <v>44564</v>
      </c>
      <c r="B150" s="8" t="s">
        <v>272</v>
      </c>
      <c r="C150" s="9" t="s">
        <v>273</v>
      </c>
      <c r="D150" s="10">
        <v>32641</v>
      </c>
      <c r="E150" s="11">
        <v>44564</v>
      </c>
      <c r="F150" s="10">
        <v>32641</v>
      </c>
      <c r="G150" s="12">
        <f>Tabla1[[#This Row],[Importe]]-Tabla1[[#This Row],[Pagado]]</f>
        <v>0</v>
      </c>
      <c r="H150" s="9" t="s">
        <v>10</v>
      </c>
    </row>
    <row r="151" spans="1:8" x14ac:dyDescent="0.25">
      <c r="A151" s="7">
        <v>44564</v>
      </c>
      <c r="B151" s="8" t="s">
        <v>274</v>
      </c>
      <c r="C151" s="9" t="s">
        <v>275</v>
      </c>
      <c r="D151" s="10">
        <v>68272.13</v>
      </c>
      <c r="E151" s="11">
        <v>44575</v>
      </c>
      <c r="F151" s="10">
        <v>68272.13</v>
      </c>
      <c r="G151" s="12">
        <f>Tabla1[[#This Row],[Importe]]-Tabla1[[#This Row],[Pagado]]</f>
        <v>0</v>
      </c>
      <c r="H151" s="9" t="s">
        <v>10</v>
      </c>
    </row>
    <row r="152" spans="1:8" x14ac:dyDescent="0.25">
      <c r="A152" s="7">
        <v>44564</v>
      </c>
      <c r="B152" s="8" t="s">
        <v>276</v>
      </c>
      <c r="C152" s="9" t="s">
        <v>277</v>
      </c>
      <c r="D152" s="10">
        <v>0</v>
      </c>
      <c r="E152" s="13" t="s">
        <v>189</v>
      </c>
      <c r="F152" s="10">
        <v>0</v>
      </c>
      <c r="G152" s="12">
        <f>Tabla1[[#This Row],[Importe]]-Tabla1[[#This Row],[Pagado]]</f>
        <v>0</v>
      </c>
      <c r="H152" s="9" t="s">
        <v>189</v>
      </c>
    </row>
    <row r="153" spans="1:8" x14ac:dyDescent="0.25">
      <c r="A153" s="7">
        <v>44564</v>
      </c>
      <c r="B153" s="8" t="s">
        <v>278</v>
      </c>
      <c r="C153" s="9" t="s">
        <v>131</v>
      </c>
      <c r="D153" s="10">
        <v>920</v>
      </c>
      <c r="E153" s="11">
        <v>44564</v>
      </c>
      <c r="F153" s="10">
        <v>920</v>
      </c>
      <c r="G153" s="12">
        <f>Tabla1[[#This Row],[Importe]]-Tabla1[[#This Row],[Pagado]]</f>
        <v>0</v>
      </c>
      <c r="H153" s="9" t="s">
        <v>10</v>
      </c>
    </row>
    <row r="154" spans="1:8" x14ac:dyDescent="0.25">
      <c r="A154" s="7">
        <v>44564</v>
      </c>
      <c r="B154" s="8" t="s">
        <v>279</v>
      </c>
      <c r="C154" s="9" t="s">
        <v>280</v>
      </c>
      <c r="D154" s="10">
        <v>880</v>
      </c>
      <c r="E154" s="11">
        <v>44565</v>
      </c>
      <c r="F154" s="10">
        <v>880</v>
      </c>
      <c r="G154" s="12">
        <f>Tabla1[[#This Row],[Importe]]-Tabla1[[#This Row],[Pagado]]</f>
        <v>0</v>
      </c>
      <c r="H154" s="9" t="s">
        <v>10</v>
      </c>
    </row>
    <row r="155" spans="1:8" x14ac:dyDescent="0.25">
      <c r="A155" s="7">
        <v>44564</v>
      </c>
      <c r="B155" s="8" t="s">
        <v>281</v>
      </c>
      <c r="C155" s="9" t="s">
        <v>282</v>
      </c>
      <c r="D155" s="10">
        <v>2870</v>
      </c>
      <c r="E155" s="11">
        <v>44565</v>
      </c>
      <c r="F155" s="10">
        <v>2870</v>
      </c>
      <c r="G155" s="12">
        <f>Tabla1[[#This Row],[Importe]]-Tabla1[[#This Row],[Pagado]]</f>
        <v>0</v>
      </c>
      <c r="H155" s="9" t="s">
        <v>10</v>
      </c>
    </row>
    <row r="156" spans="1:8" x14ac:dyDescent="0.25">
      <c r="A156" s="7">
        <v>44564</v>
      </c>
      <c r="B156" s="8" t="s">
        <v>283</v>
      </c>
      <c r="C156" s="9" t="s">
        <v>284</v>
      </c>
      <c r="D156" s="10">
        <v>5170</v>
      </c>
      <c r="E156" s="11">
        <v>44565</v>
      </c>
      <c r="F156" s="10">
        <v>5170</v>
      </c>
      <c r="G156" s="12">
        <f>Tabla1[[#This Row],[Importe]]-Tabla1[[#This Row],[Pagado]]</f>
        <v>0</v>
      </c>
      <c r="H156" s="9" t="s">
        <v>10</v>
      </c>
    </row>
    <row r="157" spans="1:8" x14ac:dyDescent="0.25">
      <c r="A157" s="7">
        <v>44564</v>
      </c>
      <c r="B157" s="8" t="s">
        <v>285</v>
      </c>
      <c r="C157" s="9" t="s">
        <v>286</v>
      </c>
      <c r="D157" s="10">
        <v>30630.6</v>
      </c>
      <c r="E157" s="11">
        <v>44569</v>
      </c>
      <c r="F157" s="10">
        <v>30630.6</v>
      </c>
      <c r="G157" s="12">
        <f>Tabla1[[#This Row],[Importe]]-Tabla1[[#This Row],[Pagado]]</f>
        <v>0</v>
      </c>
      <c r="H157" s="9" t="s">
        <v>10</v>
      </c>
    </row>
    <row r="158" spans="1:8" x14ac:dyDescent="0.25">
      <c r="A158" s="7">
        <v>44564</v>
      </c>
      <c r="B158" s="8" t="s">
        <v>287</v>
      </c>
      <c r="C158" s="9" t="s">
        <v>31</v>
      </c>
      <c r="D158" s="10">
        <v>22</v>
      </c>
      <c r="E158" s="11">
        <v>44564</v>
      </c>
      <c r="F158" s="10">
        <v>22</v>
      </c>
      <c r="G158" s="12">
        <f>Tabla1[[#This Row],[Importe]]-Tabla1[[#This Row],[Pagado]]</f>
        <v>0</v>
      </c>
      <c r="H158" s="9" t="s">
        <v>10</v>
      </c>
    </row>
    <row r="159" spans="1:8" x14ac:dyDescent="0.25">
      <c r="A159" s="7">
        <v>44564</v>
      </c>
      <c r="B159" s="8" t="s">
        <v>288</v>
      </c>
      <c r="C159" s="9" t="s">
        <v>289</v>
      </c>
      <c r="D159" s="10">
        <v>7620</v>
      </c>
      <c r="E159" s="11">
        <v>44564</v>
      </c>
      <c r="F159" s="10">
        <v>7620</v>
      </c>
      <c r="G159" s="12">
        <f>Tabla1[[#This Row],[Importe]]-Tabla1[[#This Row],[Pagado]]</f>
        <v>0</v>
      </c>
      <c r="H159" s="9" t="s">
        <v>10</v>
      </c>
    </row>
    <row r="160" spans="1:8" x14ac:dyDescent="0.25">
      <c r="A160" s="7">
        <v>44564</v>
      </c>
      <c r="B160" s="8" t="s">
        <v>290</v>
      </c>
      <c r="C160" s="9" t="s">
        <v>291</v>
      </c>
      <c r="D160" s="10">
        <v>4035.8</v>
      </c>
      <c r="E160" s="11">
        <v>44565</v>
      </c>
      <c r="F160" s="10">
        <v>4035.8</v>
      </c>
      <c r="G160" s="12">
        <f>Tabla1[[#This Row],[Importe]]-Tabla1[[#This Row],[Pagado]]</f>
        <v>0</v>
      </c>
      <c r="H160" s="9" t="s">
        <v>10</v>
      </c>
    </row>
    <row r="161" spans="1:8" x14ac:dyDescent="0.25">
      <c r="A161" s="7">
        <v>44564</v>
      </c>
      <c r="B161" s="8" t="s">
        <v>292</v>
      </c>
      <c r="C161" s="9" t="s">
        <v>196</v>
      </c>
      <c r="D161" s="10">
        <v>6166.9</v>
      </c>
      <c r="E161" s="11">
        <v>44568</v>
      </c>
      <c r="F161" s="10">
        <v>6166.9</v>
      </c>
      <c r="G161" s="12">
        <f>Tabla1[[#This Row],[Importe]]-Tabla1[[#This Row],[Pagado]]</f>
        <v>0</v>
      </c>
      <c r="H161" s="9" t="s">
        <v>10</v>
      </c>
    </row>
    <row r="162" spans="1:8" x14ac:dyDescent="0.25">
      <c r="A162" s="7">
        <v>44564</v>
      </c>
      <c r="B162" s="8" t="s">
        <v>293</v>
      </c>
      <c r="C162" s="9" t="s">
        <v>31</v>
      </c>
      <c r="D162" s="10">
        <v>25</v>
      </c>
      <c r="E162" s="11">
        <v>44564</v>
      </c>
      <c r="F162" s="10">
        <v>25</v>
      </c>
      <c r="G162" s="12">
        <f>Tabla1[[#This Row],[Importe]]-Tabla1[[#This Row],[Pagado]]</f>
        <v>0</v>
      </c>
      <c r="H162" s="9" t="s">
        <v>10</v>
      </c>
    </row>
    <row r="163" spans="1:8" x14ac:dyDescent="0.25">
      <c r="A163" s="7">
        <v>44564</v>
      </c>
      <c r="B163" s="8" t="s">
        <v>294</v>
      </c>
      <c r="C163" s="9" t="s">
        <v>263</v>
      </c>
      <c r="D163" s="10">
        <v>15531.2</v>
      </c>
      <c r="E163" s="11">
        <v>44579</v>
      </c>
      <c r="F163" s="10">
        <v>15531.2</v>
      </c>
      <c r="G163" s="12">
        <f>Tabla1[[#This Row],[Importe]]-Tabla1[[#This Row],[Pagado]]</f>
        <v>0</v>
      </c>
      <c r="H163" s="9" t="s">
        <v>10</v>
      </c>
    </row>
    <row r="164" spans="1:8" x14ac:dyDescent="0.25">
      <c r="A164" s="7">
        <v>44564</v>
      </c>
      <c r="B164" s="8" t="s">
        <v>295</v>
      </c>
      <c r="C164" s="9" t="s">
        <v>296</v>
      </c>
      <c r="D164" s="10">
        <v>945</v>
      </c>
      <c r="E164" s="11">
        <v>44564</v>
      </c>
      <c r="F164" s="10">
        <v>945</v>
      </c>
      <c r="G164" s="12">
        <f>Tabla1[[#This Row],[Importe]]-Tabla1[[#This Row],[Pagado]]</f>
        <v>0</v>
      </c>
      <c r="H164" s="9" t="s">
        <v>10</v>
      </c>
    </row>
    <row r="165" spans="1:8" x14ac:dyDescent="0.25">
      <c r="A165" s="7">
        <v>44564</v>
      </c>
      <c r="B165" s="8" t="s">
        <v>297</v>
      </c>
      <c r="C165" s="9" t="s">
        <v>298</v>
      </c>
      <c r="D165" s="10">
        <v>1428</v>
      </c>
      <c r="E165" s="11">
        <v>44564</v>
      </c>
      <c r="F165" s="10">
        <v>1428</v>
      </c>
      <c r="G165" s="12">
        <f>Tabla1[[#This Row],[Importe]]-Tabla1[[#This Row],[Pagado]]</f>
        <v>0</v>
      </c>
      <c r="H165" s="9" t="s">
        <v>10</v>
      </c>
    </row>
    <row r="166" spans="1:8" x14ac:dyDescent="0.25">
      <c r="A166" s="7">
        <v>44564</v>
      </c>
      <c r="B166" s="8" t="s">
        <v>299</v>
      </c>
      <c r="C166" s="9" t="s">
        <v>53</v>
      </c>
      <c r="D166" s="10">
        <v>1025.0999999999999</v>
      </c>
      <c r="E166" s="11">
        <v>44564</v>
      </c>
      <c r="F166" s="10">
        <v>1025.0999999999999</v>
      </c>
      <c r="G166" s="12">
        <f>Tabla1[[#This Row],[Importe]]-Tabla1[[#This Row],[Pagado]]</f>
        <v>0</v>
      </c>
      <c r="H166" s="9" t="s">
        <v>10</v>
      </c>
    </row>
    <row r="167" spans="1:8" x14ac:dyDescent="0.25">
      <c r="A167" s="7">
        <v>44564</v>
      </c>
      <c r="B167" s="8" t="s">
        <v>300</v>
      </c>
      <c r="C167" s="9" t="s">
        <v>301</v>
      </c>
      <c r="D167" s="10">
        <v>17097.599999999999</v>
      </c>
      <c r="E167" s="11">
        <v>44564</v>
      </c>
      <c r="F167" s="10">
        <v>17097.599999999999</v>
      </c>
      <c r="G167" s="12">
        <f>Tabla1[[#This Row],[Importe]]-Tabla1[[#This Row],[Pagado]]</f>
        <v>0</v>
      </c>
      <c r="H167" s="9" t="s">
        <v>10</v>
      </c>
    </row>
    <row r="168" spans="1:8" x14ac:dyDescent="0.25">
      <c r="A168" s="7">
        <v>44564</v>
      </c>
      <c r="B168" s="8" t="s">
        <v>302</v>
      </c>
      <c r="C168" s="9" t="s">
        <v>303</v>
      </c>
      <c r="D168" s="10">
        <v>29159.4</v>
      </c>
      <c r="E168" s="11">
        <v>44571</v>
      </c>
      <c r="F168" s="10">
        <v>29159.4</v>
      </c>
      <c r="G168" s="12">
        <f>Tabla1[[#This Row],[Importe]]-Tabla1[[#This Row],[Pagado]]</f>
        <v>0</v>
      </c>
      <c r="H168" s="9" t="s">
        <v>10</v>
      </c>
    </row>
    <row r="169" spans="1:8" x14ac:dyDescent="0.25">
      <c r="A169" s="7">
        <v>44564</v>
      </c>
      <c r="B169" s="8" t="s">
        <v>304</v>
      </c>
      <c r="C169" s="9" t="s">
        <v>269</v>
      </c>
      <c r="D169" s="10">
        <v>1523.8</v>
      </c>
      <c r="E169" s="11">
        <v>44564</v>
      </c>
      <c r="F169" s="10">
        <v>1523.8</v>
      </c>
      <c r="G169" s="12">
        <f>Tabla1[[#This Row],[Importe]]-Tabla1[[#This Row],[Pagado]]</f>
        <v>0</v>
      </c>
      <c r="H169" s="9" t="s">
        <v>10</v>
      </c>
    </row>
    <row r="170" spans="1:8" x14ac:dyDescent="0.25">
      <c r="A170" s="7">
        <v>44564</v>
      </c>
      <c r="B170" s="8" t="s">
        <v>305</v>
      </c>
      <c r="C170" s="9" t="s">
        <v>31</v>
      </c>
      <c r="D170" s="10">
        <v>35</v>
      </c>
      <c r="E170" s="11">
        <v>44565</v>
      </c>
      <c r="F170" s="10">
        <v>35</v>
      </c>
      <c r="G170" s="12">
        <f>Tabla1[[#This Row],[Importe]]-Tabla1[[#This Row],[Pagado]]</f>
        <v>0</v>
      </c>
      <c r="H170" s="9" t="s">
        <v>10</v>
      </c>
    </row>
    <row r="171" spans="1:8" x14ac:dyDescent="0.25">
      <c r="A171" s="7">
        <v>44564</v>
      </c>
      <c r="B171" s="8" t="s">
        <v>306</v>
      </c>
      <c r="C171" s="9" t="s">
        <v>31</v>
      </c>
      <c r="D171" s="10">
        <v>182</v>
      </c>
      <c r="E171" s="11">
        <v>44565</v>
      </c>
      <c r="F171" s="10">
        <v>182</v>
      </c>
      <c r="G171" s="12">
        <f>Tabla1[[#This Row],[Importe]]-Tabla1[[#This Row],[Pagado]]</f>
        <v>0</v>
      </c>
      <c r="H171" s="9" t="s">
        <v>10</v>
      </c>
    </row>
    <row r="172" spans="1:8" x14ac:dyDescent="0.25">
      <c r="A172" s="7">
        <v>44565</v>
      </c>
      <c r="B172" s="8" t="s">
        <v>307</v>
      </c>
      <c r="C172" s="9" t="s">
        <v>75</v>
      </c>
      <c r="D172" s="10">
        <v>6795</v>
      </c>
      <c r="E172" s="11">
        <v>44565</v>
      </c>
      <c r="F172" s="10">
        <v>6795</v>
      </c>
      <c r="G172" s="12">
        <f>Tabla1[[#This Row],[Importe]]-Tabla1[[#This Row],[Pagado]]</f>
        <v>0</v>
      </c>
      <c r="H172" s="9" t="s">
        <v>10</v>
      </c>
    </row>
    <row r="173" spans="1:8" x14ac:dyDescent="0.25">
      <c r="A173" s="7">
        <v>44565</v>
      </c>
      <c r="B173" s="8" t="s">
        <v>308</v>
      </c>
      <c r="C173" s="9" t="s">
        <v>83</v>
      </c>
      <c r="D173" s="10">
        <v>4472</v>
      </c>
      <c r="E173" s="11">
        <v>44565</v>
      </c>
      <c r="F173" s="10">
        <v>4472</v>
      </c>
      <c r="G173" s="12">
        <f>Tabla1[[#This Row],[Importe]]-Tabla1[[#This Row],[Pagado]]</f>
        <v>0</v>
      </c>
      <c r="H173" s="9" t="s">
        <v>10</v>
      </c>
    </row>
    <row r="174" spans="1:8" x14ac:dyDescent="0.25">
      <c r="A174" s="7">
        <v>44565</v>
      </c>
      <c r="B174" s="8" t="s">
        <v>309</v>
      </c>
      <c r="C174" s="9" t="s">
        <v>198</v>
      </c>
      <c r="D174" s="10">
        <v>1597</v>
      </c>
      <c r="E174" s="11">
        <v>44565</v>
      </c>
      <c r="F174" s="10">
        <v>1597</v>
      </c>
      <c r="G174" s="12">
        <f>Tabla1[[#This Row],[Importe]]-Tabla1[[#This Row],[Pagado]]</f>
        <v>0</v>
      </c>
      <c r="H174" s="9" t="s">
        <v>10</v>
      </c>
    </row>
    <row r="175" spans="1:8" x14ac:dyDescent="0.25">
      <c r="A175" s="7">
        <v>44565</v>
      </c>
      <c r="B175" s="8" t="s">
        <v>310</v>
      </c>
      <c r="C175" s="9" t="s">
        <v>85</v>
      </c>
      <c r="D175" s="10">
        <v>1482.4</v>
      </c>
      <c r="E175" s="11">
        <v>44565</v>
      </c>
      <c r="F175" s="10">
        <v>1482.4</v>
      </c>
      <c r="G175" s="12">
        <f>Tabla1[[#This Row],[Importe]]-Tabla1[[#This Row],[Pagado]]</f>
        <v>0</v>
      </c>
      <c r="H175" s="9" t="s">
        <v>10</v>
      </c>
    </row>
    <row r="176" spans="1:8" x14ac:dyDescent="0.25">
      <c r="A176" s="7">
        <v>44565</v>
      </c>
      <c r="B176" s="8" t="s">
        <v>311</v>
      </c>
      <c r="C176" s="9" t="s">
        <v>312</v>
      </c>
      <c r="D176" s="10">
        <v>3841.2</v>
      </c>
      <c r="E176" s="11">
        <v>44565</v>
      </c>
      <c r="F176" s="10">
        <v>3841.2</v>
      </c>
      <c r="G176" s="12">
        <f>Tabla1[[#This Row],[Importe]]-Tabla1[[#This Row],[Pagado]]</f>
        <v>0</v>
      </c>
      <c r="H176" s="9" t="s">
        <v>10</v>
      </c>
    </row>
    <row r="177" spans="1:8" x14ac:dyDescent="0.25">
      <c r="A177" s="7">
        <v>44565</v>
      </c>
      <c r="B177" s="8" t="s">
        <v>313</v>
      </c>
      <c r="C177" s="9" t="s">
        <v>314</v>
      </c>
      <c r="D177" s="10">
        <v>1865</v>
      </c>
      <c r="E177" s="11">
        <v>44565</v>
      </c>
      <c r="F177" s="10">
        <v>1865</v>
      </c>
      <c r="G177" s="12">
        <f>Tabla1[[#This Row],[Importe]]-Tabla1[[#This Row],[Pagado]]</f>
        <v>0</v>
      </c>
      <c r="H177" s="9" t="s">
        <v>10</v>
      </c>
    </row>
    <row r="178" spans="1:8" x14ac:dyDescent="0.25">
      <c r="A178" s="7">
        <v>44565</v>
      </c>
      <c r="B178" s="8" t="s">
        <v>315</v>
      </c>
      <c r="C178" s="9" t="s">
        <v>12</v>
      </c>
      <c r="D178" s="10">
        <v>30738.1</v>
      </c>
      <c r="E178" s="11">
        <v>44565</v>
      </c>
      <c r="F178" s="10">
        <v>30738.1</v>
      </c>
      <c r="G178" s="12">
        <f>Tabla1[[#This Row],[Importe]]-Tabla1[[#This Row],[Pagado]]</f>
        <v>0</v>
      </c>
      <c r="H178" s="9" t="s">
        <v>10</v>
      </c>
    </row>
    <row r="179" spans="1:8" x14ac:dyDescent="0.25">
      <c r="A179" s="7">
        <v>44565</v>
      </c>
      <c r="B179" s="8" t="s">
        <v>316</v>
      </c>
      <c r="C179" s="9" t="s">
        <v>87</v>
      </c>
      <c r="D179" s="10">
        <v>2440</v>
      </c>
      <c r="E179" s="11">
        <v>44565</v>
      </c>
      <c r="F179" s="10">
        <v>2440</v>
      </c>
      <c r="G179" s="12">
        <f>Tabla1[[#This Row],[Importe]]-Tabla1[[#This Row],[Pagado]]</f>
        <v>0</v>
      </c>
      <c r="H179" s="9" t="s">
        <v>10</v>
      </c>
    </row>
    <row r="180" spans="1:8" x14ac:dyDescent="0.25">
      <c r="A180" s="7">
        <v>44565</v>
      </c>
      <c r="B180" s="8" t="s">
        <v>317</v>
      </c>
      <c r="C180" s="9" t="s">
        <v>157</v>
      </c>
      <c r="D180" s="10">
        <v>3065.4</v>
      </c>
      <c r="E180" s="11">
        <v>44566</v>
      </c>
      <c r="F180" s="10">
        <v>3065.4</v>
      </c>
      <c r="G180" s="12">
        <f>Tabla1[[#This Row],[Importe]]-Tabla1[[#This Row],[Pagado]]</f>
        <v>0</v>
      </c>
      <c r="H180" s="9" t="s">
        <v>10</v>
      </c>
    </row>
    <row r="181" spans="1:8" x14ac:dyDescent="0.25">
      <c r="A181" s="7">
        <v>44565</v>
      </c>
      <c r="B181" s="8" t="s">
        <v>318</v>
      </c>
      <c r="C181" s="9" t="s">
        <v>319</v>
      </c>
      <c r="D181" s="10">
        <v>3024.8</v>
      </c>
      <c r="E181" s="11">
        <v>44566</v>
      </c>
      <c r="F181" s="10">
        <v>3024.8</v>
      </c>
      <c r="G181" s="12">
        <f>Tabla1[[#This Row],[Importe]]-Tabla1[[#This Row],[Pagado]]</f>
        <v>0</v>
      </c>
      <c r="H181" s="9" t="s">
        <v>10</v>
      </c>
    </row>
    <row r="182" spans="1:8" x14ac:dyDescent="0.25">
      <c r="A182" s="7">
        <v>44565</v>
      </c>
      <c r="B182" s="8" t="s">
        <v>320</v>
      </c>
      <c r="C182" s="9" t="s">
        <v>79</v>
      </c>
      <c r="D182" s="10">
        <v>4690</v>
      </c>
      <c r="E182" s="11">
        <v>44566</v>
      </c>
      <c r="F182" s="10">
        <v>4690</v>
      </c>
      <c r="G182" s="12">
        <f>Tabla1[[#This Row],[Importe]]-Tabla1[[#This Row],[Pagado]]</f>
        <v>0</v>
      </c>
      <c r="H182" s="9" t="s">
        <v>10</v>
      </c>
    </row>
    <row r="183" spans="1:8" x14ac:dyDescent="0.25">
      <c r="A183" s="7">
        <v>44565</v>
      </c>
      <c r="B183" s="8" t="s">
        <v>321</v>
      </c>
      <c r="C183" s="9" t="s">
        <v>79</v>
      </c>
      <c r="D183" s="10">
        <v>1560</v>
      </c>
      <c r="E183" s="11">
        <v>44566</v>
      </c>
      <c r="F183" s="10">
        <v>1560</v>
      </c>
      <c r="G183" s="12">
        <f>Tabla1[[#This Row],[Importe]]-Tabla1[[#This Row],[Pagado]]</f>
        <v>0</v>
      </c>
      <c r="H183" s="9" t="s">
        <v>10</v>
      </c>
    </row>
    <row r="184" spans="1:8" x14ac:dyDescent="0.25">
      <c r="A184" s="7">
        <v>44565</v>
      </c>
      <c r="B184" s="8" t="s">
        <v>322</v>
      </c>
      <c r="C184" s="9" t="s">
        <v>105</v>
      </c>
      <c r="D184" s="10">
        <v>4136</v>
      </c>
      <c r="E184" s="11">
        <v>44566</v>
      </c>
      <c r="F184" s="10">
        <v>4136</v>
      </c>
      <c r="G184" s="12">
        <f>Tabla1[[#This Row],[Importe]]-Tabla1[[#This Row],[Pagado]]</f>
        <v>0</v>
      </c>
      <c r="H184" s="9" t="s">
        <v>10</v>
      </c>
    </row>
    <row r="185" spans="1:8" x14ac:dyDescent="0.25">
      <c r="A185" s="7">
        <v>44565</v>
      </c>
      <c r="B185" s="8" t="s">
        <v>323</v>
      </c>
      <c r="C185" s="9" t="s">
        <v>18</v>
      </c>
      <c r="D185" s="10">
        <v>1559.4</v>
      </c>
      <c r="E185" s="11">
        <v>44565</v>
      </c>
      <c r="F185" s="10">
        <v>1559.4</v>
      </c>
      <c r="G185" s="12">
        <f>Tabla1[[#This Row],[Importe]]-Tabla1[[#This Row],[Pagado]]</f>
        <v>0</v>
      </c>
      <c r="H185" s="9" t="s">
        <v>10</v>
      </c>
    </row>
    <row r="186" spans="1:8" x14ac:dyDescent="0.25">
      <c r="A186" s="7">
        <v>44565</v>
      </c>
      <c r="B186" s="8" t="s">
        <v>324</v>
      </c>
      <c r="C186" s="9" t="s">
        <v>118</v>
      </c>
      <c r="D186" s="10">
        <v>5045.6000000000004</v>
      </c>
      <c r="E186" s="11">
        <v>44565</v>
      </c>
      <c r="F186" s="10">
        <v>5045.6000000000004</v>
      </c>
      <c r="G186" s="12">
        <f>Tabla1[[#This Row],[Importe]]-Tabla1[[#This Row],[Pagado]]</f>
        <v>0</v>
      </c>
      <c r="H186" s="9" t="s">
        <v>10</v>
      </c>
    </row>
    <row r="187" spans="1:8" x14ac:dyDescent="0.25">
      <c r="A187" s="7">
        <v>44565</v>
      </c>
      <c r="B187" s="8" t="s">
        <v>325</v>
      </c>
      <c r="C187" s="9" t="s">
        <v>326</v>
      </c>
      <c r="D187" s="10">
        <v>8486.5</v>
      </c>
      <c r="E187" s="11">
        <v>44566</v>
      </c>
      <c r="F187" s="10">
        <v>8486.5</v>
      </c>
      <c r="G187" s="12">
        <f>Tabla1[[#This Row],[Importe]]-Tabla1[[#This Row],[Pagado]]</f>
        <v>0</v>
      </c>
      <c r="H187" s="9" t="s">
        <v>10</v>
      </c>
    </row>
    <row r="188" spans="1:8" x14ac:dyDescent="0.25">
      <c r="A188" s="7">
        <v>44565</v>
      </c>
      <c r="B188" s="8" t="s">
        <v>327</v>
      </c>
      <c r="C188" s="9" t="s">
        <v>109</v>
      </c>
      <c r="D188" s="10">
        <v>4515.5</v>
      </c>
      <c r="E188" s="11">
        <v>44566</v>
      </c>
      <c r="F188" s="10">
        <v>4515.5</v>
      </c>
      <c r="G188" s="12">
        <f>Tabla1[[#This Row],[Importe]]-Tabla1[[#This Row],[Pagado]]</f>
        <v>0</v>
      </c>
      <c r="H188" s="9" t="s">
        <v>10</v>
      </c>
    </row>
    <row r="189" spans="1:8" x14ac:dyDescent="0.25">
      <c r="A189" s="7">
        <v>44565</v>
      </c>
      <c r="B189" s="8" t="s">
        <v>328</v>
      </c>
      <c r="C189" s="9" t="s">
        <v>111</v>
      </c>
      <c r="D189" s="10">
        <v>3993</v>
      </c>
      <c r="E189" s="11">
        <v>44566</v>
      </c>
      <c r="F189" s="10">
        <v>3993</v>
      </c>
      <c r="G189" s="12">
        <f>Tabla1[[#This Row],[Importe]]-Tabla1[[#This Row],[Pagado]]</f>
        <v>0</v>
      </c>
      <c r="H189" s="9" t="s">
        <v>10</v>
      </c>
    </row>
    <row r="190" spans="1:8" x14ac:dyDescent="0.25">
      <c r="A190" s="7">
        <v>44565</v>
      </c>
      <c r="B190" s="8" t="s">
        <v>329</v>
      </c>
      <c r="C190" s="9" t="s">
        <v>60</v>
      </c>
      <c r="D190" s="10">
        <v>3670.8</v>
      </c>
      <c r="E190" s="11">
        <v>44568</v>
      </c>
      <c r="F190" s="10">
        <v>3670.8</v>
      </c>
      <c r="G190" s="12">
        <f>Tabla1[[#This Row],[Importe]]-Tabla1[[#This Row],[Pagado]]</f>
        <v>0</v>
      </c>
      <c r="H190" s="9" t="s">
        <v>10</v>
      </c>
    </row>
    <row r="191" spans="1:8" x14ac:dyDescent="0.25">
      <c r="A191" s="7">
        <v>44565</v>
      </c>
      <c r="B191" s="8" t="s">
        <v>330</v>
      </c>
      <c r="C191" s="9" t="s">
        <v>64</v>
      </c>
      <c r="D191" s="10">
        <v>3836.1</v>
      </c>
      <c r="E191" s="11">
        <v>44567</v>
      </c>
      <c r="F191" s="10">
        <v>3836.1</v>
      </c>
      <c r="G191" s="12">
        <f>Tabla1[[#This Row],[Importe]]-Tabla1[[#This Row],[Pagado]]</f>
        <v>0</v>
      </c>
      <c r="H191" s="9" t="s">
        <v>10</v>
      </c>
    </row>
    <row r="192" spans="1:8" x14ac:dyDescent="0.25">
      <c r="A192" s="7">
        <v>44565</v>
      </c>
      <c r="B192" s="8" t="s">
        <v>331</v>
      </c>
      <c r="C192" s="9" t="s">
        <v>114</v>
      </c>
      <c r="D192" s="10">
        <v>4004</v>
      </c>
      <c r="E192" s="11">
        <v>44568</v>
      </c>
      <c r="F192" s="10">
        <v>4004</v>
      </c>
      <c r="G192" s="12">
        <f>Tabla1[[#This Row],[Importe]]-Tabla1[[#This Row],[Pagado]]</f>
        <v>0</v>
      </c>
      <c r="H192" s="9" t="s">
        <v>10</v>
      </c>
    </row>
    <row r="193" spans="1:8" x14ac:dyDescent="0.25">
      <c r="A193" s="7">
        <v>44565</v>
      </c>
      <c r="B193" s="8" t="s">
        <v>332</v>
      </c>
      <c r="C193" s="9" t="s">
        <v>333</v>
      </c>
      <c r="D193" s="10">
        <v>272.39999999999998</v>
      </c>
      <c r="E193" s="11">
        <v>44565</v>
      </c>
      <c r="F193" s="10">
        <v>272.39999999999998</v>
      </c>
      <c r="G193" s="12">
        <f>Tabla1[[#This Row],[Importe]]-Tabla1[[#This Row],[Pagado]]</f>
        <v>0</v>
      </c>
      <c r="H193" s="9" t="s">
        <v>10</v>
      </c>
    </row>
    <row r="194" spans="1:8" x14ac:dyDescent="0.25">
      <c r="A194" s="7">
        <v>44565</v>
      </c>
      <c r="B194" s="8" t="s">
        <v>334</v>
      </c>
      <c r="C194" s="9" t="s">
        <v>107</v>
      </c>
      <c r="D194" s="10">
        <v>8304.9</v>
      </c>
      <c r="E194" s="11">
        <v>44565</v>
      </c>
      <c r="F194" s="10">
        <v>8304.9</v>
      </c>
      <c r="G194" s="12">
        <f>Tabla1[[#This Row],[Importe]]-Tabla1[[#This Row],[Pagado]]</f>
        <v>0</v>
      </c>
      <c r="H194" s="9" t="s">
        <v>10</v>
      </c>
    </row>
    <row r="195" spans="1:8" x14ac:dyDescent="0.25">
      <c r="A195" s="7">
        <v>44565</v>
      </c>
      <c r="B195" s="8" t="s">
        <v>335</v>
      </c>
      <c r="C195" s="9" t="s">
        <v>125</v>
      </c>
      <c r="D195" s="10">
        <v>4052.4</v>
      </c>
      <c r="E195" s="11">
        <v>44565</v>
      </c>
      <c r="F195" s="10">
        <v>4052.4</v>
      </c>
      <c r="G195" s="12">
        <f>Tabla1[[#This Row],[Importe]]-Tabla1[[#This Row],[Pagado]]</f>
        <v>0</v>
      </c>
      <c r="H195" s="9" t="s">
        <v>10</v>
      </c>
    </row>
    <row r="196" spans="1:8" x14ac:dyDescent="0.25">
      <c r="A196" s="7">
        <v>44565</v>
      </c>
      <c r="B196" s="8" t="s">
        <v>336</v>
      </c>
      <c r="C196" s="9" t="s">
        <v>131</v>
      </c>
      <c r="D196" s="10">
        <v>9960</v>
      </c>
      <c r="E196" s="11">
        <v>44565</v>
      </c>
      <c r="F196" s="10">
        <v>9960</v>
      </c>
      <c r="G196" s="12">
        <f>Tabla1[[#This Row],[Importe]]-Tabla1[[#This Row],[Pagado]]</f>
        <v>0</v>
      </c>
      <c r="H196" s="9" t="s">
        <v>10</v>
      </c>
    </row>
    <row r="197" spans="1:8" x14ac:dyDescent="0.25">
      <c r="A197" s="7">
        <v>44565</v>
      </c>
      <c r="B197" s="8" t="s">
        <v>337</v>
      </c>
      <c r="C197" s="9" t="s">
        <v>39</v>
      </c>
      <c r="D197" s="10">
        <v>15522.8</v>
      </c>
      <c r="E197" s="11">
        <v>44567</v>
      </c>
      <c r="F197" s="10">
        <v>15522.8</v>
      </c>
      <c r="G197" s="12">
        <f>Tabla1[[#This Row],[Importe]]-Tabla1[[#This Row],[Pagado]]</f>
        <v>0</v>
      </c>
      <c r="H197" s="9" t="s">
        <v>10</v>
      </c>
    </row>
    <row r="198" spans="1:8" x14ac:dyDescent="0.25">
      <c r="A198" s="7">
        <v>44565</v>
      </c>
      <c r="B198" s="8" t="s">
        <v>338</v>
      </c>
      <c r="C198" s="9" t="s">
        <v>339</v>
      </c>
      <c r="D198" s="10">
        <v>873</v>
      </c>
      <c r="E198" s="11">
        <v>44565</v>
      </c>
      <c r="F198" s="10">
        <v>873</v>
      </c>
      <c r="G198" s="12">
        <f>Tabla1[[#This Row],[Importe]]-Tabla1[[#This Row],[Pagado]]</f>
        <v>0</v>
      </c>
      <c r="H198" s="9" t="s">
        <v>10</v>
      </c>
    </row>
    <row r="199" spans="1:8" x14ac:dyDescent="0.25">
      <c r="A199" s="7">
        <v>44565</v>
      </c>
      <c r="B199" s="8" t="s">
        <v>340</v>
      </c>
      <c r="C199" s="9" t="s">
        <v>9</v>
      </c>
      <c r="D199" s="10">
        <v>4521</v>
      </c>
      <c r="E199" s="11">
        <v>44565</v>
      </c>
      <c r="F199" s="10">
        <v>4521</v>
      </c>
      <c r="G199" s="12">
        <f>Tabla1[[#This Row],[Importe]]-Tabla1[[#This Row],[Pagado]]</f>
        <v>0</v>
      </c>
      <c r="H199" s="9" t="s">
        <v>10</v>
      </c>
    </row>
    <row r="200" spans="1:8" x14ac:dyDescent="0.25">
      <c r="A200" s="7">
        <v>44565</v>
      </c>
      <c r="B200" s="8" t="s">
        <v>341</v>
      </c>
      <c r="C200" s="9" t="s">
        <v>89</v>
      </c>
      <c r="D200" s="10">
        <v>4284</v>
      </c>
      <c r="E200" s="11">
        <v>44566</v>
      </c>
      <c r="F200" s="10">
        <v>4284</v>
      </c>
      <c r="G200" s="12">
        <f>Tabla1[[#This Row],[Importe]]-Tabla1[[#This Row],[Pagado]]</f>
        <v>0</v>
      </c>
      <c r="H200" s="9" t="s">
        <v>10</v>
      </c>
    </row>
    <row r="201" spans="1:8" x14ac:dyDescent="0.25">
      <c r="A201" s="7">
        <v>44565</v>
      </c>
      <c r="B201" s="8" t="s">
        <v>342</v>
      </c>
      <c r="C201" s="9" t="s">
        <v>22</v>
      </c>
      <c r="D201" s="10">
        <v>41332.9</v>
      </c>
      <c r="E201" s="11">
        <v>44566</v>
      </c>
      <c r="F201" s="10">
        <v>41332.9</v>
      </c>
      <c r="G201" s="12">
        <f>Tabla1[[#This Row],[Importe]]-Tabla1[[#This Row],[Pagado]]</f>
        <v>0</v>
      </c>
      <c r="H201" s="9" t="s">
        <v>10</v>
      </c>
    </row>
    <row r="202" spans="1:8" x14ac:dyDescent="0.25">
      <c r="A202" s="7">
        <v>44565</v>
      </c>
      <c r="B202" s="8" t="s">
        <v>343</v>
      </c>
      <c r="C202" s="9" t="s">
        <v>97</v>
      </c>
      <c r="D202" s="10">
        <v>6551.4</v>
      </c>
      <c r="E202" s="11">
        <v>44566</v>
      </c>
      <c r="F202" s="10">
        <v>6551.4</v>
      </c>
      <c r="G202" s="12">
        <f>Tabla1[[#This Row],[Importe]]-Tabla1[[#This Row],[Pagado]]</f>
        <v>0</v>
      </c>
      <c r="H202" s="9" t="s">
        <v>10</v>
      </c>
    </row>
    <row r="203" spans="1:8" x14ac:dyDescent="0.25">
      <c r="A203" s="7">
        <v>44565</v>
      </c>
      <c r="B203" s="8" t="s">
        <v>344</v>
      </c>
      <c r="C203" s="9" t="s">
        <v>345</v>
      </c>
      <c r="D203" s="10">
        <v>910</v>
      </c>
      <c r="E203" s="11">
        <v>44565</v>
      </c>
      <c r="F203" s="10">
        <v>910</v>
      </c>
      <c r="G203" s="12">
        <f>Tabla1[[#This Row],[Importe]]-Tabla1[[#This Row],[Pagado]]</f>
        <v>0</v>
      </c>
      <c r="H203" s="9" t="s">
        <v>10</v>
      </c>
    </row>
    <row r="204" spans="1:8" x14ac:dyDescent="0.25">
      <c r="A204" s="7">
        <v>44565</v>
      </c>
      <c r="B204" s="8" t="s">
        <v>346</v>
      </c>
      <c r="C204" s="9" t="s">
        <v>93</v>
      </c>
      <c r="D204" s="10">
        <v>5503</v>
      </c>
      <c r="E204" s="11">
        <v>44566</v>
      </c>
      <c r="F204" s="10">
        <v>5503</v>
      </c>
      <c r="G204" s="12">
        <f>Tabla1[[#This Row],[Importe]]-Tabla1[[#This Row],[Pagado]]</f>
        <v>0</v>
      </c>
      <c r="H204" s="9" t="s">
        <v>10</v>
      </c>
    </row>
    <row r="205" spans="1:8" x14ac:dyDescent="0.25">
      <c r="A205" s="7">
        <v>44565</v>
      </c>
      <c r="B205" s="8" t="s">
        <v>347</v>
      </c>
      <c r="C205" s="9" t="s">
        <v>348</v>
      </c>
      <c r="D205" s="10">
        <v>1990</v>
      </c>
      <c r="E205" s="11">
        <v>44565</v>
      </c>
      <c r="F205" s="10">
        <v>1990</v>
      </c>
      <c r="G205" s="12">
        <f>Tabla1[[#This Row],[Importe]]-Tabla1[[#This Row],[Pagado]]</f>
        <v>0</v>
      </c>
      <c r="H205" s="9" t="s">
        <v>10</v>
      </c>
    </row>
    <row r="206" spans="1:8" x14ac:dyDescent="0.25">
      <c r="A206" s="7">
        <v>44565</v>
      </c>
      <c r="B206" s="8" t="s">
        <v>349</v>
      </c>
      <c r="C206" s="9" t="s">
        <v>350</v>
      </c>
      <c r="D206" s="10">
        <v>0</v>
      </c>
      <c r="E206" s="13" t="s">
        <v>189</v>
      </c>
      <c r="F206" s="10">
        <v>0</v>
      </c>
      <c r="G206" s="12">
        <f>Tabla1[[#This Row],[Importe]]-Tabla1[[#This Row],[Pagado]]</f>
        <v>0</v>
      </c>
      <c r="H206" s="17" t="s">
        <v>351</v>
      </c>
    </row>
    <row r="207" spans="1:8" x14ac:dyDescent="0.25">
      <c r="A207" s="7">
        <v>44565</v>
      </c>
      <c r="B207" s="8" t="s">
        <v>352</v>
      </c>
      <c r="C207" s="9" t="s">
        <v>353</v>
      </c>
      <c r="D207" s="10">
        <v>3202.4</v>
      </c>
      <c r="E207" s="11">
        <v>44565</v>
      </c>
      <c r="F207" s="10">
        <v>3202.4</v>
      </c>
      <c r="G207" s="12">
        <f>Tabla1[[#This Row],[Importe]]-Tabla1[[#This Row],[Pagado]]</f>
        <v>0</v>
      </c>
      <c r="H207" s="9" t="s">
        <v>10</v>
      </c>
    </row>
    <row r="208" spans="1:8" x14ac:dyDescent="0.25">
      <c r="A208" s="7">
        <v>44565</v>
      </c>
      <c r="B208" s="8" t="s">
        <v>354</v>
      </c>
      <c r="C208" s="9" t="s">
        <v>129</v>
      </c>
      <c r="D208" s="10">
        <v>5035.8</v>
      </c>
      <c r="E208" s="11">
        <v>44565</v>
      </c>
      <c r="F208" s="10">
        <v>5035.8</v>
      </c>
      <c r="G208" s="12">
        <f>Tabla1[[#This Row],[Importe]]-Tabla1[[#This Row],[Pagado]]</f>
        <v>0</v>
      </c>
      <c r="H208" s="9" t="s">
        <v>10</v>
      </c>
    </row>
    <row r="209" spans="1:8" x14ac:dyDescent="0.25">
      <c r="A209" s="7">
        <v>44565</v>
      </c>
      <c r="B209" s="8" t="s">
        <v>355</v>
      </c>
      <c r="C209" s="9" t="s">
        <v>127</v>
      </c>
      <c r="D209" s="10">
        <v>4065.6</v>
      </c>
      <c r="E209" s="11">
        <v>44565</v>
      </c>
      <c r="F209" s="10">
        <v>4065.6</v>
      </c>
      <c r="G209" s="12">
        <f>Tabla1[[#This Row],[Importe]]-Tabla1[[#This Row],[Pagado]]</f>
        <v>0</v>
      </c>
      <c r="H209" s="9" t="s">
        <v>10</v>
      </c>
    </row>
    <row r="210" spans="1:8" x14ac:dyDescent="0.25">
      <c r="A210" s="7">
        <v>44565</v>
      </c>
      <c r="B210" s="8" t="s">
        <v>356</v>
      </c>
      <c r="C210" s="9" t="s">
        <v>357</v>
      </c>
      <c r="D210" s="10">
        <v>4019.4</v>
      </c>
      <c r="E210" s="11">
        <v>44565</v>
      </c>
      <c r="F210" s="10">
        <v>4019.4</v>
      </c>
      <c r="G210" s="12">
        <f>Tabla1[[#This Row],[Importe]]-Tabla1[[#This Row],[Pagado]]</f>
        <v>0</v>
      </c>
      <c r="H210" s="9" t="s">
        <v>10</v>
      </c>
    </row>
    <row r="211" spans="1:8" x14ac:dyDescent="0.25">
      <c r="A211" s="7">
        <v>44565</v>
      </c>
      <c r="B211" s="8" t="s">
        <v>358</v>
      </c>
      <c r="C211" s="9" t="s">
        <v>359</v>
      </c>
      <c r="D211" s="10">
        <v>3941</v>
      </c>
      <c r="E211" s="11">
        <v>44565</v>
      </c>
      <c r="F211" s="10">
        <v>3941</v>
      </c>
      <c r="G211" s="12">
        <f>Tabla1[[#This Row],[Importe]]-Tabla1[[#This Row],[Pagado]]</f>
        <v>0</v>
      </c>
      <c r="H211" s="9" t="s">
        <v>10</v>
      </c>
    </row>
    <row r="212" spans="1:8" x14ac:dyDescent="0.25">
      <c r="A212" s="7">
        <v>44565</v>
      </c>
      <c r="B212" s="8" t="s">
        <v>360</v>
      </c>
      <c r="C212" s="9" t="s">
        <v>179</v>
      </c>
      <c r="D212" s="10">
        <v>720</v>
      </c>
      <c r="E212" s="11">
        <v>44565</v>
      </c>
      <c r="F212" s="10">
        <v>720</v>
      </c>
      <c r="G212" s="12">
        <f>Tabla1[[#This Row],[Importe]]-Tabla1[[#This Row],[Pagado]]</f>
        <v>0</v>
      </c>
      <c r="H212" s="9" t="s">
        <v>10</v>
      </c>
    </row>
    <row r="213" spans="1:8" x14ac:dyDescent="0.25">
      <c r="A213" s="7">
        <v>44565</v>
      </c>
      <c r="B213" s="8" t="s">
        <v>361</v>
      </c>
      <c r="C213" s="9" t="s">
        <v>142</v>
      </c>
      <c r="D213" s="10">
        <v>12157.4</v>
      </c>
      <c r="E213" s="11">
        <v>44589</v>
      </c>
      <c r="F213" s="10">
        <v>12157.4</v>
      </c>
      <c r="G213" s="12">
        <f>Tabla1[[#This Row],[Importe]]-Tabla1[[#This Row],[Pagado]]</f>
        <v>0</v>
      </c>
      <c r="H213" s="9" t="s">
        <v>10</v>
      </c>
    </row>
    <row r="214" spans="1:8" x14ac:dyDescent="0.25">
      <c r="A214" s="7">
        <v>44565</v>
      </c>
      <c r="B214" s="8" t="s">
        <v>362</v>
      </c>
      <c r="C214" s="9" t="s">
        <v>146</v>
      </c>
      <c r="D214" s="10">
        <v>1755</v>
      </c>
      <c r="E214" s="11">
        <v>44565</v>
      </c>
      <c r="F214" s="10">
        <v>1755</v>
      </c>
      <c r="G214" s="12">
        <f>Tabla1[[#This Row],[Importe]]-Tabla1[[#This Row],[Pagado]]</f>
        <v>0</v>
      </c>
      <c r="H214" s="9" t="s">
        <v>10</v>
      </c>
    </row>
    <row r="215" spans="1:8" x14ac:dyDescent="0.25">
      <c r="A215" s="7">
        <v>44565</v>
      </c>
      <c r="B215" s="8" t="s">
        <v>363</v>
      </c>
      <c r="C215" s="9" t="s">
        <v>49</v>
      </c>
      <c r="D215" s="10">
        <v>2505.6999999999998</v>
      </c>
      <c r="E215" s="11">
        <v>44565</v>
      </c>
      <c r="F215" s="10">
        <v>2505.6999999999998</v>
      </c>
      <c r="G215" s="12">
        <f>Tabla1[[#This Row],[Importe]]-Tabla1[[#This Row],[Pagado]]</f>
        <v>0</v>
      </c>
      <c r="H215" s="9" t="s">
        <v>10</v>
      </c>
    </row>
    <row r="216" spans="1:8" x14ac:dyDescent="0.25">
      <c r="A216" s="7">
        <v>44565</v>
      </c>
      <c r="B216" s="8" t="s">
        <v>364</v>
      </c>
      <c r="C216" s="9" t="s">
        <v>365</v>
      </c>
      <c r="D216" s="10">
        <v>963.1</v>
      </c>
      <c r="E216" s="11">
        <v>44565</v>
      </c>
      <c r="F216" s="10">
        <v>963.1</v>
      </c>
      <c r="G216" s="12">
        <f>Tabla1[[#This Row],[Importe]]-Tabla1[[#This Row],[Pagado]]</f>
        <v>0</v>
      </c>
      <c r="H216" s="9" t="s">
        <v>10</v>
      </c>
    </row>
    <row r="217" spans="1:8" x14ac:dyDescent="0.25">
      <c r="A217" s="7">
        <v>44565</v>
      </c>
      <c r="B217" s="8" t="s">
        <v>366</v>
      </c>
      <c r="C217" s="9" t="s">
        <v>16</v>
      </c>
      <c r="D217" s="10">
        <v>3580</v>
      </c>
      <c r="E217" s="11">
        <v>44565</v>
      </c>
      <c r="F217" s="10">
        <v>3580</v>
      </c>
      <c r="G217" s="12">
        <f>Tabla1[[#This Row],[Importe]]-Tabla1[[#This Row],[Pagado]]</f>
        <v>0</v>
      </c>
      <c r="H217" s="9" t="s">
        <v>10</v>
      </c>
    </row>
    <row r="218" spans="1:8" x14ac:dyDescent="0.25">
      <c r="A218" s="7">
        <v>44565</v>
      </c>
      <c r="B218" s="8" t="s">
        <v>367</v>
      </c>
      <c r="C218" s="9" t="s">
        <v>368</v>
      </c>
      <c r="D218" s="10">
        <v>2288.3000000000002</v>
      </c>
      <c r="E218" s="11">
        <v>44565</v>
      </c>
      <c r="F218" s="10">
        <v>2288.3000000000002</v>
      </c>
      <c r="G218" s="12">
        <f>Tabla1[[#This Row],[Importe]]-Tabla1[[#This Row],[Pagado]]</f>
        <v>0</v>
      </c>
      <c r="H218" s="9" t="s">
        <v>10</v>
      </c>
    </row>
    <row r="219" spans="1:8" x14ac:dyDescent="0.25">
      <c r="A219" s="7">
        <v>44565</v>
      </c>
      <c r="B219" s="8" t="s">
        <v>369</v>
      </c>
      <c r="C219" s="9" t="s">
        <v>27</v>
      </c>
      <c r="D219" s="10">
        <v>2958</v>
      </c>
      <c r="E219" s="11">
        <v>44565</v>
      </c>
      <c r="F219" s="10">
        <v>2958</v>
      </c>
      <c r="G219" s="12">
        <f>Tabla1[[#This Row],[Importe]]-Tabla1[[#This Row],[Pagado]]</f>
        <v>0</v>
      </c>
      <c r="H219" s="9" t="s">
        <v>10</v>
      </c>
    </row>
    <row r="220" spans="1:8" x14ac:dyDescent="0.25">
      <c r="A220" s="7">
        <v>44565</v>
      </c>
      <c r="B220" s="8" t="s">
        <v>370</v>
      </c>
      <c r="C220" s="9" t="s">
        <v>371</v>
      </c>
      <c r="D220" s="10">
        <v>32830</v>
      </c>
      <c r="E220" s="11">
        <v>44566</v>
      </c>
      <c r="F220" s="10">
        <v>32830</v>
      </c>
      <c r="G220" s="12">
        <f>Tabla1[[#This Row],[Importe]]-Tabla1[[#This Row],[Pagado]]</f>
        <v>0</v>
      </c>
      <c r="H220" s="9" t="s">
        <v>10</v>
      </c>
    </row>
    <row r="221" spans="1:8" x14ac:dyDescent="0.25">
      <c r="A221" s="7">
        <v>44565</v>
      </c>
      <c r="B221" s="8" t="s">
        <v>372</v>
      </c>
      <c r="C221" s="9" t="s">
        <v>373</v>
      </c>
      <c r="D221" s="10">
        <v>3401.2</v>
      </c>
      <c r="E221" s="11">
        <v>44565</v>
      </c>
      <c r="F221" s="10">
        <v>3401.2</v>
      </c>
      <c r="G221" s="12">
        <f>Tabla1[[#This Row],[Importe]]-Tabla1[[#This Row],[Pagado]]</f>
        <v>0</v>
      </c>
      <c r="H221" s="9" t="s">
        <v>10</v>
      </c>
    </row>
    <row r="222" spans="1:8" x14ac:dyDescent="0.25">
      <c r="A222" s="7">
        <v>44565</v>
      </c>
      <c r="B222" s="8" t="s">
        <v>374</v>
      </c>
      <c r="C222" s="9" t="s">
        <v>375</v>
      </c>
      <c r="D222" s="10">
        <v>36147.120000000003</v>
      </c>
      <c r="E222" s="11">
        <v>44565</v>
      </c>
      <c r="F222" s="10">
        <v>36147.120000000003</v>
      </c>
      <c r="G222" s="12">
        <f>Tabla1[[#This Row],[Importe]]-Tabla1[[#This Row],[Pagado]]</f>
        <v>0</v>
      </c>
      <c r="H222" s="9" t="s">
        <v>10</v>
      </c>
    </row>
    <row r="223" spans="1:8" x14ac:dyDescent="0.25">
      <c r="A223" s="7">
        <v>44565</v>
      </c>
      <c r="B223" s="8" t="s">
        <v>376</v>
      </c>
      <c r="C223" s="9" t="s">
        <v>161</v>
      </c>
      <c r="D223" s="10">
        <v>1375.8</v>
      </c>
      <c r="E223" s="11">
        <v>44565</v>
      </c>
      <c r="F223" s="10">
        <v>1375.8</v>
      </c>
      <c r="G223" s="12">
        <f>Tabla1[[#This Row],[Importe]]-Tabla1[[#This Row],[Pagado]]</f>
        <v>0</v>
      </c>
      <c r="H223" s="9" t="s">
        <v>10</v>
      </c>
    </row>
    <row r="224" spans="1:8" x14ac:dyDescent="0.25">
      <c r="A224" s="7">
        <v>44565</v>
      </c>
      <c r="B224" s="8" t="s">
        <v>377</v>
      </c>
      <c r="C224" s="9" t="s">
        <v>226</v>
      </c>
      <c r="D224" s="10">
        <v>4659.2</v>
      </c>
      <c r="E224" s="11">
        <v>44565</v>
      </c>
      <c r="F224" s="10">
        <v>4659.2</v>
      </c>
      <c r="G224" s="12">
        <f>Tabla1[[#This Row],[Importe]]-Tabla1[[#This Row],[Pagado]]</f>
        <v>0</v>
      </c>
      <c r="H224" s="9" t="s">
        <v>10</v>
      </c>
    </row>
    <row r="225" spans="1:8" x14ac:dyDescent="0.25">
      <c r="A225" s="7">
        <v>44565</v>
      </c>
      <c r="B225" s="8" t="s">
        <v>378</v>
      </c>
      <c r="C225" s="9" t="s">
        <v>45</v>
      </c>
      <c r="D225" s="10">
        <v>8568.4</v>
      </c>
      <c r="E225" s="11">
        <v>44565</v>
      </c>
      <c r="F225" s="10">
        <v>8568.4</v>
      </c>
      <c r="G225" s="12">
        <f>Tabla1[[#This Row],[Importe]]-Tabla1[[#This Row],[Pagado]]</f>
        <v>0</v>
      </c>
      <c r="H225" s="9" t="s">
        <v>10</v>
      </c>
    </row>
    <row r="226" spans="1:8" x14ac:dyDescent="0.25">
      <c r="A226" s="7">
        <v>44565</v>
      </c>
      <c r="B226" s="8" t="s">
        <v>379</v>
      </c>
      <c r="C226" s="9" t="s">
        <v>380</v>
      </c>
      <c r="D226" s="10">
        <v>7477.2</v>
      </c>
      <c r="E226" s="11">
        <v>44566</v>
      </c>
      <c r="F226" s="10">
        <v>7477.2</v>
      </c>
      <c r="G226" s="12">
        <f>Tabla1[[#This Row],[Importe]]-Tabla1[[#This Row],[Pagado]]</f>
        <v>0</v>
      </c>
      <c r="H226" s="9" t="s">
        <v>10</v>
      </c>
    </row>
    <row r="227" spans="1:8" x14ac:dyDescent="0.25">
      <c r="A227" s="7">
        <v>44565</v>
      </c>
      <c r="B227" s="8" t="s">
        <v>381</v>
      </c>
      <c r="C227" s="9" t="s">
        <v>382</v>
      </c>
      <c r="D227" s="10">
        <v>6125.1</v>
      </c>
      <c r="E227" s="11">
        <v>44565</v>
      </c>
      <c r="F227" s="10">
        <v>6125.1</v>
      </c>
      <c r="G227" s="12">
        <f>Tabla1[[#This Row],[Importe]]-Tabla1[[#This Row],[Pagado]]</f>
        <v>0</v>
      </c>
      <c r="H227" s="9" t="s">
        <v>10</v>
      </c>
    </row>
    <row r="228" spans="1:8" x14ac:dyDescent="0.25">
      <c r="A228" s="7">
        <v>44565</v>
      </c>
      <c r="B228" s="8" t="s">
        <v>383</v>
      </c>
      <c r="C228" s="9" t="s">
        <v>191</v>
      </c>
      <c r="D228" s="10">
        <v>1545.6</v>
      </c>
      <c r="E228" s="11">
        <v>44565</v>
      </c>
      <c r="F228" s="10">
        <v>1545.6</v>
      </c>
      <c r="G228" s="12">
        <f>Tabla1[[#This Row],[Importe]]-Tabla1[[#This Row],[Pagado]]</f>
        <v>0</v>
      </c>
      <c r="H228" s="9" t="s">
        <v>10</v>
      </c>
    </row>
    <row r="229" spans="1:8" x14ac:dyDescent="0.25">
      <c r="A229" s="7">
        <v>44565</v>
      </c>
      <c r="B229" s="8" t="s">
        <v>384</v>
      </c>
      <c r="C229" s="9" t="s">
        <v>202</v>
      </c>
      <c r="D229" s="10">
        <v>945</v>
      </c>
      <c r="E229" s="11">
        <v>44565</v>
      </c>
      <c r="F229" s="10">
        <v>945</v>
      </c>
      <c r="G229" s="12">
        <f>Tabla1[[#This Row],[Importe]]-Tabla1[[#This Row],[Pagado]]</f>
        <v>0</v>
      </c>
      <c r="H229" s="9" t="s">
        <v>10</v>
      </c>
    </row>
    <row r="230" spans="1:8" x14ac:dyDescent="0.25">
      <c r="A230" s="7">
        <v>44565</v>
      </c>
      <c r="B230" s="8" t="s">
        <v>385</v>
      </c>
      <c r="C230" s="9" t="s">
        <v>151</v>
      </c>
      <c r="D230" s="10">
        <v>7527.6</v>
      </c>
      <c r="E230" s="11">
        <v>44566</v>
      </c>
      <c r="F230" s="10">
        <v>7527.6</v>
      </c>
      <c r="G230" s="12">
        <f>Tabla1[[#This Row],[Importe]]-Tabla1[[#This Row],[Pagado]]</f>
        <v>0</v>
      </c>
      <c r="H230" s="9" t="s">
        <v>10</v>
      </c>
    </row>
    <row r="231" spans="1:8" x14ac:dyDescent="0.25">
      <c r="A231" s="7">
        <v>44565</v>
      </c>
      <c r="B231" s="8" t="s">
        <v>386</v>
      </c>
      <c r="C231" s="9" t="s">
        <v>196</v>
      </c>
      <c r="D231" s="10">
        <v>94565.5</v>
      </c>
      <c r="E231" s="11">
        <v>44568</v>
      </c>
      <c r="F231" s="10">
        <v>94565.5</v>
      </c>
      <c r="G231" s="12">
        <f>Tabla1[[#This Row],[Importe]]-Tabla1[[#This Row],[Pagado]]</f>
        <v>0</v>
      </c>
      <c r="H231" s="9" t="s">
        <v>10</v>
      </c>
    </row>
    <row r="232" spans="1:8" x14ac:dyDescent="0.25">
      <c r="A232" s="7">
        <v>44565</v>
      </c>
      <c r="B232" s="8" t="s">
        <v>387</v>
      </c>
      <c r="C232" s="9" t="s">
        <v>53</v>
      </c>
      <c r="D232" s="10">
        <v>1443.3</v>
      </c>
      <c r="E232" s="11">
        <v>44565</v>
      </c>
      <c r="F232" s="10">
        <v>1443.3</v>
      </c>
      <c r="G232" s="12">
        <f>Tabla1[[#This Row],[Importe]]-Tabla1[[#This Row],[Pagado]]</f>
        <v>0</v>
      </c>
      <c r="H232" s="9" t="s">
        <v>10</v>
      </c>
    </row>
    <row r="233" spans="1:8" x14ac:dyDescent="0.25">
      <c r="A233" s="7">
        <v>44565</v>
      </c>
      <c r="B233" s="8" t="s">
        <v>388</v>
      </c>
      <c r="C233" s="9" t="s">
        <v>14</v>
      </c>
      <c r="D233" s="10">
        <v>22044.7</v>
      </c>
      <c r="E233" s="11">
        <v>44565</v>
      </c>
      <c r="F233" s="10">
        <v>22044.7</v>
      </c>
      <c r="G233" s="12">
        <f>Tabla1[[#This Row],[Importe]]-Tabla1[[#This Row],[Pagado]]</f>
        <v>0</v>
      </c>
      <c r="H233" s="9" t="s">
        <v>10</v>
      </c>
    </row>
    <row r="234" spans="1:8" x14ac:dyDescent="0.25">
      <c r="A234" s="7">
        <v>44565</v>
      </c>
      <c r="B234" s="8" t="s">
        <v>389</v>
      </c>
      <c r="C234" s="9" t="s">
        <v>24</v>
      </c>
      <c r="D234" s="10">
        <v>428.4</v>
      </c>
      <c r="E234" s="11">
        <v>44565</v>
      </c>
      <c r="F234" s="10">
        <v>428.4</v>
      </c>
      <c r="G234" s="12">
        <f>Tabla1[[#This Row],[Importe]]-Tabla1[[#This Row],[Pagado]]</f>
        <v>0</v>
      </c>
      <c r="H234" s="9" t="s">
        <v>10</v>
      </c>
    </row>
    <row r="235" spans="1:8" x14ac:dyDescent="0.25">
      <c r="A235" s="7">
        <v>44565</v>
      </c>
      <c r="B235" s="8" t="s">
        <v>390</v>
      </c>
      <c r="C235" s="9" t="s">
        <v>58</v>
      </c>
      <c r="D235" s="10">
        <v>6029.2</v>
      </c>
      <c r="E235" s="11">
        <v>44565</v>
      </c>
      <c r="F235" s="10">
        <v>6029.2</v>
      </c>
      <c r="G235" s="12">
        <f>Tabla1[[#This Row],[Importe]]-Tabla1[[#This Row],[Pagado]]</f>
        <v>0</v>
      </c>
      <c r="H235" s="9" t="s">
        <v>10</v>
      </c>
    </row>
    <row r="236" spans="1:8" x14ac:dyDescent="0.25">
      <c r="A236" s="7">
        <v>44565</v>
      </c>
      <c r="B236" s="8" t="s">
        <v>391</v>
      </c>
      <c r="C236" s="9" t="s">
        <v>392</v>
      </c>
      <c r="D236" s="10">
        <v>9080.7999999999993</v>
      </c>
      <c r="E236" s="11">
        <v>44578</v>
      </c>
      <c r="F236" s="10">
        <v>9080.7999999999993</v>
      </c>
      <c r="G236" s="12">
        <f>Tabla1[[#This Row],[Importe]]-Tabla1[[#This Row],[Pagado]]</f>
        <v>0</v>
      </c>
      <c r="H236" s="9" t="s">
        <v>10</v>
      </c>
    </row>
    <row r="237" spans="1:8" x14ac:dyDescent="0.25">
      <c r="A237" s="7">
        <v>44565</v>
      </c>
      <c r="B237" s="8" t="s">
        <v>393</v>
      </c>
      <c r="C237" s="9" t="s">
        <v>244</v>
      </c>
      <c r="D237" s="10">
        <v>4960.6000000000004</v>
      </c>
      <c r="E237" s="11">
        <v>44565</v>
      </c>
      <c r="F237" s="10">
        <v>4960.6000000000004</v>
      </c>
      <c r="G237" s="12">
        <f>Tabla1[[#This Row],[Importe]]-Tabla1[[#This Row],[Pagado]]</f>
        <v>0</v>
      </c>
      <c r="H237" s="9" t="s">
        <v>10</v>
      </c>
    </row>
    <row r="238" spans="1:8" x14ac:dyDescent="0.25">
      <c r="A238" s="7">
        <v>44565</v>
      </c>
      <c r="B238" s="8" t="s">
        <v>394</v>
      </c>
      <c r="C238" s="9" t="s">
        <v>196</v>
      </c>
      <c r="D238" s="10">
        <v>5455.5</v>
      </c>
      <c r="E238" s="11">
        <v>44568</v>
      </c>
      <c r="F238" s="10">
        <v>5455.5</v>
      </c>
      <c r="G238" s="12">
        <f>Tabla1[[#This Row],[Importe]]-Tabla1[[#This Row],[Pagado]]</f>
        <v>0</v>
      </c>
      <c r="H238" s="9" t="s">
        <v>10</v>
      </c>
    </row>
    <row r="239" spans="1:8" x14ac:dyDescent="0.25">
      <c r="A239" s="7">
        <v>44565</v>
      </c>
      <c r="B239" s="8" t="s">
        <v>395</v>
      </c>
      <c r="C239" s="9" t="s">
        <v>396</v>
      </c>
      <c r="D239" s="10">
        <v>10006.5</v>
      </c>
      <c r="E239" s="11">
        <v>44583</v>
      </c>
      <c r="F239" s="10">
        <v>10006.5</v>
      </c>
      <c r="G239" s="12">
        <f>Tabla1[[#This Row],[Importe]]-Tabla1[[#This Row],[Pagado]]</f>
        <v>0</v>
      </c>
      <c r="H239" s="9" t="s">
        <v>10</v>
      </c>
    </row>
    <row r="240" spans="1:8" x14ac:dyDescent="0.25">
      <c r="A240" s="7">
        <v>44565</v>
      </c>
      <c r="B240" s="8" t="s">
        <v>397</v>
      </c>
      <c r="C240" s="9" t="s">
        <v>31</v>
      </c>
      <c r="D240" s="10">
        <v>802.4</v>
      </c>
      <c r="E240" s="11">
        <v>44565</v>
      </c>
      <c r="F240" s="10">
        <v>802.4</v>
      </c>
      <c r="G240" s="12">
        <f>Tabla1[[#This Row],[Importe]]-Tabla1[[#This Row],[Pagado]]</f>
        <v>0</v>
      </c>
      <c r="H240" s="9" t="s">
        <v>10</v>
      </c>
    </row>
    <row r="241" spans="1:8" x14ac:dyDescent="0.25">
      <c r="A241" s="7">
        <v>44565</v>
      </c>
      <c r="B241" s="8" t="s">
        <v>398</v>
      </c>
      <c r="C241" s="9" t="s">
        <v>51</v>
      </c>
      <c r="D241" s="10">
        <v>459</v>
      </c>
      <c r="E241" s="11">
        <v>44565</v>
      </c>
      <c r="F241" s="10">
        <v>459</v>
      </c>
      <c r="G241" s="12">
        <f>Tabla1[[#This Row],[Importe]]-Tabla1[[#This Row],[Pagado]]</f>
        <v>0</v>
      </c>
      <c r="H241" s="9" t="s">
        <v>10</v>
      </c>
    </row>
    <row r="242" spans="1:8" x14ac:dyDescent="0.25">
      <c r="A242" s="7">
        <v>44565</v>
      </c>
      <c r="B242" s="8" t="s">
        <v>399</v>
      </c>
      <c r="C242" s="9" t="s">
        <v>400</v>
      </c>
      <c r="D242" s="10">
        <v>4273</v>
      </c>
      <c r="E242" s="11">
        <v>44583</v>
      </c>
      <c r="F242" s="10">
        <v>4273</v>
      </c>
      <c r="G242" s="12">
        <f>Tabla1[[#This Row],[Importe]]-Tabla1[[#This Row],[Pagado]]</f>
        <v>0</v>
      </c>
      <c r="H242" s="9" t="s">
        <v>10</v>
      </c>
    </row>
    <row r="243" spans="1:8" x14ac:dyDescent="0.25">
      <c r="A243" s="7">
        <v>44565</v>
      </c>
      <c r="B243" s="8" t="s">
        <v>401</v>
      </c>
      <c r="C243" s="9" t="s">
        <v>402</v>
      </c>
      <c r="D243" s="10">
        <v>9930.4</v>
      </c>
      <c r="E243" s="11">
        <v>44583</v>
      </c>
      <c r="F243" s="10">
        <v>9930.4</v>
      </c>
      <c r="G243" s="12">
        <f>Tabla1[[#This Row],[Importe]]-Tabla1[[#This Row],[Pagado]]</f>
        <v>0</v>
      </c>
      <c r="H243" s="9" t="s">
        <v>10</v>
      </c>
    </row>
    <row r="244" spans="1:8" x14ac:dyDescent="0.25">
      <c r="A244" s="7">
        <v>44565</v>
      </c>
      <c r="B244" s="8" t="s">
        <v>403</v>
      </c>
      <c r="C244" s="9" t="s">
        <v>31</v>
      </c>
      <c r="D244" s="10">
        <v>867</v>
      </c>
      <c r="E244" s="11">
        <v>44565</v>
      </c>
      <c r="F244" s="10">
        <v>867</v>
      </c>
      <c r="G244" s="12">
        <f>Tabla1[[#This Row],[Importe]]-Tabla1[[#This Row],[Pagado]]</f>
        <v>0</v>
      </c>
      <c r="H244" s="9" t="s">
        <v>10</v>
      </c>
    </row>
    <row r="245" spans="1:8" x14ac:dyDescent="0.25">
      <c r="A245" s="7">
        <v>44565</v>
      </c>
      <c r="B245" s="8" t="s">
        <v>404</v>
      </c>
      <c r="C245" s="9" t="s">
        <v>371</v>
      </c>
      <c r="D245" s="10">
        <v>5956.5</v>
      </c>
      <c r="E245" s="11">
        <v>44566</v>
      </c>
      <c r="F245" s="10">
        <v>5956.5</v>
      </c>
      <c r="G245" s="12">
        <f>Tabla1[[#This Row],[Importe]]-Tabla1[[#This Row],[Pagado]]</f>
        <v>0</v>
      </c>
      <c r="H245" s="9" t="s">
        <v>10</v>
      </c>
    </row>
    <row r="246" spans="1:8" x14ac:dyDescent="0.25">
      <c r="A246" s="7">
        <v>44565</v>
      </c>
      <c r="B246" s="8" t="s">
        <v>405</v>
      </c>
      <c r="C246" s="9" t="s">
        <v>135</v>
      </c>
      <c r="D246" s="10">
        <v>1743.4</v>
      </c>
      <c r="E246" s="11">
        <v>44565</v>
      </c>
      <c r="F246" s="10">
        <v>1743.4</v>
      </c>
      <c r="G246" s="12">
        <f>Tabla1[[#This Row],[Importe]]-Tabla1[[#This Row],[Pagado]]</f>
        <v>0</v>
      </c>
      <c r="H246" s="9" t="s">
        <v>10</v>
      </c>
    </row>
    <row r="247" spans="1:8" x14ac:dyDescent="0.25">
      <c r="A247" s="7">
        <v>44565</v>
      </c>
      <c r="B247" s="8" t="s">
        <v>406</v>
      </c>
      <c r="C247" s="9" t="s">
        <v>407</v>
      </c>
      <c r="D247" s="10">
        <v>1444.8</v>
      </c>
      <c r="E247" s="11">
        <v>44568</v>
      </c>
      <c r="F247" s="10">
        <v>1444.8</v>
      </c>
      <c r="G247" s="12">
        <f>Tabla1[[#This Row],[Importe]]-Tabla1[[#This Row],[Pagado]]</f>
        <v>0</v>
      </c>
      <c r="H247" s="9" t="s">
        <v>10</v>
      </c>
    </row>
    <row r="248" spans="1:8" x14ac:dyDescent="0.25">
      <c r="A248" s="7">
        <v>44565</v>
      </c>
      <c r="B248" s="8" t="s">
        <v>408</v>
      </c>
      <c r="C248" s="9" t="s">
        <v>409</v>
      </c>
      <c r="D248" s="10">
        <v>7813.5</v>
      </c>
      <c r="E248" s="11">
        <v>44568</v>
      </c>
      <c r="F248" s="10">
        <v>7813.5</v>
      </c>
      <c r="G248" s="12">
        <f>Tabla1[[#This Row],[Importe]]-Tabla1[[#This Row],[Pagado]]</f>
        <v>0</v>
      </c>
      <c r="H248" s="9" t="s">
        <v>10</v>
      </c>
    </row>
    <row r="249" spans="1:8" x14ac:dyDescent="0.25">
      <c r="A249" s="7">
        <v>44565</v>
      </c>
      <c r="B249" s="8" t="s">
        <v>410</v>
      </c>
      <c r="C249" s="9" t="s">
        <v>105</v>
      </c>
      <c r="D249" s="10">
        <v>9277.2000000000007</v>
      </c>
      <c r="E249" s="11">
        <v>44565</v>
      </c>
      <c r="F249" s="10">
        <v>9277.2000000000007</v>
      </c>
      <c r="G249" s="12">
        <f>Tabla1[[#This Row],[Importe]]-Tabla1[[#This Row],[Pagado]]</f>
        <v>0</v>
      </c>
      <c r="H249" s="9" t="s">
        <v>10</v>
      </c>
    </row>
    <row r="250" spans="1:8" x14ac:dyDescent="0.25">
      <c r="A250" s="7">
        <v>44565</v>
      </c>
      <c r="B250" s="8" t="s">
        <v>411</v>
      </c>
      <c r="C250" s="9" t="s">
        <v>67</v>
      </c>
      <c r="D250" s="10">
        <v>2948.6</v>
      </c>
      <c r="E250" s="11">
        <v>44565</v>
      </c>
      <c r="F250" s="10">
        <v>2948.6</v>
      </c>
      <c r="G250" s="12">
        <f>Tabla1[[#This Row],[Importe]]-Tabla1[[#This Row],[Pagado]]</f>
        <v>0</v>
      </c>
      <c r="H250" s="9" t="s">
        <v>10</v>
      </c>
    </row>
    <row r="251" spans="1:8" x14ac:dyDescent="0.25">
      <c r="A251" s="7">
        <v>44565</v>
      </c>
      <c r="B251" s="8" t="s">
        <v>412</v>
      </c>
      <c r="C251" s="9" t="s">
        <v>31</v>
      </c>
      <c r="D251" s="10">
        <v>837.5</v>
      </c>
      <c r="E251" s="11">
        <v>44565</v>
      </c>
      <c r="F251" s="10">
        <v>837.5</v>
      </c>
      <c r="G251" s="12">
        <f>Tabla1[[#This Row],[Importe]]-Tabla1[[#This Row],[Pagado]]</f>
        <v>0</v>
      </c>
      <c r="H251" s="9" t="s">
        <v>10</v>
      </c>
    </row>
    <row r="252" spans="1:8" x14ac:dyDescent="0.25">
      <c r="A252" s="7">
        <v>44565</v>
      </c>
      <c r="B252" s="8" t="s">
        <v>413</v>
      </c>
      <c r="C252" s="9" t="s">
        <v>414</v>
      </c>
      <c r="D252" s="10">
        <v>126728.85</v>
      </c>
      <c r="E252" s="11">
        <v>44575</v>
      </c>
      <c r="F252" s="10">
        <v>126728.85</v>
      </c>
      <c r="G252" s="12">
        <f>Tabla1[[#This Row],[Importe]]-Tabla1[[#This Row],[Pagado]]</f>
        <v>0</v>
      </c>
      <c r="H252" s="9" t="s">
        <v>10</v>
      </c>
    </row>
    <row r="253" spans="1:8" x14ac:dyDescent="0.25">
      <c r="A253" s="7">
        <v>44565</v>
      </c>
      <c r="B253" s="8" t="s">
        <v>415</v>
      </c>
      <c r="C253" s="9" t="s">
        <v>414</v>
      </c>
      <c r="D253" s="10">
        <v>9940</v>
      </c>
      <c r="E253" s="11">
        <v>44565</v>
      </c>
      <c r="F253" s="10">
        <v>9940</v>
      </c>
      <c r="G253" s="12">
        <f>Tabla1[[#This Row],[Importe]]-Tabla1[[#This Row],[Pagado]]</f>
        <v>0</v>
      </c>
      <c r="H253" s="9" t="s">
        <v>10</v>
      </c>
    </row>
    <row r="254" spans="1:8" x14ac:dyDescent="0.25">
      <c r="A254" s="7">
        <v>44565</v>
      </c>
      <c r="B254" s="8" t="s">
        <v>416</v>
      </c>
      <c r="C254" s="9" t="s">
        <v>62</v>
      </c>
      <c r="D254" s="10">
        <v>6926.2</v>
      </c>
      <c r="E254" s="11">
        <v>44565</v>
      </c>
      <c r="F254" s="10">
        <v>6926.2</v>
      </c>
      <c r="G254" s="12">
        <f>Tabla1[[#This Row],[Importe]]-Tabla1[[#This Row],[Pagado]]</f>
        <v>0</v>
      </c>
      <c r="H254" s="9" t="s">
        <v>10</v>
      </c>
    </row>
    <row r="255" spans="1:8" x14ac:dyDescent="0.25">
      <c r="A255" s="7">
        <v>44565</v>
      </c>
      <c r="B255" s="8" t="s">
        <v>417</v>
      </c>
      <c r="C255" s="9" t="s">
        <v>149</v>
      </c>
      <c r="D255" s="10">
        <v>1720</v>
      </c>
      <c r="E255" s="11">
        <v>44565</v>
      </c>
      <c r="F255" s="10">
        <v>1720</v>
      </c>
      <c r="G255" s="12">
        <f>Tabla1[[#This Row],[Importe]]-Tabla1[[#This Row],[Pagado]]</f>
        <v>0</v>
      </c>
      <c r="H255" s="9" t="s">
        <v>10</v>
      </c>
    </row>
    <row r="256" spans="1:8" x14ac:dyDescent="0.25">
      <c r="A256" s="7">
        <v>44565</v>
      </c>
      <c r="B256" s="8" t="s">
        <v>418</v>
      </c>
      <c r="C256" s="9" t="s">
        <v>419</v>
      </c>
      <c r="D256" s="10">
        <v>8850.2999999999993</v>
      </c>
      <c r="E256" s="11">
        <v>44565</v>
      </c>
      <c r="F256" s="10">
        <v>8850.2999999999993</v>
      </c>
      <c r="G256" s="12">
        <f>Tabla1[[#This Row],[Importe]]-Tabla1[[#This Row],[Pagado]]</f>
        <v>0</v>
      </c>
      <c r="H256" s="9" t="s">
        <v>10</v>
      </c>
    </row>
    <row r="257" spans="1:8" x14ac:dyDescent="0.25">
      <c r="A257" s="7">
        <v>44565</v>
      </c>
      <c r="B257" s="8" t="s">
        <v>420</v>
      </c>
      <c r="C257" s="9" t="s">
        <v>421</v>
      </c>
      <c r="D257" s="10">
        <v>410</v>
      </c>
      <c r="E257" s="11">
        <v>44565</v>
      </c>
      <c r="F257" s="10">
        <v>410</v>
      </c>
      <c r="G257" s="12">
        <f>Tabla1[[#This Row],[Importe]]-Tabla1[[#This Row],[Pagado]]</f>
        <v>0</v>
      </c>
      <c r="H257" s="9" t="s">
        <v>10</v>
      </c>
    </row>
    <row r="258" spans="1:8" x14ac:dyDescent="0.25">
      <c r="A258" s="7">
        <v>44565</v>
      </c>
      <c r="B258" s="8" t="s">
        <v>422</v>
      </c>
      <c r="C258" s="9" t="s">
        <v>275</v>
      </c>
      <c r="D258" s="10">
        <v>37534.959999999999</v>
      </c>
      <c r="E258" s="11">
        <v>44575</v>
      </c>
      <c r="F258" s="10">
        <v>37534.959999999999</v>
      </c>
      <c r="G258" s="12">
        <f>Tabla1[[#This Row],[Importe]]-Tabla1[[#This Row],[Pagado]]</f>
        <v>0</v>
      </c>
      <c r="H258" s="9" t="s">
        <v>10</v>
      </c>
    </row>
    <row r="259" spans="1:8" x14ac:dyDescent="0.25">
      <c r="A259" s="7">
        <v>44565</v>
      </c>
      <c r="B259" s="8" t="s">
        <v>423</v>
      </c>
      <c r="C259" s="9" t="s">
        <v>196</v>
      </c>
      <c r="D259" s="10">
        <v>10495</v>
      </c>
      <c r="E259" s="11">
        <v>44568</v>
      </c>
      <c r="F259" s="10">
        <v>10495</v>
      </c>
      <c r="G259" s="12">
        <f>Tabla1[[#This Row],[Importe]]-Tabla1[[#This Row],[Pagado]]</f>
        <v>0</v>
      </c>
      <c r="H259" s="9" t="s">
        <v>10</v>
      </c>
    </row>
    <row r="260" spans="1:8" x14ac:dyDescent="0.25">
      <c r="A260" s="7">
        <v>44565</v>
      </c>
      <c r="B260" s="8" t="s">
        <v>424</v>
      </c>
      <c r="C260" s="9" t="s">
        <v>284</v>
      </c>
      <c r="D260" s="10">
        <v>7415</v>
      </c>
      <c r="E260" s="11">
        <v>44566</v>
      </c>
      <c r="F260" s="10">
        <v>7415</v>
      </c>
      <c r="G260" s="12">
        <f>Tabla1[[#This Row],[Importe]]-Tabla1[[#This Row],[Pagado]]</f>
        <v>0</v>
      </c>
      <c r="H260" s="9" t="s">
        <v>10</v>
      </c>
    </row>
    <row r="261" spans="1:8" x14ac:dyDescent="0.25">
      <c r="A261" s="7">
        <v>44565</v>
      </c>
      <c r="B261" s="8" t="s">
        <v>425</v>
      </c>
      <c r="C261" s="9" t="s">
        <v>426</v>
      </c>
      <c r="D261" s="10">
        <v>3920.4</v>
      </c>
      <c r="E261" s="11">
        <v>44566</v>
      </c>
      <c r="F261" s="10">
        <v>3920.4</v>
      </c>
      <c r="G261" s="12">
        <f>Tabla1[[#This Row],[Importe]]-Tabla1[[#This Row],[Pagado]]</f>
        <v>0</v>
      </c>
      <c r="H261" s="9" t="s">
        <v>10</v>
      </c>
    </row>
    <row r="262" spans="1:8" x14ac:dyDescent="0.25">
      <c r="A262" s="7">
        <v>44565</v>
      </c>
      <c r="B262" s="8" t="s">
        <v>427</v>
      </c>
      <c r="C262" s="9" t="s">
        <v>31</v>
      </c>
      <c r="D262" s="10">
        <v>1040</v>
      </c>
      <c r="E262" s="11">
        <v>44565</v>
      </c>
      <c r="F262" s="10">
        <v>1040</v>
      </c>
      <c r="G262" s="12">
        <f>Tabla1[[#This Row],[Importe]]-Tabla1[[#This Row],[Pagado]]</f>
        <v>0</v>
      </c>
      <c r="H262" s="9" t="s">
        <v>10</v>
      </c>
    </row>
    <row r="263" spans="1:8" x14ac:dyDescent="0.25">
      <c r="A263" s="7">
        <v>44565</v>
      </c>
      <c r="B263" s="8" t="s">
        <v>428</v>
      </c>
      <c r="C263" s="9" t="s">
        <v>282</v>
      </c>
      <c r="D263" s="10">
        <v>3005</v>
      </c>
      <c r="E263" s="11">
        <v>44566</v>
      </c>
      <c r="F263" s="10">
        <v>3005</v>
      </c>
      <c r="G263" s="12">
        <f>Tabla1[[#This Row],[Importe]]-Tabla1[[#This Row],[Pagado]]</f>
        <v>0</v>
      </c>
      <c r="H263" s="9" t="s">
        <v>10</v>
      </c>
    </row>
    <row r="264" spans="1:8" x14ac:dyDescent="0.25">
      <c r="A264" s="7">
        <v>44565</v>
      </c>
      <c r="B264" s="8" t="s">
        <v>429</v>
      </c>
      <c r="C264" s="9" t="s">
        <v>280</v>
      </c>
      <c r="D264" s="10">
        <v>900</v>
      </c>
      <c r="E264" s="11">
        <v>44566</v>
      </c>
      <c r="F264" s="10">
        <v>900</v>
      </c>
      <c r="G264" s="12">
        <f>Tabla1[[#This Row],[Importe]]-Tabla1[[#This Row],[Pagado]]</f>
        <v>0</v>
      </c>
      <c r="H264" s="9" t="s">
        <v>10</v>
      </c>
    </row>
    <row r="265" spans="1:8" x14ac:dyDescent="0.25">
      <c r="A265" s="7">
        <v>44565</v>
      </c>
      <c r="B265" s="8" t="s">
        <v>430</v>
      </c>
      <c r="C265" s="9" t="s">
        <v>431</v>
      </c>
      <c r="D265" s="10">
        <v>2040</v>
      </c>
      <c r="E265" s="11">
        <v>44566</v>
      </c>
      <c r="F265" s="10">
        <v>2040</v>
      </c>
      <c r="G265" s="12">
        <f>Tabla1[[#This Row],[Importe]]-Tabla1[[#This Row],[Pagado]]</f>
        <v>0</v>
      </c>
      <c r="H265" s="9" t="s">
        <v>10</v>
      </c>
    </row>
    <row r="266" spans="1:8" x14ac:dyDescent="0.25">
      <c r="A266" s="7">
        <v>44565</v>
      </c>
      <c r="B266" s="8" t="s">
        <v>432</v>
      </c>
      <c r="C266" s="9" t="s">
        <v>433</v>
      </c>
      <c r="D266" s="10">
        <v>26280</v>
      </c>
      <c r="E266" s="11">
        <v>44565</v>
      </c>
      <c r="F266" s="10">
        <v>26280</v>
      </c>
      <c r="G266" s="12">
        <f>Tabla1[[#This Row],[Importe]]-Tabla1[[#This Row],[Pagado]]</f>
        <v>0</v>
      </c>
      <c r="H266" s="9" t="s">
        <v>10</v>
      </c>
    </row>
    <row r="267" spans="1:8" x14ac:dyDescent="0.25">
      <c r="A267" s="7">
        <v>44565</v>
      </c>
      <c r="B267" s="8" t="s">
        <v>434</v>
      </c>
      <c r="C267" s="9" t="s">
        <v>435</v>
      </c>
      <c r="D267" s="10">
        <v>1292</v>
      </c>
      <c r="E267" s="11">
        <v>44565</v>
      </c>
      <c r="F267" s="10">
        <v>1292</v>
      </c>
      <c r="G267" s="12">
        <f>Tabla1[[#This Row],[Importe]]-Tabla1[[#This Row],[Pagado]]</f>
        <v>0</v>
      </c>
      <c r="H267" s="9" t="s">
        <v>10</v>
      </c>
    </row>
    <row r="268" spans="1:8" x14ac:dyDescent="0.25">
      <c r="A268" s="7">
        <v>44565</v>
      </c>
      <c r="B268" s="8" t="s">
        <v>436</v>
      </c>
      <c r="C268" s="9" t="s">
        <v>291</v>
      </c>
      <c r="D268" s="10">
        <v>5955.7</v>
      </c>
      <c r="E268" s="11">
        <v>44566</v>
      </c>
      <c r="F268" s="10">
        <v>5955.7</v>
      </c>
      <c r="G268" s="12">
        <f>Tabla1[[#This Row],[Importe]]-Tabla1[[#This Row],[Pagado]]</f>
        <v>0</v>
      </c>
      <c r="H268" s="9" t="s">
        <v>10</v>
      </c>
    </row>
    <row r="269" spans="1:8" x14ac:dyDescent="0.25">
      <c r="A269" s="7">
        <v>44565</v>
      </c>
      <c r="B269" s="8" t="s">
        <v>437</v>
      </c>
      <c r="C269" s="9" t="s">
        <v>275</v>
      </c>
      <c r="D269" s="10">
        <v>130632.7</v>
      </c>
      <c r="E269" s="11">
        <v>44575</v>
      </c>
      <c r="F269" s="10">
        <v>130632.7</v>
      </c>
      <c r="G269" s="12">
        <f>Tabla1[[#This Row],[Importe]]-Tabla1[[#This Row],[Pagado]]</f>
        <v>0</v>
      </c>
      <c r="H269" s="9" t="s">
        <v>10</v>
      </c>
    </row>
    <row r="270" spans="1:8" x14ac:dyDescent="0.25">
      <c r="A270" s="7">
        <v>44565</v>
      </c>
      <c r="B270" s="8" t="s">
        <v>438</v>
      </c>
      <c r="C270" s="9" t="s">
        <v>261</v>
      </c>
      <c r="D270" s="10">
        <v>32753</v>
      </c>
      <c r="E270" s="11">
        <v>44567</v>
      </c>
      <c r="F270" s="10">
        <v>32753</v>
      </c>
      <c r="G270" s="12">
        <f>Tabla1[[#This Row],[Importe]]-Tabla1[[#This Row],[Pagado]]</f>
        <v>0</v>
      </c>
      <c r="H270" s="9" t="s">
        <v>10</v>
      </c>
    </row>
    <row r="271" spans="1:8" x14ac:dyDescent="0.25">
      <c r="A271" s="7">
        <v>44565</v>
      </c>
      <c r="B271" s="8" t="s">
        <v>439</v>
      </c>
      <c r="C271" s="9" t="s">
        <v>440</v>
      </c>
      <c r="D271" s="10">
        <v>15373.28</v>
      </c>
      <c r="E271" s="11">
        <v>44572</v>
      </c>
      <c r="F271" s="10">
        <v>15373.28</v>
      </c>
      <c r="G271" s="12">
        <f>Tabla1[[#This Row],[Importe]]-Tabla1[[#This Row],[Pagado]]</f>
        <v>0</v>
      </c>
      <c r="H271" s="9" t="s">
        <v>10</v>
      </c>
    </row>
    <row r="272" spans="1:8" x14ac:dyDescent="0.25">
      <c r="A272" s="7">
        <v>44565</v>
      </c>
      <c r="B272" s="8" t="s">
        <v>441</v>
      </c>
      <c r="C272" s="9" t="s">
        <v>442</v>
      </c>
      <c r="D272" s="10">
        <v>4890.2</v>
      </c>
      <c r="E272" s="11">
        <v>44565</v>
      </c>
      <c r="F272" s="10">
        <v>4890.2</v>
      </c>
      <c r="G272" s="12">
        <f>Tabla1[[#This Row],[Importe]]-Tabla1[[#This Row],[Pagado]]</f>
        <v>0</v>
      </c>
      <c r="H272" s="9" t="s">
        <v>10</v>
      </c>
    </row>
    <row r="273" spans="1:8" x14ac:dyDescent="0.25">
      <c r="A273" s="7">
        <v>44565</v>
      </c>
      <c r="B273" s="8" t="s">
        <v>443</v>
      </c>
      <c r="C273" s="9" t="s">
        <v>16</v>
      </c>
      <c r="D273" s="10">
        <v>540</v>
      </c>
      <c r="E273" s="11">
        <v>44565</v>
      </c>
      <c r="F273" s="10">
        <v>540</v>
      </c>
      <c r="G273" s="12">
        <f>Tabla1[[#This Row],[Importe]]-Tabla1[[#This Row],[Pagado]]</f>
        <v>0</v>
      </c>
      <c r="H273" s="9" t="s">
        <v>10</v>
      </c>
    </row>
    <row r="274" spans="1:8" x14ac:dyDescent="0.25">
      <c r="A274" s="7">
        <v>44565</v>
      </c>
      <c r="B274" s="8" t="s">
        <v>444</v>
      </c>
      <c r="C274" s="9" t="s">
        <v>445</v>
      </c>
      <c r="D274" s="10">
        <v>2716</v>
      </c>
      <c r="E274" s="11">
        <v>44565</v>
      </c>
      <c r="F274" s="10">
        <v>2716</v>
      </c>
      <c r="G274" s="12">
        <f>Tabla1[[#This Row],[Importe]]-Tabla1[[#This Row],[Pagado]]</f>
        <v>0</v>
      </c>
      <c r="H274" s="9" t="s">
        <v>10</v>
      </c>
    </row>
    <row r="275" spans="1:8" x14ac:dyDescent="0.25">
      <c r="A275" s="7">
        <v>44565</v>
      </c>
      <c r="B275" s="8" t="s">
        <v>446</v>
      </c>
      <c r="C275" s="9" t="s">
        <v>191</v>
      </c>
      <c r="D275" s="10">
        <v>558</v>
      </c>
      <c r="E275" s="11">
        <v>44565</v>
      </c>
      <c r="F275" s="10">
        <v>558</v>
      </c>
      <c r="G275" s="12">
        <f>Tabla1[[#This Row],[Importe]]-Tabla1[[#This Row],[Pagado]]</f>
        <v>0</v>
      </c>
      <c r="H275" s="9" t="s">
        <v>10</v>
      </c>
    </row>
    <row r="276" spans="1:8" x14ac:dyDescent="0.25">
      <c r="A276" s="7">
        <v>44565</v>
      </c>
      <c r="B276" s="8" t="s">
        <v>447</v>
      </c>
      <c r="C276" s="9" t="s">
        <v>448</v>
      </c>
      <c r="D276" s="10">
        <v>17292.099999999999</v>
      </c>
      <c r="E276" s="11">
        <v>44566</v>
      </c>
      <c r="F276" s="10">
        <v>17292.099999999999</v>
      </c>
      <c r="G276" s="12">
        <f>Tabla1[[#This Row],[Importe]]-Tabla1[[#This Row],[Pagado]]</f>
        <v>0</v>
      </c>
      <c r="H276" s="9" t="s">
        <v>10</v>
      </c>
    </row>
    <row r="277" spans="1:8" x14ac:dyDescent="0.25">
      <c r="A277" s="7">
        <v>44565</v>
      </c>
      <c r="B277" s="8" t="s">
        <v>449</v>
      </c>
      <c r="C277" s="9" t="s">
        <v>450</v>
      </c>
      <c r="D277" s="10">
        <v>4467.2</v>
      </c>
      <c r="E277" s="11">
        <v>44565</v>
      </c>
      <c r="F277" s="10">
        <v>4467.2</v>
      </c>
      <c r="G277" s="12">
        <f>Tabla1[[#This Row],[Importe]]-Tabla1[[#This Row],[Pagado]]</f>
        <v>0</v>
      </c>
      <c r="H277" s="9" t="s">
        <v>10</v>
      </c>
    </row>
    <row r="278" spans="1:8" x14ac:dyDescent="0.25">
      <c r="A278" s="7">
        <v>44565</v>
      </c>
      <c r="B278" s="8" t="s">
        <v>451</v>
      </c>
      <c r="C278" s="9" t="s">
        <v>452</v>
      </c>
      <c r="D278" s="10">
        <v>2924.8</v>
      </c>
      <c r="E278" s="11">
        <v>44565</v>
      </c>
      <c r="F278" s="10">
        <v>2924.8</v>
      </c>
      <c r="G278" s="12">
        <f>Tabla1[[#This Row],[Importe]]-Tabla1[[#This Row],[Pagado]]</f>
        <v>0</v>
      </c>
      <c r="H278" s="9" t="s">
        <v>10</v>
      </c>
    </row>
    <row r="279" spans="1:8" x14ac:dyDescent="0.25">
      <c r="A279" s="7">
        <v>44565</v>
      </c>
      <c r="B279" s="8" t="s">
        <v>453</v>
      </c>
      <c r="C279" s="9" t="s">
        <v>454</v>
      </c>
      <c r="D279" s="10">
        <v>3379.6</v>
      </c>
      <c r="E279" s="11">
        <v>44565</v>
      </c>
      <c r="F279" s="10">
        <v>3379.6</v>
      </c>
      <c r="G279" s="12">
        <f>Tabla1[[#This Row],[Importe]]-Tabla1[[#This Row],[Pagado]]</f>
        <v>0</v>
      </c>
      <c r="H279" s="9" t="s">
        <v>10</v>
      </c>
    </row>
    <row r="280" spans="1:8" x14ac:dyDescent="0.25">
      <c r="A280" s="7">
        <v>44565</v>
      </c>
      <c r="B280" s="8" t="s">
        <v>455</v>
      </c>
      <c r="C280" s="9" t="s">
        <v>31</v>
      </c>
      <c r="D280" s="10">
        <v>168</v>
      </c>
      <c r="E280" s="11">
        <v>44565</v>
      </c>
      <c r="F280" s="10">
        <v>168</v>
      </c>
      <c r="G280" s="12">
        <f>Tabla1[[#This Row],[Importe]]-Tabla1[[#This Row],[Pagado]]</f>
        <v>0</v>
      </c>
      <c r="H280" s="9" t="s">
        <v>10</v>
      </c>
    </row>
    <row r="281" spans="1:8" x14ac:dyDescent="0.25">
      <c r="A281" s="7">
        <v>44565</v>
      </c>
      <c r="B281" s="8" t="s">
        <v>456</v>
      </c>
      <c r="C281" s="9" t="s">
        <v>457</v>
      </c>
      <c r="D281" s="10">
        <v>198</v>
      </c>
      <c r="E281" s="11">
        <v>44565</v>
      </c>
      <c r="F281" s="10">
        <v>198</v>
      </c>
      <c r="G281" s="12">
        <f>Tabla1[[#This Row],[Importe]]-Tabla1[[#This Row],[Pagado]]</f>
        <v>0</v>
      </c>
      <c r="H281" s="9" t="s">
        <v>10</v>
      </c>
    </row>
    <row r="282" spans="1:8" x14ac:dyDescent="0.25">
      <c r="A282" s="7">
        <v>44565</v>
      </c>
      <c r="B282" s="8" t="s">
        <v>458</v>
      </c>
      <c r="C282" s="9" t="s">
        <v>459</v>
      </c>
      <c r="D282" s="10">
        <v>213</v>
      </c>
      <c r="E282" s="11">
        <v>44565</v>
      </c>
      <c r="F282" s="10">
        <v>213</v>
      </c>
      <c r="G282" s="12">
        <f>Tabla1[[#This Row],[Importe]]-Tabla1[[#This Row],[Pagado]]</f>
        <v>0</v>
      </c>
      <c r="H282" s="9" t="s">
        <v>10</v>
      </c>
    </row>
    <row r="283" spans="1:8" x14ac:dyDescent="0.25">
      <c r="A283" s="7">
        <v>44565</v>
      </c>
      <c r="B283" s="8" t="s">
        <v>460</v>
      </c>
      <c r="C283" s="9" t="s">
        <v>461</v>
      </c>
      <c r="D283" s="10">
        <v>394</v>
      </c>
      <c r="E283" s="11">
        <v>44565</v>
      </c>
      <c r="F283" s="10">
        <v>394</v>
      </c>
      <c r="G283" s="12">
        <f>Tabla1[[#This Row],[Importe]]-Tabla1[[#This Row],[Pagado]]</f>
        <v>0</v>
      </c>
      <c r="H283" s="9" t="s">
        <v>10</v>
      </c>
    </row>
    <row r="284" spans="1:8" x14ac:dyDescent="0.25">
      <c r="A284" s="7">
        <v>44565</v>
      </c>
      <c r="B284" s="8" t="s">
        <v>462</v>
      </c>
      <c r="C284" s="9" t="s">
        <v>463</v>
      </c>
      <c r="D284" s="10">
        <v>550</v>
      </c>
      <c r="E284" s="11">
        <v>44569</v>
      </c>
      <c r="F284" s="10">
        <v>550</v>
      </c>
      <c r="G284" s="12">
        <f>Tabla1[[#This Row],[Importe]]-Tabla1[[#This Row],[Pagado]]</f>
        <v>0</v>
      </c>
      <c r="H284" s="9" t="s">
        <v>10</v>
      </c>
    </row>
    <row r="285" spans="1:8" x14ac:dyDescent="0.25">
      <c r="A285" s="7">
        <v>44565</v>
      </c>
      <c r="B285" s="8" t="s">
        <v>464</v>
      </c>
      <c r="C285" s="9" t="s">
        <v>31</v>
      </c>
      <c r="D285" s="10">
        <v>263.32</v>
      </c>
      <c r="E285" s="11">
        <v>44566</v>
      </c>
      <c r="F285" s="10">
        <v>263.32</v>
      </c>
      <c r="G285" s="12">
        <f>Tabla1[[#This Row],[Importe]]-Tabla1[[#This Row],[Pagado]]</f>
        <v>0</v>
      </c>
      <c r="H285" s="9" t="s">
        <v>10</v>
      </c>
    </row>
    <row r="286" spans="1:8" x14ac:dyDescent="0.25">
      <c r="A286" s="7">
        <v>44565</v>
      </c>
      <c r="B286" s="8" t="s">
        <v>465</v>
      </c>
      <c r="C286" s="9" t="s">
        <v>466</v>
      </c>
      <c r="D286" s="10">
        <v>15235</v>
      </c>
      <c r="E286" s="11">
        <v>44565</v>
      </c>
      <c r="F286" s="10">
        <v>15235</v>
      </c>
      <c r="G286" s="12">
        <f>Tabla1[[#This Row],[Importe]]-Tabla1[[#This Row],[Pagado]]</f>
        <v>0</v>
      </c>
      <c r="H286" s="9" t="s">
        <v>10</v>
      </c>
    </row>
    <row r="287" spans="1:8" x14ac:dyDescent="0.25">
      <c r="A287" s="7">
        <v>44565</v>
      </c>
      <c r="B287" s="8" t="s">
        <v>467</v>
      </c>
      <c r="C287" s="9" t="s">
        <v>296</v>
      </c>
      <c r="D287" s="10">
        <v>2441.3000000000002</v>
      </c>
      <c r="E287" s="11">
        <v>44565</v>
      </c>
      <c r="F287" s="10">
        <v>2441.3000000000002</v>
      </c>
      <c r="G287" s="12">
        <f>Tabla1[[#This Row],[Importe]]-Tabla1[[#This Row],[Pagado]]</f>
        <v>0</v>
      </c>
      <c r="H287" s="9" t="s">
        <v>10</v>
      </c>
    </row>
    <row r="288" spans="1:8" x14ac:dyDescent="0.25">
      <c r="A288" s="7">
        <v>44565</v>
      </c>
      <c r="B288" s="8" t="s">
        <v>468</v>
      </c>
      <c r="C288" s="9" t="s">
        <v>53</v>
      </c>
      <c r="D288" s="10">
        <v>749.7</v>
      </c>
      <c r="E288" s="11">
        <v>44565</v>
      </c>
      <c r="F288" s="10">
        <v>749.7</v>
      </c>
      <c r="G288" s="12">
        <f>Tabla1[[#This Row],[Importe]]-Tabla1[[#This Row],[Pagado]]</f>
        <v>0</v>
      </c>
      <c r="H288" s="9" t="s">
        <v>10</v>
      </c>
    </row>
    <row r="289" spans="1:8" x14ac:dyDescent="0.25">
      <c r="A289" s="7">
        <v>44565</v>
      </c>
      <c r="B289" s="8" t="s">
        <v>469</v>
      </c>
      <c r="C289" s="9" t="s">
        <v>470</v>
      </c>
      <c r="D289" s="10">
        <v>15399</v>
      </c>
      <c r="E289" s="11">
        <v>44566</v>
      </c>
      <c r="F289" s="10">
        <v>15399</v>
      </c>
      <c r="G289" s="12">
        <f>Tabla1[[#This Row],[Importe]]-Tabla1[[#This Row],[Pagado]]</f>
        <v>0</v>
      </c>
      <c r="H289" s="9" t="s">
        <v>10</v>
      </c>
    </row>
    <row r="290" spans="1:8" x14ac:dyDescent="0.25">
      <c r="A290" s="7">
        <v>44566</v>
      </c>
      <c r="B290" s="8" t="s">
        <v>471</v>
      </c>
      <c r="C290" s="9" t="s">
        <v>414</v>
      </c>
      <c r="D290" s="10">
        <v>172396.79999999999</v>
      </c>
      <c r="E290" s="11">
        <v>44575</v>
      </c>
      <c r="F290" s="10">
        <v>172396.79999999999</v>
      </c>
      <c r="G290" s="12">
        <f>Tabla1[[#This Row],[Importe]]-Tabla1[[#This Row],[Pagado]]</f>
        <v>0</v>
      </c>
      <c r="H290" s="9" t="s">
        <v>10</v>
      </c>
    </row>
    <row r="291" spans="1:8" x14ac:dyDescent="0.25">
      <c r="A291" s="7">
        <v>44566</v>
      </c>
      <c r="B291" s="8" t="s">
        <v>472</v>
      </c>
      <c r="C291" s="9" t="s">
        <v>473</v>
      </c>
      <c r="D291" s="10">
        <v>8559.2999999999993</v>
      </c>
      <c r="E291" s="11">
        <v>44566</v>
      </c>
      <c r="F291" s="10">
        <v>8559.2999999999993</v>
      </c>
      <c r="G291" s="12">
        <f>Tabla1[[#This Row],[Importe]]-Tabla1[[#This Row],[Pagado]]</f>
        <v>0</v>
      </c>
      <c r="H291" s="9" t="s">
        <v>10</v>
      </c>
    </row>
    <row r="292" spans="1:8" ht="30" x14ac:dyDescent="0.25">
      <c r="A292" s="7">
        <v>44566</v>
      </c>
      <c r="B292" s="8" t="s">
        <v>474</v>
      </c>
      <c r="C292" s="9" t="s">
        <v>475</v>
      </c>
      <c r="D292" s="10">
        <v>33968</v>
      </c>
      <c r="E292" s="11" t="s">
        <v>122</v>
      </c>
      <c r="F292" s="10">
        <f>32150+1818</f>
        <v>33968</v>
      </c>
      <c r="G292" s="12">
        <f>Tabla1[[#This Row],[Importe]]-Tabla1[[#This Row],[Pagado]]</f>
        <v>0</v>
      </c>
      <c r="H292" s="9" t="s">
        <v>10</v>
      </c>
    </row>
    <row r="293" spans="1:8" x14ac:dyDescent="0.25">
      <c r="A293" s="7">
        <v>44566</v>
      </c>
      <c r="B293" s="8" t="s">
        <v>476</v>
      </c>
      <c r="C293" s="9" t="s">
        <v>75</v>
      </c>
      <c r="D293" s="10">
        <v>6665</v>
      </c>
      <c r="E293" s="11">
        <v>44566</v>
      </c>
      <c r="F293" s="10">
        <v>6665</v>
      </c>
      <c r="G293" s="12">
        <f>Tabla1[[#This Row],[Importe]]-Tabla1[[#This Row],[Pagado]]</f>
        <v>0</v>
      </c>
      <c r="H293" s="9" t="s">
        <v>10</v>
      </c>
    </row>
    <row r="294" spans="1:8" x14ac:dyDescent="0.25">
      <c r="A294" s="7">
        <v>44566</v>
      </c>
      <c r="B294" s="8" t="s">
        <v>477</v>
      </c>
      <c r="C294" s="9" t="s">
        <v>85</v>
      </c>
      <c r="D294" s="10">
        <v>1424.3</v>
      </c>
      <c r="E294" s="11">
        <v>44566</v>
      </c>
      <c r="F294" s="10">
        <v>1424.3</v>
      </c>
      <c r="G294" s="12">
        <f>Tabla1[[#This Row],[Importe]]-Tabla1[[#This Row],[Pagado]]</f>
        <v>0</v>
      </c>
      <c r="H294" s="9" t="s">
        <v>10</v>
      </c>
    </row>
    <row r="295" spans="1:8" x14ac:dyDescent="0.25">
      <c r="A295" s="7">
        <v>44566</v>
      </c>
      <c r="B295" s="8" t="s">
        <v>478</v>
      </c>
      <c r="C295" s="9" t="s">
        <v>198</v>
      </c>
      <c r="D295" s="10">
        <v>1342.7</v>
      </c>
      <c r="E295" s="11">
        <v>44566</v>
      </c>
      <c r="F295" s="10">
        <v>1342.7</v>
      </c>
      <c r="G295" s="12">
        <f>Tabla1[[#This Row],[Importe]]-Tabla1[[#This Row],[Pagado]]</f>
        <v>0</v>
      </c>
      <c r="H295" s="9" t="s">
        <v>10</v>
      </c>
    </row>
    <row r="296" spans="1:8" x14ac:dyDescent="0.25">
      <c r="A296" s="7">
        <v>44566</v>
      </c>
      <c r="B296" s="8" t="s">
        <v>479</v>
      </c>
      <c r="C296" s="9" t="s">
        <v>312</v>
      </c>
      <c r="D296" s="10">
        <v>812.6</v>
      </c>
      <c r="E296" s="11">
        <v>44566</v>
      </c>
      <c r="F296" s="10">
        <v>812.6</v>
      </c>
      <c r="G296" s="12">
        <f>Tabla1[[#This Row],[Importe]]-Tabla1[[#This Row],[Pagado]]</f>
        <v>0</v>
      </c>
      <c r="H296" s="9" t="s">
        <v>10</v>
      </c>
    </row>
    <row r="297" spans="1:8" x14ac:dyDescent="0.25">
      <c r="A297" s="7">
        <v>44566</v>
      </c>
      <c r="B297" s="8" t="s">
        <v>480</v>
      </c>
      <c r="C297" s="9" t="s">
        <v>481</v>
      </c>
      <c r="D297" s="10">
        <v>549.79999999999995</v>
      </c>
      <c r="E297" s="11">
        <v>44566</v>
      </c>
      <c r="F297" s="10">
        <v>549.79999999999995</v>
      </c>
      <c r="G297" s="12">
        <f>Tabla1[[#This Row],[Importe]]-Tabla1[[#This Row],[Pagado]]</f>
        <v>0</v>
      </c>
      <c r="H297" s="9" t="s">
        <v>10</v>
      </c>
    </row>
    <row r="298" spans="1:8" x14ac:dyDescent="0.25">
      <c r="A298" s="7">
        <v>44566</v>
      </c>
      <c r="B298" s="8" t="s">
        <v>482</v>
      </c>
      <c r="C298" s="9" t="s">
        <v>12</v>
      </c>
      <c r="D298" s="10">
        <v>13981</v>
      </c>
      <c r="E298" s="11">
        <v>44566</v>
      </c>
      <c r="F298" s="10">
        <v>13981</v>
      </c>
      <c r="G298" s="12">
        <f>Tabla1[[#This Row],[Importe]]-Tabla1[[#This Row],[Pagado]]</f>
        <v>0</v>
      </c>
      <c r="H298" s="9" t="s">
        <v>10</v>
      </c>
    </row>
    <row r="299" spans="1:8" x14ac:dyDescent="0.25">
      <c r="A299" s="7">
        <v>44566</v>
      </c>
      <c r="B299" s="8" t="s">
        <v>483</v>
      </c>
      <c r="C299" s="9" t="s">
        <v>484</v>
      </c>
      <c r="D299" s="10">
        <v>3251.2</v>
      </c>
      <c r="E299" s="11">
        <v>44566</v>
      </c>
      <c r="F299" s="10">
        <v>3251.2</v>
      </c>
      <c r="G299" s="12">
        <f>Tabla1[[#This Row],[Importe]]-Tabla1[[#This Row],[Pagado]]</f>
        <v>0</v>
      </c>
      <c r="H299" s="9" t="s">
        <v>10</v>
      </c>
    </row>
    <row r="300" spans="1:8" x14ac:dyDescent="0.25">
      <c r="A300" s="7">
        <v>44566</v>
      </c>
      <c r="B300" s="8" t="s">
        <v>485</v>
      </c>
      <c r="C300" s="9" t="s">
        <v>326</v>
      </c>
      <c r="D300" s="10">
        <v>4070</v>
      </c>
      <c r="E300" s="11">
        <v>44568</v>
      </c>
      <c r="F300" s="10">
        <v>4070</v>
      </c>
      <c r="G300" s="12">
        <f>Tabla1[[#This Row],[Importe]]-Tabla1[[#This Row],[Pagado]]</f>
        <v>0</v>
      </c>
      <c r="H300" s="9" t="s">
        <v>10</v>
      </c>
    </row>
    <row r="301" spans="1:8" x14ac:dyDescent="0.25">
      <c r="A301" s="7">
        <v>44566</v>
      </c>
      <c r="B301" s="8" t="s">
        <v>486</v>
      </c>
      <c r="C301" s="9" t="s">
        <v>60</v>
      </c>
      <c r="D301" s="10">
        <v>4229.3999999999996</v>
      </c>
      <c r="E301" s="11">
        <v>44570</v>
      </c>
      <c r="F301" s="10">
        <v>4229.3999999999996</v>
      </c>
      <c r="G301" s="12">
        <f>Tabla1[[#This Row],[Importe]]-Tabla1[[#This Row],[Pagado]]</f>
        <v>0</v>
      </c>
      <c r="H301" s="9" t="s">
        <v>10</v>
      </c>
    </row>
    <row r="302" spans="1:8" x14ac:dyDescent="0.25">
      <c r="A302" s="7">
        <v>44566</v>
      </c>
      <c r="B302" s="8" t="s">
        <v>487</v>
      </c>
      <c r="C302" s="9" t="s">
        <v>114</v>
      </c>
      <c r="D302" s="10">
        <v>4620</v>
      </c>
      <c r="E302" s="11">
        <v>44568</v>
      </c>
      <c r="F302" s="10">
        <v>4620</v>
      </c>
      <c r="G302" s="12">
        <f>Tabla1[[#This Row],[Importe]]-Tabla1[[#This Row],[Pagado]]</f>
        <v>0</v>
      </c>
      <c r="H302" s="9" t="s">
        <v>10</v>
      </c>
    </row>
    <row r="303" spans="1:8" x14ac:dyDescent="0.25">
      <c r="A303" s="7">
        <v>44566</v>
      </c>
      <c r="B303" s="8" t="s">
        <v>488</v>
      </c>
      <c r="C303" s="9" t="s">
        <v>64</v>
      </c>
      <c r="D303" s="10">
        <v>3930.72</v>
      </c>
      <c r="E303" s="11">
        <v>44567</v>
      </c>
      <c r="F303" s="10">
        <v>3930.72</v>
      </c>
      <c r="G303" s="12">
        <f>Tabla1[[#This Row],[Importe]]-Tabla1[[#This Row],[Pagado]]</f>
        <v>0</v>
      </c>
      <c r="H303" s="9" t="s">
        <v>10</v>
      </c>
    </row>
    <row r="304" spans="1:8" x14ac:dyDescent="0.25">
      <c r="A304" s="7">
        <v>44566</v>
      </c>
      <c r="B304" s="8" t="s">
        <v>489</v>
      </c>
      <c r="C304" s="9" t="s">
        <v>120</v>
      </c>
      <c r="D304" s="10">
        <v>4371.8999999999996</v>
      </c>
      <c r="E304" s="11">
        <v>44568</v>
      </c>
      <c r="F304" s="10">
        <v>4371.8999999999996</v>
      </c>
      <c r="G304" s="12">
        <f>Tabla1[[#This Row],[Importe]]-Tabla1[[#This Row],[Pagado]]</f>
        <v>0</v>
      </c>
      <c r="H304" s="9" t="s">
        <v>10</v>
      </c>
    </row>
    <row r="305" spans="1:8" x14ac:dyDescent="0.25">
      <c r="A305" s="7">
        <v>44566</v>
      </c>
      <c r="B305" s="8" t="s">
        <v>490</v>
      </c>
      <c r="C305" s="9" t="s">
        <v>491</v>
      </c>
      <c r="D305" s="10">
        <v>4840</v>
      </c>
      <c r="E305" s="11">
        <v>44566</v>
      </c>
      <c r="F305" s="10">
        <v>4840</v>
      </c>
      <c r="G305" s="12">
        <f>Tabla1[[#This Row],[Importe]]-Tabla1[[#This Row],[Pagado]]</f>
        <v>0</v>
      </c>
      <c r="H305" s="9" t="s">
        <v>10</v>
      </c>
    </row>
    <row r="306" spans="1:8" x14ac:dyDescent="0.25">
      <c r="A306" s="7">
        <v>44566</v>
      </c>
      <c r="B306" s="8" t="s">
        <v>492</v>
      </c>
      <c r="C306" s="9" t="s">
        <v>93</v>
      </c>
      <c r="D306" s="10">
        <v>5939.5</v>
      </c>
      <c r="E306" s="11">
        <v>44567</v>
      </c>
      <c r="F306" s="10">
        <v>5939.5</v>
      </c>
      <c r="G306" s="12">
        <f>Tabla1[[#This Row],[Importe]]-Tabla1[[#This Row],[Pagado]]</f>
        <v>0</v>
      </c>
      <c r="H306" s="9" t="s">
        <v>10</v>
      </c>
    </row>
    <row r="307" spans="1:8" x14ac:dyDescent="0.25">
      <c r="A307" s="7">
        <v>44566</v>
      </c>
      <c r="B307" s="8" t="s">
        <v>493</v>
      </c>
      <c r="C307" s="9" t="s">
        <v>47</v>
      </c>
      <c r="D307" s="10">
        <v>43419.5</v>
      </c>
      <c r="E307" s="11">
        <v>44567</v>
      </c>
      <c r="F307" s="10">
        <v>43419.5</v>
      </c>
      <c r="G307" s="12">
        <f>Tabla1[[#This Row],[Importe]]-Tabla1[[#This Row],[Pagado]]</f>
        <v>0</v>
      </c>
      <c r="H307" s="9" t="s">
        <v>10</v>
      </c>
    </row>
    <row r="308" spans="1:8" x14ac:dyDescent="0.25">
      <c r="A308" s="7">
        <v>44566</v>
      </c>
      <c r="B308" s="8" t="s">
        <v>494</v>
      </c>
      <c r="C308" s="9" t="s">
        <v>99</v>
      </c>
      <c r="D308" s="10">
        <v>2690</v>
      </c>
      <c r="E308" s="11">
        <v>44567</v>
      </c>
      <c r="F308" s="10">
        <v>2690</v>
      </c>
      <c r="G308" s="12">
        <f>Tabla1[[#This Row],[Importe]]-Tabla1[[#This Row],[Pagado]]</f>
        <v>0</v>
      </c>
      <c r="H308" s="9" t="s">
        <v>10</v>
      </c>
    </row>
    <row r="309" spans="1:8" x14ac:dyDescent="0.25">
      <c r="A309" s="7">
        <v>44566</v>
      </c>
      <c r="B309" s="8" t="s">
        <v>495</v>
      </c>
      <c r="C309" s="9" t="s">
        <v>22</v>
      </c>
      <c r="D309" s="10">
        <v>21226.799999999999</v>
      </c>
      <c r="E309" s="11">
        <v>44568</v>
      </c>
      <c r="F309" s="10">
        <v>21226.799999999999</v>
      </c>
      <c r="G309" s="12">
        <f>Tabla1[[#This Row],[Importe]]-Tabla1[[#This Row],[Pagado]]</f>
        <v>0</v>
      </c>
      <c r="H309" s="9" t="s">
        <v>10</v>
      </c>
    </row>
    <row r="310" spans="1:8" ht="30" x14ac:dyDescent="0.25">
      <c r="A310" s="7">
        <v>44566</v>
      </c>
      <c r="B310" s="8" t="s">
        <v>496</v>
      </c>
      <c r="C310" s="9" t="s">
        <v>39</v>
      </c>
      <c r="D310" s="10">
        <v>16740.599999999999</v>
      </c>
      <c r="E310" s="11" t="s">
        <v>497</v>
      </c>
      <c r="F310" s="10">
        <f>4000+12740.6</f>
        <v>16740.599999999999</v>
      </c>
      <c r="G310" s="12">
        <f>Tabla1[[#This Row],[Importe]]-Tabla1[[#This Row],[Pagado]]</f>
        <v>0</v>
      </c>
      <c r="H310" s="9" t="s">
        <v>10</v>
      </c>
    </row>
    <row r="311" spans="1:8" x14ac:dyDescent="0.25">
      <c r="A311" s="7">
        <v>44566</v>
      </c>
      <c r="B311" s="8" t="s">
        <v>498</v>
      </c>
      <c r="C311" s="9" t="s">
        <v>9</v>
      </c>
      <c r="D311" s="10">
        <v>5604.7</v>
      </c>
      <c r="E311" s="11">
        <v>44566</v>
      </c>
      <c r="F311" s="10">
        <v>5604.7</v>
      </c>
      <c r="G311" s="12">
        <f>Tabla1[[#This Row],[Importe]]-Tabla1[[#This Row],[Pagado]]</f>
        <v>0</v>
      </c>
      <c r="H311" s="9" t="s">
        <v>10</v>
      </c>
    </row>
    <row r="312" spans="1:8" x14ac:dyDescent="0.25">
      <c r="A312" s="7">
        <v>44566</v>
      </c>
      <c r="B312" s="8" t="s">
        <v>499</v>
      </c>
      <c r="C312" s="9" t="s">
        <v>105</v>
      </c>
      <c r="D312" s="10">
        <v>13802.3</v>
      </c>
      <c r="E312" s="11">
        <v>44567</v>
      </c>
      <c r="F312" s="10">
        <v>13802.3</v>
      </c>
      <c r="G312" s="12">
        <f>Tabla1[[#This Row],[Importe]]-Tabla1[[#This Row],[Pagado]]</f>
        <v>0</v>
      </c>
      <c r="H312" s="9" t="s">
        <v>10</v>
      </c>
    </row>
    <row r="313" spans="1:8" x14ac:dyDescent="0.25">
      <c r="A313" s="7">
        <v>44566</v>
      </c>
      <c r="B313" s="8" t="s">
        <v>500</v>
      </c>
      <c r="C313" s="9" t="s">
        <v>501</v>
      </c>
      <c r="D313" s="10">
        <v>4813.2</v>
      </c>
      <c r="E313" s="11">
        <v>44566</v>
      </c>
      <c r="F313" s="10">
        <v>4813.2</v>
      </c>
      <c r="G313" s="12">
        <f>Tabla1[[#This Row],[Importe]]-Tabla1[[#This Row],[Pagado]]</f>
        <v>0</v>
      </c>
      <c r="H313" s="9" t="s">
        <v>10</v>
      </c>
    </row>
    <row r="314" spans="1:8" x14ac:dyDescent="0.25">
      <c r="A314" s="7">
        <v>44566</v>
      </c>
      <c r="B314" s="8" t="s">
        <v>502</v>
      </c>
      <c r="C314" s="9" t="s">
        <v>131</v>
      </c>
      <c r="D314" s="10">
        <v>9345</v>
      </c>
      <c r="E314" s="11">
        <v>44566</v>
      </c>
      <c r="F314" s="10">
        <v>9345</v>
      </c>
      <c r="G314" s="12">
        <f>Tabla1[[#This Row],[Importe]]-Tabla1[[#This Row],[Pagado]]</f>
        <v>0</v>
      </c>
      <c r="H314" s="9" t="s">
        <v>10</v>
      </c>
    </row>
    <row r="315" spans="1:8" x14ac:dyDescent="0.25">
      <c r="A315" s="7">
        <v>44566</v>
      </c>
      <c r="B315" s="8" t="s">
        <v>503</v>
      </c>
      <c r="C315" s="9" t="s">
        <v>87</v>
      </c>
      <c r="D315" s="10">
        <v>1559</v>
      </c>
      <c r="E315" s="11">
        <v>44566</v>
      </c>
      <c r="F315" s="10">
        <v>1559</v>
      </c>
      <c r="G315" s="12">
        <f>Tabla1[[#This Row],[Importe]]-Tabla1[[#This Row],[Pagado]]</f>
        <v>0</v>
      </c>
      <c r="H315" s="9" t="s">
        <v>10</v>
      </c>
    </row>
    <row r="316" spans="1:8" x14ac:dyDescent="0.25">
      <c r="A316" s="7">
        <v>44566</v>
      </c>
      <c r="B316" s="8" t="s">
        <v>504</v>
      </c>
      <c r="C316" s="9" t="s">
        <v>89</v>
      </c>
      <c r="D316" s="10">
        <v>4381.2</v>
      </c>
      <c r="E316" s="11">
        <v>44567</v>
      </c>
      <c r="F316" s="10">
        <v>4381.2</v>
      </c>
      <c r="G316" s="12">
        <f>Tabla1[[#This Row],[Importe]]-Tabla1[[#This Row],[Pagado]]</f>
        <v>0</v>
      </c>
      <c r="H316" s="9" t="s">
        <v>10</v>
      </c>
    </row>
    <row r="317" spans="1:8" x14ac:dyDescent="0.25">
      <c r="A317" s="7">
        <v>44566</v>
      </c>
      <c r="B317" s="8" t="s">
        <v>505</v>
      </c>
      <c r="C317" s="9" t="s">
        <v>345</v>
      </c>
      <c r="D317" s="10">
        <v>1530</v>
      </c>
      <c r="E317" s="11">
        <v>44566</v>
      </c>
      <c r="F317" s="10">
        <v>1530</v>
      </c>
      <c r="G317" s="12">
        <f>Tabla1[[#This Row],[Importe]]-Tabla1[[#This Row],[Pagado]]</f>
        <v>0</v>
      </c>
      <c r="H317" s="9" t="s">
        <v>10</v>
      </c>
    </row>
    <row r="318" spans="1:8" x14ac:dyDescent="0.25">
      <c r="A318" s="7">
        <v>44566</v>
      </c>
      <c r="B318" s="8" t="s">
        <v>506</v>
      </c>
      <c r="C318" s="9" t="s">
        <v>348</v>
      </c>
      <c r="D318" s="10">
        <v>2595</v>
      </c>
      <c r="E318" s="11">
        <v>44566</v>
      </c>
      <c r="F318" s="10">
        <v>2595</v>
      </c>
      <c r="G318" s="12">
        <f>Tabla1[[#This Row],[Importe]]-Tabla1[[#This Row],[Pagado]]</f>
        <v>0</v>
      </c>
      <c r="H318" s="9" t="s">
        <v>10</v>
      </c>
    </row>
    <row r="319" spans="1:8" x14ac:dyDescent="0.25">
      <c r="A319" s="7">
        <v>44566</v>
      </c>
      <c r="B319" s="8" t="s">
        <v>507</v>
      </c>
      <c r="C319" s="9" t="s">
        <v>97</v>
      </c>
      <c r="D319" s="10">
        <v>11275.3</v>
      </c>
      <c r="E319" s="11">
        <v>44568</v>
      </c>
      <c r="F319" s="10">
        <v>11275.3</v>
      </c>
      <c r="G319" s="12">
        <f>Tabla1[[#This Row],[Importe]]-Tabla1[[#This Row],[Pagado]]</f>
        <v>0</v>
      </c>
      <c r="H319" s="9" t="s">
        <v>10</v>
      </c>
    </row>
    <row r="320" spans="1:8" x14ac:dyDescent="0.25">
      <c r="A320" s="7">
        <v>44566</v>
      </c>
      <c r="B320" s="8" t="s">
        <v>508</v>
      </c>
      <c r="C320" s="9" t="s">
        <v>83</v>
      </c>
      <c r="D320" s="10">
        <v>4370</v>
      </c>
      <c r="E320" s="11">
        <v>44566</v>
      </c>
      <c r="F320" s="10">
        <v>4370</v>
      </c>
      <c r="G320" s="12">
        <f>Tabla1[[#This Row],[Importe]]-Tabla1[[#This Row],[Pagado]]</f>
        <v>0</v>
      </c>
      <c r="H320" s="9" t="s">
        <v>10</v>
      </c>
    </row>
    <row r="321" spans="1:8" x14ac:dyDescent="0.25">
      <c r="A321" s="7">
        <v>44566</v>
      </c>
      <c r="B321" s="8" t="s">
        <v>509</v>
      </c>
      <c r="C321" s="9" t="s">
        <v>111</v>
      </c>
      <c r="D321" s="10">
        <v>4680.5</v>
      </c>
      <c r="E321" s="11">
        <v>44568</v>
      </c>
      <c r="F321" s="10">
        <v>4680.5</v>
      </c>
      <c r="G321" s="12">
        <f>Tabla1[[#This Row],[Importe]]-Tabla1[[#This Row],[Pagado]]</f>
        <v>0</v>
      </c>
      <c r="H321" s="9" t="s">
        <v>10</v>
      </c>
    </row>
    <row r="322" spans="1:8" x14ac:dyDescent="0.25">
      <c r="A322" s="7">
        <v>44566</v>
      </c>
      <c r="B322" s="8" t="s">
        <v>510</v>
      </c>
      <c r="C322" s="9" t="s">
        <v>18</v>
      </c>
      <c r="D322" s="10">
        <v>1352.4</v>
      </c>
      <c r="E322" s="11">
        <v>44566</v>
      </c>
      <c r="F322" s="10">
        <v>1352.4</v>
      </c>
      <c r="G322" s="12">
        <f>Tabla1[[#This Row],[Importe]]-Tabla1[[#This Row],[Pagado]]</f>
        <v>0</v>
      </c>
      <c r="H322" s="9" t="s">
        <v>10</v>
      </c>
    </row>
    <row r="323" spans="1:8" x14ac:dyDescent="0.25">
      <c r="A323" s="7">
        <v>44566</v>
      </c>
      <c r="B323" s="8" t="s">
        <v>511</v>
      </c>
      <c r="C323" s="9" t="s">
        <v>105</v>
      </c>
      <c r="D323" s="10">
        <v>5196.8</v>
      </c>
      <c r="E323" s="11">
        <v>44567</v>
      </c>
      <c r="F323" s="10">
        <v>5196.8</v>
      </c>
      <c r="G323" s="12">
        <f>Tabla1[[#This Row],[Importe]]-Tabla1[[#This Row],[Pagado]]</f>
        <v>0</v>
      </c>
      <c r="H323" s="9" t="s">
        <v>10</v>
      </c>
    </row>
    <row r="324" spans="1:8" x14ac:dyDescent="0.25">
      <c r="A324" s="7">
        <v>44566</v>
      </c>
      <c r="B324" s="8" t="s">
        <v>512</v>
      </c>
      <c r="C324" s="9" t="s">
        <v>513</v>
      </c>
      <c r="D324" s="10">
        <v>2405.1999999999998</v>
      </c>
      <c r="E324" s="11">
        <v>44566</v>
      </c>
      <c r="F324" s="10">
        <v>2405.1999999999998</v>
      </c>
      <c r="G324" s="12">
        <f>Tabla1[[#This Row],[Importe]]-Tabla1[[#This Row],[Pagado]]</f>
        <v>0</v>
      </c>
      <c r="H324" s="9" t="s">
        <v>10</v>
      </c>
    </row>
    <row r="325" spans="1:8" x14ac:dyDescent="0.25">
      <c r="A325" s="7">
        <v>44566</v>
      </c>
      <c r="B325" s="8" t="s">
        <v>514</v>
      </c>
      <c r="C325" s="9" t="s">
        <v>513</v>
      </c>
      <c r="D325" s="10">
        <v>817.6</v>
      </c>
      <c r="E325" s="11">
        <v>44566</v>
      </c>
      <c r="F325" s="10">
        <v>817.6</v>
      </c>
      <c r="G325" s="12">
        <f>Tabla1[[#This Row],[Importe]]-Tabla1[[#This Row],[Pagado]]</f>
        <v>0</v>
      </c>
      <c r="H325" s="9" t="s">
        <v>10</v>
      </c>
    </row>
    <row r="326" spans="1:8" x14ac:dyDescent="0.25">
      <c r="A326" s="7">
        <v>44566</v>
      </c>
      <c r="B326" s="8" t="s">
        <v>515</v>
      </c>
      <c r="C326" s="9" t="s">
        <v>157</v>
      </c>
      <c r="D326" s="10">
        <v>1940.4</v>
      </c>
      <c r="E326" s="11">
        <v>44566</v>
      </c>
      <c r="F326" s="10">
        <v>1940.4</v>
      </c>
      <c r="G326" s="12">
        <f>Tabla1[[#This Row],[Importe]]-Tabla1[[#This Row],[Pagado]]</f>
        <v>0</v>
      </c>
      <c r="H326" s="9" t="s">
        <v>10</v>
      </c>
    </row>
    <row r="327" spans="1:8" x14ac:dyDescent="0.25">
      <c r="A327" s="7">
        <v>44566</v>
      </c>
      <c r="B327" s="8" t="s">
        <v>516</v>
      </c>
      <c r="C327" s="9" t="s">
        <v>79</v>
      </c>
      <c r="D327" s="10">
        <v>4080</v>
      </c>
      <c r="E327" s="11">
        <v>44566</v>
      </c>
      <c r="F327" s="10">
        <v>4080</v>
      </c>
      <c r="G327" s="12">
        <f>Tabla1[[#This Row],[Importe]]-Tabla1[[#This Row],[Pagado]]</f>
        <v>0</v>
      </c>
      <c r="H327" s="9" t="s">
        <v>10</v>
      </c>
    </row>
    <row r="328" spans="1:8" x14ac:dyDescent="0.25">
      <c r="A328" s="7">
        <v>44566</v>
      </c>
      <c r="B328" s="8" t="s">
        <v>517</v>
      </c>
      <c r="C328" s="9" t="s">
        <v>518</v>
      </c>
      <c r="D328" s="10">
        <v>1355.4</v>
      </c>
      <c r="E328" s="11">
        <v>44566</v>
      </c>
      <c r="F328" s="10">
        <v>1355.4</v>
      </c>
      <c r="G328" s="12">
        <f>Tabla1[[#This Row],[Importe]]-Tabla1[[#This Row],[Pagado]]</f>
        <v>0</v>
      </c>
      <c r="H328" s="9" t="s">
        <v>10</v>
      </c>
    </row>
    <row r="329" spans="1:8" x14ac:dyDescent="0.25">
      <c r="A329" s="7">
        <v>44566</v>
      </c>
      <c r="B329" s="8" t="s">
        <v>519</v>
      </c>
      <c r="C329" s="9" t="s">
        <v>520</v>
      </c>
      <c r="D329" s="10">
        <v>1332</v>
      </c>
      <c r="E329" s="11">
        <v>44566</v>
      </c>
      <c r="F329" s="10">
        <v>1332</v>
      </c>
      <c r="G329" s="12">
        <f>Tabla1[[#This Row],[Importe]]-Tabla1[[#This Row],[Pagado]]</f>
        <v>0</v>
      </c>
      <c r="H329" s="9" t="s">
        <v>10</v>
      </c>
    </row>
    <row r="330" spans="1:8" x14ac:dyDescent="0.25">
      <c r="A330" s="7">
        <v>44566</v>
      </c>
      <c r="B330" s="8" t="s">
        <v>521</v>
      </c>
      <c r="C330" s="9" t="s">
        <v>183</v>
      </c>
      <c r="D330" s="10">
        <v>774.8</v>
      </c>
      <c r="E330" s="11">
        <v>44566</v>
      </c>
      <c r="F330" s="10">
        <v>774.8</v>
      </c>
      <c r="G330" s="12">
        <f>Tabla1[[#This Row],[Importe]]-Tabla1[[#This Row],[Pagado]]</f>
        <v>0</v>
      </c>
      <c r="H330" s="9" t="s">
        <v>10</v>
      </c>
    </row>
    <row r="331" spans="1:8" x14ac:dyDescent="0.25">
      <c r="A331" s="7">
        <v>44566</v>
      </c>
      <c r="B331" s="8" t="s">
        <v>522</v>
      </c>
      <c r="C331" s="9" t="s">
        <v>151</v>
      </c>
      <c r="D331" s="10">
        <v>6234.48</v>
      </c>
      <c r="E331" s="11">
        <v>44566</v>
      </c>
      <c r="F331" s="10">
        <v>6234.48</v>
      </c>
      <c r="G331" s="12">
        <f>Tabla1[[#This Row],[Importe]]-Tabla1[[#This Row],[Pagado]]</f>
        <v>0</v>
      </c>
      <c r="H331" s="9" t="s">
        <v>10</v>
      </c>
    </row>
    <row r="332" spans="1:8" x14ac:dyDescent="0.25">
      <c r="A332" s="7">
        <v>44566</v>
      </c>
      <c r="B332" s="8" t="s">
        <v>523</v>
      </c>
      <c r="C332" s="9" t="s">
        <v>27</v>
      </c>
      <c r="D332" s="10">
        <v>1843.2</v>
      </c>
      <c r="E332" s="11">
        <v>44566</v>
      </c>
      <c r="F332" s="10">
        <v>1843.2</v>
      </c>
      <c r="G332" s="12">
        <f>Tabla1[[#This Row],[Importe]]-Tabla1[[#This Row],[Pagado]]</f>
        <v>0</v>
      </c>
      <c r="H332" s="9" t="s">
        <v>10</v>
      </c>
    </row>
    <row r="333" spans="1:8" x14ac:dyDescent="0.25">
      <c r="A333" s="7">
        <v>44566</v>
      </c>
      <c r="B333" s="8" t="s">
        <v>524</v>
      </c>
      <c r="C333" s="9" t="s">
        <v>525</v>
      </c>
      <c r="D333" s="10">
        <v>3944.1</v>
      </c>
      <c r="E333" s="11">
        <v>44566</v>
      </c>
      <c r="F333" s="10">
        <v>3944.1</v>
      </c>
      <c r="G333" s="12">
        <f>Tabla1[[#This Row],[Importe]]-Tabla1[[#This Row],[Pagado]]</f>
        <v>0</v>
      </c>
      <c r="H333" s="9" t="s">
        <v>10</v>
      </c>
    </row>
    <row r="334" spans="1:8" x14ac:dyDescent="0.25">
      <c r="A334" s="7">
        <v>44566</v>
      </c>
      <c r="B334" s="8" t="s">
        <v>526</v>
      </c>
      <c r="C334" s="9" t="s">
        <v>159</v>
      </c>
      <c r="D334" s="10">
        <v>2750.4</v>
      </c>
      <c r="E334" s="11">
        <v>44566</v>
      </c>
      <c r="F334" s="10">
        <v>2750.4</v>
      </c>
      <c r="G334" s="12">
        <f>Tabla1[[#This Row],[Importe]]-Tabla1[[#This Row],[Pagado]]</f>
        <v>0</v>
      </c>
      <c r="H334" s="9" t="s">
        <v>10</v>
      </c>
    </row>
    <row r="335" spans="1:8" x14ac:dyDescent="0.25">
      <c r="A335" s="7">
        <v>44566</v>
      </c>
      <c r="B335" s="8" t="s">
        <v>527</v>
      </c>
      <c r="C335" s="9" t="s">
        <v>528</v>
      </c>
      <c r="D335" s="10">
        <v>50000</v>
      </c>
      <c r="E335" s="11">
        <v>44567</v>
      </c>
      <c r="F335" s="10">
        <v>50000</v>
      </c>
      <c r="G335" s="12">
        <f>Tabla1[[#This Row],[Importe]]-Tabla1[[#This Row],[Pagado]]</f>
        <v>0</v>
      </c>
      <c r="H335" s="9" t="s">
        <v>10</v>
      </c>
    </row>
    <row r="336" spans="1:8" x14ac:dyDescent="0.25">
      <c r="A336" s="7">
        <v>44566</v>
      </c>
      <c r="B336" s="8" t="s">
        <v>529</v>
      </c>
      <c r="C336" s="9" t="s">
        <v>16</v>
      </c>
      <c r="D336" s="10">
        <v>4104.8</v>
      </c>
      <c r="E336" s="11">
        <v>44566</v>
      </c>
      <c r="F336" s="10">
        <v>4104.8</v>
      </c>
      <c r="G336" s="12">
        <f>Tabla1[[#This Row],[Importe]]-Tabla1[[#This Row],[Pagado]]</f>
        <v>0</v>
      </c>
      <c r="H336" s="9" t="s">
        <v>10</v>
      </c>
    </row>
    <row r="337" spans="1:8" x14ac:dyDescent="0.25">
      <c r="A337" s="7">
        <v>44566</v>
      </c>
      <c r="B337" s="8" t="s">
        <v>530</v>
      </c>
      <c r="C337" s="9" t="s">
        <v>45</v>
      </c>
      <c r="D337" s="10">
        <v>10352</v>
      </c>
      <c r="E337" s="11">
        <v>44566</v>
      </c>
      <c r="F337" s="10">
        <v>10352</v>
      </c>
      <c r="G337" s="12">
        <f>Tabla1[[#This Row],[Importe]]-Tabla1[[#This Row],[Pagado]]</f>
        <v>0</v>
      </c>
      <c r="H337" s="9" t="s">
        <v>10</v>
      </c>
    </row>
    <row r="338" spans="1:8" x14ac:dyDescent="0.25">
      <c r="A338" s="7">
        <v>44566</v>
      </c>
      <c r="B338" s="8" t="s">
        <v>531</v>
      </c>
      <c r="C338" s="9" t="s">
        <v>226</v>
      </c>
      <c r="D338" s="10">
        <v>5410.8</v>
      </c>
      <c r="E338" s="11">
        <v>44566</v>
      </c>
      <c r="F338" s="10">
        <v>5410.8</v>
      </c>
      <c r="G338" s="12">
        <f>Tabla1[[#This Row],[Importe]]-Tabla1[[#This Row],[Pagado]]</f>
        <v>0</v>
      </c>
      <c r="H338" s="9" t="s">
        <v>10</v>
      </c>
    </row>
    <row r="339" spans="1:8" x14ac:dyDescent="0.25">
      <c r="A339" s="7">
        <v>44566</v>
      </c>
      <c r="B339" s="8" t="s">
        <v>532</v>
      </c>
      <c r="C339" s="9" t="s">
        <v>237</v>
      </c>
      <c r="D339" s="10">
        <v>778.6</v>
      </c>
      <c r="E339" s="11">
        <v>44566</v>
      </c>
      <c r="F339" s="10">
        <v>778.6</v>
      </c>
      <c r="G339" s="12">
        <f>Tabla1[[#This Row],[Importe]]-Tabla1[[#This Row],[Pagado]]</f>
        <v>0</v>
      </c>
      <c r="H339" s="9" t="s">
        <v>10</v>
      </c>
    </row>
    <row r="340" spans="1:8" x14ac:dyDescent="0.25">
      <c r="A340" s="7">
        <v>44566</v>
      </c>
      <c r="B340" s="8" t="s">
        <v>533</v>
      </c>
      <c r="C340" s="9" t="s">
        <v>289</v>
      </c>
      <c r="D340" s="10">
        <v>9154</v>
      </c>
      <c r="E340" s="11">
        <v>44566</v>
      </c>
      <c r="F340" s="10">
        <v>9154</v>
      </c>
      <c r="G340" s="12">
        <f>Tabla1[[#This Row],[Importe]]-Tabla1[[#This Row],[Pagado]]</f>
        <v>0</v>
      </c>
      <c r="H340" s="9" t="s">
        <v>10</v>
      </c>
    </row>
    <row r="341" spans="1:8" x14ac:dyDescent="0.25">
      <c r="A341" s="7">
        <v>44566</v>
      </c>
      <c r="B341" s="8" t="s">
        <v>534</v>
      </c>
      <c r="C341" s="9" t="s">
        <v>146</v>
      </c>
      <c r="D341" s="10">
        <v>2639</v>
      </c>
      <c r="E341" s="11">
        <v>44566</v>
      </c>
      <c r="F341" s="10">
        <v>2639</v>
      </c>
      <c r="G341" s="12">
        <f>Tabla1[[#This Row],[Importe]]-Tabla1[[#This Row],[Pagado]]</f>
        <v>0</v>
      </c>
      <c r="H341" s="9" t="s">
        <v>10</v>
      </c>
    </row>
    <row r="342" spans="1:8" x14ac:dyDescent="0.25">
      <c r="A342" s="7">
        <v>44566</v>
      </c>
      <c r="B342" s="8" t="s">
        <v>535</v>
      </c>
      <c r="C342" s="9" t="s">
        <v>49</v>
      </c>
      <c r="D342" s="10">
        <v>2785</v>
      </c>
      <c r="E342" s="11">
        <v>44566</v>
      </c>
      <c r="F342" s="10">
        <v>2785</v>
      </c>
      <c r="G342" s="12">
        <f>Tabla1[[#This Row],[Importe]]-Tabla1[[#This Row],[Pagado]]</f>
        <v>0</v>
      </c>
      <c r="H342" s="9" t="s">
        <v>10</v>
      </c>
    </row>
    <row r="343" spans="1:8" x14ac:dyDescent="0.25">
      <c r="A343" s="7">
        <v>44566</v>
      </c>
      <c r="B343" s="8" t="s">
        <v>536</v>
      </c>
      <c r="C343" s="9" t="s">
        <v>125</v>
      </c>
      <c r="D343" s="10">
        <v>2165</v>
      </c>
      <c r="E343" s="11">
        <v>44566</v>
      </c>
      <c r="F343" s="10">
        <v>2165</v>
      </c>
      <c r="G343" s="12">
        <f>Tabla1[[#This Row],[Importe]]-Tabla1[[#This Row],[Pagado]]</f>
        <v>0</v>
      </c>
      <c r="H343" s="9" t="s">
        <v>10</v>
      </c>
    </row>
    <row r="344" spans="1:8" x14ac:dyDescent="0.25">
      <c r="A344" s="7">
        <v>44566</v>
      </c>
      <c r="B344" s="8" t="s">
        <v>537</v>
      </c>
      <c r="C344" s="9" t="s">
        <v>129</v>
      </c>
      <c r="D344" s="10">
        <v>1004.7</v>
      </c>
      <c r="E344" s="11">
        <v>44566</v>
      </c>
      <c r="F344" s="10">
        <v>1004.7</v>
      </c>
      <c r="G344" s="12">
        <f>Tabla1[[#This Row],[Importe]]-Tabla1[[#This Row],[Pagado]]</f>
        <v>0</v>
      </c>
      <c r="H344" s="9" t="s">
        <v>10</v>
      </c>
    </row>
    <row r="345" spans="1:8" x14ac:dyDescent="0.25">
      <c r="A345" s="7">
        <v>44566</v>
      </c>
      <c r="B345" s="8" t="s">
        <v>538</v>
      </c>
      <c r="C345" s="9" t="s">
        <v>140</v>
      </c>
      <c r="D345" s="10">
        <v>4614.3</v>
      </c>
      <c r="E345" s="11">
        <v>44566</v>
      </c>
      <c r="F345" s="10">
        <v>4614.3</v>
      </c>
      <c r="G345" s="12">
        <f>Tabla1[[#This Row],[Importe]]-Tabla1[[#This Row],[Pagado]]</f>
        <v>0</v>
      </c>
      <c r="H345" s="9" t="s">
        <v>10</v>
      </c>
    </row>
    <row r="346" spans="1:8" x14ac:dyDescent="0.25">
      <c r="A346" s="7">
        <v>44566</v>
      </c>
      <c r="B346" s="8" t="s">
        <v>539</v>
      </c>
      <c r="C346" s="9" t="s">
        <v>53</v>
      </c>
      <c r="D346" s="10">
        <v>1270.2</v>
      </c>
      <c r="E346" s="11">
        <v>44566</v>
      </c>
      <c r="F346" s="10">
        <v>1270.2</v>
      </c>
      <c r="G346" s="12">
        <f>Tabla1[[#This Row],[Importe]]-Tabla1[[#This Row],[Pagado]]</f>
        <v>0</v>
      </c>
      <c r="H346" s="9" t="s">
        <v>10</v>
      </c>
    </row>
    <row r="347" spans="1:8" x14ac:dyDescent="0.25">
      <c r="A347" s="7">
        <v>44566</v>
      </c>
      <c r="B347" s="8" t="s">
        <v>540</v>
      </c>
      <c r="C347" s="9" t="s">
        <v>541</v>
      </c>
      <c r="D347" s="10">
        <v>9243</v>
      </c>
      <c r="E347" s="11">
        <v>44567</v>
      </c>
      <c r="F347" s="10">
        <v>9243</v>
      </c>
      <c r="G347" s="12">
        <f>Tabla1[[#This Row],[Importe]]-Tabla1[[#This Row],[Pagado]]</f>
        <v>0</v>
      </c>
      <c r="H347" s="9" t="s">
        <v>10</v>
      </c>
    </row>
    <row r="348" spans="1:8" x14ac:dyDescent="0.25">
      <c r="A348" s="7">
        <v>44566</v>
      </c>
      <c r="B348" s="8" t="s">
        <v>542</v>
      </c>
      <c r="C348" s="9" t="s">
        <v>31</v>
      </c>
      <c r="D348" s="10">
        <v>6150</v>
      </c>
      <c r="E348" s="11">
        <v>44567</v>
      </c>
      <c r="F348" s="10">
        <v>6150</v>
      </c>
      <c r="G348" s="12">
        <f>Tabla1[[#This Row],[Importe]]-Tabla1[[#This Row],[Pagado]]</f>
        <v>0</v>
      </c>
      <c r="H348" s="9" t="s">
        <v>10</v>
      </c>
    </row>
    <row r="349" spans="1:8" x14ac:dyDescent="0.25">
      <c r="A349" s="7">
        <v>44566</v>
      </c>
      <c r="B349" s="8" t="s">
        <v>543</v>
      </c>
      <c r="C349" s="9" t="s">
        <v>127</v>
      </c>
      <c r="D349" s="10">
        <v>4534.2</v>
      </c>
      <c r="E349" s="11">
        <v>44566</v>
      </c>
      <c r="F349" s="10">
        <v>4534.2</v>
      </c>
      <c r="G349" s="12">
        <f>Tabla1[[#This Row],[Importe]]-Tabla1[[#This Row],[Pagado]]</f>
        <v>0</v>
      </c>
      <c r="H349" s="9" t="s">
        <v>10</v>
      </c>
    </row>
    <row r="350" spans="1:8" x14ac:dyDescent="0.25">
      <c r="A350" s="7">
        <v>44566</v>
      </c>
      <c r="B350" s="8" t="s">
        <v>544</v>
      </c>
      <c r="C350" s="9" t="s">
        <v>31</v>
      </c>
      <c r="D350" s="10">
        <v>1159.5</v>
      </c>
      <c r="E350" s="11">
        <v>44566</v>
      </c>
      <c r="F350" s="10">
        <v>1159.5</v>
      </c>
      <c r="G350" s="12">
        <f>Tabla1[[#This Row],[Importe]]-Tabla1[[#This Row],[Pagado]]</f>
        <v>0</v>
      </c>
      <c r="H350" s="9" t="s">
        <v>10</v>
      </c>
    </row>
    <row r="351" spans="1:8" x14ac:dyDescent="0.25">
      <c r="A351" s="7">
        <v>44566</v>
      </c>
      <c r="B351" s="8" t="s">
        <v>545</v>
      </c>
      <c r="C351" s="9" t="s">
        <v>357</v>
      </c>
      <c r="D351" s="10">
        <v>448</v>
      </c>
      <c r="E351" s="11">
        <v>44566</v>
      </c>
      <c r="F351" s="10">
        <v>448</v>
      </c>
      <c r="G351" s="12">
        <f>Tabla1[[#This Row],[Importe]]-Tabla1[[#This Row],[Pagado]]</f>
        <v>0</v>
      </c>
      <c r="H351" s="9" t="s">
        <v>10</v>
      </c>
    </row>
    <row r="352" spans="1:8" x14ac:dyDescent="0.25">
      <c r="A352" s="7">
        <v>44566</v>
      </c>
      <c r="B352" s="8" t="s">
        <v>546</v>
      </c>
      <c r="C352" s="9" t="s">
        <v>107</v>
      </c>
      <c r="D352" s="10">
        <v>15405</v>
      </c>
      <c r="E352" s="11">
        <v>44566</v>
      </c>
      <c r="F352" s="10">
        <v>15405</v>
      </c>
      <c r="G352" s="12">
        <f>Tabla1[[#This Row],[Importe]]-Tabla1[[#This Row],[Pagado]]</f>
        <v>0</v>
      </c>
      <c r="H352" s="9" t="s">
        <v>10</v>
      </c>
    </row>
    <row r="353" spans="1:8" x14ac:dyDescent="0.25">
      <c r="A353" s="7">
        <v>44566</v>
      </c>
      <c r="B353" s="8" t="s">
        <v>547</v>
      </c>
      <c r="C353" s="9" t="s">
        <v>339</v>
      </c>
      <c r="D353" s="10">
        <v>170</v>
      </c>
      <c r="E353" s="11">
        <v>44566</v>
      </c>
      <c r="F353" s="10">
        <v>170</v>
      </c>
      <c r="G353" s="12">
        <f>Tabla1[[#This Row],[Importe]]-Tabla1[[#This Row],[Pagado]]</f>
        <v>0</v>
      </c>
      <c r="H353" s="9" t="s">
        <v>10</v>
      </c>
    </row>
    <row r="354" spans="1:8" x14ac:dyDescent="0.25">
      <c r="A354" s="7">
        <v>44566</v>
      </c>
      <c r="B354" s="8" t="s">
        <v>548</v>
      </c>
      <c r="C354" s="9" t="s">
        <v>357</v>
      </c>
      <c r="D354" s="10">
        <v>170</v>
      </c>
      <c r="E354" s="11">
        <v>44566</v>
      </c>
      <c r="F354" s="10">
        <v>170</v>
      </c>
      <c r="G354" s="12">
        <f>Tabla1[[#This Row],[Importe]]-Tabla1[[#This Row],[Pagado]]</f>
        <v>0</v>
      </c>
      <c r="H354" s="9" t="s">
        <v>10</v>
      </c>
    </row>
    <row r="355" spans="1:8" x14ac:dyDescent="0.25">
      <c r="A355" s="7">
        <v>44566</v>
      </c>
      <c r="B355" s="8" t="s">
        <v>549</v>
      </c>
      <c r="C355" s="9" t="s">
        <v>191</v>
      </c>
      <c r="D355" s="10">
        <v>1421.4</v>
      </c>
      <c r="E355" s="11">
        <v>44566</v>
      </c>
      <c r="F355" s="10">
        <v>1421.4</v>
      </c>
      <c r="G355" s="12">
        <f>Tabla1[[#This Row],[Importe]]-Tabla1[[#This Row],[Pagado]]</f>
        <v>0</v>
      </c>
      <c r="H355" s="9" t="s">
        <v>10</v>
      </c>
    </row>
    <row r="356" spans="1:8" x14ac:dyDescent="0.25">
      <c r="A356" s="7">
        <v>44566</v>
      </c>
      <c r="B356" s="8" t="s">
        <v>550</v>
      </c>
      <c r="C356" s="9" t="s">
        <v>275</v>
      </c>
      <c r="D356" s="10">
        <v>10418.700000000001</v>
      </c>
      <c r="E356" s="11">
        <v>44575</v>
      </c>
      <c r="F356" s="10">
        <v>10418.700000000001</v>
      </c>
      <c r="G356" s="12">
        <f>Tabla1[[#This Row],[Importe]]-Tabla1[[#This Row],[Pagado]]</f>
        <v>0</v>
      </c>
      <c r="H356" s="9" t="s">
        <v>10</v>
      </c>
    </row>
    <row r="357" spans="1:8" x14ac:dyDescent="0.25">
      <c r="A357" s="7">
        <v>44566</v>
      </c>
      <c r="B357" s="8" t="s">
        <v>551</v>
      </c>
      <c r="C357" s="9" t="s">
        <v>230</v>
      </c>
      <c r="D357" s="10">
        <v>5945.5</v>
      </c>
      <c r="E357" s="11">
        <v>44566</v>
      </c>
      <c r="F357" s="10">
        <v>5945.5</v>
      </c>
      <c r="G357" s="12">
        <f>Tabla1[[#This Row],[Importe]]-Tabla1[[#This Row],[Pagado]]</f>
        <v>0</v>
      </c>
      <c r="H357" s="9" t="s">
        <v>10</v>
      </c>
    </row>
    <row r="358" spans="1:8" x14ac:dyDescent="0.25">
      <c r="A358" s="7">
        <v>44566</v>
      </c>
      <c r="B358" s="8" t="s">
        <v>552</v>
      </c>
      <c r="C358" s="9" t="s">
        <v>553</v>
      </c>
      <c r="D358" s="10">
        <v>5834.4</v>
      </c>
      <c r="E358" s="11">
        <v>44566</v>
      </c>
      <c r="F358" s="10">
        <v>5834.4</v>
      </c>
      <c r="G358" s="12">
        <f>Tabla1[[#This Row],[Importe]]-Tabla1[[#This Row],[Pagado]]</f>
        <v>0</v>
      </c>
      <c r="H358" s="9" t="s">
        <v>10</v>
      </c>
    </row>
    <row r="359" spans="1:8" ht="30" x14ac:dyDescent="0.25">
      <c r="A359" s="7">
        <v>44566</v>
      </c>
      <c r="B359" s="8" t="s">
        <v>554</v>
      </c>
      <c r="C359" s="9" t="s">
        <v>555</v>
      </c>
      <c r="D359" s="10">
        <v>43561.279999999999</v>
      </c>
      <c r="E359" s="11" t="s">
        <v>100</v>
      </c>
      <c r="F359" s="10">
        <f>23000+20561.28</f>
        <v>43561.279999999999</v>
      </c>
      <c r="G359" s="12">
        <f>Tabla1[[#This Row],[Importe]]-Tabla1[[#This Row],[Pagado]]</f>
        <v>0</v>
      </c>
      <c r="H359" s="9" t="s">
        <v>10</v>
      </c>
    </row>
    <row r="360" spans="1:8" x14ac:dyDescent="0.25">
      <c r="A360" s="7">
        <v>44566</v>
      </c>
      <c r="B360" s="8" t="s">
        <v>556</v>
      </c>
      <c r="C360" s="9" t="s">
        <v>202</v>
      </c>
      <c r="D360" s="10">
        <v>3876</v>
      </c>
      <c r="E360" s="11">
        <v>44566</v>
      </c>
      <c r="F360" s="10">
        <v>3876</v>
      </c>
      <c r="G360" s="12">
        <f>Tabla1[[#This Row],[Importe]]-Tabla1[[#This Row],[Pagado]]</f>
        <v>0</v>
      </c>
      <c r="H360" s="9" t="s">
        <v>10</v>
      </c>
    </row>
    <row r="361" spans="1:8" x14ac:dyDescent="0.25">
      <c r="A361" s="7">
        <v>44566</v>
      </c>
      <c r="B361" s="8" t="s">
        <v>557</v>
      </c>
      <c r="C361" s="9" t="s">
        <v>212</v>
      </c>
      <c r="D361" s="10">
        <v>40448</v>
      </c>
      <c r="E361" s="11">
        <v>44572</v>
      </c>
      <c r="F361" s="10">
        <v>40448</v>
      </c>
      <c r="G361" s="12">
        <f>Tabla1[[#This Row],[Importe]]-Tabla1[[#This Row],[Pagado]]</f>
        <v>0</v>
      </c>
      <c r="H361" s="9" t="s">
        <v>10</v>
      </c>
    </row>
    <row r="362" spans="1:8" x14ac:dyDescent="0.25">
      <c r="A362" s="7">
        <v>44566</v>
      </c>
      <c r="B362" s="8" t="s">
        <v>558</v>
      </c>
      <c r="C362" s="9" t="s">
        <v>181</v>
      </c>
      <c r="D362" s="10">
        <v>11394</v>
      </c>
      <c r="E362" s="11">
        <v>44567</v>
      </c>
      <c r="F362" s="10">
        <v>11394</v>
      </c>
      <c r="G362" s="12">
        <f>Tabla1[[#This Row],[Importe]]-Tabla1[[#This Row],[Pagado]]</f>
        <v>0</v>
      </c>
      <c r="H362" s="9" t="s">
        <v>10</v>
      </c>
    </row>
    <row r="363" spans="1:8" x14ac:dyDescent="0.25">
      <c r="A363" s="7">
        <v>44566</v>
      </c>
      <c r="B363" s="8" t="s">
        <v>559</v>
      </c>
      <c r="C363" s="9" t="s">
        <v>371</v>
      </c>
      <c r="D363" s="10">
        <v>32053</v>
      </c>
      <c r="E363" s="11">
        <v>44566</v>
      </c>
      <c r="F363" s="10">
        <v>32053</v>
      </c>
      <c r="G363" s="12">
        <f>Tabla1[[#This Row],[Importe]]-Tabla1[[#This Row],[Pagado]]</f>
        <v>0</v>
      </c>
      <c r="H363" s="9" t="s">
        <v>10</v>
      </c>
    </row>
    <row r="364" spans="1:8" x14ac:dyDescent="0.25">
      <c r="A364" s="7">
        <v>44566</v>
      </c>
      <c r="B364" s="8" t="s">
        <v>560</v>
      </c>
      <c r="C364" s="9" t="s">
        <v>154</v>
      </c>
      <c r="D364" s="10">
        <v>26073</v>
      </c>
      <c r="E364" s="11">
        <v>44569</v>
      </c>
      <c r="F364" s="10">
        <v>26073</v>
      </c>
      <c r="G364" s="12">
        <f>Tabla1[[#This Row],[Importe]]-Tabla1[[#This Row],[Pagado]]</f>
        <v>0</v>
      </c>
      <c r="H364" s="9" t="s">
        <v>10</v>
      </c>
    </row>
    <row r="365" spans="1:8" x14ac:dyDescent="0.25">
      <c r="A365" s="7">
        <v>44566</v>
      </c>
      <c r="B365" s="8" t="s">
        <v>561</v>
      </c>
      <c r="C365" s="9" t="s">
        <v>562</v>
      </c>
      <c r="D365" s="10">
        <v>2989.8</v>
      </c>
      <c r="E365" s="11">
        <v>44566</v>
      </c>
      <c r="F365" s="10">
        <v>2989.8</v>
      </c>
      <c r="G365" s="12">
        <f>Tabla1[[#This Row],[Importe]]-Tabla1[[#This Row],[Pagado]]</f>
        <v>0</v>
      </c>
      <c r="H365" s="9" t="s">
        <v>10</v>
      </c>
    </row>
    <row r="366" spans="1:8" x14ac:dyDescent="0.25">
      <c r="A366" s="7">
        <v>44566</v>
      </c>
      <c r="B366" s="8" t="s">
        <v>563</v>
      </c>
      <c r="C366" s="9" t="s">
        <v>562</v>
      </c>
      <c r="D366" s="10">
        <v>319</v>
      </c>
      <c r="E366" s="11">
        <v>44566</v>
      </c>
      <c r="F366" s="10">
        <v>319</v>
      </c>
      <c r="G366" s="12">
        <f>Tabla1[[#This Row],[Importe]]-Tabla1[[#This Row],[Pagado]]</f>
        <v>0</v>
      </c>
      <c r="H366" s="9" t="s">
        <v>10</v>
      </c>
    </row>
    <row r="367" spans="1:8" x14ac:dyDescent="0.25">
      <c r="A367" s="7">
        <v>44566</v>
      </c>
      <c r="B367" s="8" t="s">
        <v>564</v>
      </c>
      <c r="C367" s="9" t="s">
        <v>562</v>
      </c>
      <c r="D367" s="10">
        <v>345.4</v>
      </c>
      <c r="E367" s="11">
        <v>44566</v>
      </c>
      <c r="F367" s="10">
        <v>345.4</v>
      </c>
      <c r="G367" s="12">
        <f>Tabla1[[#This Row],[Importe]]-Tabla1[[#This Row],[Pagado]]</f>
        <v>0</v>
      </c>
      <c r="H367" s="9" t="s">
        <v>10</v>
      </c>
    </row>
    <row r="368" spans="1:8" x14ac:dyDescent="0.25">
      <c r="A368" s="7">
        <v>44566</v>
      </c>
      <c r="B368" s="8" t="s">
        <v>565</v>
      </c>
      <c r="C368" s="9" t="s">
        <v>218</v>
      </c>
      <c r="D368" s="10">
        <v>14068</v>
      </c>
      <c r="E368" s="11">
        <v>44569</v>
      </c>
      <c r="F368" s="10">
        <v>14068</v>
      </c>
      <c r="G368" s="12">
        <f>Tabla1[[#This Row],[Importe]]-Tabla1[[#This Row],[Pagado]]</f>
        <v>0</v>
      </c>
      <c r="H368" s="9" t="s">
        <v>10</v>
      </c>
    </row>
    <row r="369" spans="1:8" x14ac:dyDescent="0.25">
      <c r="A369" s="7">
        <v>44566</v>
      </c>
      <c r="B369" s="8" t="s">
        <v>566</v>
      </c>
      <c r="C369" s="9" t="s">
        <v>200</v>
      </c>
      <c r="D369" s="10">
        <v>1055</v>
      </c>
      <c r="E369" s="11">
        <v>44567</v>
      </c>
      <c r="F369" s="10">
        <v>1055</v>
      </c>
      <c r="G369" s="12">
        <f>Tabla1[[#This Row],[Importe]]-Tabla1[[#This Row],[Pagado]]</f>
        <v>0</v>
      </c>
      <c r="H369" s="9" t="s">
        <v>10</v>
      </c>
    </row>
    <row r="370" spans="1:8" x14ac:dyDescent="0.25">
      <c r="A370" s="7">
        <v>44566</v>
      </c>
      <c r="B370" s="8" t="s">
        <v>567</v>
      </c>
      <c r="C370" s="9" t="s">
        <v>359</v>
      </c>
      <c r="D370" s="10">
        <v>4215.8999999999996</v>
      </c>
      <c r="E370" s="11">
        <v>44567</v>
      </c>
      <c r="F370" s="10">
        <v>4215.8999999999996</v>
      </c>
      <c r="G370" s="12">
        <f>Tabla1[[#This Row],[Importe]]-Tabla1[[#This Row],[Pagado]]</f>
        <v>0</v>
      </c>
      <c r="H370" s="9" t="s">
        <v>10</v>
      </c>
    </row>
    <row r="371" spans="1:8" x14ac:dyDescent="0.25">
      <c r="A371" s="7">
        <v>44566</v>
      </c>
      <c r="B371" s="8" t="s">
        <v>568</v>
      </c>
      <c r="C371" s="9" t="s">
        <v>280</v>
      </c>
      <c r="D371" s="10">
        <v>915</v>
      </c>
      <c r="E371" s="11">
        <v>44567</v>
      </c>
      <c r="F371" s="10">
        <v>915</v>
      </c>
      <c r="G371" s="12">
        <f>Tabla1[[#This Row],[Importe]]-Tabla1[[#This Row],[Pagado]]</f>
        <v>0</v>
      </c>
      <c r="H371" s="9" t="s">
        <v>10</v>
      </c>
    </row>
    <row r="372" spans="1:8" x14ac:dyDescent="0.25">
      <c r="A372" s="7">
        <v>44566</v>
      </c>
      <c r="B372" s="8" t="s">
        <v>569</v>
      </c>
      <c r="C372" s="9" t="s">
        <v>282</v>
      </c>
      <c r="D372" s="10">
        <v>2060</v>
      </c>
      <c r="E372" s="11">
        <v>44567</v>
      </c>
      <c r="F372" s="10">
        <v>2060</v>
      </c>
      <c r="G372" s="12">
        <f>Tabla1[[#This Row],[Importe]]-Tabla1[[#This Row],[Pagado]]</f>
        <v>0</v>
      </c>
      <c r="H372" s="9" t="s">
        <v>10</v>
      </c>
    </row>
    <row r="373" spans="1:8" x14ac:dyDescent="0.25">
      <c r="A373" s="7">
        <v>44566</v>
      </c>
      <c r="B373" s="8" t="s">
        <v>570</v>
      </c>
      <c r="C373" s="9" t="s">
        <v>373</v>
      </c>
      <c r="D373" s="10">
        <v>456</v>
      </c>
      <c r="E373" s="11">
        <v>44566</v>
      </c>
      <c r="F373" s="10">
        <v>456</v>
      </c>
      <c r="G373" s="12">
        <f>Tabla1[[#This Row],[Importe]]-Tabla1[[#This Row],[Pagado]]</f>
        <v>0</v>
      </c>
      <c r="H373" s="9" t="s">
        <v>10</v>
      </c>
    </row>
    <row r="374" spans="1:8" x14ac:dyDescent="0.25">
      <c r="A374" s="7">
        <v>44566</v>
      </c>
      <c r="B374" s="8" t="s">
        <v>571</v>
      </c>
      <c r="C374" s="9" t="s">
        <v>365</v>
      </c>
      <c r="D374" s="10">
        <v>840.8</v>
      </c>
      <c r="E374" s="11">
        <v>44566</v>
      </c>
      <c r="F374" s="10">
        <v>840.8</v>
      </c>
      <c r="G374" s="12">
        <f>Tabla1[[#This Row],[Importe]]-Tabla1[[#This Row],[Pagado]]</f>
        <v>0</v>
      </c>
      <c r="H374" s="9" t="s">
        <v>10</v>
      </c>
    </row>
    <row r="375" spans="1:8" x14ac:dyDescent="0.25">
      <c r="A375" s="7">
        <v>44566</v>
      </c>
      <c r="B375" s="8" t="s">
        <v>572</v>
      </c>
      <c r="C375" s="9" t="s">
        <v>149</v>
      </c>
      <c r="D375" s="10">
        <v>340</v>
      </c>
      <c r="E375" s="11">
        <v>44566</v>
      </c>
      <c r="F375" s="10">
        <v>340</v>
      </c>
      <c r="G375" s="12">
        <f>Tabla1[[#This Row],[Importe]]-Tabla1[[#This Row],[Pagado]]</f>
        <v>0</v>
      </c>
      <c r="H375" s="9" t="s">
        <v>10</v>
      </c>
    </row>
    <row r="376" spans="1:8" x14ac:dyDescent="0.25">
      <c r="A376" s="7">
        <v>44566</v>
      </c>
      <c r="B376" s="8" t="s">
        <v>573</v>
      </c>
      <c r="C376" s="9" t="s">
        <v>216</v>
      </c>
      <c r="D376" s="10">
        <v>1405</v>
      </c>
      <c r="E376" s="11">
        <v>44566</v>
      </c>
      <c r="F376" s="10">
        <v>1405</v>
      </c>
      <c r="G376" s="12">
        <f>Tabla1[[#This Row],[Importe]]-Tabla1[[#This Row],[Pagado]]</f>
        <v>0</v>
      </c>
      <c r="H376" s="9" t="s">
        <v>10</v>
      </c>
    </row>
    <row r="377" spans="1:8" x14ac:dyDescent="0.25">
      <c r="A377" s="7">
        <v>44566</v>
      </c>
      <c r="B377" s="8" t="s">
        <v>574</v>
      </c>
      <c r="C377" s="9" t="s">
        <v>173</v>
      </c>
      <c r="D377" s="10">
        <v>33052.9</v>
      </c>
      <c r="E377" s="11">
        <v>44567</v>
      </c>
      <c r="F377" s="10">
        <v>33052.9</v>
      </c>
      <c r="G377" s="12">
        <f>Tabla1[[#This Row],[Importe]]-Tabla1[[#This Row],[Pagado]]</f>
        <v>0</v>
      </c>
      <c r="H377" s="9" t="s">
        <v>10</v>
      </c>
    </row>
    <row r="378" spans="1:8" x14ac:dyDescent="0.25">
      <c r="A378" s="7">
        <v>44566</v>
      </c>
      <c r="B378" s="8" t="s">
        <v>575</v>
      </c>
      <c r="C378" s="9" t="s">
        <v>576</v>
      </c>
      <c r="D378" s="10">
        <v>4503</v>
      </c>
      <c r="E378" s="11">
        <v>44566</v>
      </c>
      <c r="F378" s="10">
        <v>4503</v>
      </c>
      <c r="G378" s="12">
        <f>Tabla1[[#This Row],[Importe]]-Tabla1[[#This Row],[Pagado]]</f>
        <v>0</v>
      </c>
      <c r="H378" s="9" t="s">
        <v>10</v>
      </c>
    </row>
    <row r="379" spans="1:8" x14ac:dyDescent="0.25">
      <c r="A379" s="7">
        <v>44566</v>
      </c>
      <c r="B379" s="8" t="s">
        <v>577</v>
      </c>
      <c r="C379" s="9" t="s">
        <v>135</v>
      </c>
      <c r="D379" s="10">
        <v>816</v>
      </c>
      <c r="E379" s="11">
        <v>44566</v>
      </c>
      <c r="F379" s="10">
        <v>816</v>
      </c>
      <c r="G379" s="12">
        <f>Tabla1[[#This Row],[Importe]]-Tabla1[[#This Row],[Pagado]]</f>
        <v>0</v>
      </c>
      <c r="H379" s="9" t="s">
        <v>10</v>
      </c>
    </row>
    <row r="380" spans="1:8" x14ac:dyDescent="0.25">
      <c r="A380" s="7">
        <v>44566</v>
      </c>
      <c r="B380" s="8" t="s">
        <v>578</v>
      </c>
      <c r="C380" s="9" t="s">
        <v>179</v>
      </c>
      <c r="D380" s="10">
        <v>990</v>
      </c>
      <c r="E380" s="11">
        <v>44566</v>
      </c>
      <c r="F380" s="10">
        <v>990</v>
      </c>
      <c r="G380" s="12">
        <f>Tabla1[[#This Row],[Importe]]-Tabla1[[#This Row],[Pagado]]</f>
        <v>0</v>
      </c>
      <c r="H380" s="9" t="s">
        <v>10</v>
      </c>
    </row>
    <row r="381" spans="1:8" x14ac:dyDescent="0.25">
      <c r="A381" s="7">
        <v>44566</v>
      </c>
      <c r="B381" s="8" t="s">
        <v>579</v>
      </c>
      <c r="C381" s="9" t="s">
        <v>414</v>
      </c>
      <c r="D381" s="10">
        <v>29609.599999999999</v>
      </c>
      <c r="E381" s="11">
        <v>44575</v>
      </c>
      <c r="F381" s="10">
        <v>29609.599999999999</v>
      </c>
      <c r="G381" s="12">
        <f>Tabla1[[#This Row],[Importe]]-Tabla1[[#This Row],[Pagado]]</f>
        <v>0</v>
      </c>
      <c r="H381" s="9" t="s">
        <v>10</v>
      </c>
    </row>
    <row r="382" spans="1:8" x14ac:dyDescent="0.25">
      <c r="A382" s="7">
        <v>44566</v>
      </c>
      <c r="B382" s="8" t="s">
        <v>580</v>
      </c>
      <c r="C382" s="9" t="s">
        <v>58</v>
      </c>
      <c r="D382" s="10">
        <v>3542.8</v>
      </c>
      <c r="E382" s="11">
        <v>44566</v>
      </c>
      <c r="F382" s="10">
        <v>3542.8</v>
      </c>
      <c r="G382" s="12">
        <f>Tabla1[[#This Row],[Importe]]-Tabla1[[#This Row],[Pagado]]</f>
        <v>0</v>
      </c>
      <c r="H382" s="9" t="s">
        <v>10</v>
      </c>
    </row>
    <row r="383" spans="1:8" x14ac:dyDescent="0.25">
      <c r="A383" s="7">
        <v>44566</v>
      </c>
      <c r="B383" s="8" t="s">
        <v>581</v>
      </c>
      <c r="C383" s="9" t="s">
        <v>67</v>
      </c>
      <c r="D383" s="10">
        <v>1775</v>
      </c>
      <c r="E383" s="11">
        <v>44566</v>
      </c>
      <c r="F383" s="10">
        <v>1775</v>
      </c>
      <c r="G383" s="12">
        <f>Tabla1[[#This Row],[Importe]]-Tabla1[[#This Row],[Pagado]]</f>
        <v>0</v>
      </c>
      <c r="H383" s="9" t="s">
        <v>10</v>
      </c>
    </row>
    <row r="384" spans="1:8" x14ac:dyDescent="0.25">
      <c r="A384" s="7">
        <v>44566</v>
      </c>
      <c r="B384" s="8" t="s">
        <v>582</v>
      </c>
      <c r="C384" s="9" t="s">
        <v>583</v>
      </c>
      <c r="D384" s="10">
        <v>3382.4</v>
      </c>
      <c r="E384" s="11">
        <v>44566</v>
      </c>
      <c r="F384" s="10">
        <v>3382.4</v>
      </c>
      <c r="G384" s="12">
        <f>Tabla1[[#This Row],[Importe]]-Tabla1[[#This Row],[Pagado]]</f>
        <v>0</v>
      </c>
      <c r="H384" s="9" t="s">
        <v>10</v>
      </c>
    </row>
    <row r="385" spans="1:8" x14ac:dyDescent="0.25">
      <c r="A385" s="7">
        <v>44566</v>
      </c>
      <c r="B385" s="8" t="s">
        <v>584</v>
      </c>
      <c r="C385" s="9" t="s">
        <v>133</v>
      </c>
      <c r="D385" s="10">
        <v>15200</v>
      </c>
      <c r="E385" s="11">
        <v>44569</v>
      </c>
      <c r="F385" s="10">
        <v>15200</v>
      </c>
      <c r="G385" s="12">
        <f>Tabla1[[#This Row],[Importe]]-Tabla1[[#This Row],[Pagado]]</f>
        <v>0</v>
      </c>
      <c r="H385" s="9" t="s">
        <v>10</v>
      </c>
    </row>
    <row r="386" spans="1:8" x14ac:dyDescent="0.25">
      <c r="A386" s="7">
        <v>44566</v>
      </c>
      <c r="B386" s="8" t="s">
        <v>585</v>
      </c>
      <c r="C386" s="9" t="s">
        <v>31</v>
      </c>
      <c r="D386" s="10">
        <v>5120</v>
      </c>
      <c r="E386" s="11">
        <v>44567</v>
      </c>
      <c r="F386" s="10">
        <v>5120</v>
      </c>
      <c r="G386" s="12">
        <f>Tabla1[[#This Row],[Importe]]-Tabla1[[#This Row],[Pagado]]</f>
        <v>0</v>
      </c>
      <c r="H386" s="9" t="s">
        <v>10</v>
      </c>
    </row>
    <row r="387" spans="1:8" x14ac:dyDescent="0.25">
      <c r="A387" s="7">
        <v>44566</v>
      </c>
      <c r="B387" s="8" t="s">
        <v>586</v>
      </c>
      <c r="C387" s="9" t="s">
        <v>587</v>
      </c>
      <c r="D387" s="10">
        <v>6935.04</v>
      </c>
      <c r="E387" s="11">
        <v>44566</v>
      </c>
      <c r="F387" s="10">
        <v>6935.04</v>
      </c>
      <c r="G387" s="12">
        <f>Tabla1[[#This Row],[Importe]]-Tabla1[[#This Row],[Pagado]]</f>
        <v>0</v>
      </c>
      <c r="H387" s="9" t="s">
        <v>10</v>
      </c>
    </row>
    <row r="388" spans="1:8" x14ac:dyDescent="0.25">
      <c r="A388" s="7">
        <v>44566</v>
      </c>
      <c r="B388" s="8" t="s">
        <v>588</v>
      </c>
      <c r="C388" s="9" t="s">
        <v>284</v>
      </c>
      <c r="D388" s="10">
        <v>9015</v>
      </c>
      <c r="E388" s="11">
        <v>44568</v>
      </c>
      <c r="F388" s="10">
        <v>9015</v>
      </c>
      <c r="G388" s="12">
        <f>Tabla1[[#This Row],[Importe]]-Tabla1[[#This Row],[Pagado]]</f>
        <v>0</v>
      </c>
      <c r="H388" s="9" t="s">
        <v>10</v>
      </c>
    </row>
    <row r="389" spans="1:8" x14ac:dyDescent="0.25">
      <c r="A389" s="7">
        <v>44566</v>
      </c>
      <c r="B389" s="8" t="s">
        <v>589</v>
      </c>
      <c r="C389" s="9" t="s">
        <v>414</v>
      </c>
      <c r="D389" s="10">
        <v>28521.599999999999</v>
      </c>
      <c r="E389" s="11">
        <v>44575</v>
      </c>
      <c r="F389" s="10">
        <v>28521.599999999999</v>
      </c>
      <c r="G389" s="12">
        <f>Tabla1[[#This Row],[Importe]]-Tabla1[[#This Row],[Pagado]]</f>
        <v>0</v>
      </c>
      <c r="H389" s="9" t="s">
        <v>10</v>
      </c>
    </row>
    <row r="390" spans="1:8" x14ac:dyDescent="0.25">
      <c r="A390" s="7">
        <v>44566</v>
      </c>
      <c r="B390" s="8" t="s">
        <v>590</v>
      </c>
      <c r="C390" s="9" t="s">
        <v>24</v>
      </c>
      <c r="D390" s="10">
        <v>4091.2</v>
      </c>
      <c r="E390" s="11">
        <v>44566</v>
      </c>
      <c r="F390" s="10">
        <v>4091.2</v>
      </c>
      <c r="G390" s="12">
        <f>Tabla1[[#This Row],[Importe]]-Tabla1[[#This Row],[Pagado]]</f>
        <v>0</v>
      </c>
      <c r="H390" s="9" t="s">
        <v>10</v>
      </c>
    </row>
    <row r="391" spans="1:8" x14ac:dyDescent="0.25">
      <c r="A391" s="7">
        <v>44566</v>
      </c>
      <c r="B391" s="8" t="s">
        <v>591</v>
      </c>
      <c r="C391" s="9" t="s">
        <v>592</v>
      </c>
      <c r="D391" s="10">
        <v>49034</v>
      </c>
      <c r="E391" s="11">
        <v>44574</v>
      </c>
      <c r="F391" s="10">
        <v>49034</v>
      </c>
      <c r="G391" s="12">
        <f>Tabla1[[#This Row],[Importe]]-Tabla1[[#This Row],[Pagado]]</f>
        <v>0</v>
      </c>
      <c r="H391" s="9" t="s">
        <v>10</v>
      </c>
    </row>
    <row r="392" spans="1:8" x14ac:dyDescent="0.25">
      <c r="A392" s="7">
        <v>44566</v>
      </c>
      <c r="B392" s="8" t="s">
        <v>593</v>
      </c>
      <c r="C392" s="9" t="s">
        <v>142</v>
      </c>
      <c r="D392" s="10">
        <v>39663.4</v>
      </c>
      <c r="E392" s="11">
        <v>44589</v>
      </c>
      <c r="F392" s="10">
        <v>39663.4</v>
      </c>
      <c r="G392" s="12">
        <f>Tabla1[[#This Row],[Importe]]-Tabla1[[#This Row],[Pagado]]</f>
        <v>0</v>
      </c>
      <c r="H392" s="9" t="s">
        <v>10</v>
      </c>
    </row>
    <row r="393" spans="1:8" x14ac:dyDescent="0.25">
      <c r="A393" s="7">
        <v>44566</v>
      </c>
      <c r="B393" s="8" t="s">
        <v>594</v>
      </c>
      <c r="C393" s="9" t="s">
        <v>31</v>
      </c>
      <c r="D393" s="10">
        <v>604.79999999999995</v>
      </c>
      <c r="E393" s="11">
        <v>44566</v>
      </c>
      <c r="F393" s="10">
        <v>604.79999999999995</v>
      </c>
      <c r="G393" s="12">
        <f>Tabla1[[#This Row],[Importe]]-Tabla1[[#This Row],[Pagado]]</f>
        <v>0</v>
      </c>
      <c r="H393" s="9" t="s">
        <v>10</v>
      </c>
    </row>
    <row r="394" spans="1:8" x14ac:dyDescent="0.25">
      <c r="A394" s="7">
        <v>44566</v>
      </c>
      <c r="B394" s="8" t="s">
        <v>595</v>
      </c>
      <c r="C394" s="9" t="s">
        <v>235</v>
      </c>
      <c r="D394" s="10">
        <v>7281.1</v>
      </c>
      <c r="E394" s="11">
        <v>44566</v>
      </c>
      <c r="F394" s="10">
        <v>7281.1</v>
      </c>
      <c r="G394" s="12">
        <f>Tabla1[[#This Row],[Importe]]-Tabla1[[#This Row],[Pagado]]</f>
        <v>0</v>
      </c>
      <c r="H394" s="9" t="s">
        <v>10</v>
      </c>
    </row>
    <row r="395" spans="1:8" x14ac:dyDescent="0.25">
      <c r="A395" s="7">
        <v>44566</v>
      </c>
      <c r="B395" s="8" t="s">
        <v>596</v>
      </c>
      <c r="C395" s="9" t="s">
        <v>597</v>
      </c>
      <c r="D395" s="10">
        <v>6226.9</v>
      </c>
      <c r="E395" s="11">
        <v>44566</v>
      </c>
      <c r="F395" s="10">
        <v>6226.9</v>
      </c>
      <c r="G395" s="12">
        <f>Tabla1[[#This Row],[Importe]]-Tabla1[[#This Row],[Pagado]]</f>
        <v>0</v>
      </c>
      <c r="H395" s="9" t="s">
        <v>10</v>
      </c>
    </row>
    <row r="396" spans="1:8" x14ac:dyDescent="0.25">
      <c r="A396" s="7">
        <v>44566</v>
      </c>
      <c r="B396" s="8" t="s">
        <v>598</v>
      </c>
      <c r="C396" s="9" t="s">
        <v>214</v>
      </c>
      <c r="D396" s="10">
        <v>1045</v>
      </c>
      <c r="E396" s="11">
        <v>44566</v>
      </c>
      <c r="F396" s="10">
        <v>1045</v>
      </c>
      <c r="G396" s="12">
        <f>Tabla1[[#This Row],[Importe]]-Tabla1[[#This Row],[Pagado]]</f>
        <v>0</v>
      </c>
      <c r="H396" s="9" t="s">
        <v>10</v>
      </c>
    </row>
    <row r="397" spans="1:8" x14ac:dyDescent="0.25">
      <c r="A397" s="7">
        <v>44566</v>
      </c>
      <c r="B397" s="8" t="s">
        <v>599</v>
      </c>
      <c r="C397" s="9" t="s">
        <v>31</v>
      </c>
      <c r="D397" s="10">
        <v>1475.6</v>
      </c>
      <c r="E397" s="11">
        <v>44566</v>
      </c>
      <c r="F397" s="10">
        <v>1475.6</v>
      </c>
      <c r="G397" s="12">
        <f>Tabla1[[#This Row],[Importe]]-Tabla1[[#This Row],[Pagado]]</f>
        <v>0</v>
      </c>
      <c r="H397" s="9" t="s">
        <v>10</v>
      </c>
    </row>
    <row r="398" spans="1:8" x14ac:dyDescent="0.25">
      <c r="A398" s="7">
        <v>44566</v>
      </c>
      <c r="B398" s="8" t="s">
        <v>600</v>
      </c>
      <c r="C398" s="9" t="s">
        <v>191</v>
      </c>
      <c r="D398" s="10">
        <v>804</v>
      </c>
      <c r="E398" s="11">
        <v>44566</v>
      </c>
      <c r="F398" s="10">
        <v>804</v>
      </c>
      <c r="G398" s="12">
        <f>Tabla1[[#This Row],[Importe]]-Tabla1[[#This Row],[Pagado]]</f>
        <v>0</v>
      </c>
      <c r="H398" s="9" t="s">
        <v>10</v>
      </c>
    </row>
    <row r="399" spans="1:8" x14ac:dyDescent="0.25">
      <c r="A399" s="7">
        <v>44566</v>
      </c>
      <c r="B399" s="8" t="s">
        <v>601</v>
      </c>
      <c r="C399" s="9" t="s">
        <v>414</v>
      </c>
      <c r="D399" s="10">
        <v>88422.399999999994</v>
      </c>
      <c r="E399" s="11">
        <v>44575</v>
      </c>
      <c r="F399" s="10">
        <v>88422.399999999994</v>
      </c>
      <c r="G399" s="12">
        <f>Tabla1[[#This Row],[Importe]]-Tabla1[[#This Row],[Pagado]]</f>
        <v>0</v>
      </c>
      <c r="H399" s="9" t="s">
        <v>10</v>
      </c>
    </row>
    <row r="400" spans="1:8" x14ac:dyDescent="0.25">
      <c r="A400" s="7">
        <v>44566</v>
      </c>
      <c r="B400" s="8" t="s">
        <v>602</v>
      </c>
      <c r="C400" s="9" t="s">
        <v>298</v>
      </c>
      <c r="D400" s="10">
        <v>3199.4</v>
      </c>
      <c r="E400" s="11">
        <v>44566</v>
      </c>
      <c r="F400" s="10">
        <v>3199.4</v>
      </c>
      <c r="G400" s="12">
        <f>Tabla1[[#This Row],[Importe]]-Tabla1[[#This Row],[Pagado]]</f>
        <v>0</v>
      </c>
      <c r="H400" s="9" t="s">
        <v>10</v>
      </c>
    </row>
    <row r="401" spans="1:8" x14ac:dyDescent="0.25">
      <c r="A401" s="7">
        <v>44566</v>
      </c>
      <c r="B401" s="8" t="s">
        <v>603</v>
      </c>
      <c r="C401" s="9" t="s">
        <v>261</v>
      </c>
      <c r="D401" s="10">
        <v>30800</v>
      </c>
      <c r="E401" s="11">
        <v>44567</v>
      </c>
      <c r="F401" s="10">
        <v>30800</v>
      </c>
      <c r="G401" s="12">
        <f>Tabla1[[#This Row],[Importe]]-Tabla1[[#This Row],[Pagado]]</f>
        <v>0</v>
      </c>
      <c r="H401" s="9" t="s">
        <v>10</v>
      </c>
    </row>
    <row r="402" spans="1:8" x14ac:dyDescent="0.25">
      <c r="A402" s="7">
        <v>44566</v>
      </c>
      <c r="B402" s="8" t="s">
        <v>604</v>
      </c>
      <c r="C402" s="9" t="s">
        <v>605</v>
      </c>
      <c r="D402" s="10">
        <v>63962.5</v>
      </c>
      <c r="E402" s="11">
        <v>44567</v>
      </c>
      <c r="F402" s="10">
        <v>63962.5</v>
      </c>
      <c r="G402" s="12">
        <f>Tabla1[[#This Row],[Importe]]-Tabla1[[#This Row],[Pagado]]</f>
        <v>0</v>
      </c>
      <c r="H402" s="9" t="s">
        <v>10</v>
      </c>
    </row>
    <row r="403" spans="1:8" x14ac:dyDescent="0.25">
      <c r="A403" s="7">
        <v>44566</v>
      </c>
      <c r="B403" s="8" t="s">
        <v>606</v>
      </c>
      <c r="C403" s="9" t="s">
        <v>373</v>
      </c>
      <c r="D403" s="10">
        <v>395</v>
      </c>
      <c r="E403" s="11">
        <v>44566</v>
      </c>
      <c r="F403" s="10">
        <v>395</v>
      </c>
      <c r="G403" s="12">
        <f>Tabla1[[#This Row],[Importe]]-Tabla1[[#This Row],[Pagado]]</f>
        <v>0</v>
      </c>
      <c r="H403" s="9" t="s">
        <v>10</v>
      </c>
    </row>
    <row r="404" spans="1:8" x14ac:dyDescent="0.25">
      <c r="A404" s="7">
        <v>44566</v>
      </c>
      <c r="B404" s="8" t="s">
        <v>607</v>
      </c>
      <c r="C404" s="9" t="s">
        <v>31</v>
      </c>
      <c r="D404" s="10">
        <v>179.2</v>
      </c>
      <c r="E404" s="11">
        <v>44566</v>
      </c>
      <c r="F404" s="10">
        <v>179.2</v>
      </c>
      <c r="G404" s="12">
        <f>Tabla1[[#This Row],[Importe]]-Tabla1[[#This Row],[Pagado]]</f>
        <v>0</v>
      </c>
      <c r="H404" s="9" t="s">
        <v>10</v>
      </c>
    </row>
    <row r="405" spans="1:8" x14ac:dyDescent="0.25">
      <c r="A405" s="7">
        <v>44566</v>
      </c>
      <c r="B405" s="8" t="s">
        <v>608</v>
      </c>
      <c r="C405" s="9" t="s">
        <v>196</v>
      </c>
      <c r="D405" s="10">
        <v>12376.64</v>
      </c>
      <c r="E405" s="11">
        <v>44568</v>
      </c>
      <c r="F405" s="10">
        <v>12376.64</v>
      </c>
      <c r="G405" s="12">
        <f>Tabla1[[#This Row],[Importe]]-Tabla1[[#This Row],[Pagado]]</f>
        <v>0</v>
      </c>
      <c r="H405" s="9" t="s">
        <v>10</v>
      </c>
    </row>
    <row r="406" spans="1:8" x14ac:dyDescent="0.25">
      <c r="A406" s="7">
        <v>44566</v>
      </c>
      <c r="B406" s="8" t="s">
        <v>609</v>
      </c>
      <c r="C406" s="9" t="s">
        <v>610</v>
      </c>
      <c r="D406" s="10">
        <v>17379.2</v>
      </c>
      <c r="E406" s="11">
        <v>44566</v>
      </c>
      <c r="F406" s="10">
        <v>17379.2</v>
      </c>
      <c r="G406" s="12">
        <f>Tabla1[[#This Row],[Importe]]-Tabla1[[#This Row],[Pagado]]</f>
        <v>0</v>
      </c>
      <c r="H406" s="9" t="s">
        <v>10</v>
      </c>
    </row>
    <row r="407" spans="1:8" x14ac:dyDescent="0.25">
      <c r="A407" s="7">
        <v>44566</v>
      </c>
      <c r="B407" s="8" t="s">
        <v>611</v>
      </c>
      <c r="C407" s="9" t="s">
        <v>612</v>
      </c>
      <c r="D407" s="10">
        <v>198.8</v>
      </c>
      <c r="E407" s="11">
        <v>44567</v>
      </c>
      <c r="F407" s="10">
        <v>198.8</v>
      </c>
      <c r="G407" s="12">
        <f>Tabla1[[#This Row],[Importe]]-Tabla1[[#This Row],[Pagado]]</f>
        <v>0</v>
      </c>
      <c r="H407" s="9" t="s">
        <v>10</v>
      </c>
    </row>
    <row r="408" spans="1:8" x14ac:dyDescent="0.25">
      <c r="A408" s="7">
        <v>44566</v>
      </c>
      <c r="B408" s="8" t="s">
        <v>613</v>
      </c>
      <c r="C408" s="9" t="s">
        <v>142</v>
      </c>
      <c r="D408" s="10">
        <v>16690</v>
      </c>
      <c r="E408" s="11">
        <v>44589</v>
      </c>
      <c r="F408" s="10">
        <v>16690</v>
      </c>
      <c r="G408" s="12">
        <f>Tabla1[[#This Row],[Importe]]-Tabla1[[#This Row],[Pagado]]</f>
        <v>0</v>
      </c>
      <c r="H408" s="9" t="s">
        <v>10</v>
      </c>
    </row>
    <row r="409" spans="1:8" x14ac:dyDescent="0.25">
      <c r="A409" s="7">
        <v>44567</v>
      </c>
      <c r="B409" s="8" t="s">
        <v>614</v>
      </c>
      <c r="C409" s="9" t="s">
        <v>20</v>
      </c>
      <c r="D409" s="10">
        <v>2563.6</v>
      </c>
      <c r="E409" s="11">
        <v>44567</v>
      </c>
      <c r="F409" s="10">
        <v>2563.6</v>
      </c>
      <c r="G409" s="12">
        <f>Tabla1[[#This Row],[Importe]]-Tabla1[[#This Row],[Pagado]]</f>
        <v>0</v>
      </c>
      <c r="H409" s="9" t="s">
        <v>10</v>
      </c>
    </row>
    <row r="410" spans="1:8" ht="30" x14ac:dyDescent="0.25">
      <c r="A410" s="7">
        <v>44567</v>
      </c>
      <c r="B410" s="8" t="s">
        <v>615</v>
      </c>
      <c r="C410" s="9" t="s">
        <v>475</v>
      </c>
      <c r="D410" s="10">
        <v>19706.5</v>
      </c>
      <c r="E410" s="11" t="s">
        <v>497</v>
      </c>
      <c r="F410" s="10">
        <f>15000+4706.5</f>
        <v>19706.5</v>
      </c>
      <c r="G410" s="12">
        <f>Tabla1[[#This Row],[Importe]]-Tabla1[[#This Row],[Pagado]]</f>
        <v>0</v>
      </c>
      <c r="H410" s="9" t="s">
        <v>10</v>
      </c>
    </row>
    <row r="411" spans="1:8" x14ac:dyDescent="0.25">
      <c r="A411" s="7">
        <v>44567</v>
      </c>
      <c r="B411" s="8" t="s">
        <v>616</v>
      </c>
      <c r="C411" s="9" t="s">
        <v>12</v>
      </c>
      <c r="D411" s="10">
        <v>56868.1</v>
      </c>
      <c r="E411" s="11">
        <v>44568</v>
      </c>
      <c r="F411" s="10">
        <v>56868.1</v>
      </c>
      <c r="G411" s="12">
        <f>Tabla1[[#This Row],[Importe]]-Tabla1[[#This Row],[Pagado]]</f>
        <v>0</v>
      </c>
      <c r="H411" s="9" t="s">
        <v>10</v>
      </c>
    </row>
    <row r="412" spans="1:8" x14ac:dyDescent="0.25">
      <c r="A412" s="7">
        <v>44567</v>
      </c>
      <c r="B412" s="8" t="s">
        <v>617</v>
      </c>
      <c r="C412" s="9" t="s">
        <v>618</v>
      </c>
      <c r="D412" s="10">
        <v>8250</v>
      </c>
      <c r="E412" s="11">
        <v>44567</v>
      </c>
      <c r="F412" s="10">
        <v>8250</v>
      </c>
      <c r="G412" s="12">
        <f>Tabla1[[#This Row],[Importe]]-Tabla1[[#This Row],[Pagado]]</f>
        <v>0</v>
      </c>
      <c r="H412" s="9" t="s">
        <v>10</v>
      </c>
    </row>
    <row r="413" spans="1:8" x14ac:dyDescent="0.25">
      <c r="A413" s="7">
        <v>44567</v>
      </c>
      <c r="B413" s="8" t="s">
        <v>619</v>
      </c>
      <c r="C413" s="9" t="s">
        <v>79</v>
      </c>
      <c r="D413" s="10">
        <v>8355</v>
      </c>
      <c r="E413" s="11">
        <v>44567</v>
      </c>
      <c r="F413" s="10">
        <v>8355</v>
      </c>
      <c r="G413" s="12">
        <f>Tabla1[[#This Row],[Importe]]-Tabla1[[#This Row],[Pagado]]</f>
        <v>0</v>
      </c>
      <c r="H413" s="9" t="s">
        <v>10</v>
      </c>
    </row>
    <row r="414" spans="1:8" x14ac:dyDescent="0.25">
      <c r="A414" s="7">
        <v>44567</v>
      </c>
      <c r="B414" s="8" t="s">
        <v>620</v>
      </c>
      <c r="C414" s="9" t="s">
        <v>353</v>
      </c>
      <c r="D414" s="10">
        <v>1512.4</v>
      </c>
      <c r="E414" s="11">
        <v>44567</v>
      </c>
      <c r="F414" s="10">
        <v>1512.4</v>
      </c>
      <c r="G414" s="12">
        <f>Tabla1[[#This Row],[Importe]]-Tabla1[[#This Row],[Pagado]]</f>
        <v>0</v>
      </c>
      <c r="H414" s="9" t="s">
        <v>10</v>
      </c>
    </row>
    <row r="415" spans="1:8" x14ac:dyDescent="0.25">
      <c r="A415" s="7">
        <v>44567</v>
      </c>
      <c r="B415" s="8" t="s">
        <v>621</v>
      </c>
      <c r="C415" s="9" t="s">
        <v>64</v>
      </c>
      <c r="D415" s="10">
        <v>4129.8999999999996</v>
      </c>
      <c r="E415" s="11">
        <v>44568</v>
      </c>
      <c r="F415" s="10">
        <v>4129.8999999999996</v>
      </c>
      <c r="G415" s="12">
        <f>Tabla1[[#This Row],[Importe]]-Tabla1[[#This Row],[Pagado]]</f>
        <v>0</v>
      </c>
      <c r="H415" s="9" t="s">
        <v>10</v>
      </c>
    </row>
    <row r="416" spans="1:8" x14ac:dyDescent="0.25">
      <c r="A416" s="7">
        <v>44567</v>
      </c>
      <c r="B416" s="8" t="s">
        <v>622</v>
      </c>
      <c r="C416" s="9" t="s">
        <v>9</v>
      </c>
      <c r="D416" s="10">
        <v>5725.2</v>
      </c>
      <c r="E416" s="11">
        <v>44567</v>
      </c>
      <c r="F416" s="10">
        <v>5725.2</v>
      </c>
      <c r="G416" s="12">
        <f>Tabla1[[#This Row],[Importe]]-Tabla1[[#This Row],[Pagado]]</f>
        <v>0</v>
      </c>
      <c r="H416" s="9" t="s">
        <v>10</v>
      </c>
    </row>
    <row r="417" spans="1:8" x14ac:dyDescent="0.25">
      <c r="A417" s="7">
        <v>44567</v>
      </c>
      <c r="B417" s="8" t="s">
        <v>623</v>
      </c>
      <c r="C417" s="9" t="s">
        <v>22</v>
      </c>
      <c r="D417" s="10">
        <v>43335.9</v>
      </c>
      <c r="E417" s="11">
        <v>44568</v>
      </c>
      <c r="F417" s="10">
        <v>43335.9</v>
      </c>
      <c r="G417" s="12">
        <f>Tabla1[[#This Row],[Importe]]-Tabla1[[#This Row],[Pagado]]</f>
        <v>0</v>
      </c>
      <c r="H417" s="9" t="s">
        <v>10</v>
      </c>
    </row>
    <row r="418" spans="1:8" x14ac:dyDescent="0.25">
      <c r="A418" s="7">
        <v>44567</v>
      </c>
      <c r="B418" s="8" t="s">
        <v>624</v>
      </c>
      <c r="C418" s="9" t="s">
        <v>89</v>
      </c>
      <c r="D418" s="10">
        <v>3819.6</v>
      </c>
      <c r="E418" s="11">
        <v>44568</v>
      </c>
      <c r="F418" s="10">
        <v>3819.6</v>
      </c>
      <c r="G418" s="12">
        <f>Tabla1[[#This Row],[Importe]]-Tabla1[[#This Row],[Pagado]]</f>
        <v>0</v>
      </c>
      <c r="H418" s="9" t="s">
        <v>10</v>
      </c>
    </row>
    <row r="419" spans="1:8" x14ac:dyDescent="0.25">
      <c r="A419" s="7">
        <v>44567</v>
      </c>
      <c r="B419" s="8" t="s">
        <v>625</v>
      </c>
      <c r="C419" s="9" t="s">
        <v>18</v>
      </c>
      <c r="D419" s="10">
        <v>1535.9</v>
      </c>
      <c r="E419" s="11">
        <v>44567</v>
      </c>
      <c r="F419" s="10">
        <v>1535.9</v>
      </c>
      <c r="G419" s="12">
        <f>Tabla1[[#This Row],[Importe]]-Tabla1[[#This Row],[Pagado]]</f>
        <v>0</v>
      </c>
      <c r="H419" s="9" t="s">
        <v>10</v>
      </c>
    </row>
    <row r="420" spans="1:8" x14ac:dyDescent="0.25">
      <c r="A420" s="7">
        <v>44567</v>
      </c>
      <c r="B420" s="8" t="s">
        <v>626</v>
      </c>
      <c r="C420" s="9" t="s">
        <v>85</v>
      </c>
      <c r="D420" s="10">
        <v>2165</v>
      </c>
      <c r="E420" s="11">
        <v>44568</v>
      </c>
      <c r="F420" s="10">
        <v>2165</v>
      </c>
      <c r="G420" s="12">
        <f>Tabla1[[#This Row],[Importe]]-Tabla1[[#This Row],[Pagado]]</f>
        <v>0</v>
      </c>
      <c r="H420" s="9" t="s">
        <v>10</v>
      </c>
    </row>
    <row r="421" spans="1:8" ht="30" x14ac:dyDescent="0.25">
      <c r="A421" s="7">
        <v>44567</v>
      </c>
      <c r="B421" s="8" t="s">
        <v>627</v>
      </c>
      <c r="C421" s="9" t="s">
        <v>39</v>
      </c>
      <c r="D421" s="10">
        <v>20054.099999999999</v>
      </c>
      <c r="E421" s="11" t="s">
        <v>628</v>
      </c>
      <c r="F421" s="10">
        <f>7000+13054.1</f>
        <v>20054.099999999999</v>
      </c>
      <c r="G421" s="12">
        <f>Tabla1[[#This Row],[Importe]]-Tabla1[[#This Row],[Pagado]]</f>
        <v>0</v>
      </c>
      <c r="H421" s="9" t="s">
        <v>10</v>
      </c>
    </row>
    <row r="422" spans="1:8" x14ac:dyDescent="0.25">
      <c r="A422" s="7">
        <v>44567</v>
      </c>
      <c r="B422" s="8" t="s">
        <v>629</v>
      </c>
      <c r="C422" s="9" t="s">
        <v>348</v>
      </c>
      <c r="D422" s="10">
        <v>2905</v>
      </c>
      <c r="E422" s="11">
        <v>44567</v>
      </c>
      <c r="F422" s="10">
        <v>2905</v>
      </c>
      <c r="G422" s="12">
        <f>Tabla1[[#This Row],[Importe]]-Tabla1[[#This Row],[Pagado]]</f>
        <v>0</v>
      </c>
      <c r="H422" s="9" t="s">
        <v>10</v>
      </c>
    </row>
    <row r="423" spans="1:8" x14ac:dyDescent="0.25">
      <c r="A423" s="7">
        <v>44567</v>
      </c>
      <c r="B423" s="8" t="s">
        <v>630</v>
      </c>
      <c r="C423" s="9" t="s">
        <v>99</v>
      </c>
      <c r="D423" s="10">
        <v>2185</v>
      </c>
      <c r="E423" s="11">
        <v>44568</v>
      </c>
      <c r="F423" s="10">
        <v>2185</v>
      </c>
      <c r="G423" s="12">
        <f>Tabla1[[#This Row],[Importe]]-Tabla1[[#This Row],[Pagado]]</f>
        <v>0</v>
      </c>
      <c r="H423" s="9" t="s">
        <v>10</v>
      </c>
    </row>
    <row r="424" spans="1:8" x14ac:dyDescent="0.25">
      <c r="A424" s="7">
        <v>44567</v>
      </c>
      <c r="B424" s="8" t="s">
        <v>631</v>
      </c>
      <c r="C424" s="9" t="s">
        <v>93</v>
      </c>
      <c r="D424" s="10">
        <v>5263</v>
      </c>
      <c r="E424" s="11">
        <v>44568</v>
      </c>
      <c r="F424" s="10">
        <v>5263</v>
      </c>
      <c r="G424" s="12">
        <f>Tabla1[[#This Row],[Importe]]-Tabla1[[#This Row],[Pagado]]</f>
        <v>0</v>
      </c>
      <c r="H424" s="9" t="s">
        <v>10</v>
      </c>
    </row>
    <row r="425" spans="1:8" x14ac:dyDescent="0.25">
      <c r="A425" s="7">
        <v>44567</v>
      </c>
      <c r="B425" s="8" t="s">
        <v>632</v>
      </c>
      <c r="C425" s="9" t="s">
        <v>105</v>
      </c>
      <c r="D425" s="10">
        <v>18556.7</v>
      </c>
      <c r="E425" s="11">
        <v>44568</v>
      </c>
      <c r="F425" s="10">
        <v>18556.7</v>
      </c>
      <c r="G425" s="12">
        <f>Tabla1[[#This Row],[Importe]]-Tabla1[[#This Row],[Pagado]]</f>
        <v>0</v>
      </c>
      <c r="H425" s="9" t="s">
        <v>10</v>
      </c>
    </row>
    <row r="426" spans="1:8" x14ac:dyDescent="0.25">
      <c r="A426" s="7">
        <v>44567</v>
      </c>
      <c r="B426" s="8" t="s">
        <v>633</v>
      </c>
      <c r="C426" s="9" t="s">
        <v>97</v>
      </c>
      <c r="D426" s="10">
        <v>1681.5</v>
      </c>
      <c r="E426" s="11">
        <v>44567</v>
      </c>
      <c r="F426" s="10">
        <v>1681.5</v>
      </c>
      <c r="G426" s="12">
        <f>Tabla1[[#This Row],[Importe]]-Tabla1[[#This Row],[Pagado]]</f>
        <v>0</v>
      </c>
      <c r="H426" s="9" t="s">
        <v>10</v>
      </c>
    </row>
    <row r="427" spans="1:8" x14ac:dyDescent="0.25">
      <c r="A427" s="7">
        <v>44567</v>
      </c>
      <c r="B427" s="8" t="s">
        <v>634</v>
      </c>
      <c r="C427" s="9" t="s">
        <v>118</v>
      </c>
      <c r="D427" s="10">
        <v>4412.8</v>
      </c>
      <c r="E427" s="11">
        <v>44567</v>
      </c>
      <c r="F427" s="10">
        <v>4412.8</v>
      </c>
      <c r="G427" s="12">
        <f>Tabla1[[#This Row],[Importe]]-Tabla1[[#This Row],[Pagado]]</f>
        <v>0</v>
      </c>
      <c r="H427" s="9" t="s">
        <v>10</v>
      </c>
    </row>
    <row r="428" spans="1:8" x14ac:dyDescent="0.25">
      <c r="A428" s="7">
        <v>44567</v>
      </c>
      <c r="B428" s="8" t="s">
        <v>635</v>
      </c>
      <c r="C428" s="9" t="s">
        <v>326</v>
      </c>
      <c r="D428" s="10">
        <v>4416.5</v>
      </c>
      <c r="E428" s="11">
        <v>44568</v>
      </c>
      <c r="F428" s="10">
        <v>4416.5</v>
      </c>
      <c r="G428" s="12">
        <f>Tabla1[[#This Row],[Importe]]-Tabla1[[#This Row],[Pagado]]</f>
        <v>0</v>
      </c>
      <c r="H428" s="9" t="s">
        <v>10</v>
      </c>
    </row>
    <row r="429" spans="1:8" x14ac:dyDescent="0.25">
      <c r="A429" s="7">
        <v>44567</v>
      </c>
      <c r="B429" s="8" t="s">
        <v>636</v>
      </c>
      <c r="C429" s="9" t="s">
        <v>16</v>
      </c>
      <c r="D429" s="10">
        <v>4486.7</v>
      </c>
      <c r="E429" s="11">
        <v>44567</v>
      </c>
      <c r="F429" s="10">
        <v>4486.7</v>
      </c>
      <c r="G429" s="12">
        <f>Tabla1[[#This Row],[Importe]]-Tabla1[[#This Row],[Pagado]]</f>
        <v>0</v>
      </c>
      <c r="H429" s="9" t="s">
        <v>10</v>
      </c>
    </row>
    <row r="430" spans="1:8" x14ac:dyDescent="0.25">
      <c r="A430" s="7">
        <v>44567</v>
      </c>
      <c r="B430" s="8" t="s">
        <v>637</v>
      </c>
      <c r="C430" s="9" t="s">
        <v>131</v>
      </c>
      <c r="D430" s="10">
        <v>15740</v>
      </c>
      <c r="E430" s="11">
        <v>44567</v>
      </c>
      <c r="F430" s="10">
        <v>15740</v>
      </c>
      <c r="G430" s="12">
        <f>Tabla1[[#This Row],[Importe]]-Tabla1[[#This Row],[Pagado]]</f>
        <v>0</v>
      </c>
      <c r="H430" s="9" t="s">
        <v>10</v>
      </c>
    </row>
    <row r="431" spans="1:8" x14ac:dyDescent="0.25">
      <c r="A431" s="7">
        <v>44567</v>
      </c>
      <c r="B431" s="8" t="s">
        <v>638</v>
      </c>
      <c r="C431" s="9" t="s">
        <v>161</v>
      </c>
      <c r="D431" s="10">
        <v>3966.6</v>
      </c>
      <c r="E431" s="11">
        <v>44567</v>
      </c>
      <c r="F431" s="10">
        <v>3966.6</v>
      </c>
      <c r="G431" s="12">
        <f>Tabla1[[#This Row],[Importe]]-Tabla1[[#This Row],[Pagado]]</f>
        <v>0</v>
      </c>
      <c r="H431" s="9" t="s">
        <v>10</v>
      </c>
    </row>
    <row r="432" spans="1:8" x14ac:dyDescent="0.25">
      <c r="A432" s="7">
        <v>44567</v>
      </c>
      <c r="B432" s="8" t="s">
        <v>639</v>
      </c>
      <c r="C432" s="9" t="s">
        <v>127</v>
      </c>
      <c r="D432" s="10">
        <v>4266.8999999999996</v>
      </c>
      <c r="E432" s="11">
        <v>44567</v>
      </c>
      <c r="F432" s="10">
        <v>4266.8999999999996</v>
      </c>
      <c r="G432" s="12">
        <f>Tabla1[[#This Row],[Importe]]-Tabla1[[#This Row],[Pagado]]</f>
        <v>0</v>
      </c>
      <c r="H432" s="9" t="s">
        <v>10</v>
      </c>
    </row>
    <row r="433" spans="1:8" x14ac:dyDescent="0.25">
      <c r="A433" s="7">
        <v>44567</v>
      </c>
      <c r="B433" s="8" t="s">
        <v>640</v>
      </c>
      <c r="C433" s="9" t="s">
        <v>129</v>
      </c>
      <c r="D433" s="10">
        <v>3458.4</v>
      </c>
      <c r="E433" s="11">
        <v>44567</v>
      </c>
      <c r="F433" s="10">
        <v>3458.4</v>
      </c>
      <c r="G433" s="12">
        <f>Tabla1[[#This Row],[Importe]]-Tabla1[[#This Row],[Pagado]]</f>
        <v>0</v>
      </c>
      <c r="H433" s="9" t="s">
        <v>10</v>
      </c>
    </row>
    <row r="434" spans="1:8" x14ac:dyDescent="0.25">
      <c r="A434" s="7">
        <v>44567</v>
      </c>
      <c r="B434" s="8" t="s">
        <v>641</v>
      </c>
      <c r="C434" s="9" t="s">
        <v>27</v>
      </c>
      <c r="D434" s="10">
        <v>714.6</v>
      </c>
      <c r="E434" s="11">
        <v>44567</v>
      </c>
      <c r="F434" s="10">
        <v>714.6</v>
      </c>
      <c r="G434" s="12">
        <f>Tabla1[[#This Row],[Importe]]-Tabla1[[#This Row],[Pagado]]</f>
        <v>0</v>
      </c>
      <c r="H434" s="9" t="s">
        <v>10</v>
      </c>
    </row>
    <row r="435" spans="1:8" x14ac:dyDescent="0.25">
      <c r="A435" s="7">
        <v>44567</v>
      </c>
      <c r="B435" s="8" t="s">
        <v>642</v>
      </c>
      <c r="C435" s="9" t="s">
        <v>56</v>
      </c>
      <c r="D435" s="10">
        <v>7099.2</v>
      </c>
      <c r="E435" s="11">
        <v>44567</v>
      </c>
      <c r="F435" s="10">
        <v>7099.2</v>
      </c>
      <c r="G435" s="12">
        <f>Tabla1[[#This Row],[Importe]]-Tabla1[[#This Row],[Pagado]]</f>
        <v>0</v>
      </c>
      <c r="H435" s="9" t="s">
        <v>10</v>
      </c>
    </row>
    <row r="436" spans="1:8" x14ac:dyDescent="0.25">
      <c r="A436" s="7">
        <v>44567</v>
      </c>
      <c r="B436" s="8" t="s">
        <v>643</v>
      </c>
      <c r="C436" s="9" t="s">
        <v>373</v>
      </c>
      <c r="D436" s="10">
        <v>3128</v>
      </c>
      <c r="E436" s="11">
        <v>44567</v>
      </c>
      <c r="F436" s="10">
        <v>3128</v>
      </c>
      <c r="G436" s="12">
        <f>Tabla1[[#This Row],[Importe]]-Tabla1[[#This Row],[Pagado]]</f>
        <v>0</v>
      </c>
      <c r="H436" s="9" t="s">
        <v>10</v>
      </c>
    </row>
    <row r="437" spans="1:8" x14ac:dyDescent="0.25">
      <c r="A437" s="7">
        <v>44567</v>
      </c>
      <c r="B437" s="8" t="s">
        <v>644</v>
      </c>
      <c r="C437" s="9" t="s">
        <v>339</v>
      </c>
      <c r="D437" s="10">
        <v>1360.6</v>
      </c>
      <c r="E437" s="11">
        <v>44567</v>
      </c>
      <c r="F437" s="10">
        <v>1360.6</v>
      </c>
      <c r="G437" s="12">
        <f>Tabla1[[#This Row],[Importe]]-Tabla1[[#This Row],[Pagado]]</f>
        <v>0</v>
      </c>
      <c r="H437" s="9" t="s">
        <v>10</v>
      </c>
    </row>
    <row r="438" spans="1:8" x14ac:dyDescent="0.25">
      <c r="A438" s="7">
        <v>44567</v>
      </c>
      <c r="B438" s="8" t="s">
        <v>645</v>
      </c>
      <c r="C438" s="9" t="s">
        <v>357</v>
      </c>
      <c r="D438" s="10">
        <v>739.5</v>
      </c>
      <c r="E438" s="11">
        <v>44567</v>
      </c>
      <c r="F438" s="10">
        <v>739.5</v>
      </c>
      <c r="G438" s="12">
        <f>Tabla1[[#This Row],[Importe]]-Tabla1[[#This Row],[Pagado]]</f>
        <v>0</v>
      </c>
      <c r="H438" s="9" t="s">
        <v>10</v>
      </c>
    </row>
    <row r="439" spans="1:8" x14ac:dyDescent="0.25">
      <c r="A439" s="7">
        <v>44567</v>
      </c>
      <c r="B439" s="8" t="s">
        <v>646</v>
      </c>
      <c r="C439" s="9" t="s">
        <v>647</v>
      </c>
      <c r="D439" s="10">
        <v>917.6</v>
      </c>
      <c r="E439" s="11">
        <v>44567</v>
      </c>
      <c r="F439" s="10">
        <v>917.6</v>
      </c>
      <c r="G439" s="12">
        <f>Tabla1[[#This Row],[Importe]]-Tabla1[[#This Row],[Pagado]]</f>
        <v>0</v>
      </c>
      <c r="H439" s="9" t="s">
        <v>10</v>
      </c>
    </row>
    <row r="440" spans="1:8" x14ac:dyDescent="0.25">
      <c r="A440" s="7">
        <v>44567</v>
      </c>
      <c r="B440" s="8" t="s">
        <v>648</v>
      </c>
      <c r="C440" s="9" t="s">
        <v>196</v>
      </c>
      <c r="D440" s="10">
        <v>24073.5</v>
      </c>
      <c r="E440" s="11">
        <v>44568</v>
      </c>
      <c r="F440" s="10">
        <v>24073.5</v>
      </c>
      <c r="G440" s="12">
        <f>Tabla1[[#This Row],[Importe]]-Tabla1[[#This Row],[Pagado]]</f>
        <v>0</v>
      </c>
      <c r="H440" s="9" t="s">
        <v>10</v>
      </c>
    </row>
    <row r="441" spans="1:8" x14ac:dyDescent="0.25">
      <c r="A441" s="7">
        <v>44567</v>
      </c>
      <c r="B441" s="8" t="s">
        <v>649</v>
      </c>
      <c r="C441" s="9" t="s">
        <v>37</v>
      </c>
      <c r="D441" s="10">
        <v>3500.5</v>
      </c>
      <c r="E441" s="11">
        <v>44567</v>
      </c>
      <c r="F441" s="10">
        <v>3500.5</v>
      </c>
      <c r="G441" s="12">
        <f>Tabla1[[#This Row],[Importe]]-Tabla1[[#This Row],[Pagado]]</f>
        <v>0</v>
      </c>
      <c r="H441" s="9" t="s">
        <v>10</v>
      </c>
    </row>
    <row r="442" spans="1:8" x14ac:dyDescent="0.25">
      <c r="A442" s="7">
        <v>44567</v>
      </c>
      <c r="B442" s="8" t="s">
        <v>650</v>
      </c>
      <c r="C442" s="9" t="s">
        <v>140</v>
      </c>
      <c r="D442" s="10">
        <v>1766.4</v>
      </c>
      <c r="E442" s="11">
        <v>44567</v>
      </c>
      <c r="F442" s="10">
        <v>1766.4</v>
      </c>
      <c r="G442" s="12">
        <f>Tabla1[[#This Row],[Importe]]-Tabla1[[#This Row],[Pagado]]</f>
        <v>0</v>
      </c>
      <c r="H442" s="9" t="s">
        <v>10</v>
      </c>
    </row>
    <row r="443" spans="1:8" x14ac:dyDescent="0.25">
      <c r="A443" s="7">
        <v>44567</v>
      </c>
      <c r="B443" s="8" t="s">
        <v>651</v>
      </c>
      <c r="C443" s="9" t="s">
        <v>31</v>
      </c>
      <c r="D443" s="10">
        <v>729.7</v>
      </c>
      <c r="E443" s="11">
        <v>44567</v>
      </c>
      <c r="F443" s="10">
        <v>729.7</v>
      </c>
      <c r="G443" s="12">
        <f>Tabla1[[#This Row],[Importe]]-Tabla1[[#This Row],[Pagado]]</f>
        <v>0</v>
      </c>
      <c r="H443" s="9" t="s">
        <v>10</v>
      </c>
    </row>
    <row r="444" spans="1:8" x14ac:dyDescent="0.25">
      <c r="A444" s="7">
        <v>44567</v>
      </c>
      <c r="B444" s="8" t="s">
        <v>652</v>
      </c>
      <c r="C444" s="9" t="s">
        <v>179</v>
      </c>
      <c r="D444" s="10">
        <v>750</v>
      </c>
      <c r="E444" s="11">
        <v>44567</v>
      </c>
      <c r="F444" s="10">
        <v>750</v>
      </c>
      <c r="G444" s="12">
        <f>Tabla1[[#This Row],[Importe]]-Tabla1[[#This Row],[Pagado]]</f>
        <v>0</v>
      </c>
      <c r="H444" s="9" t="s">
        <v>10</v>
      </c>
    </row>
    <row r="445" spans="1:8" x14ac:dyDescent="0.25">
      <c r="A445" s="7">
        <v>44567</v>
      </c>
      <c r="B445" s="8" t="s">
        <v>653</v>
      </c>
      <c r="C445" s="9" t="s">
        <v>654</v>
      </c>
      <c r="D445" s="10">
        <v>5000</v>
      </c>
      <c r="E445" s="11">
        <v>44568</v>
      </c>
      <c r="F445" s="10">
        <v>5000</v>
      </c>
      <c r="G445" s="12">
        <f>Tabla1[[#This Row],[Importe]]-Tabla1[[#This Row],[Pagado]]</f>
        <v>0</v>
      </c>
      <c r="H445" s="9" t="s">
        <v>10</v>
      </c>
    </row>
    <row r="446" spans="1:8" x14ac:dyDescent="0.25">
      <c r="A446" s="7">
        <v>44567</v>
      </c>
      <c r="B446" s="8" t="s">
        <v>655</v>
      </c>
      <c r="C446" s="9" t="s">
        <v>83</v>
      </c>
      <c r="D446" s="10">
        <v>4730</v>
      </c>
      <c r="E446" s="11">
        <v>44567</v>
      </c>
      <c r="F446" s="10">
        <v>4730</v>
      </c>
      <c r="G446" s="12">
        <f>Tabla1[[#This Row],[Importe]]-Tabla1[[#This Row],[Pagado]]</f>
        <v>0</v>
      </c>
      <c r="H446" s="9" t="s">
        <v>10</v>
      </c>
    </row>
    <row r="447" spans="1:8" x14ac:dyDescent="0.25">
      <c r="A447" s="7">
        <v>44567</v>
      </c>
      <c r="B447" s="8" t="s">
        <v>656</v>
      </c>
      <c r="C447" s="9" t="s">
        <v>49</v>
      </c>
      <c r="D447" s="10">
        <v>2499.6999999999998</v>
      </c>
      <c r="E447" s="11">
        <v>44567</v>
      </c>
      <c r="F447" s="10">
        <v>2499.6999999999998</v>
      </c>
      <c r="G447" s="12">
        <f>Tabla1[[#This Row],[Importe]]-Tabla1[[#This Row],[Pagado]]</f>
        <v>0</v>
      </c>
      <c r="H447" s="9" t="s">
        <v>10</v>
      </c>
    </row>
    <row r="448" spans="1:8" x14ac:dyDescent="0.25">
      <c r="A448" s="7">
        <v>44567</v>
      </c>
      <c r="B448" s="8" t="s">
        <v>657</v>
      </c>
      <c r="C448" s="9" t="s">
        <v>198</v>
      </c>
      <c r="D448" s="10">
        <v>3755.4</v>
      </c>
      <c r="E448" s="11">
        <v>44567</v>
      </c>
      <c r="F448" s="10">
        <v>3755.4</v>
      </c>
      <c r="G448" s="12">
        <f>Tabla1[[#This Row],[Importe]]-Tabla1[[#This Row],[Pagado]]</f>
        <v>0</v>
      </c>
      <c r="H448" s="9" t="s">
        <v>10</v>
      </c>
    </row>
    <row r="449" spans="1:8" x14ac:dyDescent="0.25">
      <c r="A449" s="7">
        <v>44567</v>
      </c>
      <c r="B449" s="8" t="s">
        <v>658</v>
      </c>
      <c r="C449" s="9" t="s">
        <v>146</v>
      </c>
      <c r="D449" s="10">
        <v>2750</v>
      </c>
      <c r="E449" s="11">
        <v>44567</v>
      </c>
      <c r="F449" s="10">
        <v>2750</v>
      </c>
      <c r="G449" s="12">
        <f>Tabla1[[#This Row],[Importe]]-Tabla1[[#This Row],[Pagado]]</f>
        <v>0</v>
      </c>
      <c r="H449" s="9" t="s">
        <v>10</v>
      </c>
    </row>
    <row r="450" spans="1:8" x14ac:dyDescent="0.25">
      <c r="A450" s="7">
        <v>44567</v>
      </c>
      <c r="B450" s="8" t="s">
        <v>659</v>
      </c>
      <c r="C450" s="9" t="s">
        <v>142</v>
      </c>
      <c r="D450" s="10">
        <v>16161</v>
      </c>
      <c r="E450" s="11">
        <v>44589</v>
      </c>
      <c r="F450" s="10">
        <v>16161</v>
      </c>
      <c r="G450" s="12">
        <f>Tabla1[[#This Row],[Importe]]-Tabla1[[#This Row],[Pagado]]</f>
        <v>0</v>
      </c>
      <c r="H450" s="9" t="s">
        <v>10</v>
      </c>
    </row>
    <row r="451" spans="1:8" x14ac:dyDescent="0.25">
      <c r="A451" s="7">
        <v>44567</v>
      </c>
      <c r="B451" s="8" t="s">
        <v>660</v>
      </c>
      <c r="C451" s="9" t="s">
        <v>202</v>
      </c>
      <c r="D451" s="10">
        <v>2951.2</v>
      </c>
      <c r="E451" s="11">
        <v>44567</v>
      </c>
      <c r="F451" s="10">
        <v>2951.2</v>
      </c>
      <c r="G451" s="12">
        <f>Tabla1[[#This Row],[Importe]]-Tabla1[[#This Row],[Pagado]]</f>
        <v>0</v>
      </c>
      <c r="H451" s="9" t="s">
        <v>10</v>
      </c>
    </row>
    <row r="452" spans="1:8" x14ac:dyDescent="0.25">
      <c r="A452" s="7">
        <v>44567</v>
      </c>
      <c r="B452" s="8" t="s">
        <v>661</v>
      </c>
      <c r="C452" s="9" t="s">
        <v>45</v>
      </c>
      <c r="D452" s="10">
        <v>12622.8</v>
      </c>
      <c r="E452" s="11">
        <v>44567</v>
      </c>
      <c r="F452" s="10">
        <v>12622.8</v>
      </c>
      <c r="G452" s="12">
        <f>Tabla1[[#This Row],[Importe]]-Tabla1[[#This Row],[Pagado]]</f>
        <v>0</v>
      </c>
      <c r="H452" s="9" t="s">
        <v>10</v>
      </c>
    </row>
    <row r="453" spans="1:8" x14ac:dyDescent="0.25">
      <c r="A453" s="7">
        <v>44567</v>
      </c>
      <c r="B453" s="8" t="s">
        <v>662</v>
      </c>
      <c r="C453" s="9" t="s">
        <v>107</v>
      </c>
      <c r="D453" s="10">
        <v>9074.7000000000007</v>
      </c>
      <c r="E453" s="11">
        <v>44567</v>
      </c>
      <c r="F453" s="10">
        <v>9074.7000000000007</v>
      </c>
      <c r="G453" s="12">
        <f>Tabla1[[#This Row],[Importe]]-Tabla1[[#This Row],[Pagado]]</f>
        <v>0</v>
      </c>
      <c r="H453" s="9" t="s">
        <v>10</v>
      </c>
    </row>
    <row r="454" spans="1:8" x14ac:dyDescent="0.25">
      <c r="A454" s="7">
        <v>44567</v>
      </c>
      <c r="B454" s="8" t="s">
        <v>663</v>
      </c>
      <c r="C454" s="9" t="s">
        <v>664</v>
      </c>
      <c r="D454" s="10">
        <v>10573.2</v>
      </c>
      <c r="E454" s="11">
        <v>44567</v>
      </c>
      <c r="F454" s="10">
        <v>10573.2</v>
      </c>
      <c r="G454" s="12">
        <f>Tabla1[[#This Row],[Importe]]-Tabla1[[#This Row],[Pagado]]</f>
        <v>0</v>
      </c>
      <c r="H454" s="9" t="s">
        <v>10</v>
      </c>
    </row>
    <row r="455" spans="1:8" x14ac:dyDescent="0.25">
      <c r="A455" s="7">
        <v>44567</v>
      </c>
      <c r="B455" s="8" t="s">
        <v>665</v>
      </c>
      <c r="C455" s="9" t="s">
        <v>275</v>
      </c>
      <c r="D455" s="10">
        <v>2016</v>
      </c>
      <c r="E455" s="11">
        <v>44575</v>
      </c>
      <c r="F455" s="10">
        <v>2016</v>
      </c>
      <c r="G455" s="12">
        <f>Tabla1[[#This Row],[Importe]]-Tabla1[[#This Row],[Pagado]]</f>
        <v>0</v>
      </c>
      <c r="H455" s="9" t="s">
        <v>10</v>
      </c>
    </row>
    <row r="456" spans="1:8" x14ac:dyDescent="0.25">
      <c r="A456" s="7">
        <v>44567</v>
      </c>
      <c r="B456" s="8" t="s">
        <v>666</v>
      </c>
      <c r="C456" s="9" t="s">
        <v>31</v>
      </c>
      <c r="D456" s="10">
        <v>929</v>
      </c>
      <c r="E456" s="11">
        <v>44567</v>
      </c>
      <c r="F456" s="10">
        <v>929</v>
      </c>
      <c r="G456" s="12">
        <f>Tabla1[[#This Row],[Importe]]-Tabla1[[#This Row],[Pagado]]</f>
        <v>0</v>
      </c>
      <c r="H456" s="9" t="s">
        <v>10</v>
      </c>
    </row>
    <row r="457" spans="1:8" x14ac:dyDescent="0.25">
      <c r="A457" s="7">
        <v>44567</v>
      </c>
      <c r="B457" s="8" t="s">
        <v>667</v>
      </c>
      <c r="C457" s="9" t="s">
        <v>29</v>
      </c>
      <c r="D457" s="10">
        <v>5000</v>
      </c>
      <c r="E457" s="11">
        <v>44567</v>
      </c>
      <c r="F457" s="10">
        <v>5000</v>
      </c>
      <c r="G457" s="12">
        <f>Tabla1[[#This Row],[Importe]]-Tabla1[[#This Row],[Pagado]]</f>
        <v>0</v>
      </c>
      <c r="H457" s="9" t="s">
        <v>10</v>
      </c>
    </row>
    <row r="458" spans="1:8" x14ac:dyDescent="0.25">
      <c r="A458" s="7">
        <v>44567</v>
      </c>
      <c r="B458" s="8" t="s">
        <v>668</v>
      </c>
      <c r="C458" s="9" t="s">
        <v>244</v>
      </c>
      <c r="D458" s="10">
        <v>4704.3</v>
      </c>
      <c r="E458" s="11">
        <v>44567</v>
      </c>
      <c r="F458" s="10">
        <v>4704.3</v>
      </c>
      <c r="G458" s="12">
        <f>Tabla1[[#This Row],[Importe]]-Tabla1[[#This Row],[Pagado]]</f>
        <v>0</v>
      </c>
      <c r="H458" s="9" t="s">
        <v>10</v>
      </c>
    </row>
    <row r="459" spans="1:8" x14ac:dyDescent="0.25">
      <c r="A459" s="7">
        <v>44567</v>
      </c>
      <c r="B459" s="8" t="s">
        <v>669</v>
      </c>
      <c r="C459" s="9" t="s">
        <v>670</v>
      </c>
      <c r="D459" s="10">
        <v>3702.6</v>
      </c>
      <c r="E459" s="11">
        <v>44567</v>
      </c>
      <c r="F459" s="10">
        <v>3702.6</v>
      </c>
      <c r="G459" s="12">
        <f>Tabla1[[#This Row],[Importe]]-Tabla1[[#This Row],[Pagado]]</f>
        <v>0</v>
      </c>
      <c r="H459" s="9" t="s">
        <v>10</v>
      </c>
    </row>
    <row r="460" spans="1:8" x14ac:dyDescent="0.25">
      <c r="A460" s="7">
        <v>44567</v>
      </c>
      <c r="B460" s="8" t="s">
        <v>671</v>
      </c>
      <c r="C460" s="9" t="s">
        <v>222</v>
      </c>
      <c r="D460" s="10">
        <v>8052.4</v>
      </c>
      <c r="E460" s="11">
        <v>44567</v>
      </c>
      <c r="F460" s="10">
        <v>8052.4</v>
      </c>
      <c r="G460" s="12">
        <f>Tabla1[[#This Row],[Importe]]-Tabla1[[#This Row],[Pagado]]</f>
        <v>0</v>
      </c>
      <c r="H460" s="9" t="s">
        <v>10</v>
      </c>
    </row>
    <row r="461" spans="1:8" x14ac:dyDescent="0.25">
      <c r="A461" s="7">
        <v>44567</v>
      </c>
      <c r="B461" s="8" t="s">
        <v>672</v>
      </c>
      <c r="C461" s="9" t="s">
        <v>419</v>
      </c>
      <c r="D461" s="10">
        <v>6263.6</v>
      </c>
      <c r="E461" s="11">
        <v>44567</v>
      </c>
      <c r="F461" s="10">
        <v>6263.6</v>
      </c>
      <c r="G461" s="12">
        <f>Tabla1[[#This Row],[Importe]]-Tabla1[[#This Row],[Pagado]]</f>
        <v>0</v>
      </c>
      <c r="H461" s="9" t="s">
        <v>10</v>
      </c>
    </row>
    <row r="462" spans="1:8" x14ac:dyDescent="0.25">
      <c r="A462" s="7">
        <v>44567</v>
      </c>
      <c r="B462" s="8" t="s">
        <v>673</v>
      </c>
      <c r="C462" s="9" t="s">
        <v>31</v>
      </c>
      <c r="D462" s="10">
        <v>240</v>
      </c>
      <c r="E462" s="11">
        <v>44567</v>
      </c>
      <c r="F462" s="10">
        <v>240</v>
      </c>
      <c r="G462" s="12">
        <f>Tabla1[[#This Row],[Importe]]-Tabla1[[#This Row],[Pagado]]</f>
        <v>0</v>
      </c>
      <c r="H462" s="9" t="s">
        <v>10</v>
      </c>
    </row>
    <row r="463" spans="1:8" x14ac:dyDescent="0.25">
      <c r="A463" s="7">
        <v>44567</v>
      </c>
      <c r="B463" s="8" t="s">
        <v>674</v>
      </c>
      <c r="C463" s="9" t="s">
        <v>175</v>
      </c>
      <c r="D463" s="10">
        <v>26867.4</v>
      </c>
      <c r="E463" s="11">
        <v>44568</v>
      </c>
      <c r="F463" s="10">
        <v>26867.4</v>
      </c>
      <c r="G463" s="12">
        <f>Tabla1[[#This Row],[Importe]]-Tabla1[[#This Row],[Pagado]]</f>
        <v>0</v>
      </c>
      <c r="H463" s="9" t="s">
        <v>10</v>
      </c>
    </row>
    <row r="464" spans="1:8" x14ac:dyDescent="0.25">
      <c r="A464" s="7">
        <v>44567</v>
      </c>
      <c r="B464" s="8" t="s">
        <v>675</v>
      </c>
      <c r="C464" s="9" t="s">
        <v>181</v>
      </c>
      <c r="D464" s="10">
        <v>10459.799999999999</v>
      </c>
      <c r="E464" s="11">
        <v>44568</v>
      </c>
      <c r="F464" s="10">
        <v>10459.799999999999</v>
      </c>
      <c r="G464" s="12">
        <f>Tabla1[[#This Row],[Importe]]-Tabla1[[#This Row],[Pagado]]</f>
        <v>0</v>
      </c>
      <c r="H464" s="9" t="s">
        <v>10</v>
      </c>
    </row>
    <row r="465" spans="1:8" x14ac:dyDescent="0.25">
      <c r="A465" s="7">
        <v>44567</v>
      </c>
      <c r="B465" s="8" t="s">
        <v>676</v>
      </c>
      <c r="C465" s="9" t="s">
        <v>359</v>
      </c>
      <c r="D465" s="10">
        <v>3804.2</v>
      </c>
      <c r="E465" s="11">
        <v>44568</v>
      </c>
      <c r="F465" s="10">
        <v>3804.2</v>
      </c>
      <c r="G465" s="12">
        <f>Tabla1[[#This Row],[Importe]]-Tabla1[[#This Row],[Pagado]]</f>
        <v>0</v>
      </c>
      <c r="H465" s="9" t="s">
        <v>10</v>
      </c>
    </row>
    <row r="466" spans="1:8" x14ac:dyDescent="0.25">
      <c r="A466" s="7">
        <v>44567</v>
      </c>
      <c r="B466" s="8" t="s">
        <v>677</v>
      </c>
      <c r="C466" s="9" t="s">
        <v>159</v>
      </c>
      <c r="D466" s="10">
        <v>5692.6</v>
      </c>
      <c r="E466" s="11">
        <v>44567</v>
      </c>
      <c r="F466" s="10">
        <v>5692.6</v>
      </c>
      <c r="G466" s="12">
        <f>Tabla1[[#This Row],[Importe]]-Tabla1[[#This Row],[Pagado]]</f>
        <v>0</v>
      </c>
      <c r="H466" s="9" t="s">
        <v>10</v>
      </c>
    </row>
    <row r="467" spans="1:8" x14ac:dyDescent="0.25">
      <c r="A467" s="7">
        <v>44567</v>
      </c>
      <c r="B467" s="8" t="s">
        <v>678</v>
      </c>
      <c r="C467" s="9" t="s">
        <v>157</v>
      </c>
      <c r="D467" s="10">
        <v>2714.2</v>
      </c>
      <c r="E467" s="11">
        <v>44567</v>
      </c>
      <c r="F467" s="10">
        <v>2714.2</v>
      </c>
      <c r="G467" s="12">
        <f>Tabla1[[#This Row],[Importe]]-Tabla1[[#This Row],[Pagado]]</f>
        <v>0</v>
      </c>
      <c r="H467" s="9" t="s">
        <v>10</v>
      </c>
    </row>
    <row r="468" spans="1:8" x14ac:dyDescent="0.25">
      <c r="A468" s="7">
        <v>44567</v>
      </c>
      <c r="B468" s="8" t="s">
        <v>679</v>
      </c>
      <c r="C468" s="9" t="s">
        <v>319</v>
      </c>
      <c r="D468" s="10">
        <v>5136.88</v>
      </c>
      <c r="E468" s="11">
        <v>44567</v>
      </c>
      <c r="F468" s="10">
        <v>5136.88</v>
      </c>
      <c r="G468" s="12">
        <f>Tabla1[[#This Row],[Importe]]-Tabla1[[#This Row],[Pagado]]</f>
        <v>0</v>
      </c>
      <c r="H468" s="9" t="s">
        <v>10</v>
      </c>
    </row>
    <row r="469" spans="1:8" x14ac:dyDescent="0.25">
      <c r="A469" s="7">
        <v>44567</v>
      </c>
      <c r="B469" s="8" t="s">
        <v>680</v>
      </c>
      <c r="C469" s="9" t="s">
        <v>681</v>
      </c>
      <c r="D469" s="10">
        <v>2.1</v>
      </c>
      <c r="E469" s="11">
        <v>44569</v>
      </c>
      <c r="F469" s="10">
        <v>2.1</v>
      </c>
      <c r="G469" s="12">
        <f>Tabla1[[#This Row],[Importe]]-Tabla1[[#This Row],[Pagado]]</f>
        <v>0</v>
      </c>
      <c r="H469" s="9" t="s">
        <v>10</v>
      </c>
    </row>
    <row r="470" spans="1:8" x14ac:dyDescent="0.25">
      <c r="A470" s="7">
        <v>44567</v>
      </c>
      <c r="B470" s="8" t="s">
        <v>682</v>
      </c>
      <c r="C470" s="9" t="s">
        <v>151</v>
      </c>
      <c r="D470" s="10">
        <v>4320</v>
      </c>
      <c r="E470" s="11">
        <v>44567</v>
      </c>
      <c r="F470" s="10">
        <v>4320</v>
      </c>
      <c r="G470" s="12">
        <f>Tabla1[[#This Row],[Importe]]-Tabla1[[#This Row],[Pagado]]</f>
        <v>0</v>
      </c>
      <c r="H470" s="9" t="s">
        <v>10</v>
      </c>
    </row>
    <row r="471" spans="1:8" x14ac:dyDescent="0.25">
      <c r="A471" s="7">
        <v>44567</v>
      </c>
      <c r="B471" s="8" t="s">
        <v>683</v>
      </c>
      <c r="C471" s="9" t="s">
        <v>284</v>
      </c>
      <c r="D471" s="10">
        <v>5055</v>
      </c>
      <c r="E471" s="11">
        <v>44568</v>
      </c>
      <c r="F471" s="10">
        <v>5055</v>
      </c>
      <c r="G471" s="12">
        <f>Tabla1[[#This Row],[Importe]]-Tabla1[[#This Row],[Pagado]]</f>
        <v>0</v>
      </c>
      <c r="H471" s="9" t="s">
        <v>10</v>
      </c>
    </row>
    <row r="472" spans="1:8" x14ac:dyDescent="0.25">
      <c r="A472" s="7">
        <v>44567</v>
      </c>
      <c r="B472" s="8" t="s">
        <v>684</v>
      </c>
      <c r="C472" s="9" t="s">
        <v>280</v>
      </c>
      <c r="D472" s="10">
        <v>525</v>
      </c>
      <c r="E472" s="11">
        <v>44568</v>
      </c>
      <c r="F472" s="10">
        <v>525</v>
      </c>
      <c r="G472" s="12">
        <f>Tabla1[[#This Row],[Importe]]-Tabla1[[#This Row],[Pagado]]</f>
        <v>0</v>
      </c>
      <c r="H472" s="9" t="s">
        <v>10</v>
      </c>
    </row>
    <row r="473" spans="1:8" x14ac:dyDescent="0.25">
      <c r="A473" s="7">
        <v>44567</v>
      </c>
      <c r="B473" s="8" t="s">
        <v>685</v>
      </c>
      <c r="C473" s="9" t="s">
        <v>99</v>
      </c>
      <c r="D473" s="10">
        <v>7000</v>
      </c>
      <c r="E473" s="11">
        <v>44568</v>
      </c>
      <c r="F473" s="10">
        <v>7000</v>
      </c>
      <c r="G473" s="12">
        <f>Tabla1[[#This Row],[Importe]]-Tabla1[[#This Row],[Pagado]]</f>
        <v>0</v>
      </c>
      <c r="H473" s="9" t="s">
        <v>10</v>
      </c>
    </row>
    <row r="474" spans="1:8" x14ac:dyDescent="0.25">
      <c r="A474" s="7">
        <v>44567</v>
      </c>
      <c r="B474" s="8" t="s">
        <v>686</v>
      </c>
      <c r="C474" s="9" t="s">
        <v>200</v>
      </c>
      <c r="D474" s="10">
        <v>715</v>
      </c>
      <c r="E474" s="11">
        <v>44568</v>
      </c>
      <c r="F474" s="10">
        <v>715</v>
      </c>
      <c r="G474" s="12">
        <f>Tabla1[[#This Row],[Importe]]-Tabla1[[#This Row],[Pagado]]</f>
        <v>0</v>
      </c>
      <c r="H474" s="9" t="s">
        <v>10</v>
      </c>
    </row>
    <row r="475" spans="1:8" x14ac:dyDescent="0.25">
      <c r="A475" s="7">
        <v>44567</v>
      </c>
      <c r="B475" s="8" t="s">
        <v>687</v>
      </c>
      <c r="C475" s="9" t="s">
        <v>414</v>
      </c>
      <c r="D475" s="10">
        <v>15800</v>
      </c>
      <c r="E475" s="11">
        <v>44567</v>
      </c>
      <c r="F475" s="10">
        <v>15800</v>
      </c>
      <c r="G475" s="12">
        <f>Tabla1[[#This Row],[Importe]]-Tabla1[[#This Row],[Pagado]]</f>
        <v>0</v>
      </c>
      <c r="H475" s="9" t="s">
        <v>10</v>
      </c>
    </row>
    <row r="476" spans="1:8" x14ac:dyDescent="0.25">
      <c r="A476" s="7">
        <v>44567</v>
      </c>
      <c r="B476" s="8" t="s">
        <v>688</v>
      </c>
      <c r="C476" s="9" t="s">
        <v>426</v>
      </c>
      <c r="D476" s="10">
        <v>3648.1</v>
      </c>
      <c r="E476" s="11">
        <v>44568</v>
      </c>
      <c r="F476" s="10">
        <v>3648.1</v>
      </c>
      <c r="G476" s="12">
        <f>Tabla1[[#This Row],[Importe]]-Tabla1[[#This Row],[Pagado]]</f>
        <v>0</v>
      </c>
      <c r="H476" s="9" t="s">
        <v>10</v>
      </c>
    </row>
    <row r="477" spans="1:8" x14ac:dyDescent="0.25">
      <c r="A477" s="7">
        <v>44567</v>
      </c>
      <c r="B477" s="8" t="s">
        <v>689</v>
      </c>
      <c r="C477" s="9" t="s">
        <v>216</v>
      </c>
      <c r="D477" s="10">
        <v>1200</v>
      </c>
      <c r="E477" s="11">
        <v>44567</v>
      </c>
      <c r="F477" s="10">
        <v>1200</v>
      </c>
      <c r="G477" s="12">
        <f>Tabla1[[#This Row],[Importe]]-Tabla1[[#This Row],[Pagado]]</f>
        <v>0</v>
      </c>
      <c r="H477" s="9" t="s">
        <v>10</v>
      </c>
    </row>
    <row r="478" spans="1:8" x14ac:dyDescent="0.25">
      <c r="A478" s="7">
        <v>44567</v>
      </c>
      <c r="B478" s="8" t="s">
        <v>690</v>
      </c>
      <c r="C478" s="9" t="s">
        <v>216</v>
      </c>
      <c r="D478" s="10">
        <v>400</v>
      </c>
      <c r="E478" s="11">
        <v>44567</v>
      </c>
      <c r="F478" s="10">
        <v>400</v>
      </c>
      <c r="G478" s="12">
        <f>Tabla1[[#This Row],[Importe]]-Tabla1[[#This Row],[Pagado]]</f>
        <v>0</v>
      </c>
      <c r="H478" s="9" t="s">
        <v>10</v>
      </c>
    </row>
    <row r="479" spans="1:8" x14ac:dyDescent="0.25">
      <c r="A479" s="7">
        <v>44567</v>
      </c>
      <c r="B479" s="8" t="s">
        <v>691</v>
      </c>
      <c r="C479" s="9" t="s">
        <v>196</v>
      </c>
      <c r="D479" s="10">
        <v>15490</v>
      </c>
      <c r="E479" s="11">
        <v>44568</v>
      </c>
      <c r="F479" s="10">
        <v>15490</v>
      </c>
      <c r="G479" s="12">
        <f>Tabla1[[#This Row],[Importe]]-Tabla1[[#This Row],[Pagado]]</f>
        <v>0</v>
      </c>
      <c r="H479" s="9" t="s">
        <v>10</v>
      </c>
    </row>
    <row r="480" spans="1:8" x14ac:dyDescent="0.25">
      <c r="A480" s="7">
        <v>44567</v>
      </c>
      <c r="B480" s="8" t="s">
        <v>692</v>
      </c>
      <c r="C480" s="9" t="s">
        <v>142</v>
      </c>
      <c r="D480" s="10">
        <v>4375</v>
      </c>
      <c r="E480" s="11">
        <v>44589</v>
      </c>
      <c r="F480" s="10">
        <v>4375</v>
      </c>
      <c r="G480" s="12">
        <f>Tabla1[[#This Row],[Importe]]-Tabla1[[#This Row],[Pagado]]</f>
        <v>0</v>
      </c>
      <c r="H480" s="9" t="s">
        <v>10</v>
      </c>
    </row>
    <row r="481" spans="1:8" x14ac:dyDescent="0.25">
      <c r="A481" s="7">
        <v>44567</v>
      </c>
      <c r="B481" s="8" t="s">
        <v>693</v>
      </c>
      <c r="C481" s="9" t="s">
        <v>694</v>
      </c>
      <c r="D481" s="10">
        <v>0</v>
      </c>
      <c r="E481" s="13" t="s">
        <v>189</v>
      </c>
      <c r="F481" s="10">
        <v>0</v>
      </c>
      <c r="G481" s="12">
        <f>Tabla1[[#This Row],[Importe]]-Tabla1[[#This Row],[Pagado]]</f>
        <v>0</v>
      </c>
      <c r="H481" s="17" t="s">
        <v>695</v>
      </c>
    </row>
    <row r="482" spans="1:8" x14ac:dyDescent="0.25">
      <c r="A482" s="7">
        <v>44567</v>
      </c>
      <c r="B482" s="8" t="s">
        <v>696</v>
      </c>
      <c r="C482" s="9" t="s">
        <v>22</v>
      </c>
      <c r="D482" s="10">
        <v>4731</v>
      </c>
      <c r="E482" s="11">
        <v>44568</v>
      </c>
      <c r="F482" s="10">
        <v>4731</v>
      </c>
      <c r="G482" s="12">
        <f>Tabla1[[#This Row],[Importe]]-Tabla1[[#This Row],[Pagado]]</f>
        <v>0</v>
      </c>
      <c r="H482" s="9" t="s">
        <v>10</v>
      </c>
    </row>
    <row r="483" spans="1:8" x14ac:dyDescent="0.25">
      <c r="A483" s="7">
        <v>44567</v>
      </c>
      <c r="B483" s="8" t="s">
        <v>697</v>
      </c>
      <c r="C483" s="9" t="s">
        <v>698</v>
      </c>
      <c r="D483" s="10">
        <v>6902</v>
      </c>
      <c r="E483" s="11">
        <v>44567</v>
      </c>
      <c r="F483" s="10">
        <v>6902</v>
      </c>
      <c r="G483" s="12">
        <f>Tabla1[[#This Row],[Importe]]-Tabla1[[#This Row],[Pagado]]</f>
        <v>0</v>
      </c>
      <c r="H483" s="9" t="s">
        <v>10</v>
      </c>
    </row>
    <row r="484" spans="1:8" x14ac:dyDescent="0.25">
      <c r="A484" s="7">
        <v>44567</v>
      </c>
      <c r="B484" s="8" t="s">
        <v>699</v>
      </c>
      <c r="C484" s="9" t="s">
        <v>58</v>
      </c>
      <c r="D484" s="10">
        <v>3502.8</v>
      </c>
      <c r="E484" s="11">
        <v>44567</v>
      </c>
      <c r="F484" s="10">
        <v>3502.8</v>
      </c>
      <c r="G484" s="12">
        <f>Tabla1[[#This Row],[Importe]]-Tabla1[[#This Row],[Pagado]]</f>
        <v>0</v>
      </c>
      <c r="H484" s="9" t="s">
        <v>10</v>
      </c>
    </row>
    <row r="485" spans="1:8" x14ac:dyDescent="0.25">
      <c r="A485" s="7">
        <v>44567</v>
      </c>
      <c r="B485" s="8" t="s">
        <v>700</v>
      </c>
      <c r="C485" s="9" t="s">
        <v>31</v>
      </c>
      <c r="D485" s="10">
        <v>1190</v>
      </c>
      <c r="E485" s="11">
        <v>44567</v>
      </c>
      <c r="F485" s="10">
        <v>1190</v>
      </c>
      <c r="G485" s="12">
        <f>Tabla1[[#This Row],[Importe]]-Tabla1[[#This Row],[Pagado]]</f>
        <v>0</v>
      </c>
      <c r="H485" s="9" t="s">
        <v>10</v>
      </c>
    </row>
    <row r="486" spans="1:8" x14ac:dyDescent="0.25">
      <c r="A486" s="7">
        <v>44567</v>
      </c>
      <c r="B486" s="8" t="s">
        <v>701</v>
      </c>
      <c r="C486" s="9" t="s">
        <v>31</v>
      </c>
      <c r="D486" s="10">
        <v>434</v>
      </c>
      <c r="E486" s="11">
        <v>44567</v>
      </c>
      <c r="F486" s="10">
        <v>434</v>
      </c>
      <c r="G486" s="12">
        <f>Tabla1[[#This Row],[Importe]]-Tabla1[[#This Row],[Pagado]]</f>
        <v>0</v>
      </c>
      <c r="H486" s="9" t="s">
        <v>10</v>
      </c>
    </row>
    <row r="487" spans="1:8" x14ac:dyDescent="0.25">
      <c r="A487" s="7">
        <v>44567</v>
      </c>
      <c r="B487" s="8" t="s">
        <v>702</v>
      </c>
      <c r="C487" s="9" t="s">
        <v>703</v>
      </c>
      <c r="D487" s="10">
        <v>4473.7</v>
      </c>
      <c r="E487" s="11">
        <v>44567</v>
      </c>
      <c r="F487" s="10">
        <v>4473.7</v>
      </c>
      <c r="G487" s="12">
        <f>Tabla1[[#This Row],[Importe]]-Tabla1[[#This Row],[Pagado]]</f>
        <v>0</v>
      </c>
      <c r="H487" s="9" t="s">
        <v>10</v>
      </c>
    </row>
    <row r="488" spans="1:8" x14ac:dyDescent="0.25">
      <c r="A488" s="7">
        <v>44567</v>
      </c>
      <c r="B488" s="8" t="s">
        <v>704</v>
      </c>
      <c r="C488" s="9" t="s">
        <v>31</v>
      </c>
      <c r="D488" s="10">
        <v>140</v>
      </c>
      <c r="E488" s="11">
        <v>44567</v>
      </c>
      <c r="F488" s="10">
        <v>140</v>
      </c>
      <c r="G488" s="12">
        <f>Tabla1[[#This Row],[Importe]]-Tabla1[[#This Row],[Pagado]]</f>
        <v>0</v>
      </c>
      <c r="H488" s="9" t="s">
        <v>10</v>
      </c>
    </row>
    <row r="489" spans="1:8" ht="30" x14ac:dyDescent="0.25">
      <c r="A489" s="7">
        <v>44567</v>
      </c>
      <c r="B489" s="8" t="s">
        <v>705</v>
      </c>
      <c r="C489" s="9" t="s">
        <v>421</v>
      </c>
      <c r="D489" s="10">
        <v>16931.5</v>
      </c>
      <c r="E489" s="11" t="s">
        <v>706</v>
      </c>
      <c r="F489" s="10">
        <f>7000+9931.5</f>
        <v>16931.5</v>
      </c>
      <c r="G489" s="12">
        <f>Tabla1[[#This Row],[Importe]]-Tabla1[[#This Row],[Pagado]]</f>
        <v>0</v>
      </c>
      <c r="H489" s="9" t="s">
        <v>10</v>
      </c>
    </row>
    <row r="490" spans="1:8" x14ac:dyDescent="0.25">
      <c r="A490" s="7">
        <v>44567</v>
      </c>
      <c r="B490" s="8" t="s">
        <v>707</v>
      </c>
      <c r="C490" s="9" t="s">
        <v>24</v>
      </c>
      <c r="D490" s="10">
        <v>274.39999999999998</v>
      </c>
      <c r="E490" s="11">
        <v>44567</v>
      </c>
      <c r="F490" s="10">
        <v>274.39999999999998</v>
      </c>
      <c r="G490" s="12">
        <f>Tabla1[[#This Row],[Importe]]-Tabla1[[#This Row],[Pagado]]</f>
        <v>0</v>
      </c>
      <c r="H490" s="9" t="s">
        <v>10</v>
      </c>
    </row>
    <row r="491" spans="1:8" x14ac:dyDescent="0.25">
      <c r="A491" s="7">
        <v>44567</v>
      </c>
      <c r="B491" s="8" t="s">
        <v>708</v>
      </c>
      <c r="C491" s="9" t="s">
        <v>16</v>
      </c>
      <c r="D491" s="10">
        <v>2344.8000000000002</v>
      </c>
      <c r="E491" s="11">
        <v>44567</v>
      </c>
      <c r="F491" s="10">
        <v>2344.8000000000002</v>
      </c>
      <c r="G491" s="12">
        <f>Tabla1[[#This Row],[Importe]]-Tabla1[[#This Row],[Pagado]]</f>
        <v>0</v>
      </c>
      <c r="H491" s="9" t="s">
        <v>10</v>
      </c>
    </row>
    <row r="492" spans="1:8" x14ac:dyDescent="0.25">
      <c r="A492" s="7">
        <v>44567</v>
      </c>
      <c r="B492" s="8" t="s">
        <v>709</v>
      </c>
      <c r="C492" s="9" t="s">
        <v>710</v>
      </c>
      <c r="D492" s="10">
        <v>1285.2</v>
      </c>
      <c r="E492" s="11">
        <v>44567</v>
      </c>
      <c r="F492" s="10">
        <v>1285.2</v>
      </c>
      <c r="G492" s="12">
        <f>Tabla1[[#This Row],[Importe]]-Tabla1[[#This Row],[Pagado]]</f>
        <v>0</v>
      </c>
      <c r="H492" s="9" t="s">
        <v>10</v>
      </c>
    </row>
    <row r="493" spans="1:8" x14ac:dyDescent="0.25">
      <c r="A493" s="7">
        <v>44567</v>
      </c>
      <c r="B493" s="8" t="s">
        <v>711</v>
      </c>
      <c r="C493" s="9" t="s">
        <v>712</v>
      </c>
      <c r="D493" s="10">
        <v>1.21</v>
      </c>
      <c r="E493" s="11">
        <v>44573</v>
      </c>
      <c r="F493" s="10">
        <v>1.21</v>
      </c>
      <c r="G493" s="12">
        <f>Tabla1[[#This Row],[Importe]]-Tabla1[[#This Row],[Pagado]]</f>
        <v>0</v>
      </c>
      <c r="H493" s="9" t="s">
        <v>10</v>
      </c>
    </row>
    <row r="494" spans="1:8" x14ac:dyDescent="0.25">
      <c r="A494" s="7">
        <v>44567</v>
      </c>
      <c r="B494" s="8" t="s">
        <v>713</v>
      </c>
      <c r="C494" s="9" t="s">
        <v>414</v>
      </c>
      <c r="D494" s="10">
        <v>25712.959999999999</v>
      </c>
      <c r="E494" s="11">
        <v>44620</v>
      </c>
      <c r="F494" s="10">
        <v>25712.959999999999</v>
      </c>
      <c r="G494" s="12">
        <f>Tabla1[[#This Row],[Importe]]-Tabla1[[#This Row],[Pagado]]</f>
        <v>0</v>
      </c>
      <c r="H494" s="9" t="s">
        <v>10</v>
      </c>
    </row>
    <row r="495" spans="1:8" x14ac:dyDescent="0.25">
      <c r="A495" s="7">
        <v>44567</v>
      </c>
      <c r="B495" s="8" t="s">
        <v>714</v>
      </c>
      <c r="C495" s="9" t="s">
        <v>715</v>
      </c>
      <c r="D495" s="10">
        <v>2642.4</v>
      </c>
      <c r="E495" s="11">
        <v>44567</v>
      </c>
      <c r="F495" s="10">
        <v>2642.4</v>
      </c>
      <c r="G495" s="12">
        <f>Tabla1[[#This Row],[Importe]]-Tabla1[[#This Row],[Pagado]]</f>
        <v>0</v>
      </c>
      <c r="H495" s="9" t="s">
        <v>10</v>
      </c>
    </row>
    <row r="496" spans="1:8" x14ac:dyDescent="0.25">
      <c r="A496" s="7">
        <v>44567</v>
      </c>
      <c r="B496" s="8" t="s">
        <v>716</v>
      </c>
      <c r="C496" s="9" t="s">
        <v>715</v>
      </c>
      <c r="D496" s="10">
        <v>397.8</v>
      </c>
      <c r="E496" s="11">
        <v>44567</v>
      </c>
      <c r="F496" s="10">
        <v>397.8</v>
      </c>
      <c r="G496" s="12">
        <f>Tabla1[[#This Row],[Importe]]-Tabla1[[#This Row],[Pagado]]</f>
        <v>0</v>
      </c>
      <c r="H496" s="9" t="s">
        <v>10</v>
      </c>
    </row>
    <row r="497" spans="1:8" x14ac:dyDescent="0.25">
      <c r="A497" s="7">
        <v>44567</v>
      </c>
      <c r="B497" s="8" t="s">
        <v>717</v>
      </c>
      <c r="C497" s="9" t="s">
        <v>583</v>
      </c>
      <c r="D497" s="10">
        <v>2626.4</v>
      </c>
      <c r="E497" s="11">
        <v>44567</v>
      </c>
      <c r="F497" s="10">
        <v>2626.4</v>
      </c>
      <c r="G497" s="12">
        <f>Tabla1[[#This Row],[Importe]]-Tabla1[[#This Row],[Pagado]]</f>
        <v>0</v>
      </c>
      <c r="H497" s="9" t="s">
        <v>10</v>
      </c>
    </row>
    <row r="498" spans="1:8" x14ac:dyDescent="0.25">
      <c r="A498" s="7">
        <v>44567</v>
      </c>
      <c r="B498" s="8" t="s">
        <v>718</v>
      </c>
      <c r="C498" s="9" t="s">
        <v>53</v>
      </c>
      <c r="D498" s="10">
        <v>1359</v>
      </c>
      <c r="E498" s="11">
        <v>44567</v>
      </c>
      <c r="F498" s="10">
        <v>1359</v>
      </c>
      <c r="G498" s="12">
        <f>Tabla1[[#This Row],[Importe]]-Tabla1[[#This Row],[Pagado]]</f>
        <v>0</v>
      </c>
      <c r="H498" s="9" t="s">
        <v>10</v>
      </c>
    </row>
    <row r="499" spans="1:8" x14ac:dyDescent="0.25">
      <c r="A499" s="7">
        <v>44567</v>
      </c>
      <c r="B499" s="8" t="s">
        <v>719</v>
      </c>
      <c r="C499" s="9" t="s">
        <v>31</v>
      </c>
      <c r="D499" s="10">
        <v>345</v>
      </c>
      <c r="E499" s="11">
        <v>44567</v>
      </c>
      <c r="F499" s="10">
        <v>345</v>
      </c>
      <c r="G499" s="12">
        <f>Tabla1[[#This Row],[Importe]]-Tabla1[[#This Row],[Pagado]]</f>
        <v>0</v>
      </c>
      <c r="H499" s="9" t="s">
        <v>10</v>
      </c>
    </row>
    <row r="500" spans="1:8" x14ac:dyDescent="0.25">
      <c r="A500" s="7">
        <v>44567</v>
      </c>
      <c r="B500" s="8" t="s">
        <v>720</v>
      </c>
      <c r="C500" s="9" t="s">
        <v>71</v>
      </c>
      <c r="D500" s="10">
        <v>921.3</v>
      </c>
      <c r="E500" s="11">
        <v>44567</v>
      </c>
      <c r="F500" s="10">
        <v>921.3</v>
      </c>
      <c r="G500" s="12">
        <f>Tabla1[[#This Row],[Importe]]-Tabla1[[#This Row],[Pagado]]</f>
        <v>0</v>
      </c>
      <c r="H500" s="9" t="s">
        <v>10</v>
      </c>
    </row>
    <row r="501" spans="1:8" x14ac:dyDescent="0.25">
      <c r="A501" s="7">
        <v>44567</v>
      </c>
      <c r="B501" s="8" t="s">
        <v>721</v>
      </c>
      <c r="C501" s="9" t="s">
        <v>31</v>
      </c>
      <c r="D501" s="10">
        <v>1400.7</v>
      </c>
      <c r="E501" s="11">
        <v>44567</v>
      </c>
      <c r="F501" s="10">
        <v>1400.7</v>
      </c>
      <c r="G501" s="12">
        <f>Tabla1[[#This Row],[Importe]]-Tabla1[[#This Row],[Pagado]]</f>
        <v>0</v>
      </c>
      <c r="H501" s="9" t="s">
        <v>10</v>
      </c>
    </row>
    <row r="502" spans="1:8" x14ac:dyDescent="0.25">
      <c r="A502" s="7">
        <v>44567</v>
      </c>
      <c r="B502" s="8" t="s">
        <v>722</v>
      </c>
      <c r="C502" s="9" t="s">
        <v>31</v>
      </c>
      <c r="D502" s="10">
        <v>455.1</v>
      </c>
      <c r="E502" s="11">
        <v>44567</v>
      </c>
      <c r="F502" s="10">
        <v>455.1</v>
      </c>
      <c r="G502" s="12">
        <f>Tabla1[[#This Row],[Importe]]-Tabla1[[#This Row],[Pagado]]</f>
        <v>0</v>
      </c>
      <c r="H502" s="9" t="s">
        <v>10</v>
      </c>
    </row>
    <row r="503" spans="1:8" x14ac:dyDescent="0.25">
      <c r="A503" s="7">
        <v>44567</v>
      </c>
      <c r="B503" s="8" t="s">
        <v>723</v>
      </c>
      <c r="C503" s="9" t="s">
        <v>240</v>
      </c>
      <c r="D503" s="10">
        <v>2254.1999999999998</v>
      </c>
      <c r="E503" s="11">
        <v>44567</v>
      </c>
      <c r="F503" s="10">
        <v>2254.1999999999998</v>
      </c>
      <c r="G503" s="12">
        <f>Tabla1[[#This Row],[Importe]]-Tabla1[[#This Row],[Pagado]]</f>
        <v>0</v>
      </c>
      <c r="H503" s="9" t="s">
        <v>10</v>
      </c>
    </row>
    <row r="504" spans="1:8" x14ac:dyDescent="0.25">
      <c r="A504" s="7">
        <v>44567</v>
      </c>
      <c r="B504" s="8" t="s">
        <v>724</v>
      </c>
      <c r="C504" s="9" t="s">
        <v>275</v>
      </c>
      <c r="D504" s="10">
        <v>60947.839999999997</v>
      </c>
      <c r="E504" s="11">
        <v>44575</v>
      </c>
      <c r="F504" s="10">
        <v>60947.839999999997</v>
      </c>
      <c r="G504" s="12">
        <f>Tabla1[[#This Row],[Importe]]-Tabla1[[#This Row],[Pagado]]</f>
        <v>0</v>
      </c>
      <c r="H504" s="9" t="s">
        <v>10</v>
      </c>
    </row>
    <row r="505" spans="1:8" x14ac:dyDescent="0.25">
      <c r="A505" s="7">
        <v>44567</v>
      </c>
      <c r="B505" s="8" t="s">
        <v>725</v>
      </c>
      <c r="C505" s="9" t="s">
        <v>87</v>
      </c>
      <c r="D505" s="10">
        <v>2245</v>
      </c>
      <c r="E505" s="11">
        <v>44568</v>
      </c>
      <c r="F505" s="10">
        <v>2245</v>
      </c>
      <c r="G505" s="12">
        <f>Tabla1[[#This Row],[Importe]]-Tabla1[[#This Row],[Pagado]]</f>
        <v>0</v>
      </c>
      <c r="H505" s="9" t="s">
        <v>10</v>
      </c>
    </row>
    <row r="506" spans="1:8" x14ac:dyDescent="0.25">
      <c r="A506" s="7">
        <v>44567</v>
      </c>
      <c r="B506" s="8" t="s">
        <v>726</v>
      </c>
      <c r="C506" s="9" t="s">
        <v>409</v>
      </c>
      <c r="D506" s="10">
        <v>7876.2</v>
      </c>
      <c r="E506" s="11">
        <v>44573</v>
      </c>
      <c r="F506" s="10">
        <v>7876.2</v>
      </c>
      <c r="G506" s="12">
        <f>Tabla1[[#This Row],[Importe]]-Tabla1[[#This Row],[Pagado]]</f>
        <v>0</v>
      </c>
      <c r="H506" s="9" t="s">
        <v>10</v>
      </c>
    </row>
    <row r="507" spans="1:8" x14ac:dyDescent="0.25">
      <c r="A507" s="7">
        <v>44567</v>
      </c>
      <c r="B507" s="8" t="s">
        <v>727</v>
      </c>
      <c r="C507" s="9" t="s">
        <v>414</v>
      </c>
      <c r="D507" s="10">
        <v>875.8</v>
      </c>
      <c r="E507" s="11">
        <v>44568</v>
      </c>
      <c r="F507" s="10">
        <v>875.8</v>
      </c>
      <c r="G507" s="12">
        <f>Tabla1[[#This Row],[Importe]]-Tabla1[[#This Row],[Pagado]]</f>
        <v>0</v>
      </c>
      <c r="H507" s="9" t="s">
        <v>10</v>
      </c>
    </row>
    <row r="508" spans="1:8" x14ac:dyDescent="0.25">
      <c r="A508" s="7">
        <v>44567</v>
      </c>
      <c r="B508" s="8" t="s">
        <v>728</v>
      </c>
      <c r="C508" s="9" t="s">
        <v>729</v>
      </c>
      <c r="D508" s="10">
        <v>18127.900000000001</v>
      </c>
      <c r="E508" s="11">
        <v>44568</v>
      </c>
      <c r="F508" s="10">
        <v>18127.900000000001</v>
      </c>
      <c r="G508" s="12">
        <f>Tabla1[[#This Row],[Importe]]-Tabla1[[#This Row],[Pagado]]</f>
        <v>0</v>
      </c>
      <c r="H508" s="9" t="s">
        <v>10</v>
      </c>
    </row>
    <row r="509" spans="1:8" x14ac:dyDescent="0.25">
      <c r="A509" s="7">
        <v>44567</v>
      </c>
      <c r="B509" s="8" t="s">
        <v>730</v>
      </c>
      <c r="C509" s="9" t="s">
        <v>31</v>
      </c>
      <c r="D509" s="10">
        <v>280</v>
      </c>
      <c r="E509" s="11">
        <v>44567</v>
      </c>
      <c r="F509" s="10">
        <v>280</v>
      </c>
      <c r="G509" s="12">
        <f>Tabla1[[#This Row],[Importe]]-Tabla1[[#This Row],[Pagado]]</f>
        <v>0</v>
      </c>
      <c r="H509" s="9" t="s">
        <v>10</v>
      </c>
    </row>
    <row r="510" spans="1:8" x14ac:dyDescent="0.25">
      <c r="A510" s="7">
        <v>44567</v>
      </c>
      <c r="B510" s="8" t="s">
        <v>731</v>
      </c>
      <c r="C510" s="9" t="s">
        <v>732</v>
      </c>
      <c r="D510" s="10">
        <v>10285.6</v>
      </c>
      <c r="E510" s="11">
        <v>44567</v>
      </c>
      <c r="F510" s="10">
        <v>10285.6</v>
      </c>
      <c r="G510" s="12">
        <f>Tabla1[[#This Row],[Importe]]-Tabla1[[#This Row],[Pagado]]</f>
        <v>0</v>
      </c>
      <c r="H510" s="9" t="s">
        <v>10</v>
      </c>
    </row>
    <row r="511" spans="1:8" x14ac:dyDescent="0.25">
      <c r="A511" s="7">
        <v>44567</v>
      </c>
      <c r="B511" s="8" t="s">
        <v>733</v>
      </c>
      <c r="C511" s="9" t="s">
        <v>450</v>
      </c>
      <c r="D511" s="10">
        <v>3264</v>
      </c>
      <c r="E511" s="11">
        <v>44567</v>
      </c>
      <c r="F511" s="10">
        <v>3264</v>
      </c>
      <c r="G511" s="12">
        <f>Tabla1[[#This Row],[Importe]]-Tabla1[[#This Row],[Pagado]]</f>
        <v>0</v>
      </c>
      <c r="H511" s="9" t="s">
        <v>10</v>
      </c>
    </row>
    <row r="512" spans="1:8" x14ac:dyDescent="0.25">
      <c r="A512" s="7">
        <v>44567</v>
      </c>
      <c r="B512" s="8" t="s">
        <v>734</v>
      </c>
      <c r="C512" s="9" t="s">
        <v>296</v>
      </c>
      <c r="D512" s="10">
        <v>1519.8</v>
      </c>
      <c r="E512" s="11">
        <v>44567</v>
      </c>
      <c r="F512" s="10">
        <v>1519.8</v>
      </c>
      <c r="G512" s="12">
        <f>Tabla1[[#This Row],[Importe]]-Tabla1[[#This Row],[Pagado]]</f>
        <v>0</v>
      </c>
      <c r="H512" s="9" t="s">
        <v>10</v>
      </c>
    </row>
    <row r="513" spans="1:8" x14ac:dyDescent="0.25">
      <c r="A513" s="7">
        <v>44567</v>
      </c>
      <c r="B513" s="8" t="s">
        <v>735</v>
      </c>
      <c r="C513" s="9" t="s">
        <v>149</v>
      </c>
      <c r="D513" s="10">
        <v>340</v>
      </c>
      <c r="E513" s="11">
        <v>44567</v>
      </c>
      <c r="F513" s="10">
        <v>340</v>
      </c>
      <c r="G513" s="12">
        <f>Tabla1[[#This Row],[Importe]]-Tabla1[[#This Row],[Pagado]]</f>
        <v>0</v>
      </c>
      <c r="H513" s="9" t="s">
        <v>10</v>
      </c>
    </row>
    <row r="514" spans="1:8" x14ac:dyDescent="0.25">
      <c r="A514" s="7">
        <v>44567</v>
      </c>
      <c r="B514" s="8" t="s">
        <v>736</v>
      </c>
      <c r="C514" s="9" t="s">
        <v>454</v>
      </c>
      <c r="D514" s="10">
        <v>5008.2</v>
      </c>
      <c r="E514" s="11">
        <v>44567</v>
      </c>
      <c r="F514" s="10">
        <v>5008.2</v>
      </c>
      <c r="G514" s="12">
        <f>Tabla1[[#This Row],[Importe]]-Tabla1[[#This Row],[Pagado]]</f>
        <v>0</v>
      </c>
      <c r="H514" s="9" t="s">
        <v>10</v>
      </c>
    </row>
    <row r="515" spans="1:8" x14ac:dyDescent="0.25">
      <c r="A515" s="7">
        <v>44568</v>
      </c>
      <c r="B515" s="8" t="s">
        <v>737</v>
      </c>
      <c r="C515" s="9" t="s">
        <v>85</v>
      </c>
      <c r="D515" s="10">
        <v>3030</v>
      </c>
      <c r="E515" s="11">
        <v>44568</v>
      </c>
      <c r="F515" s="10">
        <v>3030</v>
      </c>
      <c r="G515" s="12">
        <f>Tabla1[[#This Row],[Importe]]-Tabla1[[#This Row],[Pagado]]</f>
        <v>0</v>
      </c>
      <c r="H515" s="9" t="s">
        <v>10</v>
      </c>
    </row>
    <row r="516" spans="1:8" x14ac:dyDescent="0.25">
      <c r="A516" s="7">
        <v>44568</v>
      </c>
      <c r="B516" s="8" t="s">
        <v>738</v>
      </c>
      <c r="C516" s="9" t="s">
        <v>475</v>
      </c>
      <c r="D516" s="10">
        <v>27120.5</v>
      </c>
      <c r="E516" s="11">
        <v>44569</v>
      </c>
      <c r="F516" s="10">
        <v>27120.5</v>
      </c>
      <c r="G516" s="12">
        <f>Tabla1[[#This Row],[Importe]]-Tabla1[[#This Row],[Pagado]]</f>
        <v>0</v>
      </c>
      <c r="H516" s="9" t="s">
        <v>10</v>
      </c>
    </row>
    <row r="517" spans="1:8" x14ac:dyDescent="0.25">
      <c r="A517" s="7">
        <v>44568</v>
      </c>
      <c r="B517" s="8" t="s">
        <v>739</v>
      </c>
      <c r="C517" s="9" t="s">
        <v>12</v>
      </c>
      <c r="D517" s="10">
        <v>31793.25</v>
      </c>
      <c r="E517" s="11">
        <v>44569</v>
      </c>
      <c r="F517" s="10">
        <v>31793.25</v>
      </c>
      <c r="G517" s="12">
        <f>Tabla1[[#This Row],[Importe]]-Tabla1[[#This Row],[Pagado]]</f>
        <v>0</v>
      </c>
      <c r="H517" s="9" t="s">
        <v>10</v>
      </c>
    </row>
    <row r="518" spans="1:8" x14ac:dyDescent="0.25">
      <c r="A518" s="7">
        <v>44568</v>
      </c>
      <c r="B518" s="8" t="s">
        <v>740</v>
      </c>
      <c r="C518" s="9" t="s">
        <v>481</v>
      </c>
      <c r="D518" s="10">
        <v>793.8</v>
      </c>
      <c r="E518" s="11">
        <v>44568</v>
      </c>
      <c r="F518" s="10">
        <v>793.8</v>
      </c>
      <c r="G518" s="12">
        <f>Tabla1[[#This Row],[Importe]]-Tabla1[[#This Row],[Pagado]]</f>
        <v>0</v>
      </c>
      <c r="H518" s="9" t="s">
        <v>10</v>
      </c>
    </row>
    <row r="519" spans="1:8" x14ac:dyDescent="0.25">
      <c r="A519" s="7">
        <v>44568</v>
      </c>
      <c r="B519" s="8" t="s">
        <v>741</v>
      </c>
      <c r="C519" s="9" t="s">
        <v>105</v>
      </c>
      <c r="D519" s="10">
        <v>12492</v>
      </c>
      <c r="E519" s="11">
        <v>44569</v>
      </c>
      <c r="F519" s="10">
        <v>12492</v>
      </c>
      <c r="G519" s="12">
        <f>Tabla1[[#This Row],[Importe]]-Tabla1[[#This Row],[Pagado]]</f>
        <v>0</v>
      </c>
      <c r="H519" s="9" t="s">
        <v>10</v>
      </c>
    </row>
    <row r="520" spans="1:8" x14ac:dyDescent="0.25">
      <c r="A520" s="7">
        <v>44568</v>
      </c>
      <c r="B520" s="8" t="s">
        <v>742</v>
      </c>
      <c r="C520" s="9" t="s">
        <v>109</v>
      </c>
      <c r="D520" s="10">
        <v>4532</v>
      </c>
      <c r="E520" s="11">
        <v>44569</v>
      </c>
      <c r="F520" s="10">
        <v>4532</v>
      </c>
      <c r="G520" s="12">
        <f>Tabla1[[#This Row],[Importe]]-Tabla1[[#This Row],[Pagado]]</f>
        <v>0</v>
      </c>
      <c r="H520" s="9" t="s">
        <v>10</v>
      </c>
    </row>
    <row r="521" spans="1:8" x14ac:dyDescent="0.25">
      <c r="A521" s="7">
        <v>44568</v>
      </c>
      <c r="B521" s="8" t="s">
        <v>743</v>
      </c>
      <c r="C521" s="9" t="s">
        <v>93</v>
      </c>
      <c r="D521" s="10">
        <v>4647.5</v>
      </c>
      <c r="E521" s="11">
        <v>44569</v>
      </c>
      <c r="F521" s="10">
        <v>4647.5</v>
      </c>
      <c r="G521" s="12">
        <f>Tabla1[[#This Row],[Importe]]-Tabla1[[#This Row],[Pagado]]</f>
        <v>0</v>
      </c>
      <c r="H521" s="9" t="s">
        <v>10</v>
      </c>
    </row>
    <row r="522" spans="1:8" x14ac:dyDescent="0.25">
      <c r="A522" s="7">
        <v>44568</v>
      </c>
      <c r="B522" s="8" t="s">
        <v>744</v>
      </c>
      <c r="C522" s="9" t="s">
        <v>111</v>
      </c>
      <c r="D522" s="10">
        <v>4378</v>
      </c>
      <c r="E522" s="11">
        <v>44569</v>
      </c>
      <c r="F522" s="10">
        <v>4378</v>
      </c>
      <c r="G522" s="12">
        <f>Tabla1[[#This Row],[Importe]]-Tabla1[[#This Row],[Pagado]]</f>
        <v>0</v>
      </c>
      <c r="H522" s="9" t="s">
        <v>10</v>
      </c>
    </row>
    <row r="523" spans="1:8" x14ac:dyDescent="0.25">
      <c r="A523" s="7">
        <v>44568</v>
      </c>
      <c r="B523" s="8" t="s">
        <v>745</v>
      </c>
      <c r="C523" s="9" t="s">
        <v>60</v>
      </c>
      <c r="D523" s="10">
        <v>4075.5</v>
      </c>
      <c r="E523" s="11">
        <v>44570</v>
      </c>
      <c r="F523" s="10">
        <v>4075.5</v>
      </c>
      <c r="G523" s="12">
        <f>Tabla1[[#This Row],[Importe]]-Tabla1[[#This Row],[Pagado]]</f>
        <v>0</v>
      </c>
      <c r="H523" s="9" t="s">
        <v>10</v>
      </c>
    </row>
    <row r="524" spans="1:8" ht="30" x14ac:dyDescent="0.25">
      <c r="A524" s="7">
        <v>44568</v>
      </c>
      <c r="B524" s="8" t="s">
        <v>746</v>
      </c>
      <c r="C524" s="9" t="s">
        <v>39</v>
      </c>
      <c r="D524" s="10">
        <v>23325.7</v>
      </c>
      <c r="E524" s="11" t="s">
        <v>747</v>
      </c>
      <c r="F524" s="10">
        <f>9000+14325.7</f>
        <v>23325.7</v>
      </c>
      <c r="G524" s="12">
        <f>Tabla1[[#This Row],[Importe]]-Tabla1[[#This Row],[Pagado]]</f>
        <v>0</v>
      </c>
      <c r="H524" s="9" t="s">
        <v>10</v>
      </c>
    </row>
    <row r="525" spans="1:8" x14ac:dyDescent="0.25">
      <c r="A525" s="7">
        <v>44568</v>
      </c>
      <c r="B525" s="8" t="s">
        <v>748</v>
      </c>
      <c r="C525" s="9" t="s">
        <v>64</v>
      </c>
      <c r="D525" s="10">
        <v>4699.6000000000004</v>
      </c>
      <c r="E525" s="11">
        <v>44569</v>
      </c>
      <c r="F525" s="10">
        <v>4699.6000000000004</v>
      </c>
      <c r="G525" s="12">
        <f>Tabla1[[#This Row],[Importe]]-Tabla1[[#This Row],[Pagado]]</f>
        <v>0</v>
      </c>
      <c r="H525" s="9" t="s">
        <v>10</v>
      </c>
    </row>
    <row r="526" spans="1:8" x14ac:dyDescent="0.25">
      <c r="A526" s="7">
        <v>44568</v>
      </c>
      <c r="B526" s="8" t="s">
        <v>749</v>
      </c>
      <c r="C526" s="9" t="s">
        <v>120</v>
      </c>
      <c r="D526" s="10">
        <v>421.2</v>
      </c>
      <c r="E526" s="11">
        <v>44569</v>
      </c>
      <c r="F526" s="10">
        <v>421.2</v>
      </c>
      <c r="G526" s="12">
        <f>Tabla1[[#This Row],[Importe]]-Tabla1[[#This Row],[Pagado]]</f>
        <v>0</v>
      </c>
      <c r="H526" s="9" t="s">
        <v>10</v>
      </c>
    </row>
    <row r="527" spans="1:8" x14ac:dyDescent="0.25">
      <c r="A527" s="7">
        <v>44568</v>
      </c>
      <c r="B527" s="8" t="s">
        <v>750</v>
      </c>
      <c r="C527" s="9" t="s">
        <v>89</v>
      </c>
      <c r="D527" s="10">
        <v>4082.4</v>
      </c>
      <c r="E527" s="11">
        <v>44569</v>
      </c>
      <c r="F527" s="10">
        <v>4082.4</v>
      </c>
      <c r="G527" s="12">
        <f>Tabla1[[#This Row],[Importe]]-Tabla1[[#This Row],[Pagado]]</f>
        <v>0</v>
      </c>
      <c r="H527" s="9" t="s">
        <v>10</v>
      </c>
    </row>
    <row r="528" spans="1:8" x14ac:dyDescent="0.25">
      <c r="A528" s="7">
        <v>44568</v>
      </c>
      <c r="B528" s="8" t="s">
        <v>751</v>
      </c>
      <c r="C528" s="9" t="s">
        <v>18</v>
      </c>
      <c r="D528" s="10">
        <v>1596.4</v>
      </c>
      <c r="E528" s="11">
        <v>44568</v>
      </c>
      <c r="F528" s="10">
        <v>1596.4</v>
      </c>
      <c r="G528" s="12">
        <f>Tabla1[[#This Row],[Importe]]-Tabla1[[#This Row],[Pagado]]</f>
        <v>0</v>
      </c>
      <c r="H528" s="9" t="s">
        <v>10</v>
      </c>
    </row>
    <row r="529" spans="1:8" x14ac:dyDescent="0.25">
      <c r="A529" s="7">
        <v>44568</v>
      </c>
      <c r="B529" s="8" t="s">
        <v>752</v>
      </c>
      <c r="C529" s="9" t="s">
        <v>47</v>
      </c>
      <c r="D529" s="10">
        <v>47382.559999999998</v>
      </c>
      <c r="E529" s="11">
        <v>44568</v>
      </c>
      <c r="F529" s="10">
        <v>47382.559999999998</v>
      </c>
      <c r="G529" s="12">
        <f>Tabla1[[#This Row],[Importe]]-Tabla1[[#This Row],[Pagado]]</f>
        <v>0</v>
      </c>
      <c r="H529" s="9" t="s">
        <v>10</v>
      </c>
    </row>
    <row r="530" spans="1:8" x14ac:dyDescent="0.25">
      <c r="A530" s="7">
        <v>44568</v>
      </c>
      <c r="B530" s="8" t="s">
        <v>753</v>
      </c>
      <c r="C530" s="9" t="s">
        <v>414</v>
      </c>
      <c r="D530" s="10">
        <v>12395</v>
      </c>
      <c r="E530" s="11">
        <v>44568</v>
      </c>
      <c r="F530" s="10">
        <v>12395</v>
      </c>
      <c r="G530" s="12">
        <f>Tabla1[[#This Row],[Importe]]-Tabla1[[#This Row],[Pagado]]</f>
        <v>0</v>
      </c>
      <c r="H530" s="9" t="s">
        <v>10</v>
      </c>
    </row>
    <row r="531" spans="1:8" x14ac:dyDescent="0.25">
      <c r="A531" s="7">
        <v>44568</v>
      </c>
      <c r="B531" s="8" t="s">
        <v>754</v>
      </c>
      <c r="C531" s="9" t="s">
        <v>22</v>
      </c>
      <c r="D531" s="10">
        <v>25593</v>
      </c>
      <c r="E531" s="11">
        <v>44568</v>
      </c>
      <c r="F531" s="10">
        <v>25593</v>
      </c>
      <c r="G531" s="12">
        <f>Tabla1[[#This Row],[Importe]]-Tabla1[[#This Row],[Pagado]]</f>
        <v>0</v>
      </c>
      <c r="H531" s="9" t="s">
        <v>10</v>
      </c>
    </row>
    <row r="532" spans="1:8" x14ac:dyDescent="0.25">
      <c r="A532" s="7">
        <v>44568</v>
      </c>
      <c r="B532" s="8" t="s">
        <v>755</v>
      </c>
      <c r="C532" s="9" t="s">
        <v>97</v>
      </c>
      <c r="D532" s="10">
        <v>10627.9</v>
      </c>
      <c r="E532" s="11">
        <v>44569</v>
      </c>
      <c r="F532" s="10">
        <v>10627.9</v>
      </c>
      <c r="G532" s="12">
        <f>Tabla1[[#This Row],[Importe]]-Tabla1[[#This Row],[Pagado]]</f>
        <v>0</v>
      </c>
      <c r="H532" s="9" t="s">
        <v>10</v>
      </c>
    </row>
    <row r="533" spans="1:8" x14ac:dyDescent="0.25">
      <c r="A533" s="7">
        <v>44568</v>
      </c>
      <c r="B533" s="8" t="s">
        <v>756</v>
      </c>
      <c r="C533" s="9" t="s">
        <v>348</v>
      </c>
      <c r="D533" s="10">
        <v>1835</v>
      </c>
      <c r="E533" s="11">
        <v>44569</v>
      </c>
      <c r="F533" s="10">
        <v>1835</v>
      </c>
      <c r="G533" s="12">
        <f>Tabla1[[#This Row],[Importe]]-Tabla1[[#This Row],[Pagado]]</f>
        <v>0</v>
      </c>
      <c r="H533" s="9" t="s">
        <v>10</v>
      </c>
    </row>
    <row r="534" spans="1:8" x14ac:dyDescent="0.25">
      <c r="A534" s="7">
        <v>44568</v>
      </c>
      <c r="B534" s="8" t="s">
        <v>757</v>
      </c>
      <c r="C534" s="9" t="s">
        <v>9</v>
      </c>
      <c r="D534" s="10">
        <v>7026.8</v>
      </c>
      <c r="E534" s="11">
        <v>44568</v>
      </c>
      <c r="F534" s="10">
        <v>7026.8</v>
      </c>
      <c r="G534" s="12">
        <f>Tabla1[[#This Row],[Importe]]-Tabla1[[#This Row],[Pagado]]</f>
        <v>0</v>
      </c>
      <c r="H534" s="9" t="s">
        <v>10</v>
      </c>
    </row>
    <row r="535" spans="1:8" x14ac:dyDescent="0.25">
      <c r="A535" s="7">
        <v>44568</v>
      </c>
      <c r="B535" s="8" t="s">
        <v>758</v>
      </c>
      <c r="C535" s="9" t="s">
        <v>99</v>
      </c>
      <c r="D535" s="10">
        <v>5842</v>
      </c>
      <c r="E535" s="11">
        <v>44569</v>
      </c>
      <c r="F535" s="10">
        <v>5842</v>
      </c>
      <c r="G535" s="12">
        <f>Tabla1[[#This Row],[Importe]]-Tabla1[[#This Row],[Pagado]]</f>
        <v>0</v>
      </c>
      <c r="H535" s="9" t="s">
        <v>10</v>
      </c>
    </row>
    <row r="536" spans="1:8" x14ac:dyDescent="0.25">
      <c r="A536" s="7">
        <v>44568</v>
      </c>
      <c r="B536" s="8" t="s">
        <v>759</v>
      </c>
      <c r="C536" s="9" t="s">
        <v>95</v>
      </c>
      <c r="D536" s="10">
        <v>13426</v>
      </c>
      <c r="E536" s="11">
        <v>44568</v>
      </c>
      <c r="F536" s="10">
        <v>13426</v>
      </c>
      <c r="G536" s="12">
        <f>Tabla1[[#This Row],[Importe]]-Tabla1[[#This Row],[Pagado]]</f>
        <v>0</v>
      </c>
      <c r="H536" s="9" t="s">
        <v>10</v>
      </c>
    </row>
    <row r="537" spans="1:8" x14ac:dyDescent="0.25">
      <c r="A537" s="7">
        <v>44568</v>
      </c>
      <c r="B537" s="8" t="s">
        <v>760</v>
      </c>
      <c r="C537" s="9" t="s">
        <v>382</v>
      </c>
      <c r="D537" s="10">
        <v>7548</v>
      </c>
      <c r="E537" s="11">
        <v>44568</v>
      </c>
      <c r="F537" s="10">
        <v>7548</v>
      </c>
      <c r="G537" s="12">
        <f>Tabla1[[#This Row],[Importe]]-Tabla1[[#This Row],[Pagado]]</f>
        <v>0</v>
      </c>
      <c r="H537" s="9" t="s">
        <v>10</v>
      </c>
    </row>
    <row r="538" spans="1:8" x14ac:dyDescent="0.25">
      <c r="A538" s="7">
        <v>44568</v>
      </c>
      <c r="B538" s="8" t="s">
        <v>761</v>
      </c>
      <c r="C538" s="9" t="s">
        <v>501</v>
      </c>
      <c r="D538" s="10">
        <v>6469.2</v>
      </c>
      <c r="E538" s="11">
        <v>44568</v>
      </c>
      <c r="F538" s="10">
        <v>6469.2</v>
      </c>
      <c r="G538" s="12">
        <f>Tabla1[[#This Row],[Importe]]-Tabla1[[#This Row],[Pagado]]</f>
        <v>0</v>
      </c>
      <c r="H538" s="9" t="s">
        <v>10</v>
      </c>
    </row>
    <row r="539" spans="1:8" x14ac:dyDescent="0.25">
      <c r="A539" s="7">
        <v>44568</v>
      </c>
      <c r="B539" s="8" t="s">
        <v>762</v>
      </c>
      <c r="C539" s="9" t="s">
        <v>125</v>
      </c>
      <c r="D539" s="10">
        <v>4056.6</v>
      </c>
      <c r="E539" s="11">
        <v>44568</v>
      </c>
      <c r="F539" s="10">
        <v>4056.6</v>
      </c>
      <c r="G539" s="12">
        <f>Tabla1[[#This Row],[Importe]]-Tabla1[[#This Row],[Pagado]]</f>
        <v>0</v>
      </c>
      <c r="H539" s="9" t="s">
        <v>10</v>
      </c>
    </row>
    <row r="540" spans="1:8" x14ac:dyDescent="0.25">
      <c r="A540" s="7">
        <v>44568</v>
      </c>
      <c r="B540" s="8" t="s">
        <v>763</v>
      </c>
      <c r="C540" s="9" t="s">
        <v>314</v>
      </c>
      <c r="D540" s="10">
        <v>2300</v>
      </c>
      <c r="E540" s="11">
        <v>44568</v>
      </c>
      <c r="F540" s="10">
        <v>2300</v>
      </c>
      <c r="G540" s="12">
        <f>Tabla1[[#This Row],[Importe]]-Tabla1[[#This Row],[Pagado]]</f>
        <v>0</v>
      </c>
      <c r="H540" s="9" t="s">
        <v>10</v>
      </c>
    </row>
    <row r="541" spans="1:8" x14ac:dyDescent="0.25">
      <c r="A541" s="7">
        <v>44568</v>
      </c>
      <c r="B541" s="8" t="s">
        <v>764</v>
      </c>
      <c r="C541" s="9" t="s">
        <v>357</v>
      </c>
      <c r="D541" s="10">
        <v>3516.5</v>
      </c>
      <c r="E541" s="11">
        <v>44568</v>
      </c>
      <c r="F541" s="10">
        <v>3516.5</v>
      </c>
      <c r="G541" s="12">
        <f>Tabla1[[#This Row],[Importe]]-Tabla1[[#This Row],[Pagado]]</f>
        <v>0</v>
      </c>
      <c r="H541" s="9" t="s">
        <v>10</v>
      </c>
    </row>
    <row r="542" spans="1:8" x14ac:dyDescent="0.25">
      <c r="A542" s="7">
        <v>44568</v>
      </c>
      <c r="B542" s="8" t="s">
        <v>765</v>
      </c>
      <c r="C542" s="9" t="s">
        <v>146</v>
      </c>
      <c r="D542" s="10">
        <v>3107.4</v>
      </c>
      <c r="E542" s="11">
        <v>44568</v>
      </c>
      <c r="F542" s="10">
        <v>3107.4</v>
      </c>
      <c r="G542" s="12">
        <f>Tabla1[[#This Row],[Importe]]-Tabla1[[#This Row],[Pagado]]</f>
        <v>0</v>
      </c>
      <c r="H542" s="9" t="s">
        <v>10</v>
      </c>
    </row>
    <row r="543" spans="1:8" x14ac:dyDescent="0.25">
      <c r="A543" s="7">
        <v>44568</v>
      </c>
      <c r="B543" s="8" t="s">
        <v>766</v>
      </c>
      <c r="C543" s="9" t="s">
        <v>87</v>
      </c>
      <c r="D543" s="10">
        <v>3545</v>
      </c>
      <c r="E543" s="11">
        <v>44568</v>
      </c>
      <c r="F543" s="10">
        <v>3545</v>
      </c>
      <c r="G543" s="12">
        <f>Tabla1[[#This Row],[Importe]]-Tabla1[[#This Row],[Pagado]]</f>
        <v>0</v>
      </c>
      <c r="H543" s="9" t="s">
        <v>10</v>
      </c>
    </row>
    <row r="544" spans="1:8" x14ac:dyDescent="0.25">
      <c r="A544" s="7">
        <v>44568</v>
      </c>
      <c r="B544" s="8" t="s">
        <v>767</v>
      </c>
      <c r="C544" s="9" t="s">
        <v>144</v>
      </c>
      <c r="D544" s="10">
        <v>4530.3999999999996</v>
      </c>
      <c r="E544" s="11">
        <v>44568</v>
      </c>
      <c r="F544" s="10">
        <v>4530.3999999999996</v>
      </c>
      <c r="G544" s="12">
        <f>Tabla1[[#This Row],[Importe]]-Tabla1[[#This Row],[Pagado]]</f>
        <v>0</v>
      </c>
      <c r="H544" s="9" t="s">
        <v>10</v>
      </c>
    </row>
    <row r="545" spans="1:8" x14ac:dyDescent="0.25">
      <c r="A545" s="7">
        <v>44568</v>
      </c>
      <c r="B545" s="8" t="s">
        <v>768</v>
      </c>
      <c r="C545" s="9" t="s">
        <v>75</v>
      </c>
      <c r="D545" s="10">
        <v>5362.8</v>
      </c>
      <c r="E545" s="11">
        <v>44568</v>
      </c>
      <c r="F545" s="10">
        <v>5362.8</v>
      </c>
      <c r="G545" s="12">
        <f>Tabla1[[#This Row],[Importe]]-Tabla1[[#This Row],[Pagado]]</f>
        <v>0</v>
      </c>
      <c r="H545" s="9" t="s">
        <v>10</v>
      </c>
    </row>
    <row r="546" spans="1:8" x14ac:dyDescent="0.25">
      <c r="A546" s="7">
        <v>44568</v>
      </c>
      <c r="B546" s="8" t="s">
        <v>769</v>
      </c>
      <c r="C546" s="9" t="s">
        <v>129</v>
      </c>
      <c r="D546" s="10">
        <v>1132.2</v>
      </c>
      <c r="E546" s="11">
        <v>44568</v>
      </c>
      <c r="F546" s="10">
        <v>1132.2</v>
      </c>
      <c r="G546" s="12">
        <f>Tabla1[[#This Row],[Importe]]-Tabla1[[#This Row],[Pagado]]</f>
        <v>0</v>
      </c>
      <c r="H546" s="9" t="s">
        <v>10</v>
      </c>
    </row>
    <row r="547" spans="1:8" x14ac:dyDescent="0.25">
      <c r="A547" s="7">
        <v>44568</v>
      </c>
      <c r="B547" s="8" t="s">
        <v>770</v>
      </c>
      <c r="C547" s="9" t="s">
        <v>312</v>
      </c>
      <c r="D547" s="10">
        <v>3523</v>
      </c>
      <c r="E547" s="11">
        <v>44568</v>
      </c>
      <c r="F547" s="10">
        <v>3523</v>
      </c>
      <c r="G547" s="12">
        <f>Tabla1[[#This Row],[Importe]]-Tabla1[[#This Row],[Pagado]]</f>
        <v>0</v>
      </c>
      <c r="H547" s="9" t="s">
        <v>10</v>
      </c>
    </row>
    <row r="548" spans="1:8" x14ac:dyDescent="0.25">
      <c r="A548" s="7">
        <v>44568</v>
      </c>
      <c r="B548" s="8" t="s">
        <v>771</v>
      </c>
      <c r="C548" s="9" t="s">
        <v>107</v>
      </c>
      <c r="D548" s="10">
        <v>13728.6</v>
      </c>
      <c r="E548" s="11">
        <v>44568</v>
      </c>
      <c r="F548" s="10">
        <v>13728.6</v>
      </c>
      <c r="G548" s="12">
        <f>Tabla1[[#This Row],[Importe]]-Tabla1[[#This Row],[Pagado]]</f>
        <v>0</v>
      </c>
      <c r="H548" s="9" t="s">
        <v>10</v>
      </c>
    </row>
    <row r="549" spans="1:8" x14ac:dyDescent="0.25">
      <c r="A549" s="7">
        <v>44568</v>
      </c>
      <c r="B549" s="8" t="s">
        <v>772</v>
      </c>
      <c r="C549" s="9" t="s">
        <v>224</v>
      </c>
      <c r="D549" s="10">
        <v>1796.4</v>
      </c>
      <c r="E549" s="11">
        <v>44568</v>
      </c>
      <c r="F549" s="10">
        <v>1796.4</v>
      </c>
      <c r="G549" s="12">
        <f>Tabla1[[#This Row],[Importe]]-Tabla1[[#This Row],[Pagado]]</f>
        <v>0</v>
      </c>
      <c r="H549" s="9" t="s">
        <v>10</v>
      </c>
    </row>
    <row r="550" spans="1:8" x14ac:dyDescent="0.25">
      <c r="A550" s="7">
        <v>44568</v>
      </c>
      <c r="B550" s="8" t="s">
        <v>773</v>
      </c>
      <c r="C550" s="9" t="s">
        <v>319</v>
      </c>
      <c r="D550" s="10">
        <v>5124.8</v>
      </c>
      <c r="E550" s="11">
        <v>44568</v>
      </c>
      <c r="F550" s="10">
        <v>5124.8</v>
      </c>
      <c r="G550" s="12">
        <f>Tabla1[[#This Row],[Importe]]-Tabla1[[#This Row],[Pagado]]</f>
        <v>0</v>
      </c>
      <c r="H550" s="9" t="s">
        <v>10</v>
      </c>
    </row>
    <row r="551" spans="1:8" x14ac:dyDescent="0.25">
      <c r="A551" s="7">
        <v>44568</v>
      </c>
      <c r="B551" s="8" t="s">
        <v>774</v>
      </c>
      <c r="C551" s="9" t="s">
        <v>183</v>
      </c>
      <c r="D551" s="10">
        <v>3238.4</v>
      </c>
      <c r="E551" s="11">
        <v>44568</v>
      </c>
      <c r="F551" s="10">
        <v>3238.4</v>
      </c>
      <c r="G551" s="12">
        <f>Tabla1[[#This Row],[Importe]]-Tabla1[[#This Row],[Pagado]]</f>
        <v>0</v>
      </c>
      <c r="H551" s="9" t="s">
        <v>10</v>
      </c>
    </row>
    <row r="552" spans="1:8" x14ac:dyDescent="0.25">
      <c r="A552" s="7">
        <v>44568</v>
      </c>
      <c r="B552" s="8" t="s">
        <v>775</v>
      </c>
      <c r="C552" s="9" t="s">
        <v>127</v>
      </c>
      <c r="D552" s="10">
        <v>1040.4000000000001</v>
      </c>
      <c r="E552" s="11">
        <v>44568</v>
      </c>
      <c r="F552" s="10">
        <v>1040.4000000000001</v>
      </c>
      <c r="G552" s="12">
        <f>Tabla1[[#This Row],[Importe]]-Tabla1[[#This Row],[Pagado]]</f>
        <v>0</v>
      </c>
      <c r="H552" s="9" t="s">
        <v>10</v>
      </c>
    </row>
    <row r="553" spans="1:8" x14ac:dyDescent="0.25">
      <c r="A553" s="7">
        <v>44568</v>
      </c>
      <c r="B553" s="8" t="s">
        <v>776</v>
      </c>
      <c r="C553" s="9" t="s">
        <v>777</v>
      </c>
      <c r="D553" s="10">
        <v>2865.2</v>
      </c>
      <c r="E553" s="11">
        <v>44568</v>
      </c>
      <c r="F553" s="10">
        <v>2865.2</v>
      </c>
      <c r="G553" s="12">
        <f>Tabla1[[#This Row],[Importe]]-Tabla1[[#This Row],[Pagado]]</f>
        <v>0</v>
      </c>
      <c r="H553" s="9" t="s">
        <v>10</v>
      </c>
    </row>
    <row r="554" spans="1:8" x14ac:dyDescent="0.25">
      <c r="A554" s="7">
        <v>44568</v>
      </c>
      <c r="B554" s="8" t="s">
        <v>778</v>
      </c>
      <c r="C554" s="9" t="s">
        <v>779</v>
      </c>
      <c r="D554" s="10">
        <v>0</v>
      </c>
      <c r="E554" s="13" t="s">
        <v>189</v>
      </c>
      <c r="F554" s="10">
        <v>0</v>
      </c>
      <c r="G554" s="12">
        <f>Tabla1[[#This Row],[Importe]]-Tabla1[[#This Row],[Pagado]]</f>
        <v>0</v>
      </c>
      <c r="H554" s="9" t="s">
        <v>189</v>
      </c>
    </row>
    <row r="555" spans="1:8" x14ac:dyDescent="0.25">
      <c r="A555" s="7">
        <v>44568</v>
      </c>
      <c r="B555" s="8" t="s">
        <v>780</v>
      </c>
      <c r="C555" s="9" t="s">
        <v>781</v>
      </c>
      <c r="D555" s="10">
        <v>0</v>
      </c>
      <c r="E555" s="13" t="s">
        <v>189</v>
      </c>
      <c r="F555" s="10">
        <v>0</v>
      </c>
      <c r="G555" s="12">
        <f>Tabla1[[#This Row],[Importe]]-Tabla1[[#This Row],[Pagado]]</f>
        <v>0</v>
      </c>
      <c r="H555" s="9" t="s">
        <v>189</v>
      </c>
    </row>
    <row r="556" spans="1:8" x14ac:dyDescent="0.25">
      <c r="A556" s="7">
        <v>44568</v>
      </c>
      <c r="B556" s="8" t="s">
        <v>782</v>
      </c>
      <c r="C556" s="9" t="s">
        <v>183</v>
      </c>
      <c r="D556" s="10">
        <v>1530</v>
      </c>
      <c r="E556" s="11">
        <v>44568</v>
      </c>
      <c r="F556" s="10">
        <v>1530</v>
      </c>
      <c r="G556" s="12">
        <f>Tabla1[[#This Row],[Importe]]-Tabla1[[#This Row],[Pagado]]</f>
        <v>0</v>
      </c>
      <c r="H556" s="9" t="s">
        <v>10</v>
      </c>
    </row>
    <row r="557" spans="1:8" x14ac:dyDescent="0.25">
      <c r="A557" s="7">
        <v>44568</v>
      </c>
      <c r="B557" s="8" t="s">
        <v>783</v>
      </c>
      <c r="C557" s="9" t="s">
        <v>140</v>
      </c>
      <c r="D557" s="10">
        <v>1356.7</v>
      </c>
      <c r="E557" s="11">
        <v>44568</v>
      </c>
      <c r="F557" s="10">
        <v>1356.7</v>
      </c>
      <c r="G557" s="12">
        <f>Tabla1[[#This Row],[Importe]]-Tabla1[[#This Row],[Pagado]]</f>
        <v>0</v>
      </c>
      <c r="H557" s="9" t="s">
        <v>10</v>
      </c>
    </row>
    <row r="558" spans="1:8" x14ac:dyDescent="0.25">
      <c r="A558" s="7">
        <v>44568</v>
      </c>
      <c r="B558" s="8" t="s">
        <v>784</v>
      </c>
      <c r="C558" s="9" t="s">
        <v>200</v>
      </c>
      <c r="D558" s="10">
        <v>1035</v>
      </c>
      <c r="E558" s="11">
        <v>44568</v>
      </c>
      <c r="F558" s="10">
        <v>1035</v>
      </c>
      <c r="G558" s="12">
        <f>Tabla1[[#This Row],[Importe]]-Tabla1[[#This Row],[Pagado]]</f>
        <v>0</v>
      </c>
      <c r="H558" s="9" t="s">
        <v>10</v>
      </c>
    </row>
    <row r="559" spans="1:8" x14ac:dyDescent="0.25">
      <c r="A559" s="7">
        <v>44568</v>
      </c>
      <c r="B559" s="8" t="s">
        <v>785</v>
      </c>
      <c r="C559" s="9" t="s">
        <v>157</v>
      </c>
      <c r="D559" s="10">
        <v>3422.8</v>
      </c>
      <c r="E559" s="11">
        <v>44568</v>
      </c>
      <c r="F559" s="10">
        <v>3422.8</v>
      </c>
      <c r="G559" s="12">
        <f>Tabla1[[#This Row],[Importe]]-Tabla1[[#This Row],[Pagado]]</f>
        <v>0</v>
      </c>
      <c r="H559" s="9" t="s">
        <v>10</v>
      </c>
    </row>
    <row r="560" spans="1:8" x14ac:dyDescent="0.25">
      <c r="A560" s="7">
        <v>44568</v>
      </c>
      <c r="B560" s="8" t="s">
        <v>786</v>
      </c>
      <c r="C560" s="9" t="s">
        <v>29</v>
      </c>
      <c r="D560" s="10">
        <v>4580</v>
      </c>
      <c r="E560" s="11">
        <v>44568</v>
      </c>
      <c r="F560" s="10">
        <v>4580</v>
      </c>
      <c r="G560" s="12">
        <f>Tabla1[[#This Row],[Importe]]-Tabla1[[#This Row],[Pagado]]</f>
        <v>0</v>
      </c>
      <c r="H560" s="9" t="s">
        <v>10</v>
      </c>
    </row>
    <row r="561" spans="1:8" x14ac:dyDescent="0.25">
      <c r="A561" s="7">
        <v>44568</v>
      </c>
      <c r="B561" s="8" t="s">
        <v>787</v>
      </c>
      <c r="C561" s="9" t="s">
        <v>339</v>
      </c>
      <c r="D561" s="10">
        <v>402.9</v>
      </c>
      <c r="E561" s="11">
        <v>44568</v>
      </c>
      <c r="F561" s="10">
        <v>402.9</v>
      </c>
      <c r="G561" s="12">
        <f>Tabla1[[#This Row],[Importe]]-Tabla1[[#This Row],[Pagado]]</f>
        <v>0</v>
      </c>
      <c r="H561" s="9" t="s">
        <v>10</v>
      </c>
    </row>
    <row r="562" spans="1:8" x14ac:dyDescent="0.25">
      <c r="A562" s="7">
        <v>44568</v>
      </c>
      <c r="B562" s="8" t="s">
        <v>788</v>
      </c>
      <c r="C562" s="9" t="s">
        <v>49</v>
      </c>
      <c r="D562" s="10">
        <v>3779.4</v>
      </c>
      <c r="E562" s="11">
        <v>44568</v>
      </c>
      <c r="F562" s="10">
        <v>3779.4</v>
      </c>
      <c r="G562" s="12">
        <f>Tabla1[[#This Row],[Importe]]-Tabla1[[#This Row],[Pagado]]</f>
        <v>0</v>
      </c>
      <c r="H562" s="9" t="s">
        <v>10</v>
      </c>
    </row>
    <row r="563" spans="1:8" x14ac:dyDescent="0.25">
      <c r="A563" s="7">
        <v>44568</v>
      </c>
      <c r="B563" s="8" t="s">
        <v>789</v>
      </c>
      <c r="C563" s="9" t="s">
        <v>359</v>
      </c>
      <c r="D563" s="10">
        <v>2833.6</v>
      </c>
      <c r="E563" s="11">
        <v>44568</v>
      </c>
      <c r="F563" s="10">
        <v>2833.6</v>
      </c>
      <c r="G563" s="12">
        <f>Tabla1[[#This Row],[Importe]]-Tabla1[[#This Row],[Pagado]]</f>
        <v>0</v>
      </c>
      <c r="H563" s="9" t="s">
        <v>10</v>
      </c>
    </row>
    <row r="564" spans="1:8" x14ac:dyDescent="0.25">
      <c r="A564" s="7">
        <v>44568</v>
      </c>
      <c r="B564" s="8" t="s">
        <v>790</v>
      </c>
      <c r="C564" s="9" t="s">
        <v>159</v>
      </c>
      <c r="D564" s="10">
        <v>1260</v>
      </c>
      <c r="E564" s="11">
        <v>44568</v>
      </c>
      <c r="F564" s="10">
        <v>1260</v>
      </c>
      <c r="G564" s="12">
        <f>Tabla1[[#This Row],[Importe]]-Tabla1[[#This Row],[Pagado]]</f>
        <v>0</v>
      </c>
      <c r="H564" s="9" t="s">
        <v>10</v>
      </c>
    </row>
    <row r="565" spans="1:8" x14ac:dyDescent="0.25">
      <c r="A565" s="7">
        <v>44568</v>
      </c>
      <c r="B565" s="8" t="s">
        <v>791</v>
      </c>
      <c r="C565" s="9" t="s">
        <v>131</v>
      </c>
      <c r="D565" s="10">
        <v>17650</v>
      </c>
      <c r="E565" s="11">
        <v>44568</v>
      </c>
      <c r="F565" s="10">
        <v>17650</v>
      </c>
      <c r="G565" s="12">
        <f>Tabla1[[#This Row],[Importe]]-Tabla1[[#This Row],[Pagado]]</f>
        <v>0</v>
      </c>
      <c r="H565" s="9" t="s">
        <v>10</v>
      </c>
    </row>
    <row r="566" spans="1:8" x14ac:dyDescent="0.25">
      <c r="A566" s="7">
        <v>44568</v>
      </c>
      <c r="B566" s="8" t="s">
        <v>792</v>
      </c>
      <c r="C566" s="9" t="s">
        <v>179</v>
      </c>
      <c r="D566" s="10">
        <v>785</v>
      </c>
      <c r="E566" s="11">
        <v>44568</v>
      </c>
      <c r="F566" s="10">
        <v>785</v>
      </c>
      <c r="G566" s="12">
        <f>Tabla1[[#This Row],[Importe]]-Tabla1[[#This Row],[Pagado]]</f>
        <v>0</v>
      </c>
      <c r="H566" s="9" t="s">
        <v>10</v>
      </c>
    </row>
    <row r="567" spans="1:8" x14ac:dyDescent="0.25">
      <c r="A567" s="7">
        <v>44568</v>
      </c>
      <c r="B567" s="8" t="s">
        <v>793</v>
      </c>
      <c r="C567" s="9" t="s">
        <v>135</v>
      </c>
      <c r="D567" s="10">
        <v>1127.0999999999999</v>
      </c>
      <c r="E567" s="11">
        <v>44568</v>
      </c>
      <c r="F567" s="10">
        <v>1127.0999999999999</v>
      </c>
      <c r="G567" s="12">
        <f>Tabla1[[#This Row],[Importe]]-Tabla1[[#This Row],[Pagado]]</f>
        <v>0</v>
      </c>
      <c r="H567" s="9" t="s">
        <v>10</v>
      </c>
    </row>
    <row r="568" spans="1:8" x14ac:dyDescent="0.25">
      <c r="A568" s="7">
        <v>44568</v>
      </c>
      <c r="B568" s="8" t="s">
        <v>794</v>
      </c>
      <c r="C568" s="9" t="s">
        <v>16</v>
      </c>
      <c r="D568" s="10">
        <v>839.9</v>
      </c>
      <c r="E568" s="11">
        <v>44568</v>
      </c>
      <c r="F568" s="10">
        <v>839.9</v>
      </c>
      <c r="G568" s="12">
        <f>Tabla1[[#This Row],[Importe]]-Tabla1[[#This Row],[Pagado]]</f>
        <v>0</v>
      </c>
      <c r="H568" s="9" t="s">
        <v>10</v>
      </c>
    </row>
    <row r="569" spans="1:8" x14ac:dyDescent="0.25">
      <c r="A569" s="7">
        <v>44568</v>
      </c>
      <c r="B569" s="8" t="s">
        <v>795</v>
      </c>
      <c r="C569" s="9" t="s">
        <v>16</v>
      </c>
      <c r="D569" s="10">
        <v>447.7</v>
      </c>
      <c r="E569" s="11">
        <v>44568</v>
      </c>
      <c r="F569" s="10">
        <v>447.7</v>
      </c>
      <c r="G569" s="12">
        <f>Tabla1[[#This Row],[Importe]]-Tabla1[[#This Row],[Pagado]]</f>
        <v>0</v>
      </c>
      <c r="H569" s="9" t="s">
        <v>10</v>
      </c>
    </row>
    <row r="570" spans="1:8" x14ac:dyDescent="0.25">
      <c r="A570" s="7">
        <v>44568</v>
      </c>
      <c r="B570" s="8" t="s">
        <v>796</v>
      </c>
      <c r="C570" s="9" t="s">
        <v>151</v>
      </c>
      <c r="D570" s="10">
        <v>4024.8</v>
      </c>
      <c r="E570" s="11">
        <v>44568</v>
      </c>
      <c r="F570" s="10">
        <v>4024.8</v>
      </c>
      <c r="G570" s="12">
        <f>Tabla1[[#This Row],[Importe]]-Tabla1[[#This Row],[Pagado]]</f>
        <v>0</v>
      </c>
      <c r="H570" s="9" t="s">
        <v>10</v>
      </c>
    </row>
    <row r="571" spans="1:8" x14ac:dyDescent="0.25">
      <c r="A571" s="7">
        <v>44568</v>
      </c>
      <c r="B571" s="8" t="s">
        <v>797</v>
      </c>
      <c r="C571" s="9" t="s">
        <v>212</v>
      </c>
      <c r="D571" s="10">
        <v>83179.600000000006</v>
      </c>
      <c r="E571" s="11">
        <v>44572</v>
      </c>
      <c r="F571" s="10">
        <v>83179.600000000006</v>
      </c>
      <c r="G571" s="12">
        <f>Tabla1[[#This Row],[Importe]]-Tabla1[[#This Row],[Pagado]]</f>
        <v>0</v>
      </c>
      <c r="H571" s="9" t="s">
        <v>10</v>
      </c>
    </row>
    <row r="572" spans="1:8" x14ac:dyDescent="0.25">
      <c r="A572" s="7">
        <v>44568</v>
      </c>
      <c r="B572" s="8" t="s">
        <v>798</v>
      </c>
      <c r="C572" s="9" t="s">
        <v>16</v>
      </c>
      <c r="D572" s="10">
        <v>418.1</v>
      </c>
      <c r="E572" s="11">
        <v>44568</v>
      </c>
      <c r="F572" s="10">
        <v>418.1</v>
      </c>
      <c r="G572" s="12">
        <f>Tabla1[[#This Row],[Importe]]-Tabla1[[#This Row],[Pagado]]</f>
        <v>0</v>
      </c>
      <c r="H572" s="9" t="s">
        <v>10</v>
      </c>
    </row>
    <row r="573" spans="1:8" x14ac:dyDescent="0.25">
      <c r="A573" s="7">
        <v>44568</v>
      </c>
      <c r="B573" s="8" t="s">
        <v>799</v>
      </c>
      <c r="C573" s="9" t="s">
        <v>226</v>
      </c>
      <c r="D573" s="10">
        <v>1770</v>
      </c>
      <c r="E573" s="11">
        <v>44568</v>
      </c>
      <c r="F573" s="10">
        <v>1770</v>
      </c>
      <c r="G573" s="12">
        <f>Tabla1[[#This Row],[Importe]]-Tabla1[[#This Row],[Pagado]]</f>
        <v>0</v>
      </c>
      <c r="H573" s="9" t="s">
        <v>10</v>
      </c>
    </row>
    <row r="574" spans="1:8" x14ac:dyDescent="0.25">
      <c r="A574" s="7">
        <v>44568</v>
      </c>
      <c r="B574" s="8" t="s">
        <v>800</v>
      </c>
      <c r="C574" s="9" t="s">
        <v>45</v>
      </c>
      <c r="D574" s="10">
        <v>11181.9</v>
      </c>
      <c r="E574" s="11">
        <v>44568</v>
      </c>
      <c r="F574" s="10">
        <v>11181.9</v>
      </c>
      <c r="G574" s="12">
        <f>Tabla1[[#This Row],[Importe]]-Tabla1[[#This Row],[Pagado]]</f>
        <v>0</v>
      </c>
      <c r="H574" s="9" t="s">
        <v>10</v>
      </c>
    </row>
    <row r="575" spans="1:8" x14ac:dyDescent="0.25">
      <c r="A575" s="7">
        <v>44568</v>
      </c>
      <c r="B575" s="8" t="s">
        <v>801</v>
      </c>
      <c r="C575" s="9" t="s">
        <v>802</v>
      </c>
      <c r="D575" s="10">
        <v>6246</v>
      </c>
      <c r="E575" s="11">
        <v>44568</v>
      </c>
      <c r="F575" s="10">
        <v>6246</v>
      </c>
      <c r="G575" s="12">
        <f>Tabla1[[#This Row],[Importe]]-Tabla1[[#This Row],[Pagado]]</f>
        <v>0</v>
      </c>
      <c r="H575" s="9" t="s">
        <v>10</v>
      </c>
    </row>
    <row r="576" spans="1:8" x14ac:dyDescent="0.25">
      <c r="A576" s="7">
        <v>44568</v>
      </c>
      <c r="B576" s="8" t="s">
        <v>803</v>
      </c>
      <c r="C576" s="9" t="s">
        <v>804</v>
      </c>
      <c r="D576" s="10">
        <v>11211.7</v>
      </c>
      <c r="E576" s="11">
        <v>44568</v>
      </c>
      <c r="F576" s="10">
        <v>11211.7</v>
      </c>
      <c r="G576" s="12">
        <f>Tabla1[[#This Row],[Importe]]-Tabla1[[#This Row],[Pagado]]</f>
        <v>0</v>
      </c>
      <c r="H576" s="9" t="s">
        <v>10</v>
      </c>
    </row>
    <row r="577" spans="1:8" x14ac:dyDescent="0.25">
      <c r="A577" s="7">
        <v>44568</v>
      </c>
      <c r="B577" s="8" t="s">
        <v>805</v>
      </c>
      <c r="C577" s="9" t="s">
        <v>154</v>
      </c>
      <c r="D577" s="10">
        <v>43328</v>
      </c>
      <c r="E577" s="11">
        <v>44574</v>
      </c>
      <c r="F577" s="10">
        <v>43328</v>
      </c>
      <c r="G577" s="12">
        <f>Tabla1[[#This Row],[Importe]]-Tabla1[[#This Row],[Pagado]]</f>
        <v>0</v>
      </c>
      <c r="H577" s="9" t="s">
        <v>10</v>
      </c>
    </row>
    <row r="578" spans="1:8" x14ac:dyDescent="0.25">
      <c r="A578" s="7">
        <v>44568</v>
      </c>
      <c r="B578" s="8" t="s">
        <v>806</v>
      </c>
      <c r="C578" s="9" t="s">
        <v>520</v>
      </c>
      <c r="D578" s="10">
        <v>2055.6</v>
      </c>
      <c r="E578" s="11">
        <v>44568</v>
      </c>
      <c r="F578" s="10">
        <v>2055.6</v>
      </c>
      <c r="G578" s="12">
        <f>Tabla1[[#This Row],[Importe]]-Tabla1[[#This Row],[Pagado]]</f>
        <v>0</v>
      </c>
      <c r="H578" s="9" t="s">
        <v>10</v>
      </c>
    </row>
    <row r="579" spans="1:8" x14ac:dyDescent="0.25">
      <c r="A579" s="7">
        <v>44568</v>
      </c>
      <c r="B579" s="8" t="s">
        <v>807</v>
      </c>
      <c r="C579" s="9" t="s">
        <v>35</v>
      </c>
      <c r="D579" s="10">
        <v>2242.6999999999998</v>
      </c>
      <c r="E579" s="11">
        <v>44568</v>
      </c>
      <c r="F579" s="10">
        <v>2242.6999999999998</v>
      </c>
      <c r="G579" s="12">
        <f>Tabla1[[#This Row],[Importe]]-Tabla1[[#This Row],[Pagado]]</f>
        <v>0</v>
      </c>
      <c r="H579" s="9" t="s">
        <v>10</v>
      </c>
    </row>
    <row r="580" spans="1:8" x14ac:dyDescent="0.25">
      <c r="A580" s="7">
        <v>44568</v>
      </c>
      <c r="B580" s="8" t="s">
        <v>808</v>
      </c>
      <c r="C580" s="9" t="s">
        <v>202</v>
      </c>
      <c r="D580" s="10">
        <v>2073.8000000000002</v>
      </c>
      <c r="E580" s="11">
        <v>44568</v>
      </c>
      <c r="F580" s="10">
        <v>2073.8000000000002</v>
      </c>
      <c r="G580" s="12">
        <f>Tabla1[[#This Row],[Importe]]-Tabla1[[#This Row],[Pagado]]</f>
        <v>0</v>
      </c>
      <c r="H580" s="9" t="s">
        <v>10</v>
      </c>
    </row>
    <row r="581" spans="1:8" x14ac:dyDescent="0.25">
      <c r="A581" s="7">
        <v>44568</v>
      </c>
      <c r="B581" s="8" t="s">
        <v>809</v>
      </c>
      <c r="C581" s="9" t="s">
        <v>24</v>
      </c>
      <c r="D581" s="10">
        <v>464.8</v>
      </c>
      <c r="E581" s="11">
        <v>44568</v>
      </c>
      <c r="F581" s="10">
        <v>464.8</v>
      </c>
      <c r="G581" s="12">
        <f>Tabla1[[#This Row],[Importe]]-Tabla1[[#This Row],[Pagado]]</f>
        <v>0</v>
      </c>
      <c r="H581" s="9" t="s">
        <v>10</v>
      </c>
    </row>
    <row r="582" spans="1:8" x14ac:dyDescent="0.25">
      <c r="A582" s="7">
        <v>44568</v>
      </c>
      <c r="B582" s="8" t="s">
        <v>810</v>
      </c>
      <c r="C582" s="9" t="s">
        <v>79</v>
      </c>
      <c r="D582" s="10">
        <v>11210</v>
      </c>
      <c r="E582" s="11">
        <v>44568</v>
      </c>
      <c r="F582" s="10">
        <v>11210</v>
      </c>
      <c r="G582" s="12">
        <f>Tabla1[[#This Row],[Importe]]-Tabla1[[#This Row],[Pagado]]</f>
        <v>0</v>
      </c>
      <c r="H582" s="9" t="s">
        <v>10</v>
      </c>
    </row>
    <row r="583" spans="1:8" x14ac:dyDescent="0.25">
      <c r="A583" s="7">
        <v>44568</v>
      </c>
      <c r="B583" s="8" t="s">
        <v>811</v>
      </c>
      <c r="C583" s="9" t="s">
        <v>53</v>
      </c>
      <c r="D583" s="10">
        <v>1141.8</v>
      </c>
      <c r="E583" s="11">
        <v>44568</v>
      </c>
      <c r="F583" s="10">
        <v>1141.8</v>
      </c>
      <c r="G583" s="12">
        <f>Tabla1[[#This Row],[Importe]]-Tabla1[[#This Row],[Pagado]]</f>
        <v>0</v>
      </c>
      <c r="H583" s="9" t="s">
        <v>10</v>
      </c>
    </row>
    <row r="584" spans="1:8" x14ac:dyDescent="0.25">
      <c r="A584" s="7">
        <v>44568</v>
      </c>
      <c r="B584" s="8" t="s">
        <v>812</v>
      </c>
      <c r="C584" s="9" t="s">
        <v>79</v>
      </c>
      <c r="D584" s="10">
        <v>5250</v>
      </c>
      <c r="E584" s="11">
        <v>44568</v>
      </c>
      <c r="F584" s="10">
        <v>5250</v>
      </c>
      <c r="G584" s="12">
        <f>Tabla1[[#This Row],[Importe]]-Tabla1[[#This Row],[Pagado]]</f>
        <v>0</v>
      </c>
      <c r="H584" s="9" t="s">
        <v>10</v>
      </c>
    </row>
    <row r="585" spans="1:8" x14ac:dyDescent="0.25">
      <c r="A585" s="7">
        <v>44568</v>
      </c>
      <c r="B585" s="8" t="s">
        <v>813</v>
      </c>
      <c r="C585" s="9" t="s">
        <v>275</v>
      </c>
      <c r="D585" s="10">
        <v>25465.200000000001</v>
      </c>
      <c r="E585" s="11">
        <v>44575</v>
      </c>
      <c r="F585" s="10">
        <v>25465.200000000001</v>
      </c>
      <c r="G585" s="12">
        <f>Tabla1[[#This Row],[Importe]]-Tabla1[[#This Row],[Pagado]]</f>
        <v>0</v>
      </c>
      <c r="H585" s="9" t="s">
        <v>10</v>
      </c>
    </row>
    <row r="586" spans="1:8" x14ac:dyDescent="0.25">
      <c r="A586" s="7">
        <v>44568</v>
      </c>
      <c r="B586" s="8" t="s">
        <v>814</v>
      </c>
      <c r="C586" s="9" t="s">
        <v>815</v>
      </c>
      <c r="D586" s="10">
        <v>2311.6999999999998</v>
      </c>
      <c r="E586" s="11">
        <v>44568</v>
      </c>
      <c r="F586" s="10">
        <v>2311.6999999999998</v>
      </c>
      <c r="G586" s="12">
        <f>Tabla1[[#This Row],[Importe]]-Tabla1[[#This Row],[Pagado]]</f>
        <v>0</v>
      </c>
      <c r="H586" s="9" t="s">
        <v>10</v>
      </c>
    </row>
    <row r="587" spans="1:8" x14ac:dyDescent="0.25">
      <c r="A587" s="7">
        <v>44568</v>
      </c>
      <c r="B587" s="8" t="s">
        <v>816</v>
      </c>
      <c r="C587" s="9" t="s">
        <v>230</v>
      </c>
      <c r="D587" s="10">
        <v>6992</v>
      </c>
      <c r="E587" s="11">
        <v>44568</v>
      </c>
      <c r="F587" s="10">
        <v>6992</v>
      </c>
      <c r="G587" s="12">
        <f>Tabla1[[#This Row],[Importe]]-Tabla1[[#This Row],[Pagado]]</f>
        <v>0</v>
      </c>
      <c r="H587" s="9" t="s">
        <v>10</v>
      </c>
    </row>
    <row r="588" spans="1:8" x14ac:dyDescent="0.25">
      <c r="A588" s="7">
        <v>44568</v>
      </c>
      <c r="B588" s="8" t="s">
        <v>817</v>
      </c>
      <c r="C588" s="9" t="s">
        <v>208</v>
      </c>
      <c r="D588" s="10">
        <v>28866.6</v>
      </c>
      <c r="E588" s="11">
        <v>44582</v>
      </c>
      <c r="F588" s="10">
        <v>28866.6</v>
      </c>
      <c r="G588" s="12">
        <f>Tabla1[[#This Row],[Importe]]-Tabla1[[#This Row],[Pagado]]</f>
        <v>0</v>
      </c>
      <c r="H588" s="9" t="s">
        <v>10</v>
      </c>
    </row>
    <row r="589" spans="1:8" x14ac:dyDescent="0.25">
      <c r="A589" s="7">
        <v>44568</v>
      </c>
      <c r="B589" s="8" t="s">
        <v>818</v>
      </c>
      <c r="C589" s="9" t="s">
        <v>218</v>
      </c>
      <c r="D589" s="10">
        <v>25273.599999999999</v>
      </c>
      <c r="E589" s="11">
        <v>44574</v>
      </c>
      <c r="F589" s="10">
        <v>25273.599999999999</v>
      </c>
      <c r="G589" s="12">
        <f>Tabla1[[#This Row],[Importe]]-Tabla1[[#This Row],[Pagado]]</f>
        <v>0</v>
      </c>
      <c r="H589" s="9" t="s">
        <v>10</v>
      </c>
    </row>
    <row r="590" spans="1:8" x14ac:dyDescent="0.25">
      <c r="A590" s="7">
        <v>44568</v>
      </c>
      <c r="B590" s="8" t="s">
        <v>819</v>
      </c>
      <c r="C590" s="9" t="s">
        <v>142</v>
      </c>
      <c r="D590" s="10">
        <v>88022.6</v>
      </c>
      <c r="E590" s="11">
        <v>44589</v>
      </c>
      <c r="F590" s="10">
        <v>88022.6</v>
      </c>
      <c r="G590" s="12">
        <f>Tabla1[[#This Row],[Importe]]-Tabla1[[#This Row],[Pagado]]</f>
        <v>0</v>
      </c>
      <c r="H590" s="9" t="s">
        <v>10</v>
      </c>
    </row>
    <row r="591" spans="1:8" x14ac:dyDescent="0.25">
      <c r="A591" s="7">
        <v>44568</v>
      </c>
      <c r="B591" s="8" t="s">
        <v>820</v>
      </c>
      <c r="C591" s="9" t="s">
        <v>62</v>
      </c>
      <c r="D591" s="10">
        <v>3425.5</v>
      </c>
      <c r="E591" s="11">
        <v>44568</v>
      </c>
      <c r="F591" s="10">
        <v>3425.5</v>
      </c>
      <c r="G591" s="12">
        <f>Tabla1[[#This Row],[Importe]]-Tabla1[[#This Row],[Pagado]]</f>
        <v>0</v>
      </c>
      <c r="H591" s="9" t="s">
        <v>10</v>
      </c>
    </row>
    <row r="592" spans="1:8" x14ac:dyDescent="0.25">
      <c r="A592" s="7">
        <v>44568</v>
      </c>
      <c r="B592" s="8" t="s">
        <v>821</v>
      </c>
      <c r="C592" s="9" t="s">
        <v>206</v>
      </c>
      <c r="D592" s="10">
        <v>24858.6</v>
      </c>
      <c r="E592" s="11">
        <v>44574</v>
      </c>
      <c r="F592" s="10">
        <v>24858.6</v>
      </c>
      <c r="G592" s="12">
        <f>Tabla1[[#This Row],[Importe]]-Tabla1[[#This Row],[Pagado]]</f>
        <v>0</v>
      </c>
      <c r="H592" s="9" t="s">
        <v>10</v>
      </c>
    </row>
    <row r="593" spans="1:8" x14ac:dyDescent="0.25">
      <c r="A593" s="7">
        <v>44568</v>
      </c>
      <c r="B593" s="8" t="s">
        <v>822</v>
      </c>
      <c r="C593" s="9" t="s">
        <v>216</v>
      </c>
      <c r="D593" s="10">
        <v>1355</v>
      </c>
      <c r="E593" s="11">
        <v>44568</v>
      </c>
      <c r="F593" s="10">
        <v>1355</v>
      </c>
      <c r="G593" s="12">
        <f>Tabla1[[#This Row],[Importe]]-Tabla1[[#This Row],[Pagado]]</f>
        <v>0</v>
      </c>
      <c r="H593" s="9" t="s">
        <v>10</v>
      </c>
    </row>
    <row r="594" spans="1:8" x14ac:dyDescent="0.25">
      <c r="A594" s="7">
        <v>44568</v>
      </c>
      <c r="B594" s="8" t="s">
        <v>823</v>
      </c>
      <c r="C594" s="9" t="s">
        <v>365</v>
      </c>
      <c r="D594" s="10">
        <v>550</v>
      </c>
      <c r="E594" s="11">
        <v>44568</v>
      </c>
      <c r="F594" s="10">
        <v>550</v>
      </c>
      <c r="G594" s="12">
        <f>Tabla1[[#This Row],[Importe]]-Tabla1[[#This Row],[Pagado]]</f>
        <v>0</v>
      </c>
      <c r="H594" s="9" t="s">
        <v>10</v>
      </c>
    </row>
    <row r="595" spans="1:8" x14ac:dyDescent="0.25">
      <c r="A595" s="7">
        <v>44568</v>
      </c>
      <c r="B595" s="8" t="s">
        <v>824</v>
      </c>
      <c r="C595" s="9" t="s">
        <v>698</v>
      </c>
      <c r="D595" s="10">
        <v>5348</v>
      </c>
      <c r="E595" s="11">
        <v>44568</v>
      </c>
      <c r="F595" s="10">
        <v>5348</v>
      </c>
      <c r="G595" s="12">
        <f>Tabla1[[#This Row],[Importe]]-Tabla1[[#This Row],[Pagado]]</f>
        <v>0</v>
      </c>
      <c r="H595" s="9" t="s">
        <v>10</v>
      </c>
    </row>
    <row r="596" spans="1:8" x14ac:dyDescent="0.25">
      <c r="A596" s="7">
        <v>44568</v>
      </c>
      <c r="B596" s="8" t="s">
        <v>825</v>
      </c>
      <c r="C596" s="9" t="s">
        <v>373</v>
      </c>
      <c r="D596" s="10">
        <v>185.4</v>
      </c>
      <c r="E596" s="11">
        <v>44568</v>
      </c>
      <c r="F596" s="10">
        <v>185.4</v>
      </c>
      <c r="G596" s="12">
        <f>Tabla1[[#This Row],[Importe]]-Tabla1[[#This Row],[Pagado]]</f>
        <v>0</v>
      </c>
      <c r="H596" s="9" t="s">
        <v>10</v>
      </c>
    </row>
    <row r="597" spans="1:8" x14ac:dyDescent="0.25">
      <c r="A597" s="7">
        <v>44568</v>
      </c>
      <c r="B597" s="8" t="s">
        <v>826</v>
      </c>
      <c r="C597" s="9" t="s">
        <v>233</v>
      </c>
      <c r="D597" s="10">
        <v>4300</v>
      </c>
      <c r="E597" s="11">
        <v>44568</v>
      </c>
      <c r="F597" s="10">
        <v>4300</v>
      </c>
      <c r="G597" s="12">
        <f>Tabla1[[#This Row],[Importe]]-Tabla1[[#This Row],[Pagado]]</f>
        <v>0</v>
      </c>
      <c r="H597" s="9" t="s">
        <v>10</v>
      </c>
    </row>
    <row r="598" spans="1:8" x14ac:dyDescent="0.25">
      <c r="A598" s="7">
        <v>44568</v>
      </c>
      <c r="B598" s="8" t="s">
        <v>827</v>
      </c>
      <c r="C598" s="9" t="s">
        <v>555</v>
      </c>
      <c r="D598" s="10">
        <v>26768.799999999999</v>
      </c>
      <c r="E598" s="11">
        <v>44568</v>
      </c>
      <c r="F598" s="10">
        <v>26768.799999999999</v>
      </c>
      <c r="G598" s="12">
        <f>Tabla1[[#This Row],[Importe]]-Tabla1[[#This Row],[Pagado]]</f>
        <v>0</v>
      </c>
      <c r="H598" s="9" t="s">
        <v>10</v>
      </c>
    </row>
    <row r="599" spans="1:8" x14ac:dyDescent="0.25">
      <c r="A599" s="7">
        <v>44568</v>
      </c>
      <c r="B599" s="8" t="s">
        <v>828</v>
      </c>
      <c r="C599" s="9" t="s">
        <v>670</v>
      </c>
      <c r="D599" s="10">
        <v>3641.6</v>
      </c>
      <c r="E599" s="11">
        <v>44568</v>
      </c>
      <c r="F599" s="10">
        <v>3641.6</v>
      </c>
      <c r="G599" s="12">
        <f>Tabla1[[#This Row],[Importe]]-Tabla1[[#This Row],[Pagado]]</f>
        <v>0</v>
      </c>
      <c r="H599" s="9" t="s">
        <v>10</v>
      </c>
    </row>
    <row r="600" spans="1:8" x14ac:dyDescent="0.25">
      <c r="A600" s="7">
        <v>44568</v>
      </c>
      <c r="B600" s="8" t="s">
        <v>829</v>
      </c>
      <c r="C600" s="9" t="s">
        <v>409</v>
      </c>
      <c r="D600" s="10">
        <v>6180.6</v>
      </c>
      <c r="E600" s="11">
        <v>44583</v>
      </c>
      <c r="F600" s="10">
        <v>6180.6</v>
      </c>
      <c r="G600" s="12">
        <f>Tabla1[[#This Row],[Importe]]-Tabla1[[#This Row],[Pagado]]</f>
        <v>0</v>
      </c>
      <c r="H600" s="9" t="s">
        <v>10</v>
      </c>
    </row>
    <row r="601" spans="1:8" x14ac:dyDescent="0.25">
      <c r="A601" s="7">
        <v>44568</v>
      </c>
      <c r="B601" s="8" t="s">
        <v>830</v>
      </c>
      <c r="C601" s="9" t="s">
        <v>142</v>
      </c>
      <c r="D601" s="10">
        <v>6223.4</v>
      </c>
      <c r="E601" s="11">
        <v>44589</v>
      </c>
      <c r="F601" s="10">
        <v>6223.4</v>
      </c>
      <c r="G601" s="12">
        <f>Tabla1[[#This Row],[Importe]]-Tabla1[[#This Row],[Pagado]]</f>
        <v>0</v>
      </c>
      <c r="H601" s="9" t="s">
        <v>10</v>
      </c>
    </row>
    <row r="602" spans="1:8" x14ac:dyDescent="0.25">
      <c r="A602" s="7">
        <v>44568</v>
      </c>
      <c r="B602" s="8" t="s">
        <v>831</v>
      </c>
      <c r="C602" s="9" t="s">
        <v>31</v>
      </c>
      <c r="D602" s="10">
        <v>356.4</v>
      </c>
      <c r="E602" s="11">
        <v>44568</v>
      </c>
      <c r="F602" s="10">
        <v>356.4</v>
      </c>
      <c r="G602" s="12">
        <f>Tabla1[[#This Row],[Importe]]-Tabla1[[#This Row],[Pagado]]</f>
        <v>0</v>
      </c>
      <c r="H602" s="9" t="s">
        <v>10</v>
      </c>
    </row>
    <row r="603" spans="1:8" x14ac:dyDescent="0.25">
      <c r="A603" s="7">
        <v>44568</v>
      </c>
      <c r="B603" s="8" t="s">
        <v>832</v>
      </c>
      <c r="C603" s="9" t="s">
        <v>31</v>
      </c>
      <c r="D603" s="10">
        <v>720</v>
      </c>
      <c r="E603" s="11">
        <v>44568</v>
      </c>
      <c r="F603" s="10">
        <v>720</v>
      </c>
      <c r="G603" s="12">
        <f>Tabla1[[#This Row],[Importe]]-Tabla1[[#This Row],[Pagado]]</f>
        <v>0</v>
      </c>
      <c r="H603" s="9" t="s">
        <v>10</v>
      </c>
    </row>
    <row r="604" spans="1:8" x14ac:dyDescent="0.25">
      <c r="A604" s="7">
        <v>44568</v>
      </c>
      <c r="B604" s="8" t="s">
        <v>833</v>
      </c>
      <c r="C604" s="9" t="s">
        <v>173</v>
      </c>
      <c r="D604" s="10">
        <v>31480.3</v>
      </c>
      <c r="E604" s="11">
        <v>44569</v>
      </c>
      <c r="F604" s="10">
        <v>31480.3</v>
      </c>
      <c r="G604" s="12">
        <f>Tabla1[[#This Row],[Importe]]-Tabla1[[#This Row],[Pagado]]</f>
        <v>0</v>
      </c>
      <c r="H604" s="9" t="s">
        <v>10</v>
      </c>
    </row>
    <row r="605" spans="1:8" x14ac:dyDescent="0.25">
      <c r="A605" s="7">
        <v>44568</v>
      </c>
      <c r="B605" s="8" t="s">
        <v>834</v>
      </c>
      <c r="C605" s="9" t="s">
        <v>133</v>
      </c>
      <c r="D605" s="10">
        <v>18125</v>
      </c>
      <c r="E605" s="11">
        <v>44583</v>
      </c>
      <c r="F605" s="10">
        <v>18125</v>
      </c>
      <c r="G605" s="12">
        <f>Tabla1[[#This Row],[Importe]]-Tabla1[[#This Row],[Pagado]]</f>
        <v>0</v>
      </c>
      <c r="H605" s="9" t="s">
        <v>10</v>
      </c>
    </row>
    <row r="606" spans="1:8" x14ac:dyDescent="0.25">
      <c r="A606" s="7">
        <v>44568</v>
      </c>
      <c r="B606" s="8" t="s">
        <v>835</v>
      </c>
      <c r="C606" s="9" t="s">
        <v>592</v>
      </c>
      <c r="D606" s="10">
        <v>8671</v>
      </c>
      <c r="E606" s="11">
        <v>44569</v>
      </c>
      <c r="F606" s="10">
        <v>8671</v>
      </c>
      <c r="G606" s="12">
        <f>Tabla1[[#This Row],[Importe]]-Tabla1[[#This Row],[Pagado]]</f>
        <v>0</v>
      </c>
      <c r="H606" s="9" t="s">
        <v>10</v>
      </c>
    </row>
    <row r="607" spans="1:8" x14ac:dyDescent="0.25">
      <c r="A607" s="7">
        <v>44568</v>
      </c>
      <c r="B607" s="8" t="s">
        <v>836</v>
      </c>
      <c r="C607" s="9" t="s">
        <v>31</v>
      </c>
      <c r="D607" s="10">
        <v>5260</v>
      </c>
      <c r="E607" s="11">
        <v>44569</v>
      </c>
      <c r="F607" s="10">
        <v>5260</v>
      </c>
      <c r="G607" s="12">
        <f>Tabla1[[#This Row],[Importe]]-Tabla1[[#This Row],[Pagado]]</f>
        <v>0</v>
      </c>
      <c r="H607" s="9" t="s">
        <v>10</v>
      </c>
    </row>
    <row r="608" spans="1:8" x14ac:dyDescent="0.25">
      <c r="A608" s="7">
        <v>44568</v>
      </c>
      <c r="B608" s="8" t="s">
        <v>837</v>
      </c>
      <c r="C608" s="9" t="s">
        <v>31</v>
      </c>
      <c r="D608" s="10">
        <v>5470</v>
      </c>
      <c r="E608" s="11">
        <v>44569</v>
      </c>
      <c r="F608" s="10">
        <v>5470</v>
      </c>
      <c r="G608" s="12">
        <f>Tabla1[[#This Row],[Importe]]-Tabla1[[#This Row],[Pagado]]</f>
        <v>0</v>
      </c>
      <c r="H608" s="9" t="s">
        <v>10</v>
      </c>
    </row>
    <row r="609" spans="1:8" x14ac:dyDescent="0.25">
      <c r="A609" s="7">
        <v>44568</v>
      </c>
      <c r="B609" s="8" t="s">
        <v>838</v>
      </c>
      <c r="C609" s="9" t="s">
        <v>67</v>
      </c>
      <c r="D609" s="10">
        <v>9600.4</v>
      </c>
      <c r="E609" s="11">
        <v>44568</v>
      </c>
      <c r="F609" s="10">
        <v>9600.4</v>
      </c>
      <c r="G609" s="12">
        <f>Tabla1[[#This Row],[Importe]]-Tabla1[[#This Row],[Pagado]]</f>
        <v>0</v>
      </c>
      <c r="H609" s="9" t="s">
        <v>10</v>
      </c>
    </row>
    <row r="610" spans="1:8" x14ac:dyDescent="0.25">
      <c r="A610" s="7">
        <v>44568</v>
      </c>
      <c r="B610" s="8" t="s">
        <v>839</v>
      </c>
      <c r="C610" s="9" t="s">
        <v>840</v>
      </c>
      <c r="D610" s="10">
        <v>4518</v>
      </c>
      <c r="E610" s="11">
        <v>44568</v>
      </c>
      <c r="F610" s="10">
        <v>4518</v>
      </c>
      <c r="G610" s="12">
        <f>Tabla1[[#This Row],[Importe]]-Tabla1[[#This Row],[Pagado]]</f>
        <v>0</v>
      </c>
      <c r="H610" s="9" t="s">
        <v>10</v>
      </c>
    </row>
    <row r="611" spans="1:8" x14ac:dyDescent="0.25">
      <c r="A611" s="7">
        <v>44568</v>
      </c>
      <c r="B611" s="8" t="s">
        <v>841</v>
      </c>
      <c r="C611" s="9" t="s">
        <v>51</v>
      </c>
      <c r="D611" s="10">
        <v>4742</v>
      </c>
      <c r="E611" s="11">
        <v>44568</v>
      </c>
      <c r="F611" s="10">
        <v>4742</v>
      </c>
      <c r="G611" s="12">
        <f>Tabla1[[#This Row],[Importe]]-Tabla1[[#This Row],[Pagado]]</f>
        <v>0</v>
      </c>
      <c r="H611" s="9" t="s">
        <v>10</v>
      </c>
    </row>
    <row r="612" spans="1:8" x14ac:dyDescent="0.25">
      <c r="A612" s="7">
        <v>44568</v>
      </c>
      <c r="B612" s="8" t="s">
        <v>842</v>
      </c>
      <c r="C612" s="9" t="s">
        <v>843</v>
      </c>
      <c r="D612" s="10">
        <v>28150.5</v>
      </c>
      <c r="E612" s="11">
        <v>44568</v>
      </c>
      <c r="F612" s="10">
        <v>28150.5</v>
      </c>
      <c r="G612" s="12">
        <f>Tabla1[[#This Row],[Importe]]-Tabla1[[#This Row],[Pagado]]</f>
        <v>0</v>
      </c>
      <c r="H612" s="9" t="s">
        <v>10</v>
      </c>
    </row>
    <row r="613" spans="1:8" x14ac:dyDescent="0.25">
      <c r="A613" s="7">
        <v>44568</v>
      </c>
      <c r="B613" s="8" t="s">
        <v>844</v>
      </c>
      <c r="C613" s="9" t="s">
        <v>845</v>
      </c>
      <c r="D613" s="10">
        <v>1697</v>
      </c>
      <c r="E613" s="11">
        <v>44568</v>
      </c>
      <c r="F613" s="10">
        <v>1697</v>
      </c>
      <c r="G613" s="12">
        <f>Tabla1[[#This Row],[Importe]]-Tabla1[[#This Row],[Pagado]]</f>
        <v>0</v>
      </c>
      <c r="H613" s="9" t="s">
        <v>10</v>
      </c>
    </row>
    <row r="614" spans="1:8" x14ac:dyDescent="0.25">
      <c r="A614" s="7">
        <v>44568</v>
      </c>
      <c r="B614" s="8" t="s">
        <v>846</v>
      </c>
      <c r="C614" s="9" t="s">
        <v>58</v>
      </c>
      <c r="D614" s="10">
        <v>5832.5</v>
      </c>
      <c r="E614" s="11">
        <v>44568</v>
      </c>
      <c r="F614" s="10">
        <v>5832.5</v>
      </c>
      <c r="G614" s="12">
        <f>Tabla1[[#This Row],[Importe]]-Tabla1[[#This Row],[Pagado]]</f>
        <v>0</v>
      </c>
      <c r="H614" s="9" t="s">
        <v>10</v>
      </c>
    </row>
    <row r="615" spans="1:8" x14ac:dyDescent="0.25">
      <c r="A615" s="7">
        <v>44568</v>
      </c>
      <c r="B615" s="8" t="s">
        <v>847</v>
      </c>
      <c r="C615" s="9" t="s">
        <v>368</v>
      </c>
      <c r="D615" s="10">
        <v>2041.1</v>
      </c>
      <c r="E615" s="11">
        <v>44568</v>
      </c>
      <c r="F615" s="10">
        <v>2041.1</v>
      </c>
      <c r="G615" s="12">
        <f>Tabla1[[#This Row],[Importe]]-Tabla1[[#This Row],[Pagado]]</f>
        <v>0</v>
      </c>
      <c r="H615" s="9" t="s">
        <v>10</v>
      </c>
    </row>
    <row r="616" spans="1:8" x14ac:dyDescent="0.25">
      <c r="A616" s="7">
        <v>44568</v>
      </c>
      <c r="B616" s="8" t="s">
        <v>848</v>
      </c>
      <c r="C616" s="9" t="s">
        <v>849</v>
      </c>
      <c r="D616" s="10">
        <v>4459.2</v>
      </c>
      <c r="E616" s="11">
        <v>44568</v>
      </c>
      <c r="F616" s="10">
        <v>4459.2</v>
      </c>
      <c r="G616" s="12">
        <f>Tabla1[[#This Row],[Importe]]-Tabla1[[#This Row],[Pagado]]</f>
        <v>0</v>
      </c>
      <c r="H616" s="9" t="s">
        <v>10</v>
      </c>
    </row>
    <row r="617" spans="1:8" x14ac:dyDescent="0.25">
      <c r="A617" s="7">
        <v>44568</v>
      </c>
      <c r="B617" s="8" t="s">
        <v>850</v>
      </c>
      <c r="C617" s="9" t="s">
        <v>67</v>
      </c>
      <c r="D617" s="10">
        <v>425</v>
      </c>
      <c r="E617" s="11">
        <v>44568</v>
      </c>
      <c r="F617" s="10">
        <v>425</v>
      </c>
      <c r="G617" s="12">
        <f>Tabla1[[#This Row],[Importe]]-Tabla1[[#This Row],[Pagado]]</f>
        <v>0</v>
      </c>
      <c r="H617" s="9" t="s">
        <v>10</v>
      </c>
    </row>
    <row r="618" spans="1:8" x14ac:dyDescent="0.25">
      <c r="A618" s="7">
        <v>44568</v>
      </c>
      <c r="B618" s="8" t="s">
        <v>851</v>
      </c>
      <c r="C618" s="9" t="s">
        <v>191</v>
      </c>
      <c r="D618" s="10">
        <v>218.6</v>
      </c>
      <c r="E618" s="11">
        <v>44568</v>
      </c>
      <c r="F618" s="10">
        <v>218.6</v>
      </c>
      <c r="G618" s="12">
        <f>Tabla1[[#This Row],[Importe]]-Tabla1[[#This Row],[Pagado]]</f>
        <v>0</v>
      </c>
      <c r="H618" s="9" t="s">
        <v>10</v>
      </c>
    </row>
    <row r="619" spans="1:8" x14ac:dyDescent="0.25">
      <c r="A619" s="7">
        <v>44568</v>
      </c>
      <c r="B619" s="8" t="s">
        <v>852</v>
      </c>
      <c r="C619" s="9" t="s">
        <v>31</v>
      </c>
      <c r="D619" s="10">
        <v>6600</v>
      </c>
      <c r="E619" s="11">
        <v>44568</v>
      </c>
      <c r="F619" s="10">
        <v>6600</v>
      </c>
      <c r="G619" s="12">
        <f>Tabla1[[#This Row],[Importe]]-Tabla1[[#This Row],[Pagado]]</f>
        <v>0</v>
      </c>
      <c r="H619" s="9" t="s">
        <v>10</v>
      </c>
    </row>
    <row r="620" spans="1:8" x14ac:dyDescent="0.25">
      <c r="A620" s="7">
        <v>44568</v>
      </c>
      <c r="B620" s="8" t="s">
        <v>853</v>
      </c>
      <c r="C620" s="9" t="s">
        <v>31</v>
      </c>
      <c r="D620" s="10">
        <v>357</v>
      </c>
      <c r="E620" s="11">
        <v>44568</v>
      </c>
      <c r="F620" s="10">
        <v>357</v>
      </c>
      <c r="G620" s="12">
        <f>Tabla1[[#This Row],[Importe]]-Tabla1[[#This Row],[Pagado]]</f>
        <v>0</v>
      </c>
      <c r="H620" s="9" t="s">
        <v>10</v>
      </c>
    </row>
    <row r="621" spans="1:8" x14ac:dyDescent="0.25">
      <c r="A621" s="7">
        <v>44568</v>
      </c>
      <c r="B621" s="8" t="s">
        <v>854</v>
      </c>
      <c r="C621" s="9" t="s">
        <v>31</v>
      </c>
      <c r="D621" s="10">
        <v>1000</v>
      </c>
      <c r="E621" s="11">
        <v>44568</v>
      </c>
      <c r="F621" s="10">
        <v>1000</v>
      </c>
      <c r="G621" s="12">
        <f>Tabla1[[#This Row],[Importe]]-Tabla1[[#This Row],[Pagado]]</f>
        <v>0</v>
      </c>
      <c r="H621" s="9" t="s">
        <v>10</v>
      </c>
    </row>
    <row r="622" spans="1:8" x14ac:dyDescent="0.25">
      <c r="A622" s="7">
        <v>44568</v>
      </c>
      <c r="B622" s="8" t="s">
        <v>855</v>
      </c>
      <c r="C622" s="9" t="s">
        <v>149</v>
      </c>
      <c r="D622" s="10">
        <v>1406.4</v>
      </c>
      <c r="E622" s="11">
        <v>44568</v>
      </c>
      <c r="F622" s="10">
        <v>1406.4</v>
      </c>
      <c r="G622" s="12">
        <f>Tabla1[[#This Row],[Importe]]-Tabla1[[#This Row],[Pagado]]</f>
        <v>0</v>
      </c>
      <c r="H622" s="9" t="s">
        <v>10</v>
      </c>
    </row>
    <row r="623" spans="1:8" x14ac:dyDescent="0.25">
      <c r="A623" s="7">
        <v>44568</v>
      </c>
      <c r="B623" s="8" t="s">
        <v>856</v>
      </c>
      <c r="C623" s="9" t="s">
        <v>857</v>
      </c>
      <c r="D623" s="10">
        <v>1481.1</v>
      </c>
      <c r="E623" s="11">
        <v>44568</v>
      </c>
      <c r="F623" s="10">
        <v>1481.1</v>
      </c>
      <c r="G623" s="12">
        <f>Tabla1[[#This Row],[Importe]]-Tabla1[[#This Row],[Pagado]]</f>
        <v>0</v>
      </c>
      <c r="H623" s="9" t="s">
        <v>10</v>
      </c>
    </row>
    <row r="624" spans="1:8" x14ac:dyDescent="0.25">
      <c r="A624" s="7">
        <v>44568</v>
      </c>
      <c r="B624" s="8" t="s">
        <v>858</v>
      </c>
      <c r="C624" s="9" t="s">
        <v>859</v>
      </c>
      <c r="D624" s="10">
        <v>5464.8</v>
      </c>
      <c r="E624" s="11">
        <v>44569</v>
      </c>
      <c r="F624" s="10">
        <v>5464.8</v>
      </c>
      <c r="G624" s="12">
        <f>Tabla1[[#This Row],[Importe]]-Tabla1[[#This Row],[Pagado]]</f>
        <v>0</v>
      </c>
      <c r="H624" s="9" t="s">
        <v>10</v>
      </c>
    </row>
    <row r="625" spans="1:8" x14ac:dyDescent="0.25">
      <c r="A625" s="7">
        <v>44568</v>
      </c>
      <c r="B625" s="8" t="s">
        <v>860</v>
      </c>
      <c r="C625" s="9" t="s">
        <v>9</v>
      </c>
      <c r="D625" s="10">
        <v>1987.2</v>
      </c>
      <c r="E625" s="11">
        <v>44568</v>
      </c>
      <c r="F625" s="10">
        <v>1987.2</v>
      </c>
      <c r="G625" s="12">
        <f>Tabla1[[#This Row],[Importe]]-Tabla1[[#This Row],[Pagado]]</f>
        <v>0</v>
      </c>
      <c r="H625" s="9" t="s">
        <v>10</v>
      </c>
    </row>
    <row r="626" spans="1:8" x14ac:dyDescent="0.25">
      <c r="A626" s="7">
        <v>44568</v>
      </c>
      <c r="B626" s="8" t="s">
        <v>861</v>
      </c>
      <c r="C626" s="9" t="s">
        <v>269</v>
      </c>
      <c r="D626" s="10">
        <v>4108.6000000000004</v>
      </c>
      <c r="E626" s="11">
        <v>44568</v>
      </c>
      <c r="F626" s="10">
        <v>4108.6000000000004</v>
      </c>
      <c r="G626" s="12">
        <f>Tabla1[[#This Row],[Importe]]-Tabla1[[#This Row],[Pagado]]</f>
        <v>0</v>
      </c>
      <c r="H626" s="9" t="s">
        <v>10</v>
      </c>
    </row>
    <row r="627" spans="1:8" x14ac:dyDescent="0.25">
      <c r="A627" s="7">
        <v>44568</v>
      </c>
      <c r="B627" s="8" t="s">
        <v>862</v>
      </c>
      <c r="C627" s="9" t="s">
        <v>196</v>
      </c>
      <c r="D627" s="10">
        <v>19125.400000000001</v>
      </c>
      <c r="E627" s="11">
        <v>44575</v>
      </c>
      <c r="F627" s="10">
        <v>19125.400000000001</v>
      </c>
      <c r="G627" s="12">
        <f>Tabla1[[#This Row],[Importe]]-Tabla1[[#This Row],[Pagado]]</f>
        <v>0</v>
      </c>
      <c r="H627" s="9" t="s">
        <v>10</v>
      </c>
    </row>
    <row r="628" spans="1:8" x14ac:dyDescent="0.25">
      <c r="A628" s="7">
        <v>44568</v>
      </c>
      <c r="B628" s="8" t="s">
        <v>863</v>
      </c>
      <c r="C628" s="9" t="s">
        <v>196</v>
      </c>
      <c r="D628" s="10">
        <v>1916.6</v>
      </c>
      <c r="E628" s="11">
        <v>44575</v>
      </c>
      <c r="F628" s="10">
        <v>1916.6</v>
      </c>
      <c r="G628" s="12">
        <f>Tabla1[[#This Row],[Importe]]-Tabla1[[#This Row],[Pagado]]</f>
        <v>0</v>
      </c>
      <c r="H628" s="9" t="s">
        <v>10</v>
      </c>
    </row>
    <row r="629" spans="1:8" x14ac:dyDescent="0.25">
      <c r="A629" s="7">
        <v>44568</v>
      </c>
      <c r="B629" s="8" t="s">
        <v>864</v>
      </c>
      <c r="C629" s="9" t="s">
        <v>282</v>
      </c>
      <c r="D629" s="10">
        <v>4140</v>
      </c>
      <c r="E629" s="11">
        <v>44569</v>
      </c>
      <c r="F629" s="10">
        <v>4140</v>
      </c>
      <c r="G629" s="12">
        <f>Tabla1[[#This Row],[Importe]]-Tabla1[[#This Row],[Pagado]]</f>
        <v>0</v>
      </c>
      <c r="H629" s="9" t="s">
        <v>10</v>
      </c>
    </row>
    <row r="630" spans="1:8" x14ac:dyDescent="0.25">
      <c r="A630" s="7">
        <v>44568</v>
      </c>
      <c r="B630" s="8" t="s">
        <v>865</v>
      </c>
      <c r="C630" s="9" t="s">
        <v>284</v>
      </c>
      <c r="D630" s="10">
        <v>9105</v>
      </c>
      <c r="E630" s="11">
        <v>44569</v>
      </c>
      <c r="F630" s="10">
        <v>9105</v>
      </c>
      <c r="G630" s="12">
        <f>Tabla1[[#This Row],[Importe]]-Tabla1[[#This Row],[Pagado]]</f>
        <v>0</v>
      </c>
      <c r="H630" s="9" t="s">
        <v>10</v>
      </c>
    </row>
    <row r="631" spans="1:8" x14ac:dyDescent="0.25">
      <c r="A631" s="7">
        <v>44568</v>
      </c>
      <c r="B631" s="8" t="s">
        <v>866</v>
      </c>
      <c r="C631" s="9" t="s">
        <v>280</v>
      </c>
      <c r="D631" s="10">
        <v>1345</v>
      </c>
      <c r="E631" s="11">
        <v>44569</v>
      </c>
      <c r="F631" s="10">
        <v>1345</v>
      </c>
      <c r="G631" s="12">
        <f>Tabla1[[#This Row],[Importe]]-Tabla1[[#This Row],[Pagado]]</f>
        <v>0</v>
      </c>
      <c r="H631" s="9" t="s">
        <v>10</v>
      </c>
    </row>
    <row r="632" spans="1:8" x14ac:dyDescent="0.25">
      <c r="A632" s="7">
        <v>44568</v>
      </c>
      <c r="B632" s="8" t="s">
        <v>867</v>
      </c>
      <c r="C632" s="9" t="s">
        <v>69</v>
      </c>
      <c r="D632" s="10">
        <v>1720.9</v>
      </c>
      <c r="E632" s="11">
        <v>44568</v>
      </c>
      <c r="F632" s="10">
        <v>1720.9</v>
      </c>
      <c r="G632" s="12">
        <f>Tabla1[[#This Row],[Importe]]-Tabla1[[#This Row],[Pagado]]</f>
        <v>0</v>
      </c>
      <c r="H632" s="9" t="s">
        <v>10</v>
      </c>
    </row>
    <row r="633" spans="1:8" x14ac:dyDescent="0.25">
      <c r="A633" s="7">
        <v>44568</v>
      </c>
      <c r="B633" s="8" t="s">
        <v>868</v>
      </c>
      <c r="C633" s="9" t="s">
        <v>31</v>
      </c>
      <c r="D633" s="10">
        <v>139.4</v>
      </c>
      <c r="E633" s="11">
        <v>44569</v>
      </c>
      <c r="F633" s="10">
        <v>139.4</v>
      </c>
      <c r="G633" s="12">
        <f>Tabla1[[#This Row],[Importe]]-Tabla1[[#This Row],[Pagado]]</f>
        <v>0</v>
      </c>
      <c r="H633" s="9" t="s">
        <v>10</v>
      </c>
    </row>
    <row r="634" spans="1:8" x14ac:dyDescent="0.25">
      <c r="A634" s="7">
        <v>44568</v>
      </c>
      <c r="B634" s="8" t="s">
        <v>869</v>
      </c>
      <c r="C634" s="9" t="s">
        <v>870</v>
      </c>
      <c r="D634" s="10">
        <v>18317.2</v>
      </c>
      <c r="E634" s="11">
        <v>44569</v>
      </c>
      <c r="F634" s="10">
        <v>18317.2</v>
      </c>
      <c r="G634" s="12">
        <f>Tabla1[[#This Row],[Importe]]-Tabla1[[#This Row],[Pagado]]</f>
        <v>0</v>
      </c>
      <c r="H634" s="9" t="s">
        <v>10</v>
      </c>
    </row>
    <row r="635" spans="1:8" x14ac:dyDescent="0.25">
      <c r="A635" s="7">
        <v>44568</v>
      </c>
      <c r="B635" s="8" t="s">
        <v>871</v>
      </c>
      <c r="C635" s="9" t="s">
        <v>872</v>
      </c>
      <c r="D635" s="10">
        <v>2931.84</v>
      </c>
      <c r="E635" s="11">
        <v>44568</v>
      </c>
      <c r="F635" s="10">
        <v>2931.84</v>
      </c>
      <c r="G635" s="12">
        <f>Tabla1[[#This Row],[Importe]]-Tabla1[[#This Row],[Pagado]]</f>
        <v>0</v>
      </c>
      <c r="H635" s="9" t="s">
        <v>10</v>
      </c>
    </row>
    <row r="636" spans="1:8" x14ac:dyDescent="0.25">
      <c r="A636" s="7">
        <v>44568</v>
      </c>
      <c r="B636" s="8" t="s">
        <v>873</v>
      </c>
      <c r="C636" s="9" t="s">
        <v>31</v>
      </c>
      <c r="D636" s="10">
        <v>877.2</v>
      </c>
      <c r="E636" s="11">
        <v>44568</v>
      </c>
      <c r="F636" s="10">
        <v>877.2</v>
      </c>
      <c r="G636" s="12">
        <f>Tabla1[[#This Row],[Importe]]-Tabla1[[#This Row],[Pagado]]</f>
        <v>0</v>
      </c>
      <c r="H636" s="9" t="s">
        <v>10</v>
      </c>
    </row>
    <row r="637" spans="1:8" x14ac:dyDescent="0.25">
      <c r="A637" s="7">
        <v>44568</v>
      </c>
      <c r="B637" s="8" t="s">
        <v>874</v>
      </c>
      <c r="C637" s="9" t="s">
        <v>875</v>
      </c>
      <c r="D637" s="10">
        <v>32941</v>
      </c>
      <c r="E637" s="11">
        <v>44569</v>
      </c>
      <c r="F637" s="10">
        <v>32941</v>
      </c>
      <c r="G637" s="12">
        <f>Tabla1[[#This Row],[Importe]]-Tabla1[[#This Row],[Pagado]]</f>
        <v>0</v>
      </c>
      <c r="H637" s="9" t="s">
        <v>10</v>
      </c>
    </row>
    <row r="638" spans="1:8" x14ac:dyDescent="0.25">
      <c r="A638" s="7">
        <v>44568</v>
      </c>
      <c r="B638" s="8" t="s">
        <v>876</v>
      </c>
      <c r="C638" s="9" t="s">
        <v>31</v>
      </c>
      <c r="D638" s="10">
        <v>1147.5</v>
      </c>
      <c r="E638" s="11">
        <v>44568</v>
      </c>
      <c r="F638" s="10">
        <v>1147.5</v>
      </c>
      <c r="G638" s="12">
        <f>Tabla1[[#This Row],[Importe]]-Tabla1[[#This Row],[Pagado]]</f>
        <v>0</v>
      </c>
      <c r="H638" s="9" t="s">
        <v>10</v>
      </c>
    </row>
    <row r="639" spans="1:8" x14ac:dyDescent="0.25">
      <c r="A639" s="7">
        <v>44568</v>
      </c>
      <c r="B639" s="8" t="s">
        <v>877</v>
      </c>
      <c r="C639" s="9" t="s">
        <v>878</v>
      </c>
      <c r="D639" s="10">
        <v>3278.1</v>
      </c>
      <c r="E639" s="11">
        <v>44568</v>
      </c>
      <c r="F639" s="10">
        <v>3278.1</v>
      </c>
      <c r="G639" s="12">
        <f>Tabla1[[#This Row],[Importe]]-Tabla1[[#This Row],[Pagado]]</f>
        <v>0</v>
      </c>
      <c r="H639" s="9" t="s">
        <v>10</v>
      </c>
    </row>
    <row r="640" spans="1:8" x14ac:dyDescent="0.25">
      <c r="A640" s="7">
        <v>44568</v>
      </c>
      <c r="B640" s="8" t="s">
        <v>879</v>
      </c>
      <c r="C640" s="9" t="s">
        <v>31</v>
      </c>
      <c r="D640" s="10">
        <v>1990.1</v>
      </c>
      <c r="E640" s="11">
        <v>44568</v>
      </c>
      <c r="F640" s="10">
        <v>1990.1</v>
      </c>
      <c r="G640" s="12">
        <f>Tabla1[[#This Row],[Importe]]-Tabla1[[#This Row],[Pagado]]</f>
        <v>0</v>
      </c>
      <c r="H640" s="9" t="s">
        <v>10</v>
      </c>
    </row>
    <row r="641" spans="1:8" ht="30" x14ac:dyDescent="0.25">
      <c r="A641" s="7">
        <v>44568</v>
      </c>
      <c r="B641" s="8" t="s">
        <v>880</v>
      </c>
      <c r="C641" s="9" t="s">
        <v>275</v>
      </c>
      <c r="D641" s="10">
        <v>114392.96000000001</v>
      </c>
      <c r="E641" s="11" t="s">
        <v>881</v>
      </c>
      <c r="F641" s="10">
        <f>44460.57+69932.39</f>
        <v>114392.95999999999</v>
      </c>
      <c r="G641" s="12">
        <f>Tabla1[[#This Row],[Importe]]-Tabla1[[#This Row],[Pagado]]</f>
        <v>0</v>
      </c>
      <c r="H641" s="9" t="s">
        <v>10</v>
      </c>
    </row>
    <row r="642" spans="1:8" x14ac:dyDescent="0.25">
      <c r="A642" s="7">
        <v>44568</v>
      </c>
      <c r="B642" s="8" t="s">
        <v>882</v>
      </c>
      <c r="C642" s="9" t="s">
        <v>196</v>
      </c>
      <c r="D642" s="10">
        <v>33608.75</v>
      </c>
      <c r="E642" s="11">
        <v>44575</v>
      </c>
      <c r="F642" s="10">
        <v>33608.75</v>
      </c>
      <c r="G642" s="12">
        <f>Tabla1[[#This Row],[Importe]]-Tabla1[[#This Row],[Pagado]]</f>
        <v>0</v>
      </c>
      <c r="H642" s="9" t="s">
        <v>10</v>
      </c>
    </row>
    <row r="643" spans="1:8" x14ac:dyDescent="0.25">
      <c r="A643" s="7">
        <v>44568</v>
      </c>
      <c r="B643" s="8" t="s">
        <v>883</v>
      </c>
      <c r="C643" s="9" t="s">
        <v>196</v>
      </c>
      <c r="D643" s="10">
        <v>36639.949999999997</v>
      </c>
      <c r="E643" s="11">
        <v>44575</v>
      </c>
      <c r="F643" s="10">
        <v>36639.949999999997</v>
      </c>
      <c r="G643" s="12">
        <f>Tabla1[[#This Row],[Importe]]-Tabla1[[#This Row],[Pagado]]</f>
        <v>0</v>
      </c>
      <c r="H643" s="9" t="s">
        <v>10</v>
      </c>
    </row>
    <row r="644" spans="1:8" x14ac:dyDescent="0.25">
      <c r="A644" s="7">
        <v>44568</v>
      </c>
      <c r="B644" s="8" t="s">
        <v>884</v>
      </c>
      <c r="C644" s="9" t="s">
        <v>31</v>
      </c>
      <c r="D644" s="10">
        <v>19.2</v>
      </c>
      <c r="E644" s="11">
        <v>44568</v>
      </c>
      <c r="F644" s="10">
        <v>19.2</v>
      </c>
      <c r="G644" s="12">
        <f>Tabla1[[#This Row],[Importe]]-Tabla1[[#This Row],[Pagado]]</f>
        <v>0</v>
      </c>
      <c r="H644" s="9" t="s">
        <v>10</v>
      </c>
    </row>
    <row r="645" spans="1:8" x14ac:dyDescent="0.25">
      <c r="A645" s="7">
        <v>44568</v>
      </c>
      <c r="B645" s="8" t="s">
        <v>885</v>
      </c>
      <c r="C645" s="9" t="s">
        <v>91</v>
      </c>
      <c r="D645" s="10">
        <v>7480</v>
      </c>
      <c r="E645" s="11">
        <v>44571</v>
      </c>
      <c r="F645" s="10">
        <v>7480</v>
      </c>
      <c r="G645" s="12">
        <f>Tabla1[[#This Row],[Importe]]-Tabla1[[#This Row],[Pagado]]</f>
        <v>0</v>
      </c>
      <c r="H645" s="9" t="s">
        <v>10</v>
      </c>
    </row>
    <row r="646" spans="1:8" x14ac:dyDescent="0.25">
      <c r="A646" s="7">
        <v>44569</v>
      </c>
      <c r="B646" s="8" t="s">
        <v>886</v>
      </c>
      <c r="C646" s="9" t="s">
        <v>887</v>
      </c>
      <c r="D646" s="10">
        <v>16967.5</v>
      </c>
      <c r="E646" s="11">
        <v>44572</v>
      </c>
      <c r="F646" s="10">
        <v>16967.5</v>
      </c>
      <c r="G646" s="12">
        <f>Tabla1[[#This Row],[Importe]]-Tabla1[[#This Row],[Pagado]]</f>
        <v>0</v>
      </c>
      <c r="H646" s="9" t="s">
        <v>10</v>
      </c>
    </row>
    <row r="647" spans="1:8" x14ac:dyDescent="0.25">
      <c r="A647" s="7">
        <v>44569</v>
      </c>
      <c r="B647" s="8" t="s">
        <v>888</v>
      </c>
      <c r="C647" s="9" t="s">
        <v>196</v>
      </c>
      <c r="D647" s="10">
        <v>11449.6</v>
      </c>
      <c r="E647" s="11">
        <v>44575</v>
      </c>
      <c r="F647" s="10">
        <v>11449.6</v>
      </c>
      <c r="G647" s="12">
        <f>Tabla1[[#This Row],[Importe]]-Tabla1[[#This Row],[Pagado]]</f>
        <v>0</v>
      </c>
      <c r="H647" s="9" t="s">
        <v>10</v>
      </c>
    </row>
    <row r="648" spans="1:8" ht="30" x14ac:dyDescent="0.25">
      <c r="A648" s="7">
        <v>44569</v>
      </c>
      <c r="B648" s="8" t="s">
        <v>889</v>
      </c>
      <c r="C648" s="9" t="s">
        <v>475</v>
      </c>
      <c r="D648" s="10">
        <v>57391.9</v>
      </c>
      <c r="E648" s="11" t="s">
        <v>890</v>
      </c>
      <c r="F648" s="10">
        <f>38100+19291.9</f>
        <v>57391.9</v>
      </c>
      <c r="G648" s="12">
        <f>Tabla1[[#This Row],[Importe]]-Tabla1[[#This Row],[Pagado]]</f>
        <v>0</v>
      </c>
      <c r="H648" s="9" t="s">
        <v>10</v>
      </c>
    </row>
    <row r="649" spans="1:8" x14ac:dyDescent="0.25">
      <c r="A649" s="7">
        <v>44569</v>
      </c>
      <c r="B649" s="8" t="s">
        <v>891</v>
      </c>
      <c r="C649" s="9" t="s">
        <v>12</v>
      </c>
      <c r="D649" s="10">
        <v>25830.65</v>
      </c>
      <c r="E649" s="11">
        <v>44569</v>
      </c>
      <c r="F649" s="10">
        <v>25830.65</v>
      </c>
      <c r="G649" s="12">
        <f>Tabla1[[#This Row],[Importe]]-Tabla1[[#This Row],[Pagado]]</f>
        <v>0</v>
      </c>
      <c r="H649" s="9" t="s">
        <v>10</v>
      </c>
    </row>
    <row r="650" spans="1:8" x14ac:dyDescent="0.25">
      <c r="A650" s="7">
        <v>44569</v>
      </c>
      <c r="B650" s="8" t="s">
        <v>892</v>
      </c>
      <c r="C650" s="9" t="s">
        <v>371</v>
      </c>
      <c r="D650" s="10">
        <v>12124</v>
      </c>
      <c r="E650" s="11">
        <v>44569</v>
      </c>
      <c r="F650" s="10">
        <v>12124</v>
      </c>
      <c r="G650" s="12">
        <f>Tabla1[[#This Row],[Importe]]-Tabla1[[#This Row],[Pagado]]</f>
        <v>0</v>
      </c>
      <c r="H650" s="9" t="s">
        <v>10</v>
      </c>
    </row>
    <row r="651" spans="1:8" x14ac:dyDescent="0.25">
      <c r="A651" s="7">
        <v>44569</v>
      </c>
      <c r="B651" s="8" t="s">
        <v>893</v>
      </c>
      <c r="C651" s="9" t="s">
        <v>481</v>
      </c>
      <c r="D651" s="10">
        <v>563.29999999999995</v>
      </c>
      <c r="E651" s="11">
        <v>44569</v>
      </c>
      <c r="F651" s="10">
        <v>563.29999999999995</v>
      </c>
      <c r="G651" s="12">
        <f>Tabla1[[#This Row],[Importe]]-Tabla1[[#This Row],[Pagado]]</f>
        <v>0</v>
      </c>
      <c r="H651" s="9" t="s">
        <v>10</v>
      </c>
    </row>
    <row r="652" spans="1:8" x14ac:dyDescent="0.25">
      <c r="A652" s="7">
        <v>44569</v>
      </c>
      <c r="B652" s="8" t="s">
        <v>894</v>
      </c>
      <c r="C652" s="9" t="s">
        <v>9</v>
      </c>
      <c r="D652" s="10">
        <v>7430.6</v>
      </c>
      <c r="E652" s="11">
        <v>44569</v>
      </c>
      <c r="F652" s="10">
        <v>7430.6</v>
      </c>
      <c r="G652" s="12">
        <f>Tabla1[[#This Row],[Importe]]-Tabla1[[#This Row],[Pagado]]</f>
        <v>0</v>
      </c>
      <c r="H652" s="9" t="s">
        <v>10</v>
      </c>
    </row>
    <row r="653" spans="1:8" x14ac:dyDescent="0.25">
      <c r="A653" s="7">
        <v>44569</v>
      </c>
      <c r="B653" s="8" t="s">
        <v>895</v>
      </c>
      <c r="C653" s="9" t="s">
        <v>60</v>
      </c>
      <c r="D653" s="10">
        <v>3687.9</v>
      </c>
      <c r="E653" s="11">
        <v>44573</v>
      </c>
      <c r="F653" s="10">
        <v>3687.9</v>
      </c>
      <c r="G653" s="12">
        <f>Tabla1[[#This Row],[Importe]]-Tabla1[[#This Row],[Pagado]]</f>
        <v>0</v>
      </c>
      <c r="H653" s="9" t="s">
        <v>10</v>
      </c>
    </row>
    <row r="654" spans="1:8" x14ac:dyDescent="0.25">
      <c r="A654" s="7">
        <v>44569</v>
      </c>
      <c r="B654" s="8" t="s">
        <v>896</v>
      </c>
      <c r="C654" s="9" t="s">
        <v>198</v>
      </c>
      <c r="D654" s="10">
        <v>3679</v>
      </c>
      <c r="E654" s="11">
        <v>44569</v>
      </c>
      <c r="F654" s="10">
        <v>3679</v>
      </c>
      <c r="G654" s="12">
        <f>Tabla1[[#This Row],[Importe]]-Tabla1[[#This Row],[Pagado]]</f>
        <v>0</v>
      </c>
      <c r="H654" s="9" t="s">
        <v>10</v>
      </c>
    </row>
    <row r="655" spans="1:8" x14ac:dyDescent="0.25">
      <c r="A655" s="7">
        <v>44569</v>
      </c>
      <c r="B655" s="8" t="s">
        <v>897</v>
      </c>
      <c r="C655" s="9" t="s">
        <v>99</v>
      </c>
      <c r="D655" s="10">
        <v>4048</v>
      </c>
      <c r="E655" s="11">
        <v>44571</v>
      </c>
      <c r="F655" s="10">
        <v>4048</v>
      </c>
      <c r="G655" s="12">
        <f>Tabla1[[#This Row],[Importe]]-Tabla1[[#This Row],[Pagado]]</f>
        <v>0</v>
      </c>
      <c r="H655" s="9" t="s">
        <v>10</v>
      </c>
    </row>
    <row r="656" spans="1:8" x14ac:dyDescent="0.25">
      <c r="A656" s="7">
        <v>44569</v>
      </c>
      <c r="B656" s="8" t="s">
        <v>898</v>
      </c>
      <c r="C656" s="9" t="s">
        <v>111</v>
      </c>
      <c r="D656" s="10">
        <v>8954</v>
      </c>
      <c r="E656" s="11">
        <v>44571</v>
      </c>
      <c r="F656" s="10">
        <v>8954</v>
      </c>
      <c r="G656" s="12">
        <f>Tabla1[[#This Row],[Importe]]-Tabla1[[#This Row],[Pagado]]</f>
        <v>0</v>
      </c>
      <c r="H656" s="9" t="s">
        <v>10</v>
      </c>
    </row>
    <row r="657" spans="1:10" x14ac:dyDescent="0.25">
      <c r="A657" s="7">
        <v>44569</v>
      </c>
      <c r="B657" s="8" t="s">
        <v>899</v>
      </c>
      <c r="C657" s="9" t="s">
        <v>105</v>
      </c>
      <c r="D657" s="10">
        <v>16223</v>
      </c>
      <c r="E657" s="11">
        <v>44571</v>
      </c>
      <c r="F657" s="10">
        <v>16223</v>
      </c>
      <c r="G657" s="12">
        <f>Tabla1[[#This Row],[Importe]]-Tabla1[[#This Row],[Pagado]]</f>
        <v>0</v>
      </c>
      <c r="H657" s="9" t="s">
        <v>10</v>
      </c>
    </row>
    <row r="658" spans="1:10" x14ac:dyDescent="0.25">
      <c r="A658" s="7">
        <v>44569</v>
      </c>
      <c r="B658" s="8" t="s">
        <v>900</v>
      </c>
      <c r="C658" s="9" t="s">
        <v>24</v>
      </c>
      <c r="D658" s="10">
        <v>5112.2</v>
      </c>
      <c r="E658" s="11">
        <v>44569</v>
      </c>
      <c r="F658" s="10">
        <v>5112.2</v>
      </c>
      <c r="G658" s="12">
        <f>Tabla1[[#This Row],[Importe]]-Tabla1[[#This Row],[Pagado]]</f>
        <v>0</v>
      </c>
      <c r="H658" s="9" t="s">
        <v>10</v>
      </c>
    </row>
    <row r="659" spans="1:10" x14ac:dyDescent="0.25">
      <c r="A659" s="7">
        <v>44569</v>
      </c>
      <c r="B659" s="8" t="s">
        <v>901</v>
      </c>
      <c r="C659" s="9" t="s">
        <v>484</v>
      </c>
      <c r="D659" s="10">
        <v>4016</v>
      </c>
      <c r="E659" s="11">
        <v>44569</v>
      </c>
      <c r="F659" s="10">
        <v>4016</v>
      </c>
      <c r="G659" s="12">
        <f>Tabla1[[#This Row],[Importe]]-Tabla1[[#This Row],[Pagado]]</f>
        <v>0</v>
      </c>
      <c r="H659" s="9" t="s">
        <v>10</v>
      </c>
    </row>
    <row r="660" spans="1:10" x14ac:dyDescent="0.25">
      <c r="A660" s="7">
        <v>44569</v>
      </c>
      <c r="B660" s="8" t="s">
        <v>902</v>
      </c>
      <c r="C660" s="9" t="s">
        <v>359</v>
      </c>
      <c r="D660" s="10">
        <v>2939.4</v>
      </c>
      <c r="E660" s="11">
        <v>44569</v>
      </c>
      <c r="F660" s="10">
        <v>2939.4</v>
      </c>
      <c r="G660" s="12">
        <f>Tabla1[[#This Row],[Importe]]-Tabla1[[#This Row],[Pagado]]</f>
        <v>0</v>
      </c>
      <c r="H660" s="9" t="s">
        <v>10</v>
      </c>
    </row>
    <row r="661" spans="1:10" x14ac:dyDescent="0.25">
      <c r="A661" s="7">
        <v>44569</v>
      </c>
      <c r="B661" s="8" t="s">
        <v>903</v>
      </c>
      <c r="C661" s="9" t="s">
        <v>109</v>
      </c>
      <c r="D661" s="10">
        <v>7716.5</v>
      </c>
      <c r="E661" s="11">
        <v>44571</v>
      </c>
      <c r="F661" s="10">
        <v>7716.5</v>
      </c>
      <c r="G661" s="12">
        <f>Tabla1[[#This Row],[Importe]]-Tabla1[[#This Row],[Pagado]]</f>
        <v>0</v>
      </c>
      <c r="H661" s="9" t="s">
        <v>10</v>
      </c>
    </row>
    <row r="662" spans="1:10" x14ac:dyDescent="0.25">
      <c r="A662" s="7">
        <v>44569</v>
      </c>
      <c r="B662" s="8" t="s">
        <v>904</v>
      </c>
      <c r="C662" s="9" t="s">
        <v>326</v>
      </c>
      <c r="D662" s="10">
        <v>8316</v>
      </c>
      <c r="E662" s="11">
        <v>44571</v>
      </c>
      <c r="F662" s="10">
        <v>8316</v>
      </c>
      <c r="G662" s="12">
        <f>Tabla1[[#This Row],[Importe]]-Tabla1[[#This Row],[Pagado]]</f>
        <v>0</v>
      </c>
      <c r="H662" s="9" t="s">
        <v>10</v>
      </c>
    </row>
    <row r="663" spans="1:10" x14ac:dyDescent="0.25">
      <c r="A663" s="7">
        <v>44569</v>
      </c>
      <c r="B663" s="8" t="s">
        <v>905</v>
      </c>
      <c r="C663" s="9" t="s">
        <v>120</v>
      </c>
      <c r="D663" s="10">
        <v>4423.2</v>
      </c>
      <c r="E663" s="11">
        <v>44571</v>
      </c>
      <c r="F663" s="10">
        <v>4423.2</v>
      </c>
      <c r="G663" s="12">
        <f>Tabla1[[#This Row],[Importe]]-Tabla1[[#This Row],[Pagado]]</f>
        <v>0</v>
      </c>
      <c r="H663" s="9" t="s">
        <v>10</v>
      </c>
    </row>
    <row r="664" spans="1:10" x14ac:dyDescent="0.25">
      <c r="A664" s="7">
        <v>44569</v>
      </c>
      <c r="B664" s="8" t="s">
        <v>906</v>
      </c>
      <c r="C664" s="9" t="s">
        <v>175</v>
      </c>
      <c r="D664" s="10">
        <v>11036.7</v>
      </c>
      <c r="E664" s="11">
        <v>44569</v>
      </c>
      <c r="F664" s="10">
        <v>11036.7</v>
      </c>
      <c r="G664" s="12">
        <f>Tabla1[[#This Row],[Importe]]-Tabla1[[#This Row],[Pagado]]</f>
        <v>0</v>
      </c>
      <c r="H664" s="9" t="s">
        <v>10</v>
      </c>
    </row>
    <row r="665" spans="1:10" x14ac:dyDescent="0.25">
      <c r="A665" s="7">
        <v>44569</v>
      </c>
      <c r="B665" s="8" t="s">
        <v>907</v>
      </c>
      <c r="C665" s="9" t="s">
        <v>131</v>
      </c>
      <c r="D665" s="10">
        <v>16000</v>
      </c>
      <c r="E665" s="11">
        <v>44569</v>
      </c>
      <c r="F665" s="10">
        <v>16000</v>
      </c>
      <c r="G665" s="12">
        <f>Tabla1[[#This Row],[Importe]]-Tabla1[[#This Row],[Pagado]]</f>
        <v>0</v>
      </c>
      <c r="H665" s="9" t="s">
        <v>10</v>
      </c>
    </row>
    <row r="666" spans="1:10" x14ac:dyDescent="0.25">
      <c r="A666" s="7">
        <v>44569</v>
      </c>
      <c r="B666" s="8" t="s">
        <v>908</v>
      </c>
      <c r="C666" s="9" t="s">
        <v>179</v>
      </c>
      <c r="D666" s="10">
        <v>1525</v>
      </c>
      <c r="E666" s="11">
        <v>44569</v>
      </c>
      <c r="F666" s="10">
        <v>1525</v>
      </c>
      <c r="G666" s="12">
        <f>Tabla1[[#This Row],[Importe]]-Tabla1[[#This Row],[Pagado]]</f>
        <v>0</v>
      </c>
      <c r="H666" s="9" t="s">
        <v>10</v>
      </c>
    </row>
    <row r="667" spans="1:10" x14ac:dyDescent="0.25">
      <c r="A667" s="7">
        <v>44569</v>
      </c>
      <c r="B667" s="8" t="s">
        <v>909</v>
      </c>
      <c r="C667" s="9" t="s">
        <v>114</v>
      </c>
      <c r="D667" s="10">
        <v>8772.5</v>
      </c>
      <c r="E667" s="11">
        <v>44571</v>
      </c>
      <c r="F667" s="10">
        <v>8772.5</v>
      </c>
      <c r="G667" s="12">
        <f>Tabla1[[#This Row],[Importe]]-Tabla1[[#This Row],[Pagado]]</f>
        <v>0</v>
      </c>
      <c r="H667" s="9" t="s">
        <v>10</v>
      </c>
    </row>
    <row r="668" spans="1:10" x14ac:dyDescent="0.25">
      <c r="A668" s="7">
        <v>44569</v>
      </c>
      <c r="B668" s="8" t="s">
        <v>910</v>
      </c>
      <c r="C668" s="9" t="s">
        <v>64</v>
      </c>
      <c r="D668" s="10">
        <v>8407.5</v>
      </c>
      <c r="E668" s="11">
        <v>44571</v>
      </c>
      <c r="F668" s="10">
        <v>8407.5</v>
      </c>
      <c r="G668" s="12">
        <f>Tabla1[[#This Row],[Importe]]-Tabla1[[#This Row],[Pagado]]</f>
        <v>0</v>
      </c>
      <c r="H668" s="9" t="s">
        <v>10</v>
      </c>
    </row>
    <row r="669" spans="1:10" x14ac:dyDescent="0.25">
      <c r="A669" s="7">
        <v>44569</v>
      </c>
      <c r="B669" s="8" t="s">
        <v>911</v>
      </c>
      <c r="C669" s="9" t="s">
        <v>116</v>
      </c>
      <c r="D669" s="10">
        <v>5364.5</v>
      </c>
      <c r="E669" s="11">
        <v>44571</v>
      </c>
      <c r="F669" s="10">
        <v>5364.5</v>
      </c>
      <c r="G669" s="12">
        <f>Tabla1[[#This Row],[Importe]]-Tabla1[[#This Row],[Pagado]]</f>
        <v>0</v>
      </c>
      <c r="H669" s="9" t="s">
        <v>10</v>
      </c>
    </row>
    <row r="670" spans="1:10" ht="30" x14ac:dyDescent="0.25">
      <c r="A670" s="7">
        <v>44569</v>
      </c>
      <c r="B670" s="8" t="s">
        <v>912</v>
      </c>
      <c r="C670" s="9" t="s">
        <v>99</v>
      </c>
      <c r="D670" s="10">
        <v>7083.5</v>
      </c>
      <c r="E670" s="11" t="s">
        <v>913</v>
      </c>
      <c r="F670" s="10">
        <f>3000+4083.5</f>
        <v>7083.5</v>
      </c>
      <c r="G670" s="12">
        <f>Tabla1[[#This Row],[Importe]]-Tabla1[[#This Row],[Pagado]]</f>
        <v>0</v>
      </c>
      <c r="H670" s="9" t="s">
        <v>10</v>
      </c>
    </row>
    <row r="671" spans="1:10" x14ac:dyDescent="0.25">
      <c r="A671" s="7">
        <v>44569</v>
      </c>
      <c r="B671" s="8" t="s">
        <v>914</v>
      </c>
      <c r="C671" s="9" t="s">
        <v>93</v>
      </c>
      <c r="D671" s="10">
        <v>17064</v>
      </c>
      <c r="E671" s="11">
        <v>44571</v>
      </c>
      <c r="F671" s="10">
        <v>17064</v>
      </c>
      <c r="G671" s="12">
        <f>Tabla1[[#This Row],[Importe]]-Tabla1[[#This Row],[Pagado]]</f>
        <v>0</v>
      </c>
      <c r="H671" s="9" t="s">
        <v>10</v>
      </c>
      <c r="J671" s="3" t="s">
        <v>915</v>
      </c>
    </row>
    <row r="672" spans="1:10" x14ac:dyDescent="0.25">
      <c r="A672" s="7">
        <v>44569</v>
      </c>
      <c r="B672" s="8" t="s">
        <v>916</v>
      </c>
      <c r="C672" s="9" t="s">
        <v>22</v>
      </c>
      <c r="D672" s="10">
        <v>28422</v>
      </c>
      <c r="E672" s="11">
        <v>44572</v>
      </c>
      <c r="F672" s="10">
        <v>28422</v>
      </c>
      <c r="G672" s="12">
        <f>Tabla1[[#This Row],[Importe]]-Tabla1[[#This Row],[Pagado]]</f>
        <v>0</v>
      </c>
      <c r="H672" s="9" t="s">
        <v>10</v>
      </c>
    </row>
    <row r="673" spans="1:8" x14ac:dyDescent="0.25">
      <c r="A673" s="7">
        <v>44569</v>
      </c>
      <c r="B673" s="8" t="s">
        <v>917</v>
      </c>
      <c r="C673" s="9" t="s">
        <v>918</v>
      </c>
      <c r="D673" s="10">
        <v>351</v>
      </c>
      <c r="E673" s="11">
        <v>44569</v>
      </c>
      <c r="F673" s="10">
        <v>351</v>
      </c>
      <c r="G673" s="12">
        <f>Tabla1[[#This Row],[Importe]]-Tabla1[[#This Row],[Pagado]]</f>
        <v>0</v>
      </c>
      <c r="H673" s="9" t="s">
        <v>10</v>
      </c>
    </row>
    <row r="674" spans="1:8" ht="30" x14ac:dyDescent="0.25">
      <c r="A674" s="7">
        <v>44569</v>
      </c>
      <c r="B674" s="8" t="s">
        <v>919</v>
      </c>
      <c r="C674" s="9" t="s">
        <v>39</v>
      </c>
      <c r="D674" s="10">
        <v>38335.800000000003</v>
      </c>
      <c r="E674" s="11" t="s">
        <v>920</v>
      </c>
      <c r="F674" s="10">
        <f>11000+27335.8</f>
        <v>38335.800000000003</v>
      </c>
      <c r="G674" s="12">
        <f>Tabla1[[#This Row],[Importe]]-Tabla1[[#This Row],[Pagado]]</f>
        <v>0</v>
      </c>
      <c r="H674" s="9" t="s">
        <v>10</v>
      </c>
    </row>
    <row r="675" spans="1:8" x14ac:dyDescent="0.25">
      <c r="A675" s="7">
        <v>44569</v>
      </c>
      <c r="B675" s="8" t="s">
        <v>921</v>
      </c>
      <c r="C675" s="9" t="s">
        <v>118</v>
      </c>
      <c r="D675" s="10">
        <v>1283.9000000000001</v>
      </c>
      <c r="E675" s="11">
        <v>44569</v>
      </c>
      <c r="F675" s="10">
        <v>1283.9000000000001</v>
      </c>
      <c r="G675" s="12">
        <f>Tabla1[[#This Row],[Importe]]-Tabla1[[#This Row],[Pagado]]</f>
        <v>0</v>
      </c>
      <c r="H675" s="9" t="s">
        <v>10</v>
      </c>
    </row>
    <row r="676" spans="1:8" x14ac:dyDescent="0.25">
      <c r="A676" s="7">
        <v>44569</v>
      </c>
      <c r="B676" s="8" t="s">
        <v>922</v>
      </c>
      <c r="C676" s="9" t="s">
        <v>97</v>
      </c>
      <c r="D676" s="10">
        <v>14534.5</v>
      </c>
      <c r="E676" s="11">
        <v>44571</v>
      </c>
      <c r="F676" s="10">
        <v>14534.5</v>
      </c>
      <c r="G676" s="12">
        <f>Tabla1[[#This Row],[Importe]]-Tabla1[[#This Row],[Pagado]]</f>
        <v>0</v>
      </c>
      <c r="H676" s="9" t="s">
        <v>10</v>
      </c>
    </row>
    <row r="677" spans="1:8" x14ac:dyDescent="0.25">
      <c r="A677" s="7">
        <v>44569</v>
      </c>
      <c r="B677" s="8" t="s">
        <v>923</v>
      </c>
      <c r="C677" s="9" t="s">
        <v>924</v>
      </c>
      <c r="D677" s="10">
        <v>13934</v>
      </c>
      <c r="E677" s="11">
        <v>44569</v>
      </c>
      <c r="F677" s="10">
        <v>13934</v>
      </c>
      <c r="G677" s="12">
        <f>Tabla1[[#This Row],[Importe]]-Tabla1[[#This Row],[Pagado]]</f>
        <v>0</v>
      </c>
      <c r="H677" s="9" t="s">
        <v>10</v>
      </c>
    </row>
    <row r="678" spans="1:8" x14ac:dyDescent="0.25">
      <c r="A678" s="7">
        <v>44569</v>
      </c>
      <c r="B678" s="8" t="s">
        <v>925</v>
      </c>
      <c r="C678" s="9" t="s">
        <v>161</v>
      </c>
      <c r="D678" s="10">
        <v>3699.2</v>
      </c>
      <c r="E678" s="11">
        <v>44569</v>
      </c>
      <c r="F678" s="10">
        <v>3699.2</v>
      </c>
      <c r="G678" s="12">
        <f>Tabla1[[#This Row],[Importe]]-Tabla1[[#This Row],[Pagado]]</f>
        <v>0</v>
      </c>
      <c r="H678" s="9" t="s">
        <v>10</v>
      </c>
    </row>
    <row r="679" spans="1:8" x14ac:dyDescent="0.25">
      <c r="A679" s="7">
        <v>44569</v>
      </c>
      <c r="B679" s="8" t="s">
        <v>926</v>
      </c>
      <c r="C679" s="9" t="s">
        <v>89</v>
      </c>
      <c r="D679" s="10">
        <v>6087.6</v>
      </c>
      <c r="E679" s="11">
        <v>44571</v>
      </c>
      <c r="F679" s="10">
        <v>6087.6</v>
      </c>
      <c r="G679" s="12">
        <f>Tabla1[[#This Row],[Importe]]-Tabla1[[#This Row],[Pagado]]</f>
        <v>0</v>
      </c>
      <c r="H679" s="9" t="s">
        <v>10</v>
      </c>
    </row>
    <row r="680" spans="1:8" x14ac:dyDescent="0.25">
      <c r="A680" s="7">
        <v>44569</v>
      </c>
      <c r="B680" s="8" t="s">
        <v>927</v>
      </c>
      <c r="C680" s="9" t="s">
        <v>75</v>
      </c>
      <c r="D680" s="10">
        <v>8020</v>
      </c>
      <c r="E680" s="11">
        <v>44569</v>
      </c>
      <c r="F680" s="10">
        <v>8020</v>
      </c>
      <c r="G680" s="12">
        <f>Tabla1[[#This Row],[Importe]]-Tabla1[[#This Row],[Pagado]]</f>
        <v>0</v>
      </c>
      <c r="H680" s="9" t="s">
        <v>10</v>
      </c>
    </row>
    <row r="681" spans="1:8" x14ac:dyDescent="0.25">
      <c r="A681" s="7">
        <v>44569</v>
      </c>
      <c r="B681" s="8" t="s">
        <v>928</v>
      </c>
      <c r="C681" s="9" t="s">
        <v>31</v>
      </c>
      <c r="D681" s="10">
        <v>348</v>
      </c>
      <c r="E681" s="11">
        <v>44569</v>
      </c>
      <c r="F681" s="10">
        <v>348</v>
      </c>
      <c r="G681" s="12">
        <f>Tabla1[[#This Row],[Importe]]-Tabla1[[#This Row],[Pagado]]</f>
        <v>0</v>
      </c>
      <c r="H681" s="9" t="s">
        <v>10</v>
      </c>
    </row>
    <row r="682" spans="1:8" x14ac:dyDescent="0.25">
      <c r="A682" s="7">
        <v>44569</v>
      </c>
      <c r="B682" s="8" t="s">
        <v>929</v>
      </c>
      <c r="C682" s="9" t="s">
        <v>31</v>
      </c>
      <c r="D682" s="10">
        <v>495</v>
      </c>
      <c r="E682" s="11">
        <v>44569</v>
      </c>
      <c r="F682" s="10">
        <v>495</v>
      </c>
      <c r="G682" s="12">
        <f>Tabla1[[#This Row],[Importe]]-Tabla1[[#This Row],[Pagado]]</f>
        <v>0</v>
      </c>
      <c r="H682" s="9" t="s">
        <v>10</v>
      </c>
    </row>
    <row r="683" spans="1:8" x14ac:dyDescent="0.25">
      <c r="A683" s="7">
        <v>44569</v>
      </c>
      <c r="B683" s="8" t="s">
        <v>930</v>
      </c>
      <c r="C683" s="9" t="s">
        <v>319</v>
      </c>
      <c r="D683" s="10">
        <v>10667.9</v>
      </c>
      <c r="E683" s="11">
        <v>44569</v>
      </c>
      <c r="F683" s="10">
        <v>10667.9</v>
      </c>
      <c r="G683" s="12">
        <f>Tabla1[[#This Row],[Importe]]-Tabla1[[#This Row],[Pagado]]</f>
        <v>0</v>
      </c>
      <c r="H683" s="9" t="s">
        <v>10</v>
      </c>
    </row>
    <row r="684" spans="1:8" x14ac:dyDescent="0.25">
      <c r="A684" s="7">
        <v>44569</v>
      </c>
      <c r="B684" s="8" t="s">
        <v>931</v>
      </c>
      <c r="C684" s="9" t="s">
        <v>932</v>
      </c>
      <c r="D684" s="10">
        <v>3450</v>
      </c>
      <c r="E684" s="11">
        <v>44569</v>
      </c>
      <c r="F684" s="10">
        <v>3450</v>
      </c>
      <c r="G684" s="12">
        <f>Tabla1[[#This Row],[Importe]]-Tabla1[[#This Row],[Pagado]]</f>
        <v>0</v>
      </c>
      <c r="H684" s="9" t="s">
        <v>10</v>
      </c>
    </row>
    <row r="685" spans="1:8" x14ac:dyDescent="0.25">
      <c r="A685" s="7">
        <v>44569</v>
      </c>
      <c r="B685" s="8" t="s">
        <v>933</v>
      </c>
      <c r="C685" s="9" t="s">
        <v>934</v>
      </c>
      <c r="D685" s="10">
        <v>5316.96</v>
      </c>
      <c r="E685" s="11">
        <v>44569</v>
      </c>
      <c r="F685" s="10">
        <v>5316.96</v>
      </c>
      <c r="G685" s="12">
        <f>Tabla1[[#This Row],[Importe]]-Tabla1[[#This Row],[Pagado]]</f>
        <v>0</v>
      </c>
      <c r="H685" s="9" t="s">
        <v>10</v>
      </c>
    </row>
    <row r="686" spans="1:8" x14ac:dyDescent="0.25">
      <c r="A686" s="7">
        <v>44569</v>
      </c>
      <c r="B686" s="8" t="s">
        <v>935</v>
      </c>
      <c r="C686" s="9" t="s">
        <v>75</v>
      </c>
      <c r="D686" s="10">
        <v>9315</v>
      </c>
      <c r="E686" s="11">
        <v>44570</v>
      </c>
      <c r="F686" s="10">
        <v>9315</v>
      </c>
      <c r="G686" s="12">
        <f>Tabla1[[#This Row],[Importe]]-Tabla1[[#This Row],[Pagado]]</f>
        <v>0</v>
      </c>
      <c r="H686" s="9" t="s">
        <v>10</v>
      </c>
    </row>
    <row r="687" spans="1:8" x14ac:dyDescent="0.25">
      <c r="A687" s="7">
        <v>44569</v>
      </c>
      <c r="B687" s="8" t="s">
        <v>936</v>
      </c>
      <c r="C687" s="9" t="s">
        <v>525</v>
      </c>
      <c r="D687" s="10">
        <v>7437.6</v>
      </c>
      <c r="E687" s="11">
        <v>44569</v>
      </c>
      <c r="F687" s="10">
        <v>7437.6</v>
      </c>
      <c r="G687" s="12">
        <f>Tabla1[[#This Row],[Importe]]-Tabla1[[#This Row],[Pagado]]</f>
        <v>0</v>
      </c>
      <c r="H687" s="9" t="s">
        <v>10</v>
      </c>
    </row>
    <row r="688" spans="1:8" x14ac:dyDescent="0.25">
      <c r="A688" s="7">
        <v>44569</v>
      </c>
      <c r="B688" s="8" t="s">
        <v>937</v>
      </c>
      <c r="C688" s="9" t="s">
        <v>16</v>
      </c>
      <c r="D688" s="10">
        <v>5313.3</v>
      </c>
      <c r="E688" s="11">
        <v>44569</v>
      </c>
      <c r="F688" s="10">
        <v>5313.3</v>
      </c>
      <c r="G688" s="12">
        <f>Tabla1[[#This Row],[Importe]]-Tabla1[[#This Row],[Pagado]]</f>
        <v>0</v>
      </c>
      <c r="H688" s="9" t="s">
        <v>10</v>
      </c>
    </row>
    <row r="689" spans="1:8" x14ac:dyDescent="0.25">
      <c r="A689" s="7">
        <v>44569</v>
      </c>
      <c r="B689" s="8" t="s">
        <v>938</v>
      </c>
      <c r="C689" s="9" t="s">
        <v>473</v>
      </c>
      <c r="D689" s="10">
        <v>9460.4</v>
      </c>
      <c r="E689" s="11">
        <v>44569</v>
      </c>
      <c r="F689" s="10">
        <v>9460.4</v>
      </c>
      <c r="G689" s="12">
        <f>Tabla1[[#This Row],[Importe]]-Tabla1[[#This Row],[Pagado]]</f>
        <v>0</v>
      </c>
      <c r="H689" s="9" t="s">
        <v>10</v>
      </c>
    </row>
    <row r="690" spans="1:8" x14ac:dyDescent="0.25">
      <c r="A690" s="7">
        <v>44569</v>
      </c>
      <c r="B690" s="8" t="s">
        <v>939</v>
      </c>
      <c r="C690" s="9" t="s">
        <v>56</v>
      </c>
      <c r="D690" s="10">
        <v>8957</v>
      </c>
      <c r="E690" s="11">
        <v>44569</v>
      </c>
      <c r="F690" s="10">
        <v>8957</v>
      </c>
      <c r="G690" s="12">
        <f>Tabla1[[#This Row],[Importe]]-Tabla1[[#This Row],[Pagado]]</f>
        <v>0</v>
      </c>
      <c r="H690" s="9" t="s">
        <v>10</v>
      </c>
    </row>
    <row r="691" spans="1:8" x14ac:dyDescent="0.25">
      <c r="A691" s="7">
        <v>44569</v>
      </c>
      <c r="B691" s="8" t="s">
        <v>940</v>
      </c>
      <c r="C691" s="9" t="s">
        <v>31</v>
      </c>
      <c r="D691" s="10">
        <v>1642.9</v>
      </c>
      <c r="E691" s="11">
        <v>44569</v>
      </c>
      <c r="F691" s="10">
        <v>1642.9</v>
      </c>
      <c r="G691" s="12">
        <f>Tabla1[[#This Row],[Importe]]-Tabla1[[#This Row],[Pagado]]</f>
        <v>0</v>
      </c>
      <c r="H691" s="9" t="s">
        <v>10</v>
      </c>
    </row>
    <row r="692" spans="1:8" x14ac:dyDescent="0.25">
      <c r="A692" s="7">
        <v>44569</v>
      </c>
      <c r="B692" s="8" t="s">
        <v>941</v>
      </c>
      <c r="C692" s="9" t="s">
        <v>85</v>
      </c>
      <c r="D692" s="10">
        <v>3086</v>
      </c>
      <c r="E692" s="11">
        <v>44569</v>
      </c>
      <c r="F692" s="10">
        <v>3086</v>
      </c>
      <c r="G692" s="12">
        <f>Tabla1[[#This Row],[Importe]]-Tabla1[[#This Row],[Pagado]]</f>
        <v>0</v>
      </c>
      <c r="H692" s="9" t="s">
        <v>10</v>
      </c>
    </row>
    <row r="693" spans="1:8" x14ac:dyDescent="0.25">
      <c r="A693" s="7">
        <v>44569</v>
      </c>
      <c r="B693" s="8" t="s">
        <v>942</v>
      </c>
      <c r="C693" s="9" t="s">
        <v>142</v>
      </c>
      <c r="D693" s="10">
        <v>1350</v>
      </c>
      <c r="E693" s="11">
        <v>44589</v>
      </c>
      <c r="F693" s="10">
        <v>1350</v>
      </c>
      <c r="G693" s="12">
        <f>Tabla1[[#This Row],[Importe]]-Tabla1[[#This Row],[Pagado]]</f>
        <v>0</v>
      </c>
      <c r="H693" s="9" t="s">
        <v>10</v>
      </c>
    </row>
    <row r="694" spans="1:8" x14ac:dyDescent="0.25">
      <c r="A694" s="7">
        <v>44569</v>
      </c>
      <c r="B694" s="8" t="s">
        <v>943</v>
      </c>
      <c r="C694" s="9" t="s">
        <v>373</v>
      </c>
      <c r="D694" s="10">
        <v>3016</v>
      </c>
      <c r="E694" s="11">
        <v>44569</v>
      </c>
      <c r="F694" s="10">
        <v>3016</v>
      </c>
      <c r="G694" s="12">
        <f>Tabla1[[#This Row],[Importe]]-Tabla1[[#This Row],[Pagado]]</f>
        <v>0</v>
      </c>
      <c r="H694" s="9" t="s">
        <v>10</v>
      </c>
    </row>
    <row r="695" spans="1:8" x14ac:dyDescent="0.25">
      <c r="A695" s="7">
        <v>44569</v>
      </c>
      <c r="B695" s="8" t="s">
        <v>944</v>
      </c>
      <c r="C695" s="9" t="s">
        <v>49</v>
      </c>
      <c r="D695" s="10">
        <v>4804.5</v>
      </c>
      <c r="E695" s="11">
        <v>44569</v>
      </c>
      <c r="F695" s="10">
        <v>4804.5</v>
      </c>
      <c r="G695" s="12">
        <f>Tabla1[[#This Row],[Importe]]-Tabla1[[#This Row],[Pagado]]</f>
        <v>0</v>
      </c>
      <c r="H695" s="9" t="s">
        <v>10</v>
      </c>
    </row>
    <row r="696" spans="1:8" x14ac:dyDescent="0.25">
      <c r="A696" s="7">
        <v>44569</v>
      </c>
      <c r="B696" s="8" t="s">
        <v>945</v>
      </c>
      <c r="C696" s="9" t="s">
        <v>142</v>
      </c>
      <c r="D696" s="10">
        <v>54930.2</v>
      </c>
      <c r="E696" s="11">
        <v>44589</v>
      </c>
      <c r="F696" s="10">
        <v>54930.2</v>
      </c>
      <c r="G696" s="12">
        <f>Tabla1[[#This Row],[Importe]]-Tabla1[[#This Row],[Pagado]]</f>
        <v>0</v>
      </c>
      <c r="H696" s="9" t="s">
        <v>10</v>
      </c>
    </row>
    <row r="697" spans="1:8" x14ac:dyDescent="0.25">
      <c r="A697" s="7">
        <v>44569</v>
      </c>
      <c r="B697" s="8" t="s">
        <v>946</v>
      </c>
      <c r="C697" s="9" t="s">
        <v>159</v>
      </c>
      <c r="D697" s="10">
        <v>3742.2</v>
      </c>
      <c r="E697" s="11">
        <v>44569</v>
      </c>
      <c r="F697" s="10">
        <v>3742.2</v>
      </c>
      <c r="G697" s="12">
        <f>Tabla1[[#This Row],[Importe]]-Tabla1[[#This Row],[Pagado]]</f>
        <v>0</v>
      </c>
      <c r="H697" s="9" t="s">
        <v>10</v>
      </c>
    </row>
    <row r="698" spans="1:8" x14ac:dyDescent="0.25">
      <c r="A698" s="7">
        <v>44569</v>
      </c>
      <c r="B698" s="8" t="s">
        <v>947</v>
      </c>
      <c r="C698" s="9" t="s">
        <v>146</v>
      </c>
      <c r="D698" s="10">
        <v>9145</v>
      </c>
      <c r="E698" s="11">
        <v>44569</v>
      </c>
      <c r="F698" s="10">
        <v>9145</v>
      </c>
      <c r="G698" s="12">
        <f>Tabla1[[#This Row],[Importe]]-Tabla1[[#This Row],[Pagado]]</f>
        <v>0</v>
      </c>
      <c r="H698" s="9" t="s">
        <v>10</v>
      </c>
    </row>
    <row r="699" spans="1:8" x14ac:dyDescent="0.25">
      <c r="A699" s="7">
        <v>44569</v>
      </c>
      <c r="B699" s="8" t="s">
        <v>948</v>
      </c>
      <c r="C699" s="9" t="s">
        <v>29</v>
      </c>
      <c r="D699" s="10">
        <v>5435</v>
      </c>
      <c r="E699" s="11">
        <v>44569</v>
      </c>
      <c r="F699" s="10">
        <v>5435</v>
      </c>
      <c r="G699" s="12">
        <f>Tabla1[[#This Row],[Importe]]-Tabla1[[#This Row],[Pagado]]</f>
        <v>0</v>
      </c>
      <c r="H699" s="9" t="s">
        <v>10</v>
      </c>
    </row>
    <row r="700" spans="1:8" x14ac:dyDescent="0.25">
      <c r="A700" s="7">
        <v>44569</v>
      </c>
      <c r="B700" s="8" t="s">
        <v>949</v>
      </c>
      <c r="C700" s="9" t="s">
        <v>157</v>
      </c>
      <c r="D700" s="10">
        <v>3669.6</v>
      </c>
      <c r="E700" s="11">
        <v>44569</v>
      </c>
      <c r="F700" s="10">
        <v>3669.6</v>
      </c>
      <c r="G700" s="12">
        <f>Tabla1[[#This Row],[Importe]]-Tabla1[[#This Row],[Pagado]]</f>
        <v>0</v>
      </c>
      <c r="H700" s="9" t="s">
        <v>10</v>
      </c>
    </row>
    <row r="701" spans="1:8" x14ac:dyDescent="0.25">
      <c r="A701" s="7">
        <v>44569</v>
      </c>
      <c r="B701" s="8" t="s">
        <v>950</v>
      </c>
      <c r="C701" s="9" t="s">
        <v>27</v>
      </c>
      <c r="D701" s="10">
        <v>1807.7</v>
      </c>
      <c r="E701" s="11">
        <v>44569</v>
      </c>
      <c r="F701" s="10">
        <v>1807.7</v>
      </c>
      <c r="G701" s="12">
        <f>Tabla1[[#This Row],[Importe]]-Tabla1[[#This Row],[Pagado]]</f>
        <v>0</v>
      </c>
      <c r="H701" s="9" t="s">
        <v>10</v>
      </c>
    </row>
    <row r="702" spans="1:8" x14ac:dyDescent="0.25">
      <c r="A702" s="7">
        <v>44569</v>
      </c>
      <c r="B702" s="8" t="s">
        <v>951</v>
      </c>
      <c r="C702" s="9" t="s">
        <v>952</v>
      </c>
      <c r="D702" s="10">
        <v>0</v>
      </c>
      <c r="E702" s="13" t="s">
        <v>189</v>
      </c>
      <c r="F702" s="10">
        <v>0</v>
      </c>
      <c r="G702" s="12">
        <f>Tabla1[[#This Row],[Importe]]-Tabla1[[#This Row],[Pagado]]</f>
        <v>0</v>
      </c>
      <c r="H702" s="17" t="s">
        <v>953</v>
      </c>
    </row>
    <row r="703" spans="1:8" x14ac:dyDescent="0.25">
      <c r="A703" s="7">
        <v>44569</v>
      </c>
      <c r="B703" s="8" t="s">
        <v>954</v>
      </c>
      <c r="C703" s="9" t="s">
        <v>142</v>
      </c>
      <c r="D703" s="10">
        <v>381</v>
      </c>
      <c r="E703" s="11">
        <v>44589</v>
      </c>
      <c r="F703" s="10">
        <v>381</v>
      </c>
      <c r="G703" s="12">
        <f>Tabla1[[#This Row],[Importe]]-Tabla1[[#This Row],[Pagado]]</f>
        <v>0</v>
      </c>
      <c r="H703" s="9" t="s">
        <v>10</v>
      </c>
    </row>
    <row r="704" spans="1:8" x14ac:dyDescent="0.25">
      <c r="A704" s="7">
        <v>44569</v>
      </c>
      <c r="B704" s="8" t="s">
        <v>955</v>
      </c>
      <c r="C704" s="9" t="s">
        <v>79</v>
      </c>
      <c r="D704" s="10">
        <v>18335</v>
      </c>
      <c r="E704" s="11">
        <v>44569</v>
      </c>
      <c r="F704" s="10">
        <v>18335</v>
      </c>
      <c r="G704" s="12">
        <f>Tabla1[[#This Row],[Importe]]-Tabla1[[#This Row],[Pagado]]</f>
        <v>0</v>
      </c>
      <c r="H704" s="9" t="s">
        <v>10</v>
      </c>
    </row>
    <row r="705" spans="1:8" x14ac:dyDescent="0.25">
      <c r="A705" s="7">
        <v>44569</v>
      </c>
      <c r="B705" s="8" t="s">
        <v>956</v>
      </c>
      <c r="C705" s="9" t="s">
        <v>125</v>
      </c>
      <c r="D705" s="10">
        <v>1405</v>
      </c>
      <c r="E705" s="11">
        <v>44569</v>
      </c>
      <c r="F705" s="10">
        <v>1405</v>
      </c>
      <c r="G705" s="12">
        <f>Tabla1[[#This Row],[Importe]]-Tabla1[[#This Row],[Pagado]]</f>
        <v>0</v>
      </c>
      <c r="H705" s="9" t="s">
        <v>10</v>
      </c>
    </row>
    <row r="706" spans="1:8" x14ac:dyDescent="0.25">
      <c r="A706" s="7">
        <v>44569</v>
      </c>
      <c r="B706" s="8" t="s">
        <v>957</v>
      </c>
      <c r="C706" s="9" t="s">
        <v>107</v>
      </c>
      <c r="D706" s="10">
        <v>20282.900000000001</v>
      </c>
      <c r="E706" s="11">
        <v>44569</v>
      </c>
      <c r="F706" s="10">
        <v>20282.900000000001</v>
      </c>
      <c r="G706" s="12">
        <f>Tabla1[[#This Row],[Importe]]-Tabla1[[#This Row],[Pagado]]</f>
        <v>0</v>
      </c>
      <c r="H706" s="9" t="s">
        <v>10</v>
      </c>
    </row>
    <row r="707" spans="1:8" x14ac:dyDescent="0.25">
      <c r="A707" s="7">
        <v>44569</v>
      </c>
      <c r="B707" s="8" t="s">
        <v>958</v>
      </c>
      <c r="C707" s="9" t="s">
        <v>129</v>
      </c>
      <c r="D707" s="10">
        <v>4247.3999999999996</v>
      </c>
      <c r="E707" s="11">
        <v>44569</v>
      </c>
      <c r="F707" s="10">
        <v>4247.3999999999996</v>
      </c>
      <c r="G707" s="12">
        <f>Tabla1[[#This Row],[Importe]]-Tabla1[[#This Row],[Pagado]]</f>
        <v>0</v>
      </c>
      <c r="H707" s="9" t="s">
        <v>10</v>
      </c>
    </row>
    <row r="708" spans="1:8" x14ac:dyDescent="0.25">
      <c r="A708" s="7">
        <v>44569</v>
      </c>
      <c r="B708" s="8" t="s">
        <v>959</v>
      </c>
      <c r="C708" s="9" t="s">
        <v>127</v>
      </c>
      <c r="D708" s="10">
        <v>4551</v>
      </c>
      <c r="E708" s="11">
        <v>44569</v>
      </c>
      <c r="F708" s="10">
        <v>4551</v>
      </c>
      <c r="G708" s="12">
        <f>Tabla1[[#This Row],[Importe]]-Tabla1[[#This Row],[Pagado]]</f>
        <v>0</v>
      </c>
      <c r="H708" s="9" t="s">
        <v>10</v>
      </c>
    </row>
    <row r="709" spans="1:8" x14ac:dyDescent="0.25">
      <c r="A709" s="7">
        <v>44569</v>
      </c>
      <c r="B709" s="8" t="s">
        <v>960</v>
      </c>
      <c r="C709" s="9" t="s">
        <v>140</v>
      </c>
      <c r="D709" s="10">
        <v>4451.2</v>
      </c>
      <c r="E709" s="11">
        <v>44569</v>
      </c>
      <c r="F709" s="10">
        <v>4451.2</v>
      </c>
      <c r="G709" s="12">
        <f>Tabla1[[#This Row],[Importe]]-Tabla1[[#This Row],[Pagado]]</f>
        <v>0</v>
      </c>
      <c r="H709" s="9" t="s">
        <v>10</v>
      </c>
    </row>
    <row r="710" spans="1:8" x14ac:dyDescent="0.25">
      <c r="A710" s="7">
        <v>44569</v>
      </c>
      <c r="B710" s="8" t="s">
        <v>961</v>
      </c>
      <c r="C710" s="9" t="s">
        <v>314</v>
      </c>
      <c r="D710" s="10">
        <v>4650</v>
      </c>
      <c r="E710" s="11">
        <v>44569</v>
      </c>
      <c r="F710" s="10">
        <v>4650</v>
      </c>
      <c r="G710" s="12">
        <f>Tabla1[[#This Row],[Importe]]-Tabla1[[#This Row],[Pagado]]</f>
        <v>0</v>
      </c>
      <c r="H710" s="9" t="s">
        <v>10</v>
      </c>
    </row>
    <row r="711" spans="1:8" x14ac:dyDescent="0.25">
      <c r="A711" s="7">
        <v>44569</v>
      </c>
      <c r="B711" s="8" t="s">
        <v>962</v>
      </c>
      <c r="C711" s="9" t="s">
        <v>87</v>
      </c>
      <c r="D711" s="10">
        <v>3274</v>
      </c>
      <c r="E711" s="11">
        <v>44569</v>
      </c>
      <c r="F711" s="10">
        <v>3274</v>
      </c>
      <c r="G711" s="12">
        <f>Tabla1[[#This Row],[Importe]]-Tabla1[[#This Row],[Pagado]]</f>
        <v>0</v>
      </c>
      <c r="H711" s="9" t="s">
        <v>10</v>
      </c>
    </row>
    <row r="712" spans="1:8" x14ac:dyDescent="0.25">
      <c r="A712" s="7">
        <v>44569</v>
      </c>
      <c r="B712" s="8" t="s">
        <v>963</v>
      </c>
      <c r="C712" s="9" t="s">
        <v>520</v>
      </c>
      <c r="D712" s="10">
        <v>4140</v>
      </c>
      <c r="E712" s="11">
        <v>44569</v>
      </c>
      <c r="F712" s="10">
        <v>4140</v>
      </c>
      <c r="G712" s="12">
        <f>Tabla1[[#This Row],[Importe]]-Tabla1[[#This Row],[Pagado]]</f>
        <v>0</v>
      </c>
      <c r="H712" s="9" t="s">
        <v>10</v>
      </c>
    </row>
    <row r="713" spans="1:8" x14ac:dyDescent="0.25">
      <c r="A713" s="7">
        <v>44569</v>
      </c>
      <c r="B713" s="8" t="s">
        <v>964</v>
      </c>
      <c r="C713" s="9" t="s">
        <v>151</v>
      </c>
      <c r="D713" s="10">
        <v>6585.84</v>
      </c>
      <c r="E713" s="11">
        <v>44569</v>
      </c>
      <c r="F713" s="10">
        <v>6585.84</v>
      </c>
      <c r="G713" s="12">
        <f>Tabla1[[#This Row],[Importe]]-Tabla1[[#This Row],[Pagado]]</f>
        <v>0</v>
      </c>
      <c r="H713" s="9" t="s">
        <v>10</v>
      </c>
    </row>
    <row r="714" spans="1:8" x14ac:dyDescent="0.25">
      <c r="A714" s="7">
        <v>44569</v>
      </c>
      <c r="B714" s="8" t="s">
        <v>965</v>
      </c>
      <c r="C714" s="9" t="s">
        <v>966</v>
      </c>
      <c r="D714" s="10">
        <v>3684.84</v>
      </c>
      <c r="E714" s="11">
        <v>44569</v>
      </c>
      <c r="F714" s="10">
        <v>3684.84</v>
      </c>
      <c r="G714" s="12">
        <f>Tabla1[[#This Row],[Importe]]-Tabla1[[#This Row],[Pagado]]</f>
        <v>0</v>
      </c>
      <c r="H714" s="9" t="s">
        <v>10</v>
      </c>
    </row>
    <row r="715" spans="1:8" x14ac:dyDescent="0.25">
      <c r="A715" s="7">
        <v>44569</v>
      </c>
      <c r="B715" s="8" t="s">
        <v>967</v>
      </c>
      <c r="C715" s="9" t="s">
        <v>45</v>
      </c>
      <c r="D715" s="10">
        <v>10388</v>
      </c>
      <c r="E715" s="11">
        <v>44569</v>
      </c>
      <c r="F715" s="10">
        <v>10388</v>
      </c>
      <c r="G715" s="12">
        <f>Tabla1[[#This Row],[Importe]]-Tabla1[[#This Row],[Pagado]]</f>
        <v>0</v>
      </c>
      <c r="H715" s="9" t="s">
        <v>10</v>
      </c>
    </row>
    <row r="716" spans="1:8" x14ac:dyDescent="0.25">
      <c r="A716" s="7">
        <v>44569</v>
      </c>
      <c r="B716" s="8" t="s">
        <v>968</v>
      </c>
      <c r="C716" s="9" t="s">
        <v>969</v>
      </c>
      <c r="D716" s="10">
        <v>11133.44</v>
      </c>
      <c r="E716" s="11">
        <v>44569</v>
      </c>
      <c r="F716" s="10">
        <v>11133.44</v>
      </c>
      <c r="G716" s="12">
        <f>Tabla1[[#This Row],[Importe]]-Tabla1[[#This Row],[Pagado]]</f>
        <v>0</v>
      </c>
      <c r="H716" s="9" t="s">
        <v>10</v>
      </c>
    </row>
    <row r="717" spans="1:8" x14ac:dyDescent="0.25">
      <c r="A717" s="7">
        <v>44569</v>
      </c>
      <c r="B717" s="8" t="s">
        <v>970</v>
      </c>
      <c r="C717" s="9" t="s">
        <v>216</v>
      </c>
      <c r="D717" s="10">
        <v>2003</v>
      </c>
      <c r="E717" s="11">
        <v>44569</v>
      </c>
      <c r="F717" s="10">
        <v>2003</v>
      </c>
      <c r="G717" s="12">
        <f>Tabla1[[#This Row],[Importe]]-Tabla1[[#This Row],[Pagado]]</f>
        <v>0</v>
      </c>
      <c r="H717" s="9" t="s">
        <v>10</v>
      </c>
    </row>
    <row r="718" spans="1:8" x14ac:dyDescent="0.25">
      <c r="A718" s="7">
        <v>44569</v>
      </c>
      <c r="B718" s="8" t="s">
        <v>971</v>
      </c>
      <c r="C718" s="9" t="s">
        <v>202</v>
      </c>
      <c r="D718" s="10">
        <v>3326.4</v>
      </c>
      <c r="E718" s="11">
        <v>44569</v>
      </c>
      <c r="F718" s="10">
        <v>3326.4</v>
      </c>
      <c r="G718" s="12">
        <f>Tabla1[[#This Row],[Importe]]-Tabla1[[#This Row],[Pagado]]</f>
        <v>0</v>
      </c>
      <c r="H718" s="9" t="s">
        <v>10</v>
      </c>
    </row>
    <row r="719" spans="1:8" x14ac:dyDescent="0.25">
      <c r="A719" s="7">
        <v>44569</v>
      </c>
      <c r="B719" s="8" t="s">
        <v>972</v>
      </c>
      <c r="C719" s="9" t="s">
        <v>226</v>
      </c>
      <c r="D719" s="10">
        <v>8495.5</v>
      </c>
      <c r="E719" s="11">
        <v>44569</v>
      </c>
      <c r="F719" s="10">
        <v>8495.5</v>
      </c>
      <c r="G719" s="12">
        <f>Tabla1[[#This Row],[Importe]]-Tabla1[[#This Row],[Pagado]]</f>
        <v>0</v>
      </c>
      <c r="H719" s="9" t="s">
        <v>10</v>
      </c>
    </row>
    <row r="720" spans="1:8" x14ac:dyDescent="0.25">
      <c r="A720" s="7">
        <v>44569</v>
      </c>
      <c r="B720" s="8" t="s">
        <v>973</v>
      </c>
      <c r="C720" s="9" t="s">
        <v>230</v>
      </c>
      <c r="D720" s="10">
        <v>4624.8999999999996</v>
      </c>
      <c r="E720" s="11">
        <v>44569</v>
      </c>
      <c r="F720" s="10">
        <v>4624.8999999999996</v>
      </c>
      <c r="G720" s="12">
        <f>Tabla1[[#This Row],[Importe]]-Tabla1[[#This Row],[Pagado]]</f>
        <v>0</v>
      </c>
      <c r="H720" s="9" t="s">
        <v>10</v>
      </c>
    </row>
    <row r="721" spans="1:8" x14ac:dyDescent="0.25">
      <c r="A721" s="7">
        <v>44569</v>
      </c>
      <c r="B721" s="8" t="s">
        <v>974</v>
      </c>
      <c r="C721" s="9" t="s">
        <v>298</v>
      </c>
      <c r="D721" s="10">
        <v>1790.1</v>
      </c>
      <c r="E721" s="11">
        <v>44569</v>
      </c>
      <c r="F721" s="10">
        <v>1790.1</v>
      </c>
      <c r="G721" s="12">
        <f>Tabla1[[#This Row],[Importe]]-Tabla1[[#This Row],[Pagado]]</f>
        <v>0</v>
      </c>
      <c r="H721" s="9" t="s">
        <v>10</v>
      </c>
    </row>
    <row r="722" spans="1:8" x14ac:dyDescent="0.25">
      <c r="A722" s="7">
        <v>44569</v>
      </c>
      <c r="B722" s="8" t="s">
        <v>975</v>
      </c>
      <c r="C722" s="9" t="s">
        <v>284</v>
      </c>
      <c r="D722" s="10">
        <v>10040</v>
      </c>
      <c r="E722" s="11">
        <v>44569</v>
      </c>
      <c r="F722" s="10">
        <v>10040</v>
      </c>
      <c r="G722" s="12">
        <f>Tabla1[[#This Row],[Importe]]-Tabla1[[#This Row],[Pagado]]</f>
        <v>0</v>
      </c>
      <c r="H722" s="9" t="s">
        <v>10</v>
      </c>
    </row>
    <row r="723" spans="1:8" x14ac:dyDescent="0.25">
      <c r="A723" s="7">
        <v>44569</v>
      </c>
      <c r="B723" s="8" t="s">
        <v>976</v>
      </c>
      <c r="C723" s="9" t="s">
        <v>282</v>
      </c>
      <c r="D723" s="10">
        <v>5200</v>
      </c>
      <c r="E723" s="11">
        <v>44569</v>
      </c>
      <c r="F723" s="10">
        <v>5200</v>
      </c>
      <c r="G723" s="12">
        <f>Tabla1[[#This Row],[Importe]]-Tabla1[[#This Row],[Pagado]]</f>
        <v>0</v>
      </c>
      <c r="H723" s="9" t="s">
        <v>10</v>
      </c>
    </row>
    <row r="724" spans="1:8" x14ac:dyDescent="0.25">
      <c r="A724" s="7">
        <v>44569</v>
      </c>
      <c r="B724" s="8" t="s">
        <v>977</v>
      </c>
      <c r="C724" s="9" t="s">
        <v>280</v>
      </c>
      <c r="D724" s="10">
        <v>1705</v>
      </c>
      <c r="E724" s="11">
        <v>44569</v>
      </c>
      <c r="F724" s="10">
        <v>1705</v>
      </c>
      <c r="G724" s="12">
        <f>Tabla1[[#This Row],[Importe]]-Tabla1[[#This Row],[Pagado]]</f>
        <v>0</v>
      </c>
      <c r="H724" s="9" t="s">
        <v>10</v>
      </c>
    </row>
    <row r="725" spans="1:8" x14ac:dyDescent="0.25">
      <c r="A725" s="7">
        <v>44569</v>
      </c>
      <c r="B725" s="8" t="s">
        <v>978</v>
      </c>
      <c r="C725" s="9" t="s">
        <v>275</v>
      </c>
      <c r="D725" s="10">
        <v>55116.66</v>
      </c>
      <c r="E725" s="11">
        <v>44583</v>
      </c>
      <c r="F725" s="10">
        <v>55116.66</v>
      </c>
      <c r="G725" s="12">
        <f>Tabla1[[#This Row],[Importe]]-Tabla1[[#This Row],[Pagado]]</f>
        <v>0</v>
      </c>
      <c r="H725" s="9" t="s">
        <v>10</v>
      </c>
    </row>
    <row r="726" spans="1:8" x14ac:dyDescent="0.25">
      <c r="A726" s="7">
        <v>44569</v>
      </c>
      <c r="B726" s="8" t="s">
        <v>979</v>
      </c>
      <c r="C726" s="9" t="s">
        <v>200</v>
      </c>
      <c r="D726" s="10">
        <v>1095</v>
      </c>
      <c r="E726" s="11">
        <v>44569</v>
      </c>
      <c r="F726" s="10">
        <v>1095</v>
      </c>
      <c r="G726" s="12">
        <f>Tabla1[[#This Row],[Importe]]-Tabla1[[#This Row],[Pagado]]</f>
        <v>0</v>
      </c>
      <c r="H726" s="9" t="s">
        <v>10</v>
      </c>
    </row>
    <row r="727" spans="1:8" x14ac:dyDescent="0.25">
      <c r="A727" s="7">
        <v>44569</v>
      </c>
      <c r="B727" s="8" t="s">
        <v>980</v>
      </c>
      <c r="C727" s="9" t="s">
        <v>368</v>
      </c>
      <c r="D727" s="10">
        <v>1343.1</v>
      </c>
      <c r="E727" s="11">
        <v>44569</v>
      </c>
      <c r="F727" s="10">
        <v>1343.1</v>
      </c>
      <c r="G727" s="12">
        <f>Tabla1[[#This Row],[Importe]]-Tabla1[[#This Row],[Pagado]]</f>
        <v>0</v>
      </c>
      <c r="H727" s="9" t="s">
        <v>10</v>
      </c>
    </row>
    <row r="728" spans="1:8" x14ac:dyDescent="0.25">
      <c r="A728" s="7">
        <v>44569</v>
      </c>
      <c r="B728" s="8" t="s">
        <v>981</v>
      </c>
      <c r="C728" s="9" t="s">
        <v>58</v>
      </c>
      <c r="D728" s="10">
        <v>3319.2</v>
      </c>
      <c r="E728" s="11">
        <v>44569</v>
      </c>
      <c r="F728" s="10">
        <v>3319.2</v>
      </c>
      <c r="G728" s="12">
        <f>Tabla1[[#This Row],[Importe]]-Tabla1[[#This Row],[Pagado]]</f>
        <v>0</v>
      </c>
      <c r="H728" s="9" t="s">
        <v>10</v>
      </c>
    </row>
    <row r="729" spans="1:8" x14ac:dyDescent="0.25">
      <c r="A729" s="7">
        <v>44569</v>
      </c>
      <c r="B729" s="8" t="s">
        <v>982</v>
      </c>
      <c r="C729" s="9" t="s">
        <v>191</v>
      </c>
      <c r="D729" s="10">
        <v>3172.6</v>
      </c>
      <c r="E729" s="11">
        <v>44569</v>
      </c>
      <c r="F729" s="10">
        <v>3172.6</v>
      </c>
      <c r="G729" s="12">
        <f>Tabla1[[#This Row],[Importe]]-Tabla1[[#This Row],[Pagado]]</f>
        <v>0</v>
      </c>
      <c r="H729" s="9" t="s">
        <v>10</v>
      </c>
    </row>
    <row r="730" spans="1:8" x14ac:dyDescent="0.25">
      <c r="A730" s="7">
        <v>44569</v>
      </c>
      <c r="B730" s="8" t="s">
        <v>983</v>
      </c>
      <c r="C730" s="9" t="s">
        <v>426</v>
      </c>
      <c r="D730" s="10">
        <v>6208.5</v>
      </c>
      <c r="E730" s="11">
        <v>44569</v>
      </c>
      <c r="F730" s="10">
        <v>6208.5</v>
      </c>
      <c r="G730" s="12">
        <f>Tabla1[[#This Row],[Importe]]-Tabla1[[#This Row],[Pagado]]</f>
        <v>0</v>
      </c>
      <c r="H730" s="9" t="s">
        <v>10</v>
      </c>
    </row>
    <row r="731" spans="1:8" x14ac:dyDescent="0.25">
      <c r="A731" s="7">
        <v>44569</v>
      </c>
      <c r="B731" s="8" t="s">
        <v>984</v>
      </c>
      <c r="C731" s="9" t="s">
        <v>181</v>
      </c>
      <c r="D731" s="10">
        <v>11306.5</v>
      </c>
      <c r="E731" s="11">
        <v>44569</v>
      </c>
      <c r="F731" s="10">
        <v>11306.5</v>
      </c>
      <c r="G731" s="12">
        <f>Tabla1[[#This Row],[Importe]]-Tabla1[[#This Row],[Pagado]]</f>
        <v>0</v>
      </c>
      <c r="H731" s="9" t="s">
        <v>10</v>
      </c>
    </row>
    <row r="732" spans="1:8" x14ac:dyDescent="0.25">
      <c r="A732" s="7">
        <v>44569</v>
      </c>
      <c r="B732" s="8" t="s">
        <v>985</v>
      </c>
      <c r="C732" s="9" t="s">
        <v>53</v>
      </c>
      <c r="D732" s="10">
        <v>1346.4</v>
      </c>
      <c r="E732" s="11">
        <v>44569</v>
      </c>
      <c r="F732" s="10">
        <v>1346.4</v>
      </c>
      <c r="G732" s="12">
        <f>Tabla1[[#This Row],[Importe]]-Tabla1[[#This Row],[Pagado]]</f>
        <v>0</v>
      </c>
      <c r="H732" s="9" t="s">
        <v>10</v>
      </c>
    </row>
    <row r="733" spans="1:8" x14ac:dyDescent="0.25">
      <c r="A733" s="7">
        <v>44569</v>
      </c>
      <c r="B733" s="8" t="s">
        <v>986</v>
      </c>
      <c r="C733" s="9" t="s">
        <v>53</v>
      </c>
      <c r="D733" s="10">
        <v>504</v>
      </c>
      <c r="E733" s="11">
        <v>44569</v>
      </c>
      <c r="F733" s="10">
        <v>504</v>
      </c>
      <c r="G733" s="12">
        <f>Tabla1[[#This Row],[Importe]]-Tabla1[[#This Row],[Pagado]]</f>
        <v>0</v>
      </c>
      <c r="H733" s="9" t="s">
        <v>10</v>
      </c>
    </row>
    <row r="734" spans="1:8" x14ac:dyDescent="0.25">
      <c r="A734" s="7">
        <v>44569</v>
      </c>
      <c r="B734" s="8" t="s">
        <v>987</v>
      </c>
      <c r="C734" s="9" t="s">
        <v>348</v>
      </c>
      <c r="D734" s="10">
        <v>5910</v>
      </c>
      <c r="E734" s="11">
        <v>44569</v>
      </c>
      <c r="F734" s="10">
        <v>5910</v>
      </c>
      <c r="G734" s="12">
        <f>Tabla1[[#This Row],[Importe]]-Tabla1[[#This Row],[Pagado]]</f>
        <v>0</v>
      </c>
      <c r="H734" s="9" t="s">
        <v>10</v>
      </c>
    </row>
    <row r="735" spans="1:8" x14ac:dyDescent="0.25">
      <c r="A735" s="7">
        <v>44569</v>
      </c>
      <c r="B735" s="8" t="s">
        <v>988</v>
      </c>
      <c r="C735" s="9" t="s">
        <v>237</v>
      </c>
      <c r="D735" s="10">
        <v>3991.2</v>
      </c>
      <c r="E735" s="11">
        <v>44569</v>
      </c>
      <c r="F735" s="10">
        <v>3991.2</v>
      </c>
      <c r="G735" s="12">
        <f>Tabla1[[#This Row],[Importe]]-Tabla1[[#This Row],[Pagado]]</f>
        <v>0</v>
      </c>
      <c r="H735" s="9" t="s">
        <v>10</v>
      </c>
    </row>
    <row r="736" spans="1:8" x14ac:dyDescent="0.25">
      <c r="A736" s="7">
        <v>44569</v>
      </c>
      <c r="B736" s="8" t="s">
        <v>989</v>
      </c>
      <c r="C736" s="9" t="s">
        <v>244</v>
      </c>
      <c r="D736" s="10">
        <v>1623.5</v>
      </c>
      <c r="E736" s="11">
        <v>44569</v>
      </c>
      <c r="F736" s="10">
        <v>1623.5</v>
      </c>
      <c r="G736" s="12">
        <f>Tabla1[[#This Row],[Importe]]-Tabla1[[#This Row],[Pagado]]</f>
        <v>0</v>
      </c>
      <c r="H736" s="9" t="s">
        <v>10</v>
      </c>
    </row>
    <row r="737" spans="1:8" x14ac:dyDescent="0.25">
      <c r="A737" s="7">
        <v>44569</v>
      </c>
      <c r="B737" s="8" t="s">
        <v>990</v>
      </c>
      <c r="C737" s="9" t="s">
        <v>698</v>
      </c>
      <c r="D737" s="10">
        <v>5425.5</v>
      </c>
      <c r="E737" s="11">
        <v>44569</v>
      </c>
      <c r="F737" s="10">
        <v>5425.5</v>
      </c>
      <c r="G737" s="12">
        <f>Tabla1[[#This Row],[Importe]]-Tabla1[[#This Row],[Pagado]]</f>
        <v>0</v>
      </c>
      <c r="H737" s="9" t="s">
        <v>10</v>
      </c>
    </row>
    <row r="738" spans="1:8" x14ac:dyDescent="0.25">
      <c r="A738" s="7">
        <v>44569</v>
      </c>
      <c r="B738" s="8" t="s">
        <v>991</v>
      </c>
      <c r="C738" s="9" t="s">
        <v>51</v>
      </c>
      <c r="D738" s="10">
        <v>4822.2</v>
      </c>
      <c r="E738" s="11">
        <v>44569</v>
      </c>
      <c r="F738" s="10">
        <v>4822.2</v>
      </c>
      <c r="G738" s="12">
        <f>Tabla1[[#This Row],[Importe]]-Tabla1[[#This Row],[Pagado]]</f>
        <v>0</v>
      </c>
      <c r="H738" s="9" t="s">
        <v>10</v>
      </c>
    </row>
    <row r="739" spans="1:8" x14ac:dyDescent="0.25">
      <c r="A739" s="7">
        <v>44569</v>
      </c>
      <c r="B739" s="8" t="s">
        <v>992</v>
      </c>
      <c r="C739" s="9" t="s">
        <v>31</v>
      </c>
      <c r="D739" s="10">
        <v>780.4</v>
      </c>
      <c r="E739" s="11">
        <v>44569</v>
      </c>
      <c r="F739" s="10">
        <v>780.4</v>
      </c>
      <c r="G739" s="12">
        <f>Tabla1[[#This Row],[Importe]]-Tabla1[[#This Row],[Pagado]]</f>
        <v>0</v>
      </c>
      <c r="H739" s="9" t="s">
        <v>10</v>
      </c>
    </row>
    <row r="740" spans="1:8" x14ac:dyDescent="0.25">
      <c r="A740" s="7">
        <v>44569</v>
      </c>
      <c r="B740" s="8" t="s">
        <v>993</v>
      </c>
      <c r="C740" s="9" t="s">
        <v>994</v>
      </c>
      <c r="D740" s="10">
        <v>1696</v>
      </c>
      <c r="E740" s="11">
        <v>44569</v>
      </c>
      <c r="F740" s="10">
        <v>1696</v>
      </c>
      <c r="G740" s="12">
        <f>Tabla1[[#This Row],[Importe]]-Tabla1[[#This Row],[Pagado]]</f>
        <v>0</v>
      </c>
      <c r="H740" s="9" t="s">
        <v>10</v>
      </c>
    </row>
    <row r="741" spans="1:8" x14ac:dyDescent="0.25">
      <c r="A741" s="7">
        <v>44569</v>
      </c>
      <c r="B741" s="8" t="s">
        <v>995</v>
      </c>
      <c r="C741" s="9" t="s">
        <v>67</v>
      </c>
      <c r="D741" s="10">
        <v>2742</v>
      </c>
      <c r="E741" s="11">
        <v>44569</v>
      </c>
      <c r="F741" s="10">
        <v>2742</v>
      </c>
      <c r="G741" s="12">
        <f>Tabla1[[#This Row],[Importe]]-Tabla1[[#This Row],[Pagado]]</f>
        <v>0</v>
      </c>
      <c r="H741" s="9" t="s">
        <v>10</v>
      </c>
    </row>
    <row r="742" spans="1:8" x14ac:dyDescent="0.25">
      <c r="A742" s="7">
        <v>44569</v>
      </c>
      <c r="B742" s="8" t="s">
        <v>996</v>
      </c>
      <c r="C742" s="9" t="s">
        <v>870</v>
      </c>
      <c r="D742" s="10">
        <v>280</v>
      </c>
      <c r="E742" s="11">
        <v>44569</v>
      </c>
      <c r="F742" s="10">
        <v>280</v>
      </c>
      <c r="G742" s="12">
        <f>Tabla1[[#This Row],[Importe]]-Tabla1[[#This Row],[Pagado]]</f>
        <v>0</v>
      </c>
      <c r="H742" s="9" t="s">
        <v>10</v>
      </c>
    </row>
    <row r="743" spans="1:8" x14ac:dyDescent="0.25">
      <c r="A743" s="7">
        <v>44569</v>
      </c>
      <c r="B743" s="8" t="s">
        <v>997</v>
      </c>
      <c r="C743" s="9" t="s">
        <v>31</v>
      </c>
      <c r="D743" s="10">
        <v>1383.8</v>
      </c>
      <c r="E743" s="11">
        <v>44569</v>
      </c>
      <c r="F743" s="10">
        <v>1383.8</v>
      </c>
      <c r="G743" s="12">
        <f>Tabla1[[#This Row],[Importe]]-Tabla1[[#This Row],[Pagado]]</f>
        <v>0</v>
      </c>
      <c r="H743" s="9" t="s">
        <v>10</v>
      </c>
    </row>
    <row r="744" spans="1:8" x14ac:dyDescent="0.25">
      <c r="A744" s="7">
        <v>44569</v>
      </c>
      <c r="B744" s="8" t="s">
        <v>998</v>
      </c>
      <c r="C744" s="9" t="s">
        <v>196</v>
      </c>
      <c r="D744" s="10">
        <v>54857.7</v>
      </c>
      <c r="E744" s="11">
        <v>44575</v>
      </c>
      <c r="F744" s="10">
        <v>54857.7</v>
      </c>
      <c r="G744" s="12">
        <f>Tabla1[[#This Row],[Importe]]-Tabla1[[#This Row],[Pagado]]</f>
        <v>0</v>
      </c>
      <c r="H744" s="9" t="s">
        <v>10</v>
      </c>
    </row>
    <row r="745" spans="1:8" x14ac:dyDescent="0.25">
      <c r="A745" s="7">
        <v>44569</v>
      </c>
      <c r="B745" s="8" t="s">
        <v>999</v>
      </c>
      <c r="C745" s="9" t="s">
        <v>71</v>
      </c>
      <c r="D745" s="10">
        <v>1102.5999999999999</v>
      </c>
      <c r="E745" s="11">
        <v>44569</v>
      </c>
      <c r="F745" s="10">
        <v>1102.5999999999999</v>
      </c>
      <c r="G745" s="12">
        <f>Tabla1[[#This Row],[Importe]]-Tabla1[[#This Row],[Pagado]]</f>
        <v>0</v>
      </c>
      <c r="H745" s="9" t="s">
        <v>10</v>
      </c>
    </row>
    <row r="746" spans="1:8" x14ac:dyDescent="0.25">
      <c r="A746" s="7">
        <v>44569</v>
      </c>
      <c r="B746" s="8" t="s">
        <v>1000</v>
      </c>
      <c r="C746" s="9" t="s">
        <v>414</v>
      </c>
      <c r="D746" s="10">
        <v>14443.2</v>
      </c>
      <c r="E746" s="11">
        <v>44569</v>
      </c>
      <c r="F746" s="10">
        <v>14443.2</v>
      </c>
      <c r="G746" s="12">
        <f>Tabla1[[#This Row],[Importe]]-Tabla1[[#This Row],[Pagado]]</f>
        <v>0</v>
      </c>
      <c r="H746" s="9" t="s">
        <v>10</v>
      </c>
    </row>
    <row r="747" spans="1:8" x14ac:dyDescent="0.25">
      <c r="A747" s="7">
        <v>44569</v>
      </c>
      <c r="B747" s="8" t="s">
        <v>1001</v>
      </c>
      <c r="C747" s="9" t="s">
        <v>31</v>
      </c>
      <c r="D747" s="10">
        <v>1225</v>
      </c>
      <c r="E747" s="11">
        <v>44569</v>
      </c>
      <c r="F747" s="10">
        <v>1225</v>
      </c>
      <c r="G747" s="12">
        <f>Tabla1[[#This Row],[Importe]]-Tabla1[[#This Row],[Pagado]]</f>
        <v>0</v>
      </c>
      <c r="H747" s="9" t="s">
        <v>10</v>
      </c>
    </row>
    <row r="748" spans="1:8" x14ac:dyDescent="0.25">
      <c r="A748" s="7">
        <v>44569</v>
      </c>
      <c r="B748" s="8" t="s">
        <v>1002</v>
      </c>
      <c r="C748" s="9" t="s">
        <v>1003</v>
      </c>
      <c r="D748" s="10">
        <v>1190</v>
      </c>
      <c r="E748" s="11">
        <v>44569</v>
      </c>
      <c r="F748" s="10">
        <v>1190</v>
      </c>
      <c r="G748" s="12">
        <f>Tabla1[[#This Row],[Importe]]-Tabla1[[#This Row],[Pagado]]</f>
        <v>0</v>
      </c>
      <c r="H748" s="9" t="s">
        <v>10</v>
      </c>
    </row>
    <row r="749" spans="1:8" x14ac:dyDescent="0.25">
      <c r="A749" s="7">
        <v>44569</v>
      </c>
      <c r="B749" s="8" t="s">
        <v>1004</v>
      </c>
      <c r="C749" s="9" t="s">
        <v>414</v>
      </c>
      <c r="D749" s="10">
        <v>143043.20000000001</v>
      </c>
      <c r="E749" s="11">
        <v>44575</v>
      </c>
      <c r="F749" s="10">
        <v>143043.20000000001</v>
      </c>
      <c r="G749" s="12">
        <f>Tabla1[[#This Row],[Importe]]-Tabla1[[#This Row],[Pagado]]</f>
        <v>0</v>
      </c>
      <c r="H749" s="9" t="s">
        <v>10</v>
      </c>
    </row>
    <row r="750" spans="1:8" x14ac:dyDescent="0.25">
      <c r="A750" s="7">
        <v>44569</v>
      </c>
      <c r="B750" s="8" t="s">
        <v>1005</v>
      </c>
      <c r="C750" s="9" t="s">
        <v>16</v>
      </c>
      <c r="D750" s="10">
        <v>831.6</v>
      </c>
      <c r="E750" s="11">
        <v>44569</v>
      </c>
      <c r="F750" s="10">
        <v>831.6</v>
      </c>
      <c r="G750" s="12">
        <f>Tabla1[[#This Row],[Importe]]-Tabla1[[#This Row],[Pagado]]</f>
        <v>0</v>
      </c>
      <c r="H750" s="9" t="s">
        <v>10</v>
      </c>
    </row>
    <row r="751" spans="1:8" x14ac:dyDescent="0.25">
      <c r="A751" s="7">
        <v>44569</v>
      </c>
      <c r="B751" s="8" t="s">
        <v>1006</v>
      </c>
      <c r="C751" s="9" t="s">
        <v>857</v>
      </c>
      <c r="D751" s="10">
        <v>1512</v>
      </c>
      <c r="E751" s="11">
        <v>44569</v>
      </c>
      <c r="F751" s="10">
        <v>1512</v>
      </c>
      <c r="G751" s="12">
        <f>Tabla1[[#This Row],[Importe]]-Tabla1[[#This Row],[Pagado]]</f>
        <v>0</v>
      </c>
      <c r="H751" s="9" t="s">
        <v>10</v>
      </c>
    </row>
    <row r="752" spans="1:8" x14ac:dyDescent="0.25">
      <c r="A752" s="7">
        <v>44569</v>
      </c>
      <c r="B752" s="8" t="s">
        <v>1007</v>
      </c>
      <c r="C752" s="9" t="s">
        <v>1008</v>
      </c>
      <c r="D752" s="10">
        <v>5006.3999999999996</v>
      </c>
      <c r="E752" s="11">
        <v>44569</v>
      </c>
      <c r="F752" s="10">
        <v>5006.3999999999996</v>
      </c>
      <c r="G752" s="12">
        <f>Tabla1[[#This Row],[Importe]]-Tabla1[[#This Row],[Pagado]]</f>
        <v>0</v>
      </c>
      <c r="H752" s="9" t="s">
        <v>10</v>
      </c>
    </row>
    <row r="753" spans="1:8" x14ac:dyDescent="0.25">
      <c r="A753" s="7">
        <v>44569</v>
      </c>
      <c r="B753" s="8" t="s">
        <v>1009</v>
      </c>
      <c r="C753" s="9" t="s">
        <v>53</v>
      </c>
      <c r="D753" s="10">
        <v>1665</v>
      </c>
      <c r="E753" s="11">
        <v>44569</v>
      </c>
      <c r="F753" s="10">
        <v>1665</v>
      </c>
      <c r="G753" s="12">
        <f>Tabla1[[#This Row],[Importe]]-Tabla1[[#This Row],[Pagado]]</f>
        <v>0</v>
      </c>
      <c r="H753" s="9" t="s">
        <v>10</v>
      </c>
    </row>
    <row r="754" spans="1:8" x14ac:dyDescent="0.25">
      <c r="A754" s="7">
        <v>44569</v>
      </c>
      <c r="B754" s="8" t="s">
        <v>1010</v>
      </c>
      <c r="C754" s="9" t="s">
        <v>459</v>
      </c>
      <c r="D754" s="10">
        <v>213</v>
      </c>
      <c r="E754" s="11">
        <v>44569</v>
      </c>
      <c r="F754" s="10">
        <v>213</v>
      </c>
      <c r="G754" s="12">
        <f>Tabla1[[#This Row],[Importe]]-Tabla1[[#This Row],[Pagado]]</f>
        <v>0</v>
      </c>
      <c r="H754" s="9" t="s">
        <v>10</v>
      </c>
    </row>
    <row r="755" spans="1:8" x14ac:dyDescent="0.25">
      <c r="A755" s="7">
        <v>44569</v>
      </c>
      <c r="B755" s="8" t="s">
        <v>1011</v>
      </c>
      <c r="C755" s="9" t="s">
        <v>457</v>
      </c>
      <c r="D755" s="10">
        <v>198</v>
      </c>
      <c r="E755" s="11">
        <v>44569</v>
      </c>
      <c r="F755" s="10">
        <v>198</v>
      </c>
      <c r="G755" s="12">
        <f>Tabla1[[#This Row],[Importe]]-Tabla1[[#This Row],[Pagado]]</f>
        <v>0</v>
      </c>
      <c r="H755" s="9" t="s">
        <v>10</v>
      </c>
    </row>
    <row r="756" spans="1:8" x14ac:dyDescent="0.25">
      <c r="A756" s="7">
        <v>44569</v>
      </c>
      <c r="B756" s="8" t="s">
        <v>1012</v>
      </c>
      <c r="C756" s="9" t="s">
        <v>463</v>
      </c>
      <c r="D756" s="10">
        <v>550</v>
      </c>
      <c r="E756" s="11">
        <v>44569</v>
      </c>
      <c r="F756" s="10">
        <v>550</v>
      </c>
      <c r="G756" s="12">
        <f>Tabla1[[#This Row],[Importe]]-Tabla1[[#This Row],[Pagado]]</f>
        <v>0</v>
      </c>
      <c r="H756" s="9" t="s">
        <v>10</v>
      </c>
    </row>
    <row r="757" spans="1:8" x14ac:dyDescent="0.25">
      <c r="A757" s="7">
        <v>44569</v>
      </c>
      <c r="B757" s="8" t="s">
        <v>1013</v>
      </c>
      <c r="C757" s="9" t="s">
        <v>461</v>
      </c>
      <c r="D757" s="10">
        <v>394</v>
      </c>
      <c r="E757" s="11">
        <v>44569</v>
      </c>
      <c r="F757" s="10">
        <v>394</v>
      </c>
      <c r="G757" s="12">
        <f>Tabla1[[#This Row],[Importe]]-Tabla1[[#This Row],[Pagado]]</f>
        <v>0</v>
      </c>
      <c r="H757" s="9" t="s">
        <v>10</v>
      </c>
    </row>
    <row r="758" spans="1:8" x14ac:dyDescent="0.25">
      <c r="A758" s="7">
        <v>44569</v>
      </c>
      <c r="B758" s="8" t="s">
        <v>1014</v>
      </c>
      <c r="C758" s="9" t="s">
        <v>91</v>
      </c>
      <c r="D758" s="10">
        <v>7457.8</v>
      </c>
      <c r="E758" s="11">
        <v>44571</v>
      </c>
      <c r="F758" s="10">
        <v>7457.8</v>
      </c>
      <c r="G758" s="12">
        <f>Tabla1[[#This Row],[Importe]]-Tabla1[[#This Row],[Pagado]]</f>
        <v>0</v>
      </c>
      <c r="H758" s="9" t="s">
        <v>10</v>
      </c>
    </row>
    <row r="759" spans="1:8" x14ac:dyDescent="0.25">
      <c r="A759" s="7">
        <v>44569</v>
      </c>
      <c r="B759" s="8" t="s">
        <v>1015</v>
      </c>
      <c r="C759" s="9" t="s">
        <v>1016</v>
      </c>
      <c r="D759" s="10">
        <v>2867.4</v>
      </c>
      <c r="E759" s="11">
        <v>44569</v>
      </c>
      <c r="F759" s="10">
        <v>2867.4</v>
      </c>
      <c r="G759" s="12">
        <f>Tabla1[[#This Row],[Importe]]-Tabla1[[#This Row],[Pagado]]</f>
        <v>0</v>
      </c>
      <c r="H759" s="9" t="s">
        <v>10</v>
      </c>
    </row>
    <row r="760" spans="1:8" x14ac:dyDescent="0.25">
      <c r="A760" s="7">
        <v>44569</v>
      </c>
      <c r="B760" s="8" t="s">
        <v>1017</v>
      </c>
      <c r="C760" s="9" t="s">
        <v>47</v>
      </c>
      <c r="D760" s="10">
        <v>54280.800000000003</v>
      </c>
      <c r="E760" s="11">
        <v>44571</v>
      </c>
      <c r="F760" s="10">
        <v>54280.800000000003</v>
      </c>
      <c r="G760" s="12">
        <f>Tabla1[[#This Row],[Importe]]-Tabla1[[#This Row],[Pagado]]</f>
        <v>0</v>
      </c>
      <c r="H760" s="9" t="s">
        <v>10</v>
      </c>
    </row>
    <row r="761" spans="1:8" x14ac:dyDescent="0.25">
      <c r="A761" s="7">
        <v>44569</v>
      </c>
      <c r="B761" s="8" t="s">
        <v>1018</v>
      </c>
      <c r="C761" s="9" t="s">
        <v>196</v>
      </c>
      <c r="D761" s="10">
        <v>8076.8</v>
      </c>
      <c r="E761" s="11">
        <v>44575</v>
      </c>
      <c r="F761" s="10">
        <v>8076.8</v>
      </c>
      <c r="G761" s="12">
        <f>Tabla1[[#This Row],[Importe]]-Tabla1[[#This Row],[Pagado]]</f>
        <v>0</v>
      </c>
      <c r="H761" s="9" t="s">
        <v>10</v>
      </c>
    </row>
    <row r="762" spans="1:8" x14ac:dyDescent="0.25">
      <c r="A762" s="7">
        <v>44569</v>
      </c>
      <c r="B762" s="8" t="s">
        <v>1019</v>
      </c>
      <c r="C762" s="9" t="s">
        <v>35</v>
      </c>
      <c r="D762" s="10">
        <v>2157.6</v>
      </c>
      <c r="E762" s="11">
        <v>44569</v>
      </c>
      <c r="F762" s="10">
        <v>2157.6</v>
      </c>
      <c r="G762" s="12">
        <f>Tabla1[[#This Row],[Importe]]-Tabla1[[#This Row],[Pagado]]</f>
        <v>0</v>
      </c>
      <c r="H762" s="9" t="s">
        <v>10</v>
      </c>
    </row>
    <row r="763" spans="1:8" x14ac:dyDescent="0.25">
      <c r="A763" s="7">
        <v>44569</v>
      </c>
      <c r="B763" s="8" t="s">
        <v>1020</v>
      </c>
      <c r="C763" s="9" t="s">
        <v>1021</v>
      </c>
      <c r="D763" s="10">
        <v>2997</v>
      </c>
      <c r="E763" s="11">
        <v>44569</v>
      </c>
      <c r="F763" s="10">
        <v>2997</v>
      </c>
      <c r="G763" s="12">
        <f>Tabla1[[#This Row],[Importe]]-Tabla1[[#This Row],[Pagado]]</f>
        <v>0</v>
      </c>
      <c r="H763" s="9" t="s">
        <v>10</v>
      </c>
    </row>
    <row r="764" spans="1:8" x14ac:dyDescent="0.25">
      <c r="A764" s="7">
        <v>44569</v>
      </c>
      <c r="B764" s="8" t="s">
        <v>1022</v>
      </c>
      <c r="C764" s="9" t="s">
        <v>555</v>
      </c>
      <c r="D764" s="10">
        <v>34458</v>
      </c>
      <c r="E764" s="11">
        <v>44571</v>
      </c>
      <c r="F764" s="10">
        <v>34458</v>
      </c>
      <c r="G764" s="12">
        <f>Tabla1[[#This Row],[Importe]]-Tabla1[[#This Row],[Pagado]]</f>
        <v>0</v>
      </c>
      <c r="H764" s="9" t="s">
        <v>10</v>
      </c>
    </row>
    <row r="765" spans="1:8" x14ac:dyDescent="0.25">
      <c r="A765" s="7">
        <v>44569</v>
      </c>
      <c r="B765" s="8" t="s">
        <v>1023</v>
      </c>
      <c r="C765" s="9" t="s">
        <v>31</v>
      </c>
      <c r="D765" s="10">
        <v>100.8</v>
      </c>
      <c r="E765" s="11">
        <v>44569</v>
      </c>
      <c r="F765" s="10">
        <v>100.8</v>
      </c>
      <c r="G765" s="12">
        <f>Tabla1[[#This Row],[Importe]]-Tabla1[[#This Row],[Pagado]]</f>
        <v>0</v>
      </c>
      <c r="H765" s="9" t="s">
        <v>10</v>
      </c>
    </row>
    <row r="766" spans="1:8" x14ac:dyDescent="0.25">
      <c r="A766" s="7">
        <v>44569</v>
      </c>
      <c r="B766" s="8" t="s">
        <v>1024</v>
      </c>
      <c r="C766" s="9" t="s">
        <v>31</v>
      </c>
      <c r="D766" s="10">
        <v>189</v>
      </c>
      <c r="E766" s="11">
        <v>44569</v>
      </c>
      <c r="F766" s="10">
        <v>189</v>
      </c>
      <c r="G766" s="12">
        <f>Tabla1[[#This Row],[Importe]]-Tabla1[[#This Row],[Pagado]]</f>
        <v>0</v>
      </c>
      <c r="H766" s="9" t="s">
        <v>10</v>
      </c>
    </row>
    <row r="767" spans="1:8" x14ac:dyDescent="0.25">
      <c r="A767" s="7">
        <v>44569</v>
      </c>
      <c r="B767" s="8" t="s">
        <v>1025</v>
      </c>
      <c r="C767" s="9" t="s">
        <v>31</v>
      </c>
      <c r="D767" s="10">
        <v>164.6</v>
      </c>
      <c r="E767" s="11">
        <v>44578</v>
      </c>
      <c r="F767" s="10">
        <v>164.6</v>
      </c>
      <c r="G767" s="12">
        <f>Tabla1[[#This Row],[Importe]]-Tabla1[[#This Row],[Pagado]]</f>
        <v>0</v>
      </c>
      <c r="H767" s="9" t="s">
        <v>10</v>
      </c>
    </row>
    <row r="768" spans="1:8" x14ac:dyDescent="0.25">
      <c r="A768" s="7">
        <v>44569</v>
      </c>
      <c r="B768" s="8" t="s">
        <v>1026</v>
      </c>
      <c r="C768" s="9" t="s">
        <v>31</v>
      </c>
      <c r="D768" s="10">
        <v>51</v>
      </c>
      <c r="E768" s="11">
        <v>44569</v>
      </c>
      <c r="F768" s="10">
        <v>51</v>
      </c>
      <c r="G768" s="12">
        <f>Tabla1[[#This Row],[Importe]]-Tabla1[[#This Row],[Pagado]]</f>
        <v>0</v>
      </c>
      <c r="H768" s="9" t="s">
        <v>10</v>
      </c>
    </row>
    <row r="769" spans="1:8" x14ac:dyDescent="0.25">
      <c r="A769" s="7">
        <v>44569</v>
      </c>
      <c r="B769" s="8" t="s">
        <v>1027</v>
      </c>
      <c r="C769" s="9" t="s">
        <v>289</v>
      </c>
      <c r="D769" s="10">
        <v>7840</v>
      </c>
      <c r="E769" s="11">
        <v>44569</v>
      </c>
      <c r="F769" s="10">
        <v>7840</v>
      </c>
      <c r="G769" s="12">
        <f>Tabla1[[#This Row],[Importe]]-Tabla1[[#This Row],[Pagado]]</f>
        <v>0</v>
      </c>
      <c r="H769" s="9" t="s">
        <v>10</v>
      </c>
    </row>
    <row r="770" spans="1:8" x14ac:dyDescent="0.25">
      <c r="A770" s="7">
        <v>44569</v>
      </c>
      <c r="B770" s="8" t="s">
        <v>1028</v>
      </c>
      <c r="C770" s="9" t="s">
        <v>142</v>
      </c>
      <c r="D770" s="10">
        <v>32571.32</v>
      </c>
      <c r="E770" s="11">
        <v>44589</v>
      </c>
      <c r="F770" s="10">
        <v>32571.32</v>
      </c>
      <c r="G770" s="12">
        <f>Tabla1[[#This Row],[Importe]]-Tabla1[[#This Row],[Pagado]]</f>
        <v>0</v>
      </c>
      <c r="H770" s="9" t="s">
        <v>10</v>
      </c>
    </row>
    <row r="771" spans="1:8" x14ac:dyDescent="0.25">
      <c r="A771" s="7">
        <v>44569</v>
      </c>
      <c r="B771" s="8" t="s">
        <v>1029</v>
      </c>
      <c r="C771" s="9" t="s">
        <v>125</v>
      </c>
      <c r="D771" s="10">
        <v>295.8</v>
      </c>
      <c r="E771" s="11">
        <v>44571</v>
      </c>
      <c r="F771" s="10">
        <v>295.8</v>
      </c>
      <c r="G771" s="12">
        <f>Tabla1[[#This Row],[Importe]]-Tabla1[[#This Row],[Pagado]]</f>
        <v>0</v>
      </c>
      <c r="H771" s="9" t="s">
        <v>10</v>
      </c>
    </row>
    <row r="772" spans="1:8" x14ac:dyDescent="0.25">
      <c r="A772" s="7">
        <v>44570</v>
      </c>
      <c r="B772" s="8" t="s">
        <v>1030</v>
      </c>
      <c r="C772" s="9" t="s">
        <v>9</v>
      </c>
      <c r="D772" s="10">
        <v>5727.2</v>
      </c>
      <c r="E772" s="11">
        <v>44570</v>
      </c>
      <c r="F772" s="10">
        <v>5727.2</v>
      </c>
      <c r="G772" s="12">
        <f>Tabla1[[#This Row],[Importe]]-Tabla1[[#This Row],[Pagado]]</f>
        <v>0</v>
      </c>
      <c r="H772" s="9" t="s">
        <v>10</v>
      </c>
    </row>
    <row r="773" spans="1:8" x14ac:dyDescent="0.25">
      <c r="A773" s="7">
        <v>44570</v>
      </c>
      <c r="B773" s="8" t="s">
        <v>1031</v>
      </c>
      <c r="C773" s="9" t="s">
        <v>12</v>
      </c>
      <c r="D773" s="10">
        <v>72159.95</v>
      </c>
      <c r="E773" s="11">
        <v>44571</v>
      </c>
      <c r="F773" s="10">
        <v>72159.95</v>
      </c>
      <c r="G773" s="12">
        <f>Tabla1[[#This Row],[Importe]]-Tabla1[[#This Row],[Pagado]]</f>
        <v>0</v>
      </c>
      <c r="H773" s="9" t="s">
        <v>10</v>
      </c>
    </row>
    <row r="774" spans="1:8" ht="30" x14ac:dyDescent="0.25">
      <c r="A774" s="7">
        <v>44570</v>
      </c>
      <c r="B774" s="8" t="s">
        <v>1032</v>
      </c>
      <c r="C774" s="9" t="s">
        <v>475</v>
      </c>
      <c r="D774" s="10">
        <v>16588</v>
      </c>
      <c r="E774" s="11" t="s">
        <v>1033</v>
      </c>
      <c r="F774" s="10">
        <f>11000+5588</f>
        <v>16588</v>
      </c>
      <c r="G774" s="12">
        <f>Tabla1[[#This Row],[Importe]]-Tabla1[[#This Row],[Pagado]]</f>
        <v>0</v>
      </c>
      <c r="H774" s="9" t="s">
        <v>10</v>
      </c>
    </row>
    <row r="775" spans="1:8" x14ac:dyDescent="0.25">
      <c r="A775" s="7">
        <v>44570</v>
      </c>
      <c r="B775" s="8" t="s">
        <v>1034</v>
      </c>
      <c r="C775" s="9" t="s">
        <v>20</v>
      </c>
      <c r="D775" s="10">
        <v>8089.6</v>
      </c>
      <c r="E775" s="11">
        <v>44570</v>
      </c>
      <c r="F775" s="10">
        <v>8089.6</v>
      </c>
      <c r="G775" s="12">
        <f>Tabla1[[#This Row],[Importe]]-Tabla1[[#This Row],[Pagado]]</f>
        <v>0</v>
      </c>
      <c r="H775" s="9" t="s">
        <v>10</v>
      </c>
    </row>
    <row r="776" spans="1:8" x14ac:dyDescent="0.25">
      <c r="A776" s="7">
        <v>44570</v>
      </c>
      <c r="B776" s="8" t="s">
        <v>1035</v>
      </c>
      <c r="C776" s="9" t="s">
        <v>16</v>
      </c>
      <c r="D776" s="10">
        <v>10046</v>
      </c>
      <c r="E776" s="11">
        <v>44570</v>
      </c>
      <c r="F776" s="10">
        <v>10046</v>
      </c>
      <c r="G776" s="12">
        <f>Tabla1[[#This Row],[Importe]]-Tabla1[[#This Row],[Pagado]]</f>
        <v>0</v>
      </c>
      <c r="H776" s="9" t="s">
        <v>10</v>
      </c>
    </row>
    <row r="777" spans="1:8" x14ac:dyDescent="0.25">
      <c r="A777" s="7">
        <v>44570</v>
      </c>
      <c r="B777" s="8" t="s">
        <v>1036</v>
      </c>
      <c r="C777" s="9" t="s">
        <v>135</v>
      </c>
      <c r="D777" s="10">
        <v>2178.8000000000002</v>
      </c>
      <c r="E777" s="11">
        <v>44570</v>
      </c>
      <c r="F777" s="10">
        <v>2178.8000000000002</v>
      </c>
      <c r="G777" s="12">
        <f>Tabla1[[#This Row],[Importe]]-Tabla1[[#This Row],[Pagado]]</f>
        <v>0</v>
      </c>
      <c r="H777" s="9" t="s">
        <v>10</v>
      </c>
    </row>
    <row r="778" spans="1:8" x14ac:dyDescent="0.25">
      <c r="A778" s="7">
        <v>44570</v>
      </c>
      <c r="B778" s="8" t="s">
        <v>1037</v>
      </c>
      <c r="C778" s="9" t="s">
        <v>1038</v>
      </c>
      <c r="D778" s="10">
        <v>5097.8</v>
      </c>
      <c r="E778" s="11">
        <v>44570</v>
      </c>
      <c r="F778" s="10">
        <v>5097.8</v>
      </c>
      <c r="G778" s="12">
        <f>Tabla1[[#This Row],[Importe]]-Tabla1[[#This Row],[Pagado]]</f>
        <v>0</v>
      </c>
      <c r="H778" s="9" t="s">
        <v>10</v>
      </c>
    </row>
    <row r="779" spans="1:8" x14ac:dyDescent="0.25">
      <c r="A779" s="7">
        <v>44570</v>
      </c>
      <c r="B779" s="8" t="s">
        <v>1039</v>
      </c>
      <c r="C779" s="9" t="s">
        <v>56</v>
      </c>
      <c r="D779" s="10">
        <v>9373</v>
      </c>
      <c r="E779" s="11">
        <v>44570</v>
      </c>
      <c r="F779" s="10">
        <v>9373</v>
      </c>
      <c r="G779" s="12">
        <f>Tabla1[[#This Row],[Importe]]-Tabla1[[#This Row],[Pagado]]</f>
        <v>0</v>
      </c>
      <c r="H779" s="9" t="s">
        <v>10</v>
      </c>
    </row>
    <row r="780" spans="1:8" x14ac:dyDescent="0.25">
      <c r="A780" s="7">
        <v>44570</v>
      </c>
      <c r="B780" s="8" t="s">
        <v>1040</v>
      </c>
      <c r="C780" s="9" t="s">
        <v>51</v>
      </c>
      <c r="D780" s="10">
        <v>1290</v>
      </c>
      <c r="E780" s="11">
        <v>44570</v>
      </c>
      <c r="F780" s="10">
        <v>1290</v>
      </c>
      <c r="G780" s="12">
        <f>Tabla1[[#This Row],[Importe]]-Tabla1[[#This Row],[Pagado]]</f>
        <v>0</v>
      </c>
      <c r="H780" s="9" t="s">
        <v>10</v>
      </c>
    </row>
    <row r="781" spans="1:8" x14ac:dyDescent="0.25">
      <c r="A781" s="7">
        <v>44570</v>
      </c>
      <c r="B781" s="8" t="s">
        <v>1041</v>
      </c>
      <c r="C781" s="9" t="s">
        <v>29</v>
      </c>
      <c r="D781" s="10">
        <v>5159.7</v>
      </c>
      <c r="E781" s="11">
        <v>44570</v>
      </c>
      <c r="F781" s="10">
        <v>5159.7</v>
      </c>
      <c r="G781" s="12">
        <f>Tabla1[[#This Row],[Importe]]-Tabla1[[#This Row],[Pagado]]</f>
        <v>0</v>
      </c>
      <c r="H781" s="9" t="s">
        <v>10</v>
      </c>
    </row>
    <row r="782" spans="1:8" x14ac:dyDescent="0.25">
      <c r="A782" s="7">
        <v>44570</v>
      </c>
      <c r="B782" s="8" t="s">
        <v>1042</v>
      </c>
      <c r="C782" s="9" t="s">
        <v>49</v>
      </c>
      <c r="D782" s="10">
        <v>4064.4</v>
      </c>
      <c r="E782" s="11">
        <v>44570</v>
      </c>
      <c r="F782" s="10">
        <v>4064.4</v>
      </c>
      <c r="G782" s="12">
        <f>Tabla1[[#This Row],[Importe]]-Tabla1[[#This Row],[Pagado]]</f>
        <v>0</v>
      </c>
      <c r="H782" s="9" t="s">
        <v>10</v>
      </c>
    </row>
    <row r="783" spans="1:8" x14ac:dyDescent="0.25">
      <c r="A783" s="7">
        <v>44570</v>
      </c>
      <c r="B783" s="8" t="s">
        <v>1043</v>
      </c>
      <c r="C783" s="9" t="s">
        <v>804</v>
      </c>
      <c r="D783" s="10">
        <v>12720.7</v>
      </c>
      <c r="E783" s="11">
        <v>44570</v>
      </c>
      <c r="F783" s="10">
        <v>12720.7</v>
      </c>
      <c r="G783" s="12">
        <f>Tabla1[[#This Row],[Importe]]-Tabla1[[#This Row],[Pagado]]</f>
        <v>0</v>
      </c>
      <c r="H783" s="9" t="s">
        <v>10</v>
      </c>
    </row>
    <row r="784" spans="1:8" x14ac:dyDescent="0.25">
      <c r="A784" s="7">
        <v>44570</v>
      </c>
      <c r="B784" s="8" t="s">
        <v>1044</v>
      </c>
      <c r="C784" s="9" t="s">
        <v>804</v>
      </c>
      <c r="D784" s="10">
        <v>762.7</v>
      </c>
      <c r="E784" s="11">
        <v>44570</v>
      </c>
      <c r="F784" s="10">
        <v>762.7</v>
      </c>
      <c r="G784" s="12">
        <f>Tabla1[[#This Row],[Importe]]-Tabla1[[#This Row],[Pagado]]</f>
        <v>0</v>
      </c>
      <c r="H784" s="9" t="s">
        <v>10</v>
      </c>
    </row>
    <row r="785" spans="1:8" x14ac:dyDescent="0.25">
      <c r="A785" s="7">
        <v>44570</v>
      </c>
      <c r="B785" s="8" t="s">
        <v>1045</v>
      </c>
      <c r="C785" s="9" t="s">
        <v>27</v>
      </c>
      <c r="D785" s="10">
        <v>4144</v>
      </c>
      <c r="E785" s="11">
        <v>44570</v>
      </c>
      <c r="F785" s="10">
        <v>4144</v>
      </c>
      <c r="G785" s="12">
        <f>Tabla1[[#This Row],[Importe]]-Tabla1[[#This Row],[Pagado]]</f>
        <v>0</v>
      </c>
      <c r="H785" s="9" t="s">
        <v>10</v>
      </c>
    </row>
    <row r="786" spans="1:8" x14ac:dyDescent="0.25">
      <c r="A786" s="7">
        <v>44570</v>
      </c>
      <c r="B786" s="8" t="s">
        <v>1046</v>
      </c>
      <c r="C786" s="9" t="s">
        <v>105</v>
      </c>
      <c r="D786" s="10">
        <v>5721.5</v>
      </c>
      <c r="E786" s="11">
        <v>44570</v>
      </c>
      <c r="F786" s="10">
        <v>5721.5</v>
      </c>
      <c r="G786" s="12">
        <f>Tabla1[[#This Row],[Importe]]-Tabla1[[#This Row],[Pagado]]</f>
        <v>0</v>
      </c>
      <c r="H786" s="9" t="s">
        <v>10</v>
      </c>
    </row>
    <row r="787" spans="1:8" x14ac:dyDescent="0.25">
      <c r="A787" s="7">
        <v>44570</v>
      </c>
      <c r="B787" s="8" t="s">
        <v>1047</v>
      </c>
      <c r="C787" s="9" t="s">
        <v>216</v>
      </c>
      <c r="D787" s="10">
        <v>2209.9</v>
      </c>
      <c r="E787" s="11">
        <v>44570</v>
      </c>
      <c r="F787" s="10">
        <v>2209.9</v>
      </c>
      <c r="G787" s="12">
        <f>Tabla1[[#This Row],[Importe]]-Tabla1[[#This Row],[Pagado]]</f>
        <v>0</v>
      </c>
      <c r="H787" s="9" t="s">
        <v>10</v>
      </c>
    </row>
    <row r="788" spans="1:8" x14ac:dyDescent="0.25">
      <c r="A788" s="7">
        <v>44570</v>
      </c>
      <c r="B788" s="8" t="s">
        <v>1048</v>
      </c>
      <c r="C788" s="9" t="s">
        <v>45</v>
      </c>
      <c r="D788" s="10">
        <v>8574</v>
      </c>
      <c r="E788" s="11">
        <v>44570</v>
      </c>
      <c r="F788" s="10">
        <v>8574</v>
      </c>
      <c r="G788" s="12">
        <f>Tabla1[[#This Row],[Importe]]-Tabla1[[#This Row],[Pagado]]</f>
        <v>0</v>
      </c>
      <c r="H788" s="9" t="s">
        <v>10</v>
      </c>
    </row>
    <row r="789" spans="1:8" x14ac:dyDescent="0.25">
      <c r="A789" s="7">
        <v>44570</v>
      </c>
      <c r="B789" s="8" t="s">
        <v>1049</v>
      </c>
      <c r="C789" s="9" t="s">
        <v>37</v>
      </c>
      <c r="D789" s="10">
        <v>1998</v>
      </c>
      <c r="E789" s="11">
        <v>44570</v>
      </c>
      <c r="F789" s="10">
        <v>1998</v>
      </c>
      <c r="G789" s="12">
        <f>Tabla1[[#This Row],[Importe]]-Tabla1[[#This Row],[Pagado]]</f>
        <v>0</v>
      </c>
      <c r="H789" s="9" t="s">
        <v>10</v>
      </c>
    </row>
    <row r="790" spans="1:8" x14ac:dyDescent="0.25">
      <c r="A790" s="7">
        <v>44570</v>
      </c>
      <c r="B790" s="8" t="s">
        <v>1050</v>
      </c>
      <c r="C790" s="9" t="s">
        <v>12</v>
      </c>
      <c r="D790" s="10">
        <v>15508.5</v>
      </c>
      <c r="E790" s="11">
        <v>44571</v>
      </c>
      <c r="F790" s="10">
        <v>15508.5</v>
      </c>
      <c r="G790" s="12">
        <f>Tabla1[[#This Row],[Importe]]-Tabla1[[#This Row],[Pagado]]</f>
        <v>0</v>
      </c>
      <c r="H790" s="9" t="s">
        <v>10</v>
      </c>
    </row>
    <row r="791" spans="1:8" x14ac:dyDescent="0.25">
      <c r="A791" s="7">
        <v>44570</v>
      </c>
      <c r="B791" s="8" t="s">
        <v>1051</v>
      </c>
      <c r="C791" s="9" t="s">
        <v>12</v>
      </c>
      <c r="D791" s="10">
        <v>690</v>
      </c>
      <c r="E791" s="11">
        <v>44571</v>
      </c>
      <c r="F791" s="10">
        <v>690</v>
      </c>
      <c r="G791" s="12">
        <f>Tabla1[[#This Row],[Importe]]-Tabla1[[#This Row],[Pagado]]</f>
        <v>0</v>
      </c>
      <c r="H791" s="9" t="s">
        <v>10</v>
      </c>
    </row>
    <row r="792" spans="1:8" x14ac:dyDescent="0.25">
      <c r="A792" s="7">
        <v>44570</v>
      </c>
      <c r="B792" s="8" t="s">
        <v>1052</v>
      </c>
      <c r="C792" s="9" t="s">
        <v>24</v>
      </c>
      <c r="D792" s="10">
        <v>2873.2</v>
      </c>
      <c r="E792" s="11">
        <v>44570</v>
      </c>
      <c r="F792" s="10">
        <v>2873.2</v>
      </c>
      <c r="G792" s="12">
        <f>Tabla1[[#This Row],[Importe]]-Tabla1[[#This Row],[Pagado]]</f>
        <v>0</v>
      </c>
      <c r="H792" s="9" t="s">
        <v>10</v>
      </c>
    </row>
    <row r="793" spans="1:8" x14ac:dyDescent="0.25">
      <c r="A793" s="7">
        <v>44570</v>
      </c>
      <c r="B793" s="8" t="s">
        <v>1053</v>
      </c>
      <c r="C793" s="9" t="s">
        <v>58</v>
      </c>
      <c r="D793" s="10">
        <v>5538</v>
      </c>
      <c r="E793" s="11">
        <v>44570</v>
      </c>
      <c r="F793" s="10">
        <v>5538</v>
      </c>
      <c r="G793" s="12">
        <f>Tabla1[[#This Row],[Importe]]-Tabla1[[#This Row],[Pagado]]</f>
        <v>0</v>
      </c>
      <c r="H793" s="9" t="s">
        <v>10</v>
      </c>
    </row>
    <row r="794" spans="1:8" x14ac:dyDescent="0.25">
      <c r="A794" s="7">
        <v>44570</v>
      </c>
      <c r="B794" s="8" t="s">
        <v>1054</v>
      </c>
      <c r="C794" s="9" t="s">
        <v>24</v>
      </c>
      <c r="D794" s="10">
        <v>396</v>
      </c>
      <c r="E794" s="11">
        <v>44570</v>
      </c>
      <c r="F794" s="10">
        <v>396</v>
      </c>
      <c r="G794" s="12">
        <f>Tabla1[[#This Row],[Importe]]-Tabla1[[#This Row],[Pagado]]</f>
        <v>0</v>
      </c>
      <c r="H794" s="9" t="s">
        <v>10</v>
      </c>
    </row>
    <row r="795" spans="1:8" x14ac:dyDescent="0.25">
      <c r="A795" s="7">
        <v>44570</v>
      </c>
      <c r="B795" s="8" t="s">
        <v>1055</v>
      </c>
      <c r="C795" s="9" t="s">
        <v>237</v>
      </c>
      <c r="D795" s="10">
        <v>712.8</v>
      </c>
      <c r="E795" s="11">
        <v>44570</v>
      </c>
      <c r="F795" s="10">
        <v>712.8</v>
      </c>
      <c r="G795" s="12">
        <f>Tabla1[[#This Row],[Importe]]-Tabla1[[#This Row],[Pagado]]</f>
        <v>0</v>
      </c>
      <c r="H795" s="9" t="s">
        <v>10</v>
      </c>
    </row>
    <row r="796" spans="1:8" x14ac:dyDescent="0.25">
      <c r="A796" s="7">
        <v>44570</v>
      </c>
      <c r="B796" s="8" t="s">
        <v>1056</v>
      </c>
      <c r="C796" s="9" t="s">
        <v>161</v>
      </c>
      <c r="D796" s="10">
        <v>979.8</v>
      </c>
      <c r="E796" s="11">
        <v>44570</v>
      </c>
      <c r="F796" s="10">
        <v>979.8</v>
      </c>
      <c r="G796" s="12">
        <f>Tabla1[[#This Row],[Importe]]-Tabla1[[#This Row],[Pagado]]</f>
        <v>0</v>
      </c>
      <c r="H796" s="9" t="s">
        <v>10</v>
      </c>
    </row>
    <row r="797" spans="1:8" x14ac:dyDescent="0.25">
      <c r="A797" s="7">
        <v>44570</v>
      </c>
      <c r="B797" s="8" t="s">
        <v>1057</v>
      </c>
      <c r="C797" s="9" t="s">
        <v>191</v>
      </c>
      <c r="D797" s="10">
        <v>2845.6</v>
      </c>
      <c r="E797" s="11">
        <v>44570</v>
      </c>
      <c r="F797" s="10">
        <v>2845.6</v>
      </c>
      <c r="G797" s="12">
        <f>Tabla1[[#This Row],[Importe]]-Tabla1[[#This Row],[Pagado]]</f>
        <v>0</v>
      </c>
      <c r="H797" s="9" t="s">
        <v>10</v>
      </c>
    </row>
    <row r="798" spans="1:8" x14ac:dyDescent="0.25">
      <c r="A798" s="7">
        <v>44570</v>
      </c>
      <c r="B798" s="8" t="s">
        <v>1058</v>
      </c>
      <c r="C798" s="9" t="s">
        <v>244</v>
      </c>
      <c r="D798" s="10">
        <v>2912.1</v>
      </c>
      <c r="E798" s="11">
        <v>44570</v>
      </c>
      <c r="F798" s="10">
        <v>2912.1</v>
      </c>
      <c r="G798" s="12">
        <f>Tabla1[[#This Row],[Importe]]-Tabla1[[#This Row],[Pagado]]</f>
        <v>0</v>
      </c>
      <c r="H798" s="9" t="s">
        <v>10</v>
      </c>
    </row>
    <row r="799" spans="1:8" x14ac:dyDescent="0.25">
      <c r="A799" s="7">
        <v>44570</v>
      </c>
      <c r="B799" s="8" t="s">
        <v>1059</v>
      </c>
      <c r="C799" s="9" t="s">
        <v>214</v>
      </c>
      <c r="D799" s="10">
        <v>926.1</v>
      </c>
      <c r="E799" s="11">
        <v>44570</v>
      </c>
      <c r="F799" s="10">
        <v>926.1</v>
      </c>
      <c r="G799" s="12">
        <f>Tabla1[[#This Row],[Importe]]-Tabla1[[#This Row],[Pagado]]</f>
        <v>0</v>
      </c>
      <c r="H799" s="9" t="s">
        <v>10</v>
      </c>
    </row>
    <row r="800" spans="1:8" x14ac:dyDescent="0.25">
      <c r="A800" s="7">
        <v>44570</v>
      </c>
      <c r="B800" s="8" t="s">
        <v>1060</v>
      </c>
      <c r="C800" s="9" t="s">
        <v>131</v>
      </c>
      <c r="D800" s="10">
        <v>852</v>
      </c>
      <c r="E800" s="11">
        <v>44570</v>
      </c>
      <c r="F800" s="10">
        <v>852</v>
      </c>
      <c r="G800" s="12">
        <f>Tabla1[[#This Row],[Importe]]-Tabla1[[#This Row],[Pagado]]</f>
        <v>0</v>
      </c>
      <c r="H800" s="9" t="s">
        <v>10</v>
      </c>
    </row>
    <row r="801" spans="1:8" x14ac:dyDescent="0.25">
      <c r="A801" s="7">
        <v>44570</v>
      </c>
      <c r="B801" s="8" t="s">
        <v>1061</v>
      </c>
      <c r="C801" s="9" t="s">
        <v>62</v>
      </c>
      <c r="D801" s="10">
        <v>8240</v>
      </c>
      <c r="E801" s="11">
        <v>44570</v>
      </c>
      <c r="F801" s="10">
        <v>8240</v>
      </c>
      <c r="G801" s="12">
        <f>Tabla1[[#This Row],[Importe]]-Tabla1[[#This Row],[Pagado]]</f>
        <v>0</v>
      </c>
      <c r="H801" s="9" t="s">
        <v>10</v>
      </c>
    </row>
    <row r="802" spans="1:8" x14ac:dyDescent="0.25">
      <c r="A802" s="7">
        <v>44570</v>
      </c>
      <c r="B802" s="8" t="s">
        <v>1062</v>
      </c>
      <c r="C802" s="9" t="s">
        <v>53</v>
      </c>
      <c r="D802" s="10">
        <v>1295</v>
      </c>
      <c r="E802" s="11">
        <v>44570</v>
      </c>
      <c r="F802" s="10">
        <v>1295</v>
      </c>
      <c r="G802" s="12">
        <f>Tabla1[[#This Row],[Importe]]-Tabla1[[#This Row],[Pagado]]</f>
        <v>0</v>
      </c>
      <c r="H802" s="9" t="s">
        <v>10</v>
      </c>
    </row>
    <row r="803" spans="1:8" x14ac:dyDescent="0.25">
      <c r="A803" s="7">
        <v>44570</v>
      </c>
      <c r="B803" s="8" t="s">
        <v>1063</v>
      </c>
      <c r="C803" s="9" t="s">
        <v>1064</v>
      </c>
      <c r="D803" s="10">
        <v>2051.6</v>
      </c>
      <c r="E803" s="11">
        <v>44570</v>
      </c>
      <c r="F803" s="10">
        <v>2051.6</v>
      </c>
      <c r="G803" s="12">
        <f>Tabla1[[#This Row],[Importe]]-Tabla1[[#This Row],[Pagado]]</f>
        <v>0</v>
      </c>
      <c r="H803" s="9" t="s">
        <v>10</v>
      </c>
    </row>
    <row r="804" spans="1:8" x14ac:dyDescent="0.25">
      <c r="A804" s="7">
        <v>44570</v>
      </c>
      <c r="B804" s="8" t="s">
        <v>1065</v>
      </c>
      <c r="C804" s="9" t="s">
        <v>1064</v>
      </c>
      <c r="D804" s="10">
        <v>1907.8</v>
      </c>
      <c r="E804" s="11">
        <v>44570</v>
      </c>
      <c r="F804" s="10">
        <v>1907.8</v>
      </c>
      <c r="G804" s="12">
        <f>Tabla1[[#This Row],[Importe]]-Tabla1[[#This Row],[Pagado]]</f>
        <v>0</v>
      </c>
      <c r="H804" s="9" t="s">
        <v>10</v>
      </c>
    </row>
    <row r="805" spans="1:8" x14ac:dyDescent="0.25">
      <c r="A805" s="7">
        <v>44570</v>
      </c>
      <c r="B805" s="8" t="s">
        <v>1066</v>
      </c>
      <c r="C805" s="9" t="s">
        <v>296</v>
      </c>
      <c r="D805" s="10">
        <v>2175</v>
      </c>
      <c r="E805" s="11">
        <v>44570</v>
      </c>
      <c r="F805" s="10">
        <v>2175</v>
      </c>
      <c r="G805" s="12">
        <f>Tabla1[[#This Row],[Importe]]-Tabla1[[#This Row],[Pagado]]</f>
        <v>0</v>
      </c>
      <c r="H805" s="9" t="s">
        <v>10</v>
      </c>
    </row>
    <row r="806" spans="1:8" x14ac:dyDescent="0.25">
      <c r="A806" s="7">
        <v>44570</v>
      </c>
      <c r="B806" s="8" t="s">
        <v>1067</v>
      </c>
      <c r="C806" s="9" t="s">
        <v>414</v>
      </c>
      <c r="D806" s="10">
        <v>43421.7</v>
      </c>
      <c r="E806" s="11">
        <v>44620</v>
      </c>
      <c r="F806" s="10">
        <v>43421.7</v>
      </c>
      <c r="G806" s="12">
        <f>Tabla1[[#This Row],[Importe]]-Tabla1[[#This Row],[Pagado]]</f>
        <v>0</v>
      </c>
      <c r="H806" s="9" t="s">
        <v>10</v>
      </c>
    </row>
    <row r="807" spans="1:8" x14ac:dyDescent="0.25">
      <c r="A807" s="7">
        <v>44570</v>
      </c>
      <c r="B807" s="8" t="s">
        <v>1068</v>
      </c>
      <c r="C807" s="9" t="s">
        <v>71</v>
      </c>
      <c r="D807" s="10">
        <v>1375.2</v>
      </c>
      <c r="E807" s="11">
        <v>44570</v>
      </c>
      <c r="F807" s="10">
        <v>1375.2</v>
      </c>
      <c r="G807" s="12">
        <f>Tabla1[[#This Row],[Importe]]-Tabla1[[#This Row],[Pagado]]</f>
        <v>0</v>
      </c>
      <c r="H807" s="9" t="s">
        <v>10</v>
      </c>
    </row>
    <row r="808" spans="1:8" x14ac:dyDescent="0.25">
      <c r="A808" s="7">
        <v>44570</v>
      </c>
      <c r="B808" s="8" t="s">
        <v>1069</v>
      </c>
      <c r="C808" s="9" t="s">
        <v>31</v>
      </c>
      <c r="D808" s="10">
        <v>2090.4</v>
      </c>
      <c r="E808" s="11">
        <v>44570</v>
      </c>
      <c r="F808" s="10">
        <v>2090.4</v>
      </c>
      <c r="G808" s="12">
        <f>Tabla1[[#This Row],[Importe]]-Tabla1[[#This Row],[Pagado]]</f>
        <v>0</v>
      </c>
      <c r="H808" s="9" t="s">
        <v>10</v>
      </c>
    </row>
    <row r="809" spans="1:8" x14ac:dyDescent="0.25">
      <c r="A809" s="7">
        <v>44570</v>
      </c>
      <c r="B809" s="8" t="s">
        <v>1070</v>
      </c>
      <c r="C809" s="9" t="s">
        <v>149</v>
      </c>
      <c r="D809" s="10">
        <v>2372</v>
      </c>
      <c r="E809" s="11">
        <v>44570</v>
      </c>
      <c r="F809" s="10">
        <v>2372</v>
      </c>
      <c r="G809" s="12">
        <f>Tabla1[[#This Row],[Importe]]-Tabla1[[#This Row],[Pagado]]</f>
        <v>0</v>
      </c>
      <c r="H809" s="9" t="s">
        <v>10</v>
      </c>
    </row>
    <row r="810" spans="1:8" x14ac:dyDescent="0.25">
      <c r="A810" s="7">
        <v>44570</v>
      </c>
      <c r="B810" s="8" t="s">
        <v>1071</v>
      </c>
      <c r="C810" s="9" t="s">
        <v>53</v>
      </c>
      <c r="D810" s="10">
        <v>588</v>
      </c>
      <c r="E810" s="11">
        <v>44570</v>
      </c>
      <c r="F810" s="10">
        <v>588</v>
      </c>
      <c r="G810" s="12">
        <f>Tabla1[[#This Row],[Importe]]-Tabla1[[#This Row],[Pagado]]</f>
        <v>0</v>
      </c>
      <c r="H810" s="9" t="s">
        <v>10</v>
      </c>
    </row>
    <row r="811" spans="1:8" x14ac:dyDescent="0.25">
      <c r="A811" s="7">
        <v>44570</v>
      </c>
      <c r="B811" s="8" t="s">
        <v>1072</v>
      </c>
      <c r="C811" s="9" t="s">
        <v>56</v>
      </c>
      <c r="D811" s="10">
        <v>3286.5</v>
      </c>
      <c r="E811" s="11">
        <v>44570</v>
      </c>
      <c r="F811" s="10">
        <v>3286.5</v>
      </c>
      <c r="G811" s="12">
        <f>Tabla1[[#This Row],[Importe]]-Tabla1[[#This Row],[Pagado]]</f>
        <v>0</v>
      </c>
      <c r="H811" s="9" t="s">
        <v>10</v>
      </c>
    </row>
    <row r="812" spans="1:8" x14ac:dyDescent="0.25">
      <c r="A812" s="7">
        <v>44570</v>
      </c>
      <c r="B812" s="8" t="s">
        <v>1073</v>
      </c>
      <c r="C812" s="9" t="s">
        <v>16</v>
      </c>
      <c r="D812" s="10">
        <v>986.4</v>
      </c>
      <c r="E812" s="11">
        <v>44570</v>
      </c>
      <c r="F812" s="10">
        <v>986.4</v>
      </c>
      <c r="G812" s="12">
        <f>Tabla1[[#This Row],[Importe]]-Tabla1[[#This Row],[Pagado]]</f>
        <v>0</v>
      </c>
      <c r="H812" s="9" t="s">
        <v>10</v>
      </c>
    </row>
    <row r="813" spans="1:8" x14ac:dyDescent="0.25">
      <c r="A813" s="7">
        <v>44571</v>
      </c>
      <c r="B813" s="8" t="s">
        <v>1074</v>
      </c>
      <c r="C813" s="9" t="s">
        <v>475</v>
      </c>
      <c r="D813" s="10">
        <v>47085.5</v>
      </c>
      <c r="E813" s="11">
        <v>44573</v>
      </c>
      <c r="F813" s="10">
        <v>47085.5</v>
      </c>
      <c r="G813" s="12">
        <f>Tabla1[[#This Row],[Importe]]-Tabla1[[#This Row],[Pagado]]</f>
        <v>0</v>
      </c>
      <c r="H813" s="9" t="s">
        <v>10</v>
      </c>
    </row>
    <row r="814" spans="1:8" x14ac:dyDescent="0.25">
      <c r="A814" s="7">
        <v>44571</v>
      </c>
      <c r="B814" s="8" t="s">
        <v>1075</v>
      </c>
      <c r="C814" s="9" t="s">
        <v>481</v>
      </c>
      <c r="D814" s="10">
        <v>3260.6</v>
      </c>
      <c r="E814" s="11">
        <v>44571</v>
      </c>
      <c r="F814" s="10">
        <v>3260.6</v>
      </c>
      <c r="G814" s="12">
        <f>Tabla1[[#This Row],[Importe]]-Tabla1[[#This Row],[Pagado]]</f>
        <v>0</v>
      </c>
      <c r="H814" s="9" t="s">
        <v>10</v>
      </c>
    </row>
    <row r="815" spans="1:8" x14ac:dyDescent="0.25">
      <c r="A815" s="7">
        <v>44571</v>
      </c>
      <c r="B815" s="8" t="s">
        <v>1076</v>
      </c>
      <c r="C815" s="9" t="s">
        <v>212</v>
      </c>
      <c r="D815" s="10">
        <v>38015.199999999997</v>
      </c>
      <c r="E815" s="11">
        <v>44576</v>
      </c>
      <c r="F815" s="10">
        <v>38015.199999999997</v>
      </c>
      <c r="G815" s="12">
        <f>Tabla1[[#This Row],[Importe]]-Tabla1[[#This Row],[Pagado]]</f>
        <v>0</v>
      </c>
      <c r="H815" s="9" t="s">
        <v>10</v>
      </c>
    </row>
    <row r="816" spans="1:8" x14ac:dyDescent="0.25">
      <c r="A816" s="7">
        <v>44571</v>
      </c>
      <c r="B816" s="8" t="s">
        <v>1077</v>
      </c>
      <c r="C816" s="9" t="s">
        <v>12</v>
      </c>
      <c r="D816" s="10">
        <v>57802.35</v>
      </c>
      <c r="E816" s="11">
        <v>44572</v>
      </c>
      <c r="F816" s="10">
        <v>57802.35</v>
      </c>
      <c r="G816" s="12">
        <f>Tabla1[[#This Row],[Importe]]-Tabla1[[#This Row],[Pagado]]</f>
        <v>0</v>
      </c>
      <c r="H816" s="9" t="s">
        <v>10</v>
      </c>
    </row>
    <row r="817" spans="1:8" x14ac:dyDescent="0.25">
      <c r="A817" s="7">
        <v>44571</v>
      </c>
      <c r="B817" s="8" t="s">
        <v>1078</v>
      </c>
      <c r="C817" s="9" t="s">
        <v>75</v>
      </c>
      <c r="D817" s="10">
        <v>4855.8999999999996</v>
      </c>
      <c r="E817" s="11">
        <v>44571</v>
      </c>
      <c r="F817" s="10">
        <v>4855.8999999999996</v>
      </c>
      <c r="G817" s="12">
        <f>Tabla1[[#This Row],[Importe]]-Tabla1[[#This Row],[Pagado]]</f>
        <v>0</v>
      </c>
      <c r="H817" s="9" t="s">
        <v>10</v>
      </c>
    </row>
    <row r="818" spans="1:8" x14ac:dyDescent="0.25">
      <c r="A818" s="7">
        <v>44571</v>
      </c>
      <c r="B818" s="8" t="s">
        <v>1079</v>
      </c>
      <c r="C818" s="9" t="s">
        <v>83</v>
      </c>
      <c r="D818" s="10">
        <v>4637.2</v>
      </c>
      <c r="E818" s="11">
        <v>44571</v>
      </c>
      <c r="F818" s="10">
        <v>4637.2</v>
      </c>
      <c r="G818" s="12">
        <f>Tabla1[[#This Row],[Importe]]-Tabla1[[#This Row],[Pagado]]</f>
        <v>0</v>
      </c>
      <c r="H818" s="9" t="s">
        <v>10</v>
      </c>
    </row>
    <row r="819" spans="1:8" x14ac:dyDescent="0.25">
      <c r="A819" s="7">
        <v>44571</v>
      </c>
      <c r="B819" s="8" t="s">
        <v>1080</v>
      </c>
      <c r="C819" s="9" t="s">
        <v>79</v>
      </c>
      <c r="D819" s="10">
        <v>6130.5</v>
      </c>
      <c r="E819" s="11">
        <v>44571</v>
      </c>
      <c r="F819" s="10">
        <v>6130.5</v>
      </c>
      <c r="G819" s="12">
        <f>Tabla1[[#This Row],[Importe]]-Tabla1[[#This Row],[Pagado]]</f>
        <v>0</v>
      </c>
      <c r="H819" s="9" t="s">
        <v>10</v>
      </c>
    </row>
    <row r="820" spans="1:8" x14ac:dyDescent="0.25">
      <c r="A820" s="7">
        <v>44571</v>
      </c>
      <c r="B820" s="8" t="s">
        <v>1081</v>
      </c>
      <c r="C820" s="9" t="s">
        <v>79</v>
      </c>
      <c r="D820" s="10">
        <v>4142.3</v>
      </c>
      <c r="E820" s="11">
        <v>44571</v>
      </c>
      <c r="F820" s="10">
        <v>4142.3</v>
      </c>
      <c r="G820" s="12">
        <f>Tabla1[[#This Row],[Importe]]-Tabla1[[#This Row],[Pagado]]</f>
        <v>0</v>
      </c>
      <c r="H820" s="9" t="s">
        <v>10</v>
      </c>
    </row>
    <row r="821" spans="1:8" x14ac:dyDescent="0.25">
      <c r="A821" s="7">
        <v>44571</v>
      </c>
      <c r="B821" s="8" t="s">
        <v>1082</v>
      </c>
      <c r="C821" s="9" t="s">
        <v>87</v>
      </c>
      <c r="D821" s="10">
        <v>2555.6999999999998</v>
      </c>
      <c r="E821" s="11">
        <v>44571</v>
      </c>
      <c r="F821" s="10">
        <v>2555.6999999999998</v>
      </c>
      <c r="G821" s="12">
        <f>Tabla1[[#This Row],[Importe]]-Tabla1[[#This Row],[Pagado]]</f>
        <v>0</v>
      </c>
      <c r="H821" s="9" t="s">
        <v>10</v>
      </c>
    </row>
    <row r="822" spans="1:8" x14ac:dyDescent="0.25">
      <c r="A822" s="7">
        <v>44571</v>
      </c>
      <c r="B822" s="8" t="s">
        <v>1083</v>
      </c>
      <c r="C822" s="9" t="s">
        <v>9</v>
      </c>
      <c r="D822" s="10">
        <v>5702.5</v>
      </c>
      <c r="E822" s="11">
        <v>44571</v>
      </c>
      <c r="F822" s="10">
        <v>5702.5</v>
      </c>
      <c r="G822" s="12">
        <f>Tabla1[[#This Row],[Importe]]-Tabla1[[#This Row],[Pagado]]</f>
        <v>0</v>
      </c>
      <c r="H822" s="9" t="s">
        <v>10</v>
      </c>
    </row>
    <row r="823" spans="1:8" x14ac:dyDescent="0.25">
      <c r="A823" s="7">
        <v>44571</v>
      </c>
      <c r="B823" s="8" t="s">
        <v>1084</v>
      </c>
      <c r="C823" s="9" t="s">
        <v>64</v>
      </c>
      <c r="D823" s="10">
        <v>4029.9</v>
      </c>
      <c r="E823" s="11">
        <v>44572</v>
      </c>
      <c r="F823" s="10">
        <v>4029.9</v>
      </c>
      <c r="G823" s="12">
        <f>Tabla1[[#This Row],[Importe]]-Tabla1[[#This Row],[Pagado]]</f>
        <v>0</v>
      </c>
      <c r="H823" s="9" t="s">
        <v>10</v>
      </c>
    </row>
    <row r="824" spans="1:8" x14ac:dyDescent="0.25">
      <c r="A824" s="7">
        <v>44571</v>
      </c>
      <c r="B824" s="8" t="s">
        <v>1085</v>
      </c>
      <c r="C824" s="9" t="s">
        <v>314</v>
      </c>
      <c r="D824" s="10">
        <v>955.5</v>
      </c>
      <c r="E824" s="11">
        <v>44571</v>
      </c>
      <c r="F824" s="10">
        <v>955.5</v>
      </c>
      <c r="G824" s="12">
        <f>Tabla1[[#This Row],[Importe]]-Tabla1[[#This Row],[Pagado]]</f>
        <v>0</v>
      </c>
      <c r="H824" s="9" t="s">
        <v>10</v>
      </c>
    </row>
    <row r="825" spans="1:8" x14ac:dyDescent="0.25">
      <c r="A825" s="7">
        <v>44571</v>
      </c>
      <c r="B825" s="8" t="s">
        <v>1086</v>
      </c>
      <c r="C825" s="9" t="s">
        <v>120</v>
      </c>
      <c r="D825" s="10">
        <v>4736.7</v>
      </c>
      <c r="E825" s="11">
        <v>44573</v>
      </c>
      <c r="F825" s="10">
        <v>4736.7</v>
      </c>
      <c r="G825" s="12">
        <f>Tabla1[[#This Row],[Importe]]-Tabla1[[#This Row],[Pagado]]</f>
        <v>0</v>
      </c>
      <c r="H825" s="9" t="s">
        <v>10</v>
      </c>
    </row>
    <row r="826" spans="1:8" x14ac:dyDescent="0.25">
      <c r="A826" s="7">
        <v>44571</v>
      </c>
      <c r="B826" s="8" t="s">
        <v>1087</v>
      </c>
      <c r="C826" s="9" t="s">
        <v>111</v>
      </c>
      <c r="D826" s="10">
        <v>4015</v>
      </c>
      <c r="E826" s="11">
        <v>44572</v>
      </c>
      <c r="F826" s="10">
        <v>4015</v>
      </c>
      <c r="G826" s="12">
        <f>Tabla1[[#This Row],[Importe]]-Tabla1[[#This Row],[Pagado]]</f>
        <v>0</v>
      </c>
      <c r="H826" s="9" t="s">
        <v>10</v>
      </c>
    </row>
    <row r="827" spans="1:8" x14ac:dyDescent="0.25">
      <c r="A827" s="7">
        <v>44571</v>
      </c>
      <c r="B827" s="8" t="s">
        <v>1088</v>
      </c>
      <c r="C827" s="9" t="s">
        <v>109</v>
      </c>
      <c r="D827" s="10">
        <v>4515.5</v>
      </c>
      <c r="E827" s="11">
        <v>44572</v>
      </c>
      <c r="F827" s="10">
        <v>4515.5</v>
      </c>
      <c r="G827" s="12">
        <f>Tabla1[[#This Row],[Importe]]-Tabla1[[#This Row],[Pagado]]</f>
        <v>0</v>
      </c>
      <c r="H827" s="9" t="s">
        <v>10</v>
      </c>
    </row>
    <row r="828" spans="1:8" x14ac:dyDescent="0.25">
      <c r="A828" s="7">
        <v>44571</v>
      </c>
      <c r="B828" s="8" t="s">
        <v>1089</v>
      </c>
      <c r="C828" s="9" t="s">
        <v>326</v>
      </c>
      <c r="D828" s="10">
        <v>4438.5</v>
      </c>
      <c r="E828" s="11">
        <v>44572</v>
      </c>
      <c r="F828" s="10">
        <v>4438.5</v>
      </c>
      <c r="G828" s="12">
        <f>Tabla1[[#This Row],[Importe]]-Tabla1[[#This Row],[Pagado]]</f>
        <v>0</v>
      </c>
      <c r="H828" s="9" t="s">
        <v>10</v>
      </c>
    </row>
    <row r="829" spans="1:8" x14ac:dyDescent="0.25">
      <c r="A829" s="7">
        <v>44571</v>
      </c>
      <c r="B829" s="8" t="s">
        <v>1090</v>
      </c>
      <c r="C829" s="9" t="s">
        <v>154</v>
      </c>
      <c r="D829" s="10">
        <v>31746.9</v>
      </c>
      <c r="E829" s="11">
        <v>44574</v>
      </c>
      <c r="F829" s="10">
        <v>31746.9</v>
      </c>
      <c r="G829" s="12">
        <f>Tabla1[[#This Row],[Importe]]-Tabla1[[#This Row],[Pagado]]</f>
        <v>0</v>
      </c>
      <c r="H829" s="9" t="s">
        <v>10</v>
      </c>
    </row>
    <row r="830" spans="1:8" x14ac:dyDescent="0.25">
      <c r="A830" s="7">
        <v>44571</v>
      </c>
      <c r="B830" s="8" t="s">
        <v>1091</v>
      </c>
      <c r="C830" s="9" t="s">
        <v>118</v>
      </c>
      <c r="D830" s="10">
        <v>4463.2</v>
      </c>
      <c r="E830" s="11">
        <v>44571</v>
      </c>
      <c r="F830" s="10">
        <v>4463.2</v>
      </c>
      <c r="G830" s="12">
        <f>Tabla1[[#This Row],[Importe]]-Tabla1[[#This Row],[Pagado]]</f>
        <v>0</v>
      </c>
      <c r="H830" s="9" t="s">
        <v>10</v>
      </c>
    </row>
    <row r="831" spans="1:8" x14ac:dyDescent="0.25">
      <c r="A831" s="7">
        <v>44571</v>
      </c>
      <c r="B831" s="8" t="s">
        <v>1092</v>
      </c>
      <c r="C831" s="9" t="s">
        <v>218</v>
      </c>
      <c r="D831" s="10">
        <v>7814.4</v>
      </c>
      <c r="E831" s="11">
        <v>44574</v>
      </c>
      <c r="F831" s="10">
        <v>7814.4</v>
      </c>
      <c r="G831" s="12">
        <f>Tabla1[[#This Row],[Importe]]-Tabla1[[#This Row],[Pagado]]</f>
        <v>0</v>
      </c>
      <c r="H831" s="9" t="s">
        <v>10</v>
      </c>
    </row>
    <row r="832" spans="1:8" x14ac:dyDescent="0.25">
      <c r="A832" s="7">
        <v>44571</v>
      </c>
      <c r="B832" s="8" t="s">
        <v>1093</v>
      </c>
      <c r="C832" s="9" t="s">
        <v>60</v>
      </c>
      <c r="D832" s="10">
        <v>4408.8999999999996</v>
      </c>
      <c r="E832" s="11">
        <v>44576</v>
      </c>
      <c r="F832" s="10">
        <v>4408.8999999999996</v>
      </c>
      <c r="G832" s="12">
        <f>Tabla1[[#This Row],[Importe]]-Tabla1[[#This Row],[Pagado]]</f>
        <v>0</v>
      </c>
      <c r="H832" s="9" t="s">
        <v>10</v>
      </c>
    </row>
    <row r="833" spans="1:8" x14ac:dyDescent="0.25">
      <c r="A833" s="7">
        <v>44571</v>
      </c>
      <c r="B833" s="8" t="s">
        <v>1094</v>
      </c>
      <c r="C833" s="9" t="s">
        <v>114</v>
      </c>
      <c r="D833" s="10">
        <v>5408.5</v>
      </c>
      <c r="E833" s="11">
        <v>44572</v>
      </c>
      <c r="F833" s="10">
        <v>5408.5</v>
      </c>
      <c r="G833" s="12">
        <f>Tabla1[[#This Row],[Importe]]-Tabla1[[#This Row],[Pagado]]</f>
        <v>0</v>
      </c>
      <c r="H833" s="9" t="s">
        <v>10</v>
      </c>
    </row>
    <row r="834" spans="1:8" ht="30" x14ac:dyDescent="0.25">
      <c r="A834" s="7">
        <v>44571</v>
      </c>
      <c r="B834" s="8" t="s">
        <v>1095</v>
      </c>
      <c r="C834" s="9" t="s">
        <v>93</v>
      </c>
      <c r="D834" s="10">
        <v>6879.3</v>
      </c>
      <c r="E834" s="11" t="s">
        <v>920</v>
      </c>
      <c r="F834" s="10">
        <f>4000+2879.3</f>
        <v>6879.3</v>
      </c>
      <c r="G834" s="12">
        <f>Tabla1[[#This Row],[Importe]]-Tabla1[[#This Row],[Pagado]]</f>
        <v>0</v>
      </c>
      <c r="H834" s="9" t="s">
        <v>10</v>
      </c>
    </row>
    <row r="835" spans="1:8" x14ac:dyDescent="0.25">
      <c r="A835" s="7">
        <v>44571</v>
      </c>
      <c r="B835" s="8" t="s">
        <v>1096</v>
      </c>
      <c r="C835" s="9" t="s">
        <v>97</v>
      </c>
      <c r="D835" s="10">
        <v>9437.6</v>
      </c>
      <c r="E835" s="11">
        <v>44573</v>
      </c>
      <c r="F835" s="10">
        <v>9437.6</v>
      </c>
      <c r="G835" s="12">
        <f>Tabla1[[#This Row],[Importe]]-Tabla1[[#This Row],[Pagado]]</f>
        <v>0</v>
      </c>
      <c r="H835" s="9" t="s">
        <v>10</v>
      </c>
    </row>
    <row r="836" spans="1:8" x14ac:dyDescent="0.25">
      <c r="A836" s="7">
        <v>44571</v>
      </c>
      <c r="B836" s="8" t="s">
        <v>1097</v>
      </c>
      <c r="C836" s="9" t="s">
        <v>137</v>
      </c>
      <c r="D836" s="10">
        <v>18285</v>
      </c>
      <c r="E836" s="11">
        <v>44571</v>
      </c>
      <c r="F836" s="10">
        <v>18285</v>
      </c>
      <c r="G836" s="12">
        <f>Tabla1[[#This Row],[Importe]]-Tabla1[[#This Row],[Pagado]]</f>
        <v>0</v>
      </c>
      <c r="H836" s="9" t="s">
        <v>10</v>
      </c>
    </row>
    <row r="837" spans="1:8" x14ac:dyDescent="0.25">
      <c r="A837" s="7">
        <v>44571</v>
      </c>
      <c r="B837" s="8" t="s">
        <v>1098</v>
      </c>
      <c r="C837" s="9" t="s">
        <v>137</v>
      </c>
      <c r="D837" s="10">
        <v>4898</v>
      </c>
      <c r="E837" s="11">
        <v>44571</v>
      </c>
      <c r="F837" s="10">
        <v>4898</v>
      </c>
      <c r="G837" s="12">
        <f>Tabla1[[#This Row],[Importe]]-Tabla1[[#This Row],[Pagado]]</f>
        <v>0</v>
      </c>
      <c r="H837" s="9" t="s">
        <v>10</v>
      </c>
    </row>
    <row r="838" spans="1:8" x14ac:dyDescent="0.25">
      <c r="A838" s="7">
        <v>44571</v>
      </c>
      <c r="B838" s="8" t="s">
        <v>1099</v>
      </c>
      <c r="C838" s="9" t="s">
        <v>105</v>
      </c>
      <c r="D838" s="10">
        <v>14469</v>
      </c>
      <c r="E838" s="11">
        <v>44572</v>
      </c>
      <c r="F838" s="10">
        <v>14469</v>
      </c>
      <c r="G838" s="12">
        <f>Tabla1[[#This Row],[Importe]]-Tabla1[[#This Row],[Pagado]]</f>
        <v>0</v>
      </c>
      <c r="H838" s="9" t="s">
        <v>10</v>
      </c>
    </row>
    <row r="839" spans="1:8" x14ac:dyDescent="0.25">
      <c r="A839" s="7">
        <v>44571</v>
      </c>
      <c r="B839" s="8" t="s">
        <v>1100</v>
      </c>
      <c r="C839" s="9" t="s">
        <v>466</v>
      </c>
      <c r="D839" s="10">
        <v>3855</v>
      </c>
      <c r="E839" s="11">
        <v>44571</v>
      </c>
      <c r="F839" s="10">
        <v>3855</v>
      </c>
      <c r="G839" s="12">
        <f>Tabla1[[#This Row],[Importe]]-Tabla1[[#This Row],[Pagado]]</f>
        <v>0</v>
      </c>
      <c r="H839" s="9" t="s">
        <v>10</v>
      </c>
    </row>
    <row r="840" spans="1:8" x14ac:dyDescent="0.25">
      <c r="A840" s="7">
        <v>44571</v>
      </c>
      <c r="B840" s="8" t="s">
        <v>1101</v>
      </c>
      <c r="C840" s="9" t="s">
        <v>345</v>
      </c>
      <c r="D840" s="10">
        <v>945.7</v>
      </c>
      <c r="E840" s="11">
        <v>44571</v>
      </c>
      <c r="F840" s="10">
        <v>945.7</v>
      </c>
      <c r="G840" s="12">
        <f>Tabla1[[#This Row],[Importe]]-Tabla1[[#This Row],[Pagado]]</f>
        <v>0</v>
      </c>
      <c r="H840" s="9" t="s">
        <v>10</v>
      </c>
    </row>
    <row r="841" spans="1:8" x14ac:dyDescent="0.25">
      <c r="A841" s="7">
        <v>44571</v>
      </c>
      <c r="B841" s="8" t="s">
        <v>1102</v>
      </c>
      <c r="C841" s="9" t="s">
        <v>22</v>
      </c>
      <c r="D841" s="10">
        <v>23747</v>
      </c>
      <c r="E841" s="11">
        <v>44572</v>
      </c>
      <c r="F841" s="10">
        <v>23747</v>
      </c>
      <c r="G841" s="12">
        <f>Tabla1[[#This Row],[Importe]]-Tabla1[[#This Row],[Pagado]]</f>
        <v>0</v>
      </c>
      <c r="H841" s="9" t="s">
        <v>10</v>
      </c>
    </row>
    <row r="842" spans="1:8" x14ac:dyDescent="0.25">
      <c r="A842" s="7">
        <v>44571</v>
      </c>
      <c r="B842" s="8" t="s">
        <v>1103</v>
      </c>
      <c r="C842" s="9" t="s">
        <v>27</v>
      </c>
      <c r="D842" s="10">
        <v>4669.8999999999996</v>
      </c>
      <c r="E842" s="11">
        <v>44571</v>
      </c>
      <c r="F842" s="10">
        <v>4669.8999999999996</v>
      </c>
      <c r="G842" s="12">
        <f>Tabla1[[#This Row],[Importe]]-Tabla1[[#This Row],[Pagado]]</f>
        <v>0</v>
      </c>
      <c r="H842" s="9" t="s">
        <v>10</v>
      </c>
    </row>
    <row r="843" spans="1:8" x14ac:dyDescent="0.25">
      <c r="A843" s="7">
        <v>44571</v>
      </c>
      <c r="B843" s="8" t="s">
        <v>1104</v>
      </c>
      <c r="C843" s="9" t="s">
        <v>206</v>
      </c>
      <c r="D843" s="10">
        <v>26819.1</v>
      </c>
      <c r="E843" s="11">
        <v>44574</v>
      </c>
      <c r="F843" s="10">
        <v>26819.1</v>
      </c>
      <c r="G843" s="12">
        <f>Tabla1[[#This Row],[Importe]]-Tabla1[[#This Row],[Pagado]]</f>
        <v>0</v>
      </c>
      <c r="H843" s="9" t="s">
        <v>10</v>
      </c>
    </row>
    <row r="844" spans="1:8" x14ac:dyDescent="0.25">
      <c r="A844" s="7">
        <v>44571</v>
      </c>
      <c r="B844" s="8" t="s">
        <v>1105</v>
      </c>
      <c r="C844" s="9" t="s">
        <v>373</v>
      </c>
      <c r="D844" s="10">
        <v>494.9</v>
      </c>
      <c r="E844" s="11">
        <v>44571</v>
      </c>
      <c r="F844" s="10">
        <v>494.9</v>
      </c>
      <c r="G844" s="12">
        <f>Tabla1[[#This Row],[Importe]]-Tabla1[[#This Row],[Pagado]]</f>
        <v>0</v>
      </c>
      <c r="H844" s="9" t="s">
        <v>10</v>
      </c>
    </row>
    <row r="845" spans="1:8" x14ac:dyDescent="0.25">
      <c r="A845" s="7">
        <v>44571</v>
      </c>
      <c r="B845" s="8" t="s">
        <v>1106</v>
      </c>
      <c r="C845" s="9" t="s">
        <v>22</v>
      </c>
      <c r="D845" s="10">
        <v>2359</v>
      </c>
      <c r="E845" s="11">
        <v>44572</v>
      </c>
      <c r="F845" s="10">
        <v>2359</v>
      </c>
      <c r="G845" s="12">
        <f>Tabla1[[#This Row],[Importe]]-Tabla1[[#This Row],[Pagado]]</f>
        <v>0</v>
      </c>
      <c r="H845" s="9" t="s">
        <v>10</v>
      </c>
    </row>
    <row r="846" spans="1:8" x14ac:dyDescent="0.25">
      <c r="A846" s="7">
        <v>44571</v>
      </c>
      <c r="B846" s="8" t="s">
        <v>1107</v>
      </c>
      <c r="C846" s="9" t="s">
        <v>89</v>
      </c>
      <c r="D846" s="10">
        <v>4490.5</v>
      </c>
      <c r="E846" s="11">
        <v>44572</v>
      </c>
      <c r="F846" s="10">
        <v>4490.5</v>
      </c>
      <c r="G846" s="12">
        <f>Tabla1[[#This Row],[Importe]]-Tabla1[[#This Row],[Pagado]]</f>
        <v>0</v>
      </c>
      <c r="H846" s="9" t="s">
        <v>10</v>
      </c>
    </row>
    <row r="847" spans="1:8" x14ac:dyDescent="0.25">
      <c r="A847" s="7">
        <v>44571</v>
      </c>
      <c r="B847" s="8" t="s">
        <v>1108</v>
      </c>
      <c r="C847" s="9" t="s">
        <v>348</v>
      </c>
      <c r="D847" s="10">
        <v>1862</v>
      </c>
      <c r="E847" s="11">
        <v>44571</v>
      </c>
      <c r="F847" s="10">
        <v>1862</v>
      </c>
      <c r="G847" s="12">
        <f>Tabla1[[#This Row],[Importe]]-Tabla1[[#This Row],[Pagado]]</f>
        <v>0</v>
      </c>
      <c r="H847" s="9" t="s">
        <v>10</v>
      </c>
    </row>
    <row r="848" spans="1:8" ht="30" x14ac:dyDescent="0.25">
      <c r="A848" s="7">
        <v>44571</v>
      </c>
      <c r="B848" s="8" t="s">
        <v>1109</v>
      </c>
      <c r="C848" s="9" t="s">
        <v>39</v>
      </c>
      <c r="D848" s="10">
        <v>26190.3</v>
      </c>
      <c r="E848" s="11" t="s">
        <v>1110</v>
      </c>
      <c r="F848" s="10">
        <f>4000+22190.3</f>
        <v>26190.3</v>
      </c>
      <c r="G848" s="12">
        <f>Tabla1[[#This Row],[Importe]]-Tabla1[[#This Row],[Pagado]]</f>
        <v>0</v>
      </c>
      <c r="H848" s="9" t="s">
        <v>10</v>
      </c>
    </row>
    <row r="849" spans="1:8" x14ac:dyDescent="0.25">
      <c r="A849" s="7">
        <v>44571</v>
      </c>
      <c r="B849" s="8" t="s">
        <v>1111</v>
      </c>
      <c r="C849" s="9" t="s">
        <v>924</v>
      </c>
      <c r="D849" s="10">
        <v>12755.6</v>
      </c>
      <c r="E849" s="11">
        <v>44571</v>
      </c>
      <c r="F849" s="10">
        <v>12755.6</v>
      </c>
      <c r="G849" s="12">
        <f>Tabla1[[#This Row],[Importe]]-Tabla1[[#This Row],[Pagado]]</f>
        <v>0</v>
      </c>
      <c r="H849" s="9" t="s">
        <v>10</v>
      </c>
    </row>
    <row r="850" spans="1:8" x14ac:dyDescent="0.25">
      <c r="A850" s="7">
        <v>44571</v>
      </c>
      <c r="B850" s="8" t="s">
        <v>1112</v>
      </c>
      <c r="C850" s="9" t="s">
        <v>208</v>
      </c>
      <c r="D850" s="10">
        <v>22894.58</v>
      </c>
      <c r="E850" s="11">
        <v>44579</v>
      </c>
      <c r="F850" s="10">
        <v>22894.58</v>
      </c>
      <c r="G850" s="12">
        <f>Tabla1[[#This Row],[Importe]]-Tabla1[[#This Row],[Pagado]]</f>
        <v>0</v>
      </c>
      <c r="H850" s="9" t="s">
        <v>10</v>
      </c>
    </row>
    <row r="851" spans="1:8" x14ac:dyDescent="0.25">
      <c r="A851" s="7">
        <v>44571</v>
      </c>
      <c r="B851" s="8" t="s">
        <v>1113</v>
      </c>
      <c r="C851" s="9" t="s">
        <v>224</v>
      </c>
      <c r="D851" s="10">
        <v>10842.8</v>
      </c>
      <c r="E851" s="11">
        <v>44582</v>
      </c>
      <c r="F851" s="10">
        <v>10842.8</v>
      </c>
      <c r="G851" s="12">
        <f>Tabla1[[#This Row],[Importe]]-Tabla1[[#This Row],[Pagado]]</f>
        <v>0</v>
      </c>
      <c r="H851" s="9" t="s">
        <v>10</v>
      </c>
    </row>
    <row r="852" spans="1:8" x14ac:dyDescent="0.25">
      <c r="A852" s="7">
        <v>44571</v>
      </c>
      <c r="B852" s="8" t="s">
        <v>1114</v>
      </c>
      <c r="C852" s="9" t="s">
        <v>159</v>
      </c>
      <c r="D852" s="10">
        <v>6230.5</v>
      </c>
      <c r="E852" s="11">
        <v>44571</v>
      </c>
      <c r="F852" s="10">
        <v>6230.5</v>
      </c>
      <c r="G852" s="12">
        <f>Tabla1[[#This Row],[Importe]]-Tabla1[[#This Row],[Pagado]]</f>
        <v>0</v>
      </c>
      <c r="H852" s="9" t="s">
        <v>10</v>
      </c>
    </row>
    <row r="853" spans="1:8" x14ac:dyDescent="0.25">
      <c r="A853" s="7">
        <v>44571</v>
      </c>
      <c r="B853" s="8" t="s">
        <v>1115</v>
      </c>
      <c r="C853" s="9" t="s">
        <v>520</v>
      </c>
      <c r="D853" s="10">
        <v>9204.2999999999993</v>
      </c>
      <c r="E853" s="11">
        <v>44571</v>
      </c>
      <c r="F853" s="10">
        <v>9204.2999999999993</v>
      </c>
      <c r="G853" s="12">
        <f>Tabla1[[#This Row],[Importe]]-Tabla1[[#This Row],[Pagado]]</f>
        <v>0</v>
      </c>
      <c r="H853" s="9" t="s">
        <v>10</v>
      </c>
    </row>
    <row r="854" spans="1:8" x14ac:dyDescent="0.25">
      <c r="A854" s="7">
        <v>44571</v>
      </c>
      <c r="B854" s="8" t="s">
        <v>1116</v>
      </c>
      <c r="C854" s="9" t="s">
        <v>319</v>
      </c>
      <c r="D854" s="10">
        <v>7896.5</v>
      </c>
      <c r="E854" s="11">
        <v>44571</v>
      </c>
      <c r="F854" s="10">
        <v>7896.5</v>
      </c>
      <c r="G854" s="12">
        <f>Tabla1[[#This Row],[Importe]]-Tabla1[[#This Row],[Pagado]]</f>
        <v>0</v>
      </c>
      <c r="H854" s="9" t="s">
        <v>10</v>
      </c>
    </row>
    <row r="855" spans="1:8" x14ac:dyDescent="0.25">
      <c r="A855" s="7">
        <v>44571</v>
      </c>
      <c r="B855" s="8" t="s">
        <v>1117</v>
      </c>
      <c r="C855" s="9" t="s">
        <v>1118</v>
      </c>
      <c r="D855" s="10">
        <v>0</v>
      </c>
      <c r="E855" s="13" t="s">
        <v>189</v>
      </c>
      <c r="F855" s="10">
        <v>0</v>
      </c>
      <c r="G855" s="12">
        <f>Tabla1[[#This Row],[Importe]]-Tabla1[[#This Row],[Pagado]]</f>
        <v>0</v>
      </c>
      <c r="H855" s="17" t="s">
        <v>1119</v>
      </c>
    </row>
    <row r="856" spans="1:8" x14ac:dyDescent="0.25">
      <c r="A856" s="7">
        <v>44571</v>
      </c>
      <c r="B856" s="8" t="s">
        <v>1120</v>
      </c>
      <c r="C856" s="9" t="s">
        <v>151</v>
      </c>
      <c r="D856" s="10">
        <v>12988.84</v>
      </c>
      <c r="E856" s="11">
        <v>44571</v>
      </c>
      <c r="F856" s="10">
        <v>12988.84</v>
      </c>
      <c r="G856" s="12">
        <f>Tabla1[[#This Row],[Importe]]-Tabla1[[#This Row],[Pagado]]</f>
        <v>0</v>
      </c>
      <c r="H856" s="9" t="s">
        <v>10</v>
      </c>
    </row>
    <row r="857" spans="1:8" x14ac:dyDescent="0.25">
      <c r="A857" s="7">
        <v>44571</v>
      </c>
      <c r="B857" s="8" t="s">
        <v>1121</v>
      </c>
      <c r="C857" s="9" t="s">
        <v>45</v>
      </c>
      <c r="D857" s="10">
        <v>11029</v>
      </c>
      <c r="E857" s="11">
        <v>44571</v>
      </c>
      <c r="F857" s="10">
        <v>11029</v>
      </c>
      <c r="G857" s="12">
        <f>Tabla1[[#This Row],[Importe]]-Tabla1[[#This Row],[Pagado]]</f>
        <v>0</v>
      </c>
      <c r="H857" s="9" t="s">
        <v>10</v>
      </c>
    </row>
    <row r="858" spans="1:8" x14ac:dyDescent="0.25">
      <c r="A858" s="7">
        <v>44571</v>
      </c>
      <c r="B858" s="8" t="s">
        <v>1122</v>
      </c>
      <c r="C858" s="9" t="s">
        <v>49</v>
      </c>
      <c r="D858" s="10">
        <v>2708.8</v>
      </c>
      <c r="E858" s="11">
        <v>44571</v>
      </c>
      <c r="F858" s="10">
        <v>2708.8</v>
      </c>
      <c r="G858" s="12">
        <f>Tabla1[[#This Row],[Importe]]-Tabla1[[#This Row],[Pagado]]</f>
        <v>0</v>
      </c>
      <c r="H858" s="9" t="s">
        <v>10</v>
      </c>
    </row>
    <row r="859" spans="1:8" x14ac:dyDescent="0.25">
      <c r="A859" s="7">
        <v>44571</v>
      </c>
      <c r="B859" s="8" t="s">
        <v>1123</v>
      </c>
      <c r="C859" s="9" t="s">
        <v>157</v>
      </c>
      <c r="D859" s="10">
        <v>2182.1999999999998</v>
      </c>
      <c r="E859" s="11">
        <v>44571</v>
      </c>
      <c r="F859" s="10">
        <v>2182.1999999999998</v>
      </c>
      <c r="G859" s="12">
        <f>Tabla1[[#This Row],[Importe]]-Tabla1[[#This Row],[Pagado]]</f>
        <v>0</v>
      </c>
      <c r="H859" s="9" t="s">
        <v>10</v>
      </c>
    </row>
    <row r="860" spans="1:8" x14ac:dyDescent="0.25">
      <c r="A860" s="7">
        <v>44571</v>
      </c>
      <c r="B860" s="8" t="s">
        <v>1124</v>
      </c>
      <c r="C860" s="9" t="s">
        <v>16</v>
      </c>
      <c r="D860" s="10">
        <v>4335.3999999999996</v>
      </c>
      <c r="E860" s="11">
        <v>44571</v>
      </c>
      <c r="F860" s="10">
        <v>4335.3999999999996</v>
      </c>
      <c r="G860" s="12">
        <f>Tabla1[[#This Row],[Importe]]-Tabla1[[#This Row],[Pagado]]</f>
        <v>0</v>
      </c>
      <c r="H860" s="9" t="s">
        <v>10</v>
      </c>
    </row>
    <row r="861" spans="1:8" x14ac:dyDescent="0.25">
      <c r="A861" s="7">
        <v>44571</v>
      </c>
      <c r="B861" s="8" t="s">
        <v>1125</v>
      </c>
      <c r="C861" s="9" t="s">
        <v>777</v>
      </c>
      <c r="D861" s="10">
        <v>414.4</v>
      </c>
      <c r="E861" s="11">
        <v>44571</v>
      </c>
      <c r="F861" s="10">
        <v>414.4</v>
      </c>
      <c r="G861" s="12">
        <f>Tabla1[[#This Row],[Importe]]-Tabla1[[#This Row],[Pagado]]</f>
        <v>0</v>
      </c>
      <c r="H861" s="9" t="s">
        <v>10</v>
      </c>
    </row>
    <row r="862" spans="1:8" x14ac:dyDescent="0.25">
      <c r="A862" s="7">
        <v>44571</v>
      </c>
      <c r="B862" s="8" t="s">
        <v>1126</v>
      </c>
      <c r="C862" s="9" t="s">
        <v>47</v>
      </c>
      <c r="D862" s="10">
        <v>1779.7</v>
      </c>
      <c r="E862" s="11">
        <v>44571</v>
      </c>
      <c r="F862" s="10">
        <v>1779.7</v>
      </c>
      <c r="G862" s="12">
        <f>Tabla1[[#This Row],[Importe]]-Tabla1[[#This Row],[Pagado]]</f>
        <v>0</v>
      </c>
      <c r="H862" s="9" t="s">
        <v>10</v>
      </c>
    </row>
    <row r="863" spans="1:8" x14ac:dyDescent="0.25">
      <c r="A863" s="7">
        <v>44571</v>
      </c>
      <c r="B863" s="8" t="s">
        <v>1127</v>
      </c>
      <c r="C863" s="9" t="s">
        <v>161</v>
      </c>
      <c r="D863" s="10">
        <v>3445</v>
      </c>
      <c r="E863" s="11">
        <v>44571</v>
      </c>
      <c r="F863" s="10">
        <v>3445</v>
      </c>
      <c r="G863" s="12">
        <f>Tabla1[[#This Row],[Importe]]-Tabla1[[#This Row],[Pagado]]</f>
        <v>0</v>
      </c>
      <c r="H863" s="9" t="s">
        <v>10</v>
      </c>
    </row>
    <row r="864" spans="1:8" x14ac:dyDescent="0.25">
      <c r="A864" s="7">
        <v>44571</v>
      </c>
      <c r="B864" s="8" t="s">
        <v>1128</v>
      </c>
      <c r="C864" s="9" t="s">
        <v>840</v>
      </c>
      <c r="D864" s="10">
        <v>5432</v>
      </c>
      <c r="E864" s="11">
        <v>44571</v>
      </c>
      <c r="F864" s="10">
        <v>5432</v>
      </c>
      <c r="G864" s="12">
        <f>Tabla1[[#This Row],[Importe]]-Tabla1[[#This Row],[Pagado]]</f>
        <v>0</v>
      </c>
      <c r="H864" s="9" t="s">
        <v>10</v>
      </c>
    </row>
    <row r="865" spans="1:8" x14ac:dyDescent="0.25">
      <c r="A865" s="7">
        <v>44571</v>
      </c>
      <c r="B865" s="8" t="s">
        <v>1129</v>
      </c>
      <c r="C865" s="9" t="s">
        <v>541</v>
      </c>
      <c r="D865" s="10">
        <v>9066</v>
      </c>
      <c r="E865" s="11">
        <v>44572</v>
      </c>
      <c r="F865" s="10">
        <v>9066</v>
      </c>
      <c r="G865" s="12">
        <f>Tabla1[[#This Row],[Importe]]-Tabla1[[#This Row],[Pagado]]</f>
        <v>0</v>
      </c>
      <c r="H865" s="9" t="s">
        <v>10</v>
      </c>
    </row>
    <row r="866" spans="1:8" x14ac:dyDescent="0.25">
      <c r="A866" s="7">
        <v>44571</v>
      </c>
      <c r="B866" s="8" t="s">
        <v>1130</v>
      </c>
      <c r="C866" s="9" t="s">
        <v>135</v>
      </c>
      <c r="D866" s="10">
        <v>1349</v>
      </c>
      <c r="E866" s="11">
        <v>44571</v>
      </c>
      <c r="F866" s="10">
        <v>1349</v>
      </c>
      <c r="G866" s="12">
        <f>Tabla1[[#This Row],[Importe]]-Tabla1[[#This Row],[Pagado]]</f>
        <v>0</v>
      </c>
      <c r="H866" s="9" t="s">
        <v>10</v>
      </c>
    </row>
    <row r="867" spans="1:8" x14ac:dyDescent="0.25">
      <c r="A867" s="7">
        <v>44571</v>
      </c>
      <c r="B867" s="8" t="s">
        <v>1131</v>
      </c>
      <c r="C867" s="9" t="s">
        <v>135</v>
      </c>
      <c r="D867" s="10">
        <v>177</v>
      </c>
      <c r="E867" s="11">
        <v>44571</v>
      </c>
      <c r="F867" s="10">
        <v>177</v>
      </c>
      <c r="G867" s="12">
        <f>Tabla1[[#This Row],[Importe]]-Tabla1[[#This Row],[Pagado]]</f>
        <v>0</v>
      </c>
      <c r="H867" s="9" t="s">
        <v>10</v>
      </c>
    </row>
    <row r="868" spans="1:8" x14ac:dyDescent="0.25">
      <c r="A868" s="7">
        <v>44571</v>
      </c>
      <c r="B868" s="8" t="s">
        <v>1132</v>
      </c>
      <c r="C868" s="9" t="s">
        <v>56</v>
      </c>
      <c r="D868" s="10">
        <v>6227</v>
      </c>
      <c r="E868" s="11">
        <v>44571</v>
      </c>
      <c r="F868" s="10">
        <v>6227</v>
      </c>
      <c r="G868" s="12">
        <f>Tabla1[[#This Row],[Importe]]-Tabla1[[#This Row],[Pagado]]</f>
        <v>0</v>
      </c>
      <c r="H868" s="9" t="s">
        <v>10</v>
      </c>
    </row>
    <row r="869" spans="1:8" x14ac:dyDescent="0.25">
      <c r="A869" s="7">
        <v>44571</v>
      </c>
      <c r="B869" s="8" t="s">
        <v>1133</v>
      </c>
      <c r="C869" s="9" t="s">
        <v>131</v>
      </c>
      <c r="D869" s="10">
        <v>11294.5</v>
      </c>
      <c r="E869" s="11">
        <v>44571</v>
      </c>
      <c r="F869" s="10">
        <v>11294.5</v>
      </c>
      <c r="G869" s="12">
        <f>Tabla1[[#This Row],[Importe]]-Tabla1[[#This Row],[Pagado]]</f>
        <v>0</v>
      </c>
      <c r="H869" s="9" t="s">
        <v>10</v>
      </c>
    </row>
    <row r="870" spans="1:8" x14ac:dyDescent="0.25">
      <c r="A870" s="7">
        <v>44571</v>
      </c>
      <c r="B870" s="8" t="s">
        <v>1134</v>
      </c>
      <c r="C870" s="9" t="s">
        <v>31</v>
      </c>
      <c r="D870" s="10">
        <v>9096.5</v>
      </c>
      <c r="E870" s="11">
        <v>44572</v>
      </c>
      <c r="F870" s="10">
        <v>9096.5</v>
      </c>
      <c r="G870" s="12">
        <f>Tabla1[[#This Row],[Importe]]-Tabla1[[#This Row],[Pagado]]</f>
        <v>0</v>
      </c>
      <c r="H870" s="9" t="s">
        <v>10</v>
      </c>
    </row>
    <row r="871" spans="1:8" x14ac:dyDescent="0.25">
      <c r="A871" s="7">
        <v>44571</v>
      </c>
      <c r="B871" s="8" t="s">
        <v>1135</v>
      </c>
      <c r="C871" s="9" t="s">
        <v>173</v>
      </c>
      <c r="D871" s="10">
        <v>32487.77</v>
      </c>
      <c r="E871" s="11">
        <v>44572</v>
      </c>
      <c r="F871" s="10">
        <v>32487.77</v>
      </c>
      <c r="G871" s="12">
        <f>Tabla1[[#This Row],[Importe]]-Tabla1[[#This Row],[Pagado]]</f>
        <v>0</v>
      </c>
      <c r="H871" s="9" t="s">
        <v>10</v>
      </c>
    </row>
    <row r="872" spans="1:8" x14ac:dyDescent="0.25">
      <c r="A872" s="7">
        <v>44571</v>
      </c>
      <c r="B872" s="8" t="s">
        <v>1136</v>
      </c>
      <c r="C872" s="9" t="s">
        <v>275</v>
      </c>
      <c r="D872" s="10">
        <v>98258.4</v>
      </c>
      <c r="E872" s="11">
        <v>44583</v>
      </c>
      <c r="F872" s="10">
        <v>98258.4</v>
      </c>
      <c r="G872" s="12">
        <f>Tabla1[[#This Row],[Importe]]-Tabla1[[#This Row],[Pagado]]</f>
        <v>0</v>
      </c>
      <c r="H872" s="9" t="s">
        <v>10</v>
      </c>
    </row>
    <row r="873" spans="1:8" x14ac:dyDescent="0.25">
      <c r="A873" s="7">
        <v>44571</v>
      </c>
      <c r="B873" s="8" t="s">
        <v>1137</v>
      </c>
      <c r="C873" s="9" t="s">
        <v>179</v>
      </c>
      <c r="D873" s="10">
        <v>1707.3</v>
      </c>
      <c r="E873" s="11">
        <v>44571</v>
      </c>
      <c r="F873" s="10">
        <v>1707.3</v>
      </c>
      <c r="G873" s="12">
        <f>Tabla1[[#This Row],[Importe]]-Tabla1[[#This Row],[Pagado]]</f>
        <v>0</v>
      </c>
      <c r="H873" s="9" t="s">
        <v>10</v>
      </c>
    </row>
    <row r="874" spans="1:8" x14ac:dyDescent="0.25">
      <c r="A874" s="7">
        <v>44571</v>
      </c>
      <c r="B874" s="8" t="s">
        <v>1138</v>
      </c>
      <c r="C874" s="9" t="s">
        <v>107</v>
      </c>
      <c r="D874" s="10">
        <v>16594.8</v>
      </c>
      <c r="E874" s="11">
        <v>44572</v>
      </c>
      <c r="F874" s="10">
        <v>16594.8</v>
      </c>
      <c r="G874" s="12">
        <f>Tabla1[[#This Row],[Importe]]-Tabla1[[#This Row],[Pagado]]</f>
        <v>0</v>
      </c>
      <c r="H874" s="9" t="s">
        <v>10</v>
      </c>
    </row>
    <row r="875" spans="1:8" x14ac:dyDescent="0.25">
      <c r="A875" s="7">
        <v>44571</v>
      </c>
      <c r="B875" s="8" t="s">
        <v>1139</v>
      </c>
      <c r="C875" s="9" t="s">
        <v>91</v>
      </c>
      <c r="D875" s="10">
        <v>7134.4</v>
      </c>
      <c r="E875" s="11">
        <v>44572</v>
      </c>
      <c r="F875" s="10">
        <v>7134.4</v>
      </c>
      <c r="G875" s="12">
        <f>Tabla1[[#This Row],[Importe]]-Tabla1[[#This Row],[Pagado]]</f>
        <v>0</v>
      </c>
      <c r="H875" s="9" t="s">
        <v>10</v>
      </c>
    </row>
    <row r="876" spans="1:8" x14ac:dyDescent="0.25">
      <c r="A876" s="7">
        <v>44571</v>
      </c>
      <c r="B876" s="8" t="s">
        <v>1140</v>
      </c>
      <c r="C876" s="9" t="s">
        <v>31</v>
      </c>
      <c r="D876" s="10">
        <v>5250</v>
      </c>
      <c r="E876" s="11">
        <v>44572</v>
      </c>
      <c r="F876" s="10">
        <v>5250</v>
      </c>
      <c r="G876" s="12">
        <f>Tabla1[[#This Row],[Importe]]-Tabla1[[#This Row],[Pagado]]</f>
        <v>0</v>
      </c>
      <c r="H876" s="9" t="s">
        <v>10</v>
      </c>
    </row>
    <row r="877" spans="1:8" x14ac:dyDescent="0.25">
      <c r="A877" s="7">
        <v>44571</v>
      </c>
      <c r="B877" s="8" t="s">
        <v>1141</v>
      </c>
      <c r="C877" s="9" t="s">
        <v>380</v>
      </c>
      <c r="D877" s="10">
        <v>10999.3</v>
      </c>
      <c r="E877" s="11">
        <v>44571</v>
      </c>
      <c r="F877" s="10">
        <v>10999.3</v>
      </c>
      <c r="G877" s="12">
        <f>Tabla1[[#This Row],[Importe]]-Tabla1[[#This Row],[Pagado]]</f>
        <v>0</v>
      </c>
      <c r="H877" s="9" t="s">
        <v>10</v>
      </c>
    </row>
    <row r="878" spans="1:8" x14ac:dyDescent="0.25">
      <c r="A878" s="7">
        <v>44571</v>
      </c>
      <c r="B878" s="8" t="s">
        <v>1142</v>
      </c>
      <c r="C878" s="9" t="s">
        <v>133</v>
      </c>
      <c r="D878" s="10">
        <v>12078.5</v>
      </c>
      <c r="E878" s="11">
        <v>44572</v>
      </c>
      <c r="F878" s="10">
        <v>12078.5</v>
      </c>
      <c r="G878" s="12">
        <f>Tabla1[[#This Row],[Importe]]-Tabla1[[#This Row],[Pagado]]</f>
        <v>0</v>
      </c>
      <c r="H878" s="9" t="s">
        <v>10</v>
      </c>
    </row>
    <row r="879" spans="1:8" x14ac:dyDescent="0.25">
      <c r="A879" s="7">
        <v>44571</v>
      </c>
      <c r="B879" s="8" t="s">
        <v>1143</v>
      </c>
      <c r="C879" s="9" t="s">
        <v>146</v>
      </c>
      <c r="D879" s="10">
        <v>2077.6</v>
      </c>
      <c r="E879" s="11">
        <v>44572</v>
      </c>
      <c r="F879" s="10">
        <v>2077.6</v>
      </c>
      <c r="G879" s="12">
        <f>Tabla1[[#This Row],[Importe]]-Tabla1[[#This Row],[Pagado]]</f>
        <v>0</v>
      </c>
      <c r="H879" s="9" t="s">
        <v>10</v>
      </c>
    </row>
    <row r="880" spans="1:8" x14ac:dyDescent="0.25">
      <c r="A880" s="7">
        <v>44571</v>
      </c>
      <c r="B880" s="8" t="s">
        <v>1144</v>
      </c>
      <c r="C880" s="9" t="s">
        <v>144</v>
      </c>
      <c r="D880" s="10">
        <v>4709.6000000000004</v>
      </c>
      <c r="E880" s="11">
        <v>44572</v>
      </c>
      <c r="F880" s="10">
        <v>4709.6000000000004</v>
      </c>
      <c r="G880" s="12">
        <f>Tabla1[[#This Row],[Importe]]-Tabla1[[#This Row],[Pagado]]</f>
        <v>0</v>
      </c>
      <c r="H880" s="9" t="s">
        <v>10</v>
      </c>
    </row>
    <row r="881" spans="1:8" x14ac:dyDescent="0.25">
      <c r="A881" s="7">
        <v>44571</v>
      </c>
      <c r="B881" s="8" t="s">
        <v>1145</v>
      </c>
      <c r="C881" s="9" t="s">
        <v>222</v>
      </c>
      <c r="D881" s="10">
        <v>8498.4</v>
      </c>
      <c r="E881" s="11">
        <v>44571</v>
      </c>
      <c r="F881" s="10">
        <v>8498.4</v>
      </c>
      <c r="G881" s="12">
        <f>Tabla1[[#This Row],[Importe]]-Tabla1[[#This Row],[Pagado]]</f>
        <v>0</v>
      </c>
      <c r="H881" s="9" t="s">
        <v>10</v>
      </c>
    </row>
    <row r="882" spans="1:8" x14ac:dyDescent="0.25">
      <c r="A882" s="7">
        <v>44571</v>
      </c>
      <c r="B882" s="8" t="s">
        <v>1146</v>
      </c>
      <c r="C882" s="9" t="s">
        <v>125</v>
      </c>
      <c r="D882" s="10">
        <v>4605.6000000000004</v>
      </c>
      <c r="E882" s="11">
        <v>44572</v>
      </c>
      <c r="F882" s="10">
        <v>4605.6000000000004</v>
      </c>
      <c r="G882" s="12">
        <f>Tabla1[[#This Row],[Importe]]-Tabla1[[#This Row],[Pagado]]</f>
        <v>0</v>
      </c>
      <c r="H882" s="9" t="s">
        <v>10</v>
      </c>
    </row>
    <row r="883" spans="1:8" x14ac:dyDescent="0.25">
      <c r="A883" s="7">
        <v>44571</v>
      </c>
      <c r="B883" s="8" t="s">
        <v>1147</v>
      </c>
      <c r="C883" s="9" t="s">
        <v>140</v>
      </c>
      <c r="D883" s="10">
        <v>4773.5</v>
      </c>
      <c r="E883" s="11">
        <v>44572</v>
      </c>
      <c r="F883" s="10">
        <v>4773.5</v>
      </c>
      <c r="G883" s="12">
        <f>Tabla1[[#This Row],[Importe]]-Tabla1[[#This Row],[Pagado]]</f>
        <v>0</v>
      </c>
      <c r="H883" s="9" t="s">
        <v>10</v>
      </c>
    </row>
    <row r="884" spans="1:8" x14ac:dyDescent="0.25">
      <c r="A884" s="7">
        <v>44571</v>
      </c>
      <c r="B884" s="8" t="s">
        <v>1148</v>
      </c>
      <c r="C884" s="9" t="s">
        <v>357</v>
      </c>
      <c r="D884" s="10">
        <v>1140</v>
      </c>
      <c r="E884" s="11">
        <v>44572</v>
      </c>
      <c r="F884" s="10">
        <v>1140</v>
      </c>
      <c r="G884" s="12">
        <f>Tabla1[[#This Row],[Importe]]-Tabla1[[#This Row],[Pagado]]</f>
        <v>0</v>
      </c>
      <c r="H884" s="9" t="s">
        <v>10</v>
      </c>
    </row>
    <row r="885" spans="1:8" x14ac:dyDescent="0.25">
      <c r="A885" s="7">
        <v>44571</v>
      </c>
      <c r="B885" s="8" t="s">
        <v>1149</v>
      </c>
      <c r="C885" s="9" t="s">
        <v>226</v>
      </c>
      <c r="D885" s="10">
        <v>13369.5</v>
      </c>
      <c r="E885" s="11">
        <v>44571</v>
      </c>
      <c r="F885" s="10">
        <v>13369.5</v>
      </c>
      <c r="G885" s="12">
        <f>Tabla1[[#This Row],[Importe]]-Tabla1[[#This Row],[Pagado]]</f>
        <v>0</v>
      </c>
      <c r="H885" s="9" t="s">
        <v>10</v>
      </c>
    </row>
    <row r="886" spans="1:8" x14ac:dyDescent="0.25">
      <c r="A886" s="7">
        <v>44571</v>
      </c>
      <c r="B886" s="8" t="s">
        <v>1150</v>
      </c>
      <c r="C886" s="9" t="s">
        <v>129</v>
      </c>
      <c r="D886" s="10">
        <v>4538.5</v>
      </c>
      <c r="E886" s="11">
        <v>44572</v>
      </c>
      <c r="F886" s="10">
        <v>4538.5</v>
      </c>
      <c r="G886" s="12">
        <f>Tabla1[[#This Row],[Importe]]-Tabla1[[#This Row],[Pagado]]</f>
        <v>0</v>
      </c>
      <c r="H886" s="9" t="s">
        <v>10</v>
      </c>
    </row>
    <row r="887" spans="1:8" x14ac:dyDescent="0.25">
      <c r="A887" s="7">
        <v>44571</v>
      </c>
      <c r="B887" s="8" t="s">
        <v>1151</v>
      </c>
      <c r="C887" s="9" t="s">
        <v>127</v>
      </c>
      <c r="D887" s="10">
        <v>4275.3</v>
      </c>
      <c r="E887" s="11">
        <v>44572</v>
      </c>
      <c r="F887" s="10">
        <v>4275.3</v>
      </c>
      <c r="G887" s="12">
        <f>Tabla1[[#This Row],[Importe]]-Tabla1[[#This Row],[Pagado]]</f>
        <v>0</v>
      </c>
      <c r="H887" s="9" t="s">
        <v>10</v>
      </c>
    </row>
    <row r="888" spans="1:8" x14ac:dyDescent="0.25">
      <c r="A888" s="7">
        <v>44571</v>
      </c>
      <c r="B888" s="8" t="s">
        <v>1152</v>
      </c>
      <c r="C888" s="9" t="s">
        <v>31</v>
      </c>
      <c r="D888" s="10">
        <v>1267.2</v>
      </c>
      <c r="E888" s="11">
        <v>44571</v>
      </c>
      <c r="F888" s="10">
        <v>1267.2</v>
      </c>
      <c r="G888" s="12">
        <f>Tabla1[[#This Row],[Importe]]-Tabla1[[#This Row],[Pagado]]</f>
        <v>0</v>
      </c>
      <c r="H888" s="9" t="s">
        <v>10</v>
      </c>
    </row>
    <row r="889" spans="1:8" x14ac:dyDescent="0.25">
      <c r="A889" s="7">
        <v>44571</v>
      </c>
      <c r="B889" s="8" t="s">
        <v>1153</v>
      </c>
      <c r="C889" s="9" t="s">
        <v>14</v>
      </c>
      <c r="D889" s="10">
        <v>26126.400000000001</v>
      </c>
      <c r="E889" s="11">
        <v>44571</v>
      </c>
      <c r="F889" s="10">
        <v>26126.400000000001</v>
      </c>
      <c r="G889" s="12">
        <f>Tabla1[[#This Row],[Importe]]-Tabla1[[#This Row],[Pagado]]</f>
        <v>0</v>
      </c>
      <c r="H889" s="9" t="s">
        <v>10</v>
      </c>
    </row>
    <row r="890" spans="1:8" x14ac:dyDescent="0.25">
      <c r="A890" s="7">
        <v>44571</v>
      </c>
      <c r="B890" s="8" t="s">
        <v>1154</v>
      </c>
      <c r="C890" s="9" t="s">
        <v>31</v>
      </c>
      <c r="D890" s="10">
        <v>1205</v>
      </c>
      <c r="E890" s="11">
        <v>44572</v>
      </c>
      <c r="F890" s="10">
        <v>1205</v>
      </c>
      <c r="G890" s="12">
        <f>Tabla1[[#This Row],[Importe]]-Tabla1[[#This Row],[Pagado]]</f>
        <v>0</v>
      </c>
      <c r="H890" s="9" t="s">
        <v>10</v>
      </c>
    </row>
    <row r="891" spans="1:8" x14ac:dyDescent="0.25">
      <c r="A891" s="7">
        <v>44571</v>
      </c>
      <c r="B891" s="8" t="s">
        <v>1155</v>
      </c>
      <c r="C891" s="9" t="s">
        <v>339</v>
      </c>
      <c r="D891" s="10">
        <v>618</v>
      </c>
      <c r="E891" s="11">
        <v>44572</v>
      </c>
      <c r="F891" s="10">
        <v>618</v>
      </c>
      <c r="G891" s="12">
        <f>Tabla1[[#This Row],[Importe]]-Tabla1[[#This Row],[Pagado]]</f>
        <v>0</v>
      </c>
      <c r="H891" s="9" t="s">
        <v>10</v>
      </c>
    </row>
    <row r="892" spans="1:8" x14ac:dyDescent="0.25">
      <c r="A892" s="7">
        <v>44571</v>
      </c>
      <c r="B892" s="8" t="s">
        <v>1156</v>
      </c>
      <c r="C892" s="9" t="s">
        <v>31</v>
      </c>
      <c r="D892" s="10">
        <v>2910.6</v>
      </c>
      <c r="E892" s="11">
        <v>44571</v>
      </c>
      <c r="F892" s="10">
        <v>2910.6</v>
      </c>
      <c r="G892" s="12">
        <f>Tabla1[[#This Row],[Importe]]-Tabla1[[#This Row],[Pagado]]</f>
        <v>0</v>
      </c>
      <c r="H892" s="9" t="s">
        <v>10</v>
      </c>
    </row>
    <row r="893" spans="1:8" x14ac:dyDescent="0.25">
      <c r="A893" s="7">
        <v>44571</v>
      </c>
      <c r="B893" s="8" t="s">
        <v>1157</v>
      </c>
      <c r="C893" s="9" t="s">
        <v>191</v>
      </c>
      <c r="D893" s="10">
        <v>3214.2</v>
      </c>
      <c r="E893" s="11">
        <v>44571</v>
      </c>
      <c r="F893" s="10">
        <v>3214.2</v>
      </c>
      <c r="G893" s="12">
        <f>Tabla1[[#This Row],[Importe]]-Tabla1[[#This Row],[Pagado]]</f>
        <v>0</v>
      </c>
      <c r="H893" s="9" t="s">
        <v>10</v>
      </c>
    </row>
    <row r="894" spans="1:8" x14ac:dyDescent="0.25">
      <c r="A894" s="7">
        <v>44571</v>
      </c>
      <c r="B894" s="8" t="s">
        <v>1158</v>
      </c>
      <c r="C894" s="9" t="s">
        <v>214</v>
      </c>
      <c r="D894" s="10">
        <v>9560</v>
      </c>
      <c r="E894" s="11">
        <v>44572</v>
      </c>
      <c r="F894" s="10">
        <v>9560</v>
      </c>
      <c r="G894" s="12">
        <f>Tabla1[[#This Row],[Importe]]-Tabla1[[#This Row],[Pagado]]</f>
        <v>0</v>
      </c>
      <c r="H894" s="9" t="s">
        <v>10</v>
      </c>
    </row>
    <row r="895" spans="1:8" x14ac:dyDescent="0.25">
      <c r="A895" s="7">
        <v>44571</v>
      </c>
      <c r="B895" s="8" t="s">
        <v>1159</v>
      </c>
      <c r="C895" s="9" t="s">
        <v>24</v>
      </c>
      <c r="D895" s="10">
        <v>3456.2</v>
      </c>
      <c r="E895" s="11">
        <v>44571</v>
      </c>
      <c r="F895" s="10">
        <v>3456.2</v>
      </c>
      <c r="G895" s="12">
        <f>Tabla1[[#This Row],[Importe]]-Tabla1[[#This Row],[Pagado]]</f>
        <v>0</v>
      </c>
      <c r="H895" s="9" t="s">
        <v>10</v>
      </c>
    </row>
    <row r="896" spans="1:8" x14ac:dyDescent="0.25">
      <c r="A896" s="7">
        <v>44571</v>
      </c>
      <c r="B896" s="8" t="s">
        <v>1160</v>
      </c>
      <c r="C896" s="9" t="s">
        <v>240</v>
      </c>
      <c r="D896" s="10">
        <v>9776</v>
      </c>
      <c r="E896" s="11">
        <v>44571</v>
      </c>
      <c r="F896" s="10">
        <v>9776</v>
      </c>
      <c r="G896" s="12">
        <f>Tabla1[[#This Row],[Importe]]-Tabla1[[#This Row],[Pagado]]</f>
        <v>0</v>
      </c>
      <c r="H896" s="9" t="s">
        <v>10</v>
      </c>
    </row>
    <row r="897" spans="1:8" x14ac:dyDescent="0.25">
      <c r="A897" s="7">
        <v>44571</v>
      </c>
      <c r="B897" s="8" t="s">
        <v>1161</v>
      </c>
      <c r="C897" s="9" t="s">
        <v>200</v>
      </c>
      <c r="D897" s="10">
        <v>784</v>
      </c>
      <c r="E897" s="11">
        <v>44572</v>
      </c>
      <c r="F897" s="10">
        <v>784</v>
      </c>
      <c r="G897" s="12">
        <f>Tabla1[[#This Row],[Importe]]-Tabla1[[#This Row],[Pagado]]</f>
        <v>0</v>
      </c>
      <c r="H897" s="9" t="s">
        <v>10</v>
      </c>
    </row>
    <row r="898" spans="1:8" x14ac:dyDescent="0.25">
      <c r="A898" s="7">
        <v>44571</v>
      </c>
      <c r="B898" s="8" t="s">
        <v>1162</v>
      </c>
      <c r="C898" s="9" t="s">
        <v>280</v>
      </c>
      <c r="D898" s="10">
        <v>494.9</v>
      </c>
      <c r="E898" s="11">
        <v>44572</v>
      </c>
      <c r="F898" s="10">
        <v>494.9</v>
      </c>
      <c r="G898" s="12">
        <f>Tabla1[[#This Row],[Importe]]-Tabla1[[#This Row],[Pagado]]</f>
        <v>0</v>
      </c>
      <c r="H898" s="9" t="s">
        <v>10</v>
      </c>
    </row>
    <row r="899" spans="1:8" x14ac:dyDescent="0.25">
      <c r="A899" s="7">
        <v>44571</v>
      </c>
      <c r="B899" s="8" t="s">
        <v>1163</v>
      </c>
      <c r="C899" s="9" t="s">
        <v>431</v>
      </c>
      <c r="D899" s="10">
        <v>519.4</v>
      </c>
      <c r="E899" s="11">
        <v>44572</v>
      </c>
      <c r="F899" s="10">
        <v>519.4</v>
      </c>
      <c r="G899" s="12">
        <f>Tabla1[[#This Row],[Importe]]-Tabla1[[#This Row],[Pagado]]</f>
        <v>0</v>
      </c>
      <c r="H899" s="9" t="s">
        <v>10</v>
      </c>
    </row>
    <row r="900" spans="1:8" x14ac:dyDescent="0.25">
      <c r="A900" s="7">
        <v>44571</v>
      </c>
      <c r="B900" s="8" t="s">
        <v>1164</v>
      </c>
      <c r="C900" s="9" t="s">
        <v>284</v>
      </c>
      <c r="D900" s="10">
        <v>2469.6</v>
      </c>
      <c r="E900" s="11">
        <v>44572</v>
      </c>
      <c r="F900" s="10">
        <v>2469.6</v>
      </c>
      <c r="G900" s="12">
        <f>Tabla1[[#This Row],[Importe]]-Tabla1[[#This Row],[Pagado]]</f>
        <v>0</v>
      </c>
      <c r="H900" s="9" t="s">
        <v>10</v>
      </c>
    </row>
    <row r="901" spans="1:8" x14ac:dyDescent="0.25">
      <c r="A901" s="7">
        <v>44571</v>
      </c>
      <c r="B901" s="8" t="s">
        <v>1165</v>
      </c>
      <c r="C901" s="9" t="s">
        <v>670</v>
      </c>
      <c r="D901" s="10">
        <v>3468.8</v>
      </c>
      <c r="E901" s="11">
        <v>44571</v>
      </c>
      <c r="F901" s="10">
        <v>3468.8</v>
      </c>
      <c r="G901" s="12">
        <f>Tabla1[[#This Row],[Importe]]-Tabla1[[#This Row],[Pagado]]</f>
        <v>0</v>
      </c>
      <c r="H901" s="9" t="s">
        <v>10</v>
      </c>
    </row>
    <row r="902" spans="1:8" x14ac:dyDescent="0.25">
      <c r="A902" s="7">
        <v>44571</v>
      </c>
      <c r="B902" s="8" t="s">
        <v>1166</v>
      </c>
      <c r="C902" s="9" t="s">
        <v>275</v>
      </c>
      <c r="D902" s="10">
        <v>22615.599999999999</v>
      </c>
      <c r="E902" s="11">
        <v>44583</v>
      </c>
      <c r="F902" s="10">
        <v>22615.599999999999</v>
      </c>
      <c r="G902" s="12">
        <f>Tabla1[[#This Row],[Importe]]-Tabla1[[#This Row],[Pagado]]</f>
        <v>0</v>
      </c>
      <c r="H902" s="9" t="s">
        <v>10</v>
      </c>
    </row>
    <row r="903" spans="1:8" x14ac:dyDescent="0.25">
      <c r="A903" s="7">
        <v>44571</v>
      </c>
      <c r="B903" s="8" t="s">
        <v>1167</v>
      </c>
      <c r="C903" s="9" t="s">
        <v>240</v>
      </c>
      <c r="D903" s="10">
        <v>560</v>
      </c>
      <c r="E903" s="11">
        <v>44571</v>
      </c>
      <c r="F903" s="10">
        <v>560</v>
      </c>
      <c r="G903" s="12">
        <f>Tabla1[[#This Row],[Importe]]-Tabla1[[#This Row],[Pagado]]</f>
        <v>0</v>
      </c>
      <c r="H903" s="9" t="s">
        <v>10</v>
      </c>
    </row>
    <row r="904" spans="1:8" x14ac:dyDescent="0.25">
      <c r="A904" s="7">
        <v>44571</v>
      </c>
      <c r="B904" s="8" t="s">
        <v>1168</v>
      </c>
      <c r="C904" s="9" t="s">
        <v>142</v>
      </c>
      <c r="D904" s="10">
        <v>40306.14</v>
      </c>
      <c r="E904" s="11">
        <v>44589</v>
      </c>
      <c r="F904" s="10">
        <v>40306.14</v>
      </c>
      <c r="G904" s="12">
        <f>Tabla1[[#This Row],[Importe]]-Tabla1[[#This Row],[Pagado]]</f>
        <v>0</v>
      </c>
      <c r="H904" s="9" t="s">
        <v>10</v>
      </c>
    </row>
    <row r="905" spans="1:8" x14ac:dyDescent="0.25">
      <c r="A905" s="7">
        <v>44571</v>
      </c>
      <c r="B905" s="8" t="s">
        <v>1169</v>
      </c>
      <c r="C905" s="9" t="s">
        <v>181</v>
      </c>
      <c r="D905" s="10">
        <v>10170.299999999999</v>
      </c>
      <c r="E905" s="11">
        <v>44572</v>
      </c>
      <c r="F905" s="10">
        <v>10170.299999999999</v>
      </c>
      <c r="G905" s="12">
        <f>Tabla1[[#This Row],[Importe]]-Tabla1[[#This Row],[Pagado]]</f>
        <v>0</v>
      </c>
      <c r="H905" s="9" t="s">
        <v>10</v>
      </c>
    </row>
    <row r="906" spans="1:8" x14ac:dyDescent="0.25">
      <c r="A906" s="7">
        <v>44571</v>
      </c>
      <c r="B906" s="8" t="s">
        <v>1170</v>
      </c>
      <c r="C906" s="9" t="s">
        <v>282</v>
      </c>
      <c r="D906" s="10">
        <v>1881.6</v>
      </c>
      <c r="E906" s="11">
        <v>44572</v>
      </c>
      <c r="F906" s="10">
        <v>1881.6</v>
      </c>
      <c r="G906" s="12">
        <f>Tabla1[[#This Row],[Importe]]-Tabla1[[#This Row],[Pagado]]</f>
        <v>0</v>
      </c>
      <c r="H906" s="9" t="s">
        <v>10</v>
      </c>
    </row>
    <row r="907" spans="1:8" x14ac:dyDescent="0.25">
      <c r="A907" s="7">
        <v>44571</v>
      </c>
      <c r="B907" s="8" t="s">
        <v>1171</v>
      </c>
      <c r="C907" s="9" t="s">
        <v>368</v>
      </c>
      <c r="D907" s="10">
        <v>3312</v>
      </c>
      <c r="E907" s="11">
        <v>44572</v>
      </c>
      <c r="F907" s="10">
        <v>3312</v>
      </c>
      <c r="G907" s="12">
        <f>Tabla1[[#This Row],[Importe]]-Tabla1[[#This Row],[Pagado]]</f>
        <v>0</v>
      </c>
      <c r="H907" s="9" t="s">
        <v>10</v>
      </c>
    </row>
    <row r="908" spans="1:8" x14ac:dyDescent="0.25">
      <c r="A908" s="7">
        <v>44571</v>
      </c>
      <c r="B908" s="8" t="s">
        <v>1172</v>
      </c>
      <c r="C908" s="9" t="s">
        <v>312</v>
      </c>
      <c r="D908" s="10">
        <v>1275</v>
      </c>
      <c r="E908" s="11">
        <v>44572</v>
      </c>
      <c r="F908" s="10">
        <v>1275</v>
      </c>
      <c r="G908" s="12">
        <f>Tabla1[[#This Row],[Importe]]-Tabla1[[#This Row],[Pagado]]</f>
        <v>0</v>
      </c>
      <c r="H908" s="9" t="s">
        <v>10</v>
      </c>
    </row>
    <row r="909" spans="1:8" x14ac:dyDescent="0.25">
      <c r="A909" s="7">
        <v>44571</v>
      </c>
      <c r="B909" s="8" t="s">
        <v>1173</v>
      </c>
      <c r="C909" s="9" t="s">
        <v>1174</v>
      </c>
      <c r="D909" s="10">
        <v>22464</v>
      </c>
      <c r="E909" s="11">
        <v>44571</v>
      </c>
      <c r="F909" s="10">
        <v>22464</v>
      </c>
      <c r="G909" s="12">
        <f>Tabla1[[#This Row],[Importe]]-Tabla1[[#This Row],[Pagado]]</f>
        <v>0</v>
      </c>
      <c r="H909" s="9" t="s">
        <v>10</v>
      </c>
    </row>
    <row r="910" spans="1:8" x14ac:dyDescent="0.25">
      <c r="A910" s="7">
        <v>44571</v>
      </c>
      <c r="B910" s="8" t="s">
        <v>1175</v>
      </c>
      <c r="C910" s="9" t="s">
        <v>233</v>
      </c>
      <c r="D910" s="10">
        <v>4165</v>
      </c>
      <c r="E910" s="11">
        <v>44571</v>
      </c>
      <c r="F910" s="10">
        <v>4165</v>
      </c>
      <c r="G910" s="12">
        <f>Tabla1[[#This Row],[Importe]]-Tabla1[[#This Row],[Pagado]]</f>
        <v>0</v>
      </c>
      <c r="H910" s="9" t="s">
        <v>10</v>
      </c>
    </row>
    <row r="911" spans="1:8" x14ac:dyDescent="0.25">
      <c r="A911" s="7">
        <v>44571</v>
      </c>
      <c r="B911" s="8" t="s">
        <v>1176</v>
      </c>
      <c r="C911" s="9" t="s">
        <v>175</v>
      </c>
      <c r="D911" s="10">
        <v>13381.5</v>
      </c>
      <c r="E911" s="11">
        <v>44572</v>
      </c>
      <c r="F911" s="10">
        <v>13381.5</v>
      </c>
      <c r="G911" s="12">
        <f>Tabla1[[#This Row],[Importe]]-Tabla1[[#This Row],[Pagado]]</f>
        <v>0</v>
      </c>
      <c r="H911" s="9" t="s">
        <v>10</v>
      </c>
    </row>
    <row r="912" spans="1:8" x14ac:dyDescent="0.25">
      <c r="A912" s="7">
        <v>44571</v>
      </c>
      <c r="B912" s="8" t="s">
        <v>1177</v>
      </c>
      <c r="C912" s="9" t="s">
        <v>359</v>
      </c>
      <c r="D912" s="10">
        <v>2169</v>
      </c>
      <c r="E912" s="11">
        <v>44572</v>
      </c>
      <c r="F912" s="10">
        <v>2169</v>
      </c>
      <c r="G912" s="12">
        <f>Tabla1[[#This Row],[Importe]]-Tabla1[[#This Row],[Pagado]]</f>
        <v>0</v>
      </c>
      <c r="H912" s="9" t="s">
        <v>10</v>
      </c>
    </row>
    <row r="913" spans="1:8" x14ac:dyDescent="0.25">
      <c r="A913" s="7">
        <v>44571</v>
      </c>
      <c r="B913" s="8" t="s">
        <v>1178</v>
      </c>
      <c r="C913" s="9" t="s">
        <v>1174</v>
      </c>
      <c r="D913" s="10">
        <v>1718</v>
      </c>
      <c r="E913" s="11">
        <v>44571</v>
      </c>
      <c r="F913" s="10">
        <v>1718</v>
      </c>
      <c r="G913" s="12">
        <f>Tabla1[[#This Row],[Importe]]-Tabla1[[#This Row],[Pagado]]</f>
        <v>0</v>
      </c>
      <c r="H913" s="9" t="s">
        <v>10</v>
      </c>
    </row>
    <row r="914" spans="1:8" x14ac:dyDescent="0.25">
      <c r="A914" s="7">
        <v>44571</v>
      </c>
      <c r="B914" s="8" t="s">
        <v>1179</v>
      </c>
      <c r="C914" s="9" t="s">
        <v>382</v>
      </c>
      <c r="D914" s="10">
        <v>8400</v>
      </c>
      <c r="E914" s="11">
        <v>44571</v>
      </c>
      <c r="F914" s="10">
        <v>8400</v>
      </c>
      <c r="G914" s="12">
        <f>Tabla1[[#This Row],[Importe]]-Tabla1[[#This Row],[Pagado]]</f>
        <v>0</v>
      </c>
      <c r="H914" s="9" t="s">
        <v>10</v>
      </c>
    </row>
    <row r="915" spans="1:8" x14ac:dyDescent="0.25">
      <c r="A915" s="7">
        <v>44571</v>
      </c>
      <c r="B915" s="8" t="s">
        <v>1180</v>
      </c>
      <c r="C915" s="9" t="s">
        <v>419</v>
      </c>
      <c r="D915" s="10">
        <v>7560.4</v>
      </c>
      <c r="E915" s="11">
        <v>44571</v>
      </c>
      <c r="F915" s="10">
        <v>7560.4</v>
      </c>
      <c r="G915" s="12">
        <f>Tabla1[[#This Row],[Importe]]-Tabla1[[#This Row],[Pagado]]</f>
        <v>0</v>
      </c>
      <c r="H915" s="9" t="s">
        <v>10</v>
      </c>
    </row>
    <row r="916" spans="1:8" x14ac:dyDescent="0.25">
      <c r="A916" s="7">
        <v>44571</v>
      </c>
      <c r="B916" s="8" t="s">
        <v>1181</v>
      </c>
      <c r="C916" s="9" t="s">
        <v>69</v>
      </c>
      <c r="D916" s="10">
        <v>2944.9</v>
      </c>
      <c r="E916" s="11">
        <v>44571</v>
      </c>
      <c r="F916" s="10">
        <v>2944.9</v>
      </c>
      <c r="G916" s="12">
        <f>Tabla1[[#This Row],[Importe]]-Tabla1[[#This Row],[Pagado]]</f>
        <v>0</v>
      </c>
      <c r="H916" s="9" t="s">
        <v>10</v>
      </c>
    </row>
    <row r="917" spans="1:8" x14ac:dyDescent="0.25">
      <c r="A917" s="7">
        <v>44571</v>
      </c>
      <c r="B917" s="8" t="s">
        <v>1182</v>
      </c>
      <c r="C917" s="9" t="s">
        <v>450</v>
      </c>
      <c r="D917" s="10">
        <v>6384</v>
      </c>
      <c r="E917" s="11">
        <v>44571</v>
      </c>
      <c r="F917" s="10">
        <v>6384</v>
      </c>
      <c r="G917" s="12">
        <f>Tabla1[[#This Row],[Importe]]-Tabla1[[#This Row],[Pagado]]</f>
        <v>0</v>
      </c>
      <c r="H917" s="9" t="s">
        <v>10</v>
      </c>
    </row>
    <row r="918" spans="1:8" x14ac:dyDescent="0.25">
      <c r="A918" s="7">
        <v>44571</v>
      </c>
      <c r="B918" s="8" t="s">
        <v>1183</v>
      </c>
      <c r="C918" s="9" t="s">
        <v>525</v>
      </c>
      <c r="D918" s="10">
        <v>7304.7</v>
      </c>
      <c r="E918" s="11">
        <v>44571</v>
      </c>
      <c r="F918" s="10">
        <v>7304.7</v>
      </c>
      <c r="G918" s="12">
        <f>Tabla1[[#This Row],[Importe]]-Tabla1[[#This Row],[Pagado]]</f>
        <v>0</v>
      </c>
      <c r="H918" s="9" t="s">
        <v>10</v>
      </c>
    </row>
    <row r="919" spans="1:8" x14ac:dyDescent="0.25">
      <c r="A919" s="7">
        <v>44571</v>
      </c>
      <c r="B919" s="8" t="s">
        <v>1184</v>
      </c>
      <c r="C919" s="9" t="s">
        <v>244</v>
      </c>
      <c r="D919" s="10">
        <v>958.8</v>
      </c>
      <c r="E919" s="11">
        <v>44571</v>
      </c>
      <c r="F919" s="10">
        <v>958.8</v>
      </c>
      <c r="G919" s="12">
        <f>Tabla1[[#This Row],[Importe]]-Tabla1[[#This Row],[Pagado]]</f>
        <v>0</v>
      </c>
      <c r="H919" s="9" t="s">
        <v>10</v>
      </c>
    </row>
    <row r="920" spans="1:8" x14ac:dyDescent="0.25">
      <c r="A920" s="7">
        <v>44571</v>
      </c>
      <c r="B920" s="8" t="s">
        <v>1185</v>
      </c>
      <c r="C920" s="9" t="s">
        <v>698</v>
      </c>
      <c r="D920" s="10">
        <v>7332.7</v>
      </c>
      <c r="E920" s="11">
        <v>44571</v>
      </c>
      <c r="F920" s="10">
        <v>7332.7</v>
      </c>
      <c r="G920" s="12">
        <f>Tabla1[[#This Row],[Importe]]-Tabla1[[#This Row],[Pagado]]</f>
        <v>0</v>
      </c>
      <c r="H920" s="9" t="s">
        <v>10</v>
      </c>
    </row>
    <row r="921" spans="1:8" x14ac:dyDescent="0.25">
      <c r="A921" s="7">
        <v>44571</v>
      </c>
      <c r="B921" s="8" t="s">
        <v>1186</v>
      </c>
      <c r="C921" s="9" t="s">
        <v>1187</v>
      </c>
      <c r="D921" s="10">
        <v>1708.8</v>
      </c>
      <c r="E921" s="11">
        <v>44571</v>
      </c>
      <c r="F921" s="10">
        <v>1708.8</v>
      </c>
      <c r="G921" s="12">
        <f>Tabla1[[#This Row],[Importe]]-Tabla1[[#This Row],[Pagado]]</f>
        <v>0</v>
      </c>
      <c r="H921" s="9" t="s">
        <v>10</v>
      </c>
    </row>
    <row r="922" spans="1:8" x14ac:dyDescent="0.25">
      <c r="A922" s="7">
        <v>44571</v>
      </c>
      <c r="B922" s="8" t="s">
        <v>1188</v>
      </c>
      <c r="C922" s="9" t="s">
        <v>857</v>
      </c>
      <c r="D922" s="10">
        <v>860</v>
      </c>
      <c r="E922" s="11">
        <v>44571</v>
      </c>
      <c r="F922" s="10">
        <v>860</v>
      </c>
      <c r="G922" s="12">
        <f>Tabla1[[#This Row],[Importe]]-Tabla1[[#This Row],[Pagado]]</f>
        <v>0</v>
      </c>
      <c r="H922" s="9" t="s">
        <v>10</v>
      </c>
    </row>
    <row r="923" spans="1:8" x14ac:dyDescent="0.25">
      <c r="A923" s="7">
        <v>44571</v>
      </c>
      <c r="B923" s="8" t="s">
        <v>1189</v>
      </c>
      <c r="C923" s="9" t="s">
        <v>286</v>
      </c>
      <c r="D923" s="10">
        <v>41256</v>
      </c>
      <c r="E923" s="11">
        <v>44572</v>
      </c>
      <c r="F923" s="10">
        <v>41256</v>
      </c>
      <c r="G923" s="12">
        <f>Tabla1[[#This Row],[Importe]]-Tabla1[[#This Row],[Pagado]]</f>
        <v>0</v>
      </c>
      <c r="H923" s="9" t="s">
        <v>10</v>
      </c>
    </row>
    <row r="924" spans="1:8" x14ac:dyDescent="0.25">
      <c r="A924" s="7">
        <v>44571</v>
      </c>
      <c r="B924" s="8" t="s">
        <v>1190</v>
      </c>
      <c r="C924" s="9" t="s">
        <v>291</v>
      </c>
      <c r="D924" s="10">
        <v>2828</v>
      </c>
      <c r="E924" s="11">
        <v>44572</v>
      </c>
      <c r="F924" s="10">
        <v>2828</v>
      </c>
      <c r="G924" s="12">
        <f>Tabla1[[#This Row],[Importe]]-Tabla1[[#This Row],[Pagado]]</f>
        <v>0</v>
      </c>
      <c r="H924" s="9" t="s">
        <v>10</v>
      </c>
    </row>
    <row r="925" spans="1:8" x14ac:dyDescent="0.25">
      <c r="A925" s="7">
        <v>44571</v>
      </c>
      <c r="B925" s="8" t="s">
        <v>1191</v>
      </c>
      <c r="C925" s="9" t="s">
        <v>275</v>
      </c>
      <c r="D925" s="10">
        <v>1038</v>
      </c>
      <c r="E925" s="11">
        <v>44583</v>
      </c>
      <c r="F925" s="10">
        <v>1038</v>
      </c>
      <c r="G925" s="12">
        <f>Tabla1[[#This Row],[Importe]]-Tabla1[[#This Row],[Pagado]]</f>
        <v>0</v>
      </c>
      <c r="H925" s="9" t="s">
        <v>10</v>
      </c>
    </row>
    <row r="926" spans="1:8" x14ac:dyDescent="0.25">
      <c r="A926" s="7">
        <v>44571</v>
      </c>
      <c r="B926" s="8" t="s">
        <v>1192</v>
      </c>
      <c r="C926" s="9" t="s">
        <v>681</v>
      </c>
      <c r="D926" s="10">
        <v>4.04</v>
      </c>
      <c r="E926" s="11">
        <v>44571</v>
      </c>
      <c r="F926" s="10">
        <v>4.04</v>
      </c>
      <c r="G926" s="12">
        <f>Tabla1[[#This Row],[Importe]]-Tabla1[[#This Row],[Pagado]]</f>
        <v>0</v>
      </c>
      <c r="H926" s="9" t="s">
        <v>10</v>
      </c>
    </row>
    <row r="927" spans="1:8" x14ac:dyDescent="0.25">
      <c r="A927" s="7">
        <v>44571</v>
      </c>
      <c r="B927" s="8" t="s">
        <v>1193</v>
      </c>
      <c r="C927" s="9" t="s">
        <v>196</v>
      </c>
      <c r="D927" s="10">
        <v>65864.160000000003</v>
      </c>
      <c r="E927" s="11">
        <v>44575</v>
      </c>
      <c r="F927" s="10">
        <v>65864.160000000003</v>
      </c>
      <c r="G927" s="12">
        <f>Tabla1[[#This Row],[Importe]]-Tabla1[[#This Row],[Pagado]]</f>
        <v>0</v>
      </c>
      <c r="H927" s="9" t="s">
        <v>10</v>
      </c>
    </row>
    <row r="928" spans="1:8" x14ac:dyDescent="0.25">
      <c r="A928" s="7">
        <v>44571</v>
      </c>
      <c r="B928" s="8" t="s">
        <v>1194</v>
      </c>
      <c r="C928" s="9" t="s">
        <v>149</v>
      </c>
      <c r="D928" s="10">
        <v>1135.5999999999999</v>
      </c>
      <c r="E928" s="11">
        <v>44571</v>
      </c>
      <c r="F928" s="10">
        <v>1135.5999999999999</v>
      </c>
      <c r="G928" s="12">
        <f>Tabla1[[#This Row],[Importe]]-Tabla1[[#This Row],[Pagado]]</f>
        <v>0</v>
      </c>
      <c r="H928" s="9" t="s">
        <v>10</v>
      </c>
    </row>
    <row r="929" spans="1:8" x14ac:dyDescent="0.25">
      <c r="A929" s="7">
        <v>44571</v>
      </c>
      <c r="B929" s="8" t="s">
        <v>1195</v>
      </c>
      <c r="C929" s="9" t="s">
        <v>454</v>
      </c>
      <c r="D929" s="10">
        <v>3648.2</v>
      </c>
      <c r="E929" s="11">
        <v>44571</v>
      </c>
      <c r="F929" s="10">
        <v>3648.2</v>
      </c>
      <c r="G929" s="12">
        <f>Tabla1[[#This Row],[Importe]]-Tabla1[[#This Row],[Pagado]]</f>
        <v>0</v>
      </c>
      <c r="H929" s="9" t="s">
        <v>10</v>
      </c>
    </row>
    <row r="930" spans="1:8" x14ac:dyDescent="0.25">
      <c r="A930" s="7">
        <v>44571</v>
      </c>
      <c r="B930" s="8" t="s">
        <v>1196</v>
      </c>
      <c r="C930" s="9" t="s">
        <v>269</v>
      </c>
      <c r="D930" s="10">
        <v>2439.4</v>
      </c>
      <c r="E930" s="11">
        <v>44571</v>
      </c>
      <c r="F930" s="10">
        <v>2439.4</v>
      </c>
      <c r="G930" s="12">
        <f>Tabla1[[#This Row],[Importe]]-Tabla1[[#This Row],[Pagado]]</f>
        <v>0</v>
      </c>
      <c r="H930" s="9" t="s">
        <v>10</v>
      </c>
    </row>
    <row r="931" spans="1:8" x14ac:dyDescent="0.25">
      <c r="A931" s="7">
        <v>44571</v>
      </c>
      <c r="B931" s="8" t="s">
        <v>1197</v>
      </c>
      <c r="C931" s="9" t="s">
        <v>53</v>
      </c>
      <c r="D931" s="10">
        <v>1735.4</v>
      </c>
      <c r="E931" s="11">
        <v>44571</v>
      </c>
      <c r="F931" s="10">
        <v>1735.4</v>
      </c>
      <c r="G931" s="12">
        <f>Tabla1[[#This Row],[Importe]]-Tabla1[[#This Row],[Pagado]]</f>
        <v>0</v>
      </c>
      <c r="H931" s="9" t="s">
        <v>10</v>
      </c>
    </row>
    <row r="932" spans="1:8" x14ac:dyDescent="0.25">
      <c r="A932" s="7">
        <v>44571</v>
      </c>
      <c r="B932" s="8" t="s">
        <v>1198</v>
      </c>
      <c r="C932" s="9" t="s">
        <v>365</v>
      </c>
      <c r="D932" s="10">
        <v>1172.8</v>
      </c>
      <c r="E932" s="11">
        <v>44571</v>
      </c>
      <c r="F932" s="10">
        <v>1172.8</v>
      </c>
      <c r="G932" s="12">
        <f>Tabla1[[#This Row],[Importe]]-Tabla1[[#This Row],[Pagado]]</f>
        <v>0</v>
      </c>
      <c r="H932" s="9" t="s">
        <v>10</v>
      </c>
    </row>
    <row r="933" spans="1:8" x14ac:dyDescent="0.25">
      <c r="A933" s="7">
        <v>44571</v>
      </c>
      <c r="B933" s="8" t="s">
        <v>1199</v>
      </c>
      <c r="C933" s="9" t="s">
        <v>296</v>
      </c>
      <c r="D933" s="10">
        <v>2150</v>
      </c>
      <c r="E933" s="11">
        <v>44571</v>
      </c>
      <c r="F933" s="10">
        <v>2150</v>
      </c>
      <c r="G933" s="12">
        <f>Tabla1[[#This Row],[Importe]]-Tabla1[[#This Row],[Pagado]]</f>
        <v>0</v>
      </c>
      <c r="H933" s="9" t="s">
        <v>10</v>
      </c>
    </row>
    <row r="934" spans="1:8" x14ac:dyDescent="0.25">
      <c r="A934" s="7">
        <v>44571</v>
      </c>
      <c r="B934" s="8" t="s">
        <v>1200</v>
      </c>
      <c r="C934" s="9" t="s">
        <v>196</v>
      </c>
      <c r="D934" s="10">
        <v>30221.4</v>
      </c>
      <c r="E934" s="11">
        <v>44575</v>
      </c>
      <c r="F934" s="10">
        <v>30221.4</v>
      </c>
      <c r="G934" s="12">
        <f>Tabla1[[#This Row],[Importe]]-Tabla1[[#This Row],[Pagado]]</f>
        <v>0</v>
      </c>
      <c r="H934" s="9" t="s">
        <v>10</v>
      </c>
    </row>
    <row r="935" spans="1:8" x14ac:dyDescent="0.25">
      <c r="A935" s="7">
        <v>44571</v>
      </c>
      <c r="B935" s="8" t="s">
        <v>1201</v>
      </c>
      <c r="C935" s="9" t="s">
        <v>196</v>
      </c>
      <c r="D935" s="10">
        <v>2528</v>
      </c>
      <c r="E935" s="11">
        <v>44575</v>
      </c>
      <c r="F935" s="10">
        <v>2528</v>
      </c>
      <c r="G935" s="12">
        <f>Tabla1[[#This Row],[Importe]]-Tabla1[[#This Row],[Pagado]]</f>
        <v>0</v>
      </c>
      <c r="H935" s="9" t="s">
        <v>10</v>
      </c>
    </row>
    <row r="936" spans="1:8" x14ac:dyDescent="0.25">
      <c r="A936" s="7">
        <v>44571</v>
      </c>
      <c r="B936" s="8" t="s">
        <v>1202</v>
      </c>
      <c r="C936" s="9" t="s">
        <v>303</v>
      </c>
      <c r="D936" s="10">
        <v>23207.200000000001</v>
      </c>
      <c r="E936" s="11">
        <v>44578</v>
      </c>
      <c r="F936" s="10">
        <v>23207.200000000001</v>
      </c>
      <c r="G936" s="12">
        <f>Tabla1[[#This Row],[Importe]]-Tabla1[[#This Row],[Pagado]]</f>
        <v>0</v>
      </c>
      <c r="H936" s="9" t="s">
        <v>10</v>
      </c>
    </row>
    <row r="937" spans="1:8" x14ac:dyDescent="0.25">
      <c r="A937" s="7">
        <v>44571</v>
      </c>
      <c r="B937" s="8" t="s">
        <v>1203</v>
      </c>
      <c r="C937" s="9" t="s">
        <v>62</v>
      </c>
      <c r="D937" s="10">
        <v>2905.5</v>
      </c>
      <c r="E937" s="11">
        <v>44571</v>
      </c>
      <c r="F937" s="10">
        <v>2905.5</v>
      </c>
      <c r="G937" s="12">
        <f>Tabla1[[#This Row],[Importe]]-Tabla1[[#This Row],[Pagado]]</f>
        <v>0</v>
      </c>
      <c r="H937" s="9" t="s">
        <v>10</v>
      </c>
    </row>
    <row r="938" spans="1:8" x14ac:dyDescent="0.25">
      <c r="A938" s="7">
        <v>44571</v>
      </c>
      <c r="B938" s="8" t="s">
        <v>1204</v>
      </c>
      <c r="C938" s="9" t="s">
        <v>31</v>
      </c>
      <c r="D938" s="10">
        <v>114</v>
      </c>
      <c r="E938" s="11">
        <v>44571</v>
      </c>
      <c r="F938" s="10">
        <v>114</v>
      </c>
      <c r="G938" s="12">
        <f>Tabla1[[#This Row],[Importe]]-Tabla1[[#This Row],[Pagado]]</f>
        <v>0</v>
      </c>
      <c r="H938" s="9" t="s">
        <v>10</v>
      </c>
    </row>
    <row r="939" spans="1:8" x14ac:dyDescent="0.25">
      <c r="A939" s="7">
        <v>44571</v>
      </c>
      <c r="B939" s="8" t="s">
        <v>1205</v>
      </c>
      <c r="C939" s="9" t="s">
        <v>448</v>
      </c>
      <c r="D939" s="10">
        <v>17277.400000000001</v>
      </c>
      <c r="E939" s="11">
        <v>44572</v>
      </c>
      <c r="F939" s="10">
        <v>17277.400000000001</v>
      </c>
      <c r="G939" s="12">
        <f>Tabla1[[#This Row],[Importe]]-Tabla1[[#This Row],[Pagado]]</f>
        <v>0</v>
      </c>
      <c r="H939" s="9" t="s">
        <v>10</v>
      </c>
    </row>
    <row r="940" spans="1:8" x14ac:dyDescent="0.25">
      <c r="A940" s="7">
        <v>44572</v>
      </c>
      <c r="B940" s="8" t="s">
        <v>1206</v>
      </c>
      <c r="C940" s="9" t="s">
        <v>12</v>
      </c>
      <c r="D940" s="10">
        <v>18587.349999999999</v>
      </c>
      <c r="E940" s="11">
        <v>44573</v>
      </c>
      <c r="F940" s="10">
        <v>18587.349999999999</v>
      </c>
      <c r="G940" s="12">
        <f>Tabla1[[#This Row],[Importe]]-Tabla1[[#This Row],[Pagado]]</f>
        <v>0</v>
      </c>
      <c r="H940" s="9" t="s">
        <v>10</v>
      </c>
    </row>
    <row r="941" spans="1:8" x14ac:dyDescent="0.25">
      <c r="A941" s="7">
        <v>44572</v>
      </c>
      <c r="B941" s="8" t="s">
        <v>1207</v>
      </c>
      <c r="C941" s="9" t="s">
        <v>326</v>
      </c>
      <c r="D941" s="10">
        <v>4614.5</v>
      </c>
      <c r="E941" s="11">
        <v>44574</v>
      </c>
      <c r="F941" s="10">
        <v>4614.5</v>
      </c>
      <c r="G941" s="12">
        <f>Tabla1[[#This Row],[Importe]]-Tabla1[[#This Row],[Pagado]]</f>
        <v>0</v>
      </c>
      <c r="H941" s="9" t="s">
        <v>10</v>
      </c>
    </row>
    <row r="942" spans="1:8" x14ac:dyDescent="0.25">
      <c r="A942" s="7">
        <v>44572</v>
      </c>
      <c r="B942" s="8" t="s">
        <v>1208</v>
      </c>
      <c r="C942" s="9" t="s">
        <v>105</v>
      </c>
      <c r="D942" s="10">
        <v>4119.5</v>
      </c>
      <c r="E942" s="11">
        <v>44573</v>
      </c>
      <c r="F942" s="10">
        <v>4119.5</v>
      </c>
      <c r="G942" s="12">
        <f>Tabla1[[#This Row],[Importe]]-Tabla1[[#This Row],[Pagado]]</f>
        <v>0</v>
      </c>
      <c r="H942" s="9" t="s">
        <v>10</v>
      </c>
    </row>
    <row r="943" spans="1:8" x14ac:dyDescent="0.25">
      <c r="A943" s="7">
        <v>44572</v>
      </c>
      <c r="B943" s="8" t="s">
        <v>1209</v>
      </c>
      <c r="C943" s="9" t="s">
        <v>64</v>
      </c>
      <c r="D943" s="10">
        <v>4257.8999999999996</v>
      </c>
      <c r="E943" s="11">
        <v>44573</v>
      </c>
      <c r="F943" s="10">
        <v>4257.8999999999996</v>
      </c>
      <c r="G943" s="12">
        <f>Tabla1[[#This Row],[Importe]]-Tabla1[[#This Row],[Pagado]]</f>
        <v>0</v>
      </c>
      <c r="H943" s="9" t="s">
        <v>10</v>
      </c>
    </row>
    <row r="944" spans="1:8" x14ac:dyDescent="0.25">
      <c r="A944" s="7">
        <v>44572</v>
      </c>
      <c r="B944" s="8" t="s">
        <v>1210</v>
      </c>
      <c r="C944" s="9" t="s">
        <v>481</v>
      </c>
      <c r="D944" s="10">
        <v>674.6</v>
      </c>
      <c r="E944" s="11">
        <v>44572</v>
      </c>
      <c r="F944" s="10">
        <v>674.6</v>
      </c>
      <c r="G944" s="12">
        <f>Tabla1[[#This Row],[Importe]]-Tabla1[[#This Row],[Pagado]]</f>
        <v>0</v>
      </c>
      <c r="H944" s="9" t="s">
        <v>10</v>
      </c>
    </row>
    <row r="945" spans="1:8" x14ac:dyDescent="0.25">
      <c r="A945" s="7">
        <v>44572</v>
      </c>
      <c r="B945" s="8" t="s">
        <v>1211</v>
      </c>
      <c r="C945" s="9" t="s">
        <v>79</v>
      </c>
      <c r="D945" s="10">
        <v>3356.5</v>
      </c>
      <c r="E945" s="11">
        <v>44572</v>
      </c>
      <c r="F945" s="10">
        <v>3356.5</v>
      </c>
      <c r="G945" s="12">
        <f>Tabla1[[#This Row],[Importe]]-Tabla1[[#This Row],[Pagado]]</f>
        <v>0</v>
      </c>
      <c r="H945" s="9" t="s">
        <v>10</v>
      </c>
    </row>
    <row r="946" spans="1:8" x14ac:dyDescent="0.25">
      <c r="A946" s="7">
        <v>44572</v>
      </c>
      <c r="B946" s="8" t="s">
        <v>1212</v>
      </c>
      <c r="C946" s="9" t="s">
        <v>193</v>
      </c>
      <c r="D946" s="10">
        <v>5000</v>
      </c>
      <c r="E946" s="11">
        <v>44572</v>
      </c>
      <c r="F946" s="10">
        <v>5000</v>
      </c>
      <c r="G946" s="12">
        <f>Tabla1[[#This Row],[Importe]]-Tabla1[[#This Row],[Pagado]]</f>
        <v>0</v>
      </c>
      <c r="H946" s="9" t="s">
        <v>10</v>
      </c>
    </row>
    <row r="947" spans="1:8" x14ac:dyDescent="0.25">
      <c r="A947" s="7">
        <v>44572</v>
      </c>
      <c r="B947" s="8" t="s">
        <v>1213</v>
      </c>
      <c r="C947" s="9" t="s">
        <v>99</v>
      </c>
      <c r="D947" s="10">
        <v>1969.8</v>
      </c>
      <c r="E947" s="11">
        <v>44573</v>
      </c>
      <c r="F947" s="10">
        <v>1969.8</v>
      </c>
      <c r="G947" s="12">
        <f>Tabla1[[#This Row],[Importe]]-Tabla1[[#This Row],[Pagado]]</f>
        <v>0</v>
      </c>
      <c r="H947" s="9" t="s">
        <v>10</v>
      </c>
    </row>
    <row r="948" spans="1:8" x14ac:dyDescent="0.25">
      <c r="A948" s="7">
        <v>44572</v>
      </c>
      <c r="B948" s="8" t="s">
        <v>1214</v>
      </c>
      <c r="C948" s="9" t="s">
        <v>85</v>
      </c>
      <c r="D948" s="10">
        <v>1602</v>
      </c>
      <c r="E948" s="11">
        <v>44572</v>
      </c>
      <c r="F948" s="10">
        <v>1602</v>
      </c>
      <c r="G948" s="12">
        <f>Tabla1[[#This Row],[Importe]]-Tabla1[[#This Row],[Pagado]]</f>
        <v>0</v>
      </c>
      <c r="H948" s="9" t="s">
        <v>10</v>
      </c>
    </row>
    <row r="949" spans="1:8" x14ac:dyDescent="0.25">
      <c r="A949" s="7">
        <v>44572</v>
      </c>
      <c r="B949" s="8" t="s">
        <v>1215</v>
      </c>
      <c r="C949" s="9" t="s">
        <v>95</v>
      </c>
      <c r="D949" s="10">
        <v>12900</v>
      </c>
      <c r="E949" s="11">
        <v>44572</v>
      </c>
      <c r="F949" s="10">
        <v>12900</v>
      </c>
      <c r="G949" s="12">
        <f>Tabla1[[#This Row],[Importe]]-Tabla1[[#This Row],[Pagado]]</f>
        <v>0</v>
      </c>
      <c r="H949" s="9" t="s">
        <v>10</v>
      </c>
    </row>
    <row r="950" spans="1:8" x14ac:dyDescent="0.25">
      <c r="A950" s="7">
        <v>44572</v>
      </c>
      <c r="B950" s="8" t="s">
        <v>1216</v>
      </c>
      <c r="C950" s="9" t="s">
        <v>114</v>
      </c>
      <c r="D950" s="10">
        <v>4592.5</v>
      </c>
      <c r="E950" s="11">
        <v>44573</v>
      </c>
      <c r="F950" s="10">
        <v>4592.5</v>
      </c>
      <c r="G950" s="12">
        <f>Tabla1[[#This Row],[Importe]]-Tabla1[[#This Row],[Pagado]]</f>
        <v>0</v>
      </c>
      <c r="H950" s="9" t="s">
        <v>10</v>
      </c>
    </row>
    <row r="951" spans="1:8" x14ac:dyDescent="0.25">
      <c r="A951" s="7">
        <v>44572</v>
      </c>
      <c r="B951" s="8" t="s">
        <v>1217</v>
      </c>
      <c r="C951" s="9" t="s">
        <v>345</v>
      </c>
      <c r="D951" s="10">
        <v>700.7</v>
      </c>
      <c r="E951" s="11">
        <v>44572</v>
      </c>
      <c r="F951" s="10">
        <v>700.7</v>
      </c>
      <c r="G951" s="12">
        <f>Tabla1[[#This Row],[Importe]]-Tabla1[[#This Row],[Pagado]]</f>
        <v>0</v>
      </c>
      <c r="H951" s="9" t="s">
        <v>10</v>
      </c>
    </row>
    <row r="952" spans="1:8" x14ac:dyDescent="0.25">
      <c r="A952" s="7">
        <v>44572</v>
      </c>
      <c r="B952" s="8" t="s">
        <v>1218</v>
      </c>
      <c r="C952" s="9" t="s">
        <v>89</v>
      </c>
      <c r="D952" s="10">
        <v>4311.2</v>
      </c>
      <c r="E952" s="11">
        <v>44573</v>
      </c>
      <c r="F952" s="10">
        <v>4311.2</v>
      </c>
      <c r="G952" s="12">
        <f>Tabla1[[#This Row],[Importe]]-Tabla1[[#This Row],[Pagado]]</f>
        <v>0</v>
      </c>
      <c r="H952" s="9" t="s">
        <v>10</v>
      </c>
    </row>
    <row r="953" spans="1:8" ht="30" x14ac:dyDescent="0.25">
      <c r="A953" s="7">
        <v>44572</v>
      </c>
      <c r="B953" s="8" t="s">
        <v>1219</v>
      </c>
      <c r="C953" s="9" t="s">
        <v>39</v>
      </c>
      <c r="D953" s="10">
        <v>19661.900000000001</v>
      </c>
      <c r="E953" s="11" t="s">
        <v>1220</v>
      </c>
      <c r="F953" s="10">
        <f>5000+14661.9</f>
        <v>19661.900000000001</v>
      </c>
      <c r="G953" s="12">
        <f>Tabla1[[#This Row],[Importe]]-Tabla1[[#This Row],[Pagado]]</f>
        <v>0</v>
      </c>
      <c r="H953" s="9" t="s">
        <v>10</v>
      </c>
    </row>
    <row r="954" spans="1:8" x14ac:dyDescent="0.25">
      <c r="A954" s="7">
        <v>44572</v>
      </c>
      <c r="B954" s="8" t="s">
        <v>1221</v>
      </c>
      <c r="C954" s="9" t="s">
        <v>93</v>
      </c>
      <c r="D954" s="10">
        <v>2508.8000000000002</v>
      </c>
      <c r="E954" s="11">
        <v>44573</v>
      </c>
      <c r="F954" s="10">
        <v>2508.8000000000002</v>
      </c>
      <c r="G954" s="12">
        <f>Tabla1[[#This Row],[Importe]]-Tabla1[[#This Row],[Pagado]]</f>
        <v>0</v>
      </c>
      <c r="H954" s="9" t="s">
        <v>10</v>
      </c>
    </row>
    <row r="955" spans="1:8" x14ac:dyDescent="0.25">
      <c r="A955" s="7">
        <v>44572</v>
      </c>
      <c r="B955" s="8" t="s">
        <v>1222</v>
      </c>
      <c r="C955" s="9" t="s">
        <v>22</v>
      </c>
      <c r="D955" s="10">
        <v>22269.9</v>
      </c>
      <c r="E955" s="11">
        <v>44574</v>
      </c>
      <c r="F955" s="10">
        <v>22269.9</v>
      </c>
      <c r="G955" s="12">
        <f>Tabla1[[#This Row],[Importe]]-Tabla1[[#This Row],[Pagado]]</f>
        <v>0</v>
      </c>
      <c r="H955" s="9" t="s">
        <v>10</v>
      </c>
    </row>
    <row r="956" spans="1:8" x14ac:dyDescent="0.25">
      <c r="A956" s="7">
        <v>44572</v>
      </c>
      <c r="B956" s="8" t="s">
        <v>1223</v>
      </c>
      <c r="C956" s="9" t="s">
        <v>60</v>
      </c>
      <c r="D956" s="10">
        <v>4052.7</v>
      </c>
      <c r="E956" s="11">
        <v>44574</v>
      </c>
      <c r="F956" s="10">
        <v>4052.7</v>
      </c>
      <c r="G956" s="12">
        <f>Tabla1[[#This Row],[Importe]]-Tabla1[[#This Row],[Pagado]]</f>
        <v>0</v>
      </c>
      <c r="H956" s="9" t="s">
        <v>10</v>
      </c>
    </row>
    <row r="957" spans="1:8" x14ac:dyDescent="0.25">
      <c r="A957" s="7">
        <v>44572</v>
      </c>
      <c r="B957" s="8" t="s">
        <v>1224</v>
      </c>
      <c r="C957" s="9" t="s">
        <v>111</v>
      </c>
      <c r="D957" s="10">
        <v>4455</v>
      </c>
      <c r="E957" s="11">
        <v>44574</v>
      </c>
      <c r="F957" s="10">
        <v>4455</v>
      </c>
      <c r="G957" s="12">
        <f>Tabla1[[#This Row],[Importe]]-Tabla1[[#This Row],[Pagado]]</f>
        <v>0</v>
      </c>
      <c r="H957" s="9" t="s">
        <v>10</v>
      </c>
    </row>
    <row r="958" spans="1:8" x14ac:dyDescent="0.25">
      <c r="A958" s="7">
        <v>44572</v>
      </c>
      <c r="B958" s="8" t="s">
        <v>1225</v>
      </c>
      <c r="C958" s="9" t="s">
        <v>131</v>
      </c>
      <c r="D958" s="10">
        <v>6260.4</v>
      </c>
      <c r="E958" s="11">
        <v>44572</v>
      </c>
      <c r="F958" s="10">
        <v>6260.4</v>
      </c>
      <c r="G958" s="12">
        <f>Tabla1[[#This Row],[Importe]]-Tabla1[[#This Row],[Pagado]]</f>
        <v>0</v>
      </c>
      <c r="H958" s="9" t="s">
        <v>10</v>
      </c>
    </row>
    <row r="959" spans="1:8" x14ac:dyDescent="0.25">
      <c r="A959" s="7">
        <v>44572</v>
      </c>
      <c r="B959" s="8" t="s">
        <v>1226</v>
      </c>
      <c r="C959" s="9" t="s">
        <v>9</v>
      </c>
      <c r="D959" s="10">
        <v>5756.3</v>
      </c>
      <c r="E959" s="11">
        <v>44572</v>
      </c>
      <c r="F959" s="10">
        <v>5756.3</v>
      </c>
      <c r="G959" s="12">
        <f>Tabla1[[#This Row],[Importe]]-Tabla1[[#This Row],[Pagado]]</f>
        <v>0</v>
      </c>
      <c r="H959" s="9" t="s">
        <v>10</v>
      </c>
    </row>
    <row r="960" spans="1:8" x14ac:dyDescent="0.25">
      <c r="A960" s="7">
        <v>44572</v>
      </c>
      <c r="B960" s="8" t="s">
        <v>1227</v>
      </c>
      <c r="C960" s="9" t="s">
        <v>18</v>
      </c>
      <c r="D960" s="10">
        <v>1428</v>
      </c>
      <c r="E960" s="11">
        <v>44572</v>
      </c>
      <c r="F960" s="10">
        <v>1428</v>
      </c>
      <c r="G960" s="12">
        <f>Tabla1[[#This Row],[Importe]]-Tabla1[[#This Row],[Pagado]]</f>
        <v>0</v>
      </c>
      <c r="H960" s="9" t="s">
        <v>10</v>
      </c>
    </row>
    <row r="961" spans="1:8" x14ac:dyDescent="0.25">
      <c r="A961" s="7">
        <v>44572</v>
      </c>
      <c r="B961" s="8" t="s">
        <v>1228</v>
      </c>
      <c r="C961" s="9" t="s">
        <v>513</v>
      </c>
      <c r="D961" s="10">
        <v>2429.6</v>
      </c>
      <c r="E961" s="11">
        <v>44572</v>
      </c>
      <c r="F961" s="10">
        <v>2429.6</v>
      </c>
      <c r="G961" s="12">
        <f>Tabla1[[#This Row],[Importe]]-Tabla1[[#This Row],[Pagado]]</f>
        <v>0</v>
      </c>
      <c r="H961" s="9" t="s">
        <v>10</v>
      </c>
    </row>
    <row r="962" spans="1:8" x14ac:dyDescent="0.25">
      <c r="A962" s="7">
        <v>44572</v>
      </c>
      <c r="B962" s="8" t="s">
        <v>1229</v>
      </c>
      <c r="C962" s="9" t="s">
        <v>83</v>
      </c>
      <c r="D962" s="10">
        <v>4166</v>
      </c>
      <c r="E962" s="11">
        <v>44572</v>
      </c>
      <c r="F962" s="10">
        <v>4166</v>
      </c>
      <c r="G962" s="12">
        <f>Tabla1[[#This Row],[Importe]]-Tabla1[[#This Row],[Pagado]]</f>
        <v>0</v>
      </c>
      <c r="H962" s="9" t="s">
        <v>10</v>
      </c>
    </row>
    <row r="963" spans="1:8" x14ac:dyDescent="0.25">
      <c r="A963" s="7">
        <v>44572</v>
      </c>
      <c r="B963" s="8" t="s">
        <v>1230</v>
      </c>
      <c r="C963" s="9" t="s">
        <v>314</v>
      </c>
      <c r="D963" s="10">
        <v>1283.4000000000001</v>
      </c>
      <c r="E963" s="11">
        <v>44572</v>
      </c>
      <c r="F963" s="10">
        <v>1283.4000000000001</v>
      </c>
      <c r="G963" s="12">
        <f>Tabla1[[#This Row],[Importe]]-Tabla1[[#This Row],[Pagado]]</f>
        <v>0</v>
      </c>
      <c r="H963" s="9" t="s">
        <v>10</v>
      </c>
    </row>
    <row r="964" spans="1:8" x14ac:dyDescent="0.25">
      <c r="A964" s="7">
        <v>44572</v>
      </c>
      <c r="B964" s="8" t="s">
        <v>1231</v>
      </c>
      <c r="C964" s="9" t="s">
        <v>87</v>
      </c>
      <c r="D964" s="10">
        <v>860.2</v>
      </c>
      <c r="E964" s="11">
        <v>44572</v>
      </c>
      <c r="F964" s="10">
        <v>860.2</v>
      </c>
      <c r="G964" s="12">
        <f>Tabla1[[#This Row],[Importe]]-Tabla1[[#This Row],[Pagado]]</f>
        <v>0</v>
      </c>
      <c r="H964" s="9" t="s">
        <v>10</v>
      </c>
    </row>
    <row r="965" spans="1:8" x14ac:dyDescent="0.25">
      <c r="A965" s="7">
        <v>44572</v>
      </c>
      <c r="B965" s="8" t="s">
        <v>1232</v>
      </c>
      <c r="C965" s="9" t="s">
        <v>27</v>
      </c>
      <c r="D965" s="10">
        <v>4891.2</v>
      </c>
      <c r="E965" s="11">
        <v>44572</v>
      </c>
      <c r="F965" s="10">
        <v>4891.2</v>
      </c>
      <c r="G965" s="12">
        <f>Tabla1[[#This Row],[Importe]]-Tabla1[[#This Row],[Pagado]]</f>
        <v>0</v>
      </c>
      <c r="H965" s="9" t="s">
        <v>10</v>
      </c>
    </row>
    <row r="966" spans="1:8" x14ac:dyDescent="0.25">
      <c r="A966" s="7">
        <v>44572</v>
      </c>
      <c r="B966" s="8" t="s">
        <v>1233</v>
      </c>
      <c r="C966" s="9" t="s">
        <v>53</v>
      </c>
      <c r="D966" s="10">
        <v>1560</v>
      </c>
      <c r="E966" s="11">
        <v>44572</v>
      </c>
      <c r="F966" s="10">
        <v>1560</v>
      </c>
      <c r="G966" s="12">
        <f>Tabla1[[#This Row],[Importe]]-Tabla1[[#This Row],[Pagado]]</f>
        <v>0</v>
      </c>
      <c r="H966" s="9" t="s">
        <v>10</v>
      </c>
    </row>
    <row r="967" spans="1:8" x14ac:dyDescent="0.25">
      <c r="A967" s="7">
        <v>44572</v>
      </c>
      <c r="B967" s="8" t="s">
        <v>1234</v>
      </c>
      <c r="C967" s="9" t="s">
        <v>47</v>
      </c>
      <c r="D967" s="10">
        <v>62998</v>
      </c>
      <c r="E967" s="11">
        <v>44572</v>
      </c>
      <c r="F967" s="10">
        <v>62998</v>
      </c>
      <c r="G967" s="12">
        <f>Tabla1[[#This Row],[Importe]]-Tabla1[[#This Row],[Pagado]]</f>
        <v>0</v>
      </c>
      <c r="H967" s="9" t="s">
        <v>10</v>
      </c>
    </row>
    <row r="968" spans="1:8" x14ac:dyDescent="0.25">
      <c r="A968" s="7">
        <v>44572</v>
      </c>
      <c r="B968" s="8" t="s">
        <v>1235</v>
      </c>
      <c r="C968" s="9" t="s">
        <v>16</v>
      </c>
      <c r="D968" s="10">
        <v>6262.8</v>
      </c>
      <c r="E968" s="11">
        <v>44572</v>
      </c>
      <c r="F968" s="10">
        <v>6262.8</v>
      </c>
      <c r="G968" s="12">
        <f>Tabla1[[#This Row],[Importe]]-Tabla1[[#This Row],[Pagado]]</f>
        <v>0</v>
      </c>
      <c r="H968" s="9" t="s">
        <v>10</v>
      </c>
    </row>
    <row r="969" spans="1:8" x14ac:dyDescent="0.25">
      <c r="A969" s="7">
        <v>44572</v>
      </c>
      <c r="B969" s="8" t="s">
        <v>1236</v>
      </c>
      <c r="C969" s="9" t="s">
        <v>1237</v>
      </c>
      <c r="D969" s="10">
        <v>29190.400000000001</v>
      </c>
      <c r="E969" s="11">
        <v>44572</v>
      </c>
      <c r="F969" s="10">
        <v>29190.400000000001</v>
      </c>
      <c r="G969" s="12">
        <f>Tabla1[[#This Row],[Importe]]-Tabla1[[#This Row],[Pagado]]</f>
        <v>0</v>
      </c>
      <c r="H969" s="9" t="s">
        <v>10</v>
      </c>
    </row>
    <row r="970" spans="1:8" x14ac:dyDescent="0.25">
      <c r="A970" s="7">
        <v>44572</v>
      </c>
      <c r="B970" s="8" t="s">
        <v>1238</v>
      </c>
      <c r="C970" s="9" t="s">
        <v>1239</v>
      </c>
      <c r="D970" s="10">
        <v>16300</v>
      </c>
      <c r="E970" s="11">
        <v>44572</v>
      </c>
      <c r="F970" s="10">
        <v>16300</v>
      </c>
      <c r="G970" s="12">
        <f>Tabla1[[#This Row],[Importe]]-Tabla1[[#This Row],[Pagado]]</f>
        <v>0</v>
      </c>
      <c r="H970" s="9" t="s">
        <v>10</v>
      </c>
    </row>
    <row r="971" spans="1:8" x14ac:dyDescent="0.25">
      <c r="A971" s="7">
        <v>44572</v>
      </c>
      <c r="B971" s="8" t="s">
        <v>1240</v>
      </c>
      <c r="C971" s="9" t="s">
        <v>45</v>
      </c>
      <c r="D971" s="10">
        <v>10018.5</v>
      </c>
      <c r="E971" s="11">
        <v>44572</v>
      </c>
      <c r="F971" s="10">
        <v>10018.5</v>
      </c>
      <c r="G971" s="12">
        <f>Tabla1[[#This Row],[Importe]]-Tabla1[[#This Row],[Pagado]]</f>
        <v>0</v>
      </c>
      <c r="H971" s="9" t="s">
        <v>10</v>
      </c>
    </row>
    <row r="972" spans="1:8" x14ac:dyDescent="0.25">
      <c r="A972" s="7">
        <v>44572</v>
      </c>
      <c r="B972" s="8" t="s">
        <v>1241</v>
      </c>
      <c r="C972" s="9" t="s">
        <v>226</v>
      </c>
      <c r="D972" s="10">
        <v>16339.1</v>
      </c>
      <c r="E972" s="11">
        <v>44572</v>
      </c>
      <c r="F972" s="10">
        <v>16339.1</v>
      </c>
      <c r="G972" s="12">
        <f>Tabla1[[#This Row],[Importe]]-Tabla1[[#This Row],[Pagado]]</f>
        <v>0</v>
      </c>
      <c r="H972" s="9" t="s">
        <v>10</v>
      </c>
    </row>
    <row r="973" spans="1:8" x14ac:dyDescent="0.25">
      <c r="A973" s="7">
        <v>44572</v>
      </c>
      <c r="B973" s="8" t="s">
        <v>1242</v>
      </c>
      <c r="C973" s="9" t="s">
        <v>49</v>
      </c>
      <c r="D973" s="10">
        <v>2842.4</v>
      </c>
      <c r="E973" s="11">
        <v>44572</v>
      </c>
      <c r="F973" s="10">
        <v>2842.4</v>
      </c>
      <c r="G973" s="12">
        <f>Tabla1[[#This Row],[Importe]]-Tabla1[[#This Row],[Pagado]]</f>
        <v>0</v>
      </c>
      <c r="H973" s="9" t="s">
        <v>10</v>
      </c>
    </row>
    <row r="974" spans="1:8" x14ac:dyDescent="0.25">
      <c r="A974" s="7">
        <v>44572</v>
      </c>
      <c r="B974" s="8" t="s">
        <v>1243</v>
      </c>
      <c r="C974" s="9" t="s">
        <v>135</v>
      </c>
      <c r="D974" s="10">
        <v>805</v>
      </c>
      <c r="E974" s="11">
        <v>44572</v>
      </c>
      <c r="F974" s="10">
        <v>805</v>
      </c>
      <c r="G974" s="12">
        <f>Tabla1[[#This Row],[Importe]]-Tabla1[[#This Row],[Pagado]]</f>
        <v>0</v>
      </c>
      <c r="H974" s="9" t="s">
        <v>10</v>
      </c>
    </row>
    <row r="975" spans="1:8" x14ac:dyDescent="0.25">
      <c r="A975" s="7">
        <v>44572</v>
      </c>
      <c r="B975" s="8" t="s">
        <v>1244</v>
      </c>
      <c r="C975" s="9" t="s">
        <v>167</v>
      </c>
      <c r="D975" s="10">
        <v>39856</v>
      </c>
      <c r="E975" s="11">
        <v>44572</v>
      </c>
      <c r="F975" s="10">
        <v>39856</v>
      </c>
      <c r="G975" s="12">
        <f>Tabla1[[#This Row],[Importe]]-Tabla1[[#This Row],[Pagado]]</f>
        <v>0</v>
      </c>
      <c r="H975" s="9" t="s">
        <v>10</v>
      </c>
    </row>
    <row r="976" spans="1:8" x14ac:dyDescent="0.25">
      <c r="A976" s="7">
        <v>44572</v>
      </c>
      <c r="B976" s="8" t="s">
        <v>1245</v>
      </c>
      <c r="C976" s="9" t="s">
        <v>24</v>
      </c>
      <c r="D976" s="10">
        <v>4579.8999999999996</v>
      </c>
      <c r="E976" s="11">
        <v>44572</v>
      </c>
      <c r="F976" s="10">
        <v>4579.8999999999996</v>
      </c>
      <c r="G976" s="12">
        <f>Tabla1[[#This Row],[Importe]]-Tabla1[[#This Row],[Pagado]]</f>
        <v>0</v>
      </c>
      <c r="H976" s="9" t="s">
        <v>10</v>
      </c>
    </row>
    <row r="977" spans="1:8" x14ac:dyDescent="0.25">
      <c r="A977" s="7">
        <v>44572</v>
      </c>
      <c r="B977" s="8" t="s">
        <v>1246</v>
      </c>
      <c r="C977" s="9" t="s">
        <v>202</v>
      </c>
      <c r="D977" s="10">
        <v>3055.8</v>
      </c>
      <c r="E977" s="11">
        <v>44572</v>
      </c>
      <c r="F977" s="10">
        <v>3055.8</v>
      </c>
      <c r="G977" s="12">
        <f>Tabla1[[#This Row],[Importe]]-Tabla1[[#This Row],[Pagado]]</f>
        <v>0</v>
      </c>
      <c r="H977" s="9" t="s">
        <v>10</v>
      </c>
    </row>
    <row r="978" spans="1:8" x14ac:dyDescent="0.25">
      <c r="A978" s="7">
        <v>44572</v>
      </c>
      <c r="B978" s="8" t="s">
        <v>1247</v>
      </c>
      <c r="C978" s="9" t="s">
        <v>167</v>
      </c>
      <c r="D978" s="10">
        <v>10900</v>
      </c>
      <c r="E978" s="11">
        <v>44572</v>
      </c>
      <c r="F978" s="10">
        <v>10900</v>
      </c>
      <c r="G978" s="12">
        <f>Tabla1[[#This Row],[Importe]]-Tabla1[[#This Row],[Pagado]]</f>
        <v>0</v>
      </c>
      <c r="H978" s="9" t="s">
        <v>10</v>
      </c>
    </row>
    <row r="979" spans="1:8" x14ac:dyDescent="0.25">
      <c r="A979" s="7">
        <v>44572</v>
      </c>
      <c r="B979" s="8" t="s">
        <v>1248</v>
      </c>
      <c r="C979" s="9" t="s">
        <v>230</v>
      </c>
      <c r="D979" s="10">
        <v>5238.3</v>
      </c>
      <c r="E979" s="11">
        <v>44572</v>
      </c>
      <c r="F979" s="10">
        <v>5238.3</v>
      </c>
      <c r="G979" s="12">
        <f>Tabla1[[#This Row],[Importe]]-Tabla1[[#This Row],[Pagado]]</f>
        <v>0</v>
      </c>
      <c r="H979" s="9" t="s">
        <v>10</v>
      </c>
    </row>
    <row r="980" spans="1:8" x14ac:dyDescent="0.25">
      <c r="A980" s="7">
        <v>44572</v>
      </c>
      <c r="B980" s="8" t="s">
        <v>1249</v>
      </c>
      <c r="C980" s="9" t="s">
        <v>216</v>
      </c>
      <c r="D980" s="10">
        <v>1163.8</v>
      </c>
      <c r="E980" s="11">
        <v>44572</v>
      </c>
      <c r="F980" s="10">
        <v>1163.8</v>
      </c>
      <c r="G980" s="12">
        <f>Tabla1[[#This Row],[Importe]]-Tabla1[[#This Row],[Pagado]]</f>
        <v>0</v>
      </c>
      <c r="H980" s="9" t="s">
        <v>10</v>
      </c>
    </row>
    <row r="981" spans="1:8" x14ac:dyDescent="0.25">
      <c r="A981" s="7">
        <v>44572</v>
      </c>
      <c r="B981" s="8" t="s">
        <v>1250</v>
      </c>
      <c r="C981" s="9" t="s">
        <v>191</v>
      </c>
      <c r="D981" s="10">
        <v>2200.6</v>
      </c>
      <c r="E981" s="11">
        <v>44572</v>
      </c>
      <c r="F981" s="10">
        <v>2200.6</v>
      </c>
      <c r="G981" s="12">
        <f>Tabla1[[#This Row],[Importe]]-Tabla1[[#This Row],[Pagado]]</f>
        <v>0</v>
      </c>
      <c r="H981" s="9" t="s">
        <v>10</v>
      </c>
    </row>
    <row r="982" spans="1:8" x14ac:dyDescent="0.25">
      <c r="A982" s="7">
        <v>44572</v>
      </c>
      <c r="B982" s="8" t="s">
        <v>1251</v>
      </c>
      <c r="C982" s="9" t="s">
        <v>392</v>
      </c>
      <c r="D982" s="10">
        <v>4219.7</v>
      </c>
      <c r="E982" s="11">
        <v>44581</v>
      </c>
      <c r="F982" s="10">
        <v>4219.7</v>
      </c>
      <c r="G982" s="12">
        <f>Tabla1[[#This Row],[Importe]]-Tabla1[[#This Row],[Pagado]]</f>
        <v>0</v>
      </c>
      <c r="H982" s="9" t="s">
        <v>10</v>
      </c>
    </row>
    <row r="983" spans="1:8" x14ac:dyDescent="0.25">
      <c r="A983" s="7">
        <v>44572</v>
      </c>
      <c r="B983" s="8" t="s">
        <v>1252</v>
      </c>
      <c r="C983" s="9" t="s">
        <v>357</v>
      </c>
      <c r="D983" s="10">
        <v>3685.8</v>
      </c>
      <c r="E983" s="11">
        <v>44572</v>
      </c>
      <c r="F983" s="10">
        <v>3685.8</v>
      </c>
      <c r="G983" s="12">
        <f>Tabla1[[#This Row],[Importe]]-Tabla1[[#This Row],[Pagado]]</f>
        <v>0</v>
      </c>
      <c r="H983" s="9" t="s">
        <v>10</v>
      </c>
    </row>
    <row r="984" spans="1:8" x14ac:dyDescent="0.25">
      <c r="A984" s="7">
        <v>44572</v>
      </c>
      <c r="B984" s="8" t="s">
        <v>1253</v>
      </c>
      <c r="C984" s="9" t="s">
        <v>127</v>
      </c>
      <c r="D984" s="10">
        <v>6127.5</v>
      </c>
      <c r="E984" s="11">
        <v>44572</v>
      </c>
      <c r="F984" s="10">
        <v>6127.5</v>
      </c>
      <c r="G984" s="12">
        <f>Tabla1[[#This Row],[Importe]]-Tabla1[[#This Row],[Pagado]]</f>
        <v>0</v>
      </c>
      <c r="H984" s="9" t="s">
        <v>10</v>
      </c>
    </row>
    <row r="985" spans="1:8" x14ac:dyDescent="0.25">
      <c r="A985" s="7">
        <v>44572</v>
      </c>
      <c r="B985" s="8" t="s">
        <v>1254</v>
      </c>
      <c r="C985" s="9" t="s">
        <v>129</v>
      </c>
      <c r="D985" s="10">
        <v>3692</v>
      </c>
      <c r="E985" s="11">
        <v>44572</v>
      </c>
      <c r="F985" s="10">
        <v>3692</v>
      </c>
      <c r="G985" s="12">
        <f>Tabla1[[#This Row],[Importe]]-Tabla1[[#This Row],[Pagado]]</f>
        <v>0</v>
      </c>
      <c r="H985" s="9" t="s">
        <v>10</v>
      </c>
    </row>
    <row r="986" spans="1:8" x14ac:dyDescent="0.25">
      <c r="A986" s="7">
        <v>44572</v>
      </c>
      <c r="B986" s="8" t="s">
        <v>1255</v>
      </c>
      <c r="C986" s="9" t="s">
        <v>107</v>
      </c>
      <c r="D986" s="10">
        <v>9394.6</v>
      </c>
      <c r="E986" s="11">
        <v>44572</v>
      </c>
      <c r="F986" s="10">
        <v>9394.6</v>
      </c>
      <c r="G986" s="12">
        <f>Tabla1[[#This Row],[Importe]]-Tabla1[[#This Row],[Pagado]]</f>
        <v>0</v>
      </c>
      <c r="H986" s="9" t="s">
        <v>10</v>
      </c>
    </row>
    <row r="987" spans="1:8" x14ac:dyDescent="0.25">
      <c r="A987" s="7">
        <v>44572</v>
      </c>
      <c r="B987" s="8" t="s">
        <v>1256</v>
      </c>
      <c r="C987" s="9" t="s">
        <v>140</v>
      </c>
      <c r="D987" s="10">
        <v>661.4</v>
      </c>
      <c r="E987" s="11">
        <v>44572</v>
      </c>
      <c r="F987" s="10">
        <v>661.4</v>
      </c>
      <c r="G987" s="12">
        <f>Tabla1[[#This Row],[Importe]]-Tabla1[[#This Row],[Pagado]]</f>
        <v>0</v>
      </c>
      <c r="H987" s="9" t="s">
        <v>10</v>
      </c>
    </row>
    <row r="988" spans="1:8" x14ac:dyDescent="0.25">
      <c r="A988" s="7">
        <v>44572</v>
      </c>
      <c r="B988" s="8" t="s">
        <v>1257</v>
      </c>
      <c r="C988" s="9" t="s">
        <v>146</v>
      </c>
      <c r="D988" s="10">
        <v>3456.5</v>
      </c>
      <c r="E988" s="11">
        <v>44572</v>
      </c>
      <c r="F988" s="10">
        <v>3456.5</v>
      </c>
      <c r="G988" s="12">
        <f>Tabla1[[#This Row],[Importe]]-Tabla1[[#This Row],[Pagado]]</f>
        <v>0</v>
      </c>
      <c r="H988" s="9" t="s">
        <v>10</v>
      </c>
    </row>
    <row r="989" spans="1:8" x14ac:dyDescent="0.25">
      <c r="A989" s="7">
        <v>44572</v>
      </c>
      <c r="B989" s="8" t="s">
        <v>1258</v>
      </c>
      <c r="C989" s="9" t="s">
        <v>151</v>
      </c>
      <c r="D989" s="10">
        <v>4651.2</v>
      </c>
      <c r="E989" s="11">
        <v>44572</v>
      </c>
      <c r="F989" s="10">
        <v>4651.2</v>
      </c>
      <c r="G989" s="12">
        <f>Tabla1[[#This Row],[Importe]]-Tabla1[[#This Row],[Pagado]]</f>
        <v>0</v>
      </c>
      <c r="H989" s="9" t="s">
        <v>10</v>
      </c>
    </row>
    <row r="990" spans="1:8" x14ac:dyDescent="0.25">
      <c r="A990" s="7">
        <v>44572</v>
      </c>
      <c r="B990" s="8" t="s">
        <v>1259</v>
      </c>
      <c r="C990" s="9" t="s">
        <v>157</v>
      </c>
      <c r="D990" s="10">
        <v>1990.5</v>
      </c>
      <c r="E990" s="11">
        <v>44572</v>
      </c>
      <c r="F990" s="10">
        <v>1990.5</v>
      </c>
      <c r="G990" s="12">
        <f>Tabla1[[#This Row],[Importe]]-Tabla1[[#This Row],[Pagado]]</f>
        <v>0</v>
      </c>
      <c r="H990" s="9" t="s">
        <v>10</v>
      </c>
    </row>
    <row r="991" spans="1:8" x14ac:dyDescent="0.25">
      <c r="A991" s="7">
        <v>44572</v>
      </c>
      <c r="B991" s="8" t="s">
        <v>1260</v>
      </c>
      <c r="C991" s="9" t="s">
        <v>371</v>
      </c>
      <c r="D991" s="10">
        <v>8728.4</v>
      </c>
      <c r="E991" s="11">
        <v>44572</v>
      </c>
      <c r="F991" s="10">
        <v>8728.4</v>
      </c>
      <c r="G991" s="12">
        <f>Tabla1[[#This Row],[Importe]]-Tabla1[[#This Row],[Pagado]]</f>
        <v>0</v>
      </c>
      <c r="H991" s="9" t="s">
        <v>10</v>
      </c>
    </row>
    <row r="992" spans="1:8" x14ac:dyDescent="0.25">
      <c r="A992" s="7">
        <v>44572</v>
      </c>
      <c r="B992" s="8" t="s">
        <v>1261</v>
      </c>
      <c r="C992" s="9" t="s">
        <v>518</v>
      </c>
      <c r="D992" s="10">
        <v>750</v>
      </c>
      <c r="E992" s="11">
        <v>44572</v>
      </c>
      <c r="F992" s="10">
        <v>750</v>
      </c>
      <c r="G992" s="12">
        <f>Tabla1[[#This Row],[Importe]]-Tabla1[[#This Row],[Pagado]]</f>
        <v>0</v>
      </c>
      <c r="H992" s="9" t="s">
        <v>10</v>
      </c>
    </row>
    <row r="993" spans="1:8" x14ac:dyDescent="0.25">
      <c r="A993" s="7">
        <v>44572</v>
      </c>
      <c r="B993" s="8" t="s">
        <v>1262</v>
      </c>
      <c r="C993" s="9" t="s">
        <v>125</v>
      </c>
      <c r="D993" s="10">
        <v>4360.7</v>
      </c>
      <c r="E993" s="11">
        <v>44572</v>
      </c>
      <c r="F993" s="10">
        <v>4360.7</v>
      </c>
      <c r="G993" s="12">
        <f>Tabla1[[#This Row],[Importe]]-Tabla1[[#This Row],[Pagado]]</f>
        <v>0</v>
      </c>
      <c r="H993" s="9" t="s">
        <v>10</v>
      </c>
    </row>
    <row r="994" spans="1:8" x14ac:dyDescent="0.25">
      <c r="A994" s="7">
        <v>44572</v>
      </c>
      <c r="B994" s="8" t="s">
        <v>1263</v>
      </c>
      <c r="C994" s="9" t="s">
        <v>804</v>
      </c>
      <c r="D994" s="10">
        <v>9072.4</v>
      </c>
      <c r="E994" s="11">
        <v>44572</v>
      </c>
      <c r="F994" s="10">
        <v>9072.4</v>
      </c>
      <c r="G994" s="12">
        <f>Tabla1[[#This Row],[Importe]]-Tabla1[[#This Row],[Pagado]]</f>
        <v>0</v>
      </c>
      <c r="H994" s="9" t="s">
        <v>10</v>
      </c>
    </row>
    <row r="995" spans="1:8" x14ac:dyDescent="0.25">
      <c r="A995" s="7">
        <v>44572</v>
      </c>
      <c r="B995" s="8" t="s">
        <v>1264</v>
      </c>
      <c r="C995" s="9" t="s">
        <v>1265</v>
      </c>
      <c r="D995" s="10">
        <v>621</v>
      </c>
      <c r="E995" s="11">
        <v>44572</v>
      </c>
      <c r="F995" s="10">
        <v>621</v>
      </c>
      <c r="G995" s="12">
        <f>Tabla1[[#This Row],[Importe]]-Tabla1[[#This Row],[Pagado]]</f>
        <v>0</v>
      </c>
      <c r="H995" s="9" t="s">
        <v>10</v>
      </c>
    </row>
    <row r="996" spans="1:8" x14ac:dyDescent="0.25">
      <c r="A996" s="7">
        <v>44572</v>
      </c>
      <c r="B996" s="8" t="s">
        <v>1266</v>
      </c>
      <c r="C996" s="9" t="s">
        <v>698</v>
      </c>
      <c r="D996" s="10">
        <v>4335.5</v>
      </c>
      <c r="E996" s="11">
        <v>44572</v>
      </c>
      <c r="F996" s="10">
        <v>4335.5</v>
      </c>
      <c r="G996" s="12">
        <f>Tabla1[[#This Row],[Importe]]-Tabla1[[#This Row],[Pagado]]</f>
        <v>0</v>
      </c>
      <c r="H996" s="9" t="s">
        <v>10</v>
      </c>
    </row>
    <row r="997" spans="1:8" x14ac:dyDescent="0.25">
      <c r="A997" s="7">
        <v>44572</v>
      </c>
      <c r="B997" s="8" t="s">
        <v>1267</v>
      </c>
      <c r="C997" s="9" t="s">
        <v>237</v>
      </c>
      <c r="D997" s="10">
        <v>1951.6</v>
      </c>
      <c r="E997" s="11">
        <v>44572</v>
      </c>
      <c r="F997" s="10">
        <v>1951.6</v>
      </c>
      <c r="G997" s="12">
        <f>Tabla1[[#This Row],[Importe]]-Tabla1[[#This Row],[Pagado]]</f>
        <v>0</v>
      </c>
      <c r="H997" s="9" t="s">
        <v>10</v>
      </c>
    </row>
    <row r="998" spans="1:8" x14ac:dyDescent="0.25">
      <c r="A998" s="7">
        <v>44572</v>
      </c>
      <c r="B998" s="8" t="s">
        <v>1268</v>
      </c>
      <c r="C998" s="9" t="s">
        <v>1269</v>
      </c>
      <c r="D998" s="10">
        <v>0</v>
      </c>
      <c r="E998" s="13" t="s">
        <v>189</v>
      </c>
      <c r="F998" s="10">
        <v>0</v>
      </c>
      <c r="G998" s="12">
        <f>Tabla1[[#This Row],[Importe]]-Tabla1[[#This Row],[Pagado]]</f>
        <v>0</v>
      </c>
      <c r="H998" s="17" t="s">
        <v>1270</v>
      </c>
    </row>
    <row r="999" spans="1:8" x14ac:dyDescent="0.25">
      <c r="A999" s="7">
        <v>44572</v>
      </c>
      <c r="B999" s="8" t="s">
        <v>1271</v>
      </c>
      <c r="C999" s="9" t="s">
        <v>312</v>
      </c>
      <c r="D999" s="10">
        <v>4138.3</v>
      </c>
      <c r="E999" s="11">
        <v>44572</v>
      </c>
      <c r="F999" s="10">
        <v>4138.3</v>
      </c>
      <c r="G999" s="12">
        <f>Tabla1[[#This Row],[Importe]]-Tabla1[[#This Row],[Pagado]]</f>
        <v>0</v>
      </c>
      <c r="H999" s="9" t="s">
        <v>10</v>
      </c>
    </row>
    <row r="1000" spans="1:8" x14ac:dyDescent="0.25">
      <c r="A1000" s="7">
        <v>44572</v>
      </c>
      <c r="B1000" s="8" t="s">
        <v>1272</v>
      </c>
      <c r="C1000" s="9" t="s">
        <v>198</v>
      </c>
      <c r="D1000" s="10">
        <v>1370.8</v>
      </c>
      <c r="E1000" s="11">
        <v>44572</v>
      </c>
      <c r="F1000" s="10">
        <v>1370.8</v>
      </c>
      <c r="G1000" s="12">
        <f>Tabla1[[#This Row],[Importe]]-Tabla1[[#This Row],[Pagado]]</f>
        <v>0</v>
      </c>
      <c r="H1000" s="9" t="s">
        <v>10</v>
      </c>
    </row>
    <row r="1001" spans="1:8" x14ac:dyDescent="0.25">
      <c r="A1001" s="7">
        <v>44572</v>
      </c>
      <c r="B1001" s="8" t="s">
        <v>1273</v>
      </c>
      <c r="C1001" s="9" t="s">
        <v>142</v>
      </c>
      <c r="D1001" s="10">
        <v>87756.3</v>
      </c>
      <c r="E1001" s="11">
        <v>44589</v>
      </c>
      <c r="F1001" s="10">
        <v>87756.3</v>
      </c>
      <c r="G1001" s="12">
        <f>Tabla1[[#This Row],[Importe]]-Tabla1[[#This Row],[Pagado]]</f>
        <v>0</v>
      </c>
      <c r="H1001" s="9" t="s">
        <v>10</v>
      </c>
    </row>
    <row r="1002" spans="1:8" x14ac:dyDescent="0.25">
      <c r="A1002" s="7">
        <v>44572</v>
      </c>
      <c r="B1002" s="8" t="s">
        <v>1274</v>
      </c>
      <c r="C1002" s="9" t="s">
        <v>1275</v>
      </c>
      <c r="D1002" s="10">
        <v>40058.800000000003</v>
      </c>
      <c r="E1002" s="11">
        <v>44572</v>
      </c>
      <c r="F1002" s="10">
        <v>40058.800000000003</v>
      </c>
      <c r="G1002" s="12">
        <f>Tabla1[[#This Row],[Importe]]-Tabla1[[#This Row],[Pagado]]</f>
        <v>0</v>
      </c>
      <c r="H1002" s="9" t="s">
        <v>10</v>
      </c>
    </row>
    <row r="1003" spans="1:8" x14ac:dyDescent="0.25">
      <c r="A1003" s="7">
        <v>44572</v>
      </c>
      <c r="B1003" s="8" t="s">
        <v>1276</v>
      </c>
      <c r="C1003" s="9" t="s">
        <v>67</v>
      </c>
      <c r="D1003" s="10">
        <v>2014.4</v>
      </c>
      <c r="E1003" s="11">
        <v>44572</v>
      </c>
      <c r="F1003" s="10">
        <v>2014.4</v>
      </c>
      <c r="G1003" s="12">
        <f>Tabla1[[#This Row],[Importe]]-Tabla1[[#This Row],[Pagado]]</f>
        <v>0</v>
      </c>
      <c r="H1003" s="9" t="s">
        <v>10</v>
      </c>
    </row>
    <row r="1004" spans="1:8" x14ac:dyDescent="0.25">
      <c r="A1004" s="7">
        <v>44572</v>
      </c>
      <c r="B1004" s="8" t="s">
        <v>1277</v>
      </c>
      <c r="C1004" s="9" t="s">
        <v>419</v>
      </c>
      <c r="D1004" s="10">
        <v>8626.2000000000007</v>
      </c>
      <c r="E1004" s="11">
        <v>44572</v>
      </c>
      <c r="F1004" s="10">
        <v>8626.2000000000007</v>
      </c>
      <c r="G1004" s="12">
        <f>Tabla1[[#This Row],[Importe]]-Tabla1[[#This Row],[Pagado]]</f>
        <v>0</v>
      </c>
      <c r="H1004" s="9" t="s">
        <v>10</v>
      </c>
    </row>
    <row r="1005" spans="1:8" x14ac:dyDescent="0.25">
      <c r="A1005" s="7">
        <v>44572</v>
      </c>
      <c r="B1005" s="8" t="s">
        <v>1278</v>
      </c>
      <c r="C1005" s="9" t="s">
        <v>249</v>
      </c>
      <c r="D1005" s="10">
        <v>1819.8</v>
      </c>
      <c r="E1005" s="11">
        <v>44572</v>
      </c>
      <c r="F1005" s="10">
        <v>1819.8</v>
      </c>
      <c r="G1005" s="12">
        <f>Tabla1[[#This Row],[Importe]]-Tabla1[[#This Row],[Pagado]]</f>
        <v>0</v>
      </c>
      <c r="H1005" s="9" t="s">
        <v>10</v>
      </c>
    </row>
    <row r="1006" spans="1:8" ht="30" x14ac:dyDescent="0.25">
      <c r="A1006" s="7">
        <v>44572</v>
      </c>
      <c r="B1006" s="8" t="s">
        <v>1279</v>
      </c>
      <c r="C1006" s="18" t="s">
        <v>1280</v>
      </c>
      <c r="D1006" s="10">
        <v>0</v>
      </c>
      <c r="E1006" s="13" t="s">
        <v>189</v>
      </c>
      <c r="F1006" s="10">
        <v>0</v>
      </c>
      <c r="G1006" s="12">
        <f>Tabla1[[#This Row],[Importe]]-Tabla1[[#This Row],[Pagado]]</f>
        <v>0</v>
      </c>
      <c r="H1006" s="17" t="s">
        <v>1281</v>
      </c>
    </row>
    <row r="1007" spans="1:8" x14ac:dyDescent="0.25">
      <c r="A1007" s="7">
        <v>44572</v>
      </c>
      <c r="B1007" s="8" t="s">
        <v>1282</v>
      </c>
      <c r="C1007" s="9" t="s">
        <v>196</v>
      </c>
      <c r="D1007" s="10">
        <v>52417.4</v>
      </c>
      <c r="E1007" s="11">
        <v>44575</v>
      </c>
      <c r="F1007" s="10">
        <v>52417.4</v>
      </c>
      <c r="G1007" s="12">
        <f>Tabla1[[#This Row],[Importe]]-Tabla1[[#This Row],[Pagado]]</f>
        <v>0</v>
      </c>
      <c r="H1007" s="9" t="s">
        <v>10</v>
      </c>
    </row>
    <row r="1008" spans="1:8" x14ac:dyDescent="0.25">
      <c r="A1008" s="7">
        <v>44572</v>
      </c>
      <c r="B1008" s="8" t="s">
        <v>1283</v>
      </c>
      <c r="C1008" s="9" t="s">
        <v>58</v>
      </c>
      <c r="D1008" s="10">
        <v>5922.7</v>
      </c>
      <c r="E1008" s="11">
        <v>44572</v>
      </c>
      <c r="F1008" s="10">
        <v>5922.7</v>
      </c>
      <c r="G1008" s="12">
        <f>Tabla1[[#This Row],[Importe]]-Tabla1[[#This Row],[Pagado]]</f>
        <v>0</v>
      </c>
      <c r="H1008" s="9" t="s">
        <v>10</v>
      </c>
    </row>
    <row r="1009" spans="1:8" x14ac:dyDescent="0.25">
      <c r="A1009" s="7">
        <v>44572</v>
      </c>
      <c r="B1009" s="8" t="s">
        <v>1284</v>
      </c>
      <c r="C1009" s="9" t="s">
        <v>284</v>
      </c>
      <c r="D1009" s="10">
        <v>2580.6</v>
      </c>
      <c r="E1009" s="11">
        <v>44573</v>
      </c>
      <c r="F1009" s="10">
        <v>2580.6</v>
      </c>
      <c r="G1009" s="12">
        <f>Tabla1[[#This Row],[Importe]]-Tabla1[[#This Row],[Pagado]]</f>
        <v>0</v>
      </c>
      <c r="H1009" s="9" t="s">
        <v>10</v>
      </c>
    </row>
    <row r="1010" spans="1:8" x14ac:dyDescent="0.25">
      <c r="A1010" s="7">
        <v>44572</v>
      </c>
      <c r="B1010" s="8" t="s">
        <v>1285</v>
      </c>
      <c r="C1010" s="9" t="s">
        <v>280</v>
      </c>
      <c r="D1010" s="10">
        <v>786.6</v>
      </c>
      <c r="E1010" s="11">
        <v>44573</v>
      </c>
      <c r="F1010" s="10">
        <v>786.6</v>
      </c>
      <c r="G1010" s="12">
        <f>Tabla1[[#This Row],[Importe]]-Tabla1[[#This Row],[Pagado]]</f>
        <v>0</v>
      </c>
      <c r="H1010" s="9" t="s">
        <v>10</v>
      </c>
    </row>
    <row r="1011" spans="1:8" x14ac:dyDescent="0.25">
      <c r="A1011" s="7">
        <v>44572</v>
      </c>
      <c r="B1011" s="8" t="s">
        <v>1286</v>
      </c>
      <c r="C1011" s="9" t="s">
        <v>149</v>
      </c>
      <c r="D1011" s="10">
        <v>1080</v>
      </c>
      <c r="E1011" s="11">
        <v>44572</v>
      </c>
      <c r="F1011" s="10">
        <v>1080</v>
      </c>
      <c r="G1011" s="12">
        <f>Tabla1[[#This Row],[Importe]]-Tabla1[[#This Row],[Pagado]]</f>
        <v>0</v>
      </c>
      <c r="H1011" s="9" t="s">
        <v>10</v>
      </c>
    </row>
    <row r="1012" spans="1:8" x14ac:dyDescent="0.25">
      <c r="A1012" s="7">
        <v>44572</v>
      </c>
      <c r="B1012" s="8" t="s">
        <v>1287</v>
      </c>
      <c r="C1012" s="9" t="s">
        <v>289</v>
      </c>
      <c r="D1012" s="10">
        <v>7520</v>
      </c>
      <c r="E1012" s="11">
        <v>44572</v>
      </c>
      <c r="F1012" s="10">
        <v>7520</v>
      </c>
      <c r="G1012" s="12">
        <f>Tabla1[[#This Row],[Importe]]-Tabla1[[#This Row],[Pagado]]</f>
        <v>0</v>
      </c>
      <c r="H1012" s="9" t="s">
        <v>10</v>
      </c>
    </row>
    <row r="1013" spans="1:8" x14ac:dyDescent="0.25">
      <c r="A1013" s="7">
        <v>44572</v>
      </c>
      <c r="B1013" s="8" t="s">
        <v>1288</v>
      </c>
      <c r="C1013" s="9" t="s">
        <v>421</v>
      </c>
      <c r="D1013" s="10">
        <v>3167.4</v>
      </c>
      <c r="E1013" s="11">
        <v>44572</v>
      </c>
      <c r="F1013" s="10">
        <v>3167.4</v>
      </c>
      <c r="G1013" s="12">
        <f>Tabla1[[#This Row],[Importe]]-Tabla1[[#This Row],[Pagado]]</f>
        <v>0</v>
      </c>
      <c r="H1013" s="9" t="s">
        <v>10</v>
      </c>
    </row>
    <row r="1014" spans="1:8" x14ac:dyDescent="0.25">
      <c r="A1014" s="7">
        <v>44572</v>
      </c>
      <c r="B1014" s="8" t="s">
        <v>1289</v>
      </c>
      <c r="C1014" s="9" t="s">
        <v>452</v>
      </c>
      <c r="D1014" s="10">
        <v>3276.8</v>
      </c>
      <c r="E1014" s="11">
        <v>44572</v>
      </c>
      <c r="F1014" s="10">
        <v>3276.8</v>
      </c>
      <c r="G1014" s="12">
        <f>Tabla1[[#This Row],[Importe]]-Tabla1[[#This Row],[Pagado]]</f>
        <v>0</v>
      </c>
      <c r="H1014" s="9" t="s">
        <v>10</v>
      </c>
    </row>
    <row r="1015" spans="1:8" x14ac:dyDescent="0.25">
      <c r="A1015" s="7">
        <v>44572</v>
      </c>
      <c r="B1015" s="8" t="s">
        <v>1290</v>
      </c>
      <c r="C1015" s="9" t="s">
        <v>99</v>
      </c>
      <c r="D1015" s="10">
        <v>5855.8</v>
      </c>
      <c r="E1015" s="11">
        <v>44573</v>
      </c>
      <c r="F1015" s="10">
        <v>5855.8</v>
      </c>
      <c r="G1015" s="12">
        <f>Tabla1[[#This Row],[Importe]]-Tabla1[[#This Row],[Pagado]]</f>
        <v>0</v>
      </c>
      <c r="H1015" s="9" t="s">
        <v>10</v>
      </c>
    </row>
    <row r="1016" spans="1:8" x14ac:dyDescent="0.25">
      <c r="A1016" s="7">
        <v>44572</v>
      </c>
      <c r="B1016" s="8" t="s">
        <v>1291</v>
      </c>
      <c r="C1016" s="9" t="s">
        <v>473</v>
      </c>
      <c r="D1016" s="10">
        <v>5353.6</v>
      </c>
      <c r="E1016" s="11">
        <v>44573</v>
      </c>
      <c r="F1016" s="10">
        <v>5353.6</v>
      </c>
      <c r="G1016" s="12">
        <f>Tabla1[[#This Row],[Importe]]-Tabla1[[#This Row],[Pagado]]</f>
        <v>0</v>
      </c>
      <c r="H1016" s="9" t="s">
        <v>10</v>
      </c>
    </row>
    <row r="1017" spans="1:8" x14ac:dyDescent="0.25">
      <c r="A1017" s="7">
        <v>44572</v>
      </c>
      <c r="B1017" s="8" t="s">
        <v>1292</v>
      </c>
      <c r="C1017" s="9" t="s">
        <v>181</v>
      </c>
      <c r="D1017" s="10">
        <v>4218.5</v>
      </c>
      <c r="E1017" s="11">
        <v>44573</v>
      </c>
      <c r="F1017" s="10">
        <v>4218.5</v>
      </c>
      <c r="G1017" s="12">
        <f>Tabla1[[#This Row],[Importe]]-Tabla1[[#This Row],[Pagado]]</f>
        <v>0</v>
      </c>
      <c r="H1017" s="9" t="s">
        <v>10</v>
      </c>
    </row>
    <row r="1018" spans="1:8" x14ac:dyDescent="0.25">
      <c r="A1018" s="7">
        <v>44572</v>
      </c>
      <c r="B1018" s="8" t="s">
        <v>1293</v>
      </c>
      <c r="C1018" s="9" t="s">
        <v>71</v>
      </c>
      <c r="D1018" s="10">
        <v>465.8</v>
      </c>
      <c r="E1018" s="11">
        <v>44572</v>
      </c>
      <c r="F1018" s="10">
        <v>465.8</v>
      </c>
      <c r="G1018" s="12">
        <f>Tabla1[[#This Row],[Importe]]-Tabla1[[#This Row],[Pagado]]</f>
        <v>0</v>
      </c>
      <c r="H1018" s="9" t="s">
        <v>10</v>
      </c>
    </row>
    <row r="1019" spans="1:8" x14ac:dyDescent="0.25">
      <c r="A1019" s="7">
        <v>44572</v>
      </c>
      <c r="B1019" s="8" t="s">
        <v>1294</v>
      </c>
      <c r="C1019" s="9" t="s">
        <v>426</v>
      </c>
      <c r="D1019" s="10">
        <v>3973</v>
      </c>
      <c r="E1019" s="11">
        <v>44573</v>
      </c>
      <c r="F1019" s="10">
        <v>3973</v>
      </c>
      <c r="G1019" s="12">
        <f>Tabla1[[#This Row],[Importe]]-Tabla1[[#This Row],[Pagado]]</f>
        <v>0</v>
      </c>
      <c r="H1019" s="9" t="s">
        <v>10</v>
      </c>
    </row>
    <row r="1020" spans="1:8" x14ac:dyDescent="0.25">
      <c r="A1020" s="7">
        <v>44572</v>
      </c>
      <c r="B1020" s="8" t="s">
        <v>1295</v>
      </c>
      <c r="C1020" s="9" t="s">
        <v>359</v>
      </c>
      <c r="D1020" s="10">
        <v>3151.4</v>
      </c>
      <c r="E1020" s="11">
        <v>44573</v>
      </c>
      <c r="F1020" s="10">
        <v>3151.4</v>
      </c>
      <c r="G1020" s="12">
        <f>Tabla1[[#This Row],[Importe]]-Tabla1[[#This Row],[Pagado]]</f>
        <v>0</v>
      </c>
      <c r="H1020" s="9" t="s">
        <v>10</v>
      </c>
    </row>
    <row r="1021" spans="1:8" x14ac:dyDescent="0.25">
      <c r="A1021" s="7">
        <v>44572</v>
      </c>
      <c r="B1021" s="8" t="s">
        <v>1296</v>
      </c>
      <c r="C1021" s="9" t="s">
        <v>1297</v>
      </c>
      <c r="D1021" s="10">
        <v>1598</v>
      </c>
      <c r="E1021" s="11">
        <v>44572</v>
      </c>
      <c r="F1021" s="10">
        <v>1598</v>
      </c>
      <c r="G1021" s="12">
        <f>Tabla1[[#This Row],[Importe]]-Tabla1[[#This Row],[Pagado]]</f>
        <v>0</v>
      </c>
      <c r="H1021" s="9" t="s">
        <v>10</v>
      </c>
    </row>
    <row r="1022" spans="1:8" x14ac:dyDescent="0.25">
      <c r="A1022" s="7">
        <v>44572</v>
      </c>
      <c r="B1022" s="8" t="s">
        <v>1298</v>
      </c>
      <c r="C1022" s="9" t="s">
        <v>56</v>
      </c>
      <c r="D1022" s="10">
        <v>2996.5</v>
      </c>
      <c r="E1022" s="11">
        <v>44572</v>
      </c>
      <c r="F1022" s="10">
        <v>2996.5</v>
      </c>
      <c r="G1022" s="12">
        <f>Tabla1[[#This Row],[Importe]]-Tabla1[[#This Row],[Pagado]]</f>
        <v>0</v>
      </c>
      <c r="H1022" s="9" t="s">
        <v>10</v>
      </c>
    </row>
    <row r="1023" spans="1:8" x14ac:dyDescent="0.25">
      <c r="A1023" s="7">
        <v>44572</v>
      </c>
      <c r="B1023" s="8" t="s">
        <v>1299</v>
      </c>
      <c r="C1023" s="9" t="s">
        <v>214</v>
      </c>
      <c r="D1023" s="10">
        <v>901.6</v>
      </c>
      <c r="E1023" s="11">
        <v>44572</v>
      </c>
      <c r="F1023" s="10">
        <v>901.6</v>
      </c>
      <c r="G1023" s="12">
        <f>Tabla1[[#This Row],[Importe]]-Tabla1[[#This Row],[Pagado]]</f>
        <v>0</v>
      </c>
      <c r="H1023" s="9" t="s">
        <v>10</v>
      </c>
    </row>
    <row r="1024" spans="1:8" x14ac:dyDescent="0.25">
      <c r="A1024" s="7">
        <v>44572</v>
      </c>
      <c r="B1024" s="8" t="s">
        <v>1300</v>
      </c>
      <c r="C1024" s="9" t="s">
        <v>91</v>
      </c>
      <c r="D1024" s="10">
        <v>2300</v>
      </c>
      <c r="E1024" s="11">
        <v>44574</v>
      </c>
      <c r="F1024" s="10">
        <v>2300</v>
      </c>
      <c r="G1024" s="12">
        <f>Tabla1[[#This Row],[Importe]]-Tabla1[[#This Row],[Pagado]]</f>
        <v>0</v>
      </c>
      <c r="H1024" s="9" t="s">
        <v>10</v>
      </c>
    </row>
    <row r="1025" spans="1:8" x14ac:dyDescent="0.25">
      <c r="A1025" s="7">
        <v>44572</v>
      </c>
      <c r="B1025" s="8" t="s">
        <v>1301</v>
      </c>
      <c r="C1025" s="9" t="s">
        <v>1302</v>
      </c>
      <c r="D1025" s="10">
        <v>31878.2</v>
      </c>
      <c r="E1025" s="11">
        <v>44573</v>
      </c>
      <c r="F1025" s="10">
        <v>31878.2</v>
      </c>
      <c r="G1025" s="12">
        <f>Tabla1[[#This Row],[Importe]]-Tabla1[[#This Row],[Pagado]]</f>
        <v>0</v>
      </c>
      <c r="H1025" s="9" t="s">
        <v>10</v>
      </c>
    </row>
    <row r="1026" spans="1:8" x14ac:dyDescent="0.25">
      <c r="A1026" s="7">
        <v>44572</v>
      </c>
      <c r="B1026" s="8" t="s">
        <v>1303</v>
      </c>
      <c r="C1026" s="9" t="s">
        <v>291</v>
      </c>
      <c r="D1026" s="10">
        <v>2878</v>
      </c>
      <c r="E1026" s="11">
        <v>44573</v>
      </c>
      <c r="F1026" s="10">
        <v>2878</v>
      </c>
      <c r="G1026" s="12">
        <f>Tabla1[[#This Row],[Importe]]-Tabla1[[#This Row],[Pagado]]</f>
        <v>0</v>
      </c>
      <c r="H1026" s="9" t="s">
        <v>10</v>
      </c>
    </row>
    <row r="1027" spans="1:8" x14ac:dyDescent="0.25">
      <c r="A1027" s="7">
        <v>44572</v>
      </c>
      <c r="B1027" s="8" t="s">
        <v>1304</v>
      </c>
      <c r="C1027" s="9" t="s">
        <v>275</v>
      </c>
      <c r="D1027" s="10">
        <v>85837</v>
      </c>
      <c r="E1027" s="11">
        <v>44583</v>
      </c>
      <c r="F1027" s="10">
        <v>85837</v>
      </c>
      <c r="G1027" s="12">
        <f>Tabla1[[#This Row],[Importe]]-Tabla1[[#This Row],[Pagado]]</f>
        <v>0</v>
      </c>
      <c r="H1027" s="9" t="s">
        <v>10</v>
      </c>
    </row>
    <row r="1028" spans="1:8" x14ac:dyDescent="0.25">
      <c r="A1028" s="7">
        <v>44572</v>
      </c>
      <c r="B1028" s="8" t="s">
        <v>1305</v>
      </c>
      <c r="C1028" s="9" t="s">
        <v>440</v>
      </c>
      <c r="D1028" s="10">
        <v>17278.98</v>
      </c>
      <c r="E1028" s="11">
        <v>44581</v>
      </c>
      <c r="F1028" s="10">
        <v>17278.98</v>
      </c>
      <c r="G1028" s="12">
        <f>Tabla1[[#This Row],[Importe]]-Tabla1[[#This Row],[Pagado]]</f>
        <v>0</v>
      </c>
      <c r="H1028" s="9" t="s">
        <v>10</v>
      </c>
    </row>
    <row r="1029" spans="1:8" x14ac:dyDescent="0.25">
      <c r="A1029" s="7">
        <v>44572</v>
      </c>
      <c r="B1029" s="8" t="s">
        <v>1306</v>
      </c>
      <c r="C1029" s="9" t="s">
        <v>433</v>
      </c>
      <c r="D1029" s="10">
        <v>24280</v>
      </c>
      <c r="E1029" s="11">
        <v>44572</v>
      </c>
      <c r="F1029" s="10">
        <v>24280</v>
      </c>
      <c r="G1029" s="12">
        <f>Tabla1[[#This Row],[Importe]]-Tabla1[[#This Row],[Pagado]]</f>
        <v>0</v>
      </c>
      <c r="H1029" s="9" t="s">
        <v>10</v>
      </c>
    </row>
    <row r="1030" spans="1:8" x14ac:dyDescent="0.25">
      <c r="A1030" s="7">
        <v>44572</v>
      </c>
      <c r="B1030" s="8" t="s">
        <v>1307</v>
      </c>
      <c r="C1030" s="9" t="s">
        <v>196</v>
      </c>
      <c r="D1030" s="10">
        <v>13493.8</v>
      </c>
      <c r="E1030" s="11">
        <v>44575</v>
      </c>
      <c r="F1030" s="10">
        <v>13493.8</v>
      </c>
      <c r="G1030" s="12">
        <f>Tabla1[[#This Row],[Importe]]-Tabla1[[#This Row],[Pagado]]</f>
        <v>0</v>
      </c>
      <c r="H1030" s="9" t="s">
        <v>10</v>
      </c>
    </row>
    <row r="1031" spans="1:8" x14ac:dyDescent="0.25">
      <c r="A1031" s="7">
        <v>44572</v>
      </c>
      <c r="B1031" s="8" t="s">
        <v>1308</v>
      </c>
      <c r="C1031" s="9" t="s">
        <v>246</v>
      </c>
      <c r="D1031" s="10">
        <v>53050.400000000001</v>
      </c>
      <c r="E1031" s="11">
        <v>44572</v>
      </c>
      <c r="F1031" s="10">
        <v>53050.400000000001</v>
      </c>
      <c r="G1031" s="12">
        <f>Tabla1[[#This Row],[Importe]]-Tabla1[[#This Row],[Pagado]]</f>
        <v>0</v>
      </c>
      <c r="H1031" s="9" t="s">
        <v>10</v>
      </c>
    </row>
    <row r="1032" spans="1:8" x14ac:dyDescent="0.25">
      <c r="A1032" s="7">
        <v>44572</v>
      </c>
      <c r="B1032" s="8" t="s">
        <v>1309</v>
      </c>
      <c r="C1032" s="9" t="s">
        <v>269</v>
      </c>
      <c r="D1032" s="10">
        <v>768.4</v>
      </c>
      <c r="E1032" s="11">
        <v>44572</v>
      </c>
      <c r="F1032" s="10">
        <v>768.4</v>
      </c>
      <c r="G1032" s="12">
        <f>Tabla1[[#This Row],[Importe]]-Tabla1[[#This Row],[Pagado]]</f>
        <v>0</v>
      </c>
      <c r="H1032" s="9" t="s">
        <v>10</v>
      </c>
    </row>
    <row r="1033" spans="1:8" x14ac:dyDescent="0.25">
      <c r="A1033" s="7">
        <v>44572</v>
      </c>
      <c r="B1033" s="8" t="s">
        <v>1310</v>
      </c>
      <c r="C1033" s="9" t="s">
        <v>402</v>
      </c>
      <c r="D1033" s="10">
        <v>12369.2</v>
      </c>
      <c r="E1033" s="11">
        <v>44581</v>
      </c>
      <c r="F1033" s="10">
        <v>12369.2</v>
      </c>
      <c r="G1033" s="12">
        <f>Tabla1[[#This Row],[Importe]]-Tabla1[[#This Row],[Pagado]]</f>
        <v>0</v>
      </c>
      <c r="H1033" s="9" t="s">
        <v>10</v>
      </c>
    </row>
    <row r="1034" spans="1:8" x14ac:dyDescent="0.25">
      <c r="A1034" s="7">
        <v>44572</v>
      </c>
      <c r="B1034" s="8" t="s">
        <v>1311</v>
      </c>
      <c r="C1034" s="9" t="s">
        <v>400</v>
      </c>
      <c r="D1034" s="10">
        <v>6985.4</v>
      </c>
      <c r="E1034" s="11">
        <v>44581</v>
      </c>
      <c r="F1034" s="10">
        <v>6985.4</v>
      </c>
      <c r="G1034" s="12">
        <f>Tabla1[[#This Row],[Importe]]-Tabla1[[#This Row],[Pagado]]</f>
        <v>0</v>
      </c>
      <c r="H1034" s="9" t="s">
        <v>10</v>
      </c>
    </row>
    <row r="1035" spans="1:8" x14ac:dyDescent="0.25">
      <c r="A1035" s="7">
        <v>44572</v>
      </c>
      <c r="B1035" s="8" t="s">
        <v>1312</v>
      </c>
      <c r="C1035" s="9" t="s">
        <v>1313</v>
      </c>
      <c r="D1035" s="10">
        <v>4092</v>
      </c>
      <c r="E1035" s="11">
        <v>44572</v>
      </c>
      <c r="F1035" s="10">
        <v>4092</v>
      </c>
      <c r="G1035" s="12">
        <f>Tabla1[[#This Row],[Importe]]-Tabla1[[#This Row],[Pagado]]</f>
        <v>0</v>
      </c>
      <c r="H1035" s="9" t="s">
        <v>10</v>
      </c>
    </row>
    <row r="1036" spans="1:8" x14ac:dyDescent="0.25">
      <c r="A1036" s="7">
        <v>44572</v>
      </c>
      <c r="B1036" s="8" t="s">
        <v>1314</v>
      </c>
      <c r="C1036" s="9" t="s">
        <v>298</v>
      </c>
      <c r="D1036" s="10">
        <v>4797</v>
      </c>
      <c r="E1036" s="11">
        <v>44573</v>
      </c>
      <c r="F1036" s="10">
        <v>4797</v>
      </c>
      <c r="G1036" s="12">
        <f>Tabla1[[#This Row],[Importe]]-Tabla1[[#This Row],[Pagado]]</f>
        <v>0</v>
      </c>
      <c r="H1036" s="9" t="s">
        <v>10</v>
      </c>
    </row>
    <row r="1037" spans="1:8" x14ac:dyDescent="0.25">
      <c r="A1037" s="7">
        <v>44573</v>
      </c>
      <c r="B1037" s="8" t="s">
        <v>1315</v>
      </c>
      <c r="C1037" s="9" t="s">
        <v>85</v>
      </c>
      <c r="D1037" s="10">
        <v>1228.2</v>
      </c>
      <c r="E1037" s="11">
        <v>44573</v>
      </c>
      <c r="F1037" s="10">
        <v>1228.2</v>
      </c>
      <c r="G1037" s="12">
        <f>Tabla1[[#This Row],[Importe]]-Tabla1[[#This Row],[Pagado]]</f>
        <v>0</v>
      </c>
      <c r="H1037" s="9" t="s">
        <v>10</v>
      </c>
    </row>
    <row r="1038" spans="1:8" x14ac:dyDescent="0.25">
      <c r="A1038" s="7">
        <v>44573</v>
      </c>
      <c r="B1038" s="8" t="s">
        <v>1316</v>
      </c>
      <c r="C1038" s="9" t="s">
        <v>75</v>
      </c>
      <c r="D1038" s="10">
        <v>3036</v>
      </c>
      <c r="E1038" s="11">
        <v>44573</v>
      </c>
      <c r="F1038" s="10">
        <v>3036</v>
      </c>
      <c r="G1038" s="12">
        <f>Tabla1[[#This Row],[Importe]]-Tabla1[[#This Row],[Pagado]]</f>
        <v>0</v>
      </c>
      <c r="H1038" s="9" t="s">
        <v>10</v>
      </c>
    </row>
    <row r="1039" spans="1:8" x14ac:dyDescent="0.25">
      <c r="A1039" s="7">
        <v>44573</v>
      </c>
      <c r="B1039" s="8" t="s">
        <v>1317</v>
      </c>
      <c r="C1039" s="9" t="s">
        <v>475</v>
      </c>
      <c r="D1039" s="10">
        <v>29640</v>
      </c>
      <c r="E1039" s="11">
        <v>44574</v>
      </c>
      <c r="F1039" s="10">
        <v>29640</v>
      </c>
      <c r="G1039" s="12">
        <f>Tabla1[[#This Row],[Importe]]-Tabla1[[#This Row],[Pagado]]</f>
        <v>0</v>
      </c>
      <c r="H1039" s="9" t="s">
        <v>10</v>
      </c>
    </row>
    <row r="1040" spans="1:8" x14ac:dyDescent="0.25">
      <c r="A1040" s="7">
        <v>44573</v>
      </c>
      <c r="B1040" s="8" t="s">
        <v>1318</v>
      </c>
      <c r="C1040" s="9" t="s">
        <v>12</v>
      </c>
      <c r="D1040" s="10">
        <v>3425.5</v>
      </c>
      <c r="E1040" s="11">
        <v>44573</v>
      </c>
      <c r="F1040" s="10">
        <v>3425.5</v>
      </c>
      <c r="G1040" s="12">
        <f>Tabla1[[#This Row],[Importe]]-Tabla1[[#This Row],[Pagado]]</f>
        <v>0</v>
      </c>
      <c r="H1040" s="9" t="s">
        <v>10</v>
      </c>
    </row>
    <row r="1041" spans="1:8" x14ac:dyDescent="0.25">
      <c r="A1041" s="7">
        <v>44573</v>
      </c>
      <c r="B1041" s="8" t="s">
        <v>1319</v>
      </c>
      <c r="C1041" s="9" t="s">
        <v>83</v>
      </c>
      <c r="D1041" s="10">
        <v>8265.6</v>
      </c>
      <c r="E1041" s="11">
        <v>44573</v>
      </c>
      <c r="F1041" s="10">
        <v>8265.6</v>
      </c>
      <c r="G1041" s="12">
        <f>Tabla1[[#This Row],[Importe]]-Tabla1[[#This Row],[Pagado]]</f>
        <v>0</v>
      </c>
      <c r="H1041" s="9" t="s">
        <v>10</v>
      </c>
    </row>
    <row r="1042" spans="1:8" x14ac:dyDescent="0.25">
      <c r="A1042" s="7">
        <v>44573</v>
      </c>
      <c r="B1042" s="8" t="s">
        <v>1320</v>
      </c>
      <c r="C1042" s="9" t="s">
        <v>87</v>
      </c>
      <c r="D1042" s="10">
        <v>1570.6</v>
      </c>
      <c r="E1042" s="11">
        <v>44573</v>
      </c>
      <c r="F1042" s="10">
        <v>1570.6</v>
      </c>
      <c r="G1042" s="12">
        <f>Tabla1[[#This Row],[Importe]]-Tabla1[[#This Row],[Pagado]]</f>
        <v>0</v>
      </c>
      <c r="H1042" s="9" t="s">
        <v>10</v>
      </c>
    </row>
    <row r="1043" spans="1:8" x14ac:dyDescent="0.25">
      <c r="A1043" s="7">
        <v>44573</v>
      </c>
      <c r="B1043" s="8" t="s">
        <v>1321</v>
      </c>
      <c r="C1043" s="9" t="s">
        <v>49</v>
      </c>
      <c r="D1043" s="10">
        <v>2437.8000000000002</v>
      </c>
      <c r="E1043" s="11">
        <v>44573</v>
      </c>
      <c r="F1043" s="10">
        <v>2437.8000000000002</v>
      </c>
      <c r="G1043" s="12">
        <f>Tabla1[[#This Row],[Importe]]-Tabla1[[#This Row],[Pagado]]</f>
        <v>0</v>
      </c>
      <c r="H1043" s="9" t="s">
        <v>10</v>
      </c>
    </row>
    <row r="1044" spans="1:8" x14ac:dyDescent="0.25">
      <c r="A1044" s="7">
        <v>44573</v>
      </c>
      <c r="B1044" s="8" t="s">
        <v>1322</v>
      </c>
      <c r="C1044" s="9" t="s">
        <v>109</v>
      </c>
      <c r="D1044" s="10">
        <v>4818</v>
      </c>
      <c r="E1044" s="11">
        <v>44573</v>
      </c>
      <c r="F1044" s="10">
        <v>4818</v>
      </c>
      <c r="G1044" s="12">
        <f>Tabla1[[#This Row],[Importe]]-Tabla1[[#This Row],[Pagado]]</f>
        <v>0</v>
      </c>
      <c r="H1044" s="9" t="s">
        <v>10</v>
      </c>
    </row>
    <row r="1045" spans="1:8" x14ac:dyDescent="0.25">
      <c r="A1045" s="7">
        <v>44573</v>
      </c>
      <c r="B1045" s="8" t="s">
        <v>1323</v>
      </c>
      <c r="C1045" s="9" t="s">
        <v>111</v>
      </c>
      <c r="D1045" s="10">
        <v>4862</v>
      </c>
      <c r="E1045" s="11">
        <v>44574</v>
      </c>
      <c r="F1045" s="10">
        <v>4862</v>
      </c>
      <c r="G1045" s="12">
        <f>Tabla1[[#This Row],[Importe]]-Tabla1[[#This Row],[Pagado]]</f>
        <v>0</v>
      </c>
      <c r="H1045" s="9" t="s">
        <v>10</v>
      </c>
    </row>
    <row r="1046" spans="1:8" x14ac:dyDescent="0.25">
      <c r="A1046" s="7">
        <v>44573</v>
      </c>
      <c r="B1046" s="8" t="s">
        <v>1324</v>
      </c>
      <c r="C1046" s="9" t="s">
        <v>93</v>
      </c>
      <c r="D1046" s="10">
        <v>4532</v>
      </c>
      <c r="E1046" s="11">
        <v>44574</v>
      </c>
      <c r="F1046" s="10">
        <v>4532</v>
      </c>
      <c r="G1046" s="12">
        <f>Tabla1[[#This Row],[Importe]]-Tabla1[[#This Row],[Pagado]]</f>
        <v>0</v>
      </c>
      <c r="H1046" s="9" t="s">
        <v>10</v>
      </c>
    </row>
    <row r="1047" spans="1:8" x14ac:dyDescent="0.25">
      <c r="A1047" s="7">
        <v>44573</v>
      </c>
      <c r="B1047" s="8" t="s">
        <v>1325</v>
      </c>
      <c r="C1047" s="9" t="s">
        <v>116</v>
      </c>
      <c r="D1047" s="10">
        <v>4354.8</v>
      </c>
      <c r="E1047" s="11">
        <v>44575</v>
      </c>
      <c r="F1047" s="10">
        <v>4354.8</v>
      </c>
      <c r="G1047" s="12">
        <f>Tabla1[[#This Row],[Importe]]-Tabla1[[#This Row],[Pagado]]</f>
        <v>0</v>
      </c>
      <c r="H1047" s="9" t="s">
        <v>10</v>
      </c>
    </row>
    <row r="1048" spans="1:8" x14ac:dyDescent="0.25">
      <c r="A1048" s="7">
        <v>44573</v>
      </c>
      <c r="B1048" s="8" t="s">
        <v>1326</v>
      </c>
      <c r="C1048" s="9" t="s">
        <v>118</v>
      </c>
      <c r="D1048" s="10">
        <v>4519.2</v>
      </c>
      <c r="E1048" s="11">
        <v>44573</v>
      </c>
      <c r="F1048" s="10">
        <v>4519.2</v>
      </c>
      <c r="G1048" s="12">
        <f>Tabla1[[#This Row],[Importe]]-Tabla1[[#This Row],[Pagado]]</f>
        <v>0</v>
      </c>
      <c r="H1048" s="9" t="s">
        <v>10</v>
      </c>
    </row>
    <row r="1049" spans="1:8" x14ac:dyDescent="0.25">
      <c r="A1049" s="7">
        <v>44573</v>
      </c>
      <c r="B1049" s="8" t="s">
        <v>1327</v>
      </c>
      <c r="C1049" s="9" t="s">
        <v>114</v>
      </c>
      <c r="D1049" s="10">
        <v>4559.5</v>
      </c>
      <c r="E1049" s="11">
        <v>44574</v>
      </c>
      <c r="F1049" s="10">
        <v>4559.5</v>
      </c>
      <c r="G1049" s="12">
        <f>Tabla1[[#This Row],[Importe]]-Tabla1[[#This Row],[Pagado]]</f>
        <v>0</v>
      </c>
      <c r="H1049" s="9" t="s">
        <v>10</v>
      </c>
    </row>
    <row r="1050" spans="1:8" x14ac:dyDescent="0.25">
      <c r="A1050" s="7">
        <v>44573</v>
      </c>
      <c r="B1050" s="8" t="s">
        <v>1328</v>
      </c>
      <c r="C1050" s="9" t="s">
        <v>120</v>
      </c>
      <c r="D1050" s="10">
        <v>3961.5</v>
      </c>
      <c r="E1050" s="11">
        <v>44575</v>
      </c>
      <c r="F1050" s="10">
        <v>3961.5</v>
      </c>
      <c r="G1050" s="12">
        <f>Tabla1[[#This Row],[Importe]]-Tabla1[[#This Row],[Pagado]]</f>
        <v>0</v>
      </c>
      <c r="H1050" s="9" t="s">
        <v>10</v>
      </c>
    </row>
    <row r="1051" spans="1:8" x14ac:dyDescent="0.25">
      <c r="A1051" s="7">
        <v>44573</v>
      </c>
      <c r="B1051" s="8" t="s">
        <v>1329</v>
      </c>
      <c r="C1051" s="9" t="s">
        <v>89</v>
      </c>
      <c r="D1051" s="10">
        <v>2643.3</v>
      </c>
      <c r="E1051" s="11">
        <v>44574</v>
      </c>
      <c r="F1051" s="10">
        <v>2643.3</v>
      </c>
      <c r="G1051" s="12">
        <f>Tabla1[[#This Row],[Importe]]-Tabla1[[#This Row],[Pagado]]</f>
        <v>0</v>
      </c>
      <c r="H1051" s="9" t="s">
        <v>10</v>
      </c>
    </row>
    <row r="1052" spans="1:8" x14ac:dyDescent="0.25">
      <c r="A1052" s="7">
        <v>44573</v>
      </c>
      <c r="B1052" s="8" t="s">
        <v>1330</v>
      </c>
      <c r="C1052" s="9" t="s">
        <v>348</v>
      </c>
      <c r="D1052" s="10">
        <v>1969.3</v>
      </c>
      <c r="E1052" s="11">
        <v>44573</v>
      </c>
      <c r="F1052" s="10">
        <v>1969.3</v>
      </c>
      <c r="G1052" s="12">
        <f>Tabla1[[#This Row],[Importe]]-Tabla1[[#This Row],[Pagado]]</f>
        <v>0</v>
      </c>
      <c r="H1052" s="9" t="s">
        <v>10</v>
      </c>
    </row>
    <row r="1053" spans="1:8" x14ac:dyDescent="0.25">
      <c r="A1053" s="7">
        <v>44573</v>
      </c>
      <c r="B1053" s="8" t="s">
        <v>1331</v>
      </c>
      <c r="C1053" s="9" t="s">
        <v>151</v>
      </c>
      <c r="D1053" s="10">
        <v>6666</v>
      </c>
      <c r="E1053" s="11">
        <v>44573</v>
      </c>
      <c r="F1053" s="10">
        <v>6666</v>
      </c>
      <c r="G1053" s="12">
        <f>Tabla1[[#This Row],[Importe]]-Tabla1[[#This Row],[Pagado]]</f>
        <v>0</v>
      </c>
      <c r="H1053" s="9" t="s">
        <v>10</v>
      </c>
    </row>
    <row r="1054" spans="1:8" x14ac:dyDescent="0.25">
      <c r="A1054" s="7">
        <v>44573</v>
      </c>
      <c r="B1054" s="8" t="s">
        <v>1332</v>
      </c>
      <c r="C1054" s="9" t="s">
        <v>319</v>
      </c>
      <c r="D1054" s="10">
        <v>1672.4</v>
      </c>
      <c r="E1054" s="11">
        <v>44573</v>
      </c>
      <c r="F1054" s="10">
        <v>1672.4</v>
      </c>
      <c r="G1054" s="12">
        <f>Tabla1[[#This Row],[Importe]]-Tabla1[[#This Row],[Pagado]]</f>
        <v>0</v>
      </c>
      <c r="H1054" s="9" t="s">
        <v>10</v>
      </c>
    </row>
    <row r="1055" spans="1:8" x14ac:dyDescent="0.25">
      <c r="A1055" s="7">
        <v>44573</v>
      </c>
      <c r="B1055" s="8" t="s">
        <v>1333</v>
      </c>
      <c r="C1055" s="9" t="s">
        <v>22</v>
      </c>
      <c r="D1055" s="10">
        <v>22543.5</v>
      </c>
      <c r="E1055" s="11">
        <v>44574</v>
      </c>
      <c r="F1055" s="10">
        <v>22543.5</v>
      </c>
      <c r="G1055" s="12">
        <f>Tabla1[[#This Row],[Importe]]-Tabla1[[#This Row],[Pagado]]</f>
        <v>0</v>
      </c>
      <c r="H1055" s="9" t="s">
        <v>10</v>
      </c>
    </row>
    <row r="1056" spans="1:8" x14ac:dyDescent="0.25">
      <c r="A1056" s="7">
        <v>44573</v>
      </c>
      <c r="B1056" s="8" t="s">
        <v>1334</v>
      </c>
      <c r="C1056" s="9" t="s">
        <v>64</v>
      </c>
      <c r="D1056" s="10">
        <v>4654.1000000000004</v>
      </c>
      <c r="E1056" s="11">
        <v>44575</v>
      </c>
      <c r="F1056" s="10">
        <v>4654.1000000000004</v>
      </c>
      <c r="G1056" s="12">
        <f>Tabla1[[#This Row],[Importe]]-Tabla1[[#This Row],[Pagado]]</f>
        <v>0</v>
      </c>
      <c r="H1056" s="9" t="s">
        <v>10</v>
      </c>
    </row>
    <row r="1057" spans="1:8" ht="30" x14ac:dyDescent="0.25">
      <c r="A1057" s="7">
        <v>44573</v>
      </c>
      <c r="B1057" s="8" t="s">
        <v>1335</v>
      </c>
      <c r="C1057" s="9" t="s">
        <v>39</v>
      </c>
      <c r="D1057" s="10">
        <v>19277.099999999999</v>
      </c>
      <c r="E1057" s="11" t="s">
        <v>1336</v>
      </c>
      <c r="F1057" s="10">
        <f>5000+14277.1</f>
        <v>19277.099999999999</v>
      </c>
      <c r="G1057" s="12">
        <f>Tabla1[[#This Row],[Importe]]-Tabla1[[#This Row],[Pagado]]</f>
        <v>0</v>
      </c>
      <c r="H1057" s="9" t="s">
        <v>10</v>
      </c>
    </row>
    <row r="1058" spans="1:8" x14ac:dyDescent="0.25">
      <c r="A1058" s="7">
        <v>44573</v>
      </c>
      <c r="B1058" s="8" t="s">
        <v>1337</v>
      </c>
      <c r="C1058" s="9" t="s">
        <v>9</v>
      </c>
      <c r="D1058" s="10">
        <v>5293.4</v>
      </c>
      <c r="E1058" s="11">
        <v>44573</v>
      </c>
      <c r="F1058" s="10">
        <v>5293.4</v>
      </c>
      <c r="G1058" s="12">
        <f>Tabla1[[#This Row],[Importe]]-Tabla1[[#This Row],[Pagado]]</f>
        <v>0</v>
      </c>
      <c r="H1058" s="9" t="s">
        <v>10</v>
      </c>
    </row>
    <row r="1059" spans="1:8" x14ac:dyDescent="0.25">
      <c r="A1059" s="7">
        <v>44573</v>
      </c>
      <c r="B1059" s="8" t="s">
        <v>1338</v>
      </c>
      <c r="C1059" s="9" t="s">
        <v>1339</v>
      </c>
      <c r="D1059" s="10">
        <v>3098.2</v>
      </c>
      <c r="E1059" s="11">
        <v>44573</v>
      </c>
      <c r="F1059" s="10">
        <v>3098.2</v>
      </c>
      <c r="G1059" s="12">
        <f>Tabla1[[#This Row],[Importe]]-Tabla1[[#This Row],[Pagado]]</f>
        <v>0</v>
      </c>
      <c r="H1059" s="9" t="s">
        <v>10</v>
      </c>
    </row>
    <row r="1060" spans="1:8" x14ac:dyDescent="0.25">
      <c r="A1060" s="7">
        <v>44573</v>
      </c>
      <c r="B1060" s="8" t="s">
        <v>1340</v>
      </c>
      <c r="C1060" s="9" t="s">
        <v>105</v>
      </c>
      <c r="D1060" s="10">
        <v>9253</v>
      </c>
      <c r="E1060" s="11">
        <v>44574</v>
      </c>
      <c r="F1060" s="10">
        <v>9253</v>
      </c>
      <c r="G1060" s="12">
        <f>Tabla1[[#This Row],[Importe]]-Tabla1[[#This Row],[Pagado]]</f>
        <v>0</v>
      </c>
      <c r="H1060" s="9" t="s">
        <v>10</v>
      </c>
    </row>
    <row r="1061" spans="1:8" x14ac:dyDescent="0.25">
      <c r="A1061" s="7">
        <v>44573</v>
      </c>
      <c r="B1061" s="8" t="s">
        <v>1341</v>
      </c>
      <c r="C1061" s="9" t="s">
        <v>159</v>
      </c>
      <c r="D1061" s="10">
        <v>4955.5</v>
      </c>
      <c r="E1061" s="11">
        <v>44573</v>
      </c>
      <c r="F1061" s="10">
        <v>4955.5</v>
      </c>
      <c r="G1061" s="12">
        <f>Tabla1[[#This Row],[Importe]]-Tabla1[[#This Row],[Pagado]]</f>
        <v>0</v>
      </c>
      <c r="H1061" s="9" t="s">
        <v>10</v>
      </c>
    </row>
    <row r="1062" spans="1:8" x14ac:dyDescent="0.25">
      <c r="A1062" s="7">
        <v>44573</v>
      </c>
      <c r="B1062" s="8" t="s">
        <v>1342</v>
      </c>
      <c r="C1062" s="9" t="s">
        <v>357</v>
      </c>
      <c r="D1062" s="10">
        <v>906.3</v>
      </c>
      <c r="E1062" s="11">
        <v>44573</v>
      </c>
      <c r="F1062" s="10">
        <v>906.3</v>
      </c>
      <c r="G1062" s="12">
        <f>Tabla1[[#This Row],[Importe]]-Tabla1[[#This Row],[Pagado]]</f>
        <v>0</v>
      </c>
      <c r="H1062" s="9" t="s">
        <v>10</v>
      </c>
    </row>
    <row r="1063" spans="1:8" x14ac:dyDescent="0.25">
      <c r="A1063" s="7">
        <v>44573</v>
      </c>
      <c r="B1063" s="8" t="s">
        <v>1343</v>
      </c>
      <c r="C1063" s="9" t="s">
        <v>140</v>
      </c>
      <c r="D1063" s="10">
        <v>467.4</v>
      </c>
      <c r="E1063" s="11">
        <v>44573</v>
      </c>
      <c r="F1063" s="10">
        <v>467.4</v>
      </c>
      <c r="G1063" s="12">
        <f>Tabla1[[#This Row],[Importe]]-Tabla1[[#This Row],[Pagado]]</f>
        <v>0</v>
      </c>
      <c r="H1063" s="9" t="s">
        <v>10</v>
      </c>
    </row>
    <row r="1064" spans="1:8" x14ac:dyDescent="0.25">
      <c r="A1064" s="7">
        <v>44573</v>
      </c>
      <c r="B1064" s="8" t="s">
        <v>1344</v>
      </c>
      <c r="C1064" s="9" t="s">
        <v>127</v>
      </c>
      <c r="D1064" s="10">
        <v>4194.3</v>
      </c>
      <c r="E1064" s="11">
        <v>44573</v>
      </c>
      <c r="F1064" s="10">
        <v>4194.3</v>
      </c>
      <c r="G1064" s="12">
        <f>Tabla1[[#This Row],[Importe]]-Tabla1[[#This Row],[Pagado]]</f>
        <v>0</v>
      </c>
      <c r="H1064" s="9" t="s">
        <v>10</v>
      </c>
    </row>
    <row r="1065" spans="1:8" x14ac:dyDescent="0.25">
      <c r="A1065" s="7">
        <v>44573</v>
      </c>
      <c r="B1065" s="8" t="s">
        <v>1345</v>
      </c>
      <c r="C1065" s="9" t="s">
        <v>129</v>
      </c>
      <c r="D1065" s="10">
        <v>4101.5</v>
      </c>
      <c r="E1065" s="11">
        <v>44573</v>
      </c>
      <c r="F1065" s="10">
        <v>4101.5</v>
      </c>
      <c r="G1065" s="12">
        <f>Tabla1[[#This Row],[Importe]]-Tabla1[[#This Row],[Pagado]]</f>
        <v>0</v>
      </c>
      <c r="H1065" s="9" t="s">
        <v>10</v>
      </c>
    </row>
    <row r="1066" spans="1:8" x14ac:dyDescent="0.25">
      <c r="A1066" s="7">
        <v>44573</v>
      </c>
      <c r="B1066" s="8" t="s">
        <v>1346</v>
      </c>
      <c r="C1066" s="9" t="s">
        <v>339</v>
      </c>
      <c r="D1066" s="10">
        <v>3698.5</v>
      </c>
      <c r="E1066" s="11">
        <v>44573</v>
      </c>
      <c r="F1066" s="10">
        <v>3698.5</v>
      </c>
      <c r="G1066" s="12">
        <f>Tabla1[[#This Row],[Importe]]-Tabla1[[#This Row],[Pagado]]</f>
        <v>0</v>
      </c>
      <c r="H1066" s="9" t="s">
        <v>10</v>
      </c>
    </row>
    <row r="1067" spans="1:8" x14ac:dyDescent="0.25">
      <c r="A1067" s="7">
        <v>44573</v>
      </c>
      <c r="B1067" s="8" t="s">
        <v>1347</v>
      </c>
      <c r="C1067" s="9" t="s">
        <v>466</v>
      </c>
      <c r="D1067" s="10">
        <v>4080</v>
      </c>
      <c r="E1067" s="11">
        <v>44573</v>
      </c>
      <c r="F1067" s="10">
        <v>4080</v>
      </c>
      <c r="G1067" s="12">
        <f>Tabla1[[#This Row],[Importe]]-Tabla1[[#This Row],[Pagado]]</f>
        <v>0</v>
      </c>
      <c r="H1067" s="9" t="s">
        <v>10</v>
      </c>
    </row>
    <row r="1068" spans="1:8" x14ac:dyDescent="0.25">
      <c r="A1068" s="7">
        <v>44573</v>
      </c>
      <c r="B1068" s="8" t="s">
        <v>1348</v>
      </c>
      <c r="C1068" s="9" t="s">
        <v>135</v>
      </c>
      <c r="D1068" s="10">
        <v>864</v>
      </c>
      <c r="E1068" s="11">
        <v>44573</v>
      </c>
      <c r="F1068" s="10">
        <v>864</v>
      </c>
      <c r="G1068" s="12">
        <f>Tabla1[[#This Row],[Importe]]-Tabla1[[#This Row],[Pagado]]</f>
        <v>0</v>
      </c>
      <c r="H1068" s="9" t="s">
        <v>10</v>
      </c>
    </row>
    <row r="1069" spans="1:8" x14ac:dyDescent="0.25">
      <c r="A1069" s="7">
        <v>44573</v>
      </c>
      <c r="B1069" s="8" t="s">
        <v>1349</v>
      </c>
      <c r="C1069" s="9" t="s">
        <v>1350</v>
      </c>
      <c r="D1069" s="10">
        <v>462.2</v>
      </c>
      <c r="E1069" s="11">
        <v>44573</v>
      </c>
      <c r="F1069" s="10">
        <v>462.2</v>
      </c>
      <c r="G1069" s="12">
        <f>Tabla1[[#This Row],[Importe]]-Tabla1[[#This Row],[Pagado]]</f>
        <v>0</v>
      </c>
      <c r="H1069" s="9" t="s">
        <v>10</v>
      </c>
    </row>
    <row r="1070" spans="1:8" x14ac:dyDescent="0.25">
      <c r="A1070" s="7">
        <v>44573</v>
      </c>
      <c r="B1070" s="8" t="s">
        <v>1351</v>
      </c>
      <c r="C1070" s="9" t="s">
        <v>16</v>
      </c>
      <c r="D1070" s="10">
        <v>4941.2</v>
      </c>
      <c r="E1070" s="11">
        <v>44573</v>
      </c>
      <c r="F1070" s="10">
        <v>4941.2</v>
      </c>
      <c r="G1070" s="12">
        <f>Tabla1[[#This Row],[Importe]]-Tabla1[[#This Row],[Pagado]]</f>
        <v>0</v>
      </c>
      <c r="H1070" s="9" t="s">
        <v>10</v>
      </c>
    </row>
    <row r="1071" spans="1:8" x14ac:dyDescent="0.25">
      <c r="A1071" s="7">
        <v>44573</v>
      </c>
      <c r="B1071" s="8" t="s">
        <v>1352</v>
      </c>
      <c r="C1071" s="9" t="s">
        <v>27</v>
      </c>
      <c r="D1071" s="10">
        <v>4823.1000000000004</v>
      </c>
      <c r="E1071" s="11">
        <v>44573</v>
      </c>
      <c r="F1071" s="10">
        <v>4823.1000000000004</v>
      </c>
      <c r="G1071" s="12">
        <f>Tabla1[[#This Row],[Importe]]-Tabla1[[#This Row],[Pagado]]</f>
        <v>0</v>
      </c>
      <c r="H1071" s="9" t="s">
        <v>10</v>
      </c>
    </row>
    <row r="1072" spans="1:8" x14ac:dyDescent="0.25">
      <c r="A1072" s="7">
        <v>44573</v>
      </c>
      <c r="B1072" s="8" t="s">
        <v>1353</v>
      </c>
      <c r="C1072" s="9" t="s">
        <v>157</v>
      </c>
      <c r="D1072" s="10">
        <v>2666.4</v>
      </c>
      <c r="E1072" s="11">
        <v>44573</v>
      </c>
      <c r="F1072" s="10">
        <v>2666.4</v>
      </c>
      <c r="G1072" s="12">
        <f>Tabla1[[#This Row],[Importe]]-Tabla1[[#This Row],[Pagado]]</f>
        <v>0</v>
      </c>
      <c r="H1072" s="9" t="s">
        <v>10</v>
      </c>
    </row>
    <row r="1073" spans="1:8" x14ac:dyDescent="0.25">
      <c r="A1073" s="7">
        <v>44573</v>
      </c>
      <c r="B1073" s="8" t="s">
        <v>1354</v>
      </c>
      <c r="C1073" s="9" t="s">
        <v>179</v>
      </c>
      <c r="D1073" s="10">
        <v>974.6</v>
      </c>
      <c r="E1073" s="11">
        <v>44573</v>
      </c>
      <c r="F1073" s="10">
        <v>974.6</v>
      </c>
      <c r="G1073" s="12">
        <f>Tabla1[[#This Row],[Importe]]-Tabla1[[#This Row],[Pagado]]</f>
        <v>0</v>
      </c>
      <c r="H1073" s="9" t="s">
        <v>10</v>
      </c>
    </row>
    <row r="1074" spans="1:8" x14ac:dyDescent="0.25">
      <c r="A1074" s="7">
        <v>44573</v>
      </c>
      <c r="B1074" s="8" t="s">
        <v>1355</v>
      </c>
      <c r="C1074" s="9" t="s">
        <v>131</v>
      </c>
      <c r="D1074" s="10">
        <v>7884.4</v>
      </c>
      <c r="E1074" s="11">
        <v>44573</v>
      </c>
      <c r="F1074" s="10">
        <v>7884.4</v>
      </c>
      <c r="G1074" s="12">
        <f>Tabla1[[#This Row],[Importe]]-Tabla1[[#This Row],[Pagado]]</f>
        <v>0</v>
      </c>
      <c r="H1074" s="9" t="s">
        <v>10</v>
      </c>
    </row>
    <row r="1075" spans="1:8" x14ac:dyDescent="0.25">
      <c r="A1075" s="7">
        <v>44573</v>
      </c>
      <c r="B1075" s="8" t="s">
        <v>1356</v>
      </c>
      <c r="C1075" s="9" t="s">
        <v>146</v>
      </c>
      <c r="D1075" s="10">
        <v>2772</v>
      </c>
      <c r="E1075" s="11">
        <v>44573</v>
      </c>
      <c r="F1075" s="10">
        <v>2772</v>
      </c>
      <c r="G1075" s="12">
        <f>Tabla1[[#This Row],[Importe]]-Tabla1[[#This Row],[Pagado]]</f>
        <v>0</v>
      </c>
      <c r="H1075" s="9" t="s">
        <v>10</v>
      </c>
    </row>
    <row r="1076" spans="1:8" x14ac:dyDescent="0.25">
      <c r="A1076" s="7">
        <v>44573</v>
      </c>
      <c r="B1076" s="8" t="s">
        <v>1357</v>
      </c>
      <c r="C1076" s="9" t="s">
        <v>125</v>
      </c>
      <c r="D1076" s="10">
        <v>834.4</v>
      </c>
      <c r="E1076" s="11">
        <v>44573</v>
      </c>
      <c r="F1076" s="10">
        <v>834.4</v>
      </c>
      <c r="G1076" s="12">
        <f>Tabla1[[#This Row],[Importe]]-Tabla1[[#This Row],[Pagado]]</f>
        <v>0</v>
      </c>
      <c r="H1076" s="9" t="s">
        <v>10</v>
      </c>
    </row>
    <row r="1077" spans="1:8" x14ac:dyDescent="0.25">
      <c r="A1077" s="7">
        <v>44573</v>
      </c>
      <c r="B1077" s="8" t="s">
        <v>1358</v>
      </c>
      <c r="C1077" s="9" t="s">
        <v>125</v>
      </c>
      <c r="D1077" s="10">
        <v>4300.8</v>
      </c>
      <c r="E1077" s="11">
        <v>44575</v>
      </c>
      <c r="F1077" s="10">
        <v>4300.8</v>
      </c>
      <c r="G1077" s="12">
        <f>Tabla1[[#This Row],[Importe]]-Tabla1[[#This Row],[Pagado]]</f>
        <v>0</v>
      </c>
      <c r="H1077" s="9" t="s">
        <v>10</v>
      </c>
    </row>
    <row r="1078" spans="1:8" x14ac:dyDescent="0.25">
      <c r="A1078" s="7">
        <v>44573</v>
      </c>
      <c r="B1078" s="8" t="s">
        <v>1359</v>
      </c>
      <c r="C1078" s="9" t="s">
        <v>107</v>
      </c>
      <c r="D1078" s="10">
        <v>8339.1</v>
      </c>
      <c r="E1078" s="11">
        <v>44573</v>
      </c>
      <c r="F1078" s="10">
        <v>8339.1</v>
      </c>
      <c r="G1078" s="12">
        <f>Tabla1[[#This Row],[Importe]]-Tabla1[[#This Row],[Pagado]]</f>
        <v>0</v>
      </c>
      <c r="H1078" s="9" t="s">
        <v>10</v>
      </c>
    </row>
    <row r="1079" spans="1:8" x14ac:dyDescent="0.25">
      <c r="A1079" s="7">
        <v>44573</v>
      </c>
      <c r="B1079" s="8" t="s">
        <v>1360</v>
      </c>
      <c r="C1079" s="9" t="s">
        <v>169</v>
      </c>
      <c r="D1079" s="10">
        <v>878.4</v>
      </c>
      <c r="E1079" s="11">
        <v>44573</v>
      </c>
      <c r="F1079" s="10">
        <v>878.4</v>
      </c>
      <c r="G1079" s="12">
        <f>Tabla1[[#This Row],[Importe]]-Tabla1[[#This Row],[Pagado]]</f>
        <v>0</v>
      </c>
      <c r="H1079" s="9" t="s">
        <v>10</v>
      </c>
    </row>
    <row r="1080" spans="1:8" x14ac:dyDescent="0.25">
      <c r="A1080" s="7">
        <v>44573</v>
      </c>
      <c r="B1080" s="8" t="s">
        <v>1361</v>
      </c>
      <c r="C1080" s="9" t="s">
        <v>1362</v>
      </c>
      <c r="D1080" s="10">
        <v>1077.8</v>
      </c>
      <c r="E1080" s="11">
        <v>44573</v>
      </c>
      <c r="F1080" s="10">
        <v>1077.8</v>
      </c>
      <c r="G1080" s="12">
        <f>Tabla1[[#This Row],[Importe]]-Tabla1[[#This Row],[Pagado]]</f>
        <v>0</v>
      </c>
      <c r="H1080" s="9" t="s">
        <v>10</v>
      </c>
    </row>
    <row r="1081" spans="1:8" x14ac:dyDescent="0.25">
      <c r="A1081" s="7">
        <v>44573</v>
      </c>
      <c r="B1081" s="8" t="s">
        <v>1363</v>
      </c>
      <c r="C1081" s="9" t="s">
        <v>226</v>
      </c>
      <c r="D1081" s="10">
        <v>5642.4</v>
      </c>
      <c r="E1081" s="11">
        <v>44573</v>
      </c>
      <c r="F1081" s="10">
        <v>5642.4</v>
      </c>
      <c r="G1081" s="12">
        <f>Tabla1[[#This Row],[Importe]]-Tabla1[[#This Row],[Pagado]]</f>
        <v>0</v>
      </c>
      <c r="H1081" s="9" t="s">
        <v>10</v>
      </c>
    </row>
    <row r="1082" spans="1:8" x14ac:dyDescent="0.25">
      <c r="A1082" s="7">
        <v>44573</v>
      </c>
      <c r="B1082" s="8" t="s">
        <v>1364</v>
      </c>
      <c r="C1082" s="9" t="s">
        <v>373</v>
      </c>
      <c r="D1082" s="10">
        <v>470</v>
      </c>
      <c r="E1082" s="11">
        <v>44573</v>
      </c>
      <c r="F1082" s="10">
        <v>470</v>
      </c>
      <c r="G1082" s="12">
        <f>Tabla1[[#This Row],[Importe]]-Tabla1[[#This Row],[Pagado]]</f>
        <v>0</v>
      </c>
      <c r="H1082" s="9" t="s">
        <v>10</v>
      </c>
    </row>
    <row r="1083" spans="1:8" x14ac:dyDescent="0.25">
      <c r="A1083" s="7">
        <v>44573</v>
      </c>
      <c r="B1083" s="8" t="s">
        <v>1365</v>
      </c>
      <c r="C1083" s="9" t="s">
        <v>24</v>
      </c>
      <c r="D1083" s="10">
        <v>3583.8</v>
      </c>
      <c r="E1083" s="11">
        <v>44573</v>
      </c>
      <c r="F1083" s="10">
        <v>3583.8</v>
      </c>
      <c r="G1083" s="12">
        <f>Tabla1[[#This Row],[Importe]]-Tabla1[[#This Row],[Pagado]]</f>
        <v>0</v>
      </c>
      <c r="H1083" s="9" t="s">
        <v>10</v>
      </c>
    </row>
    <row r="1084" spans="1:8" x14ac:dyDescent="0.25">
      <c r="A1084" s="7">
        <v>44573</v>
      </c>
      <c r="B1084" s="8" t="s">
        <v>1366</v>
      </c>
      <c r="C1084" s="9" t="s">
        <v>1038</v>
      </c>
      <c r="D1084" s="10">
        <v>4810.3999999999996</v>
      </c>
      <c r="E1084" s="11">
        <v>44573</v>
      </c>
      <c r="F1084" s="10">
        <v>4810.3999999999996</v>
      </c>
      <c r="G1084" s="12">
        <f>Tabla1[[#This Row],[Importe]]-Tabla1[[#This Row],[Pagado]]</f>
        <v>0</v>
      </c>
      <c r="H1084" s="9" t="s">
        <v>10</v>
      </c>
    </row>
    <row r="1085" spans="1:8" x14ac:dyDescent="0.25">
      <c r="A1085" s="7">
        <v>44573</v>
      </c>
      <c r="B1085" s="8" t="s">
        <v>1367</v>
      </c>
      <c r="C1085" s="9" t="s">
        <v>198</v>
      </c>
      <c r="D1085" s="10">
        <v>5834</v>
      </c>
      <c r="E1085" s="11">
        <v>44573</v>
      </c>
      <c r="F1085" s="10">
        <v>5834</v>
      </c>
      <c r="G1085" s="12">
        <f>Tabla1[[#This Row],[Importe]]-Tabla1[[#This Row],[Pagado]]</f>
        <v>0</v>
      </c>
      <c r="H1085" s="9" t="s">
        <v>10</v>
      </c>
    </row>
    <row r="1086" spans="1:8" x14ac:dyDescent="0.25">
      <c r="A1086" s="7">
        <v>44573</v>
      </c>
      <c r="B1086" s="8" t="s">
        <v>1368</v>
      </c>
      <c r="C1086" s="9" t="s">
        <v>224</v>
      </c>
      <c r="D1086" s="10">
        <v>1849.6</v>
      </c>
      <c r="E1086" s="11">
        <v>44573</v>
      </c>
      <c r="F1086" s="10">
        <v>1849.6</v>
      </c>
      <c r="G1086" s="12">
        <f>Tabla1[[#This Row],[Importe]]-Tabla1[[#This Row],[Pagado]]</f>
        <v>0</v>
      </c>
      <c r="H1086" s="9" t="s">
        <v>10</v>
      </c>
    </row>
    <row r="1087" spans="1:8" x14ac:dyDescent="0.25">
      <c r="A1087" s="7">
        <v>44573</v>
      </c>
      <c r="B1087" s="8" t="s">
        <v>1369</v>
      </c>
      <c r="C1087" s="9" t="s">
        <v>1038</v>
      </c>
      <c r="D1087" s="10">
        <v>750</v>
      </c>
      <c r="E1087" s="11">
        <v>44573</v>
      </c>
      <c r="F1087" s="10">
        <v>750</v>
      </c>
      <c r="G1087" s="12">
        <f>Tabla1[[#This Row],[Importe]]-Tabla1[[#This Row],[Pagado]]</f>
        <v>0</v>
      </c>
      <c r="H1087" s="9" t="s">
        <v>10</v>
      </c>
    </row>
    <row r="1088" spans="1:8" x14ac:dyDescent="0.25">
      <c r="A1088" s="7">
        <v>44573</v>
      </c>
      <c r="B1088" s="8" t="s">
        <v>1370</v>
      </c>
      <c r="C1088" s="9" t="s">
        <v>1237</v>
      </c>
      <c r="D1088" s="10">
        <v>28636.799999999999</v>
      </c>
      <c r="E1088" s="11">
        <v>44573</v>
      </c>
      <c r="F1088" s="10">
        <v>28636.799999999999</v>
      </c>
      <c r="G1088" s="12">
        <f>Tabla1[[#This Row],[Importe]]-Tabla1[[#This Row],[Pagado]]</f>
        <v>0</v>
      </c>
      <c r="H1088" s="9" t="s">
        <v>10</v>
      </c>
    </row>
    <row r="1089" spans="1:8" x14ac:dyDescent="0.25">
      <c r="A1089" s="7">
        <v>44573</v>
      </c>
      <c r="B1089" s="8" t="s">
        <v>1371</v>
      </c>
      <c r="C1089" s="9" t="s">
        <v>142</v>
      </c>
      <c r="D1089" s="10">
        <v>92082.85</v>
      </c>
      <c r="E1089" s="11">
        <v>44589</v>
      </c>
      <c r="F1089" s="10">
        <v>92082.85</v>
      </c>
      <c r="G1089" s="12">
        <f>Tabla1[[#This Row],[Importe]]-Tabla1[[#This Row],[Pagado]]</f>
        <v>0</v>
      </c>
      <c r="H1089" s="9" t="s">
        <v>10</v>
      </c>
    </row>
    <row r="1090" spans="1:8" x14ac:dyDescent="0.25">
      <c r="A1090" s="7">
        <v>44573</v>
      </c>
      <c r="B1090" s="8" t="s">
        <v>1372</v>
      </c>
      <c r="C1090" s="9" t="s">
        <v>45</v>
      </c>
      <c r="D1090" s="10">
        <v>9491.4</v>
      </c>
      <c r="E1090" s="11">
        <v>44573</v>
      </c>
      <c r="F1090" s="10">
        <v>9491.4</v>
      </c>
      <c r="G1090" s="12">
        <f>Tabla1[[#This Row],[Importe]]-Tabla1[[#This Row],[Pagado]]</f>
        <v>0</v>
      </c>
      <c r="H1090" s="9" t="s">
        <v>10</v>
      </c>
    </row>
    <row r="1091" spans="1:8" x14ac:dyDescent="0.25">
      <c r="A1091" s="7">
        <v>44573</v>
      </c>
      <c r="B1091" s="8" t="s">
        <v>1373</v>
      </c>
      <c r="C1091" s="9" t="s">
        <v>216</v>
      </c>
      <c r="D1091" s="10">
        <v>2387.4</v>
      </c>
      <c r="E1091" s="11">
        <v>44573</v>
      </c>
      <c r="F1091" s="10">
        <v>2387.4</v>
      </c>
      <c r="G1091" s="12">
        <f>Tabla1[[#This Row],[Importe]]-Tabla1[[#This Row],[Pagado]]</f>
        <v>0</v>
      </c>
      <c r="H1091" s="9" t="s">
        <v>10</v>
      </c>
    </row>
    <row r="1092" spans="1:8" x14ac:dyDescent="0.25">
      <c r="A1092" s="7">
        <v>44573</v>
      </c>
      <c r="B1092" s="8" t="s">
        <v>1374</v>
      </c>
      <c r="C1092" s="9" t="s">
        <v>196</v>
      </c>
      <c r="D1092" s="10">
        <v>47877.760000000002</v>
      </c>
      <c r="E1092" s="11">
        <v>44575</v>
      </c>
      <c r="F1092" s="10">
        <v>47877.760000000002</v>
      </c>
      <c r="G1092" s="12">
        <f>Tabla1[[#This Row],[Importe]]-Tabla1[[#This Row],[Pagado]]</f>
        <v>0</v>
      </c>
      <c r="H1092" s="9" t="s">
        <v>10</v>
      </c>
    </row>
    <row r="1093" spans="1:8" x14ac:dyDescent="0.25">
      <c r="A1093" s="7">
        <v>44573</v>
      </c>
      <c r="B1093" s="8" t="s">
        <v>1375</v>
      </c>
      <c r="C1093" s="9" t="s">
        <v>79</v>
      </c>
      <c r="D1093" s="10">
        <v>4149.2</v>
      </c>
      <c r="E1093" s="11">
        <v>44573</v>
      </c>
      <c r="F1093" s="10">
        <v>4149.2</v>
      </c>
      <c r="G1093" s="12">
        <f>Tabla1[[#This Row],[Importe]]-Tabla1[[#This Row],[Pagado]]</f>
        <v>0</v>
      </c>
      <c r="H1093" s="9" t="s">
        <v>10</v>
      </c>
    </row>
    <row r="1094" spans="1:8" x14ac:dyDescent="0.25">
      <c r="A1094" s="7">
        <v>44573</v>
      </c>
      <c r="B1094" s="8" t="s">
        <v>1376</v>
      </c>
      <c r="C1094" s="9" t="s">
        <v>396</v>
      </c>
      <c r="D1094" s="10">
        <v>6839.8</v>
      </c>
      <c r="E1094" s="11">
        <v>44581</v>
      </c>
      <c r="F1094" s="10">
        <v>6839.8</v>
      </c>
      <c r="G1094" s="12">
        <f>Tabla1[[#This Row],[Importe]]-Tabla1[[#This Row],[Pagado]]</f>
        <v>0</v>
      </c>
      <c r="H1094" s="9" t="s">
        <v>10</v>
      </c>
    </row>
    <row r="1095" spans="1:8" x14ac:dyDescent="0.25">
      <c r="A1095" s="7">
        <v>44573</v>
      </c>
      <c r="B1095" s="8" t="s">
        <v>1377</v>
      </c>
      <c r="C1095" s="9" t="s">
        <v>1378</v>
      </c>
      <c r="D1095" s="10">
        <v>40322.199999999997</v>
      </c>
      <c r="E1095" s="11">
        <v>44574</v>
      </c>
      <c r="F1095" s="10">
        <v>40322.199999999997</v>
      </c>
      <c r="G1095" s="12">
        <f>Tabla1[[#This Row],[Importe]]-Tabla1[[#This Row],[Pagado]]</f>
        <v>0</v>
      </c>
      <c r="H1095" s="9" t="s">
        <v>10</v>
      </c>
    </row>
    <row r="1096" spans="1:8" x14ac:dyDescent="0.25">
      <c r="A1096" s="7">
        <v>44573</v>
      </c>
      <c r="B1096" s="8" t="s">
        <v>1379</v>
      </c>
      <c r="C1096" s="9" t="s">
        <v>541</v>
      </c>
      <c r="D1096" s="10">
        <v>9000</v>
      </c>
      <c r="E1096" s="11">
        <v>44574</v>
      </c>
      <c r="F1096" s="10">
        <v>9000</v>
      </c>
      <c r="G1096" s="12">
        <f>Tabla1[[#This Row],[Importe]]-Tabla1[[#This Row],[Pagado]]</f>
        <v>0</v>
      </c>
      <c r="H1096" s="9" t="s">
        <v>10</v>
      </c>
    </row>
    <row r="1097" spans="1:8" x14ac:dyDescent="0.25">
      <c r="A1097" s="7">
        <v>44573</v>
      </c>
      <c r="B1097" s="8" t="s">
        <v>1380</v>
      </c>
      <c r="C1097" s="9" t="s">
        <v>840</v>
      </c>
      <c r="D1097" s="10">
        <v>5930.1</v>
      </c>
      <c r="E1097" s="11">
        <v>44573</v>
      </c>
      <c r="F1097" s="10">
        <v>5930.1</v>
      </c>
      <c r="G1097" s="12">
        <f>Tabla1[[#This Row],[Importe]]-Tabla1[[#This Row],[Pagado]]</f>
        <v>0</v>
      </c>
      <c r="H1097" s="9" t="s">
        <v>10</v>
      </c>
    </row>
    <row r="1098" spans="1:8" x14ac:dyDescent="0.25">
      <c r="A1098" s="7">
        <v>44573</v>
      </c>
      <c r="B1098" s="8" t="s">
        <v>1381</v>
      </c>
      <c r="C1098" s="9" t="s">
        <v>555</v>
      </c>
      <c r="D1098" s="10">
        <v>40179.919999999998</v>
      </c>
      <c r="E1098" s="11">
        <v>44573</v>
      </c>
      <c r="F1098" s="10">
        <v>40179.919999999998</v>
      </c>
      <c r="G1098" s="12">
        <f>Tabla1[[#This Row],[Importe]]-Tabla1[[#This Row],[Pagado]]</f>
        <v>0</v>
      </c>
      <c r="H1098" s="9" t="s">
        <v>10</v>
      </c>
    </row>
    <row r="1099" spans="1:8" x14ac:dyDescent="0.25">
      <c r="A1099" s="7">
        <v>44573</v>
      </c>
      <c r="B1099" s="8" t="s">
        <v>1382</v>
      </c>
      <c r="C1099" s="9" t="s">
        <v>56</v>
      </c>
      <c r="D1099" s="10">
        <v>6896.5</v>
      </c>
      <c r="E1099" s="11">
        <v>44573</v>
      </c>
      <c r="F1099" s="10">
        <v>6896.5</v>
      </c>
      <c r="G1099" s="12">
        <f>Tabla1[[#This Row],[Importe]]-Tabla1[[#This Row],[Pagado]]</f>
        <v>0</v>
      </c>
      <c r="H1099" s="9" t="s">
        <v>10</v>
      </c>
    </row>
    <row r="1100" spans="1:8" x14ac:dyDescent="0.25">
      <c r="A1100" s="7">
        <v>44573</v>
      </c>
      <c r="B1100" s="8" t="s">
        <v>1383</v>
      </c>
      <c r="C1100" s="9" t="s">
        <v>670</v>
      </c>
      <c r="D1100" s="10">
        <v>3948.8</v>
      </c>
      <c r="E1100" s="11">
        <v>44573</v>
      </c>
      <c r="F1100" s="10">
        <v>3948.8</v>
      </c>
      <c r="G1100" s="12">
        <f>Tabla1[[#This Row],[Importe]]-Tabla1[[#This Row],[Pagado]]</f>
        <v>0</v>
      </c>
      <c r="H1100" s="9" t="s">
        <v>10</v>
      </c>
    </row>
    <row r="1101" spans="1:8" x14ac:dyDescent="0.25">
      <c r="A1101" s="7">
        <v>44573</v>
      </c>
      <c r="B1101" s="8" t="s">
        <v>1384</v>
      </c>
      <c r="C1101" s="9" t="s">
        <v>56</v>
      </c>
      <c r="D1101" s="10">
        <v>841.5</v>
      </c>
      <c r="E1101" s="11">
        <v>44573</v>
      </c>
      <c r="F1101" s="10">
        <v>841.5</v>
      </c>
      <c r="G1101" s="12">
        <f>Tabla1[[#This Row],[Importe]]-Tabla1[[#This Row],[Pagado]]</f>
        <v>0</v>
      </c>
      <c r="H1101" s="9" t="s">
        <v>10</v>
      </c>
    </row>
    <row r="1102" spans="1:8" x14ac:dyDescent="0.25">
      <c r="A1102" s="7">
        <v>44573</v>
      </c>
      <c r="B1102" s="8" t="s">
        <v>1385</v>
      </c>
      <c r="C1102" s="9" t="s">
        <v>206</v>
      </c>
      <c r="D1102" s="10">
        <v>41877.599999999999</v>
      </c>
      <c r="E1102" s="11">
        <v>44576</v>
      </c>
      <c r="F1102" s="10">
        <v>41877.599999999999</v>
      </c>
      <c r="G1102" s="12">
        <f>Tabla1[[#This Row],[Importe]]-Tabla1[[#This Row],[Pagado]]</f>
        <v>0</v>
      </c>
      <c r="H1102" s="9" t="s">
        <v>10</v>
      </c>
    </row>
    <row r="1103" spans="1:8" x14ac:dyDescent="0.25">
      <c r="A1103" s="7">
        <v>44573</v>
      </c>
      <c r="B1103" s="8" t="s">
        <v>1386</v>
      </c>
      <c r="C1103" s="9" t="s">
        <v>154</v>
      </c>
      <c r="D1103" s="10">
        <v>44962.3</v>
      </c>
      <c r="E1103" s="11">
        <v>44576</v>
      </c>
      <c r="F1103" s="10">
        <v>44962.3</v>
      </c>
      <c r="G1103" s="12">
        <f>Tabla1[[#This Row],[Importe]]-Tabla1[[#This Row],[Pagado]]</f>
        <v>0</v>
      </c>
      <c r="H1103" s="9" t="s">
        <v>10</v>
      </c>
    </row>
    <row r="1104" spans="1:8" x14ac:dyDescent="0.25">
      <c r="A1104" s="7">
        <v>44573</v>
      </c>
      <c r="B1104" s="8" t="s">
        <v>1387</v>
      </c>
      <c r="C1104" s="9" t="s">
        <v>53</v>
      </c>
      <c r="D1104" s="10">
        <v>699.2</v>
      </c>
      <c r="E1104" s="11">
        <v>44573</v>
      </c>
      <c r="F1104" s="10">
        <v>699.2</v>
      </c>
      <c r="G1104" s="12">
        <f>Tabla1[[#This Row],[Importe]]-Tabla1[[#This Row],[Pagado]]</f>
        <v>0</v>
      </c>
      <c r="H1104" s="9" t="s">
        <v>10</v>
      </c>
    </row>
    <row r="1105" spans="1:8" x14ac:dyDescent="0.25">
      <c r="A1105" s="7">
        <v>44573</v>
      </c>
      <c r="B1105" s="8" t="s">
        <v>1388</v>
      </c>
      <c r="C1105" s="9" t="s">
        <v>212</v>
      </c>
      <c r="D1105" s="10">
        <v>39764.300000000003</v>
      </c>
      <c r="E1105" s="11">
        <v>44579</v>
      </c>
      <c r="F1105" s="10">
        <v>39764.300000000003</v>
      </c>
      <c r="G1105" s="12">
        <f>Tabla1[[#This Row],[Importe]]-Tabla1[[#This Row],[Pagado]]</f>
        <v>0</v>
      </c>
      <c r="H1105" s="9" t="s">
        <v>10</v>
      </c>
    </row>
    <row r="1106" spans="1:8" x14ac:dyDescent="0.25">
      <c r="A1106" s="7">
        <v>44573</v>
      </c>
      <c r="B1106" s="8" t="s">
        <v>1389</v>
      </c>
      <c r="C1106" s="9" t="s">
        <v>218</v>
      </c>
      <c r="D1106" s="10">
        <v>16667.599999999999</v>
      </c>
      <c r="E1106" s="11">
        <v>44576</v>
      </c>
      <c r="F1106" s="10">
        <v>16667.599999999999</v>
      </c>
      <c r="G1106" s="12">
        <f>Tabla1[[#This Row],[Importe]]-Tabla1[[#This Row],[Pagado]]</f>
        <v>0</v>
      </c>
      <c r="H1106" s="9" t="s">
        <v>10</v>
      </c>
    </row>
    <row r="1107" spans="1:8" x14ac:dyDescent="0.25">
      <c r="A1107" s="7">
        <v>44573</v>
      </c>
      <c r="B1107" s="8" t="s">
        <v>1390</v>
      </c>
      <c r="C1107" s="9" t="s">
        <v>587</v>
      </c>
      <c r="D1107" s="10">
        <v>6106.98</v>
      </c>
      <c r="E1107" s="11">
        <v>44573</v>
      </c>
      <c r="F1107" s="10">
        <v>6106.98</v>
      </c>
      <c r="G1107" s="12">
        <f>Tabla1[[#This Row],[Importe]]-Tabla1[[#This Row],[Pagado]]</f>
        <v>0</v>
      </c>
      <c r="H1107" s="9" t="s">
        <v>10</v>
      </c>
    </row>
    <row r="1108" spans="1:8" x14ac:dyDescent="0.25">
      <c r="A1108" s="7">
        <v>44573</v>
      </c>
      <c r="B1108" s="8" t="s">
        <v>1391</v>
      </c>
      <c r="C1108" s="9" t="s">
        <v>875</v>
      </c>
      <c r="D1108" s="10">
        <v>29131.200000000001</v>
      </c>
      <c r="E1108" s="11">
        <v>44574</v>
      </c>
      <c r="F1108" s="10">
        <v>29131.200000000001</v>
      </c>
      <c r="G1108" s="12">
        <f>Tabla1[[#This Row],[Importe]]-Tabla1[[#This Row],[Pagado]]</f>
        <v>0</v>
      </c>
      <c r="H1108" s="9" t="s">
        <v>10</v>
      </c>
    </row>
    <row r="1109" spans="1:8" x14ac:dyDescent="0.25">
      <c r="A1109" s="7">
        <v>44573</v>
      </c>
      <c r="B1109" s="8" t="s">
        <v>1392</v>
      </c>
      <c r="C1109" s="9" t="s">
        <v>173</v>
      </c>
      <c r="D1109" s="10">
        <v>30138.400000000001</v>
      </c>
      <c r="E1109" s="11">
        <v>44574</v>
      </c>
      <c r="F1109" s="10">
        <v>30138.400000000001</v>
      </c>
      <c r="G1109" s="12">
        <f>Tabla1[[#This Row],[Importe]]-Tabla1[[#This Row],[Pagado]]</f>
        <v>0</v>
      </c>
      <c r="H1109" s="9" t="s">
        <v>10</v>
      </c>
    </row>
    <row r="1110" spans="1:8" x14ac:dyDescent="0.25">
      <c r="A1110" s="7">
        <v>44573</v>
      </c>
      <c r="B1110" s="8" t="s">
        <v>1393</v>
      </c>
      <c r="C1110" s="9" t="s">
        <v>31</v>
      </c>
      <c r="D1110" s="10">
        <v>925.9</v>
      </c>
      <c r="E1110" s="11">
        <v>44573</v>
      </c>
      <c r="F1110" s="10">
        <v>925.9</v>
      </c>
      <c r="G1110" s="12">
        <f>Tabla1[[#This Row],[Importe]]-Tabla1[[#This Row],[Pagado]]</f>
        <v>0</v>
      </c>
      <c r="H1110" s="9" t="s">
        <v>10</v>
      </c>
    </row>
    <row r="1111" spans="1:8" ht="30" x14ac:dyDescent="0.25">
      <c r="A1111" s="7">
        <v>44573</v>
      </c>
      <c r="B1111" s="8" t="s">
        <v>1394</v>
      </c>
      <c r="C1111" s="9" t="s">
        <v>592</v>
      </c>
      <c r="D1111" s="10">
        <v>48749.8</v>
      </c>
      <c r="E1111" s="11" t="s">
        <v>1395</v>
      </c>
      <c r="F1111" s="10">
        <f>6749.8+42000</f>
        <v>48749.8</v>
      </c>
      <c r="G1111" s="12">
        <f>Tabla1[[#This Row],[Importe]]-Tabla1[[#This Row],[Pagado]]</f>
        <v>0</v>
      </c>
      <c r="H1111" s="9" t="s">
        <v>10</v>
      </c>
    </row>
    <row r="1112" spans="1:8" x14ac:dyDescent="0.25">
      <c r="A1112" s="7">
        <v>44573</v>
      </c>
      <c r="B1112" s="8" t="s">
        <v>1396</v>
      </c>
      <c r="C1112" s="9" t="s">
        <v>133</v>
      </c>
      <c r="D1112" s="10">
        <v>9747.7999999999993</v>
      </c>
      <c r="E1112" s="11">
        <v>44574</v>
      </c>
      <c r="F1112" s="10">
        <v>9747.7999999999993</v>
      </c>
      <c r="G1112" s="12">
        <f>Tabla1[[#This Row],[Importe]]-Tabla1[[#This Row],[Pagado]]</f>
        <v>0</v>
      </c>
      <c r="H1112" s="9" t="s">
        <v>10</v>
      </c>
    </row>
    <row r="1113" spans="1:8" x14ac:dyDescent="0.25">
      <c r="A1113" s="7">
        <v>44573</v>
      </c>
      <c r="B1113" s="8" t="s">
        <v>1397</v>
      </c>
      <c r="C1113" s="9" t="s">
        <v>261</v>
      </c>
      <c r="D1113" s="10">
        <v>29566.720000000001</v>
      </c>
      <c r="E1113" s="11">
        <v>44574</v>
      </c>
      <c r="F1113" s="10">
        <v>29566.720000000001</v>
      </c>
      <c r="G1113" s="12">
        <f>Tabla1[[#This Row],[Importe]]-Tabla1[[#This Row],[Pagado]]</f>
        <v>0</v>
      </c>
      <c r="H1113" s="9" t="s">
        <v>10</v>
      </c>
    </row>
    <row r="1114" spans="1:8" x14ac:dyDescent="0.25">
      <c r="A1114" s="7">
        <v>44573</v>
      </c>
      <c r="B1114" s="8" t="s">
        <v>1398</v>
      </c>
      <c r="C1114" s="9" t="s">
        <v>698</v>
      </c>
      <c r="D1114" s="10">
        <v>4602</v>
      </c>
      <c r="E1114" s="11">
        <v>44573</v>
      </c>
      <c r="F1114" s="10">
        <v>4602</v>
      </c>
      <c r="G1114" s="12">
        <f>Tabla1[[#This Row],[Importe]]-Tabla1[[#This Row],[Pagado]]</f>
        <v>0</v>
      </c>
      <c r="H1114" s="9" t="s">
        <v>10</v>
      </c>
    </row>
    <row r="1115" spans="1:8" x14ac:dyDescent="0.25">
      <c r="A1115" s="7">
        <v>44573</v>
      </c>
      <c r="B1115" s="8" t="s">
        <v>1399</v>
      </c>
      <c r="C1115" s="9" t="s">
        <v>58</v>
      </c>
      <c r="D1115" s="10">
        <v>3313.2</v>
      </c>
      <c r="E1115" s="11">
        <v>44573</v>
      </c>
      <c r="F1115" s="10">
        <v>3313.2</v>
      </c>
      <c r="G1115" s="12">
        <f>Tabla1[[#This Row],[Importe]]-Tabla1[[#This Row],[Pagado]]</f>
        <v>0</v>
      </c>
      <c r="H1115" s="9" t="s">
        <v>10</v>
      </c>
    </row>
    <row r="1116" spans="1:8" x14ac:dyDescent="0.25">
      <c r="A1116" s="7">
        <v>44573</v>
      </c>
      <c r="B1116" s="8" t="s">
        <v>1400</v>
      </c>
      <c r="C1116" s="9" t="s">
        <v>31</v>
      </c>
      <c r="D1116" s="10">
        <v>4848</v>
      </c>
      <c r="E1116" s="11">
        <v>44574</v>
      </c>
      <c r="F1116" s="10">
        <v>4848</v>
      </c>
      <c r="G1116" s="12">
        <f>Tabla1[[#This Row],[Importe]]-Tabla1[[#This Row],[Pagado]]</f>
        <v>0</v>
      </c>
      <c r="H1116" s="9" t="s">
        <v>10</v>
      </c>
    </row>
    <row r="1117" spans="1:8" x14ac:dyDescent="0.25">
      <c r="A1117" s="7">
        <v>44573</v>
      </c>
      <c r="B1117" s="8" t="s">
        <v>1401</v>
      </c>
      <c r="C1117" s="9" t="s">
        <v>149</v>
      </c>
      <c r="D1117" s="10">
        <v>680</v>
      </c>
      <c r="E1117" s="11">
        <v>44573</v>
      </c>
      <c r="F1117" s="10">
        <v>680</v>
      </c>
      <c r="G1117" s="12">
        <f>Tabla1[[#This Row],[Importe]]-Tabla1[[#This Row],[Pagado]]</f>
        <v>0</v>
      </c>
      <c r="H1117" s="9" t="s">
        <v>10</v>
      </c>
    </row>
    <row r="1118" spans="1:8" x14ac:dyDescent="0.25">
      <c r="A1118" s="7">
        <v>44573</v>
      </c>
      <c r="B1118" s="8" t="s">
        <v>1402</v>
      </c>
      <c r="C1118" s="9" t="s">
        <v>31</v>
      </c>
      <c r="D1118" s="10">
        <v>8673.6</v>
      </c>
      <c r="E1118" s="11">
        <v>44574</v>
      </c>
      <c r="F1118" s="10">
        <v>8673.6</v>
      </c>
      <c r="G1118" s="12">
        <f>Tabla1[[#This Row],[Importe]]-Tabla1[[#This Row],[Pagado]]</f>
        <v>0</v>
      </c>
      <c r="H1118" s="9" t="s">
        <v>10</v>
      </c>
    </row>
    <row r="1119" spans="1:8" x14ac:dyDescent="0.25">
      <c r="A1119" s="7">
        <v>44573</v>
      </c>
      <c r="B1119" s="8" t="s">
        <v>1403</v>
      </c>
      <c r="C1119" s="9" t="s">
        <v>31</v>
      </c>
      <c r="D1119" s="10">
        <v>6408</v>
      </c>
      <c r="E1119" s="11">
        <v>44574</v>
      </c>
      <c r="F1119" s="10">
        <v>6408</v>
      </c>
      <c r="G1119" s="12">
        <f>Tabla1[[#This Row],[Importe]]-Tabla1[[#This Row],[Pagado]]</f>
        <v>0</v>
      </c>
      <c r="H1119" s="9" t="s">
        <v>10</v>
      </c>
    </row>
    <row r="1120" spans="1:8" x14ac:dyDescent="0.25">
      <c r="A1120" s="7">
        <v>44573</v>
      </c>
      <c r="B1120" s="8" t="s">
        <v>1404</v>
      </c>
      <c r="C1120" s="9" t="s">
        <v>149</v>
      </c>
      <c r="D1120" s="10">
        <v>340</v>
      </c>
      <c r="E1120" s="11">
        <v>44573</v>
      </c>
      <c r="F1120" s="10">
        <v>340</v>
      </c>
      <c r="G1120" s="12">
        <f>Tabla1[[#This Row],[Importe]]-Tabla1[[#This Row],[Pagado]]</f>
        <v>0</v>
      </c>
      <c r="H1120" s="9" t="s">
        <v>10</v>
      </c>
    </row>
    <row r="1121" spans="1:8" x14ac:dyDescent="0.25">
      <c r="A1121" s="7">
        <v>44573</v>
      </c>
      <c r="B1121" s="8" t="s">
        <v>1405</v>
      </c>
      <c r="C1121" s="9" t="s">
        <v>181</v>
      </c>
      <c r="D1121" s="10">
        <v>8287</v>
      </c>
      <c r="E1121" s="11">
        <v>44574</v>
      </c>
      <c r="F1121" s="10">
        <v>8287</v>
      </c>
      <c r="G1121" s="12">
        <f>Tabla1[[#This Row],[Importe]]-Tabla1[[#This Row],[Pagado]]</f>
        <v>0</v>
      </c>
      <c r="H1121" s="9" t="s">
        <v>10</v>
      </c>
    </row>
    <row r="1122" spans="1:8" x14ac:dyDescent="0.25">
      <c r="A1122" s="7">
        <v>44573</v>
      </c>
      <c r="B1122" s="8" t="s">
        <v>1406</v>
      </c>
      <c r="C1122" s="9" t="s">
        <v>284</v>
      </c>
      <c r="D1122" s="10">
        <v>4839.2</v>
      </c>
      <c r="E1122" s="11">
        <v>44574</v>
      </c>
      <c r="F1122" s="10">
        <v>4839.2</v>
      </c>
      <c r="G1122" s="12">
        <f>Tabla1[[#This Row],[Importe]]-Tabla1[[#This Row],[Pagado]]</f>
        <v>0</v>
      </c>
      <c r="H1122" s="9" t="s">
        <v>10</v>
      </c>
    </row>
    <row r="1123" spans="1:8" x14ac:dyDescent="0.25">
      <c r="A1123" s="7">
        <v>44573</v>
      </c>
      <c r="B1123" s="8" t="s">
        <v>1407</v>
      </c>
      <c r="C1123" s="9" t="s">
        <v>282</v>
      </c>
      <c r="D1123" s="10">
        <v>2811.6</v>
      </c>
      <c r="E1123" s="11">
        <v>44574</v>
      </c>
      <c r="F1123" s="10">
        <v>2811.6</v>
      </c>
      <c r="G1123" s="12">
        <f>Tabla1[[#This Row],[Importe]]-Tabla1[[#This Row],[Pagado]]</f>
        <v>0</v>
      </c>
      <c r="H1123" s="9" t="s">
        <v>10</v>
      </c>
    </row>
    <row r="1124" spans="1:8" x14ac:dyDescent="0.25">
      <c r="A1124" s="7">
        <v>44573</v>
      </c>
      <c r="B1124" s="8" t="s">
        <v>1408</v>
      </c>
      <c r="C1124" s="9" t="s">
        <v>368</v>
      </c>
      <c r="D1124" s="10">
        <v>3783.2</v>
      </c>
      <c r="E1124" s="11">
        <v>44574</v>
      </c>
      <c r="F1124" s="10">
        <v>3783.2</v>
      </c>
      <c r="G1124" s="12">
        <f>Tabla1[[#This Row],[Importe]]-Tabla1[[#This Row],[Pagado]]</f>
        <v>0</v>
      </c>
      <c r="H1124" s="9" t="s">
        <v>10</v>
      </c>
    </row>
    <row r="1125" spans="1:8" x14ac:dyDescent="0.25">
      <c r="A1125" s="7">
        <v>44573</v>
      </c>
      <c r="B1125" s="8" t="s">
        <v>1409</v>
      </c>
      <c r="C1125" s="9" t="s">
        <v>280</v>
      </c>
      <c r="D1125" s="10">
        <v>515.20000000000005</v>
      </c>
      <c r="E1125" s="11">
        <v>44574</v>
      </c>
      <c r="F1125" s="10">
        <v>515.20000000000005</v>
      </c>
      <c r="G1125" s="12">
        <f>Tabla1[[#This Row],[Importe]]-Tabla1[[#This Row],[Pagado]]</f>
        <v>0</v>
      </c>
      <c r="H1125" s="9" t="s">
        <v>10</v>
      </c>
    </row>
    <row r="1126" spans="1:8" x14ac:dyDescent="0.25">
      <c r="A1126" s="7">
        <v>44573</v>
      </c>
      <c r="B1126" s="8" t="s">
        <v>1410</v>
      </c>
      <c r="C1126" s="9" t="s">
        <v>359</v>
      </c>
      <c r="D1126" s="10">
        <v>2868.1</v>
      </c>
      <c r="E1126" s="11">
        <v>44574</v>
      </c>
      <c r="F1126" s="10">
        <v>2868.1</v>
      </c>
      <c r="G1126" s="12">
        <f>Tabla1[[#This Row],[Importe]]-Tabla1[[#This Row],[Pagado]]</f>
        <v>0</v>
      </c>
      <c r="H1126" s="9" t="s">
        <v>10</v>
      </c>
    </row>
    <row r="1127" spans="1:8" x14ac:dyDescent="0.25">
      <c r="A1127" s="7">
        <v>44573</v>
      </c>
      <c r="B1127" s="8" t="s">
        <v>1411</v>
      </c>
      <c r="C1127" s="9" t="s">
        <v>1412</v>
      </c>
      <c r="D1127" s="10">
        <v>0</v>
      </c>
      <c r="E1127" s="13" t="s">
        <v>189</v>
      </c>
      <c r="F1127" s="10">
        <v>0</v>
      </c>
      <c r="G1127" s="12">
        <f>Tabla1[[#This Row],[Importe]]-Tabla1[[#This Row],[Pagado]]</f>
        <v>0</v>
      </c>
      <c r="H1127" s="9" t="s">
        <v>189</v>
      </c>
    </row>
    <row r="1128" spans="1:8" x14ac:dyDescent="0.25">
      <c r="A1128" s="7">
        <v>44573</v>
      </c>
      <c r="B1128" s="8" t="s">
        <v>1413</v>
      </c>
      <c r="C1128" s="9" t="s">
        <v>426</v>
      </c>
      <c r="D1128" s="10">
        <v>4905</v>
      </c>
      <c r="E1128" s="11">
        <v>44574</v>
      </c>
      <c r="F1128" s="10">
        <v>4905</v>
      </c>
      <c r="G1128" s="12">
        <f>Tabla1[[#This Row],[Importe]]-Tabla1[[#This Row],[Pagado]]</f>
        <v>0</v>
      </c>
      <c r="H1128" s="9" t="s">
        <v>10</v>
      </c>
    </row>
    <row r="1129" spans="1:8" x14ac:dyDescent="0.25">
      <c r="A1129" s="7">
        <v>44573</v>
      </c>
      <c r="B1129" s="8" t="s">
        <v>1414</v>
      </c>
      <c r="C1129" s="9" t="s">
        <v>235</v>
      </c>
      <c r="D1129" s="10">
        <v>10340</v>
      </c>
      <c r="E1129" s="11">
        <v>44573</v>
      </c>
      <c r="F1129" s="10">
        <v>10340</v>
      </c>
      <c r="G1129" s="12">
        <f>Tabla1[[#This Row],[Importe]]-Tabla1[[#This Row],[Pagado]]</f>
        <v>0</v>
      </c>
      <c r="H1129" s="9" t="s">
        <v>10</v>
      </c>
    </row>
    <row r="1130" spans="1:8" x14ac:dyDescent="0.25">
      <c r="A1130" s="7">
        <v>44573</v>
      </c>
      <c r="B1130" s="8" t="s">
        <v>1415</v>
      </c>
      <c r="C1130" s="9" t="s">
        <v>175</v>
      </c>
      <c r="D1130" s="10">
        <v>7974.4</v>
      </c>
      <c r="E1130" s="11">
        <v>44574</v>
      </c>
      <c r="F1130" s="10">
        <v>7974.4</v>
      </c>
      <c r="G1130" s="12">
        <f>Tabla1[[#This Row],[Importe]]-Tabla1[[#This Row],[Pagado]]</f>
        <v>0</v>
      </c>
      <c r="H1130" s="9" t="s">
        <v>10</v>
      </c>
    </row>
    <row r="1131" spans="1:8" x14ac:dyDescent="0.25">
      <c r="A1131" s="7">
        <v>44573</v>
      </c>
      <c r="B1131" s="8" t="s">
        <v>1416</v>
      </c>
      <c r="C1131" s="9" t="s">
        <v>71</v>
      </c>
      <c r="D1131" s="10">
        <v>826.2</v>
      </c>
      <c r="E1131" s="11">
        <v>44573</v>
      </c>
      <c r="F1131" s="10">
        <v>826.2</v>
      </c>
      <c r="G1131" s="12">
        <f>Tabla1[[#This Row],[Importe]]-Tabla1[[#This Row],[Pagado]]</f>
        <v>0</v>
      </c>
      <c r="H1131" s="9" t="s">
        <v>10</v>
      </c>
    </row>
    <row r="1132" spans="1:8" x14ac:dyDescent="0.25">
      <c r="A1132" s="7">
        <v>44573</v>
      </c>
      <c r="B1132" s="8" t="s">
        <v>1417</v>
      </c>
      <c r="C1132" s="9" t="s">
        <v>191</v>
      </c>
      <c r="D1132" s="10">
        <v>607.20000000000005</v>
      </c>
      <c r="E1132" s="11">
        <v>44573</v>
      </c>
      <c r="F1132" s="10">
        <v>607.20000000000005</v>
      </c>
      <c r="G1132" s="12">
        <f>Tabla1[[#This Row],[Importe]]-Tabla1[[#This Row],[Pagado]]</f>
        <v>0</v>
      </c>
      <c r="H1132" s="9" t="s">
        <v>10</v>
      </c>
    </row>
    <row r="1133" spans="1:8" x14ac:dyDescent="0.25">
      <c r="A1133" s="7">
        <v>44573</v>
      </c>
      <c r="B1133" s="8" t="s">
        <v>1418</v>
      </c>
      <c r="C1133" s="9" t="s">
        <v>681</v>
      </c>
      <c r="D1133" s="10">
        <v>2.12</v>
      </c>
      <c r="E1133" s="11">
        <v>44579</v>
      </c>
      <c r="F1133" s="10">
        <v>2.12</v>
      </c>
      <c r="G1133" s="12">
        <f>Tabla1[[#This Row],[Importe]]-Tabla1[[#This Row],[Pagado]]</f>
        <v>0</v>
      </c>
      <c r="H1133" s="9" t="s">
        <v>10</v>
      </c>
    </row>
    <row r="1134" spans="1:8" x14ac:dyDescent="0.25">
      <c r="A1134" s="7">
        <v>44573</v>
      </c>
      <c r="B1134" s="8" t="s">
        <v>1419</v>
      </c>
      <c r="C1134" s="9" t="s">
        <v>681</v>
      </c>
      <c r="D1134" s="10">
        <v>0.57999999999999996</v>
      </c>
      <c r="E1134" s="11">
        <v>44579</v>
      </c>
      <c r="F1134" s="10">
        <v>0.57999999999999996</v>
      </c>
      <c r="G1134" s="12">
        <f>Tabla1[[#This Row],[Importe]]-Tabla1[[#This Row],[Pagado]]</f>
        <v>0</v>
      </c>
      <c r="H1134" s="9" t="s">
        <v>10</v>
      </c>
    </row>
    <row r="1135" spans="1:8" x14ac:dyDescent="0.25">
      <c r="A1135" s="7">
        <v>44573</v>
      </c>
      <c r="B1135" s="8" t="s">
        <v>1420</v>
      </c>
      <c r="C1135" s="9" t="s">
        <v>1421</v>
      </c>
      <c r="D1135" s="10">
        <v>12980</v>
      </c>
      <c r="E1135" s="11">
        <v>44573</v>
      </c>
      <c r="F1135" s="10">
        <v>12980</v>
      </c>
      <c r="G1135" s="12">
        <f>Tabla1[[#This Row],[Importe]]-Tabla1[[#This Row],[Pagado]]</f>
        <v>0</v>
      </c>
      <c r="H1135" s="9" t="s">
        <v>10</v>
      </c>
    </row>
    <row r="1136" spans="1:8" x14ac:dyDescent="0.25">
      <c r="A1136" s="7">
        <v>44573</v>
      </c>
      <c r="B1136" s="8" t="s">
        <v>1422</v>
      </c>
      <c r="C1136" s="9" t="s">
        <v>1421</v>
      </c>
      <c r="D1136" s="10">
        <v>480</v>
      </c>
      <c r="E1136" s="11">
        <v>44573</v>
      </c>
      <c r="F1136" s="10">
        <v>480</v>
      </c>
      <c r="G1136" s="12">
        <f>Tabla1[[#This Row],[Importe]]-Tabla1[[#This Row],[Pagado]]</f>
        <v>0</v>
      </c>
      <c r="H1136" s="9" t="s">
        <v>10</v>
      </c>
    </row>
    <row r="1137" spans="1:8" x14ac:dyDescent="0.25">
      <c r="A1137" s="7">
        <v>44573</v>
      </c>
      <c r="B1137" s="8" t="s">
        <v>1423</v>
      </c>
      <c r="C1137" s="9" t="s">
        <v>9</v>
      </c>
      <c r="D1137" s="10">
        <v>604.79999999999995</v>
      </c>
      <c r="E1137" s="11">
        <v>44573</v>
      </c>
      <c r="F1137" s="10">
        <v>604.79999999999995</v>
      </c>
      <c r="G1137" s="12">
        <f>Tabla1[[#This Row],[Importe]]-Tabla1[[#This Row],[Pagado]]</f>
        <v>0</v>
      </c>
      <c r="H1137" s="9" t="s">
        <v>10</v>
      </c>
    </row>
    <row r="1138" spans="1:8" x14ac:dyDescent="0.25">
      <c r="A1138" s="7">
        <v>44573</v>
      </c>
      <c r="B1138" s="8" t="s">
        <v>1424</v>
      </c>
      <c r="C1138" s="9" t="s">
        <v>14</v>
      </c>
      <c r="D1138" s="10">
        <v>19425</v>
      </c>
      <c r="E1138" s="11">
        <v>44573</v>
      </c>
      <c r="F1138" s="10">
        <v>19425</v>
      </c>
      <c r="G1138" s="12">
        <f>Tabla1[[#This Row],[Importe]]-Tabla1[[#This Row],[Pagado]]</f>
        <v>0</v>
      </c>
      <c r="H1138" s="9" t="s">
        <v>10</v>
      </c>
    </row>
    <row r="1139" spans="1:8" x14ac:dyDescent="0.25">
      <c r="A1139" s="7">
        <v>44573</v>
      </c>
      <c r="B1139" s="8" t="s">
        <v>1425</v>
      </c>
      <c r="C1139" s="9" t="s">
        <v>1265</v>
      </c>
      <c r="D1139" s="10">
        <v>874</v>
      </c>
      <c r="E1139" s="11">
        <v>44573</v>
      </c>
      <c r="F1139" s="10">
        <v>874</v>
      </c>
      <c r="G1139" s="12">
        <f>Tabla1[[#This Row],[Importe]]-Tabla1[[#This Row],[Pagado]]</f>
        <v>0</v>
      </c>
      <c r="H1139" s="9" t="s">
        <v>10</v>
      </c>
    </row>
    <row r="1140" spans="1:8" x14ac:dyDescent="0.25">
      <c r="A1140" s="7">
        <v>44573</v>
      </c>
      <c r="B1140" s="8" t="s">
        <v>1426</v>
      </c>
      <c r="C1140" s="9" t="s">
        <v>91</v>
      </c>
      <c r="D1140" s="10">
        <v>3036</v>
      </c>
      <c r="E1140" s="11">
        <v>44574</v>
      </c>
      <c r="F1140" s="10">
        <v>3036</v>
      </c>
      <c r="G1140" s="12">
        <f>Tabla1[[#This Row],[Importe]]-Tabla1[[#This Row],[Pagado]]</f>
        <v>0</v>
      </c>
      <c r="H1140" s="9" t="s">
        <v>10</v>
      </c>
    </row>
    <row r="1141" spans="1:8" x14ac:dyDescent="0.25">
      <c r="A1141" s="7">
        <v>44573</v>
      </c>
      <c r="B1141" s="8" t="s">
        <v>1427</v>
      </c>
      <c r="C1141" s="9" t="s">
        <v>62</v>
      </c>
      <c r="D1141" s="10">
        <v>3256.5</v>
      </c>
      <c r="E1141" s="11">
        <v>44573</v>
      </c>
      <c r="F1141" s="10">
        <v>3256.5</v>
      </c>
      <c r="G1141" s="12">
        <f>Tabla1[[#This Row],[Importe]]-Tabla1[[#This Row],[Pagado]]</f>
        <v>0</v>
      </c>
      <c r="H1141" s="9" t="s">
        <v>10</v>
      </c>
    </row>
    <row r="1142" spans="1:8" x14ac:dyDescent="0.25">
      <c r="A1142" s="7">
        <v>44573</v>
      </c>
      <c r="B1142" s="8" t="s">
        <v>1428</v>
      </c>
      <c r="C1142" s="9" t="s">
        <v>191</v>
      </c>
      <c r="D1142" s="10">
        <v>634.79999999999995</v>
      </c>
      <c r="E1142" s="11">
        <v>44573</v>
      </c>
      <c r="F1142" s="10">
        <v>634.79999999999995</v>
      </c>
      <c r="G1142" s="12">
        <f>Tabla1[[#This Row],[Importe]]-Tabla1[[#This Row],[Pagado]]</f>
        <v>0</v>
      </c>
      <c r="H1142" s="9" t="s">
        <v>10</v>
      </c>
    </row>
    <row r="1143" spans="1:8" x14ac:dyDescent="0.25">
      <c r="A1143" s="7">
        <v>44573</v>
      </c>
      <c r="B1143" s="8" t="s">
        <v>1429</v>
      </c>
      <c r="C1143" s="9" t="s">
        <v>62</v>
      </c>
      <c r="D1143" s="10">
        <v>2570.6999999999998</v>
      </c>
      <c r="E1143" s="11">
        <v>44573</v>
      </c>
      <c r="F1143" s="10">
        <v>2570.6999999999998</v>
      </c>
      <c r="G1143" s="12">
        <f>Tabla1[[#This Row],[Importe]]-Tabla1[[#This Row],[Pagado]]</f>
        <v>0</v>
      </c>
      <c r="H1143" s="9" t="s">
        <v>10</v>
      </c>
    </row>
    <row r="1144" spans="1:8" x14ac:dyDescent="0.25">
      <c r="A1144" s="7">
        <v>44573</v>
      </c>
      <c r="B1144" s="8" t="s">
        <v>1430</v>
      </c>
      <c r="C1144" s="9" t="s">
        <v>31</v>
      </c>
      <c r="D1144" s="10">
        <v>540</v>
      </c>
      <c r="E1144" s="11">
        <v>44573</v>
      </c>
      <c r="F1144" s="10">
        <v>540</v>
      </c>
      <c r="G1144" s="12">
        <f>Tabla1[[#This Row],[Importe]]-Tabla1[[#This Row],[Pagado]]</f>
        <v>0</v>
      </c>
      <c r="H1144" s="9" t="s">
        <v>10</v>
      </c>
    </row>
    <row r="1145" spans="1:8" x14ac:dyDescent="0.25">
      <c r="A1145" s="7">
        <v>44573</v>
      </c>
      <c r="B1145" s="8" t="s">
        <v>1431</v>
      </c>
      <c r="C1145" s="9" t="s">
        <v>31</v>
      </c>
      <c r="D1145" s="10">
        <v>336.6</v>
      </c>
      <c r="E1145" s="11">
        <v>44573</v>
      </c>
      <c r="F1145" s="10">
        <v>336.6</v>
      </c>
      <c r="G1145" s="12">
        <f>Tabla1[[#This Row],[Importe]]-Tabla1[[#This Row],[Pagado]]</f>
        <v>0</v>
      </c>
      <c r="H1145" s="9" t="s">
        <v>10</v>
      </c>
    </row>
    <row r="1146" spans="1:8" x14ac:dyDescent="0.25">
      <c r="A1146" s="7">
        <v>44573</v>
      </c>
      <c r="B1146" s="8" t="s">
        <v>1432</v>
      </c>
      <c r="C1146" s="9" t="s">
        <v>31</v>
      </c>
      <c r="D1146" s="10">
        <v>2524.8000000000002</v>
      </c>
      <c r="E1146" s="11">
        <v>44573</v>
      </c>
      <c r="F1146" s="10">
        <v>2524.8000000000002</v>
      </c>
      <c r="G1146" s="12">
        <f>Tabla1[[#This Row],[Importe]]-Tabla1[[#This Row],[Pagado]]</f>
        <v>0</v>
      </c>
      <c r="H1146" s="9" t="s">
        <v>10</v>
      </c>
    </row>
    <row r="1147" spans="1:8" x14ac:dyDescent="0.25">
      <c r="A1147" s="7">
        <v>44573</v>
      </c>
      <c r="B1147" s="8" t="s">
        <v>1433</v>
      </c>
      <c r="C1147" s="9" t="s">
        <v>409</v>
      </c>
      <c r="D1147" s="10">
        <v>2367.6</v>
      </c>
      <c r="E1147" s="11">
        <v>44583</v>
      </c>
      <c r="F1147" s="10">
        <v>2367.6</v>
      </c>
      <c r="G1147" s="12">
        <f>Tabla1[[#This Row],[Importe]]-Tabla1[[#This Row],[Pagado]]</f>
        <v>0</v>
      </c>
      <c r="H1147" s="9" t="s">
        <v>10</v>
      </c>
    </row>
    <row r="1148" spans="1:8" x14ac:dyDescent="0.25">
      <c r="A1148" s="7">
        <v>44573</v>
      </c>
      <c r="B1148" s="8" t="s">
        <v>1434</v>
      </c>
      <c r="C1148" s="9" t="s">
        <v>31</v>
      </c>
      <c r="D1148" s="10">
        <v>102</v>
      </c>
      <c r="E1148" s="11">
        <v>44573</v>
      </c>
      <c r="F1148" s="10">
        <v>102</v>
      </c>
      <c r="G1148" s="12">
        <f>Tabla1[[#This Row],[Importe]]-Tabla1[[#This Row],[Pagado]]</f>
        <v>0</v>
      </c>
      <c r="H1148" s="9" t="s">
        <v>10</v>
      </c>
    </row>
    <row r="1149" spans="1:8" x14ac:dyDescent="0.25">
      <c r="A1149" s="7">
        <v>44573</v>
      </c>
      <c r="B1149" s="8" t="s">
        <v>1435</v>
      </c>
      <c r="C1149" s="9" t="s">
        <v>69</v>
      </c>
      <c r="D1149" s="10">
        <v>1780.2</v>
      </c>
      <c r="E1149" s="11">
        <v>44573</v>
      </c>
      <c r="F1149" s="10">
        <v>1780.2</v>
      </c>
      <c r="G1149" s="12">
        <f>Tabla1[[#This Row],[Importe]]-Tabla1[[#This Row],[Pagado]]</f>
        <v>0</v>
      </c>
      <c r="H1149" s="9" t="s">
        <v>10</v>
      </c>
    </row>
    <row r="1150" spans="1:8" x14ac:dyDescent="0.25">
      <c r="A1150" s="7">
        <v>44573</v>
      </c>
      <c r="B1150" s="8" t="s">
        <v>1436</v>
      </c>
      <c r="C1150" s="9" t="s">
        <v>1437</v>
      </c>
      <c r="D1150" s="10">
        <v>23883.9</v>
      </c>
      <c r="E1150" s="11">
        <v>44573</v>
      </c>
      <c r="F1150" s="10">
        <v>23883.9</v>
      </c>
      <c r="G1150" s="12">
        <f>Tabla1[[#This Row],[Importe]]-Tabla1[[#This Row],[Pagado]]</f>
        <v>0</v>
      </c>
      <c r="H1150" s="9" t="s">
        <v>10</v>
      </c>
    </row>
    <row r="1151" spans="1:8" x14ac:dyDescent="0.25">
      <c r="A1151" s="7">
        <v>44573</v>
      </c>
      <c r="B1151" s="8" t="s">
        <v>1438</v>
      </c>
      <c r="C1151" s="9" t="s">
        <v>1021</v>
      </c>
      <c r="D1151" s="10">
        <v>1428</v>
      </c>
      <c r="E1151" s="11">
        <v>44573</v>
      </c>
      <c r="F1151" s="10">
        <v>1428</v>
      </c>
      <c r="G1151" s="12">
        <f>Tabla1[[#This Row],[Importe]]-Tabla1[[#This Row],[Pagado]]</f>
        <v>0</v>
      </c>
      <c r="H1151" s="9" t="s">
        <v>10</v>
      </c>
    </row>
    <row r="1152" spans="1:8" ht="30" x14ac:dyDescent="0.25">
      <c r="A1152" s="7">
        <v>44573</v>
      </c>
      <c r="B1152" s="8" t="s">
        <v>1439</v>
      </c>
      <c r="C1152" s="9" t="s">
        <v>1021</v>
      </c>
      <c r="D1152" s="10">
        <v>28724.799999999999</v>
      </c>
      <c r="E1152" s="11" t="s">
        <v>1440</v>
      </c>
      <c r="F1152" s="10">
        <f>14725+13999.8</f>
        <v>28724.799999999999</v>
      </c>
      <c r="G1152" s="12">
        <f>Tabla1[[#This Row],[Importe]]-Tabla1[[#This Row],[Pagado]]</f>
        <v>0</v>
      </c>
      <c r="H1152" s="9" t="s">
        <v>10</v>
      </c>
    </row>
    <row r="1153" spans="1:8" x14ac:dyDescent="0.25">
      <c r="A1153" s="7">
        <v>44574</v>
      </c>
      <c r="B1153" s="8" t="s">
        <v>1441</v>
      </c>
      <c r="C1153" s="9" t="s">
        <v>20</v>
      </c>
      <c r="D1153" s="10">
        <v>2950</v>
      </c>
      <c r="E1153" s="11">
        <v>44574</v>
      </c>
      <c r="F1153" s="10">
        <v>2950</v>
      </c>
      <c r="G1153" s="12">
        <f>Tabla1[[#This Row],[Importe]]-Tabla1[[#This Row],[Pagado]]</f>
        <v>0</v>
      </c>
      <c r="H1153" s="9" t="s">
        <v>10</v>
      </c>
    </row>
    <row r="1154" spans="1:8" x14ac:dyDescent="0.25">
      <c r="A1154" s="7">
        <v>44574</v>
      </c>
      <c r="B1154" s="8" t="s">
        <v>1442</v>
      </c>
      <c r="C1154" s="9" t="s">
        <v>475</v>
      </c>
      <c r="D1154" s="10">
        <v>31845.9</v>
      </c>
      <c r="E1154" s="11">
        <v>44575</v>
      </c>
      <c r="F1154" s="10">
        <v>31845.9</v>
      </c>
      <c r="G1154" s="12">
        <f>Tabla1[[#This Row],[Importe]]-Tabla1[[#This Row],[Pagado]]</f>
        <v>0</v>
      </c>
      <c r="H1154" s="9" t="s">
        <v>10</v>
      </c>
    </row>
    <row r="1155" spans="1:8" x14ac:dyDescent="0.25">
      <c r="A1155" s="7">
        <v>44574</v>
      </c>
      <c r="B1155" s="8" t="s">
        <v>1443</v>
      </c>
      <c r="C1155" s="9" t="s">
        <v>83</v>
      </c>
      <c r="D1155" s="10">
        <v>4360.8</v>
      </c>
      <c r="E1155" s="11">
        <v>44574</v>
      </c>
      <c r="F1155" s="10">
        <v>4360.8</v>
      </c>
      <c r="G1155" s="12">
        <f>Tabla1[[#This Row],[Importe]]-Tabla1[[#This Row],[Pagado]]</f>
        <v>0</v>
      </c>
      <c r="H1155" s="9" t="s">
        <v>10</v>
      </c>
    </row>
    <row r="1156" spans="1:8" x14ac:dyDescent="0.25">
      <c r="A1156" s="7">
        <v>44574</v>
      </c>
      <c r="B1156" s="8" t="s">
        <v>1444</v>
      </c>
      <c r="C1156" s="9" t="s">
        <v>79</v>
      </c>
      <c r="D1156" s="10">
        <v>4425.2</v>
      </c>
      <c r="E1156" s="11">
        <v>44574</v>
      </c>
      <c r="F1156" s="10">
        <v>4425.2</v>
      </c>
      <c r="G1156" s="12">
        <f>Tabla1[[#This Row],[Importe]]-Tabla1[[#This Row],[Pagado]]</f>
        <v>0</v>
      </c>
      <c r="H1156" s="9" t="s">
        <v>10</v>
      </c>
    </row>
    <row r="1157" spans="1:8" x14ac:dyDescent="0.25">
      <c r="A1157" s="7">
        <v>44574</v>
      </c>
      <c r="B1157" s="8" t="s">
        <v>1445</v>
      </c>
      <c r="C1157" s="9" t="s">
        <v>87</v>
      </c>
      <c r="D1157" s="10">
        <v>1832.8</v>
      </c>
      <c r="E1157" s="11">
        <v>44574</v>
      </c>
      <c r="F1157" s="10">
        <v>1832.8</v>
      </c>
      <c r="G1157" s="12">
        <f>Tabla1[[#This Row],[Importe]]-Tabla1[[#This Row],[Pagado]]</f>
        <v>0</v>
      </c>
      <c r="H1157" s="9" t="s">
        <v>10</v>
      </c>
    </row>
    <row r="1158" spans="1:8" x14ac:dyDescent="0.25">
      <c r="A1158" s="7">
        <v>44574</v>
      </c>
      <c r="B1158" s="8" t="s">
        <v>1446</v>
      </c>
      <c r="C1158" s="9" t="s">
        <v>140</v>
      </c>
      <c r="D1158" s="10">
        <v>4212</v>
      </c>
      <c r="E1158" s="11">
        <v>44574</v>
      </c>
      <c r="F1158" s="10">
        <v>4212</v>
      </c>
      <c r="G1158" s="12">
        <f>Tabla1[[#This Row],[Importe]]-Tabla1[[#This Row],[Pagado]]</f>
        <v>0</v>
      </c>
      <c r="H1158" s="9" t="s">
        <v>10</v>
      </c>
    </row>
    <row r="1159" spans="1:8" x14ac:dyDescent="0.25">
      <c r="A1159" s="7">
        <v>44574</v>
      </c>
      <c r="B1159" s="8" t="s">
        <v>1447</v>
      </c>
      <c r="C1159" s="9" t="s">
        <v>12</v>
      </c>
      <c r="D1159" s="10">
        <v>26757.75</v>
      </c>
      <c r="E1159" s="11">
        <v>44575</v>
      </c>
      <c r="F1159" s="10">
        <v>26757.75</v>
      </c>
      <c r="G1159" s="12">
        <f>Tabla1[[#This Row],[Importe]]-Tabla1[[#This Row],[Pagado]]</f>
        <v>0</v>
      </c>
      <c r="H1159" s="9" t="s">
        <v>10</v>
      </c>
    </row>
    <row r="1160" spans="1:8" x14ac:dyDescent="0.25">
      <c r="A1160" s="7">
        <v>44574</v>
      </c>
      <c r="B1160" s="8" t="s">
        <v>1448</v>
      </c>
      <c r="C1160" s="9" t="s">
        <v>251</v>
      </c>
      <c r="D1160" s="10">
        <v>999.8</v>
      </c>
      <c r="E1160" s="11">
        <v>44574</v>
      </c>
      <c r="F1160" s="10">
        <v>999.8</v>
      </c>
      <c r="G1160" s="12">
        <f>Tabla1[[#This Row],[Importe]]-Tabla1[[#This Row],[Pagado]]</f>
        <v>0</v>
      </c>
      <c r="H1160" s="9" t="s">
        <v>10</v>
      </c>
    </row>
    <row r="1161" spans="1:8" x14ac:dyDescent="0.25">
      <c r="A1161" s="7">
        <v>44574</v>
      </c>
      <c r="B1161" s="8" t="s">
        <v>1449</v>
      </c>
      <c r="C1161" s="9" t="s">
        <v>481</v>
      </c>
      <c r="D1161" s="10">
        <v>1071</v>
      </c>
      <c r="E1161" s="11">
        <v>44574</v>
      </c>
      <c r="F1161" s="10">
        <v>1071</v>
      </c>
      <c r="G1161" s="12">
        <f>Tabla1[[#This Row],[Importe]]-Tabla1[[#This Row],[Pagado]]</f>
        <v>0</v>
      </c>
      <c r="H1161" s="9" t="s">
        <v>10</v>
      </c>
    </row>
    <row r="1162" spans="1:8" x14ac:dyDescent="0.25">
      <c r="A1162" s="7">
        <v>44574</v>
      </c>
      <c r="B1162" s="8" t="s">
        <v>1450</v>
      </c>
      <c r="C1162" s="9" t="s">
        <v>129</v>
      </c>
      <c r="D1162" s="10">
        <v>1272</v>
      </c>
      <c r="E1162" s="11">
        <v>44574</v>
      </c>
      <c r="F1162" s="10">
        <v>1272</v>
      </c>
      <c r="G1162" s="12">
        <f>Tabla1[[#This Row],[Importe]]-Tabla1[[#This Row],[Pagado]]</f>
        <v>0</v>
      </c>
      <c r="H1162" s="9" t="s">
        <v>10</v>
      </c>
    </row>
    <row r="1163" spans="1:8" x14ac:dyDescent="0.25">
      <c r="A1163" s="7">
        <v>44574</v>
      </c>
      <c r="B1163" s="8" t="s">
        <v>1451</v>
      </c>
      <c r="C1163" s="9" t="s">
        <v>357</v>
      </c>
      <c r="D1163" s="10">
        <v>878.4</v>
      </c>
      <c r="E1163" s="11">
        <v>44574</v>
      </c>
      <c r="F1163" s="10">
        <v>878.4</v>
      </c>
      <c r="G1163" s="12">
        <f>Tabla1[[#This Row],[Importe]]-Tabla1[[#This Row],[Pagado]]</f>
        <v>0</v>
      </c>
      <c r="H1163" s="9" t="s">
        <v>10</v>
      </c>
    </row>
    <row r="1164" spans="1:8" x14ac:dyDescent="0.25">
      <c r="A1164" s="7">
        <v>44574</v>
      </c>
      <c r="B1164" s="8" t="s">
        <v>1452</v>
      </c>
      <c r="C1164" s="9" t="s">
        <v>127</v>
      </c>
      <c r="D1164" s="10">
        <v>4119.2</v>
      </c>
      <c r="E1164" s="11">
        <v>44574</v>
      </c>
      <c r="F1164" s="10">
        <v>4119.2</v>
      </c>
      <c r="G1164" s="12">
        <f>Tabla1[[#This Row],[Importe]]-Tabla1[[#This Row],[Pagado]]</f>
        <v>0</v>
      </c>
      <c r="H1164" s="9" t="s">
        <v>10</v>
      </c>
    </row>
    <row r="1165" spans="1:8" x14ac:dyDescent="0.25">
      <c r="A1165" s="7">
        <v>44574</v>
      </c>
      <c r="B1165" s="8" t="s">
        <v>1453</v>
      </c>
      <c r="C1165" s="9" t="s">
        <v>326</v>
      </c>
      <c r="D1165" s="10">
        <v>5072.1000000000004</v>
      </c>
      <c r="E1165" s="11">
        <v>44574</v>
      </c>
      <c r="F1165" s="10">
        <v>5072.1000000000004</v>
      </c>
      <c r="G1165" s="12">
        <f>Tabla1[[#This Row],[Importe]]-Tabla1[[#This Row],[Pagado]]</f>
        <v>0</v>
      </c>
      <c r="H1165" s="9" t="s">
        <v>10</v>
      </c>
    </row>
    <row r="1166" spans="1:8" x14ac:dyDescent="0.25">
      <c r="A1166" s="7">
        <v>44574</v>
      </c>
      <c r="B1166" s="8" t="s">
        <v>1454</v>
      </c>
      <c r="C1166" s="9" t="s">
        <v>60</v>
      </c>
      <c r="D1166" s="10">
        <v>4138.2</v>
      </c>
      <c r="E1166" s="11">
        <v>44579</v>
      </c>
      <c r="F1166" s="10">
        <v>4138.2</v>
      </c>
      <c r="G1166" s="12">
        <f>Tabla1[[#This Row],[Importe]]-Tabla1[[#This Row],[Pagado]]</f>
        <v>0</v>
      </c>
      <c r="H1166" s="9" t="s">
        <v>10</v>
      </c>
    </row>
    <row r="1167" spans="1:8" x14ac:dyDescent="0.25">
      <c r="A1167" s="7">
        <v>44574</v>
      </c>
      <c r="B1167" s="8" t="s">
        <v>1455</v>
      </c>
      <c r="C1167" s="9" t="s">
        <v>64</v>
      </c>
      <c r="D1167" s="10">
        <v>4503</v>
      </c>
      <c r="E1167" s="11">
        <v>44575</v>
      </c>
      <c r="F1167" s="10">
        <v>4503</v>
      </c>
      <c r="G1167" s="12">
        <f>Tabla1[[#This Row],[Importe]]-Tabla1[[#This Row],[Pagado]]</f>
        <v>0</v>
      </c>
      <c r="H1167" s="9" t="s">
        <v>10</v>
      </c>
    </row>
    <row r="1168" spans="1:8" x14ac:dyDescent="0.25">
      <c r="A1168" s="7">
        <v>44574</v>
      </c>
      <c r="B1168" s="8" t="s">
        <v>1456</v>
      </c>
      <c r="C1168" s="9" t="s">
        <v>114</v>
      </c>
      <c r="D1168" s="10">
        <v>9318.7999999999993</v>
      </c>
      <c r="E1168" s="11">
        <v>44575</v>
      </c>
      <c r="F1168" s="10">
        <v>9318.7999999999993</v>
      </c>
      <c r="G1168" s="12">
        <f>Tabla1[[#This Row],[Importe]]-Tabla1[[#This Row],[Pagado]]</f>
        <v>0</v>
      </c>
      <c r="H1168" s="9" t="s">
        <v>10</v>
      </c>
    </row>
    <row r="1169" spans="1:8" x14ac:dyDescent="0.25">
      <c r="A1169" s="7">
        <v>44574</v>
      </c>
      <c r="B1169" s="8" t="s">
        <v>1457</v>
      </c>
      <c r="C1169" s="9" t="s">
        <v>9</v>
      </c>
      <c r="D1169" s="10">
        <v>4067.8</v>
      </c>
      <c r="E1169" s="11">
        <v>44574</v>
      </c>
      <c r="F1169" s="10">
        <v>4067.8</v>
      </c>
      <c r="G1169" s="12">
        <f>Tabla1[[#This Row],[Importe]]-Tabla1[[#This Row],[Pagado]]</f>
        <v>0</v>
      </c>
      <c r="H1169" s="9" t="s">
        <v>10</v>
      </c>
    </row>
    <row r="1170" spans="1:8" x14ac:dyDescent="0.25">
      <c r="A1170" s="7">
        <v>44574</v>
      </c>
      <c r="B1170" s="8" t="s">
        <v>1458</v>
      </c>
      <c r="C1170" s="9" t="s">
        <v>131</v>
      </c>
      <c r="D1170" s="10">
        <v>9660</v>
      </c>
      <c r="E1170" s="11">
        <v>44574</v>
      </c>
      <c r="F1170" s="10">
        <v>9660</v>
      </c>
      <c r="G1170" s="12">
        <f>Tabla1[[#This Row],[Importe]]-Tabla1[[#This Row],[Pagado]]</f>
        <v>0</v>
      </c>
      <c r="H1170" s="9" t="s">
        <v>10</v>
      </c>
    </row>
    <row r="1171" spans="1:8" ht="30" x14ac:dyDescent="0.25">
      <c r="A1171" s="7">
        <v>44574</v>
      </c>
      <c r="B1171" s="8" t="s">
        <v>1459</v>
      </c>
      <c r="C1171" s="9" t="s">
        <v>39</v>
      </c>
      <c r="D1171" s="10">
        <v>25082.799999999999</v>
      </c>
      <c r="E1171" s="11" t="s">
        <v>1460</v>
      </c>
      <c r="F1171" s="10">
        <f>10000+15082.8</f>
        <v>25082.799999999999</v>
      </c>
      <c r="G1171" s="12">
        <f>Tabla1[[#This Row],[Importe]]-Tabla1[[#This Row],[Pagado]]</f>
        <v>0</v>
      </c>
      <c r="H1171" s="9" t="s">
        <v>10</v>
      </c>
    </row>
    <row r="1172" spans="1:8" x14ac:dyDescent="0.25">
      <c r="A1172" s="7">
        <v>44574</v>
      </c>
      <c r="B1172" s="8" t="s">
        <v>1461</v>
      </c>
      <c r="C1172" s="9" t="s">
        <v>18</v>
      </c>
      <c r="D1172" s="10">
        <v>1700</v>
      </c>
      <c r="E1172" s="11">
        <v>44574</v>
      </c>
      <c r="F1172" s="10">
        <v>1700</v>
      </c>
      <c r="G1172" s="12">
        <f>Tabla1[[#This Row],[Importe]]-Tabla1[[#This Row],[Pagado]]</f>
        <v>0</v>
      </c>
      <c r="H1172" s="9" t="s">
        <v>10</v>
      </c>
    </row>
    <row r="1173" spans="1:8" x14ac:dyDescent="0.25">
      <c r="A1173" s="7">
        <v>44574</v>
      </c>
      <c r="B1173" s="8" t="s">
        <v>1462</v>
      </c>
      <c r="C1173" s="9" t="s">
        <v>22</v>
      </c>
      <c r="D1173" s="10">
        <v>16467.3</v>
      </c>
      <c r="E1173" s="11">
        <v>44576</v>
      </c>
      <c r="F1173" s="10">
        <v>16467.3</v>
      </c>
      <c r="G1173" s="12">
        <f>Tabla1[[#This Row],[Importe]]-Tabla1[[#This Row],[Pagado]]</f>
        <v>0</v>
      </c>
      <c r="H1173" s="9" t="s">
        <v>10</v>
      </c>
    </row>
    <row r="1174" spans="1:8" x14ac:dyDescent="0.25">
      <c r="A1174" s="7">
        <v>44574</v>
      </c>
      <c r="B1174" s="8" t="s">
        <v>1463</v>
      </c>
      <c r="C1174" s="9" t="s">
        <v>142</v>
      </c>
      <c r="D1174" s="10">
        <v>28628.81</v>
      </c>
      <c r="E1174" s="11">
        <v>44589</v>
      </c>
      <c r="F1174" s="10">
        <v>28628.81</v>
      </c>
      <c r="G1174" s="12">
        <f>Tabla1[[#This Row],[Importe]]-Tabla1[[#This Row],[Pagado]]</f>
        <v>0</v>
      </c>
      <c r="H1174" s="9" t="s">
        <v>10</v>
      </c>
    </row>
    <row r="1175" spans="1:8" x14ac:dyDescent="0.25">
      <c r="A1175" s="7">
        <v>44574</v>
      </c>
      <c r="B1175" s="8" t="s">
        <v>1464</v>
      </c>
      <c r="C1175" s="9" t="s">
        <v>118</v>
      </c>
      <c r="D1175" s="10">
        <v>459</v>
      </c>
      <c r="E1175" s="11">
        <v>44574</v>
      </c>
      <c r="F1175" s="10">
        <v>459</v>
      </c>
      <c r="G1175" s="12">
        <f>Tabla1[[#This Row],[Importe]]-Tabla1[[#This Row],[Pagado]]</f>
        <v>0</v>
      </c>
      <c r="H1175" s="9" t="s">
        <v>10</v>
      </c>
    </row>
    <row r="1176" spans="1:8" x14ac:dyDescent="0.25">
      <c r="A1176" s="7">
        <v>44574</v>
      </c>
      <c r="B1176" s="8" t="s">
        <v>1465</v>
      </c>
      <c r="C1176" s="9" t="s">
        <v>89</v>
      </c>
      <c r="D1176" s="10">
        <v>2171.4</v>
      </c>
      <c r="E1176" s="11">
        <v>44575</v>
      </c>
      <c r="F1176" s="10">
        <v>2171.4</v>
      </c>
      <c r="G1176" s="12">
        <f>Tabla1[[#This Row],[Importe]]-Tabla1[[#This Row],[Pagado]]</f>
        <v>0</v>
      </c>
      <c r="H1176" s="9" t="s">
        <v>10</v>
      </c>
    </row>
    <row r="1177" spans="1:8" x14ac:dyDescent="0.25">
      <c r="A1177" s="7">
        <v>44574</v>
      </c>
      <c r="B1177" s="8" t="s">
        <v>1466</v>
      </c>
      <c r="C1177" s="9" t="s">
        <v>97</v>
      </c>
      <c r="D1177" s="10">
        <v>6320.3</v>
      </c>
      <c r="E1177" s="11">
        <v>44575</v>
      </c>
      <c r="F1177" s="10">
        <v>6320.3</v>
      </c>
      <c r="G1177" s="12">
        <f>Tabla1[[#This Row],[Importe]]-Tabla1[[#This Row],[Pagado]]</f>
        <v>0</v>
      </c>
      <c r="H1177" s="9" t="s">
        <v>10</v>
      </c>
    </row>
    <row r="1178" spans="1:8" x14ac:dyDescent="0.25">
      <c r="A1178" s="7">
        <v>44574</v>
      </c>
      <c r="B1178" s="8" t="s">
        <v>1467</v>
      </c>
      <c r="C1178" s="9" t="s">
        <v>105</v>
      </c>
      <c r="D1178" s="10">
        <v>12386</v>
      </c>
      <c r="E1178" s="11">
        <v>44575</v>
      </c>
      <c r="F1178" s="10">
        <v>12386</v>
      </c>
      <c r="G1178" s="12">
        <f>Tabla1[[#This Row],[Importe]]-Tabla1[[#This Row],[Pagado]]</f>
        <v>0</v>
      </c>
      <c r="H1178" s="9" t="s">
        <v>10</v>
      </c>
    </row>
    <row r="1179" spans="1:8" x14ac:dyDescent="0.25">
      <c r="A1179" s="7">
        <v>44574</v>
      </c>
      <c r="B1179" s="8" t="s">
        <v>1468</v>
      </c>
      <c r="C1179" s="9" t="s">
        <v>99</v>
      </c>
      <c r="D1179" s="10">
        <v>2133.8000000000002</v>
      </c>
      <c r="E1179" s="11">
        <v>44575</v>
      </c>
      <c r="F1179" s="10">
        <v>2133.8000000000002</v>
      </c>
      <c r="G1179" s="12">
        <f>Tabla1[[#This Row],[Importe]]-Tabla1[[#This Row],[Pagado]]</f>
        <v>0</v>
      </c>
      <c r="H1179" s="9" t="s">
        <v>10</v>
      </c>
    </row>
    <row r="1180" spans="1:8" x14ac:dyDescent="0.25">
      <c r="A1180" s="7">
        <v>44574</v>
      </c>
      <c r="B1180" s="8" t="s">
        <v>1469</v>
      </c>
      <c r="C1180" s="9" t="s">
        <v>348</v>
      </c>
      <c r="D1180" s="10">
        <v>2158.1999999999998</v>
      </c>
      <c r="E1180" s="11">
        <v>44574</v>
      </c>
      <c r="F1180" s="10">
        <v>2158.1999999999998</v>
      </c>
      <c r="G1180" s="12">
        <f>Tabla1[[#This Row],[Importe]]-Tabla1[[#This Row],[Pagado]]</f>
        <v>0</v>
      </c>
      <c r="H1180" s="9" t="s">
        <v>10</v>
      </c>
    </row>
    <row r="1181" spans="1:8" x14ac:dyDescent="0.25">
      <c r="A1181" s="7">
        <v>44574</v>
      </c>
      <c r="B1181" s="8" t="s">
        <v>1470</v>
      </c>
      <c r="C1181" s="9" t="s">
        <v>120</v>
      </c>
      <c r="D1181" s="10">
        <v>179.8</v>
      </c>
      <c r="E1181" s="11">
        <v>44574</v>
      </c>
      <c r="F1181" s="10">
        <v>179.8</v>
      </c>
      <c r="G1181" s="12">
        <f>Tabla1[[#This Row],[Importe]]-Tabla1[[#This Row],[Pagado]]</f>
        <v>0</v>
      </c>
      <c r="H1181" s="9" t="s">
        <v>10</v>
      </c>
    </row>
    <row r="1182" spans="1:8" x14ac:dyDescent="0.25">
      <c r="A1182" s="7">
        <v>44574</v>
      </c>
      <c r="B1182" s="8" t="s">
        <v>1471</v>
      </c>
      <c r="C1182" s="9" t="s">
        <v>1472</v>
      </c>
      <c r="D1182" s="10">
        <v>0</v>
      </c>
      <c r="E1182" s="13" t="s">
        <v>189</v>
      </c>
      <c r="F1182" s="10">
        <v>0</v>
      </c>
      <c r="G1182" s="12">
        <f>Tabla1[[#This Row],[Importe]]-Tabla1[[#This Row],[Pagado]]</f>
        <v>0</v>
      </c>
      <c r="H1182" s="9" t="s">
        <v>189</v>
      </c>
    </row>
    <row r="1183" spans="1:8" x14ac:dyDescent="0.25">
      <c r="A1183" s="7">
        <v>44574</v>
      </c>
      <c r="B1183" s="8" t="s">
        <v>1473</v>
      </c>
      <c r="C1183" s="9" t="s">
        <v>431</v>
      </c>
      <c r="D1183" s="10">
        <v>492.2</v>
      </c>
      <c r="E1183" s="11">
        <v>44575</v>
      </c>
      <c r="F1183" s="10">
        <v>492.2</v>
      </c>
      <c r="G1183" s="12">
        <f>Tabla1[[#This Row],[Importe]]-Tabla1[[#This Row],[Pagado]]</f>
        <v>0</v>
      </c>
      <c r="H1183" s="9" t="s">
        <v>10</v>
      </c>
    </row>
    <row r="1184" spans="1:8" x14ac:dyDescent="0.25">
      <c r="A1184" s="7">
        <v>44574</v>
      </c>
      <c r="B1184" s="8" t="s">
        <v>1474</v>
      </c>
      <c r="C1184" s="9" t="s">
        <v>179</v>
      </c>
      <c r="D1184" s="10">
        <v>1198</v>
      </c>
      <c r="E1184" s="11">
        <v>44574</v>
      </c>
      <c r="F1184" s="10">
        <v>1198</v>
      </c>
      <c r="G1184" s="12">
        <f>Tabla1[[#This Row],[Importe]]-Tabla1[[#This Row],[Pagado]]</f>
        <v>0</v>
      </c>
      <c r="H1184" s="9" t="s">
        <v>10</v>
      </c>
    </row>
    <row r="1185" spans="1:8" x14ac:dyDescent="0.25">
      <c r="A1185" s="7">
        <v>44574</v>
      </c>
      <c r="B1185" s="8" t="s">
        <v>1475</v>
      </c>
      <c r="C1185" s="9" t="s">
        <v>135</v>
      </c>
      <c r="D1185" s="10">
        <v>825.6</v>
      </c>
      <c r="E1185" s="11">
        <v>44574</v>
      </c>
      <c r="F1185" s="10">
        <v>825.6</v>
      </c>
      <c r="G1185" s="12">
        <f>Tabla1[[#This Row],[Importe]]-Tabla1[[#This Row],[Pagado]]</f>
        <v>0</v>
      </c>
      <c r="H1185" s="9" t="s">
        <v>10</v>
      </c>
    </row>
    <row r="1186" spans="1:8" x14ac:dyDescent="0.25">
      <c r="A1186" s="7">
        <v>44574</v>
      </c>
      <c r="B1186" s="8" t="s">
        <v>1476</v>
      </c>
      <c r="C1186" s="9" t="s">
        <v>146</v>
      </c>
      <c r="D1186" s="10">
        <v>1706.1</v>
      </c>
      <c r="E1186" s="11">
        <v>44574</v>
      </c>
      <c r="F1186" s="10">
        <v>1706.1</v>
      </c>
      <c r="G1186" s="12">
        <f>Tabla1[[#This Row],[Importe]]-Tabla1[[#This Row],[Pagado]]</f>
        <v>0</v>
      </c>
      <c r="H1186" s="9" t="s">
        <v>10</v>
      </c>
    </row>
    <row r="1187" spans="1:8" x14ac:dyDescent="0.25">
      <c r="A1187" s="7">
        <v>44574</v>
      </c>
      <c r="B1187" s="8" t="s">
        <v>1477</v>
      </c>
      <c r="C1187" s="9" t="s">
        <v>280</v>
      </c>
      <c r="D1187" s="10">
        <v>441.6</v>
      </c>
      <c r="E1187" s="11">
        <v>44575</v>
      </c>
      <c r="F1187" s="10">
        <v>441.6</v>
      </c>
      <c r="G1187" s="12">
        <f>Tabla1[[#This Row],[Importe]]-Tabla1[[#This Row],[Pagado]]</f>
        <v>0</v>
      </c>
      <c r="H1187" s="9" t="s">
        <v>10</v>
      </c>
    </row>
    <row r="1188" spans="1:8" x14ac:dyDescent="0.25">
      <c r="A1188" s="7">
        <v>44574</v>
      </c>
      <c r="B1188" s="8" t="s">
        <v>1478</v>
      </c>
      <c r="C1188" s="9" t="s">
        <v>520</v>
      </c>
      <c r="D1188" s="10">
        <v>2125.1999999999998</v>
      </c>
      <c r="E1188" s="11">
        <v>44574</v>
      </c>
      <c r="F1188" s="10">
        <v>2125.1999999999998</v>
      </c>
      <c r="G1188" s="12">
        <f>Tabla1[[#This Row],[Importe]]-Tabla1[[#This Row],[Pagado]]</f>
        <v>0</v>
      </c>
      <c r="H1188" s="9" t="s">
        <v>10</v>
      </c>
    </row>
    <row r="1189" spans="1:8" x14ac:dyDescent="0.25">
      <c r="A1189" s="7">
        <v>44574</v>
      </c>
      <c r="B1189" s="8" t="s">
        <v>1479</v>
      </c>
      <c r="C1189" s="9" t="s">
        <v>282</v>
      </c>
      <c r="D1189" s="10">
        <v>2157.4</v>
      </c>
      <c r="E1189" s="11">
        <v>44575</v>
      </c>
      <c r="F1189" s="10">
        <v>2157.4</v>
      </c>
      <c r="G1189" s="12">
        <f>Tabla1[[#This Row],[Importe]]-Tabla1[[#This Row],[Pagado]]</f>
        <v>0</v>
      </c>
      <c r="H1189" s="9" t="s">
        <v>10</v>
      </c>
    </row>
    <row r="1190" spans="1:8" x14ac:dyDescent="0.25">
      <c r="A1190" s="7">
        <v>44574</v>
      </c>
      <c r="B1190" s="8" t="s">
        <v>1480</v>
      </c>
      <c r="C1190" s="9" t="s">
        <v>1481</v>
      </c>
      <c r="D1190" s="10">
        <v>312.8</v>
      </c>
      <c r="E1190" s="11">
        <v>44575</v>
      </c>
      <c r="F1190" s="10">
        <v>312.8</v>
      </c>
      <c r="G1190" s="12">
        <f>Tabla1[[#This Row],[Importe]]-Tabla1[[#This Row],[Pagado]]</f>
        <v>0</v>
      </c>
      <c r="H1190" s="9" t="s">
        <v>10</v>
      </c>
    </row>
    <row r="1191" spans="1:8" x14ac:dyDescent="0.25">
      <c r="A1191" s="7">
        <v>44574</v>
      </c>
      <c r="B1191" s="8" t="s">
        <v>1482</v>
      </c>
      <c r="C1191" s="9" t="s">
        <v>75</v>
      </c>
      <c r="D1191" s="10">
        <v>3371.8</v>
      </c>
      <c r="E1191" s="11">
        <v>44575</v>
      </c>
      <c r="F1191" s="10">
        <v>3371.8</v>
      </c>
      <c r="G1191" s="12">
        <f>Tabla1[[#This Row],[Importe]]-Tabla1[[#This Row],[Pagado]]</f>
        <v>0</v>
      </c>
      <c r="H1191" s="9" t="s">
        <v>10</v>
      </c>
    </row>
    <row r="1192" spans="1:8" x14ac:dyDescent="0.25">
      <c r="A1192" s="7">
        <v>44574</v>
      </c>
      <c r="B1192" s="8" t="s">
        <v>1483</v>
      </c>
      <c r="C1192" s="9" t="s">
        <v>618</v>
      </c>
      <c r="D1192" s="10">
        <v>11916</v>
      </c>
      <c r="E1192" s="11">
        <v>44575</v>
      </c>
      <c r="F1192" s="10">
        <v>11916</v>
      </c>
      <c r="G1192" s="12">
        <f>Tabla1[[#This Row],[Importe]]-Tabla1[[#This Row],[Pagado]]</f>
        <v>0</v>
      </c>
      <c r="H1192" s="9" t="s">
        <v>10</v>
      </c>
    </row>
    <row r="1193" spans="1:8" x14ac:dyDescent="0.25">
      <c r="A1193" s="7">
        <v>44574</v>
      </c>
      <c r="B1193" s="8" t="s">
        <v>1484</v>
      </c>
      <c r="C1193" s="9" t="s">
        <v>694</v>
      </c>
      <c r="D1193" s="10">
        <v>0</v>
      </c>
      <c r="E1193" s="13" t="s">
        <v>189</v>
      </c>
      <c r="F1193" s="10">
        <v>0</v>
      </c>
      <c r="G1193" s="12">
        <f>Tabla1[[#This Row],[Importe]]-Tabla1[[#This Row],[Pagado]]</f>
        <v>0</v>
      </c>
      <c r="H1193" s="9" t="s">
        <v>189</v>
      </c>
    </row>
    <row r="1194" spans="1:8" x14ac:dyDescent="0.25">
      <c r="A1194" s="7">
        <v>44574</v>
      </c>
      <c r="B1194" s="8" t="s">
        <v>1485</v>
      </c>
      <c r="C1194" s="9" t="s">
        <v>312</v>
      </c>
      <c r="D1194" s="10">
        <v>4589</v>
      </c>
      <c r="E1194" s="11">
        <v>44574</v>
      </c>
      <c r="F1194" s="10">
        <v>4589</v>
      </c>
      <c r="G1194" s="12">
        <f>Tabla1[[#This Row],[Importe]]-Tabla1[[#This Row],[Pagado]]</f>
        <v>0</v>
      </c>
      <c r="H1194" s="9" t="s">
        <v>10</v>
      </c>
    </row>
    <row r="1195" spans="1:8" x14ac:dyDescent="0.25">
      <c r="A1195" s="7">
        <v>44574</v>
      </c>
      <c r="B1195" s="8" t="s">
        <v>1486</v>
      </c>
      <c r="C1195" s="9" t="s">
        <v>159</v>
      </c>
      <c r="D1195" s="10">
        <v>1673.1</v>
      </c>
      <c r="E1195" s="11">
        <v>44574</v>
      </c>
      <c r="F1195" s="10">
        <v>1673.1</v>
      </c>
      <c r="G1195" s="12">
        <f>Tabla1[[#This Row],[Importe]]-Tabla1[[#This Row],[Pagado]]</f>
        <v>0</v>
      </c>
      <c r="H1195" s="9" t="s">
        <v>10</v>
      </c>
    </row>
    <row r="1196" spans="1:8" x14ac:dyDescent="0.25">
      <c r="A1196" s="7">
        <v>44574</v>
      </c>
      <c r="B1196" s="8" t="s">
        <v>1487</v>
      </c>
      <c r="C1196" s="9" t="s">
        <v>284</v>
      </c>
      <c r="D1196" s="10">
        <v>4659.8</v>
      </c>
      <c r="E1196" s="11">
        <v>44575</v>
      </c>
      <c r="F1196" s="10">
        <v>4659.8</v>
      </c>
      <c r="G1196" s="12">
        <f>Tabla1[[#This Row],[Importe]]-Tabla1[[#This Row],[Pagado]]</f>
        <v>0</v>
      </c>
      <c r="H1196" s="9" t="s">
        <v>10</v>
      </c>
    </row>
    <row r="1197" spans="1:8" x14ac:dyDescent="0.25">
      <c r="A1197" s="7">
        <v>44574</v>
      </c>
      <c r="B1197" s="8" t="s">
        <v>1488</v>
      </c>
      <c r="C1197" s="9" t="s">
        <v>175</v>
      </c>
      <c r="D1197" s="10">
        <v>20922.400000000001</v>
      </c>
      <c r="E1197" s="11">
        <v>44575</v>
      </c>
      <c r="F1197" s="10">
        <v>20922.400000000001</v>
      </c>
      <c r="G1197" s="12">
        <f>Tabla1[[#This Row],[Importe]]-Tabla1[[#This Row],[Pagado]]</f>
        <v>0</v>
      </c>
      <c r="H1197" s="9" t="s">
        <v>10</v>
      </c>
    </row>
    <row r="1198" spans="1:8" x14ac:dyDescent="0.25">
      <c r="A1198" s="7">
        <v>44574</v>
      </c>
      <c r="B1198" s="8" t="s">
        <v>1489</v>
      </c>
      <c r="C1198" s="9" t="s">
        <v>1490</v>
      </c>
      <c r="D1198" s="10">
        <v>4825.6000000000004</v>
      </c>
      <c r="E1198" s="11">
        <v>44575</v>
      </c>
      <c r="F1198" s="10">
        <v>4825.6000000000004</v>
      </c>
      <c r="G1198" s="12">
        <f>Tabla1[[#This Row],[Importe]]-Tabla1[[#This Row],[Pagado]]</f>
        <v>0</v>
      </c>
      <c r="H1198" s="9" t="s">
        <v>10</v>
      </c>
    </row>
    <row r="1199" spans="1:8" x14ac:dyDescent="0.25">
      <c r="A1199" s="7">
        <v>44574</v>
      </c>
      <c r="B1199" s="8" t="s">
        <v>1491</v>
      </c>
      <c r="C1199" s="9" t="s">
        <v>1237</v>
      </c>
      <c r="D1199" s="10">
        <v>28710.400000000001</v>
      </c>
      <c r="E1199" s="11">
        <v>44574</v>
      </c>
      <c r="F1199" s="10">
        <v>28710.400000000001</v>
      </c>
      <c r="G1199" s="12">
        <f>Tabla1[[#This Row],[Importe]]-Tabla1[[#This Row],[Pagado]]</f>
        <v>0</v>
      </c>
      <c r="H1199" s="9" t="s">
        <v>10</v>
      </c>
    </row>
    <row r="1200" spans="1:8" x14ac:dyDescent="0.25">
      <c r="A1200" s="7">
        <v>44574</v>
      </c>
      <c r="B1200" s="8" t="s">
        <v>1492</v>
      </c>
      <c r="C1200" s="9" t="s">
        <v>647</v>
      </c>
      <c r="D1200" s="10">
        <v>1829.2</v>
      </c>
      <c r="E1200" s="11">
        <v>44574</v>
      </c>
      <c r="F1200" s="10">
        <v>1829.2</v>
      </c>
      <c r="G1200" s="12">
        <f>Tabla1[[#This Row],[Importe]]-Tabla1[[#This Row],[Pagado]]</f>
        <v>0</v>
      </c>
      <c r="H1200" s="9" t="s">
        <v>10</v>
      </c>
    </row>
    <row r="1201" spans="1:8" x14ac:dyDescent="0.25">
      <c r="A1201" s="7">
        <v>44574</v>
      </c>
      <c r="B1201" s="8" t="s">
        <v>1493</v>
      </c>
      <c r="C1201" s="9" t="s">
        <v>157</v>
      </c>
      <c r="D1201" s="10">
        <v>3246.7</v>
      </c>
      <c r="E1201" s="11">
        <v>44574</v>
      </c>
      <c r="F1201" s="10">
        <v>3246.7</v>
      </c>
      <c r="G1201" s="12">
        <f>Tabla1[[#This Row],[Importe]]-Tabla1[[#This Row],[Pagado]]</f>
        <v>0</v>
      </c>
      <c r="H1201" s="9" t="s">
        <v>10</v>
      </c>
    </row>
    <row r="1202" spans="1:8" x14ac:dyDescent="0.25">
      <c r="A1202" s="7">
        <v>44574</v>
      </c>
      <c r="B1202" s="8" t="s">
        <v>1494</v>
      </c>
      <c r="C1202" s="9" t="s">
        <v>319</v>
      </c>
      <c r="D1202" s="10">
        <v>5163.8</v>
      </c>
      <c r="E1202" s="11">
        <v>44574</v>
      </c>
      <c r="F1202" s="10">
        <v>5163.8</v>
      </c>
      <c r="G1202" s="12">
        <f>Tabla1[[#This Row],[Importe]]-Tabla1[[#This Row],[Pagado]]</f>
        <v>0</v>
      </c>
      <c r="H1202" s="9" t="s">
        <v>10</v>
      </c>
    </row>
    <row r="1203" spans="1:8" x14ac:dyDescent="0.25">
      <c r="A1203" s="7">
        <v>44574</v>
      </c>
      <c r="B1203" s="8" t="s">
        <v>1495</v>
      </c>
      <c r="C1203" s="9" t="s">
        <v>142</v>
      </c>
      <c r="D1203" s="10">
        <v>214.8</v>
      </c>
      <c r="E1203" s="11">
        <v>44589</v>
      </c>
      <c r="F1203" s="10">
        <v>214.8</v>
      </c>
      <c r="G1203" s="12">
        <f>Tabla1[[#This Row],[Importe]]-Tabla1[[#This Row],[Pagado]]</f>
        <v>0</v>
      </c>
      <c r="H1203" s="9" t="s">
        <v>10</v>
      </c>
    </row>
    <row r="1204" spans="1:8" x14ac:dyDescent="0.25">
      <c r="A1204" s="7">
        <v>44574</v>
      </c>
      <c r="B1204" s="8" t="s">
        <v>1496</v>
      </c>
      <c r="C1204" s="9" t="s">
        <v>426</v>
      </c>
      <c r="D1204" s="10">
        <v>1752</v>
      </c>
      <c r="E1204" s="11">
        <v>44575</v>
      </c>
      <c r="F1204" s="10">
        <v>1752</v>
      </c>
      <c r="G1204" s="12">
        <f>Tabla1[[#This Row],[Importe]]-Tabla1[[#This Row],[Pagado]]</f>
        <v>0</v>
      </c>
      <c r="H1204" s="9" t="s">
        <v>10</v>
      </c>
    </row>
    <row r="1205" spans="1:8" x14ac:dyDescent="0.25">
      <c r="A1205" s="7">
        <v>44574</v>
      </c>
      <c r="B1205" s="8" t="s">
        <v>1497</v>
      </c>
      <c r="C1205" s="9" t="s">
        <v>647</v>
      </c>
      <c r="D1205" s="10">
        <v>507.6</v>
      </c>
      <c r="E1205" s="11">
        <v>44574</v>
      </c>
      <c r="F1205" s="10">
        <v>507.6</v>
      </c>
      <c r="G1205" s="12">
        <f>Tabla1[[#This Row],[Importe]]-Tabla1[[#This Row],[Pagado]]</f>
        <v>0</v>
      </c>
      <c r="H1205" s="9" t="s">
        <v>10</v>
      </c>
    </row>
    <row r="1206" spans="1:8" x14ac:dyDescent="0.25">
      <c r="A1206" s="7">
        <v>44574</v>
      </c>
      <c r="B1206" s="8" t="s">
        <v>1498</v>
      </c>
      <c r="C1206" s="9" t="s">
        <v>230</v>
      </c>
      <c r="D1206" s="10">
        <v>2035.2</v>
      </c>
      <c r="E1206" s="11">
        <v>44574</v>
      </c>
      <c r="F1206" s="10">
        <v>2035.2</v>
      </c>
      <c r="G1206" s="12">
        <f>Tabla1[[#This Row],[Importe]]-Tabla1[[#This Row],[Pagado]]</f>
        <v>0</v>
      </c>
      <c r="H1206" s="9" t="s">
        <v>10</v>
      </c>
    </row>
    <row r="1207" spans="1:8" x14ac:dyDescent="0.25">
      <c r="A1207" s="7">
        <v>44574</v>
      </c>
      <c r="B1207" s="8" t="s">
        <v>1499</v>
      </c>
      <c r="C1207" s="9" t="s">
        <v>27</v>
      </c>
      <c r="D1207" s="10">
        <v>1097.5999999999999</v>
      </c>
      <c r="E1207" s="11">
        <v>44574</v>
      </c>
      <c r="F1207" s="10">
        <v>1097.5999999999999</v>
      </c>
      <c r="G1207" s="12">
        <f>Tabla1[[#This Row],[Importe]]-Tabla1[[#This Row],[Pagado]]</f>
        <v>0</v>
      </c>
      <c r="H1207" s="9" t="s">
        <v>10</v>
      </c>
    </row>
    <row r="1208" spans="1:8" x14ac:dyDescent="0.25">
      <c r="A1208" s="7">
        <v>44574</v>
      </c>
      <c r="B1208" s="8" t="s">
        <v>1500</v>
      </c>
      <c r="C1208" s="9" t="s">
        <v>518</v>
      </c>
      <c r="D1208" s="10">
        <v>1686.3</v>
      </c>
      <c r="E1208" s="11">
        <v>44574</v>
      </c>
      <c r="F1208" s="10">
        <v>1686.3</v>
      </c>
      <c r="G1208" s="12">
        <f>Tabla1[[#This Row],[Importe]]-Tabla1[[#This Row],[Pagado]]</f>
        <v>0</v>
      </c>
      <c r="H1208" s="9" t="s">
        <v>10</v>
      </c>
    </row>
    <row r="1209" spans="1:8" x14ac:dyDescent="0.25">
      <c r="A1209" s="7">
        <v>44574</v>
      </c>
      <c r="B1209" s="8" t="s">
        <v>1501</v>
      </c>
      <c r="C1209" s="9" t="s">
        <v>1502</v>
      </c>
      <c r="D1209" s="10">
        <v>0</v>
      </c>
      <c r="E1209" s="13" t="s">
        <v>189</v>
      </c>
      <c r="F1209" s="10">
        <v>0</v>
      </c>
      <c r="G1209" s="12">
        <f>Tabla1[[#This Row],[Importe]]-Tabla1[[#This Row],[Pagado]]</f>
        <v>0</v>
      </c>
      <c r="H1209" s="9" t="s">
        <v>189</v>
      </c>
    </row>
    <row r="1210" spans="1:8" x14ac:dyDescent="0.25">
      <c r="A1210" s="7">
        <v>44574</v>
      </c>
      <c r="B1210" s="8" t="s">
        <v>1503</v>
      </c>
      <c r="C1210" s="9" t="s">
        <v>373</v>
      </c>
      <c r="D1210" s="10">
        <v>3016</v>
      </c>
      <c r="E1210" s="11">
        <v>44574</v>
      </c>
      <c r="F1210" s="10">
        <v>3016</v>
      </c>
      <c r="G1210" s="12">
        <f>Tabla1[[#This Row],[Importe]]-Tabla1[[#This Row],[Pagado]]</f>
        <v>0</v>
      </c>
      <c r="H1210" s="9" t="s">
        <v>10</v>
      </c>
    </row>
    <row r="1211" spans="1:8" x14ac:dyDescent="0.25">
      <c r="A1211" s="7">
        <v>44574</v>
      </c>
      <c r="B1211" s="8" t="s">
        <v>1504</v>
      </c>
      <c r="C1211" s="9" t="s">
        <v>1505</v>
      </c>
      <c r="D1211" s="10">
        <v>1996.8</v>
      </c>
      <c r="E1211" s="11">
        <v>44574</v>
      </c>
      <c r="F1211" s="10">
        <v>1996.8</v>
      </c>
      <c r="G1211" s="12">
        <f>Tabla1[[#This Row],[Importe]]-Tabla1[[#This Row],[Pagado]]</f>
        <v>0</v>
      </c>
      <c r="H1211" s="9" t="s">
        <v>10</v>
      </c>
    </row>
    <row r="1212" spans="1:8" x14ac:dyDescent="0.25">
      <c r="A1212" s="7">
        <v>44574</v>
      </c>
      <c r="B1212" s="8" t="s">
        <v>1506</v>
      </c>
      <c r="C1212" s="9" t="s">
        <v>49</v>
      </c>
      <c r="D1212" s="10">
        <v>1050.5999999999999</v>
      </c>
      <c r="E1212" s="11">
        <v>44574</v>
      </c>
      <c r="F1212" s="10">
        <v>1050.5999999999999</v>
      </c>
      <c r="G1212" s="12">
        <f>Tabla1[[#This Row],[Importe]]-Tabla1[[#This Row],[Pagado]]</f>
        <v>0</v>
      </c>
      <c r="H1212" s="9" t="s">
        <v>10</v>
      </c>
    </row>
    <row r="1213" spans="1:8" x14ac:dyDescent="0.25">
      <c r="A1213" s="7">
        <v>44574</v>
      </c>
      <c r="B1213" s="8" t="s">
        <v>1507</v>
      </c>
      <c r="C1213" s="9" t="s">
        <v>24</v>
      </c>
      <c r="D1213" s="10">
        <v>2871</v>
      </c>
      <c r="E1213" s="11">
        <v>44574</v>
      </c>
      <c r="F1213" s="10">
        <v>2871</v>
      </c>
      <c r="G1213" s="12">
        <f>Tabla1[[#This Row],[Importe]]-Tabla1[[#This Row],[Pagado]]</f>
        <v>0</v>
      </c>
      <c r="H1213" s="9" t="s">
        <v>10</v>
      </c>
    </row>
    <row r="1214" spans="1:8" x14ac:dyDescent="0.25">
      <c r="A1214" s="7">
        <v>44574</v>
      </c>
      <c r="B1214" s="8" t="s">
        <v>1508</v>
      </c>
      <c r="C1214" s="9" t="s">
        <v>202</v>
      </c>
      <c r="D1214" s="10">
        <v>3227.4</v>
      </c>
      <c r="E1214" s="11">
        <v>44574</v>
      </c>
      <c r="F1214" s="10">
        <v>3227.4</v>
      </c>
      <c r="G1214" s="12">
        <f>Tabla1[[#This Row],[Importe]]-Tabla1[[#This Row],[Pagado]]</f>
        <v>0</v>
      </c>
      <c r="H1214" s="9" t="s">
        <v>10</v>
      </c>
    </row>
    <row r="1215" spans="1:8" x14ac:dyDescent="0.25">
      <c r="A1215" s="7">
        <v>44574</v>
      </c>
      <c r="B1215" s="8" t="s">
        <v>1509</v>
      </c>
      <c r="C1215" s="9" t="s">
        <v>45</v>
      </c>
      <c r="D1215" s="10">
        <v>13310.3</v>
      </c>
      <c r="E1215" s="11">
        <v>44574</v>
      </c>
      <c r="F1215" s="10">
        <v>13310.3</v>
      </c>
      <c r="G1215" s="12">
        <f>Tabla1[[#This Row],[Importe]]-Tabla1[[#This Row],[Pagado]]</f>
        <v>0</v>
      </c>
      <c r="H1215" s="9" t="s">
        <v>10</v>
      </c>
    </row>
    <row r="1216" spans="1:8" x14ac:dyDescent="0.25">
      <c r="A1216" s="7">
        <v>44574</v>
      </c>
      <c r="B1216" s="8" t="s">
        <v>1510</v>
      </c>
      <c r="C1216" s="9" t="s">
        <v>226</v>
      </c>
      <c r="D1216" s="10">
        <v>10155.1</v>
      </c>
      <c r="E1216" s="11">
        <v>44574</v>
      </c>
      <c r="F1216" s="10">
        <v>10155.1</v>
      </c>
      <c r="G1216" s="12">
        <f>Tabla1[[#This Row],[Importe]]-Tabla1[[#This Row],[Pagado]]</f>
        <v>0</v>
      </c>
      <c r="H1216" s="9" t="s">
        <v>10</v>
      </c>
    </row>
    <row r="1217" spans="1:8" x14ac:dyDescent="0.25">
      <c r="A1217" s="7">
        <v>44574</v>
      </c>
      <c r="B1217" s="8" t="s">
        <v>1511</v>
      </c>
      <c r="C1217" s="9" t="s">
        <v>419</v>
      </c>
      <c r="D1217" s="10">
        <v>6094.4</v>
      </c>
      <c r="E1217" s="11">
        <v>44574</v>
      </c>
      <c r="F1217" s="10">
        <v>6094.4</v>
      </c>
      <c r="G1217" s="12">
        <f>Tabla1[[#This Row],[Importe]]-Tabla1[[#This Row],[Pagado]]</f>
        <v>0</v>
      </c>
      <c r="H1217" s="9" t="s">
        <v>10</v>
      </c>
    </row>
    <row r="1218" spans="1:8" x14ac:dyDescent="0.25">
      <c r="A1218" s="7">
        <v>44574</v>
      </c>
      <c r="B1218" s="8" t="s">
        <v>1512</v>
      </c>
      <c r="C1218" s="9" t="s">
        <v>222</v>
      </c>
      <c r="D1218" s="10">
        <v>8670.6</v>
      </c>
      <c r="E1218" s="11">
        <v>44574</v>
      </c>
      <c r="F1218" s="10">
        <v>8670.6</v>
      </c>
      <c r="G1218" s="12">
        <f>Tabla1[[#This Row],[Importe]]-Tabla1[[#This Row],[Pagado]]</f>
        <v>0</v>
      </c>
      <c r="H1218" s="9" t="s">
        <v>10</v>
      </c>
    </row>
    <row r="1219" spans="1:8" x14ac:dyDescent="0.25">
      <c r="A1219" s="7">
        <v>44574</v>
      </c>
      <c r="B1219" s="8" t="s">
        <v>1513</v>
      </c>
      <c r="C1219" s="9" t="s">
        <v>222</v>
      </c>
      <c r="D1219" s="10">
        <v>375</v>
      </c>
      <c r="E1219" s="11">
        <v>44574</v>
      </c>
      <c r="F1219" s="10">
        <v>375</v>
      </c>
      <c r="G1219" s="12">
        <f>Tabla1[[#This Row],[Importe]]-Tabla1[[#This Row],[Pagado]]</f>
        <v>0</v>
      </c>
      <c r="H1219" s="9" t="s">
        <v>10</v>
      </c>
    </row>
    <row r="1220" spans="1:8" x14ac:dyDescent="0.25">
      <c r="A1220" s="7">
        <v>44574</v>
      </c>
      <c r="B1220" s="8" t="s">
        <v>1514</v>
      </c>
      <c r="C1220" s="9" t="s">
        <v>703</v>
      </c>
      <c r="D1220" s="10">
        <v>6007.6</v>
      </c>
      <c r="E1220" s="11">
        <v>44574</v>
      </c>
      <c r="F1220" s="10">
        <v>6007.6</v>
      </c>
      <c r="G1220" s="12">
        <f>Tabla1[[#This Row],[Importe]]-Tabla1[[#This Row],[Pagado]]</f>
        <v>0</v>
      </c>
      <c r="H1220" s="9" t="s">
        <v>10</v>
      </c>
    </row>
    <row r="1221" spans="1:8" x14ac:dyDescent="0.25">
      <c r="A1221" s="7">
        <v>44574</v>
      </c>
      <c r="B1221" s="8" t="s">
        <v>1515</v>
      </c>
      <c r="C1221" s="9" t="s">
        <v>878</v>
      </c>
      <c r="D1221" s="10">
        <v>3758.2</v>
      </c>
      <c r="E1221" s="11">
        <v>44574</v>
      </c>
      <c r="F1221" s="10">
        <v>3758.2</v>
      </c>
      <c r="G1221" s="12">
        <f>Tabla1[[#This Row],[Importe]]-Tabla1[[#This Row],[Pagado]]</f>
        <v>0</v>
      </c>
      <c r="H1221" s="9" t="s">
        <v>10</v>
      </c>
    </row>
    <row r="1222" spans="1:8" x14ac:dyDescent="0.25">
      <c r="A1222" s="7">
        <v>44574</v>
      </c>
      <c r="B1222" s="8" t="s">
        <v>1516</v>
      </c>
      <c r="C1222" s="9" t="s">
        <v>698</v>
      </c>
      <c r="D1222" s="10">
        <v>7350.3</v>
      </c>
      <c r="E1222" s="11">
        <v>44574</v>
      </c>
      <c r="F1222" s="10">
        <v>7350.3</v>
      </c>
      <c r="G1222" s="12">
        <f>Tabla1[[#This Row],[Importe]]-Tabla1[[#This Row],[Pagado]]</f>
        <v>0</v>
      </c>
      <c r="H1222" s="9" t="s">
        <v>10</v>
      </c>
    </row>
    <row r="1223" spans="1:8" x14ac:dyDescent="0.25">
      <c r="A1223" s="7">
        <v>44574</v>
      </c>
      <c r="B1223" s="8" t="s">
        <v>1517</v>
      </c>
      <c r="C1223" s="9" t="s">
        <v>228</v>
      </c>
      <c r="D1223" s="10">
        <v>6592.4</v>
      </c>
      <c r="E1223" s="11">
        <v>44574</v>
      </c>
      <c r="F1223" s="10">
        <v>6592.4</v>
      </c>
      <c r="G1223" s="12">
        <f>Tabla1[[#This Row],[Importe]]-Tabla1[[#This Row],[Pagado]]</f>
        <v>0</v>
      </c>
      <c r="H1223" s="9" t="s">
        <v>10</v>
      </c>
    </row>
    <row r="1224" spans="1:8" x14ac:dyDescent="0.25">
      <c r="A1224" s="7">
        <v>44574</v>
      </c>
      <c r="B1224" s="8" t="s">
        <v>1518</v>
      </c>
      <c r="C1224" s="9" t="s">
        <v>715</v>
      </c>
      <c r="D1224" s="10">
        <v>8297.4</v>
      </c>
      <c r="E1224" s="11">
        <v>44574</v>
      </c>
      <c r="F1224" s="10">
        <v>8297.4</v>
      </c>
      <c r="G1224" s="12">
        <f>Tabla1[[#This Row],[Importe]]-Tabla1[[#This Row],[Pagado]]</f>
        <v>0</v>
      </c>
      <c r="H1224" s="9" t="s">
        <v>10</v>
      </c>
    </row>
    <row r="1225" spans="1:8" x14ac:dyDescent="0.25">
      <c r="A1225" s="7">
        <v>44574</v>
      </c>
      <c r="B1225" s="8" t="s">
        <v>1519</v>
      </c>
      <c r="C1225" s="9" t="s">
        <v>237</v>
      </c>
      <c r="D1225" s="10">
        <v>2942.2</v>
      </c>
      <c r="E1225" s="11">
        <v>44574</v>
      </c>
      <c r="F1225" s="10">
        <v>2942.2</v>
      </c>
      <c r="G1225" s="12">
        <f>Tabla1[[#This Row],[Importe]]-Tabla1[[#This Row],[Pagado]]</f>
        <v>0</v>
      </c>
      <c r="H1225" s="9" t="s">
        <v>10</v>
      </c>
    </row>
    <row r="1226" spans="1:8" x14ac:dyDescent="0.25">
      <c r="A1226" s="7">
        <v>44574</v>
      </c>
      <c r="B1226" s="8" t="s">
        <v>1520</v>
      </c>
      <c r="C1226" s="9" t="s">
        <v>228</v>
      </c>
      <c r="D1226" s="10">
        <v>358.4</v>
      </c>
      <c r="E1226" s="11">
        <v>44574</v>
      </c>
      <c r="F1226" s="10">
        <v>358.4</v>
      </c>
      <c r="G1226" s="12">
        <f>Tabla1[[#This Row],[Importe]]-Tabla1[[#This Row],[Pagado]]</f>
        <v>0</v>
      </c>
      <c r="H1226" s="9" t="s">
        <v>10</v>
      </c>
    </row>
    <row r="1227" spans="1:8" x14ac:dyDescent="0.25">
      <c r="A1227" s="7">
        <v>44574</v>
      </c>
      <c r="B1227" s="8" t="s">
        <v>1521</v>
      </c>
      <c r="C1227" s="9" t="s">
        <v>12</v>
      </c>
      <c r="D1227" s="10">
        <v>900</v>
      </c>
      <c r="E1227" s="11">
        <v>44575</v>
      </c>
      <c r="F1227" s="10">
        <v>900</v>
      </c>
      <c r="G1227" s="12">
        <f>Tabla1[[#This Row],[Importe]]-Tabla1[[#This Row],[Pagado]]</f>
        <v>0</v>
      </c>
      <c r="H1227" s="9" t="s">
        <v>10</v>
      </c>
    </row>
    <row r="1228" spans="1:8" x14ac:dyDescent="0.25">
      <c r="A1228" s="7">
        <v>44574</v>
      </c>
      <c r="B1228" s="8" t="s">
        <v>1522</v>
      </c>
      <c r="C1228" s="9" t="s">
        <v>562</v>
      </c>
      <c r="D1228" s="10">
        <v>3075.6</v>
      </c>
      <c r="E1228" s="11">
        <v>44574</v>
      </c>
      <c r="F1228" s="10">
        <v>3075.6</v>
      </c>
      <c r="G1228" s="12">
        <f>Tabla1[[#This Row],[Importe]]-Tabla1[[#This Row],[Pagado]]</f>
        <v>0</v>
      </c>
      <c r="H1228" s="9" t="s">
        <v>10</v>
      </c>
    </row>
    <row r="1229" spans="1:8" x14ac:dyDescent="0.25">
      <c r="A1229" s="7">
        <v>44574</v>
      </c>
      <c r="B1229" s="8" t="s">
        <v>1523</v>
      </c>
      <c r="C1229" s="9" t="s">
        <v>414</v>
      </c>
      <c r="D1229" s="10">
        <v>14126.6</v>
      </c>
      <c r="E1229" s="11">
        <v>44574</v>
      </c>
      <c r="F1229" s="10">
        <v>14126.6</v>
      </c>
      <c r="G1229" s="12">
        <f>Tabla1[[#This Row],[Importe]]-Tabla1[[#This Row],[Pagado]]</f>
        <v>0</v>
      </c>
      <c r="H1229" s="9" t="s">
        <v>10</v>
      </c>
    </row>
    <row r="1230" spans="1:8" x14ac:dyDescent="0.25">
      <c r="A1230" s="7">
        <v>44574</v>
      </c>
      <c r="B1230" s="8" t="s">
        <v>1524</v>
      </c>
      <c r="C1230" s="9" t="s">
        <v>191</v>
      </c>
      <c r="D1230" s="10">
        <v>1584.4</v>
      </c>
      <c r="E1230" s="11">
        <v>44574</v>
      </c>
      <c r="F1230" s="10">
        <v>1584.4</v>
      </c>
      <c r="G1230" s="12">
        <f>Tabla1[[#This Row],[Importe]]-Tabla1[[#This Row],[Pagado]]</f>
        <v>0</v>
      </c>
      <c r="H1230" s="9" t="s">
        <v>10</v>
      </c>
    </row>
    <row r="1231" spans="1:8" x14ac:dyDescent="0.25">
      <c r="A1231" s="7">
        <v>44574</v>
      </c>
      <c r="B1231" s="8" t="s">
        <v>1525</v>
      </c>
      <c r="C1231" s="9" t="s">
        <v>562</v>
      </c>
      <c r="D1231" s="10">
        <v>616</v>
      </c>
      <c r="E1231" s="11">
        <v>44574</v>
      </c>
      <c r="F1231" s="10">
        <v>616</v>
      </c>
      <c r="G1231" s="12">
        <f>Tabla1[[#This Row],[Importe]]-Tabla1[[#This Row],[Pagado]]</f>
        <v>0</v>
      </c>
      <c r="H1231" s="9" t="s">
        <v>10</v>
      </c>
    </row>
    <row r="1232" spans="1:8" x14ac:dyDescent="0.25">
      <c r="A1232" s="7">
        <v>44574</v>
      </c>
      <c r="B1232" s="8" t="s">
        <v>1526</v>
      </c>
      <c r="C1232" s="9" t="s">
        <v>29</v>
      </c>
      <c r="D1232" s="10">
        <v>2203.4</v>
      </c>
      <c r="E1232" s="11">
        <v>44574</v>
      </c>
      <c r="F1232" s="10">
        <v>2203.4</v>
      </c>
      <c r="G1232" s="12">
        <f>Tabla1[[#This Row],[Importe]]-Tabla1[[#This Row],[Pagado]]</f>
        <v>0</v>
      </c>
      <c r="H1232" s="9" t="s">
        <v>10</v>
      </c>
    </row>
    <row r="1233" spans="1:8" x14ac:dyDescent="0.25">
      <c r="A1233" s="7">
        <v>44574</v>
      </c>
      <c r="B1233" s="8" t="s">
        <v>1527</v>
      </c>
      <c r="C1233" s="9" t="s">
        <v>368</v>
      </c>
      <c r="D1233" s="10">
        <v>2129.4</v>
      </c>
      <c r="E1233" s="11">
        <v>44574</v>
      </c>
      <c r="F1233" s="10">
        <v>2129.4</v>
      </c>
      <c r="G1233" s="12">
        <f>Tabla1[[#This Row],[Importe]]-Tabla1[[#This Row],[Pagado]]</f>
        <v>0</v>
      </c>
      <c r="H1233" s="9" t="s">
        <v>10</v>
      </c>
    </row>
    <row r="1234" spans="1:8" x14ac:dyDescent="0.25">
      <c r="A1234" s="7">
        <v>44574</v>
      </c>
      <c r="B1234" s="8" t="s">
        <v>1528</v>
      </c>
      <c r="C1234" s="9" t="s">
        <v>151</v>
      </c>
      <c r="D1234" s="10">
        <v>10304.25</v>
      </c>
      <c r="E1234" s="11">
        <v>44574</v>
      </c>
      <c r="F1234" s="10">
        <v>10304.25</v>
      </c>
      <c r="G1234" s="12">
        <f>Tabla1[[#This Row],[Importe]]-Tabla1[[#This Row],[Pagado]]</f>
        <v>0</v>
      </c>
      <c r="H1234" s="9" t="s">
        <v>10</v>
      </c>
    </row>
    <row r="1235" spans="1:8" x14ac:dyDescent="0.25">
      <c r="A1235" s="7">
        <v>44574</v>
      </c>
      <c r="B1235" s="8" t="s">
        <v>1529</v>
      </c>
      <c r="C1235" s="9" t="s">
        <v>244</v>
      </c>
      <c r="D1235" s="10">
        <v>887.4</v>
      </c>
      <c r="E1235" s="11">
        <v>44574</v>
      </c>
      <c r="F1235" s="10">
        <v>887.4</v>
      </c>
      <c r="G1235" s="12">
        <f>Tabla1[[#This Row],[Importe]]-Tabla1[[#This Row],[Pagado]]</f>
        <v>0</v>
      </c>
      <c r="H1235" s="9" t="s">
        <v>10</v>
      </c>
    </row>
    <row r="1236" spans="1:8" x14ac:dyDescent="0.25">
      <c r="A1236" s="7">
        <v>44574</v>
      </c>
      <c r="B1236" s="8" t="s">
        <v>1530</v>
      </c>
      <c r="C1236" s="9" t="s">
        <v>67</v>
      </c>
      <c r="D1236" s="10">
        <v>897</v>
      </c>
      <c r="E1236" s="11">
        <v>44574</v>
      </c>
      <c r="F1236" s="10">
        <v>897</v>
      </c>
      <c r="G1236" s="12">
        <f>Tabla1[[#This Row],[Importe]]-Tabla1[[#This Row],[Pagado]]</f>
        <v>0</v>
      </c>
      <c r="H1236" s="9" t="s">
        <v>10</v>
      </c>
    </row>
    <row r="1237" spans="1:8" x14ac:dyDescent="0.25">
      <c r="A1237" s="7">
        <v>44574</v>
      </c>
      <c r="B1237" s="8" t="s">
        <v>1531</v>
      </c>
      <c r="C1237" s="9" t="s">
        <v>144</v>
      </c>
      <c r="D1237" s="10">
        <v>4558.3999999999996</v>
      </c>
      <c r="E1237" s="11">
        <v>44574</v>
      </c>
      <c r="F1237" s="10">
        <v>4558.3999999999996</v>
      </c>
      <c r="G1237" s="12">
        <f>Tabla1[[#This Row],[Importe]]-Tabla1[[#This Row],[Pagado]]</f>
        <v>0</v>
      </c>
      <c r="H1237" s="9" t="s">
        <v>10</v>
      </c>
    </row>
    <row r="1238" spans="1:8" x14ac:dyDescent="0.25">
      <c r="A1238" s="7">
        <v>44574</v>
      </c>
      <c r="B1238" s="8" t="s">
        <v>1532</v>
      </c>
      <c r="C1238" s="9" t="s">
        <v>107</v>
      </c>
      <c r="D1238" s="10">
        <v>8213.6</v>
      </c>
      <c r="E1238" s="11">
        <v>44574</v>
      </c>
      <c r="F1238" s="10">
        <v>8213.6</v>
      </c>
      <c r="G1238" s="12">
        <f>Tabla1[[#This Row],[Importe]]-Tabla1[[#This Row],[Pagado]]</f>
        <v>0</v>
      </c>
      <c r="H1238" s="9" t="s">
        <v>10</v>
      </c>
    </row>
    <row r="1239" spans="1:8" x14ac:dyDescent="0.25">
      <c r="A1239" s="7">
        <v>44574</v>
      </c>
      <c r="B1239" s="8" t="s">
        <v>1533</v>
      </c>
      <c r="C1239" s="9" t="s">
        <v>214</v>
      </c>
      <c r="D1239" s="10">
        <v>15976.6</v>
      </c>
      <c r="E1239" s="11">
        <v>44574</v>
      </c>
      <c r="F1239" s="10">
        <v>15976.6</v>
      </c>
      <c r="G1239" s="12">
        <f>Tabla1[[#This Row],[Importe]]-Tabla1[[#This Row],[Pagado]]</f>
        <v>0</v>
      </c>
      <c r="H1239" s="9" t="s">
        <v>10</v>
      </c>
    </row>
    <row r="1240" spans="1:8" x14ac:dyDescent="0.25">
      <c r="A1240" s="7">
        <v>44574</v>
      </c>
      <c r="B1240" s="8" t="s">
        <v>1534</v>
      </c>
      <c r="C1240" s="9" t="s">
        <v>275</v>
      </c>
      <c r="D1240" s="10">
        <v>94632</v>
      </c>
      <c r="E1240" s="11">
        <v>44583</v>
      </c>
      <c r="F1240" s="10">
        <v>94632</v>
      </c>
      <c r="G1240" s="12">
        <f>Tabla1[[#This Row],[Importe]]-Tabla1[[#This Row],[Pagado]]</f>
        <v>0</v>
      </c>
      <c r="H1240" s="9" t="s">
        <v>10</v>
      </c>
    </row>
    <row r="1241" spans="1:8" x14ac:dyDescent="0.25">
      <c r="A1241" s="7">
        <v>44574</v>
      </c>
      <c r="B1241" s="8" t="s">
        <v>1535</v>
      </c>
      <c r="C1241" s="9" t="s">
        <v>664</v>
      </c>
      <c r="D1241" s="10">
        <v>13971.2</v>
      </c>
      <c r="E1241" s="11">
        <v>44574</v>
      </c>
      <c r="F1241" s="10">
        <v>13971.2</v>
      </c>
      <c r="G1241" s="12">
        <f>Tabla1[[#This Row],[Importe]]-Tabla1[[#This Row],[Pagado]]</f>
        <v>0</v>
      </c>
      <c r="H1241" s="9" t="s">
        <v>10</v>
      </c>
    </row>
    <row r="1242" spans="1:8" x14ac:dyDescent="0.25">
      <c r="A1242" s="7">
        <v>44574</v>
      </c>
      <c r="B1242" s="8" t="s">
        <v>1536</v>
      </c>
      <c r="C1242" s="9" t="s">
        <v>1537</v>
      </c>
      <c r="D1242" s="10">
        <v>1447.8</v>
      </c>
      <c r="E1242" s="11">
        <v>44574</v>
      </c>
      <c r="F1242" s="10">
        <v>1447.8</v>
      </c>
      <c r="G1242" s="12">
        <f>Tabla1[[#This Row],[Importe]]-Tabla1[[#This Row],[Pagado]]</f>
        <v>0</v>
      </c>
      <c r="H1242" s="9" t="s">
        <v>10</v>
      </c>
    </row>
    <row r="1243" spans="1:8" x14ac:dyDescent="0.25">
      <c r="A1243" s="7">
        <v>44574</v>
      </c>
      <c r="B1243" s="8" t="s">
        <v>1538</v>
      </c>
      <c r="C1243" s="9" t="s">
        <v>58</v>
      </c>
      <c r="D1243" s="10">
        <v>6849.3</v>
      </c>
      <c r="E1243" s="11">
        <v>44574</v>
      </c>
      <c r="F1243" s="10">
        <v>6849.3</v>
      </c>
      <c r="G1243" s="12">
        <f>Tabla1[[#This Row],[Importe]]-Tabla1[[#This Row],[Pagado]]</f>
        <v>0</v>
      </c>
      <c r="H1243" s="9" t="s">
        <v>10</v>
      </c>
    </row>
    <row r="1244" spans="1:8" x14ac:dyDescent="0.25">
      <c r="A1244" s="7">
        <v>44574</v>
      </c>
      <c r="B1244" s="8" t="s">
        <v>1539</v>
      </c>
      <c r="C1244" s="9" t="s">
        <v>857</v>
      </c>
      <c r="D1244" s="10">
        <v>409.6</v>
      </c>
      <c r="E1244" s="11">
        <v>44574</v>
      </c>
      <c r="F1244" s="10">
        <v>409.6</v>
      </c>
      <c r="G1244" s="12">
        <f>Tabla1[[#This Row],[Importe]]-Tabla1[[#This Row],[Pagado]]</f>
        <v>0</v>
      </c>
      <c r="H1244" s="9" t="s">
        <v>10</v>
      </c>
    </row>
    <row r="1245" spans="1:8" x14ac:dyDescent="0.25">
      <c r="A1245" s="7">
        <v>44574</v>
      </c>
      <c r="B1245" s="8" t="s">
        <v>1540</v>
      </c>
      <c r="C1245" s="9" t="s">
        <v>62</v>
      </c>
      <c r="D1245" s="10">
        <v>2332.4</v>
      </c>
      <c r="E1245" s="11">
        <v>44574</v>
      </c>
      <c r="F1245" s="10">
        <v>2332.4</v>
      </c>
      <c r="G1245" s="12">
        <f>Tabla1[[#This Row],[Importe]]-Tabla1[[#This Row],[Pagado]]</f>
        <v>0</v>
      </c>
      <c r="H1245" s="9" t="s">
        <v>10</v>
      </c>
    </row>
    <row r="1246" spans="1:8" x14ac:dyDescent="0.25">
      <c r="A1246" s="7">
        <v>44574</v>
      </c>
      <c r="B1246" s="8" t="s">
        <v>1541</v>
      </c>
      <c r="C1246" s="9" t="s">
        <v>647</v>
      </c>
      <c r="D1246" s="10">
        <v>1428</v>
      </c>
      <c r="E1246" s="11">
        <v>44574</v>
      </c>
      <c r="F1246" s="10">
        <v>1428</v>
      </c>
      <c r="G1246" s="12">
        <f>Tabla1[[#This Row],[Importe]]-Tabla1[[#This Row],[Pagado]]</f>
        <v>0</v>
      </c>
      <c r="H1246" s="9" t="s">
        <v>10</v>
      </c>
    </row>
    <row r="1247" spans="1:8" x14ac:dyDescent="0.25">
      <c r="A1247" s="7">
        <v>44574</v>
      </c>
      <c r="B1247" s="8" t="s">
        <v>1542</v>
      </c>
      <c r="C1247" s="9" t="s">
        <v>16</v>
      </c>
      <c r="D1247" s="10">
        <v>1600</v>
      </c>
      <c r="E1247" s="11">
        <v>44574</v>
      </c>
      <c r="F1247" s="10">
        <v>1600</v>
      </c>
      <c r="G1247" s="12">
        <f>Tabla1[[#This Row],[Importe]]-Tabla1[[#This Row],[Pagado]]</f>
        <v>0</v>
      </c>
      <c r="H1247" s="9" t="s">
        <v>10</v>
      </c>
    </row>
    <row r="1248" spans="1:8" x14ac:dyDescent="0.25">
      <c r="A1248" s="7">
        <v>44574</v>
      </c>
      <c r="B1248" s="8" t="s">
        <v>1543</v>
      </c>
      <c r="C1248" s="9" t="s">
        <v>56</v>
      </c>
      <c r="D1248" s="10">
        <v>8171.5</v>
      </c>
      <c r="E1248" s="11">
        <v>44574</v>
      </c>
      <c r="F1248" s="10">
        <v>8171.5</v>
      </c>
      <c r="G1248" s="12">
        <f>Tabla1[[#This Row],[Importe]]-Tabla1[[#This Row],[Pagado]]</f>
        <v>0</v>
      </c>
      <c r="H1248" s="9" t="s">
        <v>10</v>
      </c>
    </row>
    <row r="1249" spans="1:8" x14ac:dyDescent="0.25">
      <c r="A1249" s="7">
        <v>44574</v>
      </c>
      <c r="B1249" s="8" t="s">
        <v>1544</v>
      </c>
      <c r="C1249" s="9" t="s">
        <v>729</v>
      </c>
      <c r="D1249" s="10">
        <v>16650.5</v>
      </c>
      <c r="E1249" s="11">
        <v>44574</v>
      </c>
      <c r="F1249" s="10">
        <v>16650.5</v>
      </c>
      <c r="G1249" s="12">
        <f>Tabla1[[#This Row],[Importe]]-Tabla1[[#This Row],[Pagado]]</f>
        <v>0</v>
      </c>
      <c r="H1249" s="9" t="s">
        <v>10</v>
      </c>
    </row>
    <row r="1250" spans="1:8" x14ac:dyDescent="0.25">
      <c r="A1250" s="7">
        <v>44574</v>
      </c>
      <c r="B1250" s="8" t="s">
        <v>1545</v>
      </c>
      <c r="C1250" s="9" t="s">
        <v>67</v>
      </c>
      <c r="D1250" s="10">
        <v>2180</v>
      </c>
      <c r="E1250" s="11">
        <v>44574</v>
      </c>
      <c r="F1250" s="10">
        <v>2180</v>
      </c>
      <c r="G1250" s="12">
        <f>Tabla1[[#This Row],[Importe]]-Tabla1[[#This Row],[Pagado]]</f>
        <v>0</v>
      </c>
      <c r="H1250" s="9" t="s">
        <v>10</v>
      </c>
    </row>
    <row r="1251" spans="1:8" x14ac:dyDescent="0.25">
      <c r="A1251" s="7">
        <v>44574</v>
      </c>
      <c r="B1251" s="8" t="s">
        <v>1546</v>
      </c>
      <c r="C1251" s="9" t="s">
        <v>435</v>
      </c>
      <c r="D1251" s="10">
        <v>1670.8</v>
      </c>
      <c r="E1251" s="11">
        <v>44574</v>
      </c>
      <c r="F1251" s="10">
        <v>1670.8</v>
      </c>
      <c r="G1251" s="12">
        <f>Tabla1[[#This Row],[Importe]]-Tabla1[[#This Row],[Pagado]]</f>
        <v>0</v>
      </c>
      <c r="H1251" s="9" t="s">
        <v>10</v>
      </c>
    </row>
    <row r="1252" spans="1:8" x14ac:dyDescent="0.25">
      <c r="A1252" s="7">
        <v>44574</v>
      </c>
      <c r="B1252" s="8" t="s">
        <v>1547</v>
      </c>
      <c r="C1252" s="9" t="s">
        <v>269</v>
      </c>
      <c r="D1252" s="10">
        <v>2224.8000000000002</v>
      </c>
      <c r="E1252" s="11">
        <v>44574</v>
      </c>
      <c r="F1252" s="10">
        <v>2224.8000000000002</v>
      </c>
      <c r="G1252" s="12">
        <f>Tabla1[[#This Row],[Importe]]-Tabla1[[#This Row],[Pagado]]</f>
        <v>0</v>
      </c>
      <c r="H1252" s="9" t="s">
        <v>10</v>
      </c>
    </row>
    <row r="1253" spans="1:8" x14ac:dyDescent="0.25">
      <c r="A1253" s="7">
        <v>44574</v>
      </c>
      <c r="B1253" s="8" t="s">
        <v>1548</v>
      </c>
      <c r="C1253" s="9" t="s">
        <v>31</v>
      </c>
      <c r="D1253" s="10">
        <v>40</v>
      </c>
      <c r="E1253" s="11">
        <v>44574</v>
      </c>
      <c r="F1253" s="10">
        <v>40</v>
      </c>
      <c r="G1253" s="12">
        <f>Tabla1[[#This Row],[Importe]]-Tabla1[[#This Row],[Pagado]]</f>
        <v>0</v>
      </c>
      <c r="H1253" s="9" t="s">
        <v>10</v>
      </c>
    </row>
    <row r="1254" spans="1:8" x14ac:dyDescent="0.25">
      <c r="A1254" s="7">
        <v>44574</v>
      </c>
      <c r="B1254" s="8" t="s">
        <v>1549</v>
      </c>
      <c r="C1254" s="9" t="s">
        <v>31</v>
      </c>
      <c r="D1254" s="10">
        <v>204</v>
      </c>
      <c r="E1254" s="11">
        <v>44574</v>
      </c>
      <c r="F1254" s="10">
        <v>204</v>
      </c>
      <c r="G1254" s="12">
        <f>Tabla1[[#This Row],[Importe]]-Tabla1[[#This Row],[Pagado]]</f>
        <v>0</v>
      </c>
      <c r="H1254" s="9" t="s">
        <v>10</v>
      </c>
    </row>
    <row r="1255" spans="1:8" x14ac:dyDescent="0.25">
      <c r="A1255" s="7">
        <v>44574</v>
      </c>
      <c r="B1255" s="8" t="s">
        <v>1550</v>
      </c>
      <c r="C1255" s="9" t="s">
        <v>191</v>
      </c>
      <c r="D1255" s="10">
        <v>370.6</v>
      </c>
      <c r="E1255" s="11">
        <v>44574</v>
      </c>
      <c r="F1255" s="10">
        <v>370.6</v>
      </c>
      <c r="G1255" s="12">
        <f>Tabla1[[#This Row],[Importe]]-Tabla1[[#This Row],[Pagado]]</f>
        <v>0</v>
      </c>
      <c r="H1255" s="9" t="s">
        <v>10</v>
      </c>
    </row>
    <row r="1256" spans="1:8" x14ac:dyDescent="0.25">
      <c r="A1256" s="7">
        <v>44574</v>
      </c>
      <c r="B1256" s="8" t="s">
        <v>1551</v>
      </c>
      <c r="C1256" s="9" t="s">
        <v>31</v>
      </c>
      <c r="D1256" s="10">
        <v>608.6</v>
      </c>
      <c r="E1256" s="11">
        <v>44574</v>
      </c>
      <c r="F1256" s="10">
        <v>608.6</v>
      </c>
      <c r="G1256" s="12">
        <f>Tabla1[[#This Row],[Importe]]-Tabla1[[#This Row],[Pagado]]</f>
        <v>0</v>
      </c>
      <c r="H1256" s="9" t="s">
        <v>10</v>
      </c>
    </row>
    <row r="1257" spans="1:8" x14ac:dyDescent="0.25">
      <c r="A1257" s="7">
        <v>44574</v>
      </c>
      <c r="B1257" s="8" t="s">
        <v>1552</v>
      </c>
      <c r="C1257" s="9" t="s">
        <v>151</v>
      </c>
      <c r="D1257" s="10">
        <v>17061</v>
      </c>
      <c r="E1257" s="11">
        <v>44575</v>
      </c>
      <c r="F1257" s="10">
        <v>17061</v>
      </c>
      <c r="G1257" s="12">
        <f>Tabla1[[#This Row],[Importe]]-Tabla1[[#This Row],[Pagado]]</f>
        <v>0</v>
      </c>
      <c r="H1257" s="9" t="s">
        <v>10</v>
      </c>
    </row>
    <row r="1258" spans="1:8" x14ac:dyDescent="0.25">
      <c r="A1258" s="7">
        <v>44574</v>
      </c>
      <c r="B1258" s="8" t="s">
        <v>1553</v>
      </c>
      <c r="C1258" s="9" t="s">
        <v>454</v>
      </c>
      <c r="D1258" s="10">
        <v>3753.6</v>
      </c>
      <c r="E1258" s="11">
        <v>44574</v>
      </c>
      <c r="F1258" s="10">
        <v>3753.6</v>
      </c>
      <c r="G1258" s="12">
        <f>Tabla1[[#This Row],[Importe]]-Tabla1[[#This Row],[Pagado]]</f>
        <v>0</v>
      </c>
      <c r="H1258" s="9" t="s">
        <v>10</v>
      </c>
    </row>
    <row r="1259" spans="1:8" x14ac:dyDescent="0.25">
      <c r="A1259" s="7">
        <v>44574</v>
      </c>
      <c r="B1259" s="8" t="s">
        <v>1554</v>
      </c>
      <c r="C1259" s="9" t="s">
        <v>31</v>
      </c>
      <c r="D1259" s="10">
        <v>2142.4</v>
      </c>
      <c r="E1259" s="11">
        <v>44574</v>
      </c>
      <c r="F1259" s="10">
        <v>2142.4</v>
      </c>
      <c r="G1259" s="12">
        <f>Tabla1[[#This Row],[Importe]]-Tabla1[[#This Row],[Pagado]]</f>
        <v>0</v>
      </c>
      <c r="H1259" s="9" t="s">
        <v>10</v>
      </c>
    </row>
    <row r="1260" spans="1:8" x14ac:dyDescent="0.25">
      <c r="A1260" s="7">
        <v>44574</v>
      </c>
      <c r="B1260" s="8" t="s">
        <v>1555</v>
      </c>
      <c r="C1260" s="9" t="s">
        <v>214</v>
      </c>
      <c r="D1260" s="10">
        <v>887.8</v>
      </c>
      <c r="E1260" s="11">
        <v>44574</v>
      </c>
      <c r="F1260" s="10">
        <v>887.8</v>
      </c>
      <c r="G1260" s="12">
        <f>Tabla1[[#This Row],[Importe]]-Tabla1[[#This Row],[Pagado]]</f>
        <v>0</v>
      </c>
      <c r="H1260" s="9" t="s">
        <v>10</v>
      </c>
    </row>
    <row r="1261" spans="1:8" x14ac:dyDescent="0.25">
      <c r="A1261" s="7">
        <v>44574</v>
      </c>
      <c r="B1261" s="8" t="s">
        <v>1556</v>
      </c>
      <c r="C1261" s="9" t="s">
        <v>31</v>
      </c>
      <c r="D1261" s="10">
        <v>1680</v>
      </c>
      <c r="E1261" s="11">
        <v>44574</v>
      </c>
      <c r="F1261" s="10">
        <v>1680</v>
      </c>
      <c r="G1261" s="12">
        <f>Tabla1[[#This Row],[Importe]]-Tabla1[[#This Row],[Pagado]]</f>
        <v>0</v>
      </c>
      <c r="H1261" s="9" t="s">
        <v>10</v>
      </c>
    </row>
    <row r="1262" spans="1:8" x14ac:dyDescent="0.25">
      <c r="A1262" s="7">
        <v>44574</v>
      </c>
      <c r="B1262" s="8" t="s">
        <v>1557</v>
      </c>
      <c r="C1262" s="9" t="s">
        <v>1558</v>
      </c>
      <c r="D1262" s="10">
        <v>3996.2</v>
      </c>
      <c r="E1262" s="11">
        <v>44574</v>
      </c>
      <c r="F1262" s="10">
        <v>3996.2</v>
      </c>
      <c r="G1262" s="12">
        <f>Tabla1[[#This Row],[Importe]]-Tabla1[[#This Row],[Pagado]]</f>
        <v>0</v>
      </c>
      <c r="H1262" s="9" t="s">
        <v>10</v>
      </c>
    </row>
    <row r="1263" spans="1:8" x14ac:dyDescent="0.25">
      <c r="A1263" s="7">
        <v>44574</v>
      </c>
      <c r="B1263" s="8" t="s">
        <v>1559</v>
      </c>
      <c r="C1263" s="9" t="s">
        <v>53</v>
      </c>
      <c r="D1263" s="10">
        <v>868.8</v>
      </c>
      <c r="E1263" s="11">
        <v>44574</v>
      </c>
      <c r="F1263" s="10">
        <v>868.8</v>
      </c>
      <c r="G1263" s="12">
        <f>Tabla1[[#This Row],[Importe]]-Tabla1[[#This Row],[Pagado]]</f>
        <v>0</v>
      </c>
      <c r="H1263" s="9" t="s">
        <v>10</v>
      </c>
    </row>
    <row r="1264" spans="1:8" x14ac:dyDescent="0.25">
      <c r="A1264" s="7">
        <v>44574</v>
      </c>
      <c r="B1264" s="8" t="s">
        <v>1560</v>
      </c>
      <c r="C1264" s="9" t="s">
        <v>583</v>
      </c>
      <c r="D1264" s="10">
        <v>3978.8</v>
      </c>
      <c r="E1264" s="11">
        <v>44574</v>
      </c>
      <c r="F1264" s="10">
        <v>3978.8</v>
      </c>
      <c r="G1264" s="12">
        <f>Tabla1[[#This Row],[Importe]]-Tabla1[[#This Row],[Pagado]]</f>
        <v>0</v>
      </c>
      <c r="H1264" s="9" t="s">
        <v>10</v>
      </c>
    </row>
    <row r="1265" spans="1:8" x14ac:dyDescent="0.25">
      <c r="A1265" s="7">
        <v>44575</v>
      </c>
      <c r="B1265" s="8" t="s">
        <v>1561</v>
      </c>
      <c r="C1265" s="9" t="s">
        <v>83</v>
      </c>
      <c r="D1265" s="10">
        <v>4391</v>
      </c>
      <c r="E1265" s="11">
        <v>44575</v>
      </c>
      <c r="F1265" s="10">
        <v>4391</v>
      </c>
      <c r="G1265" s="12">
        <f>Tabla1[[#This Row],[Importe]]-Tabla1[[#This Row],[Pagado]]</f>
        <v>0</v>
      </c>
      <c r="H1265" s="9" t="s">
        <v>10</v>
      </c>
    </row>
    <row r="1266" spans="1:8" x14ac:dyDescent="0.25">
      <c r="A1266" s="7">
        <v>44575</v>
      </c>
      <c r="B1266" s="8" t="s">
        <v>1562</v>
      </c>
      <c r="C1266" s="9" t="s">
        <v>475</v>
      </c>
      <c r="D1266" s="10">
        <v>27950.400000000001</v>
      </c>
      <c r="E1266" s="11">
        <v>44576</v>
      </c>
      <c r="F1266" s="10">
        <v>27950.400000000001</v>
      </c>
      <c r="G1266" s="12">
        <f>Tabla1[[#This Row],[Importe]]-Tabla1[[#This Row],[Pagado]]</f>
        <v>0</v>
      </c>
      <c r="H1266" s="9" t="s">
        <v>10</v>
      </c>
    </row>
    <row r="1267" spans="1:8" x14ac:dyDescent="0.25">
      <c r="A1267" s="7">
        <v>44575</v>
      </c>
      <c r="B1267" s="8" t="s">
        <v>1563</v>
      </c>
      <c r="C1267" s="9" t="s">
        <v>75</v>
      </c>
      <c r="D1267" s="10">
        <v>5451</v>
      </c>
      <c r="E1267" s="11">
        <v>44575</v>
      </c>
      <c r="F1267" s="10">
        <v>5451</v>
      </c>
      <c r="G1267" s="12">
        <f>Tabla1[[#This Row],[Importe]]-Tabla1[[#This Row],[Pagado]]</f>
        <v>0</v>
      </c>
      <c r="H1267" s="9" t="s">
        <v>10</v>
      </c>
    </row>
    <row r="1268" spans="1:8" x14ac:dyDescent="0.25">
      <c r="A1268" s="7">
        <v>44575</v>
      </c>
      <c r="B1268" s="8" t="s">
        <v>1564</v>
      </c>
      <c r="C1268" s="9" t="s">
        <v>473</v>
      </c>
      <c r="D1268" s="10">
        <v>10517.7</v>
      </c>
      <c r="E1268" s="11">
        <v>44575</v>
      </c>
      <c r="F1268" s="10">
        <v>10517.7</v>
      </c>
      <c r="G1268" s="12">
        <f>Tabla1[[#This Row],[Importe]]-Tabla1[[#This Row],[Pagado]]</f>
        <v>0</v>
      </c>
      <c r="H1268" s="9" t="s">
        <v>10</v>
      </c>
    </row>
    <row r="1269" spans="1:8" x14ac:dyDescent="0.25">
      <c r="A1269" s="7">
        <v>44575</v>
      </c>
      <c r="B1269" s="8" t="s">
        <v>1565</v>
      </c>
      <c r="C1269" s="9" t="s">
        <v>85</v>
      </c>
      <c r="D1269" s="10">
        <v>1322.8</v>
      </c>
      <c r="E1269" s="11">
        <v>44575</v>
      </c>
      <c r="F1269" s="10">
        <v>1322.8</v>
      </c>
      <c r="G1269" s="12">
        <f>Tabla1[[#This Row],[Importe]]-Tabla1[[#This Row],[Pagado]]</f>
        <v>0</v>
      </c>
      <c r="H1269" s="9" t="s">
        <v>10</v>
      </c>
    </row>
    <row r="1270" spans="1:8" x14ac:dyDescent="0.25">
      <c r="A1270" s="7">
        <v>44575</v>
      </c>
      <c r="B1270" s="8" t="s">
        <v>1566</v>
      </c>
      <c r="C1270" s="9" t="s">
        <v>212</v>
      </c>
      <c r="D1270" s="10">
        <v>34932.6</v>
      </c>
      <c r="E1270" s="11">
        <v>44579</v>
      </c>
      <c r="F1270" s="10">
        <v>34932.6</v>
      </c>
      <c r="G1270" s="12">
        <f>Tabla1[[#This Row],[Importe]]-Tabla1[[#This Row],[Pagado]]</f>
        <v>0</v>
      </c>
      <c r="H1270" s="9" t="s">
        <v>10</v>
      </c>
    </row>
    <row r="1271" spans="1:8" x14ac:dyDescent="0.25">
      <c r="A1271" s="7">
        <v>44575</v>
      </c>
      <c r="B1271" s="8" t="s">
        <v>1567</v>
      </c>
      <c r="C1271" s="9" t="s">
        <v>87</v>
      </c>
      <c r="D1271" s="10">
        <v>2104.4</v>
      </c>
      <c r="E1271" s="11">
        <v>44575</v>
      </c>
      <c r="F1271" s="10">
        <v>2104.4</v>
      </c>
      <c r="G1271" s="12">
        <f>Tabla1[[#This Row],[Importe]]-Tabla1[[#This Row],[Pagado]]</f>
        <v>0</v>
      </c>
      <c r="H1271" s="9" t="s">
        <v>10</v>
      </c>
    </row>
    <row r="1272" spans="1:8" x14ac:dyDescent="0.25">
      <c r="A1272" s="7">
        <v>44575</v>
      </c>
      <c r="B1272" s="8" t="s">
        <v>1568</v>
      </c>
      <c r="C1272" s="9" t="s">
        <v>251</v>
      </c>
      <c r="D1272" s="10">
        <v>810.4</v>
      </c>
      <c r="E1272" s="11">
        <v>44575</v>
      </c>
      <c r="F1272" s="10">
        <v>810.4</v>
      </c>
      <c r="G1272" s="12">
        <f>Tabla1[[#This Row],[Importe]]-Tabla1[[#This Row],[Pagado]]</f>
        <v>0</v>
      </c>
      <c r="H1272" s="9" t="s">
        <v>10</v>
      </c>
    </row>
    <row r="1273" spans="1:8" x14ac:dyDescent="0.25">
      <c r="A1273" s="7">
        <v>44575</v>
      </c>
      <c r="B1273" s="8" t="s">
        <v>1569</v>
      </c>
      <c r="C1273" s="9" t="s">
        <v>314</v>
      </c>
      <c r="D1273" s="10">
        <v>2258.6</v>
      </c>
      <c r="E1273" s="11">
        <v>44575</v>
      </c>
      <c r="F1273" s="10">
        <v>2258.6</v>
      </c>
      <c r="G1273" s="12">
        <f>Tabla1[[#This Row],[Importe]]-Tabla1[[#This Row],[Pagado]]</f>
        <v>0</v>
      </c>
      <c r="H1273" s="9" t="s">
        <v>10</v>
      </c>
    </row>
    <row r="1274" spans="1:8" x14ac:dyDescent="0.25">
      <c r="A1274" s="7">
        <v>44575</v>
      </c>
      <c r="B1274" s="8" t="s">
        <v>1570</v>
      </c>
      <c r="C1274" s="9" t="s">
        <v>12</v>
      </c>
      <c r="D1274" s="10">
        <v>14875.75</v>
      </c>
      <c r="E1274" s="11">
        <v>44575</v>
      </c>
      <c r="F1274" s="10">
        <v>14875.75</v>
      </c>
      <c r="G1274" s="12">
        <f>Tabla1[[#This Row],[Importe]]-Tabla1[[#This Row],[Pagado]]</f>
        <v>0</v>
      </c>
      <c r="H1274" s="9" t="s">
        <v>10</v>
      </c>
    </row>
    <row r="1275" spans="1:8" x14ac:dyDescent="0.25">
      <c r="A1275" s="7">
        <v>44575</v>
      </c>
      <c r="B1275" s="8" t="s">
        <v>1571</v>
      </c>
      <c r="C1275" s="9" t="s">
        <v>95</v>
      </c>
      <c r="D1275" s="10">
        <v>12020.8</v>
      </c>
      <c r="E1275" s="11">
        <v>44575</v>
      </c>
      <c r="F1275" s="10">
        <v>12020.8</v>
      </c>
      <c r="G1275" s="12">
        <f>Tabla1[[#This Row],[Importe]]-Tabla1[[#This Row],[Pagado]]</f>
        <v>0</v>
      </c>
      <c r="H1275" s="9" t="s">
        <v>10</v>
      </c>
    </row>
    <row r="1276" spans="1:8" x14ac:dyDescent="0.25">
      <c r="A1276" s="7">
        <v>44575</v>
      </c>
      <c r="B1276" s="8" t="s">
        <v>1572</v>
      </c>
      <c r="C1276" s="9" t="s">
        <v>111</v>
      </c>
      <c r="D1276" s="10">
        <v>4158</v>
      </c>
      <c r="E1276" s="11">
        <v>44576</v>
      </c>
      <c r="F1276" s="10">
        <v>4158</v>
      </c>
      <c r="G1276" s="12">
        <f>Tabla1[[#This Row],[Importe]]-Tabla1[[#This Row],[Pagado]]</f>
        <v>0</v>
      </c>
      <c r="H1276" s="9" t="s">
        <v>10</v>
      </c>
    </row>
    <row r="1277" spans="1:8" x14ac:dyDescent="0.25">
      <c r="A1277" s="7">
        <v>44575</v>
      </c>
      <c r="B1277" s="8" t="s">
        <v>1573</v>
      </c>
      <c r="C1277" s="9" t="s">
        <v>109</v>
      </c>
      <c r="D1277" s="10">
        <v>4860</v>
      </c>
      <c r="E1277" s="11">
        <v>44575</v>
      </c>
      <c r="F1277" s="10">
        <v>4860</v>
      </c>
      <c r="G1277" s="12">
        <f>Tabla1[[#This Row],[Importe]]-Tabla1[[#This Row],[Pagado]]</f>
        <v>0</v>
      </c>
      <c r="H1277" s="9" t="s">
        <v>10</v>
      </c>
    </row>
    <row r="1278" spans="1:8" x14ac:dyDescent="0.25">
      <c r="A1278" s="7">
        <v>44575</v>
      </c>
      <c r="B1278" s="8" t="s">
        <v>1574</v>
      </c>
      <c r="C1278" s="9" t="s">
        <v>64</v>
      </c>
      <c r="D1278" s="10">
        <v>5415.7</v>
      </c>
      <c r="E1278" s="11">
        <v>44576</v>
      </c>
      <c r="F1278" s="10">
        <v>5415.7</v>
      </c>
      <c r="G1278" s="12">
        <f>Tabla1[[#This Row],[Importe]]-Tabla1[[#This Row],[Pagado]]</f>
        <v>0</v>
      </c>
      <c r="H1278" s="9" t="s">
        <v>10</v>
      </c>
    </row>
    <row r="1279" spans="1:8" x14ac:dyDescent="0.25">
      <c r="A1279" s="7">
        <v>44575</v>
      </c>
      <c r="B1279" s="8" t="s">
        <v>1575</v>
      </c>
      <c r="C1279" s="9" t="s">
        <v>9</v>
      </c>
      <c r="D1279" s="10">
        <v>3605.5</v>
      </c>
      <c r="E1279" s="11">
        <v>44575</v>
      </c>
      <c r="F1279" s="10">
        <v>3605.5</v>
      </c>
      <c r="G1279" s="12">
        <f>Tabla1[[#This Row],[Importe]]-Tabla1[[#This Row],[Pagado]]</f>
        <v>0</v>
      </c>
      <c r="H1279" s="9" t="s">
        <v>10</v>
      </c>
    </row>
    <row r="1280" spans="1:8" x14ac:dyDescent="0.25">
      <c r="A1280" s="7">
        <v>44575</v>
      </c>
      <c r="B1280" s="8" t="s">
        <v>1576</v>
      </c>
      <c r="C1280" s="9" t="s">
        <v>353</v>
      </c>
      <c r="D1280" s="10">
        <v>1502.8</v>
      </c>
      <c r="E1280" s="11">
        <v>44575</v>
      </c>
      <c r="F1280" s="10">
        <v>1502.8</v>
      </c>
      <c r="G1280" s="12">
        <f>Tabla1[[#This Row],[Importe]]-Tabla1[[#This Row],[Pagado]]</f>
        <v>0</v>
      </c>
      <c r="H1280" s="9" t="s">
        <v>10</v>
      </c>
    </row>
    <row r="1281" spans="1:8" x14ac:dyDescent="0.25">
      <c r="A1281" s="7">
        <v>44575</v>
      </c>
      <c r="B1281" s="8" t="s">
        <v>1577</v>
      </c>
      <c r="C1281" s="9" t="s">
        <v>47</v>
      </c>
      <c r="D1281" s="10">
        <v>39518.639999999999</v>
      </c>
      <c r="E1281" s="11">
        <v>44575</v>
      </c>
      <c r="F1281" s="10">
        <v>39518.639999999999</v>
      </c>
      <c r="G1281" s="12">
        <f>Tabla1[[#This Row],[Importe]]-Tabla1[[#This Row],[Pagado]]</f>
        <v>0</v>
      </c>
      <c r="H1281" s="9" t="s">
        <v>10</v>
      </c>
    </row>
    <row r="1282" spans="1:8" x14ac:dyDescent="0.25">
      <c r="A1282" s="7">
        <v>44575</v>
      </c>
      <c r="B1282" s="8" t="s">
        <v>1578</v>
      </c>
      <c r="C1282" s="9" t="s">
        <v>348</v>
      </c>
      <c r="D1282" s="10">
        <v>2069.1</v>
      </c>
      <c r="E1282" s="11">
        <v>44575</v>
      </c>
      <c r="F1282" s="10">
        <v>2069.1</v>
      </c>
      <c r="G1282" s="12">
        <f>Tabla1[[#This Row],[Importe]]-Tabla1[[#This Row],[Pagado]]</f>
        <v>0</v>
      </c>
      <c r="H1282" s="9" t="s">
        <v>10</v>
      </c>
    </row>
    <row r="1283" spans="1:8" x14ac:dyDescent="0.25">
      <c r="A1283" s="7">
        <v>44575</v>
      </c>
      <c r="B1283" s="8" t="s">
        <v>1579</v>
      </c>
      <c r="C1283" s="9" t="s">
        <v>18</v>
      </c>
      <c r="D1283" s="10">
        <v>1604.8</v>
      </c>
      <c r="E1283" s="11">
        <v>44575</v>
      </c>
      <c r="F1283" s="10">
        <v>1604.8</v>
      </c>
      <c r="G1283" s="12">
        <f>Tabla1[[#This Row],[Importe]]-Tabla1[[#This Row],[Pagado]]</f>
        <v>0</v>
      </c>
      <c r="H1283" s="9" t="s">
        <v>10</v>
      </c>
    </row>
    <row r="1284" spans="1:8" x14ac:dyDescent="0.25">
      <c r="A1284" s="7">
        <v>44575</v>
      </c>
      <c r="B1284" s="8" t="s">
        <v>1580</v>
      </c>
      <c r="C1284" s="9" t="s">
        <v>154</v>
      </c>
      <c r="D1284" s="10">
        <v>49500</v>
      </c>
      <c r="E1284" s="11">
        <v>44582</v>
      </c>
      <c r="F1284" s="10">
        <v>49500</v>
      </c>
      <c r="G1284" s="12">
        <f>Tabla1[[#This Row],[Importe]]-Tabla1[[#This Row],[Pagado]]</f>
        <v>0</v>
      </c>
      <c r="H1284" s="9" t="s">
        <v>10</v>
      </c>
    </row>
    <row r="1285" spans="1:8" x14ac:dyDescent="0.25">
      <c r="A1285" s="7">
        <v>44575</v>
      </c>
      <c r="B1285" s="8" t="s">
        <v>1581</v>
      </c>
      <c r="C1285" s="9" t="s">
        <v>105</v>
      </c>
      <c r="D1285" s="10">
        <v>12841.7</v>
      </c>
      <c r="E1285" s="11">
        <v>44578</v>
      </c>
      <c r="F1285" s="10">
        <v>12841.7</v>
      </c>
      <c r="G1285" s="12">
        <f>Tabla1[[#This Row],[Importe]]-Tabla1[[#This Row],[Pagado]]</f>
        <v>0</v>
      </c>
      <c r="H1285" s="9" t="s">
        <v>10</v>
      </c>
    </row>
    <row r="1286" spans="1:8" x14ac:dyDescent="0.25">
      <c r="A1286" s="7">
        <v>44575</v>
      </c>
      <c r="B1286" s="8" t="s">
        <v>1582</v>
      </c>
      <c r="C1286" s="9" t="s">
        <v>97</v>
      </c>
      <c r="D1286" s="10">
        <v>14607.5</v>
      </c>
      <c r="E1286" s="11">
        <v>44576</v>
      </c>
      <c r="F1286" s="10">
        <v>14607.5</v>
      </c>
      <c r="G1286" s="12">
        <f>Tabla1[[#This Row],[Importe]]-Tabla1[[#This Row],[Pagado]]</f>
        <v>0</v>
      </c>
      <c r="H1286" s="9" t="s">
        <v>10</v>
      </c>
    </row>
    <row r="1287" spans="1:8" ht="30" x14ac:dyDescent="0.25">
      <c r="A1287" s="7">
        <v>44575</v>
      </c>
      <c r="B1287" s="8" t="s">
        <v>1583</v>
      </c>
      <c r="C1287" s="9" t="s">
        <v>39</v>
      </c>
      <c r="D1287" s="10">
        <v>25761.599999999999</v>
      </c>
      <c r="E1287" s="11" t="s">
        <v>1584</v>
      </c>
      <c r="F1287" s="10">
        <f>3000+22761.6</f>
        <v>25761.599999999999</v>
      </c>
      <c r="G1287" s="12">
        <f>Tabla1[[#This Row],[Importe]]-Tabla1[[#This Row],[Pagado]]</f>
        <v>0</v>
      </c>
      <c r="H1287" s="9" t="s">
        <v>10</v>
      </c>
    </row>
    <row r="1288" spans="1:8" ht="30" x14ac:dyDescent="0.25">
      <c r="A1288" s="7">
        <v>44575</v>
      </c>
      <c r="B1288" s="8" t="s">
        <v>1585</v>
      </c>
      <c r="C1288" s="9" t="s">
        <v>22</v>
      </c>
      <c r="D1288" s="10">
        <v>32441.5</v>
      </c>
      <c r="E1288" s="11" t="s">
        <v>1586</v>
      </c>
      <c r="F1288" s="10">
        <f>19000+13441.5</f>
        <v>32441.5</v>
      </c>
      <c r="G1288" s="12">
        <f>Tabla1[[#This Row],[Importe]]-Tabla1[[#This Row],[Pagado]]</f>
        <v>0</v>
      </c>
      <c r="H1288" s="9" t="s">
        <v>10</v>
      </c>
    </row>
    <row r="1289" spans="1:8" x14ac:dyDescent="0.25">
      <c r="A1289" s="7">
        <v>44575</v>
      </c>
      <c r="B1289" s="8" t="s">
        <v>1587</v>
      </c>
      <c r="C1289" s="9" t="s">
        <v>114</v>
      </c>
      <c r="D1289" s="10">
        <v>5011.2</v>
      </c>
      <c r="E1289" s="11">
        <v>44576</v>
      </c>
      <c r="F1289" s="10">
        <v>5011.2</v>
      </c>
      <c r="G1289" s="12">
        <f>Tabla1[[#This Row],[Importe]]-Tabla1[[#This Row],[Pagado]]</f>
        <v>0</v>
      </c>
      <c r="H1289" s="9" t="s">
        <v>10</v>
      </c>
    </row>
    <row r="1290" spans="1:8" x14ac:dyDescent="0.25">
      <c r="A1290" s="7">
        <v>44575</v>
      </c>
      <c r="B1290" s="8" t="s">
        <v>1588</v>
      </c>
      <c r="C1290" s="9" t="s">
        <v>131</v>
      </c>
      <c r="D1290" s="10">
        <v>13027.2</v>
      </c>
      <c r="E1290" s="11">
        <v>44575</v>
      </c>
      <c r="F1290" s="10">
        <v>13027.2</v>
      </c>
      <c r="G1290" s="12">
        <f>Tabla1[[#This Row],[Importe]]-Tabla1[[#This Row],[Pagado]]</f>
        <v>0</v>
      </c>
      <c r="H1290" s="9" t="s">
        <v>10</v>
      </c>
    </row>
    <row r="1291" spans="1:8" x14ac:dyDescent="0.25">
      <c r="A1291" s="7">
        <v>44575</v>
      </c>
      <c r="B1291" s="8" t="s">
        <v>1589</v>
      </c>
      <c r="C1291" s="9" t="s">
        <v>99</v>
      </c>
      <c r="D1291" s="10">
        <v>1974</v>
      </c>
      <c r="E1291" s="11">
        <v>44576</v>
      </c>
      <c r="F1291" s="10">
        <v>1974</v>
      </c>
      <c r="G1291" s="12">
        <f>Tabla1[[#This Row],[Importe]]-Tabla1[[#This Row],[Pagado]]</f>
        <v>0</v>
      </c>
      <c r="H1291" s="9" t="s">
        <v>10</v>
      </c>
    </row>
    <row r="1292" spans="1:8" x14ac:dyDescent="0.25">
      <c r="A1292" s="7">
        <v>44575</v>
      </c>
      <c r="B1292" s="8" t="s">
        <v>1590</v>
      </c>
      <c r="C1292" s="9" t="s">
        <v>89</v>
      </c>
      <c r="D1292" s="10">
        <v>2504.6999999999998</v>
      </c>
      <c r="E1292" s="11">
        <v>44576</v>
      </c>
      <c r="F1292" s="10">
        <v>2504.6999999999998</v>
      </c>
      <c r="G1292" s="12">
        <f>Tabla1[[#This Row],[Importe]]-Tabla1[[#This Row],[Pagado]]</f>
        <v>0</v>
      </c>
      <c r="H1292" s="9" t="s">
        <v>10</v>
      </c>
    </row>
    <row r="1293" spans="1:8" x14ac:dyDescent="0.25">
      <c r="A1293" s="7">
        <v>44575</v>
      </c>
      <c r="B1293" s="8" t="s">
        <v>1591</v>
      </c>
      <c r="C1293" s="9" t="s">
        <v>93</v>
      </c>
      <c r="D1293" s="10">
        <v>5396</v>
      </c>
      <c r="E1293" s="11">
        <v>44576</v>
      </c>
      <c r="F1293" s="10">
        <v>5396</v>
      </c>
      <c r="G1293" s="12">
        <f>Tabla1[[#This Row],[Importe]]-Tabla1[[#This Row],[Pagado]]</f>
        <v>0</v>
      </c>
      <c r="H1293" s="9" t="s">
        <v>10</v>
      </c>
    </row>
    <row r="1294" spans="1:8" x14ac:dyDescent="0.25">
      <c r="A1294" s="7">
        <v>44575</v>
      </c>
      <c r="B1294" s="8" t="s">
        <v>1592</v>
      </c>
      <c r="C1294" s="9" t="s">
        <v>208</v>
      </c>
      <c r="D1294" s="10">
        <v>16765.5</v>
      </c>
      <c r="E1294" s="11">
        <v>44587</v>
      </c>
      <c r="F1294" s="10">
        <v>16765.5</v>
      </c>
      <c r="G1294" s="12">
        <f>Tabla1[[#This Row],[Importe]]-Tabla1[[#This Row],[Pagado]]</f>
        <v>0</v>
      </c>
      <c r="H1294" s="9" t="s">
        <v>10</v>
      </c>
    </row>
    <row r="1295" spans="1:8" x14ac:dyDescent="0.25">
      <c r="A1295" s="7">
        <v>44575</v>
      </c>
      <c r="B1295" s="8" t="s">
        <v>1593</v>
      </c>
      <c r="C1295" s="9" t="s">
        <v>407</v>
      </c>
      <c r="D1295" s="10">
        <v>12062.4</v>
      </c>
      <c r="E1295" s="11">
        <v>44607</v>
      </c>
      <c r="F1295" s="10">
        <v>12062.4</v>
      </c>
      <c r="G1295" s="12">
        <f>Tabla1[[#This Row],[Importe]]-Tabla1[[#This Row],[Pagado]]</f>
        <v>0</v>
      </c>
      <c r="H1295" s="9" t="s">
        <v>10</v>
      </c>
    </row>
    <row r="1296" spans="1:8" x14ac:dyDescent="0.25">
      <c r="A1296" s="7">
        <v>44575</v>
      </c>
      <c r="B1296" s="8" t="s">
        <v>1594</v>
      </c>
      <c r="C1296" s="9" t="s">
        <v>198</v>
      </c>
      <c r="D1296" s="10">
        <v>684.8</v>
      </c>
      <c r="E1296" s="11">
        <v>44575</v>
      </c>
      <c r="F1296" s="10">
        <v>684.8</v>
      </c>
      <c r="G1296" s="12">
        <f>Tabla1[[#This Row],[Importe]]-Tabla1[[#This Row],[Pagado]]</f>
        <v>0</v>
      </c>
      <c r="H1296" s="9" t="s">
        <v>10</v>
      </c>
    </row>
    <row r="1297" spans="1:8" x14ac:dyDescent="0.25">
      <c r="A1297" s="7">
        <v>44575</v>
      </c>
      <c r="B1297" s="8" t="s">
        <v>1595</v>
      </c>
      <c r="C1297" s="9" t="s">
        <v>924</v>
      </c>
      <c r="D1297" s="10">
        <v>11666</v>
      </c>
      <c r="E1297" s="11">
        <v>44575</v>
      </c>
      <c r="F1297" s="10">
        <v>11666</v>
      </c>
      <c r="G1297" s="12">
        <f>Tabla1[[#This Row],[Importe]]-Tabla1[[#This Row],[Pagado]]</f>
        <v>0</v>
      </c>
      <c r="H1297" s="9" t="s">
        <v>10</v>
      </c>
    </row>
    <row r="1298" spans="1:8" x14ac:dyDescent="0.25">
      <c r="A1298" s="7">
        <v>44575</v>
      </c>
      <c r="B1298" s="8" t="s">
        <v>1596</v>
      </c>
      <c r="C1298" s="9" t="s">
        <v>206</v>
      </c>
      <c r="D1298" s="10">
        <v>34049.199999999997</v>
      </c>
      <c r="E1298" s="11">
        <v>44582</v>
      </c>
      <c r="F1298" s="10">
        <v>34049.199999999997</v>
      </c>
      <c r="G1298" s="12">
        <f>Tabla1[[#This Row],[Importe]]-Tabla1[[#This Row],[Pagado]]</f>
        <v>0</v>
      </c>
      <c r="H1298" s="9" t="s">
        <v>10</v>
      </c>
    </row>
    <row r="1299" spans="1:8" x14ac:dyDescent="0.25">
      <c r="A1299" s="7">
        <v>44575</v>
      </c>
      <c r="B1299" s="8" t="s">
        <v>1597</v>
      </c>
      <c r="C1299" s="9" t="s">
        <v>35</v>
      </c>
      <c r="D1299" s="10">
        <v>2644.8</v>
      </c>
      <c r="E1299" s="11">
        <v>44575</v>
      </c>
      <c r="F1299" s="10">
        <v>2644.8</v>
      </c>
      <c r="G1299" s="12">
        <f>Tabla1[[#This Row],[Importe]]-Tabla1[[#This Row],[Pagado]]</f>
        <v>0</v>
      </c>
      <c r="H1299" s="9" t="s">
        <v>10</v>
      </c>
    </row>
    <row r="1300" spans="1:8" x14ac:dyDescent="0.25">
      <c r="A1300" s="7">
        <v>44575</v>
      </c>
      <c r="B1300" s="8" t="s">
        <v>1598</v>
      </c>
      <c r="C1300" s="9" t="s">
        <v>146</v>
      </c>
      <c r="D1300" s="10">
        <v>1588.6</v>
      </c>
      <c r="E1300" s="11">
        <v>44575</v>
      </c>
      <c r="F1300" s="10">
        <v>1588.6</v>
      </c>
      <c r="G1300" s="12">
        <f>Tabla1[[#This Row],[Importe]]-Tabla1[[#This Row],[Pagado]]</f>
        <v>0</v>
      </c>
      <c r="H1300" s="9" t="s">
        <v>10</v>
      </c>
    </row>
    <row r="1301" spans="1:8" x14ac:dyDescent="0.25">
      <c r="A1301" s="7">
        <v>44575</v>
      </c>
      <c r="B1301" s="8" t="s">
        <v>1599</v>
      </c>
      <c r="C1301" s="9" t="s">
        <v>357</v>
      </c>
      <c r="D1301" s="10">
        <v>724.8</v>
      </c>
      <c r="E1301" s="11">
        <v>44575</v>
      </c>
      <c r="F1301" s="10">
        <v>724.8</v>
      </c>
      <c r="G1301" s="12">
        <f>Tabla1[[#This Row],[Importe]]-Tabla1[[#This Row],[Pagado]]</f>
        <v>0</v>
      </c>
      <c r="H1301" s="9" t="s">
        <v>10</v>
      </c>
    </row>
    <row r="1302" spans="1:8" x14ac:dyDescent="0.25">
      <c r="A1302" s="7">
        <v>44575</v>
      </c>
      <c r="B1302" s="8" t="s">
        <v>1600</v>
      </c>
      <c r="C1302" s="9" t="s">
        <v>129</v>
      </c>
      <c r="D1302" s="10">
        <v>1200</v>
      </c>
      <c r="E1302" s="11">
        <v>44575</v>
      </c>
      <c r="F1302" s="10">
        <v>1200</v>
      </c>
      <c r="G1302" s="12">
        <f>Tabla1[[#This Row],[Importe]]-Tabla1[[#This Row],[Pagado]]</f>
        <v>0</v>
      </c>
      <c r="H1302" s="9" t="s">
        <v>10</v>
      </c>
    </row>
    <row r="1303" spans="1:8" x14ac:dyDescent="0.25">
      <c r="A1303" s="7">
        <v>44575</v>
      </c>
      <c r="B1303" s="8" t="s">
        <v>1601</v>
      </c>
      <c r="C1303" s="9" t="s">
        <v>196</v>
      </c>
      <c r="D1303" s="10">
        <v>700</v>
      </c>
      <c r="E1303" s="11">
        <v>44575</v>
      </c>
      <c r="F1303" s="10">
        <v>700</v>
      </c>
      <c r="G1303" s="12">
        <f>Tabla1[[#This Row],[Importe]]-Tabla1[[#This Row],[Pagado]]</f>
        <v>0</v>
      </c>
      <c r="H1303" s="9" t="s">
        <v>10</v>
      </c>
    </row>
    <row r="1304" spans="1:8" x14ac:dyDescent="0.25">
      <c r="A1304" s="7">
        <v>44575</v>
      </c>
      <c r="B1304" s="8" t="s">
        <v>1602</v>
      </c>
      <c r="C1304" s="9" t="s">
        <v>31</v>
      </c>
      <c r="D1304" s="10">
        <v>4108.8</v>
      </c>
      <c r="E1304" s="11">
        <v>44575</v>
      </c>
      <c r="F1304" s="10">
        <v>4108.8</v>
      </c>
      <c r="G1304" s="12">
        <f>Tabla1[[#This Row],[Importe]]-Tabla1[[#This Row],[Pagado]]</f>
        <v>0</v>
      </c>
      <c r="H1304" s="9" t="s">
        <v>10</v>
      </c>
    </row>
    <row r="1305" spans="1:8" x14ac:dyDescent="0.25">
      <c r="A1305" s="7">
        <v>44575</v>
      </c>
      <c r="B1305" s="8" t="s">
        <v>1603</v>
      </c>
      <c r="C1305" s="9" t="s">
        <v>142</v>
      </c>
      <c r="D1305" s="10">
        <v>53381.2</v>
      </c>
      <c r="E1305" s="11">
        <v>44589</v>
      </c>
      <c r="F1305" s="10">
        <v>53381.2</v>
      </c>
      <c r="G1305" s="12">
        <f>Tabla1[[#This Row],[Importe]]-Tabla1[[#This Row],[Pagado]]</f>
        <v>0</v>
      </c>
      <c r="H1305" s="9" t="s">
        <v>10</v>
      </c>
    </row>
    <row r="1306" spans="1:8" x14ac:dyDescent="0.25">
      <c r="A1306" s="7">
        <v>44575</v>
      </c>
      <c r="B1306" s="8" t="s">
        <v>1604</v>
      </c>
      <c r="C1306" s="9" t="s">
        <v>31</v>
      </c>
      <c r="D1306" s="10">
        <v>399</v>
      </c>
      <c r="E1306" s="11">
        <v>44575</v>
      </c>
      <c r="F1306" s="10">
        <v>399</v>
      </c>
      <c r="G1306" s="12">
        <f>Tabla1[[#This Row],[Importe]]-Tabla1[[#This Row],[Pagado]]</f>
        <v>0</v>
      </c>
      <c r="H1306" s="9" t="s">
        <v>10</v>
      </c>
    </row>
    <row r="1307" spans="1:8" x14ac:dyDescent="0.25">
      <c r="A1307" s="7">
        <v>44575</v>
      </c>
      <c r="B1307" s="8" t="s">
        <v>1605</v>
      </c>
      <c r="C1307" s="9" t="s">
        <v>161</v>
      </c>
      <c r="D1307" s="10">
        <v>4139.1000000000004</v>
      </c>
      <c r="E1307" s="11">
        <v>44575</v>
      </c>
      <c r="F1307" s="10">
        <v>4139.1000000000004</v>
      </c>
      <c r="G1307" s="12">
        <f>Tabla1[[#This Row],[Importe]]-Tabla1[[#This Row],[Pagado]]</f>
        <v>0</v>
      </c>
      <c r="H1307" s="9" t="s">
        <v>10</v>
      </c>
    </row>
    <row r="1308" spans="1:8" x14ac:dyDescent="0.25">
      <c r="A1308" s="7">
        <v>44575</v>
      </c>
      <c r="B1308" s="8" t="s">
        <v>1606</v>
      </c>
      <c r="C1308" s="9" t="s">
        <v>29</v>
      </c>
      <c r="D1308" s="10">
        <v>5290</v>
      </c>
      <c r="E1308" s="11">
        <v>44575</v>
      </c>
      <c r="F1308" s="10">
        <v>5290</v>
      </c>
      <c r="G1308" s="12">
        <f>Tabla1[[#This Row],[Importe]]-Tabla1[[#This Row],[Pagado]]</f>
        <v>0</v>
      </c>
      <c r="H1308" s="9" t="s">
        <v>10</v>
      </c>
    </row>
    <row r="1309" spans="1:8" x14ac:dyDescent="0.25">
      <c r="A1309" s="7">
        <v>44575</v>
      </c>
      <c r="B1309" s="8" t="s">
        <v>1607</v>
      </c>
      <c r="C1309" s="9" t="s">
        <v>373</v>
      </c>
      <c r="D1309" s="10">
        <v>1573</v>
      </c>
      <c r="E1309" s="11">
        <v>44575</v>
      </c>
      <c r="F1309" s="10">
        <v>1573</v>
      </c>
      <c r="G1309" s="12">
        <f>Tabla1[[#This Row],[Importe]]-Tabla1[[#This Row],[Pagado]]</f>
        <v>0</v>
      </c>
      <c r="H1309" s="9" t="s">
        <v>10</v>
      </c>
    </row>
    <row r="1310" spans="1:8" x14ac:dyDescent="0.25">
      <c r="A1310" s="7">
        <v>44575</v>
      </c>
      <c r="B1310" s="8" t="s">
        <v>1608</v>
      </c>
      <c r="C1310" s="9" t="s">
        <v>218</v>
      </c>
      <c r="D1310" s="10">
        <v>36433.879999999997</v>
      </c>
      <c r="E1310" s="11">
        <v>44582</v>
      </c>
      <c r="F1310" s="10">
        <v>36433.879999999997</v>
      </c>
      <c r="G1310" s="12">
        <f>Tabla1[[#This Row],[Importe]]-Tabla1[[#This Row],[Pagado]]</f>
        <v>0</v>
      </c>
      <c r="H1310" s="9" t="s">
        <v>10</v>
      </c>
    </row>
    <row r="1311" spans="1:8" x14ac:dyDescent="0.25">
      <c r="A1311" s="7">
        <v>44575</v>
      </c>
      <c r="B1311" s="8" t="s">
        <v>1609</v>
      </c>
      <c r="C1311" s="9" t="s">
        <v>37</v>
      </c>
      <c r="D1311" s="10">
        <v>3955</v>
      </c>
      <c r="E1311" s="11">
        <v>44575</v>
      </c>
      <c r="F1311" s="10">
        <v>3955</v>
      </c>
      <c r="G1311" s="12">
        <f>Tabla1[[#This Row],[Importe]]-Tabla1[[#This Row],[Pagado]]</f>
        <v>0</v>
      </c>
      <c r="H1311" s="9" t="s">
        <v>10</v>
      </c>
    </row>
    <row r="1312" spans="1:8" x14ac:dyDescent="0.25">
      <c r="A1312" s="7">
        <v>44575</v>
      </c>
      <c r="B1312" s="8" t="s">
        <v>1610</v>
      </c>
      <c r="C1312" s="9" t="s">
        <v>127</v>
      </c>
      <c r="D1312" s="10">
        <v>4303.8</v>
      </c>
      <c r="E1312" s="11">
        <v>44575</v>
      </c>
      <c r="F1312" s="10">
        <v>4303.8</v>
      </c>
      <c r="G1312" s="12">
        <f>Tabla1[[#This Row],[Importe]]-Tabla1[[#This Row],[Pagado]]</f>
        <v>0</v>
      </c>
      <c r="H1312" s="9" t="s">
        <v>10</v>
      </c>
    </row>
    <row r="1313" spans="1:8" x14ac:dyDescent="0.25">
      <c r="A1313" s="7">
        <v>44575</v>
      </c>
      <c r="B1313" s="8" t="s">
        <v>1611</v>
      </c>
      <c r="C1313" s="9" t="s">
        <v>140</v>
      </c>
      <c r="D1313" s="10">
        <v>159.80000000000001</v>
      </c>
      <c r="E1313" s="11">
        <v>44575</v>
      </c>
      <c r="F1313" s="10">
        <v>159.80000000000001</v>
      </c>
      <c r="G1313" s="12">
        <f>Tabla1[[#This Row],[Importe]]-Tabla1[[#This Row],[Pagado]]</f>
        <v>0</v>
      </c>
      <c r="H1313" s="9" t="s">
        <v>10</v>
      </c>
    </row>
    <row r="1314" spans="1:8" x14ac:dyDescent="0.25">
      <c r="A1314" s="7">
        <v>44575</v>
      </c>
      <c r="B1314" s="8" t="s">
        <v>1612</v>
      </c>
      <c r="C1314" s="9" t="s">
        <v>359</v>
      </c>
      <c r="D1314" s="10">
        <v>2171.5</v>
      </c>
      <c r="E1314" s="11">
        <v>44575</v>
      </c>
      <c r="F1314" s="10">
        <v>2171.5</v>
      </c>
      <c r="G1314" s="12">
        <f>Tabla1[[#This Row],[Importe]]-Tabla1[[#This Row],[Pagado]]</f>
        <v>0</v>
      </c>
      <c r="H1314" s="9" t="s">
        <v>10</v>
      </c>
    </row>
    <row r="1315" spans="1:8" x14ac:dyDescent="0.25">
      <c r="A1315" s="7">
        <v>44575</v>
      </c>
      <c r="B1315" s="8" t="s">
        <v>1613</v>
      </c>
      <c r="C1315" s="9" t="s">
        <v>339</v>
      </c>
      <c r="D1315" s="10">
        <v>340.8</v>
      </c>
      <c r="E1315" s="11">
        <v>44575</v>
      </c>
      <c r="F1315" s="10">
        <v>340.8</v>
      </c>
      <c r="G1315" s="12">
        <f>Tabla1[[#This Row],[Importe]]-Tabla1[[#This Row],[Pagado]]</f>
        <v>0</v>
      </c>
      <c r="H1315" s="9" t="s">
        <v>10</v>
      </c>
    </row>
    <row r="1316" spans="1:8" x14ac:dyDescent="0.25">
      <c r="A1316" s="7">
        <v>44575</v>
      </c>
      <c r="B1316" s="8" t="s">
        <v>1614</v>
      </c>
      <c r="C1316" s="9" t="s">
        <v>181</v>
      </c>
      <c r="D1316" s="10">
        <v>8527</v>
      </c>
      <c r="E1316" s="11">
        <v>44575</v>
      </c>
      <c r="F1316" s="10">
        <v>8527</v>
      </c>
      <c r="G1316" s="12">
        <f>Tabla1[[#This Row],[Importe]]-Tabla1[[#This Row],[Pagado]]</f>
        <v>0</v>
      </c>
      <c r="H1316" s="9" t="s">
        <v>10</v>
      </c>
    </row>
    <row r="1317" spans="1:8" x14ac:dyDescent="0.25">
      <c r="A1317" s="7">
        <v>44575</v>
      </c>
      <c r="B1317" s="8" t="s">
        <v>1615</v>
      </c>
      <c r="C1317" s="9" t="s">
        <v>45</v>
      </c>
      <c r="D1317" s="10">
        <v>11836.9</v>
      </c>
      <c r="E1317" s="11">
        <v>44575</v>
      </c>
      <c r="F1317" s="10">
        <v>11836.9</v>
      </c>
      <c r="G1317" s="12">
        <f>Tabla1[[#This Row],[Importe]]-Tabla1[[#This Row],[Pagado]]</f>
        <v>0</v>
      </c>
      <c r="H1317" s="9" t="s">
        <v>10</v>
      </c>
    </row>
    <row r="1318" spans="1:8" x14ac:dyDescent="0.25">
      <c r="A1318" s="7">
        <v>44575</v>
      </c>
      <c r="B1318" s="8" t="s">
        <v>1616</v>
      </c>
      <c r="C1318" s="9" t="s">
        <v>169</v>
      </c>
      <c r="D1318" s="10">
        <v>537.6</v>
      </c>
      <c r="E1318" s="11">
        <v>44575</v>
      </c>
      <c r="F1318" s="10">
        <v>537.6</v>
      </c>
      <c r="G1318" s="12">
        <f>Tabla1[[#This Row],[Importe]]-Tabla1[[#This Row],[Pagado]]</f>
        <v>0</v>
      </c>
      <c r="H1318" s="9" t="s">
        <v>10</v>
      </c>
    </row>
    <row r="1319" spans="1:8" x14ac:dyDescent="0.25">
      <c r="A1319" s="7">
        <v>44575</v>
      </c>
      <c r="B1319" s="8" t="s">
        <v>1617</v>
      </c>
      <c r="C1319" s="9" t="s">
        <v>647</v>
      </c>
      <c r="D1319" s="10">
        <v>198.8</v>
      </c>
      <c r="E1319" s="11">
        <v>44575</v>
      </c>
      <c r="F1319" s="10">
        <v>198.8</v>
      </c>
      <c r="G1319" s="12">
        <f>Tabla1[[#This Row],[Importe]]-Tabla1[[#This Row],[Pagado]]</f>
        <v>0</v>
      </c>
      <c r="H1319" s="9" t="s">
        <v>10</v>
      </c>
    </row>
    <row r="1320" spans="1:8" x14ac:dyDescent="0.25">
      <c r="A1320" s="7">
        <v>44575</v>
      </c>
      <c r="B1320" s="8" t="s">
        <v>1618</v>
      </c>
      <c r="C1320" s="9" t="s">
        <v>125</v>
      </c>
      <c r="D1320" s="10">
        <v>1043.2</v>
      </c>
      <c r="E1320" s="11">
        <v>44575</v>
      </c>
      <c r="F1320" s="10">
        <v>1043.2</v>
      </c>
      <c r="G1320" s="12">
        <f>Tabla1[[#This Row],[Importe]]-Tabla1[[#This Row],[Pagado]]</f>
        <v>0</v>
      </c>
      <c r="H1320" s="9" t="s">
        <v>10</v>
      </c>
    </row>
    <row r="1321" spans="1:8" x14ac:dyDescent="0.25">
      <c r="A1321" s="7">
        <v>44575</v>
      </c>
      <c r="B1321" s="8" t="s">
        <v>1619</v>
      </c>
      <c r="C1321" s="9" t="s">
        <v>230</v>
      </c>
      <c r="D1321" s="10">
        <v>2570.8000000000002</v>
      </c>
      <c r="E1321" s="11">
        <v>44575</v>
      </c>
      <c r="F1321" s="10">
        <v>2570.8000000000002</v>
      </c>
      <c r="G1321" s="12">
        <f>Tabla1[[#This Row],[Importe]]-Tabla1[[#This Row],[Pagado]]</f>
        <v>0</v>
      </c>
      <c r="H1321" s="9" t="s">
        <v>10</v>
      </c>
    </row>
    <row r="1322" spans="1:8" x14ac:dyDescent="0.25">
      <c r="A1322" s="7">
        <v>44575</v>
      </c>
      <c r="B1322" s="8" t="s">
        <v>1620</v>
      </c>
      <c r="C1322" s="9" t="s">
        <v>27</v>
      </c>
      <c r="D1322" s="10">
        <v>2286.4</v>
      </c>
      <c r="E1322" s="11">
        <v>44575</v>
      </c>
      <c r="F1322" s="10">
        <v>2286.4</v>
      </c>
      <c r="G1322" s="12">
        <f>Tabla1[[#This Row],[Importe]]-Tabla1[[#This Row],[Pagado]]</f>
        <v>0</v>
      </c>
      <c r="H1322" s="9" t="s">
        <v>10</v>
      </c>
    </row>
    <row r="1323" spans="1:8" x14ac:dyDescent="0.25">
      <c r="A1323" s="7">
        <v>44575</v>
      </c>
      <c r="B1323" s="8" t="s">
        <v>1621</v>
      </c>
      <c r="C1323" s="9" t="s">
        <v>24</v>
      </c>
      <c r="D1323" s="10">
        <v>3029</v>
      </c>
      <c r="E1323" s="11">
        <v>44575</v>
      </c>
      <c r="F1323" s="10">
        <v>3029</v>
      </c>
      <c r="G1323" s="12">
        <f>Tabla1[[#This Row],[Importe]]-Tabla1[[#This Row],[Pagado]]</f>
        <v>0</v>
      </c>
      <c r="H1323" s="9" t="s">
        <v>10</v>
      </c>
    </row>
    <row r="1324" spans="1:8" x14ac:dyDescent="0.25">
      <c r="A1324" s="7">
        <v>44575</v>
      </c>
      <c r="B1324" s="8" t="s">
        <v>1622</v>
      </c>
      <c r="C1324" s="9" t="s">
        <v>24</v>
      </c>
      <c r="D1324" s="10">
        <v>704</v>
      </c>
      <c r="E1324" s="11">
        <v>44575</v>
      </c>
      <c r="F1324" s="10">
        <v>704</v>
      </c>
      <c r="G1324" s="12">
        <f>Tabla1[[#This Row],[Importe]]-Tabla1[[#This Row],[Pagado]]</f>
        <v>0</v>
      </c>
      <c r="H1324" s="9" t="s">
        <v>10</v>
      </c>
    </row>
    <row r="1325" spans="1:8" x14ac:dyDescent="0.25">
      <c r="A1325" s="7">
        <v>44575</v>
      </c>
      <c r="B1325" s="8" t="s">
        <v>1623</v>
      </c>
      <c r="C1325" s="9" t="s">
        <v>173</v>
      </c>
      <c r="D1325" s="10">
        <v>26848.02</v>
      </c>
      <c r="E1325" s="11">
        <v>44576</v>
      </c>
      <c r="F1325" s="10">
        <v>26848.02</v>
      </c>
      <c r="G1325" s="12">
        <f>Tabla1[[#This Row],[Importe]]-Tabla1[[#This Row],[Pagado]]</f>
        <v>0</v>
      </c>
      <c r="H1325" s="9" t="s">
        <v>10</v>
      </c>
    </row>
    <row r="1326" spans="1:8" x14ac:dyDescent="0.25">
      <c r="A1326" s="7">
        <v>44575</v>
      </c>
      <c r="B1326" s="8" t="s">
        <v>1624</v>
      </c>
      <c r="C1326" s="9" t="s">
        <v>49</v>
      </c>
      <c r="D1326" s="10">
        <v>3121.2</v>
      </c>
      <c r="E1326" s="11">
        <v>44575</v>
      </c>
      <c r="F1326" s="10">
        <v>3121.2</v>
      </c>
      <c r="G1326" s="12">
        <f>Tabla1[[#This Row],[Importe]]-Tabla1[[#This Row],[Pagado]]</f>
        <v>0</v>
      </c>
      <c r="H1326" s="9" t="s">
        <v>10</v>
      </c>
    </row>
    <row r="1327" spans="1:8" x14ac:dyDescent="0.25">
      <c r="A1327" s="7">
        <v>44575</v>
      </c>
      <c r="B1327" s="8" t="s">
        <v>1625</v>
      </c>
      <c r="C1327" s="9" t="s">
        <v>142</v>
      </c>
      <c r="D1327" s="10">
        <v>558</v>
      </c>
      <c r="E1327" s="11">
        <v>44589</v>
      </c>
      <c r="F1327" s="10">
        <v>558</v>
      </c>
      <c r="G1327" s="12">
        <f>Tabla1[[#This Row],[Importe]]-Tabla1[[#This Row],[Pagado]]</f>
        <v>0</v>
      </c>
      <c r="H1327" s="9" t="s">
        <v>10</v>
      </c>
    </row>
    <row r="1328" spans="1:8" x14ac:dyDescent="0.25">
      <c r="A1328" s="7">
        <v>44575</v>
      </c>
      <c r="B1328" s="8" t="s">
        <v>1626</v>
      </c>
      <c r="C1328" s="9" t="s">
        <v>200</v>
      </c>
      <c r="D1328" s="10">
        <v>897</v>
      </c>
      <c r="E1328" s="11">
        <v>44575</v>
      </c>
      <c r="F1328" s="10">
        <v>897</v>
      </c>
      <c r="G1328" s="12">
        <f>Tabla1[[#This Row],[Importe]]-Tabla1[[#This Row],[Pagado]]</f>
        <v>0</v>
      </c>
      <c r="H1328" s="9" t="s">
        <v>10</v>
      </c>
    </row>
    <row r="1329" spans="1:8" x14ac:dyDescent="0.25">
      <c r="A1329" s="7">
        <v>44575</v>
      </c>
      <c r="B1329" s="8" t="s">
        <v>1627</v>
      </c>
      <c r="C1329" s="9" t="s">
        <v>191</v>
      </c>
      <c r="D1329" s="10">
        <v>1742.4</v>
      </c>
      <c r="E1329" s="11">
        <v>44575</v>
      </c>
      <c r="F1329" s="10">
        <v>1742.4</v>
      </c>
      <c r="G1329" s="12">
        <f>Tabla1[[#This Row],[Importe]]-Tabla1[[#This Row],[Pagado]]</f>
        <v>0</v>
      </c>
      <c r="H1329" s="9" t="s">
        <v>10</v>
      </c>
    </row>
    <row r="1330" spans="1:8" x14ac:dyDescent="0.25">
      <c r="A1330" s="7">
        <v>44575</v>
      </c>
      <c r="B1330" s="8" t="s">
        <v>1628</v>
      </c>
      <c r="C1330" s="9" t="s">
        <v>216</v>
      </c>
      <c r="D1330" s="10">
        <v>1752.6</v>
      </c>
      <c r="E1330" s="11">
        <v>44575</v>
      </c>
      <c r="F1330" s="10">
        <v>1752.6</v>
      </c>
      <c r="G1330" s="12">
        <f>Tabla1[[#This Row],[Importe]]-Tabla1[[#This Row],[Pagado]]</f>
        <v>0</v>
      </c>
      <c r="H1330" s="9" t="s">
        <v>10</v>
      </c>
    </row>
    <row r="1331" spans="1:8" x14ac:dyDescent="0.25">
      <c r="A1331" s="7">
        <v>44575</v>
      </c>
      <c r="B1331" s="8" t="s">
        <v>1629</v>
      </c>
      <c r="C1331" s="9" t="s">
        <v>1630</v>
      </c>
      <c r="D1331" s="10">
        <v>5894.4</v>
      </c>
      <c r="E1331" s="11">
        <v>44576</v>
      </c>
      <c r="F1331" s="10">
        <v>5894.4</v>
      </c>
      <c r="G1331" s="12">
        <f>Tabla1[[#This Row],[Importe]]-Tabla1[[#This Row],[Pagado]]</f>
        <v>0</v>
      </c>
      <c r="H1331" s="9" t="s">
        <v>10</v>
      </c>
    </row>
    <row r="1332" spans="1:8" x14ac:dyDescent="0.25">
      <c r="A1332" s="7">
        <v>44575</v>
      </c>
      <c r="B1332" s="8" t="s">
        <v>1631</v>
      </c>
      <c r="C1332" s="9" t="s">
        <v>135</v>
      </c>
      <c r="D1332" s="10">
        <v>960.6</v>
      </c>
      <c r="E1332" s="11">
        <v>44575</v>
      </c>
      <c r="F1332" s="10">
        <v>960.6</v>
      </c>
      <c r="G1332" s="12">
        <f>Tabla1[[#This Row],[Importe]]-Tabla1[[#This Row],[Pagado]]</f>
        <v>0</v>
      </c>
      <c r="H1332" s="9" t="s">
        <v>10</v>
      </c>
    </row>
    <row r="1333" spans="1:8" x14ac:dyDescent="0.25">
      <c r="A1333" s="7">
        <v>44575</v>
      </c>
      <c r="B1333" s="8" t="s">
        <v>1632</v>
      </c>
      <c r="C1333" s="9" t="s">
        <v>191</v>
      </c>
      <c r="D1333" s="10">
        <v>438.6</v>
      </c>
      <c r="E1333" s="11">
        <v>44575</v>
      </c>
      <c r="F1333" s="10">
        <v>438.6</v>
      </c>
      <c r="G1333" s="12">
        <f>Tabla1[[#This Row],[Importe]]-Tabla1[[#This Row],[Pagado]]</f>
        <v>0</v>
      </c>
      <c r="H1333" s="9" t="s">
        <v>10</v>
      </c>
    </row>
    <row r="1334" spans="1:8" x14ac:dyDescent="0.25">
      <c r="A1334" s="7">
        <v>44575</v>
      </c>
      <c r="B1334" s="8" t="s">
        <v>1633</v>
      </c>
      <c r="C1334" s="9" t="s">
        <v>179</v>
      </c>
      <c r="D1334" s="10">
        <v>956.8</v>
      </c>
      <c r="E1334" s="11">
        <v>44575</v>
      </c>
      <c r="F1334" s="10">
        <v>956.8</v>
      </c>
      <c r="G1334" s="12">
        <f>Tabla1[[#This Row],[Importe]]-Tabla1[[#This Row],[Pagado]]</f>
        <v>0</v>
      </c>
      <c r="H1334" s="9" t="s">
        <v>10</v>
      </c>
    </row>
    <row r="1335" spans="1:8" x14ac:dyDescent="0.25">
      <c r="A1335" s="7">
        <v>44575</v>
      </c>
      <c r="B1335" s="8" t="s">
        <v>1634</v>
      </c>
      <c r="C1335" s="9" t="s">
        <v>175</v>
      </c>
      <c r="D1335" s="10">
        <v>7662.3</v>
      </c>
      <c r="E1335" s="11">
        <v>44575</v>
      </c>
      <c r="F1335" s="10">
        <v>7662.3</v>
      </c>
      <c r="G1335" s="12">
        <f>Tabla1[[#This Row],[Importe]]-Tabla1[[#This Row],[Pagado]]</f>
        <v>0</v>
      </c>
      <c r="H1335" s="9" t="s">
        <v>10</v>
      </c>
    </row>
    <row r="1336" spans="1:8" x14ac:dyDescent="0.25">
      <c r="A1336" s="7">
        <v>44575</v>
      </c>
      <c r="B1336" s="8" t="s">
        <v>1635</v>
      </c>
      <c r="C1336" s="9" t="s">
        <v>202</v>
      </c>
      <c r="D1336" s="10">
        <v>3514.1</v>
      </c>
      <c r="E1336" s="11">
        <v>44575</v>
      </c>
      <c r="F1336" s="10">
        <v>3514.1</v>
      </c>
      <c r="G1336" s="12">
        <f>Tabla1[[#This Row],[Importe]]-Tabla1[[#This Row],[Pagado]]</f>
        <v>0</v>
      </c>
      <c r="H1336" s="9" t="s">
        <v>10</v>
      </c>
    </row>
    <row r="1337" spans="1:8" x14ac:dyDescent="0.25">
      <c r="A1337" s="7">
        <v>44575</v>
      </c>
      <c r="B1337" s="8" t="s">
        <v>1636</v>
      </c>
      <c r="C1337" s="9" t="s">
        <v>157</v>
      </c>
      <c r="D1337" s="10">
        <v>2027.6</v>
      </c>
      <c r="E1337" s="11">
        <v>44575</v>
      </c>
      <c r="F1337" s="10">
        <v>2027.6</v>
      </c>
      <c r="G1337" s="12">
        <f>Tabla1[[#This Row],[Importe]]-Tabla1[[#This Row],[Pagado]]</f>
        <v>0</v>
      </c>
      <c r="H1337" s="9" t="s">
        <v>10</v>
      </c>
    </row>
    <row r="1338" spans="1:8" x14ac:dyDescent="0.25">
      <c r="A1338" s="7">
        <v>44575</v>
      </c>
      <c r="B1338" s="8" t="s">
        <v>1637</v>
      </c>
      <c r="C1338" s="9" t="s">
        <v>525</v>
      </c>
      <c r="D1338" s="10">
        <v>356</v>
      </c>
      <c r="E1338" s="11">
        <v>44575</v>
      </c>
      <c r="F1338" s="10">
        <v>356</v>
      </c>
      <c r="G1338" s="12">
        <f>Tabla1[[#This Row],[Importe]]-Tabla1[[#This Row],[Pagado]]</f>
        <v>0</v>
      </c>
      <c r="H1338" s="9" t="s">
        <v>10</v>
      </c>
    </row>
    <row r="1339" spans="1:8" x14ac:dyDescent="0.25">
      <c r="A1339" s="7">
        <v>44575</v>
      </c>
      <c r="B1339" s="8" t="s">
        <v>1638</v>
      </c>
      <c r="C1339" s="9" t="s">
        <v>107</v>
      </c>
      <c r="D1339" s="10">
        <v>14248.5</v>
      </c>
      <c r="E1339" s="11">
        <v>44575</v>
      </c>
      <c r="F1339" s="10">
        <v>14248.5</v>
      </c>
      <c r="G1339" s="12">
        <f>Tabla1[[#This Row],[Importe]]-Tabla1[[#This Row],[Pagado]]</f>
        <v>0</v>
      </c>
      <c r="H1339" s="9" t="s">
        <v>10</v>
      </c>
    </row>
    <row r="1340" spans="1:8" x14ac:dyDescent="0.25">
      <c r="A1340" s="7">
        <v>44575</v>
      </c>
      <c r="B1340" s="8" t="s">
        <v>1639</v>
      </c>
      <c r="C1340" s="9" t="s">
        <v>133</v>
      </c>
      <c r="D1340" s="10">
        <v>16464.099999999999</v>
      </c>
      <c r="E1340" s="11">
        <v>44576</v>
      </c>
      <c r="F1340" s="10">
        <v>16464.099999999999</v>
      </c>
      <c r="G1340" s="12">
        <f>Tabla1[[#This Row],[Importe]]-Tabla1[[#This Row],[Pagado]]</f>
        <v>0</v>
      </c>
      <c r="H1340" s="9" t="s">
        <v>10</v>
      </c>
    </row>
    <row r="1341" spans="1:8" x14ac:dyDescent="0.25">
      <c r="A1341" s="7">
        <v>44575</v>
      </c>
      <c r="B1341" s="8" t="s">
        <v>1640</v>
      </c>
      <c r="C1341" s="9" t="s">
        <v>159</v>
      </c>
      <c r="D1341" s="10">
        <v>2222.6</v>
      </c>
      <c r="E1341" s="11">
        <v>44575</v>
      </c>
      <c r="F1341" s="10">
        <v>2222.6</v>
      </c>
      <c r="G1341" s="12">
        <f>Tabla1[[#This Row],[Importe]]-Tabla1[[#This Row],[Pagado]]</f>
        <v>0</v>
      </c>
      <c r="H1341" s="9" t="s">
        <v>10</v>
      </c>
    </row>
    <row r="1342" spans="1:8" x14ac:dyDescent="0.25">
      <c r="A1342" s="7">
        <v>44575</v>
      </c>
      <c r="B1342" s="8" t="s">
        <v>1641</v>
      </c>
      <c r="C1342" s="9" t="s">
        <v>275</v>
      </c>
      <c r="D1342" s="10">
        <v>29198.36</v>
      </c>
      <c r="E1342" s="11">
        <v>44583</v>
      </c>
      <c r="F1342" s="10">
        <v>29198.36</v>
      </c>
      <c r="G1342" s="12">
        <f>Tabla1[[#This Row],[Importe]]-Tabla1[[#This Row],[Pagado]]</f>
        <v>0</v>
      </c>
      <c r="H1342" s="9" t="s">
        <v>10</v>
      </c>
    </row>
    <row r="1343" spans="1:8" x14ac:dyDescent="0.25">
      <c r="A1343" s="7">
        <v>44575</v>
      </c>
      <c r="B1343" s="8" t="s">
        <v>1642</v>
      </c>
      <c r="C1343" s="9" t="s">
        <v>518</v>
      </c>
      <c r="D1343" s="10">
        <v>928</v>
      </c>
      <c r="E1343" s="11">
        <v>44575</v>
      </c>
      <c r="F1343" s="10">
        <v>928</v>
      </c>
      <c r="G1343" s="12">
        <f>Tabla1[[#This Row],[Importe]]-Tabla1[[#This Row],[Pagado]]</f>
        <v>0</v>
      </c>
      <c r="H1343" s="9" t="s">
        <v>10</v>
      </c>
    </row>
    <row r="1344" spans="1:8" x14ac:dyDescent="0.25">
      <c r="A1344" s="7">
        <v>44575</v>
      </c>
      <c r="B1344" s="8" t="s">
        <v>1643</v>
      </c>
      <c r="C1344" s="9" t="s">
        <v>1644</v>
      </c>
      <c r="D1344" s="10">
        <v>7261.5</v>
      </c>
      <c r="E1344" s="11">
        <v>44576</v>
      </c>
      <c r="F1344" s="10">
        <v>7261.5</v>
      </c>
      <c r="G1344" s="12">
        <f>Tabla1[[#This Row],[Importe]]-Tabla1[[#This Row],[Pagado]]</f>
        <v>0</v>
      </c>
      <c r="H1344" s="9" t="s">
        <v>10</v>
      </c>
    </row>
    <row r="1345" spans="1:8" x14ac:dyDescent="0.25">
      <c r="A1345" s="7">
        <v>44575</v>
      </c>
      <c r="B1345" s="8" t="s">
        <v>1645</v>
      </c>
      <c r="C1345" s="9" t="s">
        <v>804</v>
      </c>
      <c r="D1345" s="10">
        <v>9435.9</v>
      </c>
      <c r="E1345" s="11">
        <v>44575</v>
      </c>
      <c r="F1345" s="10">
        <v>9435.9</v>
      </c>
      <c r="G1345" s="12">
        <f>Tabla1[[#This Row],[Importe]]-Tabla1[[#This Row],[Pagado]]</f>
        <v>0</v>
      </c>
      <c r="H1345" s="9" t="s">
        <v>10</v>
      </c>
    </row>
    <row r="1346" spans="1:8" x14ac:dyDescent="0.25">
      <c r="A1346" s="7">
        <v>44575</v>
      </c>
      <c r="B1346" s="8" t="s">
        <v>1646</v>
      </c>
      <c r="C1346" s="9" t="s">
        <v>31</v>
      </c>
      <c r="D1346" s="10">
        <v>4939.2</v>
      </c>
      <c r="E1346" s="11">
        <v>44576</v>
      </c>
      <c r="F1346" s="10">
        <v>4939.2</v>
      </c>
      <c r="G1346" s="12">
        <f>Tabla1[[#This Row],[Importe]]-Tabla1[[#This Row],[Pagado]]</f>
        <v>0</v>
      </c>
      <c r="H1346" s="9" t="s">
        <v>10</v>
      </c>
    </row>
    <row r="1347" spans="1:8" x14ac:dyDescent="0.25">
      <c r="A1347" s="7">
        <v>44575</v>
      </c>
      <c r="B1347" s="8" t="s">
        <v>1647</v>
      </c>
      <c r="C1347" s="9" t="s">
        <v>840</v>
      </c>
      <c r="D1347" s="10">
        <v>7010.9</v>
      </c>
      <c r="E1347" s="11">
        <v>44575</v>
      </c>
      <c r="F1347" s="10">
        <v>7010.9</v>
      </c>
      <c r="G1347" s="12">
        <f>Tabla1[[#This Row],[Importe]]-Tabla1[[#This Row],[Pagado]]</f>
        <v>0</v>
      </c>
      <c r="H1347" s="9" t="s">
        <v>10</v>
      </c>
    </row>
    <row r="1348" spans="1:8" x14ac:dyDescent="0.25">
      <c r="A1348" s="7">
        <v>44575</v>
      </c>
      <c r="B1348" s="8" t="s">
        <v>1648</v>
      </c>
      <c r="C1348" s="9" t="s">
        <v>53</v>
      </c>
      <c r="D1348" s="10">
        <v>1137</v>
      </c>
      <c r="E1348" s="11">
        <v>44575</v>
      </c>
      <c r="F1348" s="10">
        <v>1137</v>
      </c>
      <c r="G1348" s="12">
        <f>Tabla1[[#This Row],[Importe]]-Tabla1[[#This Row],[Pagado]]</f>
        <v>0</v>
      </c>
      <c r="H1348" s="9" t="s">
        <v>10</v>
      </c>
    </row>
    <row r="1349" spans="1:8" x14ac:dyDescent="0.25">
      <c r="A1349" s="7">
        <v>44575</v>
      </c>
      <c r="B1349" s="8" t="s">
        <v>1649</v>
      </c>
      <c r="C1349" s="9" t="s">
        <v>1650</v>
      </c>
      <c r="D1349" s="10">
        <v>1875</v>
      </c>
      <c r="E1349" s="11">
        <v>44575</v>
      </c>
      <c r="F1349" s="10">
        <v>1875</v>
      </c>
      <c r="G1349" s="12">
        <f>Tabla1[[#This Row],[Importe]]-Tabla1[[#This Row],[Pagado]]</f>
        <v>0</v>
      </c>
      <c r="H1349" s="9" t="s">
        <v>10</v>
      </c>
    </row>
    <row r="1350" spans="1:8" x14ac:dyDescent="0.25">
      <c r="A1350" s="7">
        <v>44575</v>
      </c>
      <c r="B1350" s="8" t="s">
        <v>1651</v>
      </c>
      <c r="C1350" s="9" t="s">
        <v>319</v>
      </c>
      <c r="D1350" s="10">
        <v>4805.8</v>
      </c>
      <c r="E1350" s="11">
        <v>44575</v>
      </c>
      <c r="F1350" s="10">
        <v>4805.8</v>
      </c>
      <c r="G1350" s="12">
        <f>Tabla1[[#This Row],[Importe]]-Tabla1[[#This Row],[Pagado]]</f>
        <v>0</v>
      </c>
      <c r="H1350" s="9" t="s">
        <v>10</v>
      </c>
    </row>
    <row r="1351" spans="1:8" x14ac:dyDescent="0.25">
      <c r="A1351" s="7">
        <v>44575</v>
      </c>
      <c r="B1351" s="8" t="s">
        <v>1652</v>
      </c>
      <c r="C1351" s="9" t="s">
        <v>520</v>
      </c>
      <c r="D1351" s="10">
        <v>8682.6</v>
      </c>
      <c r="E1351" s="11">
        <v>44576</v>
      </c>
      <c r="F1351" s="10">
        <v>8682.6</v>
      </c>
      <c r="G1351" s="12">
        <f>Tabla1[[#This Row],[Importe]]-Tabla1[[#This Row],[Pagado]]</f>
        <v>0</v>
      </c>
      <c r="H1351" s="9" t="s">
        <v>10</v>
      </c>
    </row>
    <row r="1352" spans="1:8" x14ac:dyDescent="0.25">
      <c r="A1352" s="7">
        <v>44575</v>
      </c>
      <c r="B1352" s="8" t="s">
        <v>1653</v>
      </c>
      <c r="C1352" s="9" t="s">
        <v>31</v>
      </c>
      <c r="D1352" s="10">
        <v>30</v>
      </c>
      <c r="E1352" s="11">
        <v>44575</v>
      </c>
      <c r="F1352" s="10">
        <v>30</v>
      </c>
      <c r="G1352" s="12">
        <f>Tabla1[[#This Row],[Importe]]-Tabla1[[#This Row],[Pagado]]</f>
        <v>0</v>
      </c>
      <c r="H1352" s="9" t="s">
        <v>10</v>
      </c>
    </row>
    <row r="1353" spans="1:8" x14ac:dyDescent="0.25">
      <c r="A1353" s="7">
        <v>44575</v>
      </c>
      <c r="B1353" s="8" t="s">
        <v>1654</v>
      </c>
      <c r="C1353" s="9" t="s">
        <v>555</v>
      </c>
      <c r="D1353" s="10">
        <v>22736</v>
      </c>
      <c r="E1353" s="11">
        <v>44575</v>
      </c>
      <c r="F1353" s="10">
        <v>22736</v>
      </c>
      <c r="G1353" s="12">
        <f>Tabla1[[#This Row],[Importe]]-Tabla1[[#This Row],[Pagado]]</f>
        <v>0</v>
      </c>
      <c r="H1353" s="9" t="s">
        <v>10</v>
      </c>
    </row>
    <row r="1354" spans="1:8" x14ac:dyDescent="0.25">
      <c r="A1354" s="7">
        <v>44575</v>
      </c>
      <c r="B1354" s="8" t="s">
        <v>1655</v>
      </c>
      <c r="C1354" s="9" t="s">
        <v>233</v>
      </c>
      <c r="D1354" s="10">
        <v>4931.2</v>
      </c>
      <c r="E1354" s="11">
        <v>44575</v>
      </c>
      <c r="F1354" s="10">
        <v>4931.2</v>
      </c>
      <c r="G1354" s="12">
        <f>Tabla1[[#This Row],[Importe]]-Tabla1[[#This Row],[Pagado]]</f>
        <v>0</v>
      </c>
      <c r="H1354" s="9" t="s">
        <v>10</v>
      </c>
    </row>
    <row r="1355" spans="1:8" x14ac:dyDescent="0.25">
      <c r="A1355" s="7">
        <v>44575</v>
      </c>
      <c r="B1355" s="8" t="s">
        <v>1656</v>
      </c>
      <c r="C1355" s="9" t="s">
        <v>79</v>
      </c>
      <c r="D1355" s="10">
        <v>4705.8</v>
      </c>
      <c r="E1355" s="11">
        <v>44575</v>
      </c>
      <c r="F1355" s="10">
        <v>4705.8</v>
      </c>
      <c r="G1355" s="12">
        <f>Tabla1[[#This Row],[Importe]]-Tabla1[[#This Row],[Pagado]]</f>
        <v>0</v>
      </c>
      <c r="H1355" s="9" t="s">
        <v>10</v>
      </c>
    </row>
    <row r="1356" spans="1:8" x14ac:dyDescent="0.25">
      <c r="A1356" s="7">
        <v>44575</v>
      </c>
      <c r="B1356" s="8" t="s">
        <v>1657</v>
      </c>
      <c r="C1356" s="9" t="s">
        <v>1016</v>
      </c>
      <c r="D1356" s="10">
        <v>4558.3999999999996</v>
      </c>
      <c r="E1356" s="11">
        <v>44575</v>
      </c>
      <c r="F1356" s="10">
        <v>4558.3999999999996</v>
      </c>
      <c r="G1356" s="12">
        <f>Tabla1[[#This Row],[Importe]]-Tabla1[[#This Row],[Pagado]]</f>
        <v>0</v>
      </c>
      <c r="H1356" s="9" t="s">
        <v>10</v>
      </c>
    </row>
    <row r="1357" spans="1:8" x14ac:dyDescent="0.25">
      <c r="A1357" s="7">
        <v>44575</v>
      </c>
      <c r="B1357" s="8" t="s">
        <v>1658</v>
      </c>
      <c r="C1357" s="9" t="s">
        <v>1003</v>
      </c>
      <c r="D1357" s="10">
        <v>1863.2</v>
      </c>
      <c r="E1357" s="11">
        <v>44575</v>
      </c>
      <c r="F1357" s="10">
        <v>1863.2</v>
      </c>
      <c r="G1357" s="12">
        <f>Tabla1[[#This Row],[Importe]]-Tabla1[[#This Row],[Pagado]]</f>
        <v>0</v>
      </c>
      <c r="H1357" s="9" t="s">
        <v>10</v>
      </c>
    </row>
    <row r="1358" spans="1:8" x14ac:dyDescent="0.25">
      <c r="A1358" s="7">
        <v>44575</v>
      </c>
      <c r="B1358" s="8" t="s">
        <v>1659</v>
      </c>
      <c r="C1358" s="9" t="s">
        <v>79</v>
      </c>
      <c r="D1358" s="10">
        <v>11486.2</v>
      </c>
      <c r="E1358" s="11">
        <v>44575</v>
      </c>
      <c r="F1358" s="10">
        <v>11486.2</v>
      </c>
      <c r="G1358" s="12">
        <f>Tabla1[[#This Row],[Importe]]-Tabla1[[#This Row],[Pagado]]</f>
        <v>0</v>
      </c>
      <c r="H1358" s="9" t="s">
        <v>10</v>
      </c>
    </row>
    <row r="1359" spans="1:8" x14ac:dyDescent="0.25">
      <c r="A1359" s="7">
        <v>44575</v>
      </c>
      <c r="B1359" s="8" t="s">
        <v>1660</v>
      </c>
      <c r="C1359" s="9" t="s">
        <v>698</v>
      </c>
      <c r="D1359" s="10">
        <v>6508.8</v>
      </c>
      <c r="E1359" s="11">
        <v>44575</v>
      </c>
      <c r="F1359" s="10">
        <v>6508.8</v>
      </c>
      <c r="G1359" s="12">
        <f>Tabla1[[#This Row],[Importe]]-Tabla1[[#This Row],[Pagado]]</f>
        <v>0</v>
      </c>
      <c r="H1359" s="9" t="s">
        <v>10</v>
      </c>
    </row>
    <row r="1360" spans="1:8" x14ac:dyDescent="0.25">
      <c r="A1360" s="7">
        <v>44575</v>
      </c>
      <c r="B1360" s="8" t="s">
        <v>1661</v>
      </c>
      <c r="C1360" s="9" t="s">
        <v>67</v>
      </c>
      <c r="D1360" s="10">
        <v>9256.6</v>
      </c>
      <c r="E1360" s="11">
        <v>44575</v>
      </c>
      <c r="F1360" s="10">
        <v>9256.6</v>
      </c>
      <c r="G1360" s="12">
        <f>Tabla1[[#This Row],[Importe]]-Tabla1[[#This Row],[Pagado]]</f>
        <v>0</v>
      </c>
      <c r="H1360" s="9" t="s">
        <v>10</v>
      </c>
    </row>
    <row r="1361" spans="1:8" x14ac:dyDescent="0.25">
      <c r="A1361" s="7">
        <v>44575</v>
      </c>
      <c r="B1361" s="8" t="s">
        <v>1662</v>
      </c>
      <c r="C1361" s="9" t="s">
        <v>670</v>
      </c>
      <c r="D1361" s="10">
        <v>4227.3</v>
      </c>
      <c r="E1361" s="11">
        <v>44575</v>
      </c>
      <c r="F1361" s="10">
        <v>4227.3</v>
      </c>
      <c r="G1361" s="12">
        <f>Tabla1[[#This Row],[Importe]]-Tabla1[[#This Row],[Pagado]]</f>
        <v>0</v>
      </c>
      <c r="H1361" s="9" t="s">
        <v>10</v>
      </c>
    </row>
    <row r="1362" spans="1:8" x14ac:dyDescent="0.25">
      <c r="A1362" s="7">
        <v>44575</v>
      </c>
      <c r="B1362" s="8" t="s">
        <v>1663</v>
      </c>
      <c r="C1362" s="9" t="s">
        <v>261</v>
      </c>
      <c r="D1362" s="10">
        <v>30651.599999999999</v>
      </c>
      <c r="E1362" s="11">
        <v>44575</v>
      </c>
      <c r="F1362" s="10">
        <v>30651.599999999999</v>
      </c>
      <c r="G1362" s="12">
        <f>Tabla1[[#This Row],[Importe]]-Tabla1[[#This Row],[Pagado]]</f>
        <v>0</v>
      </c>
      <c r="H1362" s="9" t="s">
        <v>10</v>
      </c>
    </row>
    <row r="1363" spans="1:8" x14ac:dyDescent="0.25">
      <c r="A1363" s="7">
        <v>44575</v>
      </c>
      <c r="B1363" s="8" t="s">
        <v>1664</v>
      </c>
      <c r="C1363" s="9" t="s">
        <v>932</v>
      </c>
      <c r="D1363" s="10">
        <v>7617.6</v>
      </c>
      <c r="E1363" s="11">
        <v>44575</v>
      </c>
      <c r="F1363" s="10">
        <v>7617.6</v>
      </c>
      <c r="G1363" s="12">
        <f>Tabla1[[#This Row],[Importe]]-Tabla1[[#This Row],[Pagado]]</f>
        <v>0</v>
      </c>
      <c r="H1363" s="9" t="s">
        <v>10</v>
      </c>
    </row>
    <row r="1364" spans="1:8" x14ac:dyDescent="0.25">
      <c r="A1364" s="7">
        <v>44575</v>
      </c>
      <c r="B1364" s="8" t="s">
        <v>1665</v>
      </c>
      <c r="C1364" s="9" t="s">
        <v>261</v>
      </c>
      <c r="D1364" s="10">
        <v>809.2</v>
      </c>
      <c r="E1364" s="11">
        <v>44575</v>
      </c>
      <c r="F1364" s="10">
        <v>809.2</v>
      </c>
      <c r="G1364" s="12">
        <f>Tabla1[[#This Row],[Importe]]-Tabla1[[#This Row],[Pagado]]</f>
        <v>0</v>
      </c>
      <c r="H1364" s="9" t="s">
        <v>10</v>
      </c>
    </row>
    <row r="1365" spans="1:8" x14ac:dyDescent="0.25">
      <c r="A1365" s="7">
        <v>44575</v>
      </c>
      <c r="B1365" s="8" t="s">
        <v>1666</v>
      </c>
      <c r="C1365" s="9" t="s">
        <v>849</v>
      </c>
      <c r="D1365" s="10">
        <v>4534</v>
      </c>
      <c r="E1365" s="11">
        <v>44575</v>
      </c>
      <c r="F1365" s="10">
        <v>4534</v>
      </c>
      <c r="G1365" s="12">
        <f>Tabla1[[#This Row],[Importe]]-Tabla1[[#This Row],[Pagado]]</f>
        <v>0</v>
      </c>
      <c r="H1365" s="9" t="s">
        <v>10</v>
      </c>
    </row>
    <row r="1366" spans="1:8" x14ac:dyDescent="0.25">
      <c r="A1366" s="7">
        <v>44575</v>
      </c>
      <c r="B1366" s="8" t="s">
        <v>1667</v>
      </c>
      <c r="C1366" s="9" t="s">
        <v>67</v>
      </c>
      <c r="D1366" s="10">
        <v>901.6</v>
      </c>
      <c r="E1366" s="11">
        <v>44575</v>
      </c>
      <c r="F1366" s="10">
        <v>901.6</v>
      </c>
      <c r="G1366" s="12">
        <f>Tabla1[[#This Row],[Importe]]-Tabla1[[#This Row],[Pagado]]</f>
        <v>0</v>
      </c>
      <c r="H1366" s="9" t="s">
        <v>10</v>
      </c>
    </row>
    <row r="1367" spans="1:8" x14ac:dyDescent="0.25">
      <c r="A1367" s="7">
        <v>44575</v>
      </c>
      <c r="B1367" s="8" t="s">
        <v>1668</v>
      </c>
      <c r="C1367" s="9" t="s">
        <v>365</v>
      </c>
      <c r="D1367" s="10">
        <v>517</v>
      </c>
      <c r="E1367" s="11">
        <v>44575</v>
      </c>
      <c r="F1367" s="10">
        <v>517</v>
      </c>
      <c r="G1367" s="12">
        <f>Tabla1[[#This Row],[Importe]]-Tabla1[[#This Row],[Pagado]]</f>
        <v>0</v>
      </c>
      <c r="H1367" s="9" t="s">
        <v>10</v>
      </c>
    </row>
    <row r="1368" spans="1:8" x14ac:dyDescent="0.25">
      <c r="A1368" s="7">
        <v>44575</v>
      </c>
      <c r="B1368" s="8" t="s">
        <v>1669</v>
      </c>
      <c r="C1368" s="9" t="s">
        <v>31</v>
      </c>
      <c r="D1368" s="10">
        <v>226.6</v>
      </c>
      <c r="E1368" s="11">
        <v>44575</v>
      </c>
      <c r="F1368" s="10">
        <v>226.6</v>
      </c>
      <c r="G1368" s="12">
        <f>Tabla1[[#This Row],[Importe]]-Tabla1[[#This Row],[Pagado]]</f>
        <v>0</v>
      </c>
      <c r="H1368" s="9" t="s">
        <v>10</v>
      </c>
    </row>
    <row r="1369" spans="1:8" x14ac:dyDescent="0.25">
      <c r="A1369" s="7">
        <v>44575</v>
      </c>
      <c r="B1369" s="8" t="s">
        <v>1670</v>
      </c>
      <c r="C1369" s="9" t="s">
        <v>51</v>
      </c>
      <c r="D1369" s="10">
        <v>876.4</v>
      </c>
      <c r="E1369" s="11">
        <v>44575</v>
      </c>
      <c r="F1369" s="10">
        <v>876.4</v>
      </c>
      <c r="G1369" s="12">
        <f>Tabla1[[#This Row],[Importe]]-Tabla1[[#This Row],[Pagado]]</f>
        <v>0</v>
      </c>
      <c r="H1369" s="9" t="s">
        <v>10</v>
      </c>
    </row>
    <row r="1370" spans="1:8" x14ac:dyDescent="0.25">
      <c r="A1370" s="7">
        <v>44575</v>
      </c>
      <c r="B1370" s="8" t="s">
        <v>1671</v>
      </c>
      <c r="C1370" s="9" t="s">
        <v>51</v>
      </c>
      <c r="D1370" s="10">
        <v>3552</v>
      </c>
      <c r="E1370" s="11">
        <v>44575</v>
      </c>
      <c r="F1370" s="10">
        <v>3552</v>
      </c>
      <c r="G1370" s="12">
        <f>Tabla1[[#This Row],[Importe]]-Tabla1[[#This Row],[Pagado]]</f>
        <v>0</v>
      </c>
      <c r="H1370" s="9" t="s">
        <v>10</v>
      </c>
    </row>
    <row r="1371" spans="1:8" x14ac:dyDescent="0.25">
      <c r="A1371" s="7">
        <v>44575</v>
      </c>
      <c r="B1371" s="8" t="s">
        <v>1672</v>
      </c>
      <c r="C1371" s="9" t="s">
        <v>282</v>
      </c>
      <c r="D1371" s="10">
        <v>1968.8</v>
      </c>
      <c r="E1371" s="11">
        <v>44576</v>
      </c>
      <c r="F1371" s="10">
        <v>1968.8</v>
      </c>
      <c r="G1371" s="12">
        <f>Tabla1[[#This Row],[Importe]]-Tabla1[[#This Row],[Pagado]]</f>
        <v>0</v>
      </c>
      <c r="H1371" s="9" t="s">
        <v>10</v>
      </c>
    </row>
    <row r="1372" spans="1:8" x14ac:dyDescent="0.25">
      <c r="A1372" s="7">
        <v>44575</v>
      </c>
      <c r="B1372" s="8" t="s">
        <v>1673</v>
      </c>
      <c r="C1372" s="9" t="s">
        <v>280</v>
      </c>
      <c r="D1372" s="10">
        <v>864.8</v>
      </c>
      <c r="E1372" s="11">
        <v>44576</v>
      </c>
      <c r="F1372" s="10">
        <v>864.8</v>
      </c>
      <c r="G1372" s="12">
        <f>Tabla1[[#This Row],[Importe]]-Tabla1[[#This Row],[Pagado]]</f>
        <v>0</v>
      </c>
      <c r="H1372" s="9" t="s">
        <v>10</v>
      </c>
    </row>
    <row r="1373" spans="1:8" x14ac:dyDescent="0.25">
      <c r="A1373" s="7">
        <v>44575</v>
      </c>
      <c r="B1373" s="8" t="s">
        <v>1674</v>
      </c>
      <c r="C1373" s="9" t="s">
        <v>284</v>
      </c>
      <c r="D1373" s="10">
        <v>8565.2000000000007</v>
      </c>
      <c r="E1373" s="11">
        <v>44576</v>
      </c>
      <c r="F1373" s="10">
        <v>8565.2000000000007</v>
      </c>
      <c r="G1373" s="12">
        <f>Tabla1[[#This Row],[Importe]]-Tabla1[[#This Row],[Pagado]]</f>
        <v>0</v>
      </c>
      <c r="H1373" s="9" t="s">
        <v>10</v>
      </c>
    </row>
    <row r="1374" spans="1:8" x14ac:dyDescent="0.25">
      <c r="A1374" s="7">
        <v>44575</v>
      </c>
      <c r="B1374" s="8" t="s">
        <v>1675</v>
      </c>
      <c r="C1374" s="9" t="s">
        <v>1676</v>
      </c>
      <c r="D1374" s="10">
        <v>1380</v>
      </c>
      <c r="E1374" s="11">
        <v>44575</v>
      </c>
      <c r="F1374" s="10">
        <v>1380</v>
      </c>
      <c r="G1374" s="12">
        <f>Tabla1[[#This Row],[Importe]]-Tabla1[[#This Row],[Pagado]]</f>
        <v>0</v>
      </c>
      <c r="H1374" s="9" t="s">
        <v>10</v>
      </c>
    </row>
    <row r="1375" spans="1:8" x14ac:dyDescent="0.25">
      <c r="A1375" s="7">
        <v>44575</v>
      </c>
      <c r="B1375" s="8" t="s">
        <v>1677</v>
      </c>
      <c r="C1375" s="9" t="s">
        <v>246</v>
      </c>
      <c r="D1375" s="10">
        <v>23371.08</v>
      </c>
      <c r="E1375" s="11">
        <v>44575</v>
      </c>
      <c r="F1375" s="10">
        <v>23371.08</v>
      </c>
      <c r="G1375" s="12">
        <f>Tabla1[[#This Row],[Importe]]-Tabla1[[#This Row],[Pagado]]</f>
        <v>0</v>
      </c>
      <c r="H1375" s="9" t="s">
        <v>10</v>
      </c>
    </row>
    <row r="1376" spans="1:8" x14ac:dyDescent="0.25">
      <c r="A1376" s="7">
        <v>44575</v>
      </c>
      <c r="B1376" s="8" t="s">
        <v>1678</v>
      </c>
      <c r="C1376" s="9" t="s">
        <v>269</v>
      </c>
      <c r="D1376" s="10">
        <v>3094.6</v>
      </c>
      <c r="E1376" s="11">
        <v>44575</v>
      </c>
      <c r="F1376" s="10">
        <v>3094.6</v>
      </c>
      <c r="G1376" s="12">
        <f>Tabla1[[#This Row],[Importe]]-Tabla1[[#This Row],[Pagado]]</f>
        <v>0</v>
      </c>
      <c r="H1376" s="9" t="s">
        <v>10</v>
      </c>
    </row>
    <row r="1377" spans="1:8" x14ac:dyDescent="0.25">
      <c r="A1377" s="7">
        <v>44575</v>
      </c>
      <c r="B1377" s="8" t="s">
        <v>1679</v>
      </c>
      <c r="C1377" s="9" t="s">
        <v>1313</v>
      </c>
      <c r="D1377" s="10">
        <v>3999.6</v>
      </c>
      <c r="E1377" s="11">
        <v>44575</v>
      </c>
      <c r="F1377" s="10">
        <v>3999.6</v>
      </c>
      <c r="G1377" s="12">
        <f>Tabla1[[#This Row],[Importe]]-Tabla1[[#This Row],[Pagado]]</f>
        <v>0</v>
      </c>
      <c r="H1377" s="9" t="s">
        <v>10</v>
      </c>
    </row>
    <row r="1378" spans="1:8" x14ac:dyDescent="0.25">
      <c r="A1378" s="7">
        <v>44575</v>
      </c>
      <c r="B1378" s="8" t="s">
        <v>1680</v>
      </c>
      <c r="C1378" s="9" t="s">
        <v>9</v>
      </c>
      <c r="D1378" s="10">
        <v>2445</v>
      </c>
      <c r="E1378" s="11">
        <v>44575</v>
      </c>
      <c r="F1378" s="10">
        <v>2445</v>
      </c>
      <c r="G1378" s="12">
        <f>Tabla1[[#This Row],[Importe]]-Tabla1[[#This Row],[Pagado]]</f>
        <v>0</v>
      </c>
      <c r="H1378" s="9" t="s">
        <v>10</v>
      </c>
    </row>
    <row r="1379" spans="1:8" x14ac:dyDescent="0.25">
      <c r="A1379" s="7">
        <v>44575</v>
      </c>
      <c r="B1379" s="8" t="s">
        <v>1681</v>
      </c>
      <c r="C1379" s="9" t="s">
        <v>71</v>
      </c>
      <c r="D1379" s="10">
        <v>1021.8</v>
      </c>
      <c r="E1379" s="11">
        <v>44575</v>
      </c>
      <c r="F1379" s="10">
        <v>1021.8</v>
      </c>
      <c r="G1379" s="12">
        <f>Tabla1[[#This Row],[Importe]]-Tabla1[[#This Row],[Pagado]]</f>
        <v>0</v>
      </c>
      <c r="H1379" s="9" t="s">
        <v>10</v>
      </c>
    </row>
    <row r="1380" spans="1:8" x14ac:dyDescent="0.25">
      <c r="A1380" s="7">
        <v>44575</v>
      </c>
      <c r="B1380" s="8" t="s">
        <v>1682</v>
      </c>
      <c r="C1380" s="9" t="s">
        <v>69</v>
      </c>
      <c r="D1380" s="10">
        <v>2070</v>
      </c>
      <c r="E1380" s="11">
        <v>44575</v>
      </c>
      <c r="F1380" s="10">
        <v>2070</v>
      </c>
      <c r="G1380" s="12">
        <f>Tabla1[[#This Row],[Importe]]-Tabla1[[#This Row],[Pagado]]</f>
        <v>0</v>
      </c>
      <c r="H1380" s="9" t="s">
        <v>10</v>
      </c>
    </row>
    <row r="1381" spans="1:8" x14ac:dyDescent="0.25">
      <c r="A1381" s="7">
        <v>44575</v>
      </c>
      <c r="B1381" s="8" t="s">
        <v>1683</v>
      </c>
      <c r="C1381" s="9" t="s">
        <v>454</v>
      </c>
      <c r="D1381" s="10">
        <v>1917.6</v>
      </c>
      <c r="E1381" s="11">
        <v>44575</v>
      </c>
      <c r="F1381" s="10">
        <v>1917.6</v>
      </c>
      <c r="G1381" s="12">
        <f>Tabla1[[#This Row],[Importe]]-Tabla1[[#This Row],[Pagado]]</f>
        <v>0</v>
      </c>
      <c r="H1381" s="9" t="s">
        <v>10</v>
      </c>
    </row>
    <row r="1382" spans="1:8" x14ac:dyDescent="0.25">
      <c r="A1382" s="7">
        <v>44575</v>
      </c>
      <c r="B1382" s="8" t="s">
        <v>1684</v>
      </c>
      <c r="C1382" s="9" t="s">
        <v>39</v>
      </c>
      <c r="D1382" s="10">
        <v>1716</v>
      </c>
      <c r="E1382" s="11">
        <v>44576</v>
      </c>
      <c r="F1382" s="10">
        <v>1716</v>
      </c>
      <c r="G1382" s="12">
        <f>Tabla1[[#This Row],[Importe]]-Tabla1[[#This Row],[Pagado]]</f>
        <v>0</v>
      </c>
      <c r="H1382" s="9" t="s">
        <v>10</v>
      </c>
    </row>
    <row r="1383" spans="1:8" x14ac:dyDescent="0.25">
      <c r="A1383" s="7">
        <v>44575</v>
      </c>
      <c r="B1383" s="8" t="s">
        <v>1685</v>
      </c>
      <c r="C1383" s="9" t="s">
        <v>681</v>
      </c>
      <c r="D1383" s="10">
        <v>3.23</v>
      </c>
      <c r="E1383" s="11">
        <v>44580</v>
      </c>
      <c r="F1383" s="10">
        <v>3.23</v>
      </c>
      <c r="G1383" s="12">
        <f>Tabla1[[#This Row],[Importe]]-Tabla1[[#This Row],[Pagado]]</f>
        <v>0</v>
      </c>
      <c r="H1383" s="9" t="s">
        <v>10</v>
      </c>
    </row>
    <row r="1384" spans="1:8" x14ac:dyDescent="0.25">
      <c r="A1384" s="7">
        <v>44575</v>
      </c>
      <c r="B1384" s="8" t="s">
        <v>1686</v>
      </c>
      <c r="C1384" s="9" t="s">
        <v>31</v>
      </c>
      <c r="D1384" s="10">
        <v>4104.7</v>
      </c>
      <c r="E1384" s="11">
        <v>44575</v>
      </c>
      <c r="F1384" s="10">
        <v>4104.7</v>
      </c>
      <c r="G1384" s="12">
        <f>Tabla1[[#This Row],[Importe]]-Tabla1[[#This Row],[Pagado]]</f>
        <v>0</v>
      </c>
      <c r="H1384" s="9" t="s">
        <v>10</v>
      </c>
    </row>
    <row r="1385" spans="1:8" x14ac:dyDescent="0.25">
      <c r="A1385" s="7">
        <v>44575</v>
      </c>
      <c r="B1385" s="8" t="s">
        <v>1687</v>
      </c>
      <c r="C1385" s="9" t="s">
        <v>56</v>
      </c>
      <c r="D1385" s="10">
        <v>8781.7999999999993</v>
      </c>
      <c r="E1385" s="11">
        <v>44575</v>
      </c>
      <c r="F1385" s="10">
        <v>8781.7999999999993</v>
      </c>
      <c r="G1385" s="12">
        <f>Tabla1[[#This Row],[Importe]]-Tabla1[[#This Row],[Pagado]]</f>
        <v>0</v>
      </c>
      <c r="H1385" s="9" t="s">
        <v>10</v>
      </c>
    </row>
    <row r="1386" spans="1:8" x14ac:dyDescent="0.25">
      <c r="A1386" s="7">
        <v>44575</v>
      </c>
      <c r="B1386" s="8" t="s">
        <v>1688</v>
      </c>
      <c r="C1386" s="9" t="s">
        <v>31</v>
      </c>
      <c r="D1386" s="10">
        <v>1108.4000000000001</v>
      </c>
      <c r="E1386" s="11">
        <v>44575</v>
      </c>
      <c r="F1386" s="10">
        <v>1108.4000000000001</v>
      </c>
      <c r="G1386" s="12">
        <f>Tabla1[[#This Row],[Importe]]-Tabla1[[#This Row],[Pagado]]</f>
        <v>0</v>
      </c>
      <c r="H1386" s="9" t="s">
        <v>10</v>
      </c>
    </row>
    <row r="1387" spans="1:8" x14ac:dyDescent="0.25">
      <c r="A1387" s="7">
        <v>44575</v>
      </c>
      <c r="B1387" s="8" t="s">
        <v>1689</v>
      </c>
      <c r="C1387" s="9" t="s">
        <v>31</v>
      </c>
      <c r="D1387" s="10">
        <v>991.7</v>
      </c>
      <c r="E1387" s="11">
        <v>44575</v>
      </c>
      <c r="F1387" s="10">
        <v>991.7</v>
      </c>
      <c r="G1387" s="12">
        <f>Tabla1[[#This Row],[Importe]]-Tabla1[[#This Row],[Pagado]]</f>
        <v>0</v>
      </c>
      <c r="H1387" s="9" t="s">
        <v>10</v>
      </c>
    </row>
    <row r="1388" spans="1:8" x14ac:dyDescent="0.25">
      <c r="A1388" s="7">
        <v>44575</v>
      </c>
      <c r="B1388" s="8" t="s">
        <v>1690</v>
      </c>
      <c r="C1388" s="9" t="s">
        <v>1421</v>
      </c>
      <c r="D1388" s="10">
        <v>17708</v>
      </c>
      <c r="E1388" s="11">
        <v>44575</v>
      </c>
      <c r="F1388" s="10">
        <v>17708</v>
      </c>
      <c r="G1388" s="12">
        <f>Tabla1[[#This Row],[Importe]]-Tabla1[[#This Row],[Pagado]]</f>
        <v>0</v>
      </c>
      <c r="H1388" s="9" t="s">
        <v>10</v>
      </c>
    </row>
    <row r="1389" spans="1:8" x14ac:dyDescent="0.25">
      <c r="A1389" s="7">
        <v>44575</v>
      </c>
      <c r="B1389" s="8" t="s">
        <v>1691</v>
      </c>
      <c r="C1389" s="9" t="s">
        <v>857</v>
      </c>
      <c r="D1389" s="10">
        <v>520</v>
      </c>
      <c r="E1389" s="11">
        <v>44575</v>
      </c>
      <c r="F1389" s="10">
        <v>520</v>
      </c>
      <c r="G1389" s="12">
        <f>Tabla1[[#This Row],[Importe]]-Tabla1[[#This Row],[Pagado]]</f>
        <v>0</v>
      </c>
      <c r="H1389" s="9" t="s">
        <v>10</v>
      </c>
    </row>
    <row r="1390" spans="1:8" x14ac:dyDescent="0.25">
      <c r="A1390" s="7">
        <v>44575</v>
      </c>
      <c r="B1390" s="8" t="s">
        <v>1692</v>
      </c>
      <c r="C1390" s="9" t="s">
        <v>612</v>
      </c>
      <c r="D1390" s="10">
        <v>409.6</v>
      </c>
      <c r="E1390" s="11">
        <v>44575</v>
      </c>
      <c r="F1390" s="10">
        <v>409.6</v>
      </c>
      <c r="G1390" s="12">
        <f>Tabla1[[#This Row],[Importe]]-Tabla1[[#This Row],[Pagado]]</f>
        <v>0</v>
      </c>
      <c r="H1390" s="9" t="s">
        <v>10</v>
      </c>
    </row>
    <row r="1391" spans="1:8" x14ac:dyDescent="0.25">
      <c r="A1391" s="7">
        <v>44575</v>
      </c>
      <c r="B1391" s="8" t="s">
        <v>1693</v>
      </c>
      <c r="C1391" s="9" t="s">
        <v>1021</v>
      </c>
      <c r="D1391" s="10">
        <v>3033.6</v>
      </c>
      <c r="E1391" s="11">
        <v>44575</v>
      </c>
      <c r="F1391" s="10">
        <v>3033.6</v>
      </c>
      <c r="G1391" s="12">
        <f>Tabla1[[#This Row],[Importe]]-Tabla1[[#This Row],[Pagado]]</f>
        <v>0</v>
      </c>
      <c r="H1391" s="9" t="s">
        <v>10</v>
      </c>
    </row>
    <row r="1392" spans="1:8" ht="90.75" x14ac:dyDescent="0.25">
      <c r="A1392" s="7">
        <v>44575</v>
      </c>
      <c r="B1392" s="8" t="s">
        <v>1694</v>
      </c>
      <c r="C1392" s="9" t="s">
        <v>870</v>
      </c>
      <c r="D1392" s="10">
        <v>31540.2</v>
      </c>
      <c r="E1392" s="103" t="s">
        <v>24631</v>
      </c>
      <c r="F1392" s="10">
        <f>1000+5000+1500+1000+2000+500+2500+5000+600+500+9940.2</f>
        <v>29540.2</v>
      </c>
      <c r="G1392" s="12">
        <f>Tabla1[[#This Row],[Importe]]-Tabla1[[#This Row],[Pagado]]</f>
        <v>2000</v>
      </c>
      <c r="H1392" s="9" t="s">
        <v>1695</v>
      </c>
    </row>
    <row r="1393" spans="1:8" x14ac:dyDescent="0.25">
      <c r="A1393" s="7">
        <v>44575</v>
      </c>
      <c r="B1393" s="8" t="s">
        <v>1696</v>
      </c>
      <c r="C1393" s="9" t="s">
        <v>261</v>
      </c>
      <c r="D1393" s="10">
        <v>3981.6</v>
      </c>
      <c r="E1393" s="11">
        <v>44576</v>
      </c>
      <c r="F1393" s="10">
        <v>3981.6</v>
      </c>
      <c r="G1393" s="12">
        <f>Tabla1[[#This Row],[Importe]]-Tabla1[[#This Row],[Pagado]]</f>
        <v>0</v>
      </c>
      <c r="H1393" s="9" t="s">
        <v>10</v>
      </c>
    </row>
    <row r="1394" spans="1:8" x14ac:dyDescent="0.25">
      <c r="A1394" s="7">
        <v>44575</v>
      </c>
      <c r="B1394" s="8" t="s">
        <v>1697</v>
      </c>
      <c r="C1394" s="9" t="s">
        <v>31</v>
      </c>
      <c r="D1394" s="10">
        <v>195</v>
      </c>
      <c r="E1394" s="11">
        <v>44575</v>
      </c>
      <c r="F1394" s="10">
        <v>195</v>
      </c>
      <c r="G1394" s="12">
        <f>Tabla1[[#This Row],[Importe]]-Tabla1[[#This Row],[Pagado]]</f>
        <v>0</v>
      </c>
      <c r="H1394" s="9" t="s">
        <v>10</v>
      </c>
    </row>
    <row r="1395" spans="1:8" x14ac:dyDescent="0.25">
      <c r="A1395" s="7">
        <v>44575</v>
      </c>
      <c r="B1395" s="8" t="s">
        <v>1698</v>
      </c>
      <c r="C1395" s="9" t="s">
        <v>872</v>
      </c>
      <c r="D1395" s="10">
        <v>3811.6</v>
      </c>
      <c r="E1395" s="11">
        <v>44575</v>
      </c>
      <c r="F1395" s="10">
        <v>3811.6</v>
      </c>
      <c r="G1395" s="12">
        <f>Tabla1[[#This Row],[Importe]]-Tabla1[[#This Row],[Pagado]]</f>
        <v>0</v>
      </c>
      <c r="H1395" s="9" t="s">
        <v>10</v>
      </c>
    </row>
    <row r="1396" spans="1:8" x14ac:dyDescent="0.25">
      <c r="A1396" s="7">
        <v>44575</v>
      </c>
      <c r="B1396" s="8" t="s">
        <v>1699</v>
      </c>
      <c r="C1396" s="9" t="s">
        <v>31</v>
      </c>
      <c r="D1396" s="10">
        <v>251.6</v>
      </c>
      <c r="E1396" s="11">
        <v>44575</v>
      </c>
      <c r="F1396" s="10">
        <v>251.6</v>
      </c>
      <c r="G1396" s="12">
        <f>Tabla1[[#This Row],[Importe]]-Tabla1[[#This Row],[Pagado]]</f>
        <v>0</v>
      </c>
      <c r="H1396" s="9" t="s">
        <v>10</v>
      </c>
    </row>
    <row r="1397" spans="1:8" x14ac:dyDescent="0.25">
      <c r="A1397" s="7">
        <v>44575</v>
      </c>
      <c r="B1397" s="8" t="s">
        <v>1700</v>
      </c>
      <c r="C1397" s="9" t="s">
        <v>298</v>
      </c>
      <c r="D1397" s="10">
        <v>7720</v>
      </c>
      <c r="E1397" s="11">
        <v>44575</v>
      </c>
      <c r="F1397" s="10">
        <v>7720</v>
      </c>
      <c r="G1397" s="12">
        <f>Tabla1[[#This Row],[Importe]]-Tabla1[[#This Row],[Pagado]]</f>
        <v>0</v>
      </c>
      <c r="H1397" s="9" t="s">
        <v>10</v>
      </c>
    </row>
    <row r="1398" spans="1:8" x14ac:dyDescent="0.25">
      <c r="A1398" s="7">
        <v>44575</v>
      </c>
      <c r="B1398" s="8" t="s">
        <v>1701</v>
      </c>
      <c r="C1398" s="9" t="s">
        <v>31</v>
      </c>
      <c r="D1398" s="10">
        <v>411.4</v>
      </c>
      <c r="E1398" s="11">
        <v>44575</v>
      </c>
      <c r="F1398" s="10">
        <v>411.4</v>
      </c>
      <c r="G1398" s="12">
        <f>Tabla1[[#This Row],[Importe]]-Tabla1[[#This Row],[Pagado]]</f>
        <v>0</v>
      </c>
      <c r="H1398" s="9" t="s">
        <v>10</v>
      </c>
    </row>
    <row r="1399" spans="1:8" x14ac:dyDescent="0.25">
      <c r="A1399" s="7">
        <v>44575</v>
      </c>
      <c r="B1399" s="8" t="s">
        <v>1702</v>
      </c>
      <c r="C1399" s="9" t="s">
        <v>31</v>
      </c>
      <c r="D1399" s="10">
        <v>54</v>
      </c>
      <c r="E1399" s="11">
        <v>44575</v>
      </c>
      <c r="F1399" s="10">
        <v>54</v>
      </c>
      <c r="G1399" s="12">
        <f>Tabla1[[#This Row],[Importe]]-Tabla1[[#This Row],[Pagado]]</f>
        <v>0</v>
      </c>
      <c r="H1399" s="9" t="s">
        <v>10</v>
      </c>
    </row>
    <row r="1400" spans="1:8" x14ac:dyDescent="0.25">
      <c r="A1400" s="7">
        <v>44575</v>
      </c>
      <c r="B1400" s="8" t="s">
        <v>1703</v>
      </c>
      <c r="C1400" s="9" t="s">
        <v>62</v>
      </c>
      <c r="D1400" s="10">
        <v>3436.8</v>
      </c>
      <c r="E1400" s="11">
        <v>44575</v>
      </c>
      <c r="F1400" s="10">
        <v>3436.8</v>
      </c>
      <c r="G1400" s="12">
        <f>Tabla1[[#This Row],[Importe]]-Tabla1[[#This Row],[Pagado]]</f>
        <v>0</v>
      </c>
      <c r="H1400" s="9" t="s">
        <v>10</v>
      </c>
    </row>
    <row r="1401" spans="1:8" x14ac:dyDescent="0.25">
      <c r="A1401" s="7">
        <v>44575</v>
      </c>
      <c r="B1401" s="8" t="s">
        <v>1704</v>
      </c>
      <c r="C1401" s="9" t="s">
        <v>31</v>
      </c>
      <c r="D1401" s="10">
        <v>61.1</v>
      </c>
      <c r="E1401" s="11">
        <v>44575</v>
      </c>
      <c r="F1401" s="10">
        <v>61.1</v>
      </c>
      <c r="G1401" s="12">
        <f>Tabla1[[#This Row],[Importe]]-Tabla1[[#This Row],[Pagado]]</f>
        <v>0</v>
      </c>
      <c r="H1401" s="9" t="s">
        <v>10</v>
      </c>
    </row>
    <row r="1402" spans="1:8" x14ac:dyDescent="0.25">
      <c r="A1402" s="7">
        <v>44575</v>
      </c>
      <c r="B1402" s="8" t="s">
        <v>1705</v>
      </c>
      <c r="C1402" s="9" t="s">
        <v>1706</v>
      </c>
      <c r="D1402" s="10">
        <v>7310.4</v>
      </c>
      <c r="E1402" s="11">
        <v>44575</v>
      </c>
      <c r="F1402" s="10">
        <v>7310.4</v>
      </c>
      <c r="G1402" s="12">
        <f>Tabla1[[#This Row],[Importe]]-Tabla1[[#This Row],[Pagado]]</f>
        <v>0</v>
      </c>
      <c r="H1402" s="9" t="s">
        <v>10</v>
      </c>
    </row>
    <row r="1403" spans="1:8" x14ac:dyDescent="0.25">
      <c r="A1403" s="7">
        <v>44575</v>
      </c>
      <c r="B1403" s="8" t="s">
        <v>1707</v>
      </c>
      <c r="C1403" s="9" t="s">
        <v>196</v>
      </c>
      <c r="D1403" s="10">
        <v>29321.599999999999</v>
      </c>
      <c r="E1403" s="11">
        <v>44582</v>
      </c>
      <c r="F1403" s="10">
        <v>29321.599999999999</v>
      </c>
      <c r="G1403" s="12">
        <f>Tabla1[[#This Row],[Importe]]-Tabla1[[#This Row],[Pagado]]</f>
        <v>0</v>
      </c>
      <c r="H1403" s="9" t="s">
        <v>10</v>
      </c>
    </row>
    <row r="1404" spans="1:8" x14ac:dyDescent="0.25">
      <c r="A1404" s="7">
        <v>44575</v>
      </c>
      <c r="B1404" s="8" t="s">
        <v>1708</v>
      </c>
      <c r="C1404" s="9" t="s">
        <v>12</v>
      </c>
      <c r="D1404" s="10">
        <v>266</v>
      </c>
      <c r="E1404" s="11">
        <v>44577</v>
      </c>
      <c r="F1404" s="10">
        <v>266</v>
      </c>
      <c r="G1404" s="12">
        <f>Tabla1[[#This Row],[Importe]]-Tabla1[[#This Row],[Pagado]]</f>
        <v>0</v>
      </c>
      <c r="H1404" s="9" t="s">
        <v>10</v>
      </c>
    </row>
    <row r="1405" spans="1:8" x14ac:dyDescent="0.25">
      <c r="A1405" s="7">
        <v>44576</v>
      </c>
      <c r="B1405" s="8" t="s">
        <v>1709</v>
      </c>
      <c r="C1405" s="9" t="s">
        <v>475</v>
      </c>
      <c r="D1405" s="10">
        <v>40320</v>
      </c>
      <c r="E1405" s="11">
        <v>44578</v>
      </c>
      <c r="F1405" s="10">
        <v>40320</v>
      </c>
      <c r="G1405" s="12">
        <f>Tabla1[[#This Row],[Importe]]-Tabla1[[#This Row],[Pagado]]</f>
        <v>0</v>
      </c>
      <c r="H1405" s="9" t="s">
        <v>10</v>
      </c>
    </row>
    <row r="1406" spans="1:8" ht="30" x14ac:dyDescent="0.25">
      <c r="A1406" s="7">
        <v>44576</v>
      </c>
      <c r="B1406" s="8" t="s">
        <v>1710</v>
      </c>
      <c r="C1406" s="9" t="s">
        <v>75</v>
      </c>
      <c r="D1406" s="10">
        <v>16159.8</v>
      </c>
      <c r="E1406" s="11" t="s">
        <v>1586</v>
      </c>
      <c r="F1406" s="10">
        <f>8100+8059.8</f>
        <v>16159.8</v>
      </c>
      <c r="G1406" s="12">
        <f>Tabla1[[#This Row],[Importe]]-Tabla1[[#This Row],[Pagado]]</f>
        <v>0</v>
      </c>
      <c r="H1406" s="9" t="s">
        <v>10</v>
      </c>
    </row>
    <row r="1407" spans="1:8" x14ac:dyDescent="0.25">
      <c r="A1407" s="7">
        <v>44576</v>
      </c>
      <c r="B1407" s="8" t="s">
        <v>1711</v>
      </c>
      <c r="C1407" s="9" t="s">
        <v>85</v>
      </c>
      <c r="D1407" s="10">
        <v>2308.1999999999998</v>
      </c>
      <c r="E1407" s="11">
        <v>44576</v>
      </c>
      <c r="F1407" s="10">
        <v>2308.1999999999998</v>
      </c>
      <c r="G1407" s="12">
        <f>Tabla1[[#This Row],[Importe]]-Tabla1[[#This Row],[Pagado]]</f>
        <v>0</v>
      </c>
      <c r="H1407" s="9" t="s">
        <v>10</v>
      </c>
    </row>
    <row r="1408" spans="1:8" x14ac:dyDescent="0.25">
      <c r="A1408" s="7">
        <v>44576</v>
      </c>
      <c r="B1408" s="8" t="s">
        <v>1712</v>
      </c>
      <c r="C1408" s="9" t="s">
        <v>198</v>
      </c>
      <c r="D1408" s="10">
        <v>945.6</v>
      </c>
      <c r="E1408" s="11">
        <v>44576</v>
      </c>
      <c r="F1408" s="10">
        <v>945.6</v>
      </c>
      <c r="G1408" s="12">
        <f>Tabla1[[#This Row],[Importe]]-Tabla1[[#This Row],[Pagado]]</f>
        <v>0</v>
      </c>
      <c r="H1408" s="9" t="s">
        <v>10</v>
      </c>
    </row>
    <row r="1409" spans="1:8" x14ac:dyDescent="0.25">
      <c r="A1409" s="7">
        <v>44576</v>
      </c>
      <c r="B1409" s="8" t="s">
        <v>1713</v>
      </c>
      <c r="C1409" s="9" t="s">
        <v>120</v>
      </c>
      <c r="D1409" s="10">
        <v>4709.6000000000004</v>
      </c>
      <c r="E1409" s="11">
        <v>44578</v>
      </c>
      <c r="F1409" s="10">
        <v>4709.6000000000004</v>
      </c>
      <c r="G1409" s="12">
        <f>Tabla1[[#This Row],[Importe]]-Tabla1[[#This Row],[Pagado]]</f>
        <v>0</v>
      </c>
      <c r="H1409" s="9" t="s">
        <v>10</v>
      </c>
    </row>
    <row r="1410" spans="1:8" x14ac:dyDescent="0.25">
      <c r="A1410" s="7">
        <v>44576</v>
      </c>
      <c r="B1410" s="8" t="s">
        <v>1714</v>
      </c>
      <c r="C1410" s="9" t="s">
        <v>12</v>
      </c>
      <c r="D1410" s="10">
        <v>43267.9</v>
      </c>
      <c r="E1410" s="11">
        <v>44577</v>
      </c>
      <c r="F1410" s="10">
        <v>43267.9</v>
      </c>
      <c r="G1410" s="12">
        <f>Tabla1[[#This Row],[Importe]]-Tabla1[[#This Row],[Pagado]]</f>
        <v>0</v>
      </c>
      <c r="H1410" s="9" t="s">
        <v>10</v>
      </c>
    </row>
    <row r="1411" spans="1:8" x14ac:dyDescent="0.25">
      <c r="A1411" s="7">
        <v>44576</v>
      </c>
      <c r="B1411" s="8" t="s">
        <v>1715</v>
      </c>
      <c r="C1411" s="9" t="s">
        <v>481</v>
      </c>
      <c r="D1411" s="10">
        <v>1526.4</v>
      </c>
      <c r="E1411" s="11">
        <v>44576</v>
      </c>
      <c r="F1411" s="10">
        <v>1526.4</v>
      </c>
      <c r="G1411" s="12">
        <f>Tabla1[[#This Row],[Importe]]-Tabla1[[#This Row],[Pagado]]</f>
        <v>0</v>
      </c>
      <c r="H1411" s="9" t="s">
        <v>10</v>
      </c>
    </row>
    <row r="1412" spans="1:8" x14ac:dyDescent="0.25">
      <c r="A1412" s="7">
        <v>44576</v>
      </c>
      <c r="B1412" s="8" t="s">
        <v>1716</v>
      </c>
      <c r="C1412" s="9" t="s">
        <v>22</v>
      </c>
      <c r="D1412" s="10">
        <v>23536.6</v>
      </c>
      <c r="E1412" s="11">
        <v>44577</v>
      </c>
      <c r="F1412" s="10">
        <v>23536.6</v>
      </c>
      <c r="G1412" s="12">
        <f>Tabla1[[#This Row],[Importe]]-Tabla1[[#This Row],[Pagado]]</f>
        <v>0</v>
      </c>
      <c r="H1412" s="9" t="s">
        <v>10</v>
      </c>
    </row>
    <row r="1413" spans="1:8" x14ac:dyDescent="0.25">
      <c r="A1413" s="7">
        <v>44576</v>
      </c>
      <c r="B1413" s="8" t="s">
        <v>1717</v>
      </c>
      <c r="C1413" s="9" t="s">
        <v>414</v>
      </c>
      <c r="D1413" s="10">
        <v>11329.8</v>
      </c>
      <c r="E1413" s="11">
        <v>44576</v>
      </c>
      <c r="F1413" s="10">
        <v>11329.8</v>
      </c>
      <c r="G1413" s="12">
        <f>Tabla1[[#This Row],[Importe]]-Tabla1[[#This Row],[Pagado]]</f>
        <v>0</v>
      </c>
      <c r="H1413" s="9" t="s">
        <v>10</v>
      </c>
    </row>
    <row r="1414" spans="1:8" x14ac:dyDescent="0.25">
      <c r="A1414" s="7">
        <v>44576</v>
      </c>
      <c r="B1414" s="8" t="s">
        <v>1718</v>
      </c>
      <c r="C1414" s="9" t="s">
        <v>371</v>
      </c>
      <c r="D1414" s="10">
        <v>16989.8</v>
      </c>
      <c r="E1414" s="11">
        <v>44576</v>
      </c>
      <c r="F1414" s="10">
        <v>16989.8</v>
      </c>
      <c r="G1414" s="12">
        <f>Tabla1[[#This Row],[Importe]]-Tabla1[[#This Row],[Pagado]]</f>
        <v>0</v>
      </c>
      <c r="H1414" s="9" t="s">
        <v>10</v>
      </c>
    </row>
    <row r="1415" spans="1:8" x14ac:dyDescent="0.25">
      <c r="A1415" s="7">
        <v>44576</v>
      </c>
      <c r="B1415" s="8" t="s">
        <v>1719</v>
      </c>
      <c r="C1415" s="9" t="s">
        <v>118</v>
      </c>
      <c r="D1415" s="10">
        <v>4196.5</v>
      </c>
      <c r="E1415" s="11">
        <v>44576</v>
      </c>
      <c r="F1415" s="10">
        <v>4196.5</v>
      </c>
      <c r="G1415" s="12">
        <f>Tabla1[[#This Row],[Importe]]-Tabla1[[#This Row],[Pagado]]</f>
        <v>0</v>
      </c>
      <c r="H1415" s="9" t="s">
        <v>10</v>
      </c>
    </row>
    <row r="1416" spans="1:8" x14ac:dyDescent="0.25">
      <c r="A1416" s="7">
        <v>44576</v>
      </c>
      <c r="B1416" s="8" t="s">
        <v>1720</v>
      </c>
      <c r="C1416" s="9" t="s">
        <v>47</v>
      </c>
      <c r="D1416" s="10">
        <v>38198.400000000001</v>
      </c>
      <c r="E1416" s="11">
        <v>44576</v>
      </c>
      <c r="F1416" s="10">
        <v>38198.400000000001</v>
      </c>
      <c r="G1416" s="12">
        <f>Tabla1[[#This Row],[Importe]]-Tabla1[[#This Row],[Pagado]]</f>
        <v>0</v>
      </c>
      <c r="H1416" s="9" t="s">
        <v>10</v>
      </c>
    </row>
    <row r="1417" spans="1:8" x14ac:dyDescent="0.25">
      <c r="A1417" s="7">
        <v>44576</v>
      </c>
      <c r="B1417" s="8" t="s">
        <v>1721</v>
      </c>
      <c r="C1417" s="9" t="s">
        <v>116</v>
      </c>
      <c r="D1417" s="10">
        <v>3673.6</v>
      </c>
      <c r="E1417" s="11">
        <v>44578</v>
      </c>
      <c r="F1417" s="10">
        <v>3673.6</v>
      </c>
      <c r="G1417" s="12">
        <f>Tabla1[[#This Row],[Importe]]-Tabla1[[#This Row],[Pagado]]</f>
        <v>0</v>
      </c>
      <c r="H1417" s="9" t="s">
        <v>10</v>
      </c>
    </row>
    <row r="1418" spans="1:8" x14ac:dyDescent="0.25">
      <c r="A1418" s="7">
        <v>44576</v>
      </c>
      <c r="B1418" s="8" t="s">
        <v>1722</v>
      </c>
      <c r="C1418" s="9" t="s">
        <v>99</v>
      </c>
      <c r="D1418" s="10">
        <v>7372.4</v>
      </c>
      <c r="E1418" s="11">
        <v>44578</v>
      </c>
      <c r="F1418" s="10">
        <v>7372.4</v>
      </c>
      <c r="G1418" s="12">
        <f>Tabla1[[#This Row],[Importe]]-Tabla1[[#This Row],[Pagado]]</f>
        <v>0</v>
      </c>
      <c r="H1418" s="9" t="s">
        <v>10</v>
      </c>
    </row>
    <row r="1419" spans="1:8" x14ac:dyDescent="0.25">
      <c r="A1419" s="7">
        <v>44576</v>
      </c>
      <c r="B1419" s="8" t="s">
        <v>1723</v>
      </c>
      <c r="C1419" s="9" t="s">
        <v>314</v>
      </c>
      <c r="D1419" s="10">
        <v>4701.2</v>
      </c>
      <c r="E1419" s="11">
        <v>44576</v>
      </c>
      <c r="F1419" s="10">
        <v>4701.2</v>
      </c>
      <c r="G1419" s="12">
        <f>Tabla1[[#This Row],[Importe]]-Tabla1[[#This Row],[Pagado]]</f>
        <v>0</v>
      </c>
      <c r="H1419" s="9" t="s">
        <v>10</v>
      </c>
    </row>
    <row r="1420" spans="1:8" x14ac:dyDescent="0.25">
      <c r="A1420" s="7">
        <v>44576</v>
      </c>
      <c r="B1420" s="8" t="s">
        <v>1724</v>
      </c>
      <c r="C1420" s="9" t="s">
        <v>87</v>
      </c>
      <c r="D1420" s="10">
        <v>3606.8</v>
      </c>
      <c r="E1420" s="11">
        <v>44576</v>
      </c>
      <c r="F1420" s="10">
        <v>3606.8</v>
      </c>
      <c r="G1420" s="12">
        <f>Tabla1[[#This Row],[Importe]]-Tabla1[[#This Row],[Pagado]]</f>
        <v>0</v>
      </c>
      <c r="H1420" s="9" t="s">
        <v>10</v>
      </c>
    </row>
    <row r="1421" spans="1:8" x14ac:dyDescent="0.25">
      <c r="A1421" s="7">
        <v>44576</v>
      </c>
      <c r="B1421" s="8" t="s">
        <v>1725</v>
      </c>
      <c r="C1421" s="9" t="s">
        <v>251</v>
      </c>
      <c r="D1421" s="10">
        <v>1015.2</v>
      </c>
      <c r="E1421" s="11">
        <v>44576</v>
      </c>
      <c r="F1421" s="10">
        <v>1015.2</v>
      </c>
      <c r="G1421" s="12">
        <f>Tabla1[[#This Row],[Importe]]-Tabla1[[#This Row],[Pagado]]</f>
        <v>0</v>
      </c>
      <c r="H1421" s="9" t="s">
        <v>10</v>
      </c>
    </row>
    <row r="1422" spans="1:8" x14ac:dyDescent="0.25">
      <c r="A1422" s="7">
        <v>44576</v>
      </c>
      <c r="B1422" s="8" t="s">
        <v>1726</v>
      </c>
      <c r="C1422" s="9" t="s">
        <v>484</v>
      </c>
      <c r="D1422" s="10">
        <v>6652.8</v>
      </c>
      <c r="E1422" s="11">
        <v>44576</v>
      </c>
      <c r="F1422" s="10">
        <v>6652.8</v>
      </c>
      <c r="G1422" s="12">
        <f>Tabla1[[#This Row],[Importe]]-Tabla1[[#This Row],[Pagado]]</f>
        <v>0</v>
      </c>
      <c r="H1422" s="9" t="s">
        <v>10</v>
      </c>
    </row>
    <row r="1423" spans="1:8" x14ac:dyDescent="0.25">
      <c r="A1423" s="7">
        <v>44576</v>
      </c>
      <c r="B1423" s="8" t="s">
        <v>1727</v>
      </c>
      <c r="C1423" s="9" t="s">
        <v>348</v>
      </c>
      <c r="D1423" s="10">
        <v>7210.5</v>
      </c>
      <c r="E1423" s="11">
        <v>44576</v>
      </c>
      <c r="F1423" s="10">
        <v>7210.5</v>
      </c>
      <c r="G1423" s="12">
        <f>Tabla1[[#This Row],[Importe]]-Tabla1[[#This Row],[Pagado]]</f>
        <v>0</v>
      </c>
      <c r="H1423" s="9" t="s">
        <v>10</v>
      </c>
    </row>
    <row r="1424" spans="1:8" x14ac:dyDescent="0.25">
      <c r="A1424" s="7">
        <v>44576</v>
      </c>
      <c r="B1424" s="8" t="s">
        <v>1728</v>
      </c>
      <c r="C1424" s="9" t="s">
        <v>64</v>
      </c>
      <c r="D1424" s="10">
        <v>8097.6</v>
      </c>
      <c r="E1424" s="11">
        <v>44579</v>
      </c>
      <c r="F1424" s="10">
        <v>8097.6</v>
      </c>
      <c r="G1424" s="12">
        <f>Tabla1[[#This Row],[Importe]]-Tabla1[[#This Row],[Pagado]]</f>
        <v>0</v>
      </c>
      <c r="H1424" s="9" t="s">
        <v>10</v>
      </c>
    </row>
    <row r="1425" spans="1:8" x14ac:dyDescent="0.25">
      <c r="A1425" s="7">
        <v>44576</v>
      </c>
      <c r="B1425" s="8" t="s">
        <v>1729</v>
      </c>
      <c r="C1425" s="9" t="s">
        <v>60</v>
      </c>
      <c r="D1425" s="10">
        <v>8360.7999999999993</v>
      </c>
      <c r="E1425" s="11">
        <v>44581</v>
      </c>
      <c r="F1425" s="10">
        <v>8360.7999999999993</v>
      </c>
      <c r="G1425" s="12">
        <f>Tabla1[[#This Row],[Importe]]-Tabla1[[#This Row],[Pagado]]</f>
        <v>0</v>
      </c>
      <c r="H1425" s="9" t="s">
        <v>10</v>
      </c>
    </row>
    <row r="1426" spans="1:8" x14ac:dyDescent="0.25">
      <c r="A1426" s="7">
        <v>44576</v>
      </c>
      <c r="B1426" s="8" t="s">
        <v>1730</v>
      </c>
      <c r="C1426" s="9" t="s">
        <v>93</v>
      </c>
      <c r="D1426" s="10">
        <v>17010.8</v>
      </c>
      <c r="E1426" s="11">
        <v>44578</v>
      </c>
      <c r="F1426" s="10">
        <v>17010.8</v>
      </c>
      <c r="G1426" s="12">
        <f>Tabla1[[#This Row],[Importe]]-Tabla1[[#This Row],[Pagado]]</f>
        <v>0</v>
      </c>
      <c r="H1426" s="9" t="s">
        <v>10</v>
      </c>
    </row>
    <row r="1427" spans="1:8" x14ac:dyDescent="0.25">
      <c r="A1427" s="7">
        <v>44576</v>
      </c>
      <c r="B1427" s="8" t="s">
        <v>1731</v>
      </c>
      <c r="C1427" s="9" t="s">
        <v>9</v>
      </c>
      <c r="D1427" s="10">
        <v>6879.5</v>
      </c>
      <c r="E1427" s="11">
        <v>44576</v>
      </c>
      <c r="F1427" s="10">
        <v>6879.5</v>
      </c>
      <c r="G1427" s="12">
        <f>Tabla1[[#This Row],[Importe]]-Tabla1[[#This Row],[Pagado]]</f>
        <v>0</v>
      </c>
      <c r="H1427" s="9" t="s">
        <v>10</v>
      </c>
    </row>
    <row r="1428" spans="1:8" x14ac:dyDescent="0.25">
      <c r="A1428" s="7">
        <v>44576</v>
      </c>
      <c r="B1428" s="8" t="s">
        <v>1732</v>
      </c>
      <c r="C1428" s="9" t="s">
        <v>111</v>
      </c>
      <c r="D1428" s="10">
        <v>8753.4</v>
      </c>
      <c r="E1428" s="11">
        <v>44578</v>
      </c>
      <c r="F1428" s="10">
        <v>8753.4</v>
      </c>
      <c r="G1428" s="12">
        <f>Tabla1[[#This Row],[Importe]]-Tabla1[[#This Row],[Pagado]]</f>
        <v>0</v>
      </c>
      <c r="H1428" s="9" t="s">
        <v>10</v>
      </c>
    </row>
    <row r="1429" spans="1:8" x14ac:dyDescent="0.25">
      <c r="A1429" s="7">
        <v>44576</v>
      </c>
      <c r="B1429" s="8" t="s">
        <v>1733</v>
      </c>
      <c r="C1429" s="9" t="s">
        <v>109</v>
      </c>
      <c r="D1429" s="10">
        <v>8499.6</v>
      </c>
      <c r="E1429" s="11">
        <v>44578</v>
      </c>
      <c r="F1429" s="10">
        <v>8499.6</v>
      </c>
      <c r="G1429" s="12">
        <f>Tabla1[[#This Row],[Importe]]-Tabla1[[#This Row],[Pagado]]</f>
        <v>0</v>
      </c>
      <c r="H1429" s="9" t="s">
        <v>10</v>
      </c>
    </row>
    <row r="1430" spans="1:8" x14ac:dyDescent="0.25">
      <c r="A1430" s="7">
        <v>44576</v>
      </c>
      <c r="B1430" s="8" t="s">
        <v>1734</v>
      </c>
      <c r="C1430" s="9" t="s">
        <v>326</v>
      </c>
      <c r="D1430" s="10">
        <v>5116.8999999999996</v>
      </c>
      <c r="E1430" s="11">
        <v>44578</v>
      </c>
      <c r="F1430" s="10">
        <v>5116.8999999999996</v>
      </c>
      <c r="G1430" s="12">
        <f>Tabla1[[#This Row],[Importe]]-Tabla1[[#This Row],[Pagado]]</f>
        <v>0</v>
      </c>
      <c r="H1430" s="9" t="s">
        <v>10</v>
      </c>
    </row>
    <row r="1431" spans="1:8" x14ac:dyDescent="0.25">
      <c r="A1431" s="7">
        <v>44576</v>
      </c>
      <c r="B1431" s="8" t="s">
        <v>1735</v>
      </c>
      <c r="C1431" s="9" t="s">
        <v>345</v>
      </c>
      <c r="D1431" s="10">
        <v>888.3</v>
      </c>
      <c r="E1431" s="11">
        <v>44576</v>
      </c>
      <c r="F1431" s="10">
        <v>888.3</v>
      </c>
      <c r="G1431" s="12">
        <f>Tabla1[[#This Row],[Importe]]-Tabla1[[#This Row],[Pagado]]</f>
        <v>0</v>
      </c>
      <c r="H1431" s="9" t="s">
        <v>10</v>
      </c>
    </row>
    <row r="1432" spans="1:8" ht="30" x14ac:dyDescent="0.25">
      <c r="A1432" s="7">
        <v>44576</v>
      </c>
      <c r="B1432" s="8" t="s">
        <v>1736</v>
      </c>
      <c r="C1432" s="9" t="s">
        <v>39</v>
      </c>
      <c r="D1432" s="10">
        <v>36771.699999999997</v>
      </c>
      <c r="E1432" s="11" t="s">
        <v>1737</v>
      </c>
      <c r="F1432" s="10">
        <f>10000+26771.7</f>
        <v>36771.699999999997</v>
      </c>
      <c r="G1432" s="12">
        <f>Tabla1[[#This Row],[Importe]]-Tabla1[[#This Row],[Pagado]]</f>
        <v>0</v>
      </c>
      <c r="H1432" s="9" t="s">
        <v>10</v>
      </c>
    </row>
    <row r="1433" spans="1:8" x14ac:dyDescent="0.25">
      <c r="A1433" s="7">
        <v>44576</v>
      </c>
      <c r="B1433" s="8" t="s">
        <v>1738</v>
      </c>
      <c r="C1433" s="9" t="s">
        <v>89</v>
      </c>
      <c r="D1433" s="10">
        <v>4118.3999999999996</v>
      </c>
      <c r="E1433" s="11">
        <v>44578</v>
      </c>
      <c r="F1433" s="10">
        <v>4118.3999999999996</v>
      </c>
      <c r="G1433" s="12">
        <f>Tabla1[[#This Row],[Importe]]-Tabla1[[#This Row],[Pagado]]</f>
        <v>0</v>
      </c>
      <c r="H1433" s="9" t="s">
        <v>10</v>
      </c>
    </row>
    <row r="1434" spans="1:8" x14ac:dyDescent="0.25">
      <c r="A1434" s="7">
        <v>44576</v>
      </c>
      <c r="B1434" s="8" t="s">
        <v>1739</v>
      </c>
      <c r="C1434" s="9" t="s">
        <v>414</v>
      </c>
      <c r="D1434" s="10">
        <v>47686.5</v>
      </c>
      <c r="E1434" s="11">
        <v>44617</v>
      </c>
      <c r="F1434" s="10">
        <v>47686.5</v>
      </c>
      <c r="G1434" s="12">
        <f>Tabla1[[#This Row],[Importe]]-Tabla1[[#This Row],[Pagado]]</f>
        <v>0</v>
      </c>
      <c r="H1434" s="9" t="s">
        <v>10</v>
      </c>
    </row>
    <row r="1435" spans="1:8" x14ac:dyDescent="0.25">
      <c r="A1435" s="7">
        <v>44576</v>
      </c>
      <c r="B1435" s="8" t="s">
        <v>1740</v>
      </c>
      <c r="C1435" s="9" t="s">
        <v>114</v>
      </c>
      <c r="D1435" s="10">
        <v>9545.4</v>
      </c>
      <c r="E1435" s="11">
        <v>44578</v>
      </c>
      <c r="F1435" s="10">
        <v>9545.4</v>
      </c>
      <c r="G1435" s="12">
        <f>Tabla1[[#This Row],[Importe]]-Tabla1[[#This Row],[Pagado]]</f>
        <v>0</v>
      </c>
      <c r="H1435" s="9" t="s">
        <v>10</v>
      </c>
    </row>
    <row r="1436" spans="1:8" x14ac:dyDescent="0.25">
      <c r="A1436" s="7">
        <v>44576</v>
      </c>
      <c r="B1436" s="8" t="s">
        <v>1741</v>
      </c>
      <c r="C1436" s="9" t="s">
        <v>918</v>
      </c>
      <c r="D1436" s="10">
        <v>2237.1999999999998</v>
      </c>
      <c r="E1436" s="11">
        <v>44576</v>
      </c>
      <c r="F1436" s="10">
        <v>2237.1999999999998</v>
      </c>
      <c r="G1436" s="12">
        <f>Tabla1[[#This Row],[Importe]]-Tabla1[[#This Row],[Pagado]]</f>
        <v>0</v>
      </c>
      <c r="H1436" s="9" t="s">
        <v>10</v>
      </c>
    </row>
    <row r="1437" spans="1:8" x14ac:dyDescent="0.25">
      <c r="A1437" s="7">
        <v>44576</v>
      </c>
      <c r="B1437" s="8" t="s">
        <v>1742</v>
      </c>
      <c r="C1437" s="9" t="s">
        <v>97</v>
      </c>
      <c r="D1437" s="10">
        <v>16792.900000000001</v>
      </c>
      <c r="E1437" s="11">
        <v>44578</v>
      </c>
      <c r="F1437" s="10">
        <v>16792.900000000001</v>
      </c>
      <c r="G1437" s="12">
        <f>Tabla1[[#This Row],[Importe]]-Tabla1[[#This Row],[Pagado]]</f>
        <v>0</v>
      </c>
      <c r="H1437" s="9" t="s">
        <v>10</v>
      </c>
    </row>
    <row r="1438" spans="1:8" x14ac:dyDescent="0.25">
      <c r="A1438" s="7">
        <v>44576</v>
      </c>
      <c r="B1438" s="8" t="s">
        <v>1743</v>
      </c>
      <c r="C1438" s="9" t="s">
        <v>105</v>
      </c>
      <c r="D1438" s="10">
        <v>16510.099999999999</v>
      </c>
      <c r="E1438" s="11">
        <v>44578</v>
      </c>
      <c r="F1438" s="10">
        <v>16510.099999999999</v>
      </c>
      <c r="G1438" s="12">
        <f>Tabla1[[#This Row],[Importe]]-Tabla1[[#This Row],[Pagado]]</f>
        <v>0</v>
      </c>
      <c r="H1438" s="9" t="s">
        <v>10</v>
      </c>
    </row>
    <row r="1439" spans="1:8" x14ac:dyDescent="0.25">
      <c r="A1439" s="7">
        <v>44576</v>
      </c>
      <c r="B1439" s="8" t="s">
        <v>1744</v>
      </c>
      <c r="C1439" s="9" t="s">
        <v>924</v>
      </c>
      <c r="D1439" s="10">
        <v>10040.200000000001</v>
      </c>
      <c r="E1439" s="11">
        <v>44576</v>
      </c>
      <c r="F1439" s="10">
        <v>10040.200000000001</v>
      </c>
      <c r="G1439" s="12">
        <f>Tabla1[[#This Row],[Importe]]-Tabla1[[#This Row],[Pagado]]</f>
        <v>0</v>
      </c>
      <c r="H1439" s="9" t="s">
        <v>10</v>
      </c>
    </row>
    <row r="1440" spans="1:8" x14ac:dyDescent="0.25">
      <c r="A1440" s="7">
        <v>44576</v>
      </c>
      <c r="B1440" s="8" t="s">
        <v>1745</v>
      </c>
      <c r="C1440" s="9" t="s">
        <v>22</v>
      </c>
      <c r="D1440" s="10">
        <v>20860</v>
      </c>
      <c r="E1440" s="11">
        <v>44577</v>
      </c>
      <c r="F1440" s="10">
        <v>20860</v>
      </c>
      <c r="G1440" s="12">
        <f>Tabla1[[#This Row],[Importe]]-Tabla1[[#This Row],[Pagado]]</f>
        <v>0</v>
      </c>
      <c r="H1440" s="9" t="s">
        <v>10</v>
      </c>
    </row>
    <row r="1441" spans="1:8" x14ac:dyDescent="0.25">
      <c r="A1441" s="7">
        <v>44576</v>
      </c>
      <c r="B1441" s="8" t="s">
        <v>1746</v>
      </c>
      <c r="C1441" s="9" t="s">
        <v>131</v>
      </c>
      <c r="D1441" s="10">
        <v>12067.2</v>
      </c>
      <c r="E1441" s="11">
        <v>44576</v>
      </c>
      <c r="F1441" s="10">
        <v>12067.2</v>
      </c>
      <c r="G1441" s="12">
        <f>Tabla1[[#This Row],[Importe]]-Tabla1[[#This Row],[Pagado]]</f>
        <v>0</v>
      </c>
      <c r="H1441" s="9" t="s">
        <v>10</v>
      </c>
    </row>
    <row r="1442" spans="1:8" x14ac:dyDescent="0.25">
      <c r="A1442" s="7">
        <v>44576</v>
      </c>
      <c r="B1442" s="8" t="s">
        <v>1747</v>
      </c>
      <c r="C1442" s="9" t="s">
        <v>16</v>
      </c>
      <c r="D1442" s="10">
        <v>5833.2</v>
      </c>
      <c r="E1442" s="11">
        <v>44576</v>
      </c>
      <c r="F1442" s="10">
        <v>5833.2</v>
      </c>
      <c r="G1442" s="12">
        <f>Tabla1[[#This Row],[Importe]]-Tabla1[[#This Row],[Pagado]]</f>
        <v>0</v>
      </c>
      <c r="H1442" s="9" t="s">
        <v>10</v>
      </c>
    </row>
    <row r="1443" spans="1:8" x14ac:dyDescent="0.25">
      <c r="A1443" s="7">
        <v>44576</v>
      </c>
      <c r="B1443" s="8" t="s">
        <v>1748</v>
      </c>
      <c r="C1443" s="9" t="s">
        <v>93</v>
      </c>
      <c r="D1443" s="10">
        <v>2773</v>
      </c>
      <c r="E1443" s="11">
        <v>44579</v>
      </c>
      <c r="F1443" s="10">
        <v>2773</v>
      </c>
      <c r="G1443" s="12">
        <f>Tabla1[[#This Row],[Importe]]-Tabla1[[#This Row],[Pagado]]</f>
        <v>0</v>
      </c>
      <c r="H1443" s="9" t="s">
        <v>10</v>
      </c>
    </row>
    <row r="1444" spans="1:8" x14ac:dyDescent="0.25">
      <c r="A1444" s="7">
        <v>44576</v>
      </c>
      <c r="B1444" s="8" t="s">
        <v>1749</v>
      </c>
      <c r="C1444" s="9" t="s">
        <v>224</v>
      </c>
      <c r="D1444" s="10">
        <v>2160</v>
      </c>
      <c r="E1444" s="11">
        <v>44576</v>
      </c>
      <c r="F1444" s="10">
        <v>2160</v>
      </c>
      <c r="G1444" s="12">
        <f>Tabla1[[#This Row],[Importe]]-Tabla1[[#This Row],[Pagado]]</f>
        <v>0</v>
      </c>
      <c r="H1444" s="9" t="s">
        <v>10</v>
      </c>
    </row>
    <row r="1445" spans="1:8" x14ac:dyDescent="0.25">
      <c r="A1445" s="7">
        <v>44576</v>
      </c>
      <c r="B1445" s="8" t="s">
        <v>1750</v>
      </c>
      <c r="C1445" s="9" t="s">
        <v>226</v>
      </c>
      <c r="D1445" s="10">
        <v>2613.6</v>
      </c>
      <c r="E1445" s="11">
        <v>44576</v>
      </c>
      <c r="F1445" s="10">
        <v>2613.6</v>
      </c>
      <c r="G1445" s="12">
        <f>Tabla1[[#This Row],[Importe]]-Tabla1[[#This Row],[Pagado]]</f>
        <v>0</v>
      </c>
      <c r="H1445" s="9" t="s">
        <v>10</v>
      </c>
    </row>
    <row r="1446" spans="1:8" x14ac:dyDescent="0.25">
      <c r="A1446" s="7">
        <v>44576</v>
      </c>
      <c r="B1446" s="8" t="s">
        <v>1751</v>
      </c>
      <c r="C1446" s="9" t="s">
        <v>107</v>
      </c>
      <c r="D1446" s="10">
        <v>21290.3</v>
      </c>
      <c r="E1446" s="11">
        <v>44576</v>
      </c>
      <c r="F1446" s="10">
        <v>21290.3</v>
      </c>
      <c r="G1446" s="12">
        <f>Tabla1[[#This Row],[Importe]]-Tabla1[[#This Row],[Pagado]]</f>
        <v>0</v>
      </c>
      <c r="H1446" s="9" t="s">
        <v>10</v>
      </c>
    </row>
    <row r="1447" spans="1:8" x14ac:dyDescent="0.25">
      <c r="A1447" s="7">
        <v>44576</v>
      </c>
      <c r="B1447" s="8" t="s">
        <v>1752</v>
      </c>
      <c r="C1447" s="9" t="s">
        <v>49</v>
      </c>
      <c r="D1447" s="10">
        <v>2645.9</v>
      </c>
      <c r="E1447" s="11">
        <v>44576</v>
      </c>
      <c r="F1447" s="10">
        <v>2645.9</v>
      </c>
      <c r="G1447" s="12">
        <f>Tabla1[[#This Row],[Importe]]-Tabla1[[#This Row],[Pagado]]</f>
        <v>0</v>
      </c>
      <c r="H1447" s="9" t="s">
        <v>10</v>
      </c>
    </row>
    <row r="1448" spans="1:8" x14ac:dyDescent="0.25">
      <c r="A1448" s="7">
        <v>44576</v>
      </c>
      <c r="B1448" s="8" t="s">
        <v>1753</v>
      </c>
      <c r="C1448" s="9" t="s">
        <v>146</v>
      </c>
      <c r="D1448" s="10">
        <v>7429.8</v>
      </c>
      <c r="E1448" s="11">
        <v>44576</v>
      </c>
      <c r="F1448" s="10">
        <v>7429.8</v>
      </c>
      <c r="G1448" s="12">
        <f>Tabla1[[#This Row],[Importe]]-Tabla1[[#This Row],[Pagado]]</f>
        <v>0</v>
      </c>
      <c r="H1448" s="9" t="s">
        <v>10</v>
      </c>
    </row>
    <row r="1449" spans="1:8" x14ac:dyDescent="0.25">
      <c r="A1449" s="7">
        <v>44576</v>
      </c>
      <c r="B1449" s="8" t="s">
        <v>1754</v>
      </c>
      <c r="C1449" s="9" t="s">
        <v>27</v>
      </c>
      <c r="D1449" s="10">
        <v>1605.5</v>
      </c>
      <c r="E1449" s="11">
        <v>44576</v>
      </c>
      <c r="F1449" s="10">
        <v>1605.5</v>
      </c>
      <c r="G1449" s="12">
        <f>Tabla1[[#This Row],[Importe]]-Tabla1[[#This Row],[Pagado]]</f>
        <v>0</v>
      </c>
      <c r="H1449" s="9" t="s">
        <v>10</v>
      </c>
    </row>
    <row r="1450" spans="1:8" x14ac:dyDescent="0.25">
      <c r="A1450" s="7">
        <v>44576</v>
      </c>
      <c r="B1450" s="8" t="s">
        <v>1755</v>
      </c>
      <c r="C1450" s="9" t="s">
        <v>934</v>
      </c>
      <c r="D1450" s="10">
        <v>1579.92</v>
      </c>
      <c r="E1450" s="11">
        <v>44577</v>
      </c>
      <c r="F1450" s="10">
        <v>1579.92</v>
      </c>
      <c r="G1450" s="12">
        <f>Tabla1[[#This Row],[Importe]]-Tabla1[[#This Row],[Pagado]]</f>
        <v>0</v>
      </c>
      <c r="H1450" s="9" t="s">
        <v>10</v>
      </c>
    </row>
    <row r="1451" spans="1:8" x14ac:dyDescent="0.25">
      <c r="A1451" s="7">
        <v>44576</v>
      </c>
      <c r="B1451" s="8" t="s">
        <v>1756</v>
      </c>
      <c r="C1451" s="9" t="s">
        <v>966</v>
      </c>
      <c r="D1451" s="10">
        <v>1579.92</v>
      </c>
      <c r="E1451" s="11">
        <v>44577</v>
      </c>
      <c r="F1451" s="10">
        <v>1579.92</v>
      </c>
      <c r="G1451" s="12">
        <f>Tabla1[[#This Row],[Importe]]-Tabla1[[#This Row],[Pagado]]</f>
        <v>0</v>
      </c>
      <c r="H1451" s="9" t="s">
        <v>10</v>
      </c>
    </row>
    <row r="1452" spans="1:8" x14ac:dyDescent="0.25">
      <c r="A1452" s="7">
        <v>44576</v>
      </c>
      <c r="B1452" s="8" t="s">
        <v>1757</v>
      </c>
      <c r="C1452" s="9" t="s">
        <v>183</v>
      </c>
      <c r="D1452" s="10">
        <v>2003.1</v>
      </c>
      <c r="E1452" s="11">
        <v>44577</v>
      </c>
      <c r="F1452" s="10">
        <v>2003.1</v>
      </c>
      <c r="G1452" s="12">
        <f>Tabla1[[#This Row],[Importe]]-Tabla1[[#This Row],[Pagado]]</f>
        <v>0</v>
      </c>
      <c r="H1452" s="9" t="s">
        <v>10</v>
      </c>
    </row>
    <row r="1453" spans="1:8" x14ac:dyDescent="0.25">
      <c r="A1453" s="7">
        <v>44576</v>
      </c>
      <c r="B1453" s="8" t="s">
        <v>1758</v>
      </c>
      <c r="C1453" s="9" t="s">
        <v>230</v>
      </c>
      <c r="D1453" s="10">
        <v>4908</v>
      </c>
      <c r="E1453" s="11">
        <v>44576</v>
      </c>
      <c r="F1453" s="10">
        <v>4908</v>
      </c>
      <c r="G1453" s="12">
        <f>Tabla1[[#This Row],[Importe]]-Tabla1[[#This Row],[Pagado]]</f>
        <v>0</v>
      </c>
      <c r="H1453" s="9" t="s">
        <v>10</v>
      </c>
    </row>
    <row r="1454" spans="1:8" x14ac:dyDescent="0.25">
      <c r="A1454" s="7">
        <v>44576</v>
      </c>
      <c r="B1454" s="8" t="s">
        <v>1759</v>
      </c>
      <c r="C1454" s="9" t="s">
        <v>289</v>
      </c>
      <c r="D1454" s="10">
        <v>8053.2</v>
      </c>
      <c r="E1454" s="11">
        <v>44576</v>
      </c>
      <c r="F1454" s="10">
        <v>8053.2</v>
      </c>
      <c r="G1454" s="12">
        <f>Tabla1[[#This Row],[Importe]]-Tabla1[[#This Row],[Pagado]]</f>
        <v>0</v>
      </c>
      <c r="H1454" s="9" t="s">
        <v>10</v>
      </c>
    </row>
    <row r="1455" spans="1:8" x14ac:dyDescent="0.25">
      <c r="A1455" s="7">
        <v>44576</v>
      </c>
      <c r="B1455" s="8" t="s">
        <v>1760</v>
      </c>
      <c r="C1455" s="9" t="s">
        <v>29</v>
      </c>
      <c r="D1455" s="10">
        <v>5198</v>
      </c>
      <c r="E1455" s="11">
        <v>44576</v>
      </c>
      <c r="F1455" s="10">
        <v>5198</v>
      </c>
      <c r="G1455" s="12">
        <f>Tabla1[[#This Row],[Importe]]-Tabla1[[#This Row],[Pagado]]</f>
        <v>0</v>
      </c>
      <c r="H1455" s="9" t="s">
        <v>10</v>
      </c>
    </row>
    <row r="1456" spans="1:8" x14ac:dyDescent="0.25">
      <c r="A1456" s="7">
        <v>44576</v>
      </c>
      <c r="B1456" s="8" t="s">
        <v>1761</v>
      </c>
      <c r="C1456" s="9" t="s">
        <v>319</v>
      </c>
      <c r="D1456" s="10">
        <v>12298.6</v>
      </c>
      <c r="E1456" s="11">
        <v>44577</v>
      </c>
      <c r="F1456" s="10">
        <v>12298.6</v>
      </c>
      <c r="G1456" s="12">
        <f>Tabla1[[#This Row],[Importe]]-Tabla1[[#This Row],[Pagado]]</f>
        <v>0</v>
      </c>
      <c r="H1456" s="9" t="s">
        <v>10</v>
      </c>
    </row>
    <row r="1457" spans="1:8" x14ac:dyDescent="0.25">
      <c r="A1457" s="7">
        <v>44576</v>
      </c>
      <c r="B1457" s="8" t="s">
        <v>1762</v>
      </c>
      <c r="C1457" s="9" t="s">
        <v>319</v>
      </c>
      <c r="D1457" s="10">
        <v>1077</v>
      </c>
      <c r="E1457" s="11">
        <v>44577</v>
      </c>
      <c r="F1457" s="10">
        <v>1077</v>
      </c>
      <c r="G1457" s="12">
        <f>Tabla1[[#This Row],[Importe]]-Tabla1[[#This Row],[Pagado]]</f>
        <v>0</v>
      </c>
      <c r="H1457" s="9" t="s">
        <v>10</v>
      </c>
    </row>
    <row r="1458" spans="1:8" x14ac:dyDescent="0.25">
      <c r="A1458" s="7">
        <v>44576</v>
      </c>
      <c r="B1458" s="8" t="s">
        <v>1763</v>
      </c>
      <c r="C1458" s="9" t="s">
        <v>525</v>
      </c>
      <c r="D1458" s="10">
        <v>6721.5</v>
      </c>
      <c r="E1458" s="11">
        <v>44577</v>
      </c>
      <c r="F1458" s="10">
        <v>6721.5</v>
      </c>
      <c r="G1458" s="12">
        <f>Tabla1[[#This Row],[Importe]]-Tabla1[[#This Row],[Pagado]]</f>
        <v>0</v>
      </c>
      <c r="H1458" s="9" t="s">
        <v>10</v>
      </c>
    </row>
    <row r="1459" spans="1:8" x14ac:dyDescent="0.25">
      <c r="A1459" s="7">
        <v>44576</v>
      </c>
      <c r="B1459" s="8" t="s">
        <v>1764</v>
      </c>
      <c r="C1459" s="9" t="s">
        <v>380</v>
      </c>
      <c r="D1459" s="10">
        <v>8070.4</v>
      </c>
      <c r="E1459" s="11">
        <v>44577</v>
      </c>
      <c r="F1459" s="10">
        <v>8070.4</v>
      </c>
      <c r="G1459" s="12">
        <f>Tabla1[[#This Row],[Importe]]-Tabla1[[#This Row],[Pagado]]</f>
        <v>0</v>
      </c>
      <c r="H1459" s="9" t="s">
        <v>10</v>
      </c>
    </row>
    <row r="1460" spans="1:8" x14ac:dyDescent="0.25">
      <c r="A1460" s="7">
        <v>44576</v>
      </c>
      <c r="B1460" s="8" t="s">
        <v>1765</v>
      </c>
      <c r="C1460" s="9" t="s">
        <v>125</v>
      </c>
      <c r="D1460" s="10">
        <v>3373.4</v>
      </c>
      <c r="E1460" s="11">
        <v>44576</v>
      </c>
      <c r="F1460" s="10">
        <v>3373.4</v>
      </c>
      <c r="G1460" s="12">
        <f>Tabla1[[#This Row],[Importe]]-Tabla1[[#This Row],[Pagado]]</f>
        <v>0</v>
      </c>
      <c r="H1460" s="9" t="s">
        <v>10</v>
      </c>
    </row>
    <row r="1461" spans="1:8" x14ac:dyDescent="0.25">
      <c r="A1461" s="7">
        <v>44576</v>
      </c>
      <c r="B1461" s="8" t="s">
        <v>1766</v>
      </c>
      <c r="C1461" s="9" t="s">
        <v>275</v>
      </c>
      <c r="D1461" s="10">
        <v>117060.61</v>
      </c>
      <c r="E1461" s="11">
        <v>44583</v>
      </c>
      <c r="F1461" s="10">
        <v>117060.61</v>
      </c>
      <c r="G1461" s="12">
        <f>Tabla1[[#This Row],[Importe]]-Tabla1[[#This Row],[Pagado]]</f>
        <v>0</v>
      </c>
      <c r="H1461" s="9" t="s">
        <v>10</v>
      </c>
    </row>
    <row r="1462" spans="1:8" x14ac:dyDescent="0.25">
      <c r="A1462" s="7">
        <v>44576</v>
      </c>
      <c r="B1462" s="8" t="s">
        <v>1767</v>
      </c>
      <c r="C1462" s="9" t="s">
        <v>45</v>
      </c>
      <c r="D1462" s="10">
        <v>12603.7</v>
      </c>
      <c r="E1462" s="11">
        <v>44576</v>
      </c>
      <c r="F1462" s="10">
        <v>12603.7</v>
      </c>
      <c r="G1462" s="12">
        <f>Tabla1[[#This Row],[Importe]]-Tabla1[[#This Row],[Pagado]]</f>
        <v>0</v>
      </c>
      <c r="H1462" s="9" t="s">
        <v>10</v>
      </c>
    </row>
    <row r="1463" spans="1:8" x14ac:dyDescent="0.25">
      <c r="A1463" s="7">
        <v>44576</v>
      </c>
      <c r="B1463" s="8" t="s">
        <v>1768</v>
      </c>
      <c r="C1463" s="9" t="s">
        <v>159</v>
      </c>
      <c r="D1463" s="10">
        <v>2042.7</v>
      </c>
      <c r="E1463" s="11">
        <v>44577</v>
      </c>
      <c r="F1463" s="10">
        <v>2042.7</v>
      </c>
      <c r="G1463" s="12">
        <f>Tabla1[[#This Row],[Importe]]-Tabla1[[#This Row],[Pagado]]</f>
        <v>0</v>
      </c>
      <c r="H1463" s="9" t="s">
        <v>10</v>
      </c>
    </row>
    <row r="1464" spans="1:8" x14ac:dyDescent="0.25">
      <c r="A1464" s="7">
        <v>44576</v>
      </c>
      <c r="B1464" s="8" t="s">
        <v>1769</v>
      </c>
      <c r="C1464" s="9" t="s">
        <v>196</v>
      </c>
      <c r="D1464" s="10">
        <v>76289.399999999994</v>
      </c>
      <c r="E1464" s="11">
        <v>44582</v>
      </c>
      <c r="F1464" s="10">
        <v>76289.399999999994</v>
      </c>
      <c r="G1464" s="12">
        <f>Tabla1[[#This Row],[Importe]]-Tabla1[[#This Row],[Pagado]]</f>
        <v>0</v>
      </c>
      <c r="H1464" s="9" t="s">
        <v>10</v>
      </c>
    </row>
    <row r="1465" spans="1:8" x14ac:dyDescent="0.25">
      <c r="A1465" s="7">
        <v>44576</v>
      </c>
      <c r="B1465" s="8" t="s">
        <v>1770</v>
      </c>
      <c r="C1465" s="9" t="s">
        <v>520</v>
      </c>
      <c r="D1465" s="10">
        <v>4461.3999999999996</v>
      </c>
      <c r="E1465" s="11">
        <v>44577</v>
      </c>
      <c r="F1465" s="10">
        <v>4461.3999999999996</v>
      </c>
      <c r="G1465" s="12">
        <f>Tabla1[[#This Row],[Importe]]-Tabla1[[#This Row],[Pagado]]</f>
        <v>0</v>
      </c>
      <c r="H1465" s="9" t="s">
        <v>10</v>
      </c>
    </row>
    <row r="1466" spans="1:8" x14ac:dyDescent="0.25">
      <c r="A1466" s="7">
        <v>44576</v>
      </c>
      <c r="B1466" s="8" t="s">
        <v>1771</v>
      </c>
      <c r="C1466" s="9" t="s">
        <v>157</v>
      </c>
      <c r="D1466" s="10">
        <v>3392.6</v>
      </c>
      <c r="E1466" s="11">
        <v>44577</v>
      </c>
      <c r="F1466" s="10">
        <v>3392.6</v>
      </c>
      <c r="G1466" s="12">
        <f>Tabla1[[#This Row],[Importe]]-Tabla1[[#This Row],[Pagado]]</f>
        <v>0</v>
      </c>
      <c r="H1466" s="9" t="s">
        <v>10</v>
      </c>
    </row>
    <row r="1467" spans="1:8" x14ac:dyDescent="0.25">
      <c r="A1467" s="7">
        <v>44576</v>
      </c>
      <c r="B1467" s="8" t="s">
        <v>1772</v>
      </c>
      <c r="C1467" s="9" t="s">
        <v>518</v>
      </c>
      <c r="D1467" s="10">
        <v>1634.6</v>
      </c>
      <c r="E1467" s="11">
        <v>44577</v>
      </c>
      <c r="F1467" s="10">
        <v>1634.6</v>
      </c>
      <c r="G1467" s="12">
        <f>Tabla1[[#This Row],[Importe]]-Tabla1[[#This Row],[Pagado]]</f>
        <v>0</v>
      </c>
      <c r="H1467" s="9" t="s">
        <v>10</v>
      </c>
    </row>
    <row r="1468" spans="1:8" x14ac:dyDescent="0.25">
      <c r="A1468" s="7">
        <v>44576</v>
      </c>
      <c r="B1468" s="8" t="s">
        <v>1773</v>
      </c>
      <c r="C1468" s="9" t="s">
        <v>31</v>
      </c>
      <c r="D1468" s="10">
        <v>952.6</v>
      </c>
      <c r="E1468" s="11">
        <v>44577</v>
      </c>
      <c r="F1468" s="10">
        <v>952.6</v>
      </c>
      <c r="G1468" s="12">
        <f>Tabla1[[#This Row],[Importe]]-Tabla1[[#This Row],[Pagado]]</f>
        <v>0</v>
      </c>
      <c r="H1468" s="9" t="s">
        <v>10</v>
      </c>
    </row>
    <row r="1469" spans="1:8" x14ac:dyDescent="0.25">
      <c r="A1469" s="7">
        <v>44576</v>
      </c>
      <c r="B1469" s="8" t="s">
        <v>1774</v>
      </c>
      <c r="C1469" s="9" t="s">
        <v>357</v>
      </c>
      <c r="D1469" s="10">
        <v>3730.4</v>
      </c>
      <c r="E1469" s="11">
        <v>44576</v>
      </c>
      <c r="F1469" s="10">
        <v>3730.4</v>
      </c>
      <c r="G1469" s="12">
        <f>Tabla1[[#This Row],[Importe]]-Tabla1[[#This Row],[Pagado]]</f>
        <v>0</v>
      </c>
      <c r="H1469" s="9" t="s">
        <v>10</v>
      </c>
    </row>
    <row r="1470" spans="1:8" x14ac:dyDescent="0.25">
      <c r="A1470" s="7">
        <v>44576</v>
      </c>
      <c r="B1470" s="8" t="s">
        <v>1775</v>
      </c>
      <c r="C1470" s="9" t="s">
        <v>127</v>
      </c>
      <c r="D1470" s="10">
        <v>5257.6</v>
      </c>
      <c r="E1470" s="11">
        <v>44576</v>
      </c>
      <c r="F1470" s="10">
        <v>5257.6</v>
      </c>
      <c r="G1470" s="12">
        <f>Tabla1[[#This Row],[Importe]]-Tabla1[[#This Row],[Pagado]]</f>
        <v>0</v>
      </c>
      <c r="H1470" s="9" t="s">
        <v>10</v>
      </c>
    </row>
    <row r="1471" spans="1:8" x14ac:dyDescent="0.25">
      <c r="A1471" s="7">
        <v>44576</v>
      </c>
      <c r="B1471" s="8" t="s">
        <v>1776</v>
      </c>
      <c r="C1471" s="9" t="s">
        <v>129</v>
      </c>
      <c r="D1471" s="10">
        <v>5729.6</v>
      </c>
      <c r="E1471" s="11">
        <v>44576</v>
      </c>
      <c r="F1471" s="10">
        <v>5729.6</v>
      </c>
      <c r="G1471" s="12">
        <f>Tabla1[[#This Row],[Importe]]-Tabla1[[#This Row],[Pagado]]</f>
        <v>0</v>
      </c>
      <c r="H1471" s="9" t="s">
        <v>10</v>
      </c>
    </row>
    <row r="1472" spans="1:8" x14ac:dyDescent="0.25">
      <c r="A1472" s="7">
        <v>44576</v>
      </c>
      <c r="B1472" s="8" t="s">
        <v>1777</v>
      </c>
      <c r="C1472" s="9" t="s">
        <v>140</v>
      </c>
      <c r="D1472" s="10">
        <v>1243.2</v>
      </c>
      <c r="E1472" s="11">
        <v>44576</v>
      </c>
      <c r="F1472" s="10">
        <v>1243.2</v>
      </c>
      <c r="G1472" s="12">
        <f>Tabla1[[#This Row],[Importe]]-Tabla1[[#This Row],[Pagado]]</f>
        <v>0</v>
      </c>
      <c r="H1472" s="9" t="s">
        <v>10</v>
      </c>
    </row>
    <row r="1473" spans="1:8" x14ac:dyDescent="0.25">
      <c r="A1473" s="7">
        <v>44576</v>
      </c>
      <c r="B1473" s="8" t="s">
        <v>1778</v>
      </c>
      <c r="C1473" s="9" t="s">
        <v>339</v>
      </c>
      <c r="D1473" s="10">
        <v>166.6</v>
      </c>
      <c r="E1473" s="11">
        <v>44576</v>
      </c>
      <c r="F1473" s="10">
        <v>166.6</v>
      </c>
      <c r="G1473" s="12">
        <f>Tabla1[[#This Row],[Importe]]-Tabla1[[#This Row],[Pagado]]</f>
        <v>0</v>
      </c>
      <c r="H1473" s="9" t="s">
        <v>10</v>
      </c>
    </row>
    <row r="1474" spans="1:8" x14ac:dyDescent="0.25">
      <c r="A1474" s="7">
        <v>44576</v>
      </c>
      <c r="B1474" s="8" t="s">
        <v>1779</v>
      </c>
      <c r="C1474" s="9" t="s">
        <v>969</v>
      </c>
      <c r="D1474" s="10">
        <v>7646.5</v>
      </c>
      <c r="E1474" s="11">
        <v>44576</v>
      </c>
      <c r="F1474" s="10">
        <v>7646.5</v>
      </c>
      <c r="G1474" s="12">
        <f>Tabla1[[#This Row],[Importe]]-Tabla1[[#This Row],[Pagado]]</f>
        <v>0</v>
      </c>
      <c r="H1474" s="9" t="s">
        <v>10</v>
      </c>
    </row>
    <row r="1475" spans="1:8" x14ac:dyDescent="0.25">
      <c r="A1475" s="7">
        <v>44576</v>
      </c>
      <c r="B1475" s="8" t="s">
        <v>1780</v>
      </c>
      <c r="C1475" s="9" t="s">
        <v>169</v>
      </c>
      <c r="D1475" s="10">
        <v>806.4</v>
      </c>
      <c r="E1475" s="11">
        <v>44576</v>
      </c>
      <c r="F1475" s="10">
        <v>806.4</v>
      </c>
      <c r="G1475" s="12">
        <f>Tabla1[[#This Row],[Importe]]-Tabla1[[#This Row],[Pagado]]</f>
        <v>0</v>
      </c>
      <c r="H1475" s="9" t="s">
        <v>10</v>
      </c>
    </row>
    <row r="1476" spans="1:8" x14ac:dyDescent="0.25">
      <c r="A1476" s="7">
        <v>44576</v>
      </c>
      <c r="B1476" s="8" t="s">
        <v>1781</v>
      </c>
      <c r="C1476" s="9" t="s">
        <v>135</v>
      </c>
      <c r="D1476" s="10">
        <v>3504.6</v>
      </c>
      <c r="E1476" s="11">
        <v>44576</v>
      </c>
      <c r="F1476" s="10">
        <v>3504.6</v>
      </c>
      <c r="G1476" s="12">
        <f>Tabla1[[#This Row],[Importe]]-Tabla1[[#This Row],[Pagado]]</f>
        <v>0</v>
      </c>
      <c r="H1476" s="9" t="s">
        <v>10</v>
      </c>
    </row>
    <row r="1477" spans="1:8" x14ac:dyDescent="0.25">
      <c r="A1477" s="7">
        <v>44576</v>
      </c>
      <c r="B1477" s="8" t="s">
        <v>1782</v>
      </c>
      <c r="C1477" s="9" t="s">
        <v>202</v>
      </c>
      <c r="D1477" s="10">
        <v>3672</v>
      </c>
      <c r="E1477" s="11">
        <v>44576</v>
      </c>
      <c r="F1477" s="10">
        <v>3672</v>
      </c>
      <c r="G1477" s="12">
        <f>Tabla1[[#This Row],[Importe]]-Tabla1[[#This Row],[Pagado]]</f>
        <v>0</v>
      </c>
      <c r="H1477" s="9" t="s">
        <v>10</v>
      </c>
    </row>
    <row r="1478" spans="1:8" x14ac:dyDescent="0.25">
      <c r="A1478" s="7">
        <v>44576</v>
      </c>
      <c r="B1478" s="8" t="s">
        <v>1783</v>
      </c>
      <c r="C1478" s="9" t="s">
        <v>149</v>
      </c>
      <c r="D1478" s="10">
        <v>1080</v>
      </c>
      <c r="E1478" s="11">
        <v>44577</v>
      </c>
      <c r="F1478" s="10">
        <v>1080</v>
      </c>
      <c r="G1478" s="12">
        <f>Tabla1[[#This Row],[Importe]]-Tabla1[[#This Row],[Pagado]]</f>
        <v>0</v>
      </c>
      <c r="H1478" s="9" t="s">
        <v>10</v>
      </c>
    </row>
    <row r="1479" spans="1:8" x14ac:dyDescent="0.25">
      <c r="A1479" s="7">
        <v>44576</v>
      </c>
      <c r="B1479" s="8" t="s">
        <v>1784</v>
      </c>
      <c r="C1479" s="9" t="s">
        <v>69</v>
      </c>
      <c r="D1479" s="10">
        <v>1964.2</v>
      </c>
      <c r="E1479" s="11">
        <v>44576</v>
      </c>
      <c r="F1479" s="10">
        <v>1964.2</v>
      </c>
      <c r="G1479" s="12">
        <f>Tabla1[[#This Row],[Importe]]-Tabla1[[#This Row],[Pagado]]</f>
        <v>0</v>
      </c>
      <c r="H1479" s="9" t="s">
        <v>10</v>
      </c>
    </row>
    <row r="1480" spans="1:8" x14ac:dyDescent="0.25">
      <c r="A1480" s="7">
        <v>44576</v>
      </c>
      <c r="B1480" s="8" t="s">
        <v>1785</v>
      </c>
      <c r="C1480" s="9" t="s">
        <v>452</v>
      </c>
      <c r="D1480" s="10">
        <v>3388.8</v>
      </c>
      <c r="E1480" s="11">
        <v>44576</v>
      </c>
      <c r="F1480" s="10">
        <v>3388.8</v>
      </c>
      <c r="G1480" s="12">
        <f>Tabla1[[#This Row],[Importe]]-Tabla1[[#This Row],[Pagado]]</f>
        <v>0</v>
      </c>
      <c r="H1480" s="9" t="s">
        <v>10</v>
      </c>
    </row>
    <row r="1481" spans="1:8" x14ac:dyDescent="0.25">
      <c r="A1481" s="7">
        <v>44576</v>
      </c>
      <c r="B1481" s="8" t="s">
        <v>1786</v>
      </c>
      <c r="C1481" s="9" t="s">
        <v>200</v>
      </c>
      <c r="D1481" s="10">
        <v>1255.8</v>
      </c>
      <c r="E1481" s="11">
        <v>44576</v>
      </c>
      <c r="F1481" s="10">
        <v>1255.8</v>
      </c>
      <c r="G1481" s="12">
        <f>Tabla1[[#This Row],[Importe]]-Tabla1[[#This Row],[Pagado]]</f>
        <v>0</v>
      </c>
      <c r="H1481" s="9" t="s">
        <v>10</v>
      </c>
    </row>
    <row r="1482" spans="1:8" x14ac:dyDescent="0.25">
      <c r="A1482" s="7">
        <v>44576</v>
      </c>
      <c r="B1482" s="8" t="s">
        <v>1787</v>
      </c>
      <c r="C1482" s="9" t="s">
        <v>79</v>
      </c>
      <c r="D1482" s="10">
        <v>13321.6</v>
      </c>
      <c r="E1482" s="11">
        <v>44576</v>
      </c>
      <c r="F1482" s="10">
        <v>13321.6</v>
      </c>
      <c r="G1482" s="12">
        <f>Tabla1[[#This Row],[Importe]]-Tabla1[[#This Row],[Pagado]]</f>
        <v>0</v>
      </c>
      <c r="H1482" s="9" t="s">
        <v>10</v>
      </c>
    </row>
    <row r="1483" spans="1:8" x14ac:dyDescent="0.25">
      <c r="A1483" s="7">
        <v>44576</v>
      </c>
      <c r="B1483" s="8" t="s">
        <v>1788</v>
      </c>
      <c r="C1483" s="9" t="s">
        <v>191</v>
      </c>
      <c r="D1483" s="10">
        <v>2157.1999999999998</v>
      </c>
      <c r="E1483" s="11">
        <v>44576</v>
      </c>
      <c r="F1483" s="10">
        <v>2157.1999999999998</v>
      </c>
      <c r="G1483" s="12">
        <f>Tabla1[[#This Row],[Importe]]-Tabla1[[#This Row],[Pagado]]</f>
        <v>0</v>
      </c>
      <c r="H1483" s="9" t="s">
        <v>10</v>
      </c>
    </row>
    <row r="1484" spans="1:8" x14ac:dyDescent="0.25">
      <c r="A1484" s="7">
        <v>44576</v>
      </c>
      <c r="B1484" s="8" t="s">
        <v>1789</v>
      </c>
      <c r="C1484" s="9" t="s">
        <v>426</v>
      </c>
      <c r="D1484" s="10">
        <v>4217.6000000000004</v>
      </c>
      <c r="E1484" s="11">
        <v>44576</v>
      </c>
      <c r="F1484" s="10">
        <v>4217.6000000000004</v>
      </c>
      <c r="G1484" s="12">
        <f>Tabla1[[#This Row],[Importe]]-Tabla1[[#This Row],[Pagado]]</f>
        <v>0</v>
      </c>
      <c r="H1484" s="9" t="s">
        <v>10</v>
      </c>
    </row>
    <row r="1485" spans="1:8" x14ac:dyDescent="0.25">
      <c r="A1485" s="7">
        <v>44576</v>
      </c>
      <c r="B1485" s="8" t="s">
        <v>1790</v>
      </c>
      <c r="C1485" s="9" t="s">
        <v>419</v>
      </c>
      <c r="D1485" s="10">
        <v>6171.2</v>
      </c>
      <c r="E1485" s="11">
        <v>44576</v>
      </c>
      <c r="F1485" s="10">
        <v>6171.2</v>
      </c>
      <c r="G1485" s="12">
        <f>Tabla1[[#This Row],[Importe]]-Tabla1[[#This Row],[Pagado]]</f>
        <v>0</v>
      </c>
      <c r="H1485" s="9" t="s">
        <v>10</v>
      </c>
    </row>
    <row r="1486" spans="1:8" x14ac:dyDescent="0.25">
      <c r="A1486" s="7">
        <v>44576</v>
      </c>
      <c r="B1486" s="8" t="s">
        <v>1791</v>
      </c>
      <c r="C1486" s="9" t="s">
        <v>181</v>
      </c>
      <c r="D1486" s="10">
        <v>10840.4</v>
      </c>
      <c r="E1486" s="11">
        <v>44576</v>
      </c>
      <c r="F1486" s="10">
        <v>10840.4</v>
      </c>
      <c r="G1486" s="12">
        <f>Tabla1[[#This Row],[Importe]]-Tabla1[[#This Row],[Pagado]]</f>
        <v>0</v>
      </c>
      <c r="H1486" s="9" t="s">
        <v>10</v>
      </c>
    </row>
    <row r="1487" spans="1:8" x14ac:dyDescent="0.25">
      <c r="A1487" s="7">
        <v>44576</v>
      </c>
      <c r="B1487" s="8" t="s">
        <v>1792</v>
      </c>
      <c r="C1487" s="9" t="s">
        <v>368</v>
      </c>
      <c r="D1487" s="10">
        <v>1360</v>
      </c>
      <c r="E1487" s="11">
        <v>44576</v>
      </c>
      <c r="F1487" s="10">
        <v>1360</v>
      </c>
      <c r="G1487" s="12">
        <f>Tabla1[[#This Row],[Importe]]-Tabla1[[#This Row],[Pagado]]</f>
        <v>0</v>
      </c>
      <c r="H1487" s="9" t="s">
        <v>10</v>
      </c>
    </row>
    <row r="1488" spans="1:8" x14ac:dyDescent="0.25">
      <c r="A1488" s="7">
        <v>44576</v>
      </c>
      <c r="B1488" s="8" t="s">
        <v>1793</v>
      </c>
      <c r="C1488" s="9" t="s">
        <v>698</v>
      </c>
      <c r="D1488" s="10">
        <v>3458</v>
      </c>
      <c r="E1488" s="11">
        <v>44576</v>
      </c>
      <c r="F1488" s="10">
        <v>3458</v>
      </c>
      <c r="G1488" s="12">
        <f>Tabla1[[#This Row],[Importe]]-Tabla1[[#This Row],[Pagado]]</f>
        <v>0</v>
      </c>
      <c r="H1488" s="9" t="s">
        <v>10</v>
      </c>
    </row>
    <row r="1489" spans="1:8" x14ac:dyDescent="0.25">
      <c r="A1489" s="7">
        <v>44576</v>
      </c>
      <c r="B1489" s="8" t="s">
        <v>1794</v>
      </c>
      <c r="C1489" s="9" t="s">
        <v>53</v>
      </c>
      <c r="D1489" s="10">
        <v>2899.2</v>
      </c>
      <c r="E1489" s="11">
        <v>44576</v>
      </c>
      <c r="F1489" s="10">
        <v>2899.2</v>
      </c>
      <c r="G1489" s="12">
        <f>Tabla1[[#This Row],[Importe]]-Tabla1[[#This Row],[Pagado]]</f>
        <v>0</v>
      </c>
      <c r="H1489" s="9" t="s">
        <v>10</v>
      </c>
    </row>
    <row r="1490" spans="1:8" x14ac:dyDescent="0.25">
      <c r="A1490" s="7">
        <v>44576</v>
      </c>
      <c r="B1490" s="8" t="s">
        <v>1795</v>
      </c>
      <c r="C1490" s="9" t="s">
        <v>58</v>
      </c>
      <c r="D1490" s="10">
        <v>6666.9</v>
      </c>
      <c r="E1490" s="11">
        <v>44576</v>
      </c>
      <c r="F1490" s="10">
        <v>6666.9</v>
      </c>
      <c r="G1490" s="12">
        <f>Tabla1[[#This Row],[Importe]]-Tabla1[[#This Row],[Pagado]]</f>
        <v>0</v>
      </c>
      <c r="H1490" s="9" t="s">
        <v>10</v>
      </c>
    </row>
    <row r="1491" spans="1:8" x14ac:dyDescent="0.25">
      <c r="A1491" s="7">
        <v>44576</v>
      </c>
      <c r="B1491" s="8" t="s">
        <v>1796</v>
      </c>
      <c r="C1491" s="9" t="s">
        <v>237</v>
      </c>
      <c r="D1491" s="10">
        <v>1153.5999999999999</v>
      </c>
      <c r="E1491" s="11">
        <v>44576</v>
      </c>
      <c r="F1491" s="10">
        <v>1153.5999999999999</v>
      </c>
      <c r="G1491" s="12">
        <f>Tabla1[[#This Row],[Importe]]-Tabla1[[#This Row],[Pagado]]</f>
        <v>0</v>
      </c>
      <c r="H1491" s="9" t="s">
        <v>10</v>
      </c>
    </row>
    <row r="1492" spans="1:8" x14ac:dyDescent="0.25">
      <c r="A1492" s="7">
        <v>44576</v>
      </c>
      <c r="B1492" s="8" t="s">
        <v>1797</v>
      </c>
      <c r="C1492" s="9" t="s">
        <v>555</v>
      </c>
      <c r="D1492" s="10">
        <v>31228</v>
      </c>
      <c r="E1492" s="11">
        <v>44576</v>
      </c>
      <c r="F1492" s="10">
        <v>31228</v>
      </c>
      <c r="G1492" s="12">
        <f>Tabla1[[#This Row],[Importe]]-Tabla1[[#This Row],[Pagado]]</f>
        <v>0</v>
      </c>
      <c r="H1492" s="9" t="s">
        <v>10</v>
      </c>
    </row>
    <row r="1493" spans="1:8" x14ac:dyDescent="0.25">
      <c r="A1493" s="7">
        <v>44576</v>
      </c>
      <c r="B1493" s="8" t="s">
        <v>1798</v>
      </c>
      <c r="C1493" s="9" t="s">
        <v>56</v>
      </c>
      <c r="D1493" s="10">
        <v>6142.7</v>
      </c>
      <c r="E1493" s="11">
        <v>44576</v>
      </c>
      <c r="F1493" s="10">
        <v>6142.7</v>
      </c>
      <c r="G1493" s="12">
        <f>Tabla1[[#This Row],[Importe]]-Tabla1[[#This Row],[Pagado]]</f>
        <v>0</v>
      </c>
      <c r="H1493" s="9" t="s">
        <v>10</v>
      </c>
    </row>
    <row r="1494" spans="1:8" x14ac:dyDescent="0.25">
      <c r="A1494" s="7">
        <v>44576</v>
      </c>
      <c r="B1494" s="8" t="s">
        <v>1799</v>
      </c>
      <c r="C1494" s="9" t="s">
        <v>142</v>
      </c>
      <c r="D1494" s="10">
        <v>81629.2</v>
      </c>
      <c r="E1494" s="11">
        <v>44589</v>
      </c>
      <c r="F1494" s="10">
        <v>81629.2</v>
      </c>
      <c r="G1494" s="12">
        <f>Tabla1[[#This Row],[Importe]]-Tabla1[[#This Row],[Pagado]]</f>
        <v>0</v>
      </c>
      <c r="H1494" s="9" t="s">
        <v>10</v>
      </c>
    </row>
    <row r="1495" spans="1:8" x14ac:dyDescent="0.25">
      <c r="A1495" s="7">
        <v>44576</v>
      </c>
      <c r="B1495" s="8" t="s">
        <v>1800</v>
      </c>
      <c r="C1495" s="9" t="s">
        <v>1801</v>
      </c>
      <c r="D1495" s="10">
        <v>0</v>
      </c>
      <c r="E1495" s="13" t="s">
        <v>189</v>
      </c>
      <c r="F1495" s="10">
        <v>0</v>
      </c>
      <c r="G1495" s="12">
        <f>Tabla1[[#This Row],[Importe]]-Tabla1[[#This Row],[Pagado]]</f>
        <v>0</v>
      </c>
      <c r="H1495" s="9" t="s">
        <v>189</v>
      </c>
    </row>
    <row r="1496" spans="1:8" x14ac:dyDescent="0.25">
      <c r="A1496" s="7">
        <v>44576</v>
      </c>
      <c r="B1496" s="8" t="s">
        <v>1802</v>
      </c>
      <c r="C1496" s="9" t="s">
        <v>179</v>
      </c>
      <c r="D1496" s="10">
        <v>841.8</v>
      </c>
      <c r="E1496" s="11">
        <v>44576</v>
      </c>
      <c r="F1496" s="10">
        <v>841.8</v>
      </c>
      <c r="G1496" s="12">
        <f>Tabla1[[#This Row],[Importe]]-Tabla1[[#This Row],[Pagado]]</f>
        <v>0</v>
      </c>
      <c r="H1496" s="9" t="s">
        <v>10</v>
      </c>
    </row>
    <row r="1497" spans="1:8" x14ac:dyDescent="0.25">
      <c r="A1497" s="7">
        <v>44576</v>
      </c>
      <c r="B1497" s="8" t="s">
        <v>1803</v>
      </c>
      <c r="C1497" s="9" t="s">
        <v>14</v>
      </c>
      <c r="D1497" s="10">
        <v>6430</v>
      </c>
      <c r="E1497" s="11">
        <v>44576</v>
      </c>
      <c r="F1497" s="10">
        <v>6430</v>
      </c>
      <c r="G1497" s="12">
        <f>Tabla1[[#This Row],[Importe]]-Tabla1[[#This Row],[Pagado]]</f>
        <v>0</v>
      </c>
      <c r="H1497" s="9" t="s">
        <v>10</v>
      </c>
    </row>
    <row r="1498" spans="1:8" x14ac:dyDescent="0.25">
      <c r="A1498" s="7">
        <v>44576</v>
      </c>
      <c r="B1498" s="8" t="s">
        <v>1804</v>
      </c>
      <c r="C1498" s="9" t="s">
        <v>67</v>
      </c>
      <c r="D1498" s="10">
        <v>1930.2</v>
      </c>
      <c r="E1498" s="11">
        <v>44576</v>
      </c>
      <c r="F1498" s="10">
        <v>1930.2</v>
      </c>
      <c r="G1498" s="12">
        <f>Tabla1[[#This Row],[Importe]]-Tabla1[[#This Row],[Pagado]]</f>
        <v>0</v>
      </c>
      <c r="H1498" s="9" t="s">
        <v>10</v>
      </c>
    </row>
    <row r="1499" spans="1:8" x14ac:dyDescent="0.25">
      <c r="A1499" s="7">
        <v>44576</v>
      </c>
      <c r="B1499" s="8" t="s">
        <v>1805</v>
      </c>
      <c r="C1499" s="9" t="s">
        <v>31</v>
      </c>
      <c r="D1499" s="10">
        <v>84</v>
      </c>
      <c r="E1499" s="11">
        <v>44576</v>
      </c>
      <c r="F1499" s="10">
        <v>84</v>
      </c>
      <c r="G1499" s="12">
        <f>Tabla1[[#This Row],[Importe]]-Tabla1[[#This Row],[Pagado]]</f>
        <v>0</v>
      </c>
      <c r="H1499" s="9" t="s">
        <v>10</v>
      </c>
    </row>
    <row r="1500" spans="1:8" x14ac:dyDescent="0.25">
      <c r="A1500" s="7">
        <v>44576</v>
      </c>
      <c r="B1500" s="8" t="s">
        <v>1806</v>
      </c>
      <c r="C1500" s="9" t="s">
        <v>670</v>
      </c>
      <c r="D1500" s="10">
        <v>2499.8000000000002</v>
      </c>
      <c r="E1500" s="11">
        <v>44576</v>
      </c>
      <c r="F1500" s="10">
        <v>2499.8000000000002</v>
      </c>
      <c r="G1500" s="12">
        <f>Tabla1[[#This Row],[Importe]]-Tabla1[[#This Row],[Pagado]]</f>
        <v>0</v>
      </c>
      <c r="H1500" s="9" t="s">
        <v>10</v>
      </c>
    </row>
    <row r="1501" spans="1:8" x14ac:dyDescent="0.25">
      <c r="A1501" s="7">
        <v>44576</v>
      </c>
      <c r="B1501" s="8" t="s">
        <v>1807</v>
      </c>
      <c r="C1501" s="9" t="s">
        <v>216</v>
      </c>
      <c r="D1501" s="10">
        <v>1324.8</v>
      </c>
      <c r="E1501" s="11">
        <v>44576</v>
      </c>
      <c r="F1501" s="10">
        <v>1324.8</v>
      </c>
      <c r="G1501" s="12">
        <f>Tabla1[[#This Row],[Importe]]-Tabla1[[#This Row],[Pagado]]</f>
        <v>0</v>
      </c>
      <c r="H1501" s="9" t="s">
        <v>10</v>
      </c>
    </row>
    <row r="1502" spans="1:8" x14ac:dyDescent="0.25">
      <c r="A1502" s="7">
        <v>44576</v>
      </c>
      <c r="B1502" s="8" t="s">
        <v>1808</v>
      </c>
      <c r="C1502" s="9" t="s">
        <v>244</v>
      </c>
      <c r="D1502" s="10">
        <v>7868.1</v>
      </c>
      <c r="E1502" s="11">
        <v>44576</v>
      </c>
      <c r="F1502" s="10">
        <v>7868.1</v>
      </c>
      <c r="G1502" s="12">
        <f>Tabla1[[#This Row],[Importe]]-Tabla1[[#This Row],[Pagado]]</f>
        <v>0</v>
      </c>
      <c r="H1502" s="9" t="s">
        <v>10</v>
      </c>
    </row>
    <row r="1503" spans="1:8" x14ac:dyDescent="0.25">
      <c r="A1503" s="7">
        <v>44576</v>
      </c>
      <c r="B1503" s="8" t="s">
        <v>1809</v>
      </c>
      <c r="C1503" s="9" t="s">
        <v>31</v>
      </c>
      <c r="D1503" s="10">
        <v>414.4</v>
      </c>
      <c r="E1503" s="11">
        <v>44576</v>
      </c>
      <c r="F1503" s="10">
        <v>414.4</v>
      </c>
      <c r="G1503" s="12">
        <f>Tabla1[[#This Row],[Importe]]-Tabla1[[#This Row],[Pagado]]</f>
        <v>0</v>
      </c>
      <c r="H1503" s="9" t="s">
        <v>10</v>
      </c>
    </row>
    <row r="1504" spans="1:8" x14ac:dyDescent="0.25">
      <c r="A1504" s="7">
        <v>44576</v>
      </c>
      <c r="B1504" s="8" t="s">
        <v>1810</v>
      </c>
      <c r="C1504" s="9" t="s">
        <v>71</v>
      </c>
      <c r="D1504" s="10">
        <v>1670.2</v>
      </c>
      <c r="E1504" s="11">
        <v>44576</v>
      </c>
      <c r="F1504" s="10">
        <v>1670.2</v>
      </c>
      <c r="G1504" s="12">
        <f>Tabla1[[#This Row],[Importe]]-Tabla1[[#This Row],[Pagado]]</f>
        <v>0</v>
      </c>
      <c r="H1504" s="9" t="s">
        <v>10</v>
      </c>
    </row>
    <row r="1505" spans="1:8" x14ac:dyDescent="0.25">
      <c r="A1505" s="7">
        <v>44576</v>
      </c>
      <c r="B1505" s="8" t="s">
        <v>1811</v>
      </c>
      <c r="C1505" s="9" t="s">
        <v>421</v>
      </c>
      <c r="D1505" s="10">
        <v>3013.4</v>
      </c>
      <c r="E1505" s="11">
        <v>44576</v>
      </c>
      <c r="F1505" s="10">
        <v>3013.4</v>
      </c>
      <c r="G1505" s="12">
        <f>Tabla1[[#This Row],[Importe]]-Tabla1[[#This Row],[Pagado]]</f>
        <v>0</v>
      </c>
      <c r="H1505" s="9" t="s">
        <v>10</v>
      </c>
    </row>
    <row r="1506" spans="1:8" x14ac:dyDescent="0.25">
      <c r="A1506" s="7">
        <v>44576</v>
      </c>
      <c r="B1506" s="8" t="s">
        <v>1812</v>
      </c>
      <c r="C1506" s="9" t="s">
        <v>196</v>
      </c>
      <c r="D1506" s="10">
        <v>20931.8</v>
      </c>
      <c r="E1506" s="11">
        <v>44582</v>
      </c>
      <c r="F1506" s="10">
        <v>20931.8</v>
      </c>
      <c r="G1506" s="12">
        <f>Tabla1[[#This Row],[Importe]]-Tabla1[[#This Row],[Pagado]]</f>
        <v>0</v>
      </c>
      <c r="H1506" s="9" t="s">
        <v>10</v>
      </c>
    </row>
    <row r="1507" spans="1:8" x14ac:dyDescent="0.25">
      <c r="A1507" s="7">
        <v>44576</v>
      </c>
      <c r="B1507" s="8" t="s">
        <v>1813</v>
      </c>
      <c r="C1507" s="9" t="s">
        <v>31</v>
      </c>
      <c r="D1507" s="10">
        <v>859.2</v>
      </c>
      <c r="E1507" s="11">
        <v>44576</v>
      </c>
      <c r="F1507" s="10">
        <v>859.2</v>
      </c>
      <c r="G1507" s="12">
        <f>Tabla1[[#This Row],[Importe]]-Tabla1[[#This Row],[Pagado]]</f>
        <v>0</v>
      </c>
      <c r="H1507" s="9" t="s">
        <v>10</v>
      </c>
    </row>
    <row r="1508" spans="1:8" x14ac:dyDescent="0.25">
      <c r="A1508" s="7">
        <v>44576</v>
      </c>
      <c r="B1508" s="8" t="s">
        <v>1814</v>
      </c>
      <c r="C1508" s="9" t="s">
        <v>407</v>
      </c>
      <c r="D1508" s="10">
        <v>21732</v>
      </c>
      <c r="E1508" s="11">
        <v>44607</v>
      </c>
      <c r="F1508" s="10">
        <v>21732</v>
      </c>
      <c r="G1508" s="12">
        <f>Tabla1[[#This Row],[Importe]]-Tabla1[[#This Row],[Pagado]]</f>
        <v>0</v>
      </c>
      <c r="H1508" s="9" t="s">
        <v>10</v>
      </c>
    </row>
    <row r="1509" spans="1:8" x14ac:dyDescent="0.25">
      <c r="A1509" s="7">
        <v>44576</v>
      </c>
      <c r="B1509" s="8" t="s">
        <v>1815</v>
      </c>
      <c r="C1509" s="9" t="s">
        <v>31</v>
      </c>
      <c r="D1509" s="10">
        <v>972.9</v>
      </c>
      <c r="E1509" s="11">
        <v>44576</v>
      </c>
      <c r="F1509" s="10">
        <v>972.9</v>
      </c>
      <c r="G1509" s="12">
        <f>Tabla1[[#This Row],[Importe]]-Tabla1[[#This Row],[Pagado]]</f>
        <v>0</v>
      </c>
      <c r="H1509" s="9" t="s">
        <v>10</v>
      </c>
    </row>
    <row r="1510" spans="1:8" x14ac:dyDescent="0.25">
      <c r="A1510" s="7">
        <v>44576</v>
      </c>
      <c r="B1510" s="8" t="s">
        <v>1816</v>
      </c>
      <c r="C1510" s="9" t="s">
        <v>16</v>
      </c>
      <c r="D1510" s="10">
        <v>428.4</v>
      </c>
      <c r="E1510" s="11">
        <v>44576</v>
      </c>
      <c r="F1510" s="10">
        <v>428.4</v>
      </c>
      <c r="G1510" s="12">
        <f>Tabla1[[#This Row],[Importe]]-Tabla1[[#This Row],[Pagado]]</f>
        <v>0</v>
      </c>
      <c r="H1510" s="9" t="s">
        <v>10</v>
      </c>
    </row>
    <row r="1511" spans="1:8" x14ac:dyDescent="0.25">
      <c r="A1511" s="7">
        <v>44576</v>
      </c>
      <c r="B1511" s="8" t="s">
        <v>1817</v>
      </c>
      <c r="C1511" s="9" t="s">
        <v>282</v>
      </c>
      <c r="D1511" s="10">
        <v>4567.8</v>
      </c>
      <c r="E1511" s="11">
        <v>44578</v>
      </c>
      <c r="F1511" s="10">
        <v>4567.8</v>
      </c>
      <c r="G1511" s="12">
        <f>Tabla1[[#This Row],[Importe]]-Tabla1[[#This Row],[Pagado]]</f>
        <v>0</v>
      </c>
      <c r="H1511" s="9" t="s">
        <v>10</v>
      </c>
    </row>
    <row r="1512" spans="1:8" x14ac:dyDescent="0.25">
      <c r="A1512" s="7">
        <v>44576</v>
      </c>
      <c r="B1512" s="8" t="s">
        <v>1818</v>
      </c>
      <c r="C1512" s="9" t="s">
        <v>431</v>
      </c>
      <c r="D1512" s="10">
        <v>1145.4000000000001</v>
      </c>
      <c r="E1512" s="11">
        <v>44578</v>
      </c>
      <c r="F1512" s="10">
        <v>1145.4000000000001</v>
      </c>
      <c r="G1512" s="12">
        <f>Tabla1[[#This Row],[Importe]]-Tabla1[[#This Row],[Pagado]]</f>
        <v>0</v>
      </c>
      <c r="H1512" s="9" t="s">
        <v>10</v>
      </c>
    </row>
    <row r="1513" spans="1:8" x14ac:dyDescent="0.25">
      <c r="A1513" s="7">
        <v>44576</v>
      </c>
      <c r="B1513" s="8" t="s">
        <v>1819</v>
      </c>
      <c r="C1513" s="9" t="s">
        <v>280</v>
      </c>
      <c r="D1513" s="10">
        <v>1407.6</v>
      </c>
      <c r="E1513" s="11">
        <v>44578</v>
      </c>
      <c r="F1513" s="10">
        <v>1407.6</v>
      </c>
      <c r="G1513" s="12">
        <f>Tabla1[[#This Row],[Importe]]-Tabla1[[#This Row],[Pagado]]</f>
        <v>0</v>
      </c>
      <c r="H1513" s="9" t="s">
        <v>10</v>
      </c>
    </row>
    <row r="1514" spans="1:8" x14ac:dyDescent="0.25">
      <c r="A1514" s="7">
        <v>44576</v>
      </c>
      <c r="B1514" s="8" t="s">
        <v>1820</v>
      </c>
      <c r="C1514" s="9" t="s">
        <v>284</v>
      </c>
      <c r="D1514" s="10">
        <v>8514.6</v>
      </c>
      <c r="E1514" s="11">
        <v>44578</v>
      </c>
      <c r="F1514" s="10">
        <v>8514.6</v>
      </c>
      <c r="G1514" s="12">
        <f>Tabla1[[#This Row],[Importe]]-Tabla1[[#This Row],[Pagado]]</f>
        <v>0</v>
      </c>
      <c r="H1514" s="9" t="s">
        <v>10</v>
      </c>
    </row>
    <row r="1515" spans="1:8" x14ac:dyDescent="0.25">
      <c r="A1515" s="7">
        <v>44576</v>
      </c>
      <c r="B1515" s="8" t="s">
        <v>1821</v>
      </c>
      <c r="C1515" s="9" t="s">
        <v>414</v>
      </c>
      <c r="D1515" s="10">
        <v>14526.8</v>
      </c>
      <c r="E1515" s="11">
        <v>44576</v>
      </c>
      <c r="F1515" s="10">
        <v>14526.8</v>
      </c>
      <c r="G1515" s="12">
        <f>Tabla1[[#This Row],[Importe]]-Tabla1[[#This Row],[Pagado]]</f>
        <v>0</v>
      </c>
      <c r="H1515" s="9" t="s">
        <v>10</v>
      </c>
    </row>
    <row r="1516" spans="1:8" x14ac:dyDescent="0.25">
      <c r="A1516" s="7">
        <v>44576</v>
      </c>
      <c r="B1516" s="8" t="s">
        <v>1822</v>
      </c>
      <c r="C1516" s="9" t="s">
        <v>1313</v>
      </c>
      <c r="D1516" s="10">
        <v>3400.32</v>
      </c>
      <c r="E1516" s="11">
        <v>44576</v>
      </c>
      <c r="F1516" s="10">
        <v>3400.32</v>
      </c>
      <c r="G1516" s="12">
        <f>Tabla1[[#This Row],[Importe]]-Tabla1[[#This Row],[Pagado]]</f>
        <v>0</v>
      </c>
      <c r="H1516" s="9" t="s">
        <v>10</v>
      </c>
    </row>
    <row r="1517" spans="1:8" x14ac:dyDescent="0.25">
      <c r="A1517" s="7">
        <v>44576</v>
      </c>
      <c r="B1517" s="8" t="s">
        <v>1823</v>
      </c>
      <c r="C1517" s="9" t="s">
        <v>457</v>
      </c>
      <c r="D1517" s="10">
        <v>198</v>
      </c>
      <c r="E1517" s="11">
        <v>44576</v>
      </c>
      <c r="F1517" s="10">
        <v>198</v>
      </c>
      <c r="G1517" s="12">
        <f>Tabla1[[#This Row],[Importe]]-Tabla1[[#This Row],[Pagado]]</f>
        <v>0</v>
      </c>
      <c r="H1517" s="9" t="s">
        <v>10</v>
      </c>
    </row>
    <row r="1518" spans="1:8" x14ac:dyDescent="0.25">
      <c r="A1518" s="7">
        <v>44576</v>
      </c>
      <c r="B1518" s="8" t="s">
        <v>1824</v>
      </c>
      <c r="C1518" s="9" t="s">
        <v>459</v>
      </c>
      <c r="D1518" s="10">
        <v>213</v>
      </c>
      <c r="E1518" s="11">
        <v>44576</v>
      </c>
      <c r="F1518" s="10">
        <v>213</v>
      </c>
      <c r="G1518" s="12">
        <f>Tabla1[[#This Row],[Importe]]-Tabla1[[#This Row],[Pagado]]</f>
        <v>0</v>
      </c>
      <c r="H1518" s="9" t="s">
        <v>10</v>
      </c>
    </row>
    <row r="1519" spans="1:8" x14ac:dyDescent="0.25">
      <c r="A1519" s="7">
        <v>44576</v>
      </c>
      <c r="B1519" s="8" t="s">
        <v>1825</v>
      </c>
      <c r="C1519" s="9" t="s">
        <v>463</v>
      </c>
      <c r="D1519" s="10">
        <v>550</v>
      </c>
      <c r="E1519" s="11">
        <v>44578</v>
      </c>
      <c r="F1519" s="10">
        <v>550</v>
      </c>
      <c r="G1519" s="12">
        <f>Tabla1[[#This Row],[Importe]]-Tabla1[[#This Row],[Pagado]]</f>
        <v>0</v>
      </c>
      <c r="H1519" s="9" t="s">
        <v>10</v>
      </c>
    </row>
    <row r="1520" spans="1:8" x14ac:dyDescent="0.25">
      <c r="A1520" s="7">
        <v>44576</v>
      </c>
      <c r="B1520" s="8" t="s">
        <v>1826</v>
      </c>
      <c r="C1520" s="9" t="s">
        <v>461</v>
      </c>
      <c r="D1520" s="10">
        <v>394</v>
      </c>
      <c r="E1520" s="11">
        <v>44576</v>
      </c>
      <c r="F1520" s="10">
        <v>394</v>
      </c>
      <c r="G1520" s="12">
        <f>Tabla1[[#This Row],[Importe]]-Tabla1[[#This Row],[Pagado]]</f>
        <v>0</v>
      </c>
      <c r="H1520" s="9" t="s">
        <v>10</v>
      </c>
    </row>
    <row r="1521" spans="1:8" x14ac:dyDescent="0.25">
      <c r="A1521" s="7">
        <v>44576</v>
      </c>
      <c r="B1521" s="8" t="s">
        <v>1827</v>
      </c>
      <c r="C1521" s="9" t="s">
        <v>9</v>
      </c>
      <c r="D1521" s="10">
        <v>2349.4</v>
      </c>
      <c r="E1521" s="11">
        <v>44576</v>
      </c>
      <c r="F1521" s="10">
        <v>2349.4</v>
      </c>
      <c r="G1521" s="12">
        <f>Tabla1[[#This Row],[Importe]]-Tabla1[[#This Row],[Pagado]]</f>
        <v>0</v>
      </c>
      <c r="H1521" s="9" t="s">
        <v>10</v>
      </c>
    </row>
    <row r="1522" spans="1:8" x14ac:dyDescent="0.25">
      <c r="A1522" s="7">
        <v>44576</v>
      </c>
      <c r="B1522" s="8" t="s">
        <v>1828</v>
      </c>
      <c r="C1522" s="9" t="s">
        <v>9</v>
      </c>
      <c r="D1522" s="10">
        <v>706.2</v>
      </c>
      <c r="E1522" s="11">
        <v>44576</v>
      </c>
      <c r="F1522" s="10">
        <v>706.2</v>
      </c>
      <c r="G1522" s="12">
        <f>Tabla1[[#This Row],[Importe]]-Tabla1[[#This Row],[Pagado]]</f>
        <v>0</v>
      </c>
      <c r="H1522" s="9" t="s">
        <v>10</v>
      </c>
    </row>
    <row r="1523" spans="1:8" x14ac:dyDescent="0.25">
      <c r="A1523" s="7">
        <v>44576</v>
      </c>
      <c r="B1523" s="8" t="s">
        <v>1829</v>
      </c>
      <c r="C1523" s="9" t="s">
        <v>35</v>
      </c>
      <c r="D1523" s="10">
        <v>3423.8</v>
      </c>
      <c r="E1523" s="11">
        <v>44576</v>
      </c>
      <c r="F1523" s="10">
        <v>3423.8</v>
      </c>
      <c r="G1523" s="12">
        <f>Tabla1[[#This Row],[Importe]]-Tabla1[[#This Row],[Pagado]]</f>
        <v>0</v>
      </c>
      <c r="H1523" s="9" t="s">
        <v>10</v>
      </c>
    </row>
    <row r="1524" spans="1:8" x14ac:dyDescent="0.25">
      <c r="A1524" s="7">
        <v>44576</v>
      </c>
      <c r="B1524" s="8" t="s">
        <v>1830</v>
      </c>
      <c r="C1524" s="9" t="s">
        <v>214</v>
      </c>
      <c r="D1524" s="10">
        <v>576</v>
      </c>
      <c r="E1524" s="11">
        <v>44576</v>
      </c>
      <c r="F1524" s="10">
        <v>576</v>
      </c>
      <c r="G1524" s="12">
        <f>Tabla1[[#This Row],[Importe]]-Tabla1[[#This Row],[Pagado]]</f>
        <v>0</v>
      </c>
      <c r="H1524" s="9" t="s">
        <v>10</v>
      </c>
    </row>
    <row r="1525" spans="1:8" x14ac:dyDescent="0.25">
      <c r="A1525" s="7">
        <v>44576</v>
      </c>
      <c r="B1525" s="8" t="s">
        <v>1831</v>
      </c>
      <c r="C1525" s="9" t="s">
        <v>31</v>
      </c>
      <c r="D1525" s="10">
        <v>759.2</v>
      </c>
      <c r="E1525" s="11">
        <v>44576</v>
      </c>
      <c r="F1525" s="10">
        <v>759.2</v>
      </c>
      <c r="G1525" s="12">
        <f>Tabla1[[#This Row],[Importe]]-Tabla1[[#This Row],[Pagado]]</f>
        <v>0</v>
      </c>
      <c r="H1525" s="9" t="s">
        <v>10</v>
      </c>
    </row>
    <row r="1526" spans="1:8" x14ac:dyDescent="0.25">
      <c r="A1526" s="7">
        <v>44576</v>
      </c>
      <c r="B1526" s="8" t="s">
        <v>1832</v>
      </c>
      <c r="C1526" s="9" t="s">
        <v>448</v>
      </c>
      <c r="D1526" s="10">
        <v>16100</v>
      </c>
      <c r="E1526" s="11">
        <v>44577</v>
      </c>
      <c r="F1526" s="10">
        <v>16100</v>
      </c>
      <c r="G1526" s="12">
        <f>Tabla1[[#This Row],[Importe]]-Tabla1[[#This Row],[Pagado]]</f>
        <v>0</v>
      </c>
      <c r="H1526" s="9" t="s">
        <v>10</v>
      </c>
    </row>
    <row r="1527" spans="1:8" x14ac:dyDescent="0.25">
      <c r="A1527" s="7">
        <v>44576</v>
      </c>
      <c r="B1527" s="8" t="s">
        <v>1833</v>
      </c>
      <c r="C1527" s="9" t="s">
        <v>454</v>
      </c>
      <c r="D1527" s="10">
        <v>1700</v>
      </c>
      <c r="E1527" s="11">
        <v>44576</v>
      </c>
      <c r="F1527" s="10">
        <v>1700</v>
      </c>
      <c r="G1527" s="12">
        <f>Tabla1[[#This Row],[Importe]]-Tabla1[[#This Row],[Pagado]]</f>
        <v>0</v>
      </c>
      <c r="H1527" s="9" t="s">
        <v>10</v>
      </c>
    </row>
    <row r="1528" spans="1:8" x14ac:dyDescent="0.25">
      <c r="A1528" s="7">
        <v>44576</v>
      </c>
      <c r="B1528" s="8" t="s">
        <v>1834</v>
      </c>
      <c r="C1528" s="9" t="s">
        <v>51</v>
      </c>
      <c r="D1528" s="10">
        <v>5988.4</v>
      </c>
      <c r="E1528" s="11">
        <v>44576</v>
      </c>
      <c r="F1528" s="10">
        <v>5988.4</v>
      </c>
      <c r="G1528" s="12">
        <f>Tabla1[[#This Row],[Importe]]-Tabla1[[#This Row],[Pagado]]</f>
        <v>0</v>
      </c>
      <c r="H1528" s="9" t="s">
        <v>10</v>
      </c>
    </row>
    <row r="1529" spans="1:8" x14ac:dyDescent="0.25">
      <c r="A1529" s="7">
        <v>44576</v>
      </c>
      <c r="B1529" s="8" t="s">
        <v>1835</v>
      </c>
      <c r="C1529" s="9" t="s">
        <v>857</v>
      </c>
      <c r="D1529" s="10">
        <v>1566.2</v>
      </c>
      <c r="E1529" s="11">
        <v>44576</v>
      </c>
      <c r="F1529" s="10">
        <v>1566.2</v>
      </c>
      <c r="G1529" s="12">
        <f>Tabla1[[#This Row],[Importe]]-Tabla1[[#This Row],[Pagado]]</f>
        <v>0</v>
      </c>
      <c r="H1529" s="9" t="s">
        <v>10</v>
      </c>
    </row>
    <row r="1530" spans="1:8" x14ac:dyDescent="0.25">
      <c r="A1530" s="7">
        <v>44576</v>
      </c>
      <c r="B1530" s="8" t="s">
        <v>1836</v>
      </c>
      <c r="C1530" s="9" t="s">
        <v>31</v>
      </c>
      <c r="D1530" s="10">
        <v>280</v>
      </c>
      <c r="E1530" s="11">
        <v>44576</v>
      </c>
      <c r="F1530" s="10">
        <v>280</v>
      </c>
      <c r="G1530" s="12">
        <f>Tabla1[[#This Row],[Importe]]-Tabla1[[#This Row],[Pagado]]</f>
        <v>0</v>
      </c>
      <c r="H1530" s="9" t="s">
        <v>10</v>
      </c>
    </row>
    <row r="1531" spans="1:8" x14ac:dyDescent="0.25">
      <c r="A1531" s="7">
        <v>44576</v>
      </c>
      <c r="B1531" s="8" t="s">
        <v>1837</v>
      </c>
      <c r="C1531" s="9" t="s">
        <v>31</v>
      </c>
      <c r="D1531" s="10">
        <v>263.32</v>
      </c>
      <c r="E1531" s="11">
        <v>44576</v>
      </c>
      <c r="F1531" s="10">
        <v>263.32</v>
      </c>
      <c r="G1531" s="12">
        <f>Tabla1[[#This Row],[Importe]]-Tabla1[[#This Row],[Pagado]]</f>
        <v>0</v>
      </c>
      <c r="H1531" s="9" t="s">
        <v>10</v>
      </c>
    </row>
    <row r="1532" spans="1:8" x14ac:dyDescent="0.25">
      <c r="A1532" s="7">
        <v>44576</v>
      </c>
      <c r="B1532" s="8" t="s">
        <v>1838</v>
      </c>
      <c r="C1532" s="9" t="s">
        <v>31</v>
      </c>
      <c r="D1532" s="10">
        <v>506.6</v>
      </c>
      <c r="E1532" s="11">
        <v>44576</v>
      </c>
      <c r="F1532" s="10">
        <v>506.6</v>
      </c>
      <c r="G1532" s="12">
        <f>Tabla1[[#This Row],[Importe]]-Tabla1[[#This Row],[Pagado]]</f>
        <v>0</v>
      </c>
      <c r="H1532" s="9" t="s">
        <v>10</v>
      </c>
    </row>
    <row r="1533" spans="1:8" x14ac:dyDescent="0.25">
      <c r="A1533" s="7">
        <v>44577</v>
      </c>
      <c r="B1533" s="8" t="s">
        <v>1839</v>
      </c>
      <c r="C1533" s="9" t="s">
        <v>9</v>
      </c>
      <c r="D1533" s="10">
        <v>4420.8999999999996</v>
      </c>
      <c r="E1533" s="11">
        <v>44577</v>
      </c>
      <c r="F1533" s="10">
        <v>4420.8999999999996</v>
      </c>
      <c r="G1533" s="12">
        <f>Tabla1[[#This Row],[Importe]]-Tabla1[[#This Row],[Pagado]]</f>
        <v>0</v>
      </c>
      <c r="H1533" s="9" t="s">
        <v>10</v>
      </c>
    </row>
    <row r="1534" spans="1:8" x14ac:dyDescent="0.25">
      <c r="A1534" s="7">
        <v>44577</v>
      </c>
      <c r="B1534" s="8" t="s">
        <v>1840</v>
      </c>
      <c r="C1534" s="9" t="s">
        <v>1841</v>
      </c>
      <c r="D1534" s="10">
        <v>0</v>
      </c>
      <c r="E1534" s="13" t="s">
        <v>189</v>
      </c>
      <c r="F1534" s="10">
        <v>0</v>
      </c>
      <c r="G1534" s="12">
        <f>Tabla1[[#This Row],[Importe]]-Tabla1[[#This Row],[Pagado]]</f>
        <v>0</v>
      </c>
      <c r="H1534" s="17" t="s">
        <v>1842</v>
      </c>
    </row>
    <row r="1535" spans="1:8" x14ac:dyDescent="0.25">
      <c r="A1535" s="7">
        <v>44577</v>
      </c>
      <c r="B1535" s="8" t="s">
        <v>1843</v>
      </c>
      <c r="C1535" s="9" t="s">
        <v>16</v>
      </c>
      <c r="D1535" s="10">
        <v>9528.7999999999993</v>
      </c>
      <c r="E1535" s="11">
        <v>44577</v>
      </c>
      <c r="F1535" s="10">
        <v>9528.7999999999993</v>
      </c>
      <c r="G1535" s="12">
        <f>Tabla1[[#This Row],[Importe]]-Tabla1[[#This Row],[Pagado]]</f>
        <v>0</v>
      </c>
      <c r="H1535" s="9" t="s">
        <v>10</v>
      </c>
    </row>
    <row r="1536" spans="1:8" x14ac:dyDescent="0.25">
      <c r="A1536" s="7">
        <v>44577</v>
      </c>
      <c r="B1536" s="8" t="s">
        <v>1844</v>
      </c>
      <c r="C1536" s="9" t="s">
        <v>20</v>
      </c>
      <c r="D1536" s="10">
        <v>5194</v>
      </c>
      <c r="E1536" s="11">
        <v>44577</v>
      </c>
      <c r="F1536" s="10">
        <v>5194</v>
      </c>
      <c r="G1536" s="12">
        <f>Tabla1[[#This Row],[Importe]]-Tabla1[[#This Row],[Pagado]]</f>
        <v>0</v>
      </c>
      <c r="H1536" s="9" t="s">
        <v>10</v>
      </c>
    </row>
    <row r="1537" spans="1:8" x14ac:dyDescent="0.25">
      <c r="A1537" s="7">
        <v>44577</v>
      </c>
      <c r="B1537" s="8" t="s">
        <v>1845</v>
      </c>
      <c r="C1537" s="9" t="s">
        <v>224</v>
      </c>
      <c r="D1537" s="10">
        <v>1926.8</v>
      </c>
      <c r="E1537" s="11">
        <v>44577</v>
      </c>
      <c r="F1537" s="10">
        <v>1926.8</v>
      </c>
      <c r="G1537" s="12">
        <f>Tabla1[[#This Row],[Importe]]-Tabla1[[#This Row],[Pagado]]</f>
        <v>0</v>
      </c>
      <c r="H1537" s="9" t="s">
        <v>10</v>
      </c>
    </row>
    <row r="1538" spans="1:8" x14ac:dyDescent="0.25">
      <c r="A1538" s="7">
        <v>44577</v>
      </c>
      <c r="B1538" s="8" t="s">
        <v>1846</v>
      </c>
      <c r="C1538" s="9" t="s">
        <v>22</v>
      </c>
      <c r="D1538" s="10">
        <v>56954.2</v>
      </c>
      <c r="E1538" s="11">
        <v>44578</v>
      </c>
      <c r="F1538" s="10">
        <v>56954.2</v>
      </c>
      <c r="G1538" s="12">
        <f>Tabla1[[#This Row],[Importe]]-Tabla1[[#This Row],[Pagado]]</f>
        <v>0</v>
      </c>
      <c r="H1538" s="9" t="s">
        <v>10</v>
      </c>
    </row>
    <row r="1539" spans="1:8" x14ac:dyDescent="0.25">
      <c r="A1539" s="7">
        <v>44577</v>
      </c>
      <c r="B1539" s="8" t="s">
        <v>1847</v>
      </c>
      <c r="C1539" s="9" t="s">
        <v>804</v>
      </c>
      <c r="D1539" s="10">
        <v>15258.7</v>
      </c>
      <c r="E1539" s="11">
        <v>44577</v>
      </c>
      <c r="F1539" s="10">
        <v>15258.7</v>
      </c>
      <c r="G1539" s="12">
        <f>Tabla1[[#This Row],[Importe]]-Tabla1[[#This Row],[Pagado]]</f>
        <v>0</v>
      </c>
      <c r="H1539" s="9" t="s">
        <v>10</v>
      </c>
    </row>
    <row r="1540" spans="1:8" x14ac:dyDescent="0.25">
      <c r="A1540" s="7">
        <v>44577</v>
      </c>
      <c r="B1540" s="8" t="s">
        <v>1848</v>
      </c>
      <c r="C1540" s="9" t="s">
        <v>29</v>
      </c>
      <c r="D1540" s="10">
        <v>5285.4</v>
      </c>
      <c r="E1540" s="11">
        <v>44577</v>
      </c>
      <c r="F1540" s="10">
        <v>5285.4</v>
      </c>
      <c r="G1540" s="12">
        <f>Tabla1[[#This Row],[Importe]]-Tabla1[[#This Row],[Pagado]]</f>
        <v>0</v>
      </c>
      <c r="H1540" s="9" t="s">
        <v>10</v>
      </c>
    </row>
    <row r="1541" spans="1:8" x14ac:dyDescent="0.25">
      <c r="A1541" s="7">
        <v>44577</v>
      </c>
      <c r="B1541" s="8" t="s">
        <v>1849</v>
      </c>
      <c r="C1541" s="9" t="s">
        <v>29</v>
      </c>
      <c r="D1541" s="10">
        <v>168</v>
      </c>
      <c r="E1541" s="11">
        <v>44577</v>
      </c>
      <c r="F1541" s="10">
        <v>168</v>
      </c>
      <c r="G1541" s="12">
        <f>Tabla1[[#This Row],[Importe]]-Tabla1[[#This Row],[Pagado]]</f>
        <v>0</v>
      </c>
      <c r="H1541" s="9" t="s">
        <v>10</v>
      </c>
    </row>
    <row r="1542" spans="1:8" x14ac:dyDescent="0.25">
      <c r="A1542" s="7">
        <v>44577</v>
      </c>
      <c r="B1542" s="8" t="s">
        <v>1850</v>
      </c>
      <c r="C1542" s="9" t="s">
        <v>149</v>
      </c>
      <c r="D1542" s="10">
        <v>2862.8</v>
      </c>
      <c r="E1542" s="11">
        <v>44577</v>
      </c>
      <c r="F1542" s="10">
        <v>2862.8</v>
      </c>
      <c r="G1542" s="12">
        <f>Tabla1[[#This Row],[Importe]]-Tabla1[[#This Row],[Pagado]]</f>
        <v>0</v>
      </c>
      <c r="H1542" s="9" t="s">
        <v>10</v>
      </c>
    </row>
    <row r="1543" spans="1:8" x14ac:dyDescent="0.25">
      <c r="A1543" s="7">
        <v>44577</v>
      </c>
      <c r="B1543" s="8" t="s">
        <v>1851</v>
      </c>
      <c r="C1543" s="9" t="s">
        <v>27</v>
      </c>
      <c r="D1543" s="10">
        <v>2286.8000000000002</v>
      </c>
      <c r="E1543" s="11">
        <v>44577</v>
      </c>
      <c r="F1543" s="10">
        <v>2286.8000000000002</v>
      </c>
      <c r="G1543" s="12">
        <f>Tabla1[[#This Row],[Importe]]-Tabla1[[#This Row],[Pagado]]</f>
        <v>0</v>
      </c>
      <c r="H1543" s="9" t="s">
        <v>10</v>
      </c>
    </row>
    <row r="1544" spans="1:8" x14ac:dyDescent="0.25">
      <c r="A1544" s="7">
        <v>44577</v>
      </c>
      <c r="B1544" s="8" t="s">
        <v>1852</v>
      </c>
      <c r="C1544" s="9" t="s">
        <v>45</v>
      </c>
      <c r="D1544" s="10">
        <v>8381.2000000000007</v>
      </c>
      <c r="E1544" s="11">
        <v>44577</v>
      </c>
      <c r="F1544" s="10">
        <v>8381.2000000000007</v>
      </c>
      <c r="G1544" s="12">
        <f>Tabla1[[#This Row],[Importe]]-Tabla1[[#This Row],[Pagado]]</f>
        <v>0</v>
      </c>
      <c r="H1544" s="9" t="s">
        <v>10</v>
      </c>
    </row>
    <row r="1545" spans="1:8" x14ac:dyDescent="0.25">
      <c r="A1545" s="7">
        <v>44577</v>
      </c>
      <c r="B1545" s="8" t="s">
        <v>1853</v>
      </c>
      <c r="C1545" s="9" t="s">
        <v>161</v>
      </c>
      <c r="D1545" s="10">
        <v>3805.2</v>
      </c>
      <c r="E1545" s="11">
        <v>44577</v>
      </c>
      <c r="F1545" s="10">
        <v>3805.2</v>
      </c>
      <c r="G1545" s="12">
        <f>Tabla1[[#This Row],[Importe]]-Tabla1[[#This Row],[Pagado]]</f>
        <v>0</v>
      </c>
      <c r="H1545" s="9" t="s">
        <v>10</v>
      </c>
    </row>
    <row r="1546" spans="1:8" x14ac:dyDescent="0.25">
      <c r="A1546" s="7">
        <v>44577</v>
      </c>
      <c r="B1546" s="8" t="s">
        <v>1854</v>
      </c>
      <c r="C1546" s="9" t="s">
        <v>373</v>
      </c>
      <c r="D1546" s="10">
        <v>3142.4</v>
      </c>
      <c r="E1546" s="11">
        <v>44577</v>
      </c>
      <c r="F1546" s="10">
        <v>3142.4</v>
      </c>
      <c r="G1546" s="12">
        <f>Tabla1[[#This Row],[Importe]]-Tabla1[[#This Row],[Pagado]]</f>
        <v>0</v>
      </c>
      <c r="H1546" s="9" t="s">
        <v>10</v>
      </c>
    </row>
    <row r="1547" spans="1:8" x14ac:dyDescent="0.25">
      <c r="A1547" s="7">
        <v>44577</v>
      </c>
      <c r="B1547" s="8" t="s">
        <v>1855</v>
      </c>
      <c r="C1547" s="9" t="s">
        <v>481</v>
      </c>
      <c r="D1547" s="10">
        <v>422.4</v>
      </c>
      <c r="E1547" s="11">
        <v>44577</v>
      </c>
      <c r="F1547" s="10">
        <v>422.4</v>
      </c>
      <c r="G1547" s="12">
        <f>Tabla1[[#This Row],[Importe]]-Tabla1[[#This Row],[Pagado]]</f>
        <v>0</v>
      </c>
      <c r="H1547" s="9" t="s">
        <v>10</v>
      </c>
    </row>
    <row r="1548" spans="1:8" x14ac:dyDescent="0.25">
      <c r="A1548" s="7">
        <v>44577</v>
      </c>
      <c r="B1548" s="8" t="s">
        <v>1856</v>
      </c>
      <c r="C1548" s="9" t="s">
        <v>12</v>
      </c>
      <c r="D1548" s="10">
        <v>36175.85</v>
      </c>
      <c r="E1548" s="11">
        <v>44577</v>
      </c>
      <c r="F1548" s="10">
        <v>36175.85</v>
      </c>
      <c r="G1548" s="12">
        <f>Tabla1[[#This Row],[Importe]]-Tabla1[[#This Row],[Pagado]]</f>
        <v>0</v>
      </c>
      <c r="H1548" s="9" t="s">
        <v>10</v>
      </c>
    </row>
    <row r="1549" spans="1:8" x14ac:dyDescent="0.25">
      <c r="A1549" s="7">
        <v>44577</v>
      </c>
      <c r="B1549" s="8" t="s">
        <v>1857</v>
      </c>
      <c r="C1549" s="9" t="s">
        <v>216</v>
      </c>
      <c r="D1549" s="10">
        <v>1812.4</v>
      </c>
      <c r="E1549" s="11">
        <v>44577</v>
      </c>
      <c r="F1549" s="10">
        <v>1812.4</v>
      </c>
      <c r="G1549" s="12">
        <f>Tabla1[[#This Row],[Importe]]-Tabla1[[#This Row],[Pagado]]</f>
        <v>0</v>
      </c>
      <c r="H1549" s="9" t="s">
        <v>10</v>
      </c>
    </row>
    <row r="1550" spans="1:8" x14ac:dyDescent="0.25">
      <c r="A1550" s="7">
        <v>44577</v>
      </c>
      <c r="B1550" s="8" t="s">
        <v>1858</v>
      </c>
      <c r="C1550" s="9" t="s">
        <v>49</v>
      </c>
      <c r="D1550" s="10">
        <v>2689.4</v>
      </c>
      <c r="E1550" s="11">
        <v>44577</v>
      </c>
      <c r="F1550" s="10">
        <v>2689.4</v>
      </c>
      <c r="G1550" s="12">
        <f>Tabla1[[#This Row],[Importe]]-Tabla1[[#This Row],[Pagado]]</f>
        <v>0</v>
      </c>
      <c r="H1550" s="9" t="s">
        <v>10</v>
      </c>
    </row>
    <row r="1551" spans="1:8" x14ac:dyDescent="0.25">
      <c r="A1551" s="7">
        <v>44577</v>
      </c>
      <c r="B1551" s="8" t="s">
        <v>1859</v>
      </c>
      <c r="C1551" s="9" t="s">
        <v>39</v>
      </c>
      <c r="D1551" s="10">
        <v>2404.6999999999998</v>
      </c>
      <c r="E1551" s="11">
        <v>44577</v>
      </c>
      <c r="F1551" s="10">
        <v>2404.6999999999998</v>
      </c>
      <c r="G1551" s="12">
        <f>Tabla1[[#This Row],[Importe]]-Tabla1[[#This Row],[Pagado]]</f>
        <v>0</v>
      </c>
      <c r="H1551" s="9" t="s">
        <v>10</v>
      </c>
    </row>
    <row r="1552" spans="1:8" x14ac:dyDescent="0.25">
      <c r="A1552" s="7">
        <v>44577</v>
      </c>
      <c r="B1552" s="8" t="s">
        <v>1860</v>
      </c>
      <c r="C1552" s="9" t="s">
        <v>24</v>
      </c>
      <c r="D1552" s="10">
        <v>3826.8</v>
      </c>
      <c r="E1552" s="11">
        <v>44577</v>
      </c>
      <c r="F1552" s="10">
        <v>3826.8</v>
      </c>
      <c r="G1552" s="12">
        <f>Tabla1[[#This Row],[Importe]]-Tabla1[[#This Row],[Pagado]]</f>
        <v>0</v>
      </c>
      <c r="H1552" s="9" t="s">
        <v>10</v>
      </c>
    </row>
    <row r="1553" spans="1:8" x14ac:dyDescent="0.25">
      <c r="A1553" s="7">
        <v>44577</v>
      </c>
      <c r="B1553" s="8" t="s">
        <v>1861</v>
      </c>
      <c r="C1553" s="9" t="s">
        <v>56</v>
      </c>
      <c r="D1553" s="10">
        <v>7254.7</v>
      </c>
      <c r="E1553" s="11">
        <v>44577</v>
      </c>
      <c r="F1553" s="10">
        <v>7254.7</v>
      </c>
      <c r="G1553" s="12">
        <f>Tabla1[[#This Row],[Importe]]-Tabla1[[#This Row],[Pagado]]</f>
        <v>0</v>
      </c>
      <c r="H1553" s="9" t="s">
        <v>10</v>
      </c>
    </row>
    <row r="1554" spans="1:8" x14ac:dyDescent="0.25">
      <c r="A1554" s="7">
        <v>44577</v>
      </c>
      <c r="B1554" s="8" t="s">
        <v>1862</v>
      </c>
      <c r="C1554" s="9" t="s">
        <v>244</v>
      </c>
      <c r="D1554" s="10">
        <v>2018.1</v>
      </c>
      <c r="E1554" s="11">
        <v>44577</v>
      </c>
      <c r="F1554" s="10">
        <v>2018.1</v>
      </c>
      <c r="G1554" s="12">
        <f>Tabla1[[#This Row],[Importe]]-Tabla1[[#This Row],[Pagado]]</f>
        <v>0</v>
      </c>
      <c r="H1554" s="9" t="s">
        <v>10</v>
      </c>
    </row>
    <row r="1555" spans="1:8" x14ac:dyDescent="0.25">
      <c r="A1555" s="7">
        <v>44577</v>
      </c>
      <c r="B1555" s="8" t="s">
        <v>1863</v>
      </c>
      <c r="C1555" s="9" t="s">
        <v>85</v>
      </c>
      <c r="D1555" s="10">
        <v>2344.4</v>
      </c>
      <c r="E1555" s="11">
        <v>44577</v>
      </c>
      <c r="F1555" s="10">
        <v>2344.4</v>
      </c>
      <c r="G1555" s="12">
        <f>Tabla1[[#This Row],[Importe]]-Tabla1[[#This Row],[Pagado]]</f>
        <v>0</v>
      </c>
      <c r="H1555" s="9" t="s">
        <v>10</v>
      </c>
    </row>
    <row r="1556" spans="1:8" x14ac:dyDescent="0.25">
      <c r="A1556" s="7">
        <v>44577</v>
      </c>
      <c r="B1556" s="8" t="s">
        <v>1864</v>
      </c>
      <c r="C1556" s="9" t="s">
        <v>67</v>
      </c>
      <c r="D1556" s="10">
        <v>246.4</v>
      </c>
      <c r="E1556" s="11">
        <v>44577</v>
      </c>
      <c r="F1556" s="10">
        <v>246.4</v>
      </c>
      <c r="G1556" s="12">
        <f>Tabla1[[#This Row],[Importe]]-Tabla1[[#This Row],[Pagado]]</f>
        <v>0</v>
      </c>
      <c r="H1556" s="9" t="s">
        <v>10</v>
      </c>
    </row>
    <row r="1557" spans="1:8" x14ac:dyDescent="0.25">
      <c r="A1557" s="7">
        <v>44577</v>
      </c>
      <c r="B1557" s="8" t="s">
        <v>1865</v>
      </c>
      <c r="C1557" s="9" t="s">
        <v>67</v>
      </c>
      <c r="D1557" s="10">
        <v>2489.4</v>
      </c>
      <c r="E1557" s="11">
        <v>44577</v>
      </c>
      <c r="F1557" s="10">
        <v>2489.4</v>
      </c>
      <c r="G1557" s="12">
        <f>Tabla1[[#This Row],[Importe]]-Tabla1[[#This Row],[Pagado]]</f>
        <v>0</v>
      </c>
      <c r="H1557" s="9" t="s">
        <v>10</v>
      </c>
    </row>
    <row r="1558" spans="1:8" x14ac:dyDescent="0.25">
      <c r="A1558" s="7">
        <v>44577</v>
      </c>
      <c r="B1558" s="8" t="s">
        <v>1866</v>
      </c>
      <c r="C1558" s="9" t="s">
        <v>1187</v>
      </c>
      <c r="D1558" s="10">
        <v>2071.6</v>
      </c>
      <c r="E1558" s="11">
        <v>44577</v>
      </c>
      <c r="F1558" s="10">
        <v>2071.6</v>
      </c>
      <c r="G1558" s="12">
        <f>Tabla1[[#This Row],[Importe]]-Tabla1[[#This Row],[Pagado]]</f>
        <v>0</v>
      </c>
      <c r="H1558" s="9" t="s">
        <v>10</v>
      </c>
    </row>
    <row r="1559" spans="1:8" x14ac:dyDescent="0.25">
      <c r="A1559" s="7">
        <v>44577</v>
      </c>
      <c r="B1559" s="8" t="s">
        <v>1867</v>
      </c>
      <c r="C1559" s="9" t="s">
        <v>58</v>
      </c>
      <c r="D1559" s="10">
        <v>2550.9</v>
      </c>
      <c r="E1559" s="11">
        <v>44577</v>
      </c>
      <c r="F1559" s="10">
        <v>2550.9</v>
      </c>
      <c r="G1559" s="12">
        <f>Tabla1[[#This Row],[Importe]]-Tabla1[[#This Row],[Pagado]]</f>
        <v>0</v>
      </c>
      <c r="H1559" s="9" t="s">
        <v>10</v>
      </c>
    </row>
    <row r="1560" spans="1:8" x14ac:dyDescent="0.25">
      <c r="A1560" s="7">
        <v>44577</v>
      </c>
      <c r="B1560" s="8" t="s">
        <v>1868</v>
      </c>
      <c r="C1560" s="9" t="s">
        <v>53</v>
      </c>
      <c r="D1560" s="10">
        <v>1344</v>
      </c>
      <c r="E1560" s="11">
        <v>44577</v>
      </c>
      <c r="F1560" s="10">
        <v>1344</v>
      </c>
      <c r="G1560" s="12">
        <f>Tabla1[[#This Row],[Importe]]-Tabla1[[#This Row],[Pagado]]</f>
        <v>0</v>
      </c>
      <c r="H1560" s="9" t="s">
        <v>10</v>
      </c>
    </row>
    <row r="1561" spans="1:8" x14ac:dyDescent="0.25">
      <c r="A1561" s="7">
        <v>44577</v>
      </c>
      <c r="B1561" s="8" t="s">
        <v>1869</v>
      </c>
      <c r="C1561" s="9" t="s">
        <v>71</v>
      </c>
      <c r="D1561" s="10">
        <v>2782</v>
      </c>
      <c r="E1561" s="11">
        <v>44577</v>
      </c>
      <c r="F1561" s="10">
        <v>2782</v>
      </c>
      <c r="G1561" s="12">
        <f>Tabla1[[#This Row],[Importe]]-Tabla1[[#This Row],[Pagado]]</f>
        <v>0</v>
      </c>
      <c r="H1561" s="9" t="s">
        <v>10</v>
      </c>
    </row>
    <row r="1562" spans="1:8" x14ac:dyDescent="0.25">
      <c r="A1562" s="7">
        <v>44577</v>
      </c>
      <c r="B1562" s="8" t="s">
        <v>1870</v>
      </c>
      <c r="C1562" s="9" t="s">
        <v>27</v>
      </c>
      <c r="D1562" s="10">
        <v>840</v>
      </c>
      <c r="E1562" s="11">
        <v>44577</v>
      </c>
      <c r="F1562" s="10">
        <v>840</v>
      </c>
      <c r="G1562" s="12">
        <f>Tabla1[[#This Row],[Importe]]-Tabla1[[#This Row],[Pagado]]</f>
        <v>0</v>
      </c>
      <c r="H1562" s="9" t="s">
        <v>10</v>
      </c>
    </row>
    <row r="1563" spans="1:8" x14ac:dyDescent="0.25">
      <c r="A1563" s="7">
        <v>44577</v>
      </c>
      <c r="B1563" s="8" t="s">
        <v>1871</v>
      </c>
      <c r="C1563" s="9" t="s">
        <v>53</v>
      </c>
      <c r="D1563" s="10">
        <v>1392</v>
      </c>
      <c r="E1563" s="11">
        <v>44577</v>
      </c>
      <c r="F1563" s="10">
        <v>1392</v>
      </c>
      <c r="G1563" s="12">
        <f>Tabla1[[#This Row],[Importe]]-Tabla1[[#This Row],[Pagado]]</f>
        <v>0</v>
      </c>
      <c r="H1563" s="9" t="s">
        <v>10</v>
      </c>
    </row>
    <row r="1564" spans="1:8" x14ac:dyDescent="0.25">
      <c r="A1564" s="7">
        <v>44577</v>
      </c>
      <c r="B1564" s="8" t="s">
        <v>1872</v>
      </c>
      <c r="C1564" s="9" t="s">
        <v>69</v>
      </c>
      <c r="D1564" s="10">
        <v>1039</v>
      </c>
      <c r="E1564" s="11">
        <v>44577</v>
      </c>
      <c r="F1564" s="10">
        <v>1039</v>
      </c>
      <c r="G1564" s="12">
        <f>Tabla1[[#This Row],[Importe]]-Tabla1[[#This Row],[Pagado]]</f>
        <v>0</v>
      </c>
      <c r="H1564" s="9" t="s">
        <v>10</v>
      </c>
    </row>
    <row r="1565" spans="1:8" x14ac:dyDescent="0.25">
      <c r="A1565" s="7">
        <v>44577</v>
      </c>
      <c r="B1565" s="8" t="s">
        <v>1873</v>
      </c>
      <c r="C1565" s="9" t="s">
        <v>670</v>
      </c>
      <c r="D1565" s="10">
        <v>3710.7</v>
      </c>
      <c r="E1565" s="11">
        <v>44577</v>
      </c>
      <c r="F1565" s="10">
        <v>3710.7</v>
      </c>
      <c r="G1565" s="12">
        <f>Tabla1[[#This Row],[Importe]]-Tabla1[[#This Row],[Pagado]]</f>
        <v>0</v>
      </c>
      <c r="H1565" s="9" t="s">
        <v>10</v>
      </c>
    </row>
    <row r="1566" spans="1:8" x14ac:dyDescent="0.25">
      <c r="A1566" s="7">
        <v>44577</v>
      </c>
      <c r="B1566" s="8" t="s">
        <v>1874</v>
      </c>
      <c r="C1566" s="9" t="s">
        <v>31</v>
      </c>
      <c r="D1566" s="10">
        <v>53.2</v>
      </c>
      <c r="E1566" s="11">
        <v>44577</v>
      </c>
      <c r="F1566" s="10">
        <v>53.2</v>
      </c>
      <c r="G1566" s="12">
        <f>Tabla1[[#This Row],[Importe]]-Tabla1[[#This Row],[Pagado]]</f>
        <v>0</v>
      </c>
      <c r="H1566" s="9" t="s">
        <v>10</v>
      </c>
    </row>
    <row r="1567" spans="1:8" x14ac:dyDescent="0.25">
      <c r="A1567" s="7">
        <v>44577</v>
      </c>
      <c r="B1567" s="8" t="s">
        <v>1875</v>
      </c>
      <c r="C1567" s="9" t="s">
        <v>31</v>
      </c>
      <c r="D1567" s="10">
        <v>1298.8</v>
      </c>
      <c r="E1567" s="11">
        <v>44577</v>
      </c>
      <c r="F1567" s="10">
        <v>1298.8</v>
      </c>
      <c r="G1567" s="12">
        <f>Tabla1[[#This Row],[Importe]]-Tabla1[[#This Row],[Pagado]]</f>
        <v>0</v>
      </c>
      <c r="H1567" s="9" t="s">
        <v>10</v>
      </c>
    </row>
    <row r="1568" spans="1:8" x14ac:dyDescent="0.25">
      <c r="A1568" s="7">
        <v>44577</v>
      </c>
      <c r="B1568" s="8" t="s">
        <v>1876</v>
      </c>
      <c r="C1568" s="9" t="s">
        <v>31</v>
      </c>
      <c r="D1568" s="10">
        <v>452.2</v>
      </c>
      <c r="E1568" s="11">
        <v>44577</v>
      </c>
      <c r="F1568" s="10">
        <v>452.2</v>
      </c>
      <c r="G1568" s="12">
        <f>Tabla1[[#This Row],[Importe]]-Tabla1[[#This Row],[Pagado]]</f>
        <v>0</v>
      </c>
      <c r="H1568" s="9" t="s">
        <v>10</v>
      </c>
    </row>
    <row r="1569" spans="1:8" x14ac:dyDescent="0.25">
      <c r="A1569" s="7">
        <v>44577</v>
      </c>
      <c r="B1569" s="8" t="s">
        <v>1877</v>
      </c>
      <c r="C1569" s="9" t="s">
        <v>1878</v>
      </c>
      <c r="D1569" s="10">
        <v>0</v>
      </c>
      <c r="E1569" s="13" t="s">
        <v>189</v>
      </c>
      <c r="F1569" s="10">
        <v>0</v>
      </c>
      <c r="G1569" s="12">
        <f>Tabla1[[#This Row],[Importe]]-Tabla1[[#This Row],[Pagado]]</f>
        <v>0</v>
      </c>
      <c r="H1569" s="17" t="s">
        <v>1879</v>
      </c>
    </row>
    <row r="1570" spans="1:8" x14ac:dyDescent="0.25">
      <c r="A1570" s="7">
        <v>44577</v>
      </c>
      <c r="B1570" s="8" t="s">
        <v>1880</v>
      </c>
      <c r="C1570" s="9" t="s">
        <v>16</v>
      </c>
      <c r="D1570" s="10">
        <v>452.2</v>
      </c>
      <c r="E1570" s="11">
        <v>44577</v>
      </c>
      <c r="F1570" s="10">
        <v>452.2</v>
      </c>
      <c r="G1570" s="12">
        <f>Tabla1[[#This Row],[Importe]]-Tabla1[[#This Row],[Pagado]]</f>
        <v>0</v>
      </c>
      <c r="H1570" s="9" t="s">
        <v>10</v>
      </c>
    </row>
    <row r="1571" spans="1:8" x14ac:dyDescent="0.25">
      <c r="A1571" s="7">
        <v>44577</v>
      </c>
      <c r="B1571" s="8" t="s">
        <v>1881</v>
      </c>
      <c r="C1571" s="9" t="s">
        <v>214</v>
      </c>
      <c r="D1571" s="10">
        <v>1292.5999999999999</v>
      </c>
      <c r="E1571" s="11">
        <v>44578</v>
      </c>
      <c r="F1571" s="10">
        <v>1292.5999999999999</v>
      </c>
      <c r="G1571" s="12">
        <f>Tabla1[[#This Row],[Importe]]-Tabla1[[#This Row],[Pagado]]</f>
        <v>0</v>
      </c>
      <c r="H1571" s="9" t="s">
        <v>10</v>
      </c>
    </row>
    <row r="1572" spans="1:8" x14ac:dyDescent="0.25">
      <c r="A1572" s="7">
        <v>44577</v>
      </c>
      <c r="B1572" s="8" t="s">
        <v>1882</v>
      </c>
      <c r="C1572" s="9" t="s">
        <v>9</v>
      </c>
      <c r="D1572" s="10">
        <v>419.1</v>
      </c>
      <c r="E1572" s="11">
        <v>44578</v>
      </c>
      <c r="F1572" s="10">
        <v>419.1</v>
      </c>
      <c r="G1572" s="12">
        <f>Tabla1[[#This Row],[Importe]]-Tabla1[[#This Row],[Pagado]]</f>
        <v>0</v>
      </c>
      <c r="H1572" s="9" t="s">
        <v>10</v>
      </c>
    </row>
    <row r="1573" spans="1:8" x14ac:dyDescent="0.25">
      <c r="A1573" s="7">
        <v>44577</v>
      </c>
      <c r="B1573" s="8" t="s">
        <v>1883</v>
      </c>
      <c r="C1573" s="9" t="s">
        <v>67</v>
      </c>
      <c r="D1573" s="10">
        <v>1111.5</v>
      </c>
      <c r="E1573" s="11">
        <v>44578</v>
      </c>
      <c r="F1573" s="10">
        <v>1111.5</v>
      </c>
      <c r="G1573" s="12">
        <f>Tabla1[[#This Row],[Importe]]-Tabla1[[#This Row],[Pagado]]</f>
        <v>0</v>
      </c>
      <c r="H1573" s="9" t="s">
        <v>10</v>
      </c>
    </row>
    <row r="1574" spans="1:8" x14ac:dyDescent="0.25">
      <c r="A1574" s="7">
        <v>44578</v>
      </c>
      <c r="B1574" s="8" t="s">
        <v>1884</v>
      </c>
      <c r="C1574" s="9" t="s">
        <v>85</v>
      </c>
      <c r="D1574" s="10">
        <v>841.8</v>
      </c>
      <c r="E1574" s="11">
        <v>44578</v>
      </c>
      <c r="F1574" s="10">
        <v>841.8</v>
      </c>
      <c r="G1574" s="12">
        <f>Tabla1[[#This Row],[Importe]]-Tabla1[[#This Row],[Pagado]]</f>
        <v>0</v>
      </c>
      <c r="H1574" s="9" t="s">
        <v>10</v>
      </c>
    </row>
    <row r="1575" spans="1:8" x14ac:dyDescent="0.25">
      <c r="A1575" s="7">
        <v>44578</v>
      </c>
      <c r="B1575" s="8" t="s">
        <v>1885</v>
      </c>
      <c r="C1575" s="9" t="s">
        <v>75</v>
      </c>
      <c r="D1575" s="10">
        <v>5225.6000000000004</v>
      </c>
      <c r="E1575" s="11">
        <v>44578</v>
      </c>
      <c r="F1575" s="10">
        <v>5225.6000000000004</v>
      </c>
      <c r="G1575" s="12">
        <f>Tabla1[[#This Row],[Importe]]-Tabla1[[#This Row],[Pagado]]</f>
        <v>0</v>
      </c>
      <c r="H1575" s="9" t="s">
        <v>10</v>
      </c>
    </row>
    <row r="1576" spans="1:8" x14ac:dyDescent="0.25">
      <c r="A1576" s="7">
        <v>44578</v>
      </c>
      <c r="B1576" s="8" t="s">
        <v>1886</v>
      </c>
      <c r="C1576" s="9" t="s">
        <v>473</v>
      </c>
      <c r="D1576" s="10">
        <v>5358.3</v>
      </c>
      <c r="E1576" s="11">
        <v>44578</v>
      </c>
      <c r="F1576" s="10">
        <v>5358.3</v>
      </c>
      <c r="G1576" s="12">
        <f>Tabla1[[#This Row],[Importe]]-Tabla1[[#This Row],[Pagado]]</f>
        <v>0</v>
      </c>
      <c r="H1576" s="9" t="s">
        <v>10</v>
      </c>
    </row>
    <row r="1577" spans="1:8" x14ac:dyDescent="0.25">
      <c r="A1577" s="7">
        <v>44578</v>
      </c>
      <c r="B1577" s="8" t="s">
        <v>1887</v>
      </c>
      <c r="C1577" s="9" t="s">
        <v>12</v>
      </c>
      <c r="D1577" s="10">
        <v>56046.6</v>
      </c>
      <c r="E1577" s="11">
        <v>44579</v>
      </c>
      <c r="F1577" s="10">
        <v>56046.6</v>
      </c>
      <c r="G1577" s="12">
        <f>Tabla1[[#This Row],[Importe]]-Tabla1[[#This Row],[Pagado]]</f>
        <v>0</v>
      </c>
      <c r="H1577" s="9" t="s">
        <v>10</v>
      </c>
    </row>
    <row r="1578" spans="1:8" ht="30" x14ac:dyDescent="0.25">
      <c r="A1578" s="7">
        <v>44578</v>
      </c>
      <c r="B1578" s="8" t="s">
        <v>1888</v>
      </c>
      <c r="C1578" s="9" t="s">
        <v>475</v>
      </c>
      <c r="D1578" s="10">
        <v>90261.4</v>
      </c>
      <c r="E1578" s="11" t="s">
        <v>1889</v>
      </c>
      <c r="F1578" s="10">
        <f>80000+10261.4</f>
        <v>90261.4</v>
      </c>
      <c r="G1578" s="12">
        <f>Tabla1[[#This Row],[Importe]]-Tabla1[[#This Row],[Pagado]]</f>
        <v>0</v>
      </c>
      <c r="H1578" s="9" t="s">
        <v>10</v>
      </c>
    </row>
    <row r="1579" spans="1:8" x14ac:dyDescent="0.25">
      <c r="A1579" s="7">
        <v>44578</v>
      </c>
      <c r="B1579" s="8" t="s">
        <v>1890</v>
      </c>
      <c r="C1579" s="9" t="s">
        <v>83</v>
      </c>
      <c r="D1579" s="10">
        <v>4403.8999999999996</v>
      </c>
      <c r="E1579" s="11">
        <v>44578</v>
      </c>
      <c r="F1579" s="10">
        <v>4403.8999999999996</v>
      </c>
      <c r="G1579" s="12">
        <f>Tabla1[[#This Row],[Importe]]-Tabla1[[#This Row],[Pagado]]</f>
        <v>0</v>
      </c>
      <c r="H1579" s="9" t="s">
        <v>10</v>
      </c>
    </row>
    <row r="1580" spans="1:8" ht="30" x14ac:dyDescent="0.25">
      <c r="A1580" s="7">
        <v>44578</v>
      </c>
      <c r="B1580" s="8" t="s">
        <v>1891</v>
      </c>
      <c r="C1580" s="9" t="s">
        <v>22</v>
      </c>
      <c r="D1580" s="10">
        <v>32696.9</v>
      </c>
      <c r="E1580" s="11" t="s">
        <v>1737</v>
      </c>
      <c r="F1580" s="10">
        <f>26000+6696.9</f>
        <v>32696.9</v>
      </c>
      <c r="G1580" s="12">
        <f>Tabla1[[#This Row],[Importe]]-Tabla1[[#This Row],[Pagado]]</f>
        <v>0</v>
      </c>
      <c r="H1580" s="9" t="s">
        <v>10</v>
      </c>
    </row>
    <row r="1581" spans="1:8" x14ac:dyDescent="0.25">
      <c r="A1581" s="7">
        <v>44578</v>
      </c>
      <c r="B1581" s="8" t="s">
        <v>1892</v>
      </c>
      <c r="C1581" s="9" t="s">
        <v>87</v>
      </c>
      <c r="D1581" s="10">
        <v>2167.8000000000002</v>
      </c>
      <c r="E1581" s="11">
        <v>44578</v>
      </c>
      <c r="F1581" s="10">
        <v>2167.8000000000002</v>
      </c>
      <c r="G1581" s="12">
        <f>Tabla1[[#This Row],[Importe]]-Tabla1[[#This Row],[Pagado]]</f>
        <v>0</v>
      </c>
      <c r="H1581" s="9" t="s">
        <v>10</v>
      </c>
    </row>
    <row r="1582" spans="1:8" x14ac:dyDescent="0.25">
      <c r="A1582" s="7">
        <v>44578</v>
      </c>
      <c r="B1582" s="8" t="s">
        <v>1893</v>
      </c>
      <c r="C1582" s="9" t="s">
        <v>27</v>
      </c>
      <c r="D1582" s="10">
        <v>6210.4</v>
      </c>
      <c r="E1582" s="11">
        <v>44578</v>
      </c>
      <c r="F1582" s="10">
        <v>6210.4</v>
      </c>
      <c r="G1582" s="12">
        <f>Tabla1[[#This Row],[Importe]]-Tabla1[[#This Row],[Pagado]]</f>
        <v>0</v>
      </c>
      <c r="H1582" s="9" t="s">
        <v>10</v>
      </c>
    </row>
    <row r="1583" spans="1:8" x14ac:dyDescent="0.25">
      <c r="A1583" s="7">
        <v>44578</v>
      </c>
      <c r="B1583" s="8" t="s">
        <v>1894</v>
      </c>
      <c r="C1583" s="9" t="s">
        <v>314</v>
      </c>
      <c r="D1583" s="10">
        <v>1228.2</v>
      </c>
      <c r="E1583" s="11">
        <v>44578</v>
      </c>
      <c r="F1583" s="10">
        <v>1228.2</v>
      </c>
      <c r="G1583" s="12">
        <f>Tabla1[[#This Row],[Importe]]-Tabla1[[#This Row],[Pagado]]</f>
        <v>0</v>
      </c>
      <c r="H1583" s="9" t="s">
        <v>10</v>
      </c>
    </row>
    <row r="1584" spans="1:8" x14ac:dyDescent="0.25">
      <c r="A1584" s="7">
        <v>44578</v>
      </c>
      <c r="B1584" s="8" t="s">
        <v>1895</v>
      </c>
      <c r="C1584" s="9" t="s">
        <v>137</v>
      </c>
      <c r="D1584" s="10">
        <v>16531.400000000001</v>
      </c>
      <c r="E1584" s="11">
        <v>44578</v>
      </c>
      <c r="F1584" s="10">
        <v>16531.400000000001</v>
      </c>
      <c r="G1584" s="12">
        <f>Tabla1[[#This Row],[Importe]]-Tabla1[[#This Row],[Pagado]]</f>
        <v>0</v>
      </c>
      <c r="H1584" s="9" t="s">
        <v>10</v>
      </c>
    </row>
    <row r="1585" spans="1:8" x14ac:dyDescent="0.25">
      <c r="A1585" s="7">
        <v>44578</v>
      </c>
      <c r="B1585" s="8" t="s">
        <v>1896</v>
      </c>
      <c r="C1585" s="9" t="s">
        <v>326</v>
      </c>
      <c r="D1585" s="10">
        <v>4648.8</v>
      </c>
      <c r="E1585" s="11">
        <v>44579</v>
      </c>
      <c r="F1585" s="10">
        <v>4648.8</v>
      </c>
      <c r="G1585" s="12">
        <f>Tabla1[[#This Row],[Importe]]-Tabla1[[#This Row],[Pagado]]</f>
        <v>0</v>
      </c>
      <c r="H1585" s="9" t="s">
        <v>10</v>
      </c>
    </row>
    <row r="1586" spans="1:8" x14ac:dyDescent="0.25">
      <c r="A1586" s="7">
        <v>44578</v>
      </c>
      <c r="B1586" s="8" t="s">
        <v>1897</v>
      </c>
      <c r="C1586" s="9" t="s">
        <v>120</v>
      </c>
      <c r="D1586" s="10">
        <v>4498.2</v>
      </c>
      <c r="E1586" s="11">
        <v>44580</v>
      </c>
      <c r="F1586" s="10">
        <v>4498.2</v>
      </c>
      <c r="G1586" s="12">
        <f>Tabla1[[#This Row],[Importe]]-Tabla1[[#This Row],[Pagado]]</f>
        <v>0</v>
      </c>
      <c r="H1586" s="9" t="s">
        <v>10</v>
      </c>
    </row>
    <row r="1587" spans="1:8" x14ac:dyDescent="0.25">
      <c r="A1587" s="7">
        <v>44578</v>
      </c>
      <c r="B1587" s="8" t="s">
        <v>1898</v>
      </c>
      <c r="C1587" s="9" t="s">
        <v>60</v>
      </c>
      <c r="D1587" s="10">
        <v>4584.6000000000004</v>
      </c>
      <c r="E1587" s="11">
        <v>44579</v>
      </c>
      <c r="F1587" s="10">
        <v>4584.6000000000004</v>
      </c>
      <c r="G1587" s="12">
        <f>Tabla1[[#This Row],[Importe]]-Tabla1[[#This Row],[Pagado]]</f>
        <v>0</v>
      </c>
      <c r="H1587" s="9" t="s">
        <v>10</v>
      </c>
    </row>
    <row r="1588" spans="1:8" x14ac:dyDescent="0.25">
      <c r="A1588" s="7">
        <v>44578</v>
      </c>
      <c r="B1588" s="8" t="s">
        <v>1899</v>
      </c>
      <c r="C1588" s="9" t="s">
        <v>9</v>
      </c>
      <c r="D1588" s="10">
        <v>6341.8</v>
      </c>
      <c r="E1588" s="11">
        <v>44578</v>
      </c>
      <c r="F1588" s="10">
        <v>6341.8</v>
      </c>
      <c r="G1588" s="12">
        <f>Tabla1[[#This Row],[Importe]]-Tabla1[[#This Row],[Pagado]]</f>
        <v>0</v>
      </c>
      <c r="H1588" s="9" t="s">
        <v>10</v>
      </c>
    </row>
    <row r="1589" spans="1:8" x14ac:dyDescent="0.25">
      <c r="A1589" s="7">
        <v>44578</v>
      </c>
      <c r="B1589" s="8" t="s">
        <v>1900</v>
      </c>
      <c r="C1589" s="9" t="s">
        <v>93</v>
      </c>
      <c r="D1589" s="10">
        <v>7459.7</v>
      </c>
      <c r="E1589" s="11">
        <v>44579</v>
      </c>
      <c r="F1589" s="10">
        <v>7459.7</v>
      </c>
      <c r="G1589" s="12">
        <f>Tabla1[[#This Row],[Importe]]-Tabla1[[#This Row],[Pagado]]</f>
        <v>0</v>
      </c>
      <c r="H1589" s="9" t="s">
        <v>10</v>
      </c>
    </row>
    <row r="1590" spans="1:8" ht="30" x14ac:dyDescent="0.25">
      <c r="A1590" s="7">
        <v>44578</v>
      </c>
      <c r="B1590" s="8" t="s">
        <v>1901</v>
      </c>
      <c r="C1590" s="9" t="s">
        <v>99</v>
      </c>
      <c r="D1590" s="10">
        <v>6563.6</v>
      </c>
      <c r="E1590" s="11" t="s">
        <v>1902</v>
      </c>
      <c r="F1590" s="10">
        <f>5000+1563.6</f>
        <v>6563.6</v>
      </c>
      <c r="G1590" s="12">
        <f>Tabla1[[#This Row],[Importe]]-Tabla1[[#This Row],[Pagado]]</f>
        <v>0</v>
      </c>
      <c r="H1590" s="9" t="s">
        <v>10</v>
      </c>
    </row>
    <row r="1591" spans="1:8" x14ac:dyDescent="0.25">
      <c r="A1591" s="7">
        <v>44578</v>
      </c>
      <c r="B1591" s="8" t="s">
        <v>1903</v>
      </c>
      <c r="C1591" s="9" t="s">
        <v>47</v>
      </c>
      <c r="D1591" s="10">
        <v>38315.24</v>
      </c>
      <c r="E1591" s="11">
        <v>44578</v>
      </c>
      <c r="F1591" s="10">
        <v>38315.24</v>
      </c>
      <c r="G1591" s="12">
        <f>Tabla1[[#This Row],[Importe]]-Tabla1[[#This Row],[Pagado]]</f>
        <v>0</v>
      </c>
      <c r="H1591" s="9" t="s">
        <v>10</v>
      </c>
    </row>
    <row r="1592" spans="1:8" x14ac:dyDescent="0.25">
      <c r="A1592" s="7">
        <v>44578</v>
      </c>
      <c r="B1592" s="8" t="s">
        <v>1904</v>
      </c>
      <c r="C1592" s="9" t="s">
        <v>97</v>
      </c>
      <c r="D1592" s="10">
        <v>11764.8</v>
      </c>
      <c r="E1592" s="11">
        <v>44580</v>
      </c>
      <c r="F1592" s="10">
        <v>11764.8</v>
      </c>
      <c r="G1592" s="12">
        <f>Tabla1[[#This Row],[Importe]]-Tabla1[[#This Row],[Pagado]]</f>
        <v>0</v>
      </c>
      <c r="H1592" s="9" t="s">
        <v>10</v>
      </c>
    </row>
    <row r="1593" spans="1:8" x14ac:dyDescent="0.25">
      <c r="A1593" s="7">
        <v>44578</v>
      </c>
      <c r="B1593" s="8" t="s">
        <v>1905</v>
      </c>
      <c r="C1593" s="9" t="s">
        <v>89</v>
      </c>
      <c r="D1593" s="10">
        <v>3917.1</v>
      </c>
      <c r="E1593" s="11">
        <v>44579</v>
      </c>
      <c r="F1593" s="10">
        <v>3917.1</v>
      </c>
      <c r="G1593" s="12">
        <f>Tabla1[[#This Row],[Importe]]-Tabla1[[#This Row],[Pagado]]</f>
        <v>0</v>
      </c>
      <c r="H1593" s="9" t="s">
        <v>10</v>
      </c>
    </row>
    <row r="1594" spans="1:8" x14ac:dyDescent="0.25">
      <c r="A1594" s="7">
        <v>44578</v>
      </c>
      <c r="B1594" s="8" t="s">
        <v>1906</v>
      </c>
      <c r="C1594" s="9" t="s">
        <v>1907</v>
      </c>
      <c r="D1594" s="10">
        <v>28028.799999999999</v>
      </c>
      <c r="E1594" s="11">
        <v>44578</v>
      </c>
      <c r="F1594" s="10">
        <v>28028.799999999999</v>
      </c>
      <c r="G1594" s="12">
        <f>Tabla1[[#This Row],[Importe]]-Tabla1[[#This Row],[Pagado]]</f>
        <v>0</v>
      </c>
      <c r="H1594" s="9" t="s">
        <v>10</v>
      </c>
    </row>
    <row r="1595" spans="1:8" x14ac:dyDescent="0.25">
      <c r="A1595" s="7">
        <v>44578</v>
      </c>
      <c r="B1595" s="8" t="s">
        <v>1908</v>
      </c>
      <c r="C1595" s="9" t="s">
        <v>116</v>
      </c>
      <c r="D1595" s="10">
        <v>4104</v>
      </c>
      <c r="E1595" s="11">
        <v>44579</v>
      </c>
      <c r="F1595" s="10">
        <v>4104</v>
      </c>
      <c r="G1595" s="12">
        <f>Tabla1[[#This Row],[Importe]]-Tabla1[[#This Row],[Pagado]]</f>
        <v>0</v>
      </c>
      <c r="H1595" s="9" t="s">
        <v>10</v>
      </c>
    </row>
    <row r="1596" spans="1:8" x14ac:dyDescent="0.25">
      <c r="A1596" s="7">
        <v>44578</v>
      </c>
      <c r="B1596" s="8" t="s">
        <v>1909</v>
      </c>
      <c r="C1596" s="9" t="s">
        <v>312</v>
      </c>
      <c r="D1596" s="10">
        <v>3513.6</v>
      </c>
      <c r="E1596" s="11">
        <v>44578</v>
      </c>
      <c r="F1596" s="10">
        <v>3513.6</v>
      </c>
      <c r="G1596" s="12">
        <f>Tabla1[[#This Row],[Importe]]-Tabla1[[#This Row],[Pagado]]</f>
        <v>0</v>
      </c>
      <c r="H1596" s="9" t="s">
        <v>10</v>
      </c>
    </row>
    <row r="1597" spans="1:8" x14ac:dyDescent="0.25">
      <c r="A1597" s="7">
        <v>44578</v>
      </c>
      <c r="B1597" s="8" t="s">
        <v>1910</v>
      </c>
      <c r="C1597" s="9" t="s">
        <v>198</v>
      </c>
      <c r="D1597" s="10">
        <v>3302.4</v>
      </c>
      <c r="E1597" s="11">
        <v>44578</v>
      </c>
      <c r="F1597" s="10">
        <v>3302.4</v>
      </c>
      <c r="G1597" s="12">
        <f>Tabla1[[#This Row],[Importe]]-Tabla1[[#This Row],[Pagado]]</f>
        <v>0</v>
      </c>
      <c r="H1597" s="9" t="s">
        <v>10</v>
      </c>
    </row>
    <row r="1598" spans="1:8" x14ac:dyDescent="0.25">
      <c r="A1598" s="7">
        <v>44578</v>
      </c>
      <c r="B1598" s="8" t="s">
        <v>1911</v>
      </c>
      <c r="C1598" s="9" t="s">
        <v>345</v>
      </c>
      <c r="D1598" s="10">
        <v>803.7</v>
      </c>
      <c r="E1598" s="11">
        <v>44578</v>
      </c>
      <c r="F1598" s="10">
        <v>803.7</v>
      </c>
      <c r="G1598" s="12">
        <f>Tabla1[[#This Row],[Importe]]-Tabla1[[#This Row],[Pagado]]</f>
        <v>0</v>
      </c>
      <c r="H1598" s="9" t="s">
        <v>10</v>
      </c>
    </row>
    <row r="1599" spans="1:8" x14ac:dyDescent="0.25">
      <c r="A1599" s="7">
        <v>44578</v>
      </c>
      <c r="B1599" s="8" t="s">
        <v>1912</v>
      </c>
      <c r="C1599" s="9" t="s">
        <v>348</v>
      </c>
      <c r="D1599" s="10">
        <v>2841.3</v>
      </c>
      <c r="E1599" s="11">
        <v>44578</v>
      </c>
      <c r="F1599" s="10">
        <v>2841.3</v>
      </c>
      <c r="G1599" s="12">
        <f>Tabla1[[#This Row],[Importe]]-Tabla1[[#This Row],[Pagado]]</f>
        <v>0</v>
      </c>
      <c r="H1599" s="9" t="s">
        <v>10</v>
      </c>
    </row>
    <row r="1600" spans="1:8" x14ac:dyDescent="0.25">
      <c r="A1600" s="7">
        <v>44578</v>
      </c>
      <c r="B1600" s="8" t="s">
        <v>1913</v>
      </c>
      <c r="C1600" s="9" t="s">
        <v>1914</v>
      </c>
      <c r="D1600" s="10">
        <v>6093</v>
      </c>
      <c r="E1600" s="11">
        <v>44578</v>
      </c>
      <c r="F1600" s="10">
        <v>6093</v>
      </c>
      <c r="G1600" s="12">
        <f>Tabla1[[#This Row],[Importe]]-Tabla1[[#This Row],[Pagado]]</f>
        <v>0</v>
      </c>
      <c r="H1600" s="9" t="s">
        <v>10</v>
      </c>
    </row>
    <row r="1601" spans="1:8" x14ac:dyDescent="0.25">
      <c r="A1601" s="7">
        <v>44578</v>
      </c>
      <c r="B1601" s="8" t="s">
        <v>1915</v>
      </c>
      <c r="C1601" s="9" t="s">
        <v>18</v>
      </c>
      <c r="D1601" s="10">
        <v>1504.8</v>
      </c>
      <c r="E1601" s="11">
        <v>44578</v>
      </c>
      <c r="F1601" s="10">
        <v>1504.8</v>
      </c>
      <c r="G1601" s="12">
        <f>Tabla1[[#This Row],[Importe]]-Tabla1[[#This Row],[Pagado]]</f>
        <v>0</v>
      </c>
      <c r="H1601" s="9" t="s">
        <v>10</v>
      </c>
    </row>
    <row r="1602" spans="1:8" x14ac:dyDescent="0.25">
      <c r="A1602" s="7">
        <v>44578</v>
      </c>
      <c r="B1602" s="8" t="s">
        <v>1916</v>
      </c>
      <c r="C1602" s="9" t="s">
        <v>111</v>
      </c>
      <c r="D1602" s="10">
        <v>5292.5</v>
      </c>
      <c r="E1602" s="11">
        <v>44579</v>
      </c>
      <c r="F1602" s="10">
        <v>5292.5</v>
      </c>
      <c r="G1602" s="12">
        <f>Tabla1[[#This Row],[Importe]]-Tabla1[[#This Row],[Pagado]]</f>
        <v>0</v>
      </c>
      <c r="H1602" s="9" t="s">
        <v>10</v>
      </c>
    </row>
    <row r="1603" spans="1:8" x14ac:dyDescent="0.25">
      <c r="A1603" s="7">
        <v>44578</v>
      </c>
      <c r="B1603" s="8" t="s">
        <v>1917</v>
      </c>
      <c r="C1603" s="9" t="s">
        <v>64</v>
      </c>
      <c r="D1603" s="10">
        <v>4803.3999999999996</v>
      </c>
      <c r="E1603" s="11">
        <v>44579</v>
      </c>
      <c r="F1603" s="10">
        <v>4803.3999999999996</v>
      </c>
      <c r="G1603" s="12">
        <f>Tabla1[[#This Row],[Importe]]-Tabla1[[#This Row],[Pagado]]</f>
        <v>0</v>
      </c>
      <c r="H1603" s="9" t="s">
        <v>10</v>
      </c>
    </row>
    <row r="1604" spans="1:8" x14ac:dyDescent="0.25">
      <c r="A1604" s="7">
        <v>44578</v>
      </c>
      <c r="B1604" s="8" t="s">
        <v>1918</v>
      </c>
      <c r="C1604" s="9" t="s">
        <v>114</v>
      </c>
      <c r="D1604" s="10">
        <v>4716.3999999999996</v>
      </c>
      <c r="E1604" s="11">
        <v>44579</v>
      </c>
      <c r="F1604" s="10">
        <v>4716.3999999999996</v>
      </c>
      <c r="G1604" s="12">
        <f>Tabla1[[#This Row],[Importe]]-Tabla1[[#This Row],[Pagado]]</f>
        <v>0</v>
      </c>
      <c r="H1604" s="9" t="s">
        <v>10</v>
      </c>
    </row>
    <row r="1605" spans="1:8" ht="30" x14ac:dyDescent="0.25">
      <c r="A1605" s="7">
        <v>44578</v>
      </c>
      <c r="B1605" s="8" t="s">
        <v>1919</v>
      </c>
      <c r="C1605" s="9" t="s">
        <v>39</v>
      </c>
      <c r="D1605" s="10">
        <v>25942.7</v>
      </c>
      <c r="E1605" s="11" t="s">
        <v>1889</v>
      </c>
      <c r="F1605" s="10">
        <f>7000+18942.7</f>
        <v>25942.7</v>
      </c>
      <c r="G1605" s="12">
        <f>Tabla1[[#This Row],[Importe]]-Tabla1[[#This Row],[Pagado]]</f>
        <v>0</v>
      </c>
      <c r="H1605" s="9" t="s">
        <v>10</v>
      </c>
    </row>
    <row r="1606" spans="1:8" x14ac:dyDescent="0.25">
      <c r="A1606" s="7">
        <v>44578</v>
      </c>
      <c r="B1606" s="8" t="s">
        <v>1920</v>
      </c>
      <c r="C1606" s="9" t="s">
        <v>481</v>
      </c>
      <c r="D1606" s="10">
        <v>662.6</v>
      </c>
      <c r="E1606" s="11">
        <v>44578</v>
      </c>
      <c r="F1606" s="10">
        <v>662.6</v>
      </c>
      <c r="G1606" s="12">
        <f>Tabla1[[#This Row],[Importe]]-Tabla1[[#This Row],[Pagado]]</f>
        <v>0</v>
      </c>
      <c r="H1606" s="9" t="s">
        <v>10</v>
      </c>
    </row>
    <row r="1607" spans="1:8" x14ac:dyDescent="0.25">
      <c r="A1607" s="7">
        <v>44578</v>
      </c>
      <c r="B1607" s="8" t="s">
        <v>1921</v>
      </c>
      <c r="C1607" s="9" t="s">
        <v>275</v>
      </c>
      <c r="D1607" s="10">
        <v>112366</v>
      </c>
      <c r="E1607" s="11">
        <v>44583</v>
      </c>
      <c r="F1607" s="10">
        <v>112366</v>
      </c>
      <c r="G1607" s="12">
        <f>Tabla1[[#This Row],[Importe]]-Tabla1[[#This Row],[Pagado]]</f>
        <v>0</v>
      </c>
      <c r="H1607" s="9" t="s">
        <v>10</v>
      </c>
    </row>
    <row r="1608" spans="1:8" x14ac:dyDescent="0.25">
      <c r="A1608" s="7">
        <v>44578</v>
      </c>
      <c r="B1608" s="8" t="s">
        <v>1922</v>
      </c>
      <c r="C1608" s="9" t="s">
        <v>353</v>
      </c>
      <c r="D1608" s="10">
        <v>1452</v>
      </c>
      <c r="E1608" s="11">
        <v>44578</v>
      </c>
      <c r="F1608" s="10">
        <v>1452</v>
      </c>
      <c r="G1608" s="12">
        <f>Tabla1[[#This Row],[Importe]]-Tabla1[[#This Row],[Pagado]]</f>
        <v>0</v>
      </c>
      <c r="H1608" s="9" t="s">
        <v>10</v>
      </c>
    </row>
    <row r="1609" spans="1:8" x14ac:dyDescent="0.25">
      <c r="A1609" s="7">
        <v>44578</v>
      </c>
      <c r="B1609" s="8" t="s">
        <v>1923</v>
      </c>
      <c r="C1609" s="9" t="s">
        <v>144</v>
      </c>
      <c r="D1609" s="10">
        <v>5512</v>
      </c>
      <c r="E1609" s="11">
        <v>44578</v>
      </c>
      <c r="F1609" s="10">
        <v>5512</v>
      </c>
      <c r="G1609" s="12">
        <f>Tabla1[[#This Row],[Importe]]-Tabla1[[#This Row],[Pagado]]</f>
        <v>0</v>
      </c>
      <c r="H1609" s="9" t="s">
        <v>10</v>
      </c>
    </row>
    <row r="1610" spans="1:8" x14ac:dyDescent="0.25">
      <c r="A1610" s="7">
        <v>44578</v>
      </c>
      <c r="B1610" s="8" t="s">
        <v>1924</v>
      </c>
      <c r="C1610" s="9" t="s">
        <v>275</v>
      </c>
      <c r="D1610" s="10">
        <v>47115.79</v>
      </c>
      <c r="E1610" s="11">
        <v>44583</v>
      </c>
      <c r="F1610" s="10">
        <v>47115.79</v>
      </c>
      <c r="G1610" s="12">
        <f>Tabla1[[#This Row],[Importe]]-Tabla1[[#This Row],[Pagado]]</f>
        <v>0</v>
      </c>
      <c r="H1610" s="9" t="s">
        <v>10</v>
      </c>
    </row>
    <row r="1611" spans="1:8" x14ac:dyDescent="0.25">
      <c r="A1611" s="7">
        <v>44578</v>
      </c>
      <c r="B1611" s="8" t="s">
        <v>1925</v>
      </c>
      <c r="C1611" s="9" t="s">
        <v>181</v>
      </c>
      <c r="D1611" s="10">
        <v>12595.4</v>
      </c>
      <c r="E1611" s="11">
        <v>44578</v>
      </c>
      <c r="F1611" s="10">
        <v>12595.4</v>
      </c>
      <c r="G1611" s="12">
        <f>Tabla1[[#This Row],[Importe]]-Tabla1[[#This Row],[Pagado]]</f>
        <v>0</v>
      </c>
      <c r="H1611" s="9" t="s">
        <v>10</v>
      </c>
    </row>
    <row r="1612" spans="1:8" x14ac:dyDescent="0.25">
      <c r="A1612" s="7">
        <v>44578</v>
      </c>
      <c r="B1612" s="8" t="s">
        <v>1926</v>
      </c>
      <c r="C1612" s="9" t="s">
        <v>144</v>
      </c>
      <c r="D1612" s="10">
        <v>2677.4</v>
      </c>
      <c r="E1612" s="11">
        <v>44578</v>
      </c>
      <c r="F1612" s="10">
        <v>2677.4</v>
      </c>
      <c r="G1612" s="12">
        <f>Tabla1[[#This Row],[Importe]]-Tabla1[[#This Row],[Pagado]]</f>
        <v>0</v>
      </c>
      <c r="H1612" s="9" t="s">
        <v>10</v>
      </c>
    </row>
    <row r="1613" spans="1:8" x14ac:dyDescent="0.25">
      <c r="A1613" s="7">
        <v>44578</v>
      </c>
      <c r="B1613" s="8" t="s">
        <v>1927</v>
      </c>
      <c r="C1613" s="9" t="s">
        <v>1021</v>
      </c>
      <c r="D1613" s="10">
        <v>6289.9</v>
      </c>
      <c r="E1613" s="11">
        <v>44578</v>
      </c>
      <c r="F1613" s="10">
        <v>6289.9</v>
      </c>
      <c r="G1613" s="12">
        <f>Tabla1[[#This Row],[Importe]]-Tabla1[[#This Row],[Pagado]]</f>
        <v>0</v>
      </c>
      <c r="H1613" s="9" t="s">
        <v>10</v>
      </c>
    </row>
    <row r="1614" spans="1:8" x14ac:dyDescent="0.25">
      <c r="A1614" s="7">
        <v>44578</v>
      </c>
      <c r="B1614" s="8" t="s">
        <v>1928</v>
      </c>
      <c r="C1614" s="9" t="s">
        <v>175</v>
      </c>
      <c r="D1614" s="10">
        <v>13124.8</v>
      </c>
      <c r="E1614" s="11">
        <v>44578</v>
      </c>
      <c r="F1614" s="10">
        <v>13124.8</v>
      </c>
      <c r="G1614" s="12">
        <f>Tabla1[[#This Row],[Importe]]-Tabla1[[#This Row],[Pagado]]</f>
        <v>0</v>
      </c>
      <c r="H1614" s="9" t="s">
        <v>10</v>
      </c>
    </row>
    <row r="1615" spans="1:8" x14ac:dyDescent="0.25">
      <c r="A1615" s="7">
        <v>44578</v>
      </c>
      <c r="B1615" s="8" t="s">
        <v>1929</v>
      </c>
      <c r="C1615" s="9" t="s">
        <v>53</v>
      </c>
      <c r="D1615" s="10">
        <v>1262.4000000000001</v>
      </c>
      <c r="E1615" s="11">
        <v>44578</v>
      </c>
      <c r="F1615" s="10">
        <v>1262.4000000000001</v>
      </c>
      <c r="G1615" s="12">
        <f>Tabla1[[#This Row],[Importe]]-Tabla1[[#This Row],[Pagado]]</f>
        <v>0</v>
      </c>
      <c r="H1615" s="9" t="s">
        <v>10</v>
      </c>
    </row>
    <row r="1616" spans="1:8" x14ac:dyDescent="0.25">
      <c r="A1616" s="7">
        <v>44578</v>
      </c>
      <c r="B1616" s="8" t="s">
        <v>1930</v>
      </c>
      <c r="C1616" s="9" t="s">
        <v>175</v>
      </c>
      <c r="D1616" s="10">
        <v>12346.4</v>
      </c>
      <c r="E1616" s="11">
        <v>44578</v>
      </c>
      <c r="F1616" s="10">
        <v>12346.4</v>
      </c>
      <c r="G1616" s="12">
        <f>Tabla1[[#This Row],[Importe]]-Tabla1[[#This Row],[Pagado]]</f>
        <v>0</v>
      </c>
      <c r="H1616" s="9" t="s">
        <v>10</v>
      </c>
    </row>
    <row r="1617" spans="1:8" x14ac:dyDescent="0.25">
      <c r="A1617" s="7">
        <v>44578</v>
      </c>
      <c r="B1617" s="8" t="s">
        <v>1931</v>
      </c>
      <c r="C1617" s="9" t="s">
        <v>326</v>
      </c>
      <c r="D1617" s="10">
        <v>5027.1000000000004</v>
      </c>
      <c r="E1617" s="11">
        <v>44578</v>
      </c>
      <c r="F1617" s="10">
        <v>5027.1000000000004</v>
      </c>
      <c r="G1617" s="12">
        <f>Tabla1[[#This Row],[Importe]]-Tabla1[[#This Row],[Pagado]]</f>
        <v>0</v>
      </c>
      <c r="H1617" s="9" t="s">
        <v>10</v>
      </c>
    </row>
    <row r="1618" spans="1:8" x14ac:dyDescent="0.25">
      <c r="A1618" s="7">
        <v>44578</v>
      </c>
      <c r="B1618" s="8" t="s">
        <v>1932</v>
      </c>
      <c r="C1618" s="9" t="s">
        <v>157</v>
      </c>
      <c r="D1618" s="10">
        <v>1054.8</v>
      </c>
      <c r="E1618" s="11">
        <v>44579</v>
      </c>
      <c r="F1618" s="10">
        <v>1054.8</v>
      </c>
      <c r="G1618" s="12">
        <f>Tabla1[[#This Row],[Importe]]-Tabla1[[#This Row],[Pagado]]</f>
        <v>0</v>
      </c>
      <c r="H1618" s="9" t="s">
        <v>10</v>
      </c>
    </row>
    <row r="1619" spans="1:8" x14ac:dyDescent="0.25">
      <c r="A1619" s="7">
        <v>44578</v>
      </c>
      <c r="B1619" s="8" t="s">
        <v>1933</v>
      </c>
      <c r="C1619" s="9" t="s">
        <v>525</v>
      </c>
      <c r="D1619" s="10">
        <v>383.8</v>
      </c>
      <c r="E1619" s="11">
        <v>44579</v>
      </c>
      <c r="F1619" s="10">
        <v>383.8</v>
      </c>
      <c r="G1619" s="12">
        <f>Tabla1[[#This Row],[Importe]]-Tabla1[[#This Row],[Pagado]]</f>
        <v>0</v>
      </c>
      <c r="H1619" s="9" t="s">
        <v>10</v>
      </c>
    </row>
    <row r="1620" spans="1:8" x14ac:dyDescent="0.25">
      <c r="A1620" s="7">
        <v>44578</v>
      </c>
      <c r="B1620" s="8" t="s">
        <v>1934</v>
      </c>
      <c r="C1620" s="9" t="s">
        <v>319</v>
      </c>
      <c r="D1620" s="10">
        <v>2552.1</v>
      </c>
      <c r="E1620" s="11">
        <v>44579</v>
      </c>
      <c r="F1620" s="10">
        <v>2552.1</v>
      </c>
      <c r="G1620" s="12">
        <f>Tabla1[[#This Row],[Importe]]-Tabla1[[#This Row],[Pagado]]</f>
        <v>0</v>
      </c>
      <c r="H1620" s="9" t="s">
        <v>10</v>
      </c>
    </row>
    <row r="1621" spans="1:8" x14ac:dyDescent="0.25">
      <c r="A1621" s="7">
        <v>44578</v>
      </c>
      <c r="B1621" s="8" t="s">
        <v>1935</v>
      </c>
      <c r="C1621" s="9" t="s">
        <v>159</v>
      </c>
      <c r="D1621" s="10">
        <v>1937.1</v>
      </c>
      <c r="E1621" s="11">
        <v>44579</v>
      </c>
      <c r="F1621" s="10">
        <v>1937.1</v>
      </c>
      <c r="G1621" s="12">
        <f>Tabla1[[#This Row],[Importe]]-Tabla1[[#This Row],[Pagado]]</f>
        <v>0</v>
      </c>
      <c r="H1621" s="9" t="s">
        <v>10</v>
      </c>
    </row>
    <row r="1622" spans="1:8" x14ac:dyDescent="0.25">
      <c r="A1622" s="7">
        <v>44578</v>
      </c>
      <c r="B1622" s="8" t="s">
        <v>1936</v>
      </c>
      <c r="C1622" s="9" t="s">
        <v>151</v>
      </c>
      <c r="D1622" s="10">
        <v>3808</v>
      </c>
      <c r="E1622" s="11">
        <v>44579</v>
      </c>
      <c r="F1622" s="10">
        <v>3808</v>
      </c>
      <c r="G1622" s="12">
        <f>Tabla1[[#This Row],[Importe]]-Tabla1[[#This Row],[Pagado]]</f>
        <v>0</v>
      </c>
      <c r="H1622" s="9" t="s">
        <v>10</v>
      </c>
    </row>
    <row r="1623" spans="1:8" x14ac:dyDescent="0.25">
      <c r="A1623" s="7">
        <v>44578</v>
      </c>
      <c r="B1623" s="8" t="s">
        <v>1937</v>
      </c>
      <c r="C1623" s="9" t="s">
        <v>16</v>
      </c>
      <c r="D1623" s="10">
        <v>4091</v>
      </c>
      <c r="E1623" s="11">
        <v>44578</v>
      </c>
      <c r="F1623" s="10">
        <v>4091</v>
      </c>
      <c r="G1623" s="12">
        <f>Tabla1[[#This Row],[Importe]]-Tabla1[[#This Row],[Pagado]]</f>
        <v>0</v>
      </c>
      <c r="H1623" s="9" t="s">
        <v>10</v>
      </c>
    </row>
    <row r="1624" spans="1:8" x14ac:dyDescent="0.25">
      <c r="A1624" s="7">
        <v>44578</v>
      </c>
      <c r="B1624" s="8" t="s">
        <v>1938</v>
      </c>
      <c r="C1624" s="9" t="s">
        <v>212</v>
      </c>
      <c r="D1624" s="10">
        <v>55489.1</v>
      </c>
      <c r="E1624" s="11">
        <v>44582</v>
      </c>
      <c r="F1624" s="10">
        <v>55489.1</v>
      </c>
      <c r="G1624" s="12">
        <f>Tabla1[[#This Row],[Importe]]-Tabla1[[#This Row],[Pagado]]</f>
        <v>0</v>
      </c>
      <c r="H1624" s="9" t="s">
        <v>10</v>
      </c>
    </row>
    <row r="1625" spans="1:8" x14ac:dyDescent="0.25">
      <c r="A1625" s="7">
        <v>44578</v>
      </c>
      <c r="B1625" s="8" t="s">
        <v>1939</v>
      </c>
      <c r="C1625" s="9" t="s">
        <v>45</v>
      </c>
      <c r="D1625" s="10">
        <v>8514.9</v>
      </c>
      <c r="E1625" s="11">
        <v>44578</v>
      </c>
      <c r="F1625" s="10">
        <v>8514.9</v>
      </c>
      <c r="G1625" s="12">
        <f>Tabla1[[#This Row],[Importe]]-Tabla1[[#This Row],[Pagado]]</f>
        <v>0</v>
      </c>
      <c r="H1625" s="9" t="s">
        <v>10</v>
      </c>
    </row>
    <row r="1626" spans="1:8" x14ac:dyDescent="0.25">
      <c r="A1626" s="7">
        <v>44578</v>
      </c>
      <c r="B1626" s="8" t="s">
        <v>1940</v>
      </c>
      <c r="C1626" s="9" t="s">
        <v>169</v>
      </c>
      <c r="D1626" s="10">
        <v>2807.4</v>
      </c>
      <c r="E1626" s="11">
        <v>44579</v>
      </c>
      <c r="F1626" s="10">
        <v>2807.4</v>
      </c>
      <c r="G1626" s="12">
        <f>Tabla1[[#This Row],[Importe]]-Tabla1[[#This Row],[Pagado]]</f>
        <v>0</v>
      </c>
      <c r="H1626" s="9" t="s">
        <v>10</v>
      </c>
    </row>
    <row r="1627" spans="1:8" x14ac:dyDescent="0.25">
      <c r="A1627" s="7">
        <v>44578</v>
      </c>
      <c r="B1627" s="8" t="s">
        <v>1941</v>
      </c>
      <c r="C1627" s="9" t="s">
        <v>31</v>
      </c>
      <c r="D1627" s="10">
        <v>1040.2</v>
      </c>
      <c r="E1627" s="11">
        <v>44578</v>
      </c>
      <c r="F1627" s="10">
        <v>1040.2</v>
      </c>
      <c r="G1627" s="12">
        <f>Tabla1[[#This Row],[Importe]]-Tabla1[[#This Row],[Pagado]]</f>
        <v>0</v>
      </c>
      <c r="H1627" s="9" t="s">
        <v>10</v>
      </c>
    </row>
    <row r="1628" spans="1:8" x14ac:dyDescent="0.25">
      <c r="A1628" s="7">
        <v>44578</v>
      </c>
      <c r="B1628" s="8" t="s">
        <v>1942</v>
      </c>
      <c r="C1628" s="9" t="s">
        <v>16</v>
      </c>
      <c r="D1628" s="10">
        <v>792.2</v>
      </c>
      <c r="E1628" s="11">
        <v>44578</v>
      </c>
      <c r="F1628" s="10">
        <v>792.2</v>
      </c>
      <c r="G1628" s="12">
        <f>Tabla1[[#This Row],[Importe]]-Tabla1[[#This Row],[Pagado]]</f>
        <v>0</v>
      </c>
      <c r="H1628" s="9" t="s">
        <v>10</v>
      </c>
    </row>
    <row r="1629" spans="1:8" x14ac:dyDescent="0.25">
      <c r="A1629" s="7">
        <v>44578</v>
      </c>
      <c r="B1629" s="8" t="s">
        <v>1943</v>
      </c>
      <c r="C1629" s="9" t="s">
        <v>56</v>
      </c>
      <c r="D1629" s="10">
        <v>6278.4</v>
      </c>
      <c r="E1629" s="11">
        <v>44578</v>
      </c>
      <c r="F1629" s="10">
        <v>6278.4</v>
      </c>
      <c r="G1629" s="12">
        <f>Tabla1[[#This Row],[Importe]]-Tabla1[[#This Row],[Pagado]]</f>
        <v>0</v>
      </c>
      <c r="H1629" s="9" t="s">
        <v>10</v>
      </c>
    </row>
    <row r="1630" spans="1:8" x14ac:dyDescent="0.25">
      <c r="A1630" s="7">
        <v>44578</v>
      </c>
      <c r="B1630" s="8" t="s">
        <v>1944</v>
      </c>
      <c r="C1630" s="9" t="s">
        <v>380</v>
      </c>
      <c r="D1630" s="10">
        <v>11506</v>
      </c>
      <c r="E1630" s="11">
        <v>44579</v>
      </c>
      <c r="F1630" s="10">
        <v>11506</v>
      </c>
      <c r="G1630" s="12">
        <f>Tabla1[[#This Row],[Importe]]-Tabla1[[#This Row],[Pagado]]</f>
        <v>0</v>
      </c>
      <c r="H1630" s="9" t="s">
        <v>10</v>
      </c>
    </row>
    <row r="1631" spans="1:8" x14ac:dyDescent="0.25">
      <c r="A1631" s="7">
        <v>44578</v>
      </c>
      <c r="B1631" s="8" t="s">
        <v>1945</v>
      </c>
      <c r="C1631" s="9" t="s">
        <v>24</v>
      </c>
      <c r="D1631" s="10">
        <v>3406</v>
      </c>
      <c r="E1631" s="11">
        <v>44578</v>
      </c>
      <c r="F1631" s="10">
        <v>3406</v>
      </c>
      <c r="G1631" s="12">
        <f>Tabla1[[#This Row],[Importe]]-Tabla1[[#This Row],[Pagado]]</f>
        <v>0</v>
      </c>
      <c r="H1631" s="9" t="s">
        <v>10</v>
      </c>
    </row>
    <row r="1632" spans="1:8" x14ac:dyDescent="0.25">
      <c r="A1632" s="7">
        <v>44578</v>
      </c>
      <c r="B1632" s="8" t="s">
        <v>1946</v>
      </c>
      <c r="C1632" s="9" t="s">
        <v>222</v>
      </c>
      <c r="D1632" s="10">
        <v>7929.2</v>
      </c>
      <c r="E1632" s="11">
        <v>44578</v>
      </c>
      <c r="F1632" s="10">
        <v>7929.2</v>
      </c>
      <c r="G1632" s="12">
        <f>Tabla1[[#This Row],[Importe]]-Tabla1[[#This Row],[Pagado]]</f>
        <v>0</v>
      </c>
      <c r="H1632" s="9" t="s">
        <v>10</v>
      </c>
    </row>
    <row r="1633" spans="1:8" x14ac:dyDescent="0.25">
      <c r="A1633" s="7">
        <v>44578</v>
      </c>
      <c r="B1633" s="8" t="s">
        <v>1947</v>
      </c>
      <c r="C1633" s="9" t="s">
        <v>131</v>
      </c>
      <c r="D1633" s="10">
        <v>7622.2</v>
      </c>
      <c r="E1633" s="11">
        <v>44578</v>
      </c>
      <c r="F1633" s="10">
        <v>7622.2</v>
      </c>
      <c r="G1633" s="12">
        <f>Tabla1[[#This Row],[Importe]]-Tabla1[[#This Row],[Pagado]]</f>
        <v>0</v>
      </c>
      <c r="H1633" s="9" t="s">
        <v>10</v>
      </c>
    </row>
    <row r="1634" spans="1:8" x14ac:dyDescent="0.25">
      <c r="A1634" s="7">
        <v>44578</v>
      </c>
      <c r="B1634" s="8" t="s">
        <v>1948</v>
      </c>
      <c r="C1634" s="9" t="s">
        <v>24</v>
      </c>
      <c r="D1634" s="10">
        <v>280</v>
      </c>
      <c r="E1634" s="11">
        <v>44578</v>
      </c>
      <c r="F1634" s="10">
        <v>280</v>
      </c>
      <c r="G1634" s="12">
        <f>Tabla1[[#This Row],[Importe]]-Tabla1[[#This Row],[Pagado]]</f>
        <v>0</v>
      </c>
      <c r="H1634" s="9" t="s">
        <v>10</v>
      </c>
    </row>
    <row r="1635" spans="1:8" x14ac:dyDescent="0.25">
      <c r="A1635" s="7">
        <v>44578</v>
      </c>
      <c r="B1635" s="8" t="s">
        <v>1949</v>
      </c>
      <c r="C1635" s="9" t="s">
        <v>426</v>
      </c>
      <c r="D1635" s="10">
        <v>2414</v>
      </c>
      <c r="E1635" s="11">
        <v>44578</v>
      </c>
      <c r="F1635" s="10">
        <v>2414</v>
      </c>
      <c r="G1635" s="12">
        <f>Tabla1[[#This Row],[Importe]]-Tabla1[[#This Row],[Pagado]]</f>
        <v>0</v>
      </c>
      <c r="H1635" s="9" t="s">
        <v>10</v>
      </c>
    </row>
    <row r="1636" spans="1:8" x14ac:dyDescent="0.25">
      <c r="A1636" s="7">
        <v>44578</v>
      </c>
      <c r="B1636" s="8" t="s">
        <v>1950</v>
      </c>
      <c r="C1636" s="9" t="s">
        <v>348</v>
      </c>
      <c r="D1636" s="10">
        <v>7696.5</v>
      </c>
      <c r="E1636" s="11">
        <v>44578</v>
      </c>
      <c r="F1636" s="10">
        <v>7696.5</v>
      </c>
      <c r="G1636" s="12">
        <f>Tabla1[[#This Row],[Importe]]-Tabla1[[#This Row],[Pagado]]</f>
        <v>0</v>
      </c>
      <c r="H1636" s="9" t="s">
        <v>10</v>
      </c>
    </row>
    <row r="1637" spans="1:8" x14ac:dyDescent="0.25">
      <c r="A1637" s="7">
        <v>44578</v>
      </c>
      <c r="B1637" s="8" t="s">
        <v>1951</v>
      </c>
      <c r="C1637" s="9" t="s">
        <v>154</v>
      </c>
      <c r="D1637" s="10">
        <v>17433.400000000001</v>
      </c>
      <c r="E1637" s="11">
        <v>44583</v>
      </c>
      <c r="F1637" s="10">
        <v>17433.400000000001</v>
      </c>
      <c r="G1637" s="12">
        <f>Tabla1[[#This Row],[Importe]]-Tabla1[[#This Row],[Pagado]]</f>
        <v>0</v>
      </c>
      <c r="H1637" s="9" t="s">
        <v>10</v>
      </c>
    </row>
    <row r="1638" spans="1:8" x14ac:dyDescent="0.25">
      <c r="A1638" s="7">
        <v>44578</v>
      </c>
      <c r="B1638" s="8" t="s">
        <v>1952</v>
      </c>
      <c r="C1638" s="9" t="s">
        <v>179</v>
      </c>
      <c r="D1638" s="10">
        <v>837.2</v>
      </c>
      <c r="E1638" s="11">
        <v>44578</v>
      </c>
      <c r="F1638" s="10">
        <v>837.2</v>
      </c>
      <c r="G1638" s="12">
        <f>Tabla1[[#This Row],[Importe]]-Tabla1[[#This Row],[Pagado]]</f>
        <v>0</v>
      </c>
      <c r="H1638" s="9" t="s">
        <v>10</v>
      </c>
    </row>
    <row r="1639" spans="1:8" x14ac:dyDescent="0.25">
      <c r="A1639" s="7">
        <v>44578</v>
      </c>
      <c r="B1639" s="8" t="s">
        <v>1953</v>
      </c>
      <c r="C1639" s="9" t="s">
        <v>62</v>
      </c>
      <c r="D1639" s="10">
        <v>3379.8</v>
      </c>
      <c r="E1639" s="11">
        <v>44578</v>
      </c>
      <c r="F1639" s="10">
        <v>3379.8</v>
      </c>
      <c r="G1639" s="12">
        <f>Tabla1[[#This Row],[Importe]]-Tabla1[[#This Row],[Pagado]]</f>
        <v>0</v>
      </c>
      <c r="H1639" s="9" t="s">
        <v>10</v>
      </c>
    </row>
    <row r="1640" spans="1:8" x14ac:dyDescent="0.25">
      <c r="A1640" s="7">
        <v>44578</v>
      </c>
      <c r="B1640" s="8" t="s">
        <v>1954</v>
      </c>
      <c r="C1640" s="9" t="s">
        <v>240</v>
      </c>
      <c r="D1640" s="10">
        <v>10204.799999999999</v>
      </c>
      <c r="E1640" s="11">
        <v>44578</v>
      </c>
      <c r="F1640" s="10">
        <v>10204.799999999999</v>
      </c>
      <c r="G1640" s="12">
        <f>Tabla1[[#This Row],[Importe]]-Tabla1[[#This Row],[Pagado]]</f>
        <v>0</v>
      </c>
      <c r="H1640" s="9" t="s">
        <v>10</v>
      </c>
    </row>
    <row r="1641" spans="1:8" x14ac:dyDescent="0.25">
      <c r="A1641" s="7">
        <v>44578</v>
      </c>
      <c r="B1641" s="8" t="s">
        <v>1955</v>
      </c>
      <c r="C1641" s="9" t="s">
        <v>135</v>
      </c>
      <c r="D1641" s="10">
        <v>2008.2</v>
      </c>
      <c r="E1641" s="11">
        <v>44578</v>
      </c>
      <c r="F1641" s="10">
        <v>2008.2</v>
      </c>
      <c r="G1641" s="12">
        <f>Tabla1[[#This Row],[Importe]]-Tabla1[[#This Row],[Pagado]]</f>
        <v>0</v>
      </c>
      <c r="H1641" s="9" t="s">
        <v>10</v>
      </c>
    </row>
    <row r="1642" spans="1:8" x14ac:dyDescent="0.25">
      <c r="A1642" s="7">
        <v>44578</v>
      </c>
      <c r="B1642" s="8" t="s">
        <v>1956</v>
      </c>
      <c r="C1642" s="9" t="s">
        <v>154</v>
      </c>
      <c r="D1642" s="10">
        <v>16359</v>
      </c>
      <c r="E1642" s="11">
        <v>44583</v>
      </c>
      <c r="F1642" s="10">
        <v>16359</v>
      </c>
      <c r="G1642" s="12">
        <f>Tabla1[[#This Row],[Importe]]-Tabla1[[#This Row],[Pagado]]</f>
        <v>0</v>
      </c>
      <c r="H1642" s="9" t="s">
        <v>10</v>
      </c>
    </row>
    <row r="1643" spans="1:8" x14ac:dyDescent="0.25">
      <c r="A1643" s="7">
        <v>44578</v>
      </c>
      <c r="B1643" s="8" t="s">
        <v>1957</v>
      </c>
      <c r="C1643" s="9" t="s">
        <v>202</v>
      </c>
      <c r="D1643" s="10">
        <v>3755.7</v>
      </c>
      <c r="E1643" s="11">
        <v>44578</v>
      </c>
      <c r="F1643" s="10">
        <v>3755.7</v>
      </c>
      <c r="G1643" s="12">
        <f>Tabla1[[#This Row],[Importe]]-Tabla1[[#This Row],[Pagado]]</f>
        <v>0</v>
      </c>
      <c r="H1643" s="9" t="s">
        <v>10</v>
      </c>
    </row>
    <row r="1644" spans="1:8" x14ac:dyDescent="0.25">
      <c r="A1644" s="7">
        <v>44578</v>
      </c>
      <c r="B1644" s="8" t="s">
        <v>1958</v>
      </c>
      <c r="C1644" s="9" t="s">
        <v>206</v>
      </c>
      <c r="D1644" s="10">
        <v>24406.6</v>
      </c>
      <c r="E1644" s="11">
        <v>44582</v>
      </c>
      <c r="F1644" s="10">
        <v>24406.6</v>
      </c>
      <c r="G1644" s="12">
        <f>Tabla1[[#This Row],[Importe]]-Tabla1[[#This Row],[Pagado]]</f>
        <v>0</v>
      </c>
      <c r="H1644" s="9" t="s">
        <v>10</v>
      </c>
    </row>
    <row r="1645" spans="1:8" x14ac:dyDescent="0.25">
      <c r="A1645" s="7">
        <v>44578</v>
      </c>
      <c r="B1645" s="8" t="s">
        <v>1959</v>
      </c>
      <c r="C1645" s="9" t="s">
        <v>520</v>
      </c>
      <c r="D1645" s="10">
        <v>9119.5</v>
      </c>
      <c r="E1645" s="11">
        <v>44579</v>
      </c>
      <c r="F1645" s="10">
        <v>9119.5</v>
      </c>
      <c r="G1645" s="12">
        <f>Tabla1[[#This Row],[Importe]]-Tabla1[[#This Row],[Pagado]]</f>
        <v>0</v>
      </c>
      <c r="H1645" s="9" t="s">
        <v>10</v>
      </c>
    </row>
    <row r="1646" spans="1:8" x14ac:dyDescent="0.25">
      <c r="A1646" s="7">
        <v>44578</v>
      </c>
      <c r="B1646" s="8" t="s">
        <v>1960</v>
      </c>
      <c r="C1646" s="9" t="s">
        <v>216</v>
      </c>
      <c r="D1646" s="10">
        <v>1794</v>
      </c>
      <c r="E1646" s="11">
        <v>44578</v>
      </c>
      <c r="F1646" s="10">
        <v>1794</v>
      </c>
      <c r="G1646" s="12">
        <f>Tabla1[[#This Row],[Importe]]-Tabla1[[#This Row],[Pagado]]</f>
        <v>0</v>
      </c>
      <c r="H1646" s="9" t="s">
        <v>10</v>
      </c>
    </row>
    <row r="1647" spans="1:8" x14ac:dyDescent="0.25">
      <c r="A1647" s="7">
        <v>44578</v>
      </c>
      <c r="B1647" s="8" t="s">
        <v>1961</v>
      </c>
      <c r="C1647" s="9" t="s">
        <v>528</v>
      </c>
      <c r="D1647" s="10">
        <v>23744.400000000001</v>
      </c>
      <c r="E1647" s="11">
        <v>44579</v>
      </c>
      <c r="F1647" s="10">
        <v>23744.400000000001</v>
      </c>
      <c r="G1647" s="12">
        <f>Tabla1[[#This Row],[Importe]]-Tabla1[[#This Row],[Pagado]]</f>
        <v>0</v>
      </c>
      <c r="H1647" s="9" t="s">
        <v>10</v>
      </c>
    </row>
    <row r="1648" spans="1:8" x14ac:dyDescent="0.25">
      <c r="A1648" s="7">
        <v>44578</v>
      </c>
      <c r="B1648" s="8" t="s">
        <v>1962</v>
      </c>
      <c r="C1648" s="9" t="s">
        <v>204</v>
      </c>
      <c r="D1648" s="10">
        <v>2007</v>
      </c>
      <c r="E1648" s="11">
        <v>44578</v>
      </c>
      <c r="F1648" s="10">
        <v>2007</v>
      </c>
      <c r="G1648" s="12">
        <f>Tabla1[[#This Row],[Importe]]-Tabla1[[#This Row],[Pagado]]</f>
        <v>0</v>
      </c>
      <c r="H1648" s="9" t="s">
        <v>10</v>
      </c>
    </row>
    <row r="1649" spans="1:8" x14ac:dyDescent="0.25">
      <c r="A1649" s="7">
        <v>44578</v>
      </c>
      <c r="B1649" s="8" t="s">
        <v>1963</v>
      </c>
      <c r="C1649" s="9" t="s">
        <v>291</v>
      </c>
      <c r="D1649" s="10">
        <v>3994.4</v>
      </c>
      <c r="E1649" s="11">
        <v>44578</v>
      </c>
      <c r="F1649" s="10">
        <v>3994.4</v>
      </c>
      <c r="G1649" s="12">
        <f>Tabla1[[#This Row],[Importe]]-Tabla1[[#This Row],[Pagado]]</f>
        <v>0</v>
      </c>
      <c r="H1649" s="9" t="s">
        <v>10</v>
      </c>
    </row>
    <row r="1650" spans="1:8" x14ac:dyDescent="0.25">
      <c r="A1650" s="7">
        <v>44578</v>
      </c>
      <c r="B1650" s="8" t="s">
        <v>1964</v>
      </c>
      <c r="C1650" s="9" t="s">
        <v>1965</v>
      </c>
      <c r="D1650" s="10">
        <v>5046</v>
      </c>
      <c r="E1650" s="11">
        <v>44578</v>
      </c>
      <c r="F1650" s="10">
        <v>5046</v>
      </c>
      <c r="G1650" s="12">
        <f>Tabla1[[#This Row],[Importe]]-Tabla1[[#This Row],[Pagado]]</f>
        <v>0</v>
      </c>
      <c r="H1650" s="9" t="s">
        <v>10</v>
      </c>
    </row>
    <row r="1651" spans="1:8" x14ac:dyDescent="0.25">
      <c r="A1651" s="7">
        <v>44578</v>
      </c>
      <c r="B1651" s="8" t="s">
        <v>1966</v>
      </c>
      <c r="C1651" s="9" t="s">
        <v>129</v>
      </c>
      <c r="D1651" s="10">
        <v>3564.8</v>
      </c>
      <c r="E1651" s="11">
        <v>44578</v>
      </c>
      <c r="F1651" s="10">
        <v>3564.8</v>
      </c>
      <c r="G1651" s="12">
        <f>Tabla1[[#This Row],[Importe]]-Tabla1[[#This Row],[Pagado]]</f>
        <v>0</v>
      </c>
      <c r="H1651" s="9" t="s">
        <v>10</v>
      </c>
    </row>
    <row r="1652" spans="1:8" x14ac:dyDescent="0.25">
      <c r="A1652" s="7">
        <v>44578</v>
      </c>
      <c r="B1652" s="8" t="s">
        <v>1967</v>
      </c>
      <c r="C1652" s="9" t="s">
        <v>127</v>
      </c>
      <c r="D1652" s="10">
        <v>5080.8</v>
      </c>
      <c r="E1652" s="11">
        <v>44578</v>
      </c>
      <c r="F1652" s="10">
        <v>5080.8</v>
      </c>
      <c r="G1652" s="12">
        <f>Tabla1[[#This Row],[Importe]]-Tabla1[[#This Row],[Pagado]]</f>
        <v>0</v>
      </c>
      <c r="H1652" s="9" t="s">
        <v>10</v>
      </c>
    </row>
    <row r="1653" spans="1:8" x14ac:dyDescent="0.25">
      <c r="A1653" s="7">
        <v>44578</v>
      </c>
      <c r="B1653" s="8" t="s">
        <v>1968</v>
      </c>
      <c r="C1653" s="9" t="s">
        <v>339</v>
      </c>
      <c r="D1653" s="10">
        <v>375</v>
      </c>
      <c r="E1653" s="11">
        <v>44578</v>
      </c>
      <c r="F1653" s="10">
        <v>375</v>
      </c>
      <c r="G1653" s="12">
        <f>Tabla1[[#This Row],[Importe]]-Tabla1[[#This Row],[Pagado]]</f>
        <v>0</v>
      </c>
      <c r="H1653" s="9" t="s">
        <v>10</v>
      </c>
    </row>
    <row r="1654" spans="1:8" x14ac:dyDescent="0.25">
      <c r="A1654" s="7">
        <v>44578</v>
      </c>
      <c r="B1654" s="8" t="s">
        <v>1969</v>
      </c>
      <c r="C1654" s="9" t="s">
        <v>357</v>
      </c>
      <c r="D1654" s="10">
        <v>907.2</v>
      </c>
      <c r="E1654" s="11">
        <v>44578</v>
      </c>
      <c r="F1654" s="10">
        <v>907.2</v>
      </c>
      <c r="G1654" s="12">
        <f>Tabla1[[#This Row],[Importe]]-Tabla1[[#This Row],[Pagado]]</f>
        <v>0</v>
      </c>
      <c r="H1654" s="9" t="s">
        <v>10</v>
      </c>
    </row>
    <row r="1655" spans="1:8" x14ac:dyDescent="0.25">
      <c r="A1655" s="7">
        <v>44578</v>
      </c>
      <c r="B1655" s="8" t="s">
        <v>1970</v>
      </c>
      <c r="C1655" s="9" t="s">
        <v>1971</v>
      </c>
      <c r="D1655" s="10">
        <v>3186</v>
      </c>
      <c r="E1655" s="11">
        <v>44579</v>
      </c>
      <c r="F1655" s="10">
        <v>3186</v>
      </c>
      <c r="G1655" s="12">
        <f>Tabla1[[#This Row],[Importe]]-Tabla1[[#This Row],[Pagado]]</f>
        <v>0</v>
      </c>
      <c r="H1655" s="9" t="s">
        <v>10</v>
      </c>
    </row>
    <row r="1656" spans="1:8" x14ac:dyDescent="0.25">
      <c r="A1656" s="7">
        <v>44578</v>
      </c>
      <c r="B1656" s="8" t="s">
        <v>1972</v>
      </c>
      <c r="C1656" s="9" t="s">
        <v>214</v>
      </c>
      <c r="D1656" s="10">
        <v>5096</v>
      </c>
      <c r="E1656" s="11">
        <v>44578</v>
      </c>
      <c r="F1656" s="10">
        <v>5096</v>
      </c>
      <c r="G1656" s="12">
        <f>Tabla1[[#This Row],[Importe]]-Tabla1[[#This Row],[Pagado]]</f>
        <v>0</v>
      </c>
      <c r="H1656" s="9" t="s">
        <v>10</v>
      </c>
    </row>
    <row r="1657" spans="1:8" x14ac:dyDescent="0.25">
      <c r="A1657" s="7">
        <v>44578</v>
      </c>
      <c r="B1657" s="8" t="s">
        <v>1973</v>
      </c>
      <c r="C1657" s="9" t="s">
        <v>146</v>
      </c>
      <c r="D1657" s="10">
        <v>2115</v>
      </c>
      <c r="E1657" s="11">
        <v>44578</v>
      </c>
      <c r="F1657" s="10">
        <v>2115</v>
      </c>
      <c r="G1657" s="12">
        <f>Tabla1[[#This Row],[Importe]]-Tabla1[[#This Row],[Pagado]]</f>
        <v>0</v>
      </c>
      <c r="H1657" s="9" t="s">
        <v>10</v>
      </c>
    </row>
    <row r="1658" spans="1:8" x14ac:dyDescent="0.25">
      <c r="A1658" s="7">
        <v>44578</v>
      </c>
      <c r="B1658" s="8" t="s">
        <v>1974</v>
      </c>
      <c r="C1658" s="9" t="s">
        <v>1965</v>
      </c>
      <c r="D1658" s="10">
        <v>1929.6</v>
      </c>
      <c r="E1658" s="11">
        <v>44578</v>
      </c>
      <c r="F1658" s="10">
        <v>1929.6</v>
      </c>
      <c r="G1658" s="12">
        <f>Tabla1[[#This Row],[Importe]]-Tabla1[[#This Row],[Pagado]]</f>
        <v>0</v>
      </c>
      <c r="H1658" s="9" t="s">
        <v>10</v>
      </c>
    </row>
    <row r="1659" spans="1:8" x14ac:dyDescent="0.25">
      <c r="A1659" s="7">
        <v>44578</v>
      </c>
      <c r="B1659" s="8" t="s">
        <v>1975</v>
      </c>
      <c r="C1659" s="9" t="s">
        <v>218</v>
      </c>
      <c r="D1659" s="10">
        <v>14473.7</v>
      </c>
      <c r="E1659" s="11">
        <v>44586</v>
      </c>
      <c r="F1659" s="10">
        <v>14473.7</v>
      </c>
      <c r="G1659" s="12">
        <f>Tabla1[[#This Row],[Importe]]-Tabla1[[#This Row],[Pagado]]</f>
        <v>0</v>
      </c>
      <c r="H1659" s="9" t="s">
        <v>10</v>
      </c>
    </row>
    <row r="1660" spans="1:8" x14ac:dyDescent="0.25">
      <c r="A1660" s="7">
        <v>44578</v>
      </c>
      <c r="B1660" s="8" t="s">
        <v>1976</v>
      </c>
      <c r="C1660" s="9" t="s">
        <v>382</v>
      </c>
      <c r="D1660" s="10">
        <v>6016</v>
      </c>
      <c r="E1660" s="11">
        <v>44578</v>
      </c>
      <c r="F1660" s="10">
        <v>6016</v>
      </c>
      <c r="G1660" s="12">
        <f>Tabla1[[#This Row],[Importe]]-Tabla1[[#This Row],[Pagado]]</f>
        <v>0</v>
      </c>
      <c r="H1660" s="9" t="s">
        <v>10</v>
      </c>
    </row>
    <row r="1661" spans="1:8" x14ac:dyDescent="0.25">
      <c r="A1661" s="7">
        <v>44578</v>
      </c>
      <c r="B1661" s="8" t="s">
        <v>1977</v>
      </c>
      <c r="C1661" s="9" t="s">
        <v>541</v>
      </c>
      <c r="D1661" s="10">
        <v>9702</v>
      </c>
      <c r="E1661" s="11">
        <v>44579</v>
      </c>
      <c r="F1661" s="10">
        <v>9702</v>
      </c>
      <c r="G1661" s="12">
        <f>Tabla1[[#This Row],[Importe]]-Tabla1[[#This Row],[Pagado]]</f>
        <v>0</v>
      </c>
      <c r="H1661" s="9" t="s">
        <v>10</v>
      </c>
    </row>
    <row r="1662" spans="1:8" x14ac:dyDescent="0.25">
      <c r="A1662" s="7">
        <v>44578</v>
      </c>
      <c r="B1662" s="8" t="s">
        <v>1978</v>
      </c>
      <c r="C1662" s="9" t="s">
        <v>173</v>
      </c>
      <c r="D1662" s="10">
        <v>21292</v>
      </c>
      <c r="E1662" s="11">
        <v>44579</v>
      </c>
      <c r="F1662" s="10">
        <v>21292</v>
      </c>
      <c r="G1662" s="12">
        <f>Tabla1[[#This Row],[Importe]]-Tabla1[[#This Row],[Pagado]]</f>
        <v>0</v>
      </c>
      <c r="H1662" s="9" t="s">
        <v>10</v>
      </c>
    </row>
    <row r="1663" spans="1:8" x14ac:dyDescent="0.25">
      <c r="A1663" s="7">
        <v>44578</v>
      </c>
      <c r="B1663" s="8" t="s">
        <v>1979</v>
      </c>
      <c r="C1663" s="9" t="s">
        <v>107</v>
      </c>
      <c r="D1663" s="10">
        <v>7916.4</v>
      </c>
      <c r="E1663" s="11">
        <v>44578</v>
      </c>
      <c r="F1663" s="10">
        <v>7916.4</v>
      </c>
      <c r="G1663" s="12">
        <f>Tabla1[[#This Row],[Importe]]-Tabla1[[#This Row],[Pagado]]</f>
        <v>0</v>
      </c>
      <c r="H1663" s="9" t="s">
        <v>10</v>
      </c>
    </row>
    <row r="1664" spans="1:8" x14ac:dyDescent="0.25">
      <c r="A1664" s="7">
        <v>44578</v>
      </c>
      <c r="B1664" s="8" t="s">
        <v>1980</v>
      </c>
      <c r="C1664" s="9" t="s">
        <v>125</v>
      </c>
      <c r="D1664" s="10">
        <v>2115</v>
      </c>
      <c r="E1664" s="11">
        <v>44578</v>
      </c>
      <c r="F1664" s="10">
        <v>2115</v>
      </c>
      <c r="G1664" s="12">
        <f>Tabla1[[#This Row],[Importe]]-Tabla1[[#This Row],[Pagado]]</f>
        <v>0</v>
      </c>
      <c r="H1664" s="9" t="s">
        <v>10</v>
      </c>
    </row>
    <row r="1665" spans="1:8" x14ac:dyDescent="0.25">
      <c r="A1665" s="7">
        <v>44578</v>
      </c>
      <c r="B1665" s="8" t="s">
        <v>1981</v>
      </c>
      <c r="C1665" s="9" t="s">
        <v>79</v>
      </c>
      <c r="D1665" s="10">
        <v>6209.4</v>
      </c>
      <c r="E1665" s="11">
        <v>44579</v>
      </c>
      <c r="F1665" s="10">
        <v>6209.4</v>
      </c>
      <c r="G1665" s="12">
        <f>Tabla1[[#This Row],[Importe]]-Tabla1[[#This Row],[Pagado]]</f>
        <v>0</v>
      </c>
      <c r="H1665" s="9" t="s">
        <v>10</v>
      </c>
    </row>
    <row r="1666" spans="1:8" x14ac:dyDescent="0.25">
      <c r="A1666" s="7">
        <v>44578</v>
      </c>
      <c r="B1666" s="8" t="s">
        <v>1982</v>
      </c>
      <c r="C1666" s="9" t="s">
        <v>79</v>
      </c>
      <c r="D1666" s="10">
        <v>5272.2</v>
      </c>
      <c r="E1666" s="11">
        <v>44579</v>
      </c>
      <c r="F1666" s="10">
        <v>5272.2</v>
      </c>
      <c r="G1666" s="12">
        <f>Tabla1[[#This Row],[Importe]]-Tabla1[[#This Row],[Pagado]]</f>
        <v>0</v>
      </c>
      <c r="H1666" s="9" t="s">
        <v>10</v>
      </c>
    </row>
    <row r="1667" spans="1:8" ht="30" x14ac:dyDescent="0.25">
      <c r="A1667" s="7">
        <v>44578</v>
      </c>
      <c r="B1667" s="8" t="s">
        <v>1983</v>
      </c>
      <c r="C1667" s="9" t="s">
        <v>392</v>
      </c>
      <c r="D1667" s="10">
        <v>8704.7999999999993</v>
      </c>
      <c r="E1667" s="11" t="s">
        <v>1984</v>
      </c>
      <c r="F1667" s="10">
        <f>3500+5204.8</f>
        <v>8704.7999999999993</v>
      </c>
      <c r="G1667" s="12">
        <f>Tabla1[[#This Row],[Importe]]-Tabla1[[#This Row],[Pagado]]</f>
        <v>0</v>
      </c>
      <c r="H1667" s="9" t="s">
        <v>10</v>
      </c>
    </row>
    <row r="1668" spans="1:8" x14ac:dyDescent="0.25">
      <c r="A1668" s="7">
        <v>44578</v>
      </c>
      <c r="B1668" s="8" t="s">
        <v>1985</v>
      </c>
      <c r="C1668" s="9" t="s">
        <v>396</v>
      </c>
      <c r="D1668" s="10">
        <v>6237</v>
      </c>
      <c r="E1668" s="11">
        <v>44587</v>
      </c>
      <c r="F1668" s="10">
        <v>6237</v>
      </c>
      <c r="G1668" s="12">
        <f>Tabla1[[#This Row],[Importe]]-Tabla1[[#This Row],[Pagado]]</f>
        <v>0</v>
      </c>
      <c r="H1668" s="9" t="s">
        <v>10</v>
      </c>
    </row>
    <row r="1669" spans="1:8" x14ac:dyDescent="0.25">
      <c r="A1669" s="7">
        <v>44578</v>
      </c>
      <c r="B1669" s="8" t="s">
        <v>1986</v>
      </c>
      <c r="C1669" s="9" t="s">
        <v>1987</v>
      </c>
      <c r="D1669" s="10">
        <v>23180.6</v>
      </c>
      <c r="E1669" s="11">
        <v>44578</v>
      </c>
      <c r="F1669" s="10">
        <v>23180.6</v>
      </c>
      <c r="G1669" s="12">
        <f>Tabla1[[#This Row],[Importe]]-Tabla1[[#This Row],[Pagado]]</f>
        <v>0</v>
      </c>
      <c r="H1669" s="9" t="s">
        <v>10</v>
      </c>
    </row>
    <row r="1670" spans="1:8" x14ac:dyDescent="0.25">
      <c r="A1670" s="7">
        <v>44578</v>
      </c>
      <c r="B1670" s="8" t="s">
        <v>1988</v>
      </c>
      <c r="C1670" s="9" t="s">
        <v>875</v>
      </c>
      <c r="D1670" s="10">
        <v>32116</v>
      </c>
      <c r="E1670" s="11">
        <v>44578</v>
      </c>
      <c r="F1670" s="10">
        <v>32116</v>
      </c>
      <c r="G1670" s="12">
        <f>Tabla1[[#This Row],[Importe]]-Tabla1[[#This Row],[Pagado]]</f>
        <v>0</v>
      </c>
      <c r="H1670" s="9" t="s">
        <v>10</v>
      </c>
    </row>
    <row r="1671" spans="1:8" x14ac:dyDescent="0.25">
      <c r="A1671" s="7">
        <v>44578</v>
      </c>
      <c r="B1671" s="8" t="s">
        <v>1989</v>
      </c>
      <c r="C1671" s="9" t="s">
        <v>208</v>
      </c>
      <c r="D1671" s="10">
        <v>15575.72</v>
      </c>
      <c r="E1671" s="11">
        <v>44587</v>
      </c>
      <c r="F1671" s="10">
        <v>15575.72</v>
      </c>
      <c r="G1671" s="12">
        <f>Tabla1[[#This Row],[Importe]]-Tabla1[[#This Row],[Pagado]]</f>
        <v>0</v>
      </c>
      <c r="H1671" s="9" t="s">
        <v>10</v>
      </c>
    </row>
    <row r="1672" spans="1:8" x14ac:dyDescent="0.25">
      <c r="A1672" s="7">
        <v>44578</v>
      </c>
      <c r="B1672" s="8" t="s">
        <v>1990</v>
      </c>
      <c r="C1672" s="9" t="s">
        <v>840</v>
      </c>
      <c r="D1672" s="10">
        <v>7912.62</v>
      </c>
      <c r="E1672" s="11">
        <v>44578</v>
      </c>
      <c r="F1672" s="10">
        <v>7912.62</v>
      </c>
      <c r="G1672" s="12">
        <f>Tabla1[[#This Row],[Importe]]-Tabla1[[#This Row],[Pagado]]</f>
        <v>0</v>
      </c>
      <c r="H1672" s="9" t="s">
        <v>10</v>
      </c>
    </row>
    <row r="1673" spans="1:8" x14ac:dyDescent="0.25">
      <c r="A1673" s="7">
        <v>44578</v>
      </c>
      <c r="B1673" s="8" t="s">
        <v>1991</v>
      </c>
      <c r="C1673" s="9" t="s">
        <v>133</v>
      </c>
      <c r="D1673" s="10">
        <v>15401.9</v>
      </c>
      <c r="E1673" s="11">
        <v>44579</v>
      </c>
      <c r="F1673" s="10">
        <v>15401.9</v>
      </c>
      <c r="G1673" s="12">
        <f>Tabla1[[#This Row],[Importe]]-Tabla1[[#This Row],[Pagado]]</f>
        <v>0</v>
      </c>
      <c r="H1673" s="9" t="s">
        <v>10</v>
      </c>
    </row>
    <row r="1674" spans="1:8" x14ac:dyDescent="0.25">
      <c r="A1674" s="7">
        <v>44578</v>
      </c>
      <c r="B1674" s="8" t="s">
        <v>1992</v>
      </c>
      <c r="C1674" s="9" t="s">
        <v>1174</v>
      </c>
      <c r="D1674" s="10">
        <v>28659.200000000001</v>
      </c>
      <c r="E1674" s="11">
        <v>44578</v>
      </c>
      <c r="F1674" s="10">
        <v>28659.200000000001</v>
      </c>
      <c r="G1674" s="12">
        <f>Tabla1[[#This Row],[Importe]]-Tabla1[[#This Row],[Pagado]]</f>
        <v>0</v>
      </c>
      <c r="H1674" s="9" t="s">
        <v>10</v>
      </c>
    </row>
    <row r="1675" spans="1:8" x14ac:dyDescent="0.25">
      <c r="A1675" s="7">
        <v>44578</v>
      </c>
      <c r="B1675" s="8" t="s">
        <v>1993</v>
      </c>
      <c r="C1675" s="9" t="s">
        <v>289</v>
      </c>
      <c r="D1675" s="10">
        <v>7050</v>
      </c>
      <c r="E1675" s="11">
        <v>44578</v>
      </c>
      <c r="F1675" s="10">
        <v>7050</v>
      </c>
      <c r="G1675" s="12">
        <f>Tabla1[[#This Row],[Importe]]-Tabla1[[#This Row],[Pagado]]</f>
        <v>0</v>
      </c>
      <c r="H1675" s="9" t="s">
        <v>10</v>
      </c>
    </row>
    <row r="1676" spans="1:8" x14ac:dyDescent="0.25">
      <c r="A1676" s="7">
        <v>44578</v>
      </c>
      <c r="B1676" s="8" t="s">
        <v>1994</v>
      </c>
      <c r="C1676" s="9" t="s">
        <v>419</v>
      </c>
      <c r="D1676" s="10">
        <v>4602</v>
      </c>
      <c r="E1676" s="11">
        <v>44578</v>
      </c>
      <c r="F1676" s="10">
        <v>4602</v>
      </c>
      <c r="G1676" s="12">
        <f>Tabla1[[#This Row],[Importe]]-Tabla1[[#This Row],[Pagado]]</f>
        <v>0</v>
      </c>
      <c r="H1676" s="9" t="s">
        <v>10</v>
      </c>
    </row>
    <row r="1677" spans="1:8" x14ac:dyDescent="0.25">
      <c r="A1677" s="7">
        <v>44578</v>
      </c>
      <c r="B1677" s="8" t="s">
        <v>1995</v>
      </c>
      <c r="C1677" s="9" t="s">
        <v>226</v>
      </c>
      <c r="D1677" s="10">
        <v>3870.9</v>
      </c>
      <c r="E1677" s="11">
        <v>44578</v>
      </c>
      <c r="F1677" s="10">
        <v>3870.9</v>
      </c>
      <c r="G1677" s="12">
        <f>Tabla1[[#This Row],[Importe]]-Tabla1[[#This Row],[Pagado]]</f>
        <v>0</v>
      </c>
      <c r="H1677" s="9" t="s">
        <v>10</v>
      </c>
    </row>
    <row r="1678" spans="1:8" x14ac:dyDescent="0.25">
      <c r="A1678" s="7">
        <v>44578</v>
      </c>
      <c r="B1678" s="8" t="s">
        <v>1996</v>
      </c>
      <c r="C1678" s="9" t="s">
        <v>230</v>
      </c>
      <c r="D1678" s="10">
        <v>5301.6</v>
      </c>
      <c r="E1678" s="11">
        <v>44578</v>
      </c>
      <c r="F1678" s="10">
        <v>5301.6</v>
      </c>
      <c r="G1678" s="12">
        <f>Tabla1[[#This Row],[Importe]]-Tabla1[[#This Row],[Pagado]]</f>
        <v>0</v>
      </c>
      <c r="H1678" s="9" t="s">
        <v>10</v>
      </c>
    </row>
    <row r="1679" spans="1:8" x14ac:dyDescent="0.25">
      <c r="A1679" s="7">
        <v>44578</v>
      </c>
      <c r="B1679" s="8" t="s">
        <v>1997</v>
      </c>
      <c r="C1679" s="9" t="s">
        <v>1998</v>
      </c>
      <c r="D1679" s="10">
        <v>20340</v>
      </c>
      <c r="E1679" s="11">
        <v>44578</v>
      </c>
      <c r="F1679" s="10">
        <v>20340</v>
      </c>
      <c r="G1679" s="12">
        <f>Tabla1[[#This Row],[Importe]]-Tabla1[[#This Row],[Pagado]]</f>
        <v>0</v>
      </c>
      <c r="H1679" s="9" t="s">
        <v>10</v>
      </c>
    </row>
    <row r="1680" spans="1:8" x14ac:dyDescent="0.25">
      <c r="A1680" s="7">
        <v>44578</v>
      </c>
      <c r="B1680" s="8" t="s">
        <v>1999</v>
      </c>
      <c r="C1680" s="9" t="s">
        <v>31</v>
      </c>
      <c r="D1680" s="10">
        <v>2366.4</v>
      </c>
      <c r="E1680" s="11">
        <v>44579</v>
      </c>
      <c r="F1680" s="10">
        <v>2366.4</v>
      </c>
      <c r="G1680" s="12">
        <f>Tabla1[[#This Row],[Importe]]-Tabla1[[#This Row],[Pagado]]</f>
        <v>0</v>
      </c>
      <c r="H1680" s="9" t="s">
        <v>10</v>
      </c>
    </row>
    <row r="1681" spans="1:8" x14ac:dyDescent="0.25">
      <c r="A1681" s="7">
        <v>44578</v>
      </c>
      <c r="B1681" s="8" t="s">
        <v>2000</v>
      </c>
      <c r="C1681" s="9" t="s">
        <v>592</v>
      </c>
      <c r="D1681" s="10">
        <v>23528.2</v>
      </c>
      <c r="E1681" s="11">
        <v>44579</v>
      </c>
      <c r="F1681" s="10">
        <v>23528.2</v>
      </c>
      <c r="G1681" s="12">
        <f>Tabla1[[#This Row],[Importe]]-Tabla1[[#This Row],[Pagado]]</f>
        <v>0</v>
      </c>
      <c r="H1681" s="9" t="s">
        <v>10</v>
      </c>
    </row>
    <row r="1682" spans="1:8" x14ac:dyDescent="0.25">
      <c r="A1682" s="7">
        <v>44578</v>
      </c>
      <c r="B1682" s="8" t="s">
        <v>2001</v>
      </c>
      <c r="C1682" s="9" t="s">
        <v>1644</v>
      </c>
      <c r="D1682" s="10">
        <v>8890.5</v>
      </c>
      <c r="E1682" s="11">
        <v>44579</v>
      </c>
      <c r="F1682" s="10">
        <v>8890.5</v>
      </c>
      <c r="G1682" s="12">
        <f>Tabla1[[#This Row],[Importe]]-Tabla1[[#This Row],[Pagado]]</f>
        <v>0</v>
      </c>
      <c r="H1682" s="9" t="s">
        <v>10</v>
      </c>
    </row>
    <row r="1683" spans="1:8" x14ac:dyDescent="0.25">
      <c r="A1683" s="7">
        <v>44578</v>
      </c>
      <c r="B1683" s="8" t="s">
        <v>2002</v>
      </c>
      <c r="C1683" s="9" t="s">
        <v>804</v>
      </c>
      <c r="D1683" s="10">
        <v>11123.2</v>
      </c>
      <c r="E1683" s="11">
        <v>44578</v>
      </c>
      <c r="F1683" s="10">
        <v>11123.2</v>
      </c>
      <c r="G1683" s="12">
        <f>Tabla1[[#This Row],[Importe]]-Tabla1[[#This Row],[Pagado]]</f>
        <v>0</v>
      </c>
      <c r="H1683" s="9" t="s">
        <v>10</v>
      </c>
    </row>
    <row r="1684" spans="1:8" x14ac:dyDescent="0.25">
      <c r="A1684" s="7">
        <v>44578</v>
      </c>
      <c r="B1684" s="8" t="s">
        <v>2003</v>
      </c>
      <c r="C1684" s="9" t="s">
        <v>365</v>
      </c>
      <c r="D1684" s="10">
        <v>1257.4000000000001</v>
      </c>
      <c r="E1684" s="11">
        <v>44578</v>
      </c>
      <c r="F1684" s="10">
        <v>1257.4000000000001</v>
      </c>
      <c r="G1684" s="12">
        <f>Tabla1[[#This Row],[Importe]]-Tabla1[[#This Row],[Pagado]]</f>
        <v>0</v>
      </c>
      <c r="H1684" s="9" t="s">
        <v>10</v>
      </c>
    </row>
    <row r="1685" spans="1:8" x14ac:dyDescent="0.25">
      <c r="A1685" s="7">
        <v>44578</v>
      </c>
      <c r="B1685" s="8" t="s">
        <v>2004</v>
      </c>
      <c r="C1685" s="9" t="s">
        <v>1630</v>
      </c>
      <c r="D1685" s="10">
        <v>9690.7999999999993</v>
      </c>
      <c r="E1685" s="11">
        <v>44579</v>
      </c>
      <c r="F1685" s="10">
        <v>9690.7999999999993</v>
      </c>
      <c r="G1685" s="12">
        <f>Tabla1[[#This Row],[Importe]]-Tabla1[[#This Row],[Pagado]]</f>
        <v>0</v>
      </c>
      <c r="H1685" s="9" t="s">
        <v>10</v>
      </c>
    </row>
    <row r="1686" spans="1:8" x14ac:dyDescent="0.25">
      <c r="A1686" s="7">
        <v>44578</v>
      </c>
      <c r="B1686" s="8" t="s">
        <v>2005</v>
      </c>
      <c r="C1686" s="9" t="s">
        <v>58</v>
      </c>
      <c r="D1686" s="10">
        <v>3573.9</v>
      </c>
      <c r="E1686" s="11">
        <v>44578</v>
      </c>
      <c r="F1686" s="10">
        <v>3573.9</v>
      </c>
      <c r="G1686" s="12">
        <f>Tabla1[[#This Row],[Importe]]-Tabla1[[#This Row],[Pagado]]</f>
        <v>0</v>
      </c>
      <c r="H1686" s="9" t="s">
        <v>10</v>
      </c>
    </row>
    <row r="1687" spans="1:8" x14ac:dyDescent="0.25">
      <c r="A1687" s="7">
        <v>44578</v>
      </c>
      <c r="B1687" s="8" t="s">
        <v>2006</v>
      </c>
      <c r="C1687" s="9" t="s">
        <v>237</v>
      </c>
      <c r="D1687" s="10">
        <v>2592.1</v>
      </c>
      <c r="E1687" s="11">
        <v>44578</v>
      </c>
      <c r="F1687" s="10">
        <v>2592.1</v>
      </c>
      <c r="G1687" s="12">
        <f>Tabla1[[#This Row],[Importe]]-Tabla1[[#This Row],[Pagado]]</f>
        <v>0</v>
      </c>
      <c r="H1687" s="9" t="s">
        <v>10</v>
      </c>
    </row>
    <row r="1688" spans="1:8" x14ac:dyDescent="0.25">
      <c r="A1688" s="7">
        <v>44578</v>
      </c>
      <c r="B1688" s="8" t="s">
        <v>2007</v>
      </c>
      <c r="C1688" s="9" t="s">
        <v>2008</v>
      </c>
      <c r="D1688" s="10">
        <v>0</v>
      </c>
      <c r="E1688" s="13" t="s">
        <v>189</v>
      </c>
      <c r="F1688" s="10">
        <v>0</v>
      </c>
      <c r="G1688" s="12">
        <f>Tabla1[[#This Row],[Importe]]-Tabla1[[#This Row],[Pagado]]</f>
        <v>0</v>
      </c>
      <c r="H1688" s="9" t="s">
        <v>189</v>
      </c>
    </row>
    <row r="1689" spans="1:8" x14ac:dyDescent="0.25">
      <c r="A1689" s="7">
        <v>44578</v>
      </c>
      <c r="B1689" s="8" t="s">
        <v>2009</v>
      </c>
      <c r="C1689" s="9" t="s">
        <v>698</v>
      </c>
      <c r="D1689" s="10">
        <v>7113.9</v>
      </c>
      <c r="E1689" s="11">
        <v>44578</v>
      </c>
      <c r="F1689" s="10">
        <v>7113.9</v>
      </c>
      <c r="G1689" s="12">
        <f>Tabla1[[#This Row],[Importe]]-Tabla1[[#This Row],[Pagado]]</f>
        <v>0</v>
      </c>
      <c r="H1689" s="9" t="s">
        <v>10</v>
      </c>
    </row>
    <row r="1690" spans="1:8" x14ac:dyDescent="0.25">
      <c r="A1690" s="7">
        <v>44578</v>
      </c>
      <c r="B1690" s="8" t="s">
        <v>2010</v>
      </c>
      <c r="C1690" s="9" t="s">
        <v>31</v>
      </c>
      <c r="D1690" s="10">
        <v>2068.8000000000002</v>
      </c>
      <c r="E1690" s="11">
        <v>44578</v>
      </c>
      <c r="F1690" s="10">
        <v>2068.8000000000002</v>
      </c>
      <c r="G1690" s="12">
        <f>Tabla1[[#This Row],[Importe]]-Tabla1[[#This Row],[Pagado]]</f>
        <v>0</v>
      </c>
      <c r="H1690" s="9" t="s">
        <v>10</v>
      </c>
    </row>
    <row r="1691" spans="1:8" x14ac:dyDescent="0.25">
      <c r="A1691" s="7">
        <v>44578</v>
      </c>
      <c r="B1691" s="8" t="s">
        <v>2011</v>
      </c>
      <c r="C1691" s="9" t="s">
        <v>1558</v>
      </c>
      <c r="D1691" s="10">
        <v>1026</v>
      </c>
      <c r="E1691" s="11">
        <v>44578</v>
      </c>
      <c r="F1691" s="10">
        <v>1026</v>
      </c>
      <c r="G1691" s="12">
        <f>Tabla1[[#This Row],[Importe]]-Tabla1[[#This Row],[Pagado]]</f>
        <v>0</v>
      </c>
      <c r="H1691" s="9" t="s">
        <v>10</v>
      </c>
    </row>
    <row r="1692" spans="1:8" x14ac:dyDescent="0.25">
      <c r="A1692" s="7">
        <v>44578</v>
      </c>
      <c r="B1692" s="8" t="s">
        <v>2012</v>
      </c>
      <c r="C1692" s="9" t="s">
        <v>142</v>
      </c>
      <c r="D1692" s="10">
        <v>6085</v>
      </c>
      <c r="E1692" s="11">
        <v>44589</v>
      </c>
      <c r="F1692" s="10">
        <v>6085</v>
      </c>
      <c r="G1692" s="12">
        <f>Tabla1[[#This Row],[Importe]]-Tabla1[[#This Row],[Pagado]]</f>
        <v>0</v>
      </c>
      <c r="H1692" s="9" t="s">
        <v>10</v>
      </c>
    </row>
    <row r="1693" spans="1:8" x14ac:dyDescent="0.25">
      <c r="A1693" s="7">
        <v>44578</v>
      </c>
      <c r="B1693" s="8" t="s">
        <v>2013</v>
      </c>
      <c r="C1693" s="9" t="s">
        <v>284</v>
      </c>
      <c r="D1693" s="10">
        <v>4609.2</v>
      </c>
      <c r="E1693" s="11">
        <v>44579</v>
      </c>
      <c r="F1693" s="10">
        <v>4609.2</v>
      </c>
      <c r="G1693" s="12">
        <f>Tabla1[[#This Row],[Importe]]-Tabla1[[#This Row],[Pagado]]</f>
        <v>0</v>
      </c>
      <c r="H1693" s="9" t="s">
        <v>10</v>
      </c>
    </row>
    <row r="1694" spans="1:8" x14ac:dyDescent="0.25">
      <c r="A1694" s="7">
        <v>44578</v>
      </c>
      <c r="B1694" s="8" t="s">
        <v>2014</v>
      </c>
      <c r="C1694" s="9" t="s">
        <v>282</v>
      </c>
      <c r="D1694" s="10">
        <v>1780.2</v>
      </c>
      <c r="E1694" s="11">
        <v>44579</v>
      </c>
      <c r="F1694" s="10">
        <v>1780.2</v>
      </c>
      <c r="G1694" s="12">
        <f>Tabla1[[#This Row],[Importe]]-Tabla1[[#This Row],[Pagado]]</f>
        <v>0</v>
      </c>
      <c r="H1694" s="9" t="s">
        <v>10</v>
      </c>
    </row>
    <row r="1695" spans="1:8" x14ac:dyDescent="0.25">
      <c r="A1695" s="7">
        <v>44578</v>
      </c>
      <c r="B1695" s="8" t="s">
        <v>2015</v>
      </c>
      <c r="C1695" s="9" t="s">
        <v>280</v>
      </c>
      <c r="D1695" s="10">
        <v>432.4</v>
      </c>
      <c r="E1695" s="11">
        <v>44579</v>
      </c>
      <c r="F1695" s="10">
        <v>432.4</v>
      </c>
      <c r="G1695" s="12">
        <f>Tabla1[[#This Row],[Importe]]-Tabla1[[#This Row],[Pagado]]</f>
        <v>0</v>
      </c>
      <c r="H1695" s="9" t="s">
        <v>10</v>
      </c>
    </row>
    <row r="1696" spans="1:8" x14ac:dyDescent="0.25">
      <c r="A1696" s="7">
        <v>44578</v>
      </c>
      <c r="B1696" s="8" t="s">
        <v>2016</v>
      </c>
      <c r="C1696" s="9" t="s">
        <v>368</v>
      </c>
      <c r="D1696" s="10">
        <v>4979.2</v>
      </c>
      <c r="E1696" s="11">
        <v>44579</v>
      </c>
      <c r="F1696" s="10">
        <v>4979.2</v>
      </c>
      <c r="G1696" s="12">
        <f>Tabla1[[#This Row],[Importe]]-Tabla1[[#This Row],[Pagado]]</f>
        <v>0</v>
      </c>
      <c r="H1696" s="9" t="s">
        <v>10</v>
      </c>
    </row>
    <row r="1697" spans="1:8" x14ac:dyDescent="0.25">
      <c r="A1697" s="7">
        <v>44578</v>
      </c>
      <c r="B1697" s="8" t="s">
        <v>2017</v>
      </c>
      <c r="C1697" s="9" t="s">
        <v>1490</v>
      </c>
      <c r="D1697" s="10">
        <v>2086.8000000000002</v>
      </c>
      <c r="E1697" s="11">
        <v>44579</v>
      </c>
      <c r="F1697" s="10">
        <v>2086.8000000000002</v>
      </c>
      <c r="G1697" s="12">
        <f>Tabla1[[#This Row],[Importe]]-Tabla1[[#This Row],[Pagado]]</f>
        <v>0</v>
      </c>
      <c r="H1697" s="9" t="s">
        <v>10</v>
      </c>
    </row>
    <row r="1698" spans="1:8" x14ac:dyDescent="0.25">
      <c r="A1698" s="7">
        <v>44578</v>
      </c>
      <c r="B1698" s="8" t="s">
        <v>2018</v>
      </c>
      <c r="C1698" s="9" t="s">
        <v>249</v>
      </c>
      <c r="D1698" s="10">
        <v>5284.8</v>
      </c>
      <c r="E1698" s="11">
        <v>44578</v>
      </c>
      <c r="F1698" s="10">
        <v>5284.8</v>
      </c>
      <c r="G1698" s="12">
        <f>Tabla1[[#This Row],[Importe]]-Tabla1[[#This Row],[Pagado]]</f>
        <v>0</v>
      </c>
      <c r="H1698" s="9" t="s">
        <v>10</v>
      </c>
    </row>
    <row r="1699" spans="1:8" x14ac:dyDescent="0.25">
      <c r="A1699" s="7">
        <v>44578</v>
      </c>
      <c r="B1699" s="8" t="s">
        <v>2019</v>
      </c>
      <c r="C1699" s="9" t="s">
        <v>2020</v>
      </c>
      <c r="D1699" s="10">
        <v>5200</v>
      </c>
      <c r="E1699" s="11">
        <v>44578</v>
      </c>
      <c r="F1699" s="10">
        <v>5200</v>
      </c>
      <c r="G1699" s="12">
        <f>Tabla1[[#This Row],[Importe]]-Tabla1[[#This Row],[Pagado]]</f>
        <v>0</v>
      </c>
      <c r="H1699" s="9" t="s">
        <v>10</v>
      </c>
    </row>
    <row r="1700" spans="1:8" x14ac:dyDescent="0.25">
      <c r="A1700" s="7">
        <v>44578</v>
      </c>
      <c r="B1700" s="8" t="s">
        <v>2021</v>
      </c>
      <c r="C1700" s="9" t="s">
        <v>298</v>
      </c>
      <c r="D1700" s="10">
        <v>4038.9</v>
      </c>
      <c r="E1700" s="11">
        <v>44578</v>
      </c>
      <c r="F1700" s="10">
        <v>4038.9</v>
      </c>
      <c r="G1700" s="12">
        <f>Tabla1[[#This Row],[Importe]]-Tabla1[[#This Row],[Pagado]]</f>
        <v>0</v>
      </c>
      <c r="H1700" s="9" t="s">
        <v>10</v>
      </c>
    </row>
    <row r="1701" spans="1:8" x14ac:dyDescent="0.25">
      <c r="A1701" s="7">
        <v>44578</v>
      </c>
      <c r="B1701" s="8" t="s">
        <v>2022</v>
      </c>
      <c r="C1701" s="9" t="s">
        <v>269</v>
      </c>
      <c r="D1701" s="10">
        <v>3070.2</v>
      </c>
      <c r="E1701" s="11">
        <v>44578</v>
      </c>
      <c r="F1701" s="10">
        <v>3070.2</v>
      </c>
      <c r="G1701" s="12">
        <f>Tabla1[[#This Row],[Importe]]-Tabla1[[#This Row],[Pagado]]</f>
        <v>0</v>
      </c>
      <c r="H1701" s="9" t="s">
        <v>10</v>
      </c>
    </row>
    <row r="1702" spans="1:8" x14ac:dyDescent="0.25">
      <c r="A1702" s="7">
        <v>44578</v>
      </c>
      <c r="B1702" s="8" t="s">
        <v>2023</v>
      </c>
      <c r="C1702" s="9" t="s">
        <v>16</v>
      </c>
      <c r="D1702" s="10">
        <v>1407.8</v>
      </c>
      <c r="E1702" s="11">
        <v>44578</v>
      </c>
      <c r="F1702" s="10">
        <v>1407.8</v>
      </c>
      <c r="G1702" s="12">
        <f>Tabla1[[#This Row],[Importe]]-Tabla1[[#This Row],[Pagado]]</f>
        <v>0</v>
      </c>
      <c r="H1702" s="9" t="s">
        <v>10</v>
      </c>
    </row>
    <row r="1703" spans="1:8" x14ac:dyDescent="0.25">
      <c r="A1703" s="7">
        <v>44578</v>
      </c>
      <c r="B1703" s="8" t="s">
        <v>2024</v>
      </c>
      <c r="C1703" s="9" t="s">
        <v>1265</v>
      </c>
      <c r="D1703" s="10">
        <v>659.5</v>
      </c>
      <c r="E1703" s="11">
        <v>44578</v>
      </c>
      <c r="F1703" s="10">
        <v>659.5</v>
      </c>
      <c r="G1703" s="12">
        <f>Tabla1[[#This Row],[Importe]]-Tabla1[[#This Row],[Pagado]]</f>
        <v>0</v>
      </c>
      <c r="H1703" s="9" t="s">
        <v>10</v>
      </c>
    </row>
    <row r="1704" spans="1:8" x14ac:dyDescent="0.25">
      <c r="A1704" s="7">
        <v>44578</v>
      </c>
      <c r="B1704" s="8" t="s">
        <v>2025</v>
      </c>
      <c r="C1704" s="9" t="s">
        <v>1378</v>
      </c>
      <c r="D1704" s="10">
        <v>2063.8000000000002</v>
      </c>
      <c r="E1704" s="11">
        <v>44578</v>
      </c>
      <c r="F1704" s="10">
        <v>2063.8000000000002</v>
      </c>
      <c r="G1704" s="12">
        <f>Tabla1[[#This Row],[Importe]]-Tabla1[[#This Row],[Pagado]]</f>
        <v>0</v>
      </c>
      <c r="H1704" s="9" t="s">
        <v>10</v>
      </c>
    </row>
    <row r="1705" spans="1:8" x14ac:dyDescent="0.25">
      <c r="A1705" s="7">
        <v>44578</v>
      </c>
      <c r="B1705" s="8" t="s">
        <v>2026</v>
      </c>
      <c r="C1705" s="9" t="s">
        <v>2027</v>
      </c>
      <c r="D1705" s="10">
        <v>23514</v>
      </c>
      <c r="E1705" s="11">
        <v>44578</v>
      </c>
      <c r="F1705" s="10">
        <v>23514</v>
      </c>
      <c r="G1705" s="12">
        <f>Tabla1[[#This Row],[Importe]]-Tabla1[[#This Row],[Pagado]]</f>
        <v>0</v>
      </c>
      <c r="H1705" s="9" t="s">
        <v>10</v>
      </c>
    </row>
    <row r="1706" spans="1:8" x14ac:dyDescent="0.25">
      <c r="A1706" s="7">
        <v>44578</v>
      </c>
      <c r="B1706" s="8" t="s">
        <v>2028</v>
      </c>
      <c r="C1706" s="9" t="s">
        <v>196</v>
      </c>
      <c r="D1706" s="10">
        <v>39513.49</v>
      </c>
      <c r="E1706" s="11">
        <v>44582</v>
      </c>
      <c r="F1706" s="10">
        <v>39513.49</v>
      </c>
      <c r="G1706" s="12">
        <f>Tabla1[[#This Row],[Importe]]-Tabla1[[#This Row],[Pagado]]</f>
        <v>0</v>
      </c>
      <c r="H1706" s="9" t="s">
        <v>10</v>
      </c>
    </row>
    <row r="1707" spans="1:8" x14ac:dyDescent="0.25">
      <c r="A1707" s="7">
        <v>44578</v>
      </c>
      <c r="B1707" s="8" t="s">
        <v>2029</v>
      </c>
      <c r="C1707" s="9" t="s">
        <v>857</v>
      </c>
      <c r="D1707" s="10">
        <v>1111.5</v>
      </c>
      <c r="E1707" s="11">
        <v>44578</v>
      </c>
      <c r="F1707" s="10">
        <v>1111.5</v>
      </c>
      <c r="G1707" s="12">
        <f>Tabla1[[#This Row],[Importe]]-Tabla1[[#This Row],[Pagado]]</f>
        <v>0</v>
      </c>
      <c r="H1707" s="9" t="s">
        <v>10</v>
      </c>
    </row>
    <row r="1708" spans="1:8" x14ac:dyDescent="0.25">
      <c r="A1708" s="7">
        <v>44578</v>
      </c>
      <c r="B1708" s="8" t="s">
        <v>2030</v>
      </c>
      <c r="C1708" s="9" t="s">
        <v>887</v>
      </c>
      <c r="D1708" s="10">
        <v>8775</v>
      </c>
      <c r="E1708" s="11">
        <v>44581</v>
      </c>
      <c r="F1708" s="10">
        <v>8775</v>
      </c>
      <c r="G1708" s="12">
        <f>Tabla1[[#This Row],[Importe]]-Tabla1[[#This Row],[Pagado]]</f>
        <v>0</v>
      </c>
      <c r="H1708" s="9" t="s">
        <v>10</v>
      </c>
    </row>
    <row r="1709" spans="1:8" x14ac:dyDescent="0.25">
      <c r="A1709" s="7">
        <v>44578</v>
      </c>
      <c r="B1709" s="8" t="s">
        <v>2031</v>
      </c>
      <c r="C1709" s="9" t="s">
        <v>454</v>
      </c>
      <c r="D1709" s="10">
        <v>2393.6</v>
      </c>
      <c r="E1709" s="11">
        <v>44578</v>
      </c>
      <c r="F1709" s="10">
        <v>2393.6</v>
      </c>
      <c r="G1709" s="12">
        <f>Tabla1[[#This Row],[Importe]]-Tabla1[[#This Row],[Pagado]]</f>
        <v>0</v>
      </c>
      <c r="H1709" s="9" t="s">
        <v>10</v>
      </c>
    </row>
    <row r="1710" spans="1:8" x14ac:dyDescent="0.25">
      <c r="A1710" s="7">
        <v>44578</v>
      </c>
      <c r="B1710" s="8" t="s">
        <v>2032</v>
      </c>
      <c r="C1710" s="9" t="s">
        <v>303</v>
      </c>
      <c r="D1710" s="10">
        <v>39817.199999999997</v>
      </c>
      <c r="E1710" s="11">
        <v>44585</v>
      </c>
      <c r="F1710" s="10">
        <v>39817.199999999997</v>
      </c>
      <c r="G1710" s="12">
        <f>Tabla1[[#This Row],[Importe]]-Tabla1[[#This Row],[Pagado]]</f>
        <v>0</v>
      </c>
      <c r="H1710" s="9" t="s">
        <v>10</v>
      </c>
    </row>
    <row r="1711" spans="1:8" x14ac:dyDescent="0.25">
      <c r="A1711" s="7">
        <v>44578</v>
      </c>
      <c r="B1711" s="8" t="s">
        <v>2033</v>
      </c>
      <c r="C1711" s="9" t="s">
        <v>53</v>
      </c>
      <c r="D1711" s="10">
        <v>1488.4</v>
      </c>
      <c r="E1711" s="11">
        <v>44578</v>
      </c>
      <c r="F1711" s="10">
        <v>1488.4</v>
      </c>
      <c r="G1711" s="12">
        <f>Tabla1[[#This Row],[Importe]]-Tabla1[[#This Row],[Pagado]]</f>
        <v>0</v>
      </c>
      <c r="H1711" s="9" t="s">
        <v>10</v>
      </c>
    </row>
    <row r="1712" spans="1:8" x14ac:dyDescent="0.25">
      <c r="A1712" s="7">
        <v>44578</v>
      </c>
      <c r="B1712" s="8" t="s">
        <v>2034</v>
      </c>
      <c r="C1712" s="9" t="s">
        <v>2035</v>
      </c>
      <c r="D1712" s="10">
        <v>1672.8</v>
      </c>
      <c r="E1712" s="11">
        <v>44578</v>
      </c>
      <c r="F1712" s="10">
        <v>1672.8</v>
      </c>
      <c r="G1712" s="12">
        <f>Tabla1[[#This Row],[Importe]]-Tabla1[[#This Row],[Pagado]]</f>
        <v>0</v>
      </c>
      <c r="H1712" s="9" t="s">
        <v>10</v>
      </c>
    </row>
    <row r="1713" spans="1:8" x14ac:dyDescent="0.25">
      <c r="A1713" s="7">
        <v>44578</v>
      </c>
      <c r="B1713" s="8" t="s">
        <v>2036</v>
      </c>
      <c r="C1713" s="9" t="s">
        <v>275</v>
      </c>
      <c r="D1713" s="10">
        <v>14887</v>
      </c>
      <c r="E1713" s="11">
        <v>44583</v>
      </c>
      <c r="F1713" s="10">
        <v>14887</v>
      </c>
      <c r="G1713" s="12">
        <f>Tabla1[[#This Row],[Importe]]-Tabla1[[#This Row],[Pagado]]</f>
        <v>0</v>
      </c>
      <c r="H1713" s="9" t="s">
        <v>10</v>
      </c>
    </row>
    <row r="1714" spans="1:8" x14ac:dyDescent="0.25">
      <c r="A1714" s="7">
        <v>44579</v>
      </c>
      <c r="B1714" s="8" t="s">
        <v>2037</v>
      </c>
      <c r="C1714" s="9" t="s">
        <v>79</v>
      </c>
      <c r="D1714" s="10">
        <v>4600</v>
      </c>
      <c r="E1714" s="11">
        <v>44579</v>
      </c>
      <c r="F1714" s="10">
        <v>4600</v>
      </c>
      <c r="G1714" s="12">
        <f>Tabla1[[#This Row],[Importe]]-Tabla1[[#This Row],[Pagado]]</f>
        <v>0</v>
      </c>
      <c r="H1714" s="9" t="s">
        <v>10</v>
      </c>
    </row>
    <row r="1715" spans="1:8" x14ac:dyDescent="0.25">
      <c r="A1715" s="7">
        <v>44579</v>
      </c>
      <c r="B1715" s="8" t="s">
        <v>2038</v>
      </c>
      <c r="C1715" s="9" t="s">
        <v>33</v>
      </c>
      <c r="D1715" s="10">
        <v>8925.4</v>
      </c>
      <c r="E1715" s="11">
        <v>44579</v>
      </c>
      <c r="F1715" s="10">
        <v>8925.4</v>
      </c>
      <c r="G1715" s="12">
        <f>Tabla1[[#This Row],[Importe]]-Tabla1[[#This Row],[Pagado]]</f>
        <v>0</v>
      </c>
      <c r="H1715" s="9" t="s">
        <v>10</v>
      </c>
    </row>
    <row r="1716" spans="1:8" x14ac:dyDescent="0.25">
      <c r="A1716" s="7">
        <v>44579</v>
      </c>
      <c r="B1716" s="8" t="s">
        <v>2039</v>
      </c>
      <c r="C1716" s="9" t="s">
        <v>312</v>
      </c>
      <c r="D1716" s="10">
        <v>850</v>
      </c>
      <c r="E1716" s="11">
        <v>44579</v>
      </c>
      <c r="F1716" s="10">
        <v>850</v>
      </c>
      <c r="G1716" s="12">
        <f>Tabla1[[#This Row],[Importe]]-Tabla1[[#This Row],[Pagado]]</f>
        <v>0</v>
      </c>
      <c r="H1716" s="9" t="s">
        <v>10</v>
      </c>
    </row>
    <row r="1717" spans="1:8" x14ac:dyDescent="0.25">
      <c r="A1717" s="7">
        <v>44579</v>
      </c>
      <c r="B1717" s="8" t="s">
        <v>2040</v>
      </c>
      <c r="C1717" s="9" t="s">
        <v>481</v>
      </c>
      <c r="D1717" s="10">
        <v>134.4</v>
      </c>
      <c r="E1717" s="11">
        <v>44579</v>
      </c>
      <c r="F1717" s="10">
        <v>134.4</v>
      </c>
      <c r="G1717" s="12">
        <f>Tabla1[[#This Row],[Importe]]-Tabla1[[#This Row],[Pagado]]</f>
        <v>0</v>
      </c>
      <c r="H1717" s="9" t="s">
        <v>10</v>
      </c>
    </row>
    <row r="1718" spans="1:8" x14ac:dyDescent="0.25">
      <c r="A1718" s="7">
        <v>44579</v>
      </c>
      <c r="B1718" s="8" t="s">
        <v>2041</v>
      </c>
      <c r="C1718" s="9" t="s">
        <v>2042</v>
      </c>
      <c r="D1718" s="10">
        <v>0</v>
      </c>
      <c r="E1718" s="13" t="s">
        <v>189</v>
      </c>
      <c r="F1718" s="10">
        <v>0</v>
      </c>
      <c r="G1718" s="12">
        <f>Tabla1[[#This Row],[Importe]]-Tabla1[[#This Row],[Pagado]]</f>
        <v>0</v>
      </c>
      <c r="H1718" s="9" t="s">
        <v>189</v>
      </c>
    </row>
    <row r="1719" spans="1:8" x14ac:dyDescent="0.25">
      <c r="A1719" s="7">
        <v>44579</v>
      </c>
      <c r="B1719" s="8" t="s">
        <v>2043</v>
      </c>
      <c r="C1719" s="9" t="s">
        <v>966</v>
      </c>
      <c r="D1719" s="10">
        <v>4710.3999999999996</v>
      </c>
      <c r="E1719" s="11">
        <v>44579</v>
      </c>
      <c r="F1719" s="10">
        <v>4710.3999999999996</v>
      </c>
      <c r="G1719" s="12">
        <f>Tabla1[[#This Row],[Importe]]-Tabla1[[#This Row],[Pagado]]</f>
        <v>0</v>
      </c>
      <c r="H1719" s="9" t="s">
        <v>10</v>
      </c>
    </row>
    <row r="1720" spans="1:8" x14ac:dyDescent="0.25">
      <c r="A1720" s="7">
        <v>44579</v>
      </c>
      <c r="B1720" s="8" t="s">
        <v>2044</v>
      </c>
      <c r="C1720" s="9" t="s">
        <v>85</v>
      </c>
      <c r="D1720" s="10">
        <v>832.6</v>
      </c>
      <c r="E1720" s="11">
        <v>44579</v>
      </c>
      <c r="F1720" s="10">
        <v>832.6</v>
      </c>
      <c r="G1720" s="12">
        <f>Tabla1[[#This Row],[Importe]]-Tabla1[[#This Row],[Pagado]]</f>
        <v>0</v>
      </c>
      <c r="H1720" s="9" t="s">
        <v>10</v>
      </c>
    </row>
    <row r="1721" spans="1:8" x14ac:dyDescent="0.25">
      <c r="A1721" s="7">
        <v>44579</v>
      </c>
      <c r="B1721" s="8" t="s">
        <v>2045</v>
      </c>
      <c r="C1721" s="9" t="s">
        <v>473</v>
      </c>
      <c r="D1721" s="10">
        <v>877.2</v>
      </c>
      <c r="E1721" s="11">
        <v>44579</v>
      </c>
      <c r="F1721" s="10">
        <v>877.2</v>
      </c>
      <c r="G1721" s="12">
        <f>Tabla1[[#This Row],[Importe]]-Tabla1[[#This Row],[Pagado]]</f>
        <v>0</v>
      </c>
      <c r="H1721" s="9" t="s">
        <v>10</v>
      </c>
    </row>
    <row r="1722" spans="1:8" ht="30" x14ac:dyDescent="0.25">
      <c r="A1722" s="7">
        <v>44579</v>
      </c>
      <c r="B1722" s="8" t="s">
        <v>2046</v>
      </c>
      <c r="C1722" s="9" t="s">
        <v>22</v>
      </c>
      <c r="D1722" s="10">
        <v>43707.6</v>
      </c>
      <c r="E1722" s="11" t="s">
        <v>2047</v>
      </c>
      <c r="F1722" s="10">
        <f>32000+11707.6</f>
        <v>43707.6</v>
      </c>
      <c r="G1722" s="12">
        <f>Tabla1[[#This Row],[Importe]]-Tabla1[[#This Row],[Pagado]]</f>
        <v>0</v>
      </c>
      <c r="H1722" s="9" t="s">
        <v>10</v>
      </c>
    </row>
    <row r="1723" spans="1:8" x14ac:dyDescent="0.25">
      <c r="A1723" s="7">
        <v>44579</v>
      </c>
      <c r="B1723" s="8" t="s">
        <v>2048</v>
      </c>
      <c r="C1723" s="9" t="s">
        <v>97</v>
      </c>
      <c r="D1723" s="10">
        <v>832.3</v>
      </c>
      <c r="E1723" s="11">
        <v>44579</v>
      </c>
      <c r="F1723" s="10">
        <v>832.3</v>
      </c>
      <c r="G1723" s="12">
        <f>Tabla1[[#This Row],[Importe]]-Tabla1[[#This Row],[Pagado]]</f>
        <v>0</v>
      </c>
      <c r="H1723" s="9" t="s">
        <v>10</v>
      </c>
    </row>
    <row r="1724" spans="1:8" x14ac:dyDescent="0.25">
      <c r="A1724" s="7">
        <v>44579</v>
      </c>
      <c r="B1724" s="8" t="s">
        <v>2049</v>
      </c>
      <c r="C1724" s="9" t="s">
        <v>60</v>
      </c>
      <c r="D1724" s="10">
        <v>4163.3999999999996</v>
      </c>
      <c r="E1724" s="11">
        <v>44582</v>
      </c>
      <c r="F1724" s="10">
        <v>4163.3999999999996</v>
      </c>
      <c r="G1724" s="12">
        <f>Tabla1[[#This Row],[Importe]]-Tabla1[[#This Row],[Pagado]]</f>
        <v>0</v>
      </c>
      <c r="H1724" s="9" t="s">
        <v>10</v>
      </c>
    </row>
    <row r="1725" spans="1:8" x14ac:dyDescent="0.25">
      <c r="A1725" s="7">
        <v>44579</v>
      </c>
      <c r="B1725" s="8" t="s">
        <v>2050</v>
      </c>
      <c r="C1725" s="9" t="s">
        <v>118</v>
      </c>
      <c r="D1725" s="10">
        <v>4669.3</v>
      </c>
      <c r="E1725" s="11">
        <v>44579</v>
      </c>
      <c r="F1725" s="10">
        <v>4669.3</v>
      </c>
      <c r="G1725" s="12">
        <f>Tabla1[[#This Row],[Importe]]-Tabla1[[#This Row],[Pagado]]</f>
        <v>0</v>
      </c>
      <c r="H1725" s="9" t="s">
        <v>10</v>
      </c>
    </row>
    <row r="1726" spans="1:8" x14ac:dyDescent="0.25">
      <c r="A1726" s="7">
        <v>44579</v>
      </c>
      <c r="B1726" s="8" t="s">
        <v>2051</v>
      </c>
      <c r="C1726" s="9" t="s">
        <v>2052</v>
      </c>
      <c r="D1726" s="10">
        <v>0</v>
      </c>
      <c r="E1726" s="13" t="s">
        <v>189</v>
      </c>
      <c r="F1726" s="10">
        <v>0</v>
      </c>
      <c r="G1726" s="12">
        <f>Tabla1[[#This Row],[Importe]]-Tabla1[[#This Row],[Pagado]]</f>
        <v>0</v>
      </c>
      <c r="H1726" s="9" t="s">
        <v>189</v>
      </c>
    </row>
    <row r="1727" spans="1:8" x14ac:dyDescent="0.25">
      <c r="A1727" s="7">
        <v>44579</v>
      </c>
      <c r="B1727" s="8" t="s">
        <v>2053</v>
      </c>
      <c r="C1727" s="9" t="s">
        <v>2054</v>
      </c>
      <c r="D1727" s="10">
        <v>0</v>
      </c>
      <c r="E1727" s="13" t="s">
        <v>189</v>
      </c>
      <c r="F1727" s="10">
        <v>0</v>
      </c>
      <c r="G1727" s="12">
        <f>Tabla1[[#This Row],[Importe]]-Tabla1[[#This Row],[Pagado]]</f>
        <v>0</v>
      </c>
      <c r="H1727" s="17" t="s">
        <v>2055</v>
      </c>
    </row>
    <row r="1728" spans="1:8" x14ac:dyDescent="0.25">
      <c r="A1728" s="7">
        <v>44579</v>
      </c>
      <c r="B1728" s="8" t="s">
        <v>2056</v>
      </c>
      <c r="C1728" s="9" t="s">
        <v>114</v>
      </c>
      <c r="D1728" s="10">
        <v>4066.4</v>
      </c>
      <c r="E1728" s="11">
        <v>44580</v>
      </c>
      <c r="F1728" s="10">
        <v>4066.4</v>
      </c>
      <c r="G1728" s="12">
        <f>Tabla1[[#This Row],[Importe]]-Tabla1[[#This Row],[Pagado]]</f>
        <v>0</v>
      </c>
      <c r="H1728" s="9" t="s">
        <v>10</v>
      </c>
    </row>
    <row r="1729" spans="1:8" x14ac:dyDescent="0.25">
      <c r="A1729" s="7">
        <v>44579</v>
      </c>
      <c r="B1729" s="8" t="s">
        <v>2057</v>
      </c>
      <c r="C1729" s="9" t="s">
        <v>64</v>
      </c>
      <c r="D1729" s="10">
        <v>4282.2</v>
      </c>
      <c r="E1729" s="11">
        <v>44580</v>
      </c>
      <c r="F1729" s="10">
        <v>4282.2</v>
      </c>
      <c r="G1729" s="12">
        <f>Tabla1[[#This Row],[Importe]]-Tabla1[[#This Row],[Pagado]]</f>
        <v>0</v>
      </c>
      <c r="H1729" s="9" t="s">
        <v>10</v>
      </c>
    </row>
    <row r="1730" spans="1:8" x14ac:dyDescent="0.25">
      <c r="A1730" s="7">
        <v>44579</v>
      </c>
      <c r="B1730" s="8" t="s">
        <v>2058</v>
      </c>
      <c r="C1730" s="9" t="s">
        <v>111</v>
      </c>
      <c r="D1730" s="10">
        <v>4706</v>
      </c>
      <c r="E1730" s="11">
        <v>44580</v>
      </c>
      <c r="F1730" s="10">
        <v>4706</v>
      </c>
      <c r="G1730" s="12">
        <f>Tabla1[[#This Row],[Importe]]-Tabla1[[#This Row],[Pagado]]</f>
        <v>0</v>
      </c>
      <c r="H1730" s="9" t="s">
        <v>10</v>
      </c>
    </row>
    <row r="1731" spans="1:8" x14ac:dyDescent="0.25">
      <c r="A1731" s="7">
        <v>44579</v>
      </c>
      <c r="B1731" s="8" t="s">
        <v>2059</v>
      </c>
      <c r="C1731" s="9" t="s">
        <v>345</v>
      </c>
      <c r="D1731" s="10">
        <v>343.1</v>
      </c>
      <c r="E1731" s="11">
        <v>44579</v>
      </c>
      <c r="F1731" s="10">
        <v>343.1</v>
      </c>
      <c r="G1731" s="12">
        <f>Tabla1[[#This Row],[Importe]]-Tabla1[[#This Row],[Pagado]]</f>
        <v>0</v>
      </c>
      <c r="H1731" s="9" t="s">
        <v>10</v>
      </c>
    </row>
    <row r="1732" spans="1:8" x14ac:dyDescent="0.25">
      <c r="A1732" s="7">
        <v>44579</v>
      </c>
      <c r="B1732" s="8" t="s">
        <v>2060</v>
      </c>
      <c r="C1732" s="9" t="s">
        <v>9</v>
      </c>
      <c r="D1732" s="10">
        <v>4928.6000000000004</v>
      </c>
      <c r="E1732" s="11">
        <v>44579</v>
      </c>
      <c r="F1732" s="10">
        <v>4928.6000000000004</v>
      </c>
      <c r="G1732" s="12">
        <f>Tabla1[[#This Row],[Importe]]-Tabla1[[#This Row],[Pagado]]</f>
        <v>0</v>
      </c>
      <c r="H1732" s="9" t="s">
        <v>10</v>
      </c>
    </row>
    <row r="1733" spans="1:8" ht="30" x14ac:dyDescent="0.25">
      <c r="A1733" s="7">
        <v>44579</v>
      </c>
      <c r="B1733" s="8" t="s">
        <v>2061</v>
      </c>
      <c r="C1733" s="9" t="s">
        <v>93</v>
      </c>
      <c r="D1733" s="10">
        <v>5610.5</v>
      </c>
      <c r="E1733" s="11" t="s">
        <v>1889</v>
      </c>
      <c r="F1733" s="10">
        <f>3000+2610.5</f>
        <v>5610.5</v>
      </c>
      <c r="G1733" s="12">
        <f>Tabla1[[#This Row],[Importe]]-Tabla1[[#This Row],[Pagado]]</f>
        <v>0</v>
      </c>
      <c r="H1733" s="9" t="s">
        <v>10</v>
      </c>
    </row>
    <row r="1734" spans="1:8" x14ac:dyDescent="0.25">
      <c r="A1734" s="7">
        <v>44579</v>
      </c>
      <c r="B1734" s="8" t="s">
        <v>2062</v>
      </c>
      <c r="C1734" s="9" t="s">
        <v>12</v>
      </c>
      <c r="D1734" s="10">
        <v>17853.900000000001</v>
      </c>
      <c r="E1734" s="11">
        <v>44581</v>
      </c>
      <c r="F1734" s="10">
        <v>17853.900000000001</v>
      </c>
      <c r="G1734" s="12">
        <f>Tabla1[[#This Row],[Importe]]-Tabla1[[#This Row],[Pagado]]</f>
        <v>0</v>
      </c>
      <c r="H1734" s="9" t="s">
        <v>10</v>
      </c>
    </row>
    <row r="1735" spans="1:8" ht="30" x14ac:dyDescent="0.25">
      <c r="A1735" s="7">
        <v>44579</v>
      </c>
      <c r="B1735" s="8" t="s">
        <v>2063</v>
      </c>
      <c r="C1735" s="9" t="s">
        <v>39</v>
      </c>
      <c r="D1735" s="10">
        <v>21599.7</v>
      </c>
      <c r="E1735" s="11" t="s">
        <v>2064</v>
      </c>
      <c r="F1735" s="10">
        <f>4000+17599.7</f>
        <v>21599.7</v>
      </c>
      <c r="G1735" s="12">
        <f>Tabla1[[#This Row],[Importe]]-Tabla1[[#This Row],[Pagado]]</f>
        <v>0</v>
      </c>
      <c r="H1735" s="9" t="s">
        <v>10</v>
      </c>
    </row>
    <row r="1736" spans="1:8" x14ac:dyDescent="0.25">
      <c r="A1736" s="7">
        <v>44579</v>
      </c>
      <c r="B1736" s="8" t="s">
        <v>2065</v>
      </c>
      <c r="C1736" s="9" t="s">
        <v>105</v>
      </c>
      <c r="D1736" s="10">
        <v>8724.4</v>
      </c>
      <c r="E1736" s="11">
        <v>44580</v>
      </c>
      <c r="F1736" s="10">
        <v>8724.4</v>
      </c>
      <c r="G1736" s="12">
        <f>Tabla1[[#This Row],[Importe]]-Tabla1[[#This Row],[Pagado]]</f>
        <v>0</v>
      </c>
      <c r="H1736" s="9" t="s">
        <v>10</v>
      </c>
    </row>
    <row r="1737" spans="1:8" x14ac:dyDescent="0.25">
      <c r="A1737" s="7">
        <v>44579</v>
      </c>
      <c r="B1737" s="8" t="s">
        <v>2066</v>
      </c>
      <c r="C1737" s="9" t="s">
        <v>114</v>
      </c>
      <c r="D1737" s="10">
        <v>678.6</v>
      </c>
      <c r="E1737" s="11">
        <v>44580</v>
      </c>
      <c r="F1737" s="10">
        <v>678.6</v>
      </c>
      <c r="G1737" s="12">
        <f>Tabla1[[#This Row],[Importe]]-Tabla1[[#This Row],[Pagado]]</f>
        <v>0</v>
      </c>
      <c r="H1737" s="9" t="s">
        <v>10</v>
      </c>
    </row>
    <row r="1738" spans="1:8" x14ac:dyDescent="0.25">
      <c r="A1738" s="7">
        <v>44579</v>
      </c>
      <c r="B1738" s="8" t="s">
        <v>2067</v>
      </c>
      <c r="C1738" s="9" t="s">
        <v>89</v>
      </c>
      <c r="D1738" s="10">
        <v>4257</v>
      </c>
      <c r="E1738" s="11">
        <v>44580</v>
      </c>
      <c r="F1738" s="10">
        <v>4257</v>
      </c>
      <c r="G1738" s="12">
        <f>Tabla1[[#This Row],[Importe]]-Tabla1[[#This Row],[Pagado]]</f>
        <v>0</v>
      </c>
      <c r="H1738" s="9" t="s">
        <v>10</v>
      </c>
    </row>
    <row r="1739" spans="1:8" x14ac:dyDescent="0.25">
      <c r="A1739" s="7">
        <v>44579</v>
      </c>
      <c r="B1739" s="8" t="s">
        <v>2068</v>
      </c>
      <c r="C1739" s="9" t="s">
        <v>89</v>
      </c>
      <c r="D1739" s="10">
        <v>1044.4000000000001</v>
      </c>
      <c r="E1739" s="11">
        <v>44580</v>
      </c>
      <c r="F1739" s="10">
        <v>1044.4000000000001</v>
      </c>
      <c r="G1739" s="12">
        <f>Tabla1[[#This Row],[Importe]]-Tabla1[[#This Row],[Pagado]]</f>
        <v>0</v>
      </c>
      <c r="H1739" s="9" t="s">
        <v>10</v>
      </c>
    </row>
    <row r="1740" spans="1:8" x14ac:dyDescent="0.25">
      <c r="A1740" s="7">
        <v>44579</v>
      </c>
      <c r="B1740" s="8" t="s">
        <v>2069</v>
      </c>
      <c r="C1740" s="9" t="s">
        <v>348</v>
      </c>
      <c r="D1740" s="10">
        <v>1290.3</v>
      </c>
      <c r="E1740" s="11">
        <v>44580</v>
      </c>
      <c r="F1740" s="10">
        <v>1290.3</v>
      </c>
      <c r="G1740" s="12">
        <f>Tabla1[[#This Row],[Importe]]-Tabla1[[#This Row],[Pagado]]</f>
        <v>0</v>
      </c>
      <c r="H1740" s="9" t="s">
        <v>10</v>
      </c>
    </row>
    <row r="1741" spans="1:8" x14ac:dyDescent="0.25">
      <c r="A1741" s="7">
        <v>44579</v>
      </c>
      <c r="B1741" s="8" t="s">
        <v>2070</v>
      </c>
      <c r="C1741" s="9" t="s">
        <v>142</v>
      </c>
      <c r="D1741" s="10">
        <v>42951.199999999997</v>
      </c>
      <c r="E1741" s="11">
        <v>44589</v>
      </c>
      <c r="F1741" s="10">
        <v>42951.199999999997</v>
      </c>
      <c r="G1741" s="12">
        <f>Tabla1[[#This Row],[Importe]]-Tabla1[[#This Row],[Pagado]]</f>
        <v>0</v>
      </c>
      <c r="H1741" s="9" t="s">
        <v>10</v>
      </c>
    </row>
    <row r="1742" spans="1:8" x14ac:dyDescent="0.25">
      <c r="A1742" s="7">
        <v>44579</v>
      </c>
      <c r="B1742" s="8" t="s">
        <v>2071</v>
      </c>
      <c r="C1742" s="9" t="s">
        <v>426</v>
      </c>
      <c r="D1742" s="10">
        <v>4435.2</v>
      </c>
      <c r="E1742" s="11">
        <v>44579</v>
      </c>
      <c r="F1742" s="10">
        <v>4435.2</v>
      </c>
      <c r="G1742" s="12">
        <f>Tabla1[[#This Row],[Importe]]-Tabla1[[#This Row],[Pagado]]</f>
        <v>0</v>
      </c>
      <c r="H1742" s="9" t="s">
        <v>10</v>
      </c>
    </row>
    <row r="1743" spans="1:8" x14ac:dyDescent="0.25">
      <c r="A1743" s="7">
        <v>44579</v>
      </c>
      <c r="B1743" s="8" t="s">
        <v>2072</v>
      </c>
      <c r="C1743" s="9" t="s">
        <v>196</v>
      </c>
      <c r="D1743" s="10">
        <v>38406.839999999997</v>
      </c>
      <c r="E1743" s="11">
        <v>44582</v>
      </c>
      <c r="F1743" s="10">
        <v>38406.839999999997</v>
      </c>
      <c r="G1743" s="12">
        <f>Tabla1[[#This Row],[Importe]]-Tabla1[[#This Row],[Pagado]]</f>
        <v>0</v>
      </c>
      <c r="H1743" s="9" t="s">
        <v>10</v>
      </c>
    </row>
    <row r="1744" spans="1:8" x14ac:dyDescent="0.25">
      <c r="A1744" s="7">
        <v>44579</v>
      </c>
      <c r="B1744" s="8" t="s">
        <v>2073</v>
      </c>
      <c r="C1744" s="9" t="s">
        <v>2074</v>
      </c>
      <c r="D1744" s="10">
        <v>4181.1000000000004</v>
      </c>
      <c r="E1744" s="11">
        <v>44579</v>
      </c>
      <c r="F1744" s="10">
        <v>4181.1000000000004</v>
      </c>
      <c r="G1744" s="12">
        <f>Tabla1[[#This Row],[Importe]]-Tabla1[[#This Row],[Pagado]]</f>
        <v>0</v>
      </c>
      <c r="H1744" s="9" t="s">
        <v>10</v>
      </c>
    </row>
    <row r="1745" spans="1:8" x14ac:dyDescent="0.25">
      <c r="A1745" s="7">
        <v>44579</v>
      </c>
      <c r="B1745" s="8" t="s">
        <v>2075</v>
      </c>
      <c r="C1745" s="9" t="s">
        <v>1914</v>
      </c>
      <c r="D1745" s="10">
        <v>6601.7</v>
      </c>
      <c r="E1745" s="11">
        <v>44579</v>
      </c>
      <c r="F1745" s="10">
        <v>6601.7</v>
      </c>
      <c r="G1745" s="12">
        <f>Tabla1[[#This Row],[Importe]]-Tabla1[[#This Row],[Pagado]]</f>
        <v>0</v>
      </c>
      <c r="H1745" s="9" t="s">
        <v>10</v>
      </c>
    </row>
    <row r="1746" spans="1:8" x14ac:dyDescent="0.25">
      <c r="A1746" s="7">
        <v>44579</v>
      </c>
      <c r="B1746" s="8" t="s">
        <v>2076</v>
      </c>
      <c r="C1746" s="9" t="s">
        <v>53</v>
      </c>
      <c r="D1746" s="10">
        <v>3383</v>
      </c>
      <c r="E1746" s="11">
        <v>44579</v>
      </c>
      <c r="F1746" s="10">
        <v>3383</v>
      </c>
      <c r="G1746" s="12">
        <f>Tabla1[[#This Row],[Importe]]-Tabla1[[#This Row],[Pagado]]</f>
        <v>0</v>
      </c>
      <c r="H1746" s="9" t="s">
        <v>10</v>
      </c>
    </row>
    <row r="1747" spans="1:8" x14ac:dyDescent="0.25">
      <c r="A1747" s="7">
        <v>44579</v>
      </c>
      <c r="B1747" s="8" t="s">
        <v>2077</v>
      </c>
      <c r="C1747" s="9" t="s">
        <v>1038</v>
      </c>
      <c r="D1747" s="10">
        <v>5670.3</v>
      </c>
      <c r="E1747" s="11">
        <v>44579</v>
      </c>
      <c r="F1747" s="10">
        <v>5670.3</v>
      </c>
      <c r="G1747" s="12">
        <f>Tabla1[[#This Row],[Importe]]-Tabla1[[#This Row],[Pagado]]</f>
        <v>0</v>
      </c>
      <c r="H1747" s="9" t="s">
        <v>10</v>
      </c>
    </row>
    <row r="1748" spans="1:8" x14ac:dyDescent="0.25">
      <c r="A1748" s="7">
        <v>44579</v>
      </c>
      <c r="B1748" s="8" t="s">
        <v>2078</v>
      </c>
      <c r="C1748" s="9" t="s">
        <v>314</v>
      </c>
      <c r="D1748" s="10">
        <v>1619.2</v>
      </c>
      <c r="E1748" s="11">
        <v>44579</v>
      </c>
      <c r="F1748" s="10">
        <v>1619.2</v>
      </c>
      <c r="G1748" s="12">
        <f>Tabla1[[#This Row],[Importe]]-Tabla1[[#This Row],[Pagado]]</f>
        <v>0</v>
      </c>
      <c r="H1748" s="9" t="s">
        <v>10</v>
      </c>
    </row>
    <row r="1749" spans="1:8" x14ac:dyDescent="0.25">
      <c r="A1749" s="7">
        <v>44579</v>
      </c>
      <c r="B1749" s="8" t="s">
        <v>2079</v>
      </c>
      <c r="C1749" s="9" t="s">
        <v>16</v>
      </c>
      <c r="D1749" s="10">
        <v>5805.6</v>
      </c>
      <c r="E1749" s="11">
        <v>44579</v>
      </c>
      <c r="F1749" s="10">
        <v>5805.6</v>
      </c>
      <c r="G1749" s="12">
        <f>Tabla1[[#This Row],[Importe]]-Tabla1[[#This Row],[Pagado]]</f>
        <v>0</v>
      </c>
      <c r="H1749" s="9" t="s">
        <v>10</v>
      </c>
    </row>
    <row r="1750" spans="1:8" x14ac:dyDescent="0.25">
      <c r="A1750" s="7">
        <v>44579</v>
      </c>
      <c r="B1750" s="8" t="s">
        <v>2080</v>
      </c>
      <c r="C1750" s="9" t="s">
        <v>319</v>
      </c>
      <c r="D1750" s="10">
        <v>4170.2</v>
      </c>
      <c r="E1750" s="11">
        <v>44580</v>
      </c>
      <c r="F1750" s="10">
        <v>4170.2</v>
      </c>
      <c r="G1750" s="12">
        <f>Tabla1[[#This Row],[Importe]]-Tabla1[[#This Row],[Pagado]]</f>
        <v>0</v>
      </c>
      <c r="H1750" s="9" t="s">
        <v>10</v>
      </c>
    </row>
    <row r="1751" spans="1:8" x14ac:dyDescent="0.25">
      <c r="A1751" s="7">
        <v>44579</v>
      </c>
      <c r="B1751" s="8" t="s">
        <v>2081</v>
      </c>
      <c r="C1751" s="9" t="s">
        <v>27</v>
      </c>
      <c r="D1751" s="10">
        <v>4437.1000000000004</v>
      </c>
      <c r="E1751" s="11">
        <v>44579</v>
      </c>
      <c r="F1751" s="10">
        <v>4437.1000000000004</v>
      </c>
      <c r="G1751" s="12">
        <f>Tabla1[[#This Row],[Importe]]-Tabla1[[#This Row],[Pagado]]</f>
        <v>0</v>
      </c>
      <c r="H1751" s="9" t="s">
        <v>10</v>
      </c>
    </row>
    <row r="1752" spans="1:8" x14ac:dyDescent="0.25">
      <c r="A1752" s="7">
        <v>44579</v>
      </c>
      <c r="B1752" s="8" t="s">
        <v>2082</v>
      </c>
      <c r="C1752" s="9" t="s">
        <v>27</v>
      </c>
      <c r="D1752" s="10">
        <v>324</v>
      </c>
      <c r="E1752" s="11">
        <v>44579</v>
      </c>
      <c r="F1752" s="10">
        <v>324</v>
      </c>
      <c r="G1752" s="12">
        <f>Tabla1[[#This Row],[Importe]]-Tabla1[[#This Row],[Pagado]]</f>
        <v>0</v>
      </c>
      <c r="H1752" s="9" t="s">
        <v>10</v>
      </c>
    </row>
    <row r="1753" spans="1:8" x14ac:dyDescent="0.25">
      <c r="A1753" s="7">
        <v>44579</v>
      </c>
      <c r="B1753" s="8" t="s">
        <v>2083</v>
      </c>
      <c r="C1753" s="9" t="s">
        <v>33</v>
      </c>
      <c r="D1753" s="10">
        <v>851.2</v>
      </c>
      <c r="E1753" s="11">
        <v>44579</v>
      </c>
      <c r="F1753" s="10">
        <v>851.2</v>
      </c>
      <c r="G1753" s="12">
        <f>Tabla1[[#This Row],[Importe]]-Tabla1[[#This Row],[Pagado]]</f>
        <v>0</v>
      </c>
      <c r="H1753" s="9" t="s">
        <v>10</v>
      </c>
    </row>
    <row r="1754" spans="1:8" x14ac:dyDescent="0.25">
      <c r="A1754" s="7">
        <v>44579</v>
      </c>
      <c r="B1754" s="8" t="s">
        <v>2084</v>
      </c>
      <c r="C1754" s="9" t="s">
        <v>159</v>
      </c>
      <c r="D1754" s="10">
        <v>2973.7</v>
      </c>
      <c r="E1754" s="11">
        <v>44580</v>
      </c>
      <c r="F1754" s="10">
        <v>2973.7</v>
      </c>
      <c r="G1754" s="12">
        <f>Tabla1[[#This Row],[Importe]]-Tabla1[[#This Row],[Pagado]]</f>
        <v>0</v>
      </c>
      <c r="H1754" s="9" t="s">
        <v>10</v>
      </c>
    </row>
    <row r="1755" spans="1:8" x14ac:dyDescent="0.25">
      <c r="A1755" s="7">
        <v>44579</v>
      </c>
      <c r="B1755" s="8" t="s">
        <v>2085</v>
      </c>
      <c r="C1755" s="9" t="s">
        <v>1537</v>
      </c>
      <c r="D1755" s="10">
        <v>1176</v>
      </c>
      <c r="E1755" s="11">
        <v>44580</v>
      </c>
      <c r="F1755" s="10">
        <v>1176</v>
      </c>
      <c r="G1755" s="12">
        <f>Tabla1[[#This Row],[Importe]]-Tabla1[[#This Row],[Pagado]]</f>
        <v>0</v>
      </c>
      <c r="H1755" s="9" t="s">
        <v>10</v>
      </c>
    </row>
    <row r="1756" spans="1:8" x14ac:dyDescent="0.25">
      <c r="A1756" s="7">
        <v>44579</v>
      </c>
      <c r="B1756" s="8" t="s">
        <v>2086</v>
      </c>
      <c r="C1756" s="9" t="s">
        <v>518</v>
      </c>
      <c r="D1756" s="10">
        <v>888.1</v>
      </c>
      <c r="E1756" s="11">
        <v>44580</v>
      </c>
      <c r="F1756" s="10">
        <v>888.1</v>
      </c>
      <c r="G1756" s="12">
        <f>Tabla1[[#This Row],[Importe]]-Tabla1[[#This Row],[Pagado]]</f>
        <v>0</v>
      </c>
      <c r="H1756" s="9" t="s">
        <v>10</v>
      </c>
    </row>
    <row r="1757" spans="1:8" x14ac:dyDescent="0.25">
      <c r="A1757" s="7">
        <v>44579</v>
      </c>
      <c r="B1757" s="8" t="s">
        <v>2087</v>
      </c>
      <c r="C1757" s="9" t="s">
        <v>14</v>
      </c>
      <c r="D1757" s="10">
        <v>26466.3</v>
      </c>
      <c r="E1757" s="11">
        <v>44579</v>
      </c>
      <c r="F1757" s="10">
        <v>26466.3</v>
      </c>
      <c r="G1757" s="12">
        <f>Tabla1[[#This Row],[Importe]]-Tabla1[[#This Row],[Pagado]]</f>
        <v>0</v>
      </c>
      <c r="H1757" s="9" t="s">
        <v>10</v>
      </c>
    </row>
    <row r="1758" spans="1:8" x14ac:dyDescent="0.25">
      <c r="A1758" s="7">
        <v>44579</v>
      </c>
      <c r="B1758" s="8" t="s">
        <v>2088</v>
      </c>
      <c r="C1758" s="9" t="s">
        <v>151</v>
      </c>
      <c r="D1758" s="10">
        <v>8217</v>
      </c>
      <c r="E1758" s="11">
        <v>44580</v>
      </c>
      <c r="F1758" s="10">
        <v>8217</v>
      </c>
      <c r="G1758" s="12">
        <f>Tabla1[[#This Row],[Importe]]-Tabla1[[#This Row],[Pagado]]</f>
        <v>0</v>
      </c>
      <c r="H1758" s="9" t="s">
        <v>10</v>
      </c>
    </row>
    <row r="1759" spans="1:8" x14ac:dyDescent="0.25">
      <c r="A1759" s="7">
        <v>44579</v>
      </c>
      <c r="B1759" s="8" t="s">
        <v>2089</v>
      </c>
      <c r="C1759" s="9" t="s">
        <v>169</v>
      </c>
      <c r="D1759" s="10">
        <v>460.8</v>
      </c>
      <c r="E1759" s="11">
        <v>44579</v>
      </c>
      <c r="F1759" s="10">
        <v>460.8</v>
      </c>
      <c r="G1759" s="12">
        <f>Tabla1[[#This Row],[Importe]]-Tabla1[[#This Row],[Pagado]]</f>
        <v>0</v>
      </c>
      <c r="H1759" s="9" t="s">
        <v>10</v>
      </c>
    </row>
    <row r="1760" spans="1:8" x14ac:dyDescent="0.25">
      <c r="A1760" s="7">
        <v>44579</v>
      </c>
      <c r="B1760" s="8" t="s">
        <v>2090</v>
      </c>
      <c r="C1760" s="9" t="s">
        <v>107</v>
      </c>
      <c r="D1760" s="10">
        <v>12339</v>
      </c>
      <c r="E1760" s="11">
        <v>44579</v>
      </c>
      <c r="F1760" s="10">
        <v>12339</v>
      </c>
      <c r="G1760" s="12">
        <f>Tabla1[[#This Row],[Importe]]-Tabla1[[#This Row],[Pagado]]</f>
        <v>0</v>
      </c>
      <c r="H1760" s="9" t="s">
        <v>10</v>
      </c>
    </row>
    <row r="1761" spans="1:8" x14ac:dyDescent="0.25">
      <c r="A1761" s="7">
        <v>44579</v>
      </c>
      <c r="B1761" s="8" t="s">
        <v>2091</v>
      </c>
      <c r="C1761" s="9" t="s">
        <v>87</v>
      </c>
      <c r="D1761" s="10">
        <v>731.4</v>
      </c>
      <c r="E1761" s="11">
        <v>44579</v>
      </c>
      <c r="F1761" s="10">
        <v>731.4</v>
      </c>
      <c r="G1761" s="12">
        <f>Tabla1[[#This Row],[Importe]]-Tabla1[[#This Row],[Pagado]]</f>
        <v>0</v>
      </c>
      <c r="H1761" s="9" t="s">
        <v>10</v>
      </c>
    </row>
    <row r="1762" spans="1:8" x14ac:dyDescent="0.25">
      <c r="A1762" s="7">
        <v>44579</v>
      </c>
      <c r="B1762" s="8" t="s">
        <v>2092</v>
      </c>
      <c r="C1762" s="9" t="s">
        <v>140</v>
      </c>
      <c r="D1762" s="10">
        <v>1032.2</v>
      </c>
      <c r="E1762" s="11">
        <v>44579</v>
      </c>
      <c r="F1762" s="10">
        <v>1032.2</v>
      </c>
      <c r="G1762" s="12">
        <f>Tabla1[[#This Row],[Importe]]-Tabla1[[#This Row],[Pagado]]</f>
        <v>0</v>
      </c>
      <c r="H1762" s="9" t="s">
        <v>10</v>
      </c>
    </row>
    <row r="1763" spans="1:8" x14ac:dyDescent="0.25">
      <c r="A1763" s="7">
        <v>44579</v>
      </c>
      <c r="B1763" s="8" t="s">
        <v>2093</v>
      </c>
      <c r="C1763" s="9" t="s">
        <v>129</v>
      </c>
      <c r="D1763" s="10">
        <v>5576.8</v>
      </c>
      <c r="E1763" s="11">
        <v>44579</v>
      </c>
      <c r="F1763" s="10">
        <v>5576.8</v>
      </c>
      <c r="G1763" s="12">
        <f>Tabla1[[#This Row],[Importe]]-Tabla1[[#This Row],[Pagado]]</f>
        <v>0</v>
      </c>
      <c r="H1763" s="9" t="s">
        <v>10</v>
      </c>
    </row>
    <row r="1764" spans="1:8" x14ac:dyDescent="0.25">
      <c r="A1764" s="7">
        <v>44579</v>
      </c>
      <c r="B1764" s="8" t="s">
        <v>2094</v>
      </c>
      <c r="C1764" s="9" t="s">
        <v>157</v>
      </c>
      <c r="D1764" s="10">
        <v>2508.1999999999998</v>
      </c>
      <c r="E1764" s="11">
        <v>44580</v>
      </c>
      <c r="F1764" s="10">
        <v>2508.1999999999998</v>
      </c>
      <c r="G1764" s="12">
        <f>Tabla1[[#This Row],[Importe]]-Tabla1[[#This Row],[Pagado]]</f>
        <v>0</v>
      </c>
      <c r="H1764" s="9" t="s">
        <v>10</v>
      </c>
    </row>
    <row r="1765" spans="1:8" x14ac:dyDescent="0.25">
      <c r="A1765" s="7">
        <v>44579</v>
      </c>
      <c r="B1765" s="8" t="s">
        <v>2095</v>
      </c>
      <c r="C1765" s="9" t="s">
        <v>125</v>
      </c>
      <c r="D1765" s="10">
        <v>2514.27</v>
      </c>
      <c r="E1765" s="11">
        <v>44579</v>
      </c>
      <c r="F1765" s="10">
        <v>2514.27</v>
      </c>
      <c r="G1765" s="12">
        <f>Tabla1[[#This Row],[Importe]]-Tabla1[[#This Row],[Pagado]]</f>
        <v>0</v>
      </c>
      <c r="H1765" s="9" t="s">
        <v>10</v>
      </c>
    </row>
    <row r="1766" spans="1:8" x14ac:dyDescent="0.25">
      <c r="A1766" s="7">
        <v>44579</v>
      </c>
      <c r="B1766" s="8" t="s">
        <v>2096</v>
      </c>
      <c r="C1766" s="9" t="s">
        <v>291</v>
      </c>
      <c r="D1766" s="10">
        <v>3990</v>
      </c>
      <c r="E1766" s="11">
        <v>44579</v>
      </c>
      <c r="F1766" s="10">
        <v>3990</v>
      </c>
      <c r="G1766" s="12">
        <f>Tabla1[[#This Row],[Importe]]-Tabla1[[#This Row],[Pagado]]</f>
        <v>0</v>
      </c>
      <c r="H1766" s="9" t="s">
        <v>10</v>
      </c>
    </row>
    <row r="1767" spans="1:8" x14ac:dyDescent="0.25">
      <c r="A1767" s="7">
        <v>44579</v>
      </c>
      <c r="B1767" s="8" t="s">
        <v>2097</v>
      </c>
      <c r="C1767" s="9" t="s">
        <v>373</v>
      </c>
      <c r="D1767" s="10">
        <v>3219.2</v>
      </c>
      <c r="E1767" s="11">
        <v>44579</v>
      </c>
      <c r="F1767" s="10">
        <v>3219.2</v>
      </c>
      <c r="G1767" s="12">
        <f>Tabla1[[#This Row],[Importe]]-Tabla1[[#This Row],[Pagado]]</f>
        <v>0</v>
      </c>
      <c r="H1767" s="9" t="s">
        <v>10</v>
      </c>
    </row>
    <row r="1768" spans="1:8" x14ac:dyDescent="0.25">
      <c r="A1768" s="7">
        <v>44579</v>
      </c>
      <c r="B1768" s="8" t="s">
        <v>2098</v>
      </c>
      <c r="C1768" s="9" t="s">
        <v>146</v>
      </c>
      <c r="D1768" s="10">
        <v>1612.1</v>
      </c>
      <c r="E1768" s="11">
        <v>44579</v>
      </c>
      <c r="F1768" s="10">
        <v>1612.1</v>
      </c>
      <c r="G1768" s="12">
        <f>Tabla1[[#This Row],[Importe]]-Tabla1[[#This Row],[Pagado]]</f>
        <v>0</v>
      </c>
      <c r="H1768" s="9" t="s">
        <v>10</v>
      </c>
    </row>
    <row r="1769" spans="1:8" x14ac:dyDescent="0.25">
      <c r="A1769" s="7">
        <v>44579</v>
      </c>
      <c r="B1769" s="8" t="s">
        <v>2099</v>
      </c>
      <c r="C1769" s="9" t="s">
        <v>45</v>
      </c>
      <c r="D1769" s="10">
        <v>7937.7</v>
      </c>
      <c r="E1769" s="11">
        <v>44579</v>
      </c>
      <c r="F1769" s="10">
        <v>7937.7</v>
      </c>
      <c r="G1769" s="12">
        <f>Tabla1[[#This Row],[Importe]]-Tabla1[[#This Row],[Pagado]]</f>
        <v>0</v>
      </c>
      <c r="H1769" s="9" t="s">
        <v>10</v>
      </c>
    </row>
    <row r="1770" spans="1:8" x14ac:dyDescent="0.25">
      <c r="A1770" s="7">
        <v>44579</v>
      </c>
      <c r="B1770" s="8" t="s">
        <v>2100</v>
      </c>
      <c r="C1770" s="9" t="s">
        <v>275</v>
      </c>
      <c r="D1770" s="10">
        <v>15433.54</v>
      </c>
      <c r="E1770" s="11">
        <v>44583</v>
      </c>
      <c r="F1770" s="10">
        <v>15433.54</v>
      </c>
      <c r="G1770" s="12">
        <f>Tabla1[[#This Row],[Importe]]-Tabla1[[#This Row],[Pagado]]</f>
        <v>0</v>
      </c>
      <c r="H1770" s="9" t="s">
        <v>10</v>
      </c>
    </row>
    <row r="1771" spans="1:8" x14ac:dyDescent="0.25">
      <c r="A1771" s="7">
        <v>44579</v>
      </c>
      <c r="B1771" s="8" t="s">
        <v>2101</v>
      </c>
      <c r="C1771" s="9" t="s">
        <v>357</v>
      </c>
      <c r="D1771" s="10">
        <v>4336.3999999999996</v>
      </c>
      <c r="E1771" s="11">
        <v>44579</v>
      </c>
      <c r="F1771" s="10">
        <v>4336.3999999999996</v>
      </c>
      <c r="G1771" s="12">
        <f>Tabla1[[#This Row],[Importe]]-Tabla1[[#This Row],[Pagado]]</f>
        <v>0</v>
      </c>
      <c r="H1771" s="9" t="s">
        <v>10</v>
      </c>
    </row>
    <row r="1772" spans="1:8" x14ac:dyDescent="0.25">
      <c r="A1772" s="7">
        <v>44579</v>
      </c>
      <c r="B1772" s="8" t="s">
        <v>2102</v>
      </c>
      <c r="C1772" s="9" t="s">
        <v>339</v>
      </c>
      <c r="D1772" s="10">
        <v>3526.4</v>
      </c>
      <c r="E1772" s="11">
        <v>44579</v>
      </c>
      <c r="F1772" s="10">
        <v>3526.4</v>
      </c>
      <c r="G1772" s="12">
        <f>Tabla1[[#This Row],[Importe]]-Tabla1[[#This Row],[Pagado]]</f>
        <v>0</v>
      </c>
      <c r="H1772" s="9" t="s">
        <v>10</v>
      </c>
    </row>
    <row r="1773" spans="1:8" x14ac:dyDescent="0.25">
      <c r="A1773" s="7">
        <v>44579</v>
      </c>
      <c r="B1773" s="8" t="s">
        <v>2103</v>
      </c>
      <c r="C1773" s="9" t="s">
        <v>127</v>
      </c>
      <c r="D1773" s="10">
        <v>3897.6</v>
      </c>
      <c r="E1773" s="11">
        <v>44579</v>
      </c>
      <c r="F1773" s="10">
        <v>3897.6</v>
      </c>
      <c r="G1773" s="12">
        <f>Tabla1[[#This Row],[Importe]]-Tabla1[[#This Row],[Pagado]]</f>
        <v>0</v>
      </c>
      <c r="H1773" s="9" t="s">
        <v>10</v>
      </c>
    </row>
    <row r="1774" spans="1:8" x14ac:dyDescent="0.25">
      <c r="A1774" s="7">
        <v>44579</v>
      </c>
      <c r="B1774" s="8" t="s">
        <v>2104</v>
      </c>
      <c r="C1774" s="9" t="s">
        <v>2105</v>
      </c>
      <c r="D1774" s="10">
        <v>0</v>
      </c>
      <c r="E1774" s="13" t="s">
        <v>189</v>
      </c>
      <c r="F1774" s="10">
        <v>0</v>
      </c>
      <c r="G1774" s="12">
        <f>Tabla1[[#This Row],[Importe]]-Tabla1[[#This Row],[Pagado]]</f>
        <v>0</v>
      </c>
      <c r="H1774" s="9" t="s">
        <v>189</v>
      </c>
    </row>
    <row r="1775" spans="1:8" x14ac:dyDescent="0.25">
      <c r="A1775" s="7">
        <v>44579</v>
      </c>
      <c r="B1775" s="8" t="s">
        <v>2106</v>
      </c>
      <c r="C1775" s="9" t="s">
        <v>49</v>
      </c>
      <c r="D1775" s="10">
        <v>2713.2</v>
      </c>
      <c r="E1775" s="11">
        <v>44579</v>
      </c>
      <c r="F1775" s="10">
        <v>2713.2</v>
      </c>
      <c r="G1775" s="12">
        <f>Tabla1[[#This Row],[Importe]]-Tabla1[[#This Row],[Pagado]]</f>
        <v>0</v>
      </c>
      <c r="H1775" s="9" t="s">
        <v>10</v>
      </c>
    </row>
    <row r="1776" spans="1:8" x14ac:dyDescent="0.25">
      <c r="A1776" s="7">
        <v>44579</v>
      </c>
      <c r="B1776" s="8" t="s">
        <v>2107</v>
      </c>
      <c r="C1776" s="9" t="s">
        <v>107</v>
      </c>
      <c r="D1776" s="10">
        <v>962.8</v>
      </c>
      <c r="E1776" s="11">
        <v>44579</v>
      </c>
      <c r="F1776" s="10">
        <v>962.8</v>
      </c>
      <c r="G1776" s="12">
        <f>Tabla1[[#This Row],[Importe]]-Tabla1[[#This Row],[Pagado]]</f>
        <v>0</v>
      </c>
      <c r="H1776" s="9" t="s">
        <v>10</v>
      </c>
    </row>
    <row r="1777" spans="1:8" x14ac:dyDescent="0.25">
      <c r="A1777" s="7">
        <v>44579</v>
      </c>
      <c r="B1777" s="8" t="s">
        <v>2108</v>
      </c>
      <c r="C1777" s="9" t="s">
        <v>24</v>
      </c>
      <c r="D1777" s="10">
        <v>4438.8</v>
      </c>
      <c r="E1777" s="11">
        <v>44579</v>
      </c>
      <c r="F1777" s="10">
        <v>4438.8</v>
      </c>
      <c r="G1777" s="12">
        <f>Tabla1[[#This Row],[Importe]]-Tabla1[[#This Row],[Pagado]]</f>
        <v>0</v>
      </c>
      <c r="H1777" s="9" t="s">
        <v>10</v>
      </c>
    </row>
    <row r="1778" spans="1:8" x14ac:dyDescent="0.25">
      <c r="A1778" s="7">
        <v>44579</v>
      </c>
      <c r="B1778" s="8" t="s">
        <v>2109</v>
      </c>
      <c r="C1778" s="9" t="s">
        <v>1907</v>
      </c>
      <c r="D1778" s="10">
        <v>1607.2</v>
      </c>
      <c r="E1778" s="11">
        <v>44579</v>
      </c>
      <c r="F1778" s="10">
        <v>1607.2</v>
      </c>
      <c r="G1778" s="12">
        <f>Tabla1[[#This Row],[Importe]]-Tabla1[[#This Row],[Pagado]]</f>
        <v>0</v>
      </c>
      <c r="H1778" s="9" t="s">
        <v>10</v>
      </c>
    </row>
    <row r="1779" spans="1:8" x14ac:dyDescent="0.25">
      <c r="A1779" s="7">
        <v>44579</v>
      </c>
      <c r="B1779" s="8" t="s">
        <v>2110</v>
      </c>
      <c r="C1779" s="9" t="s">
        <v>202</v>
      </c>
      <c r="D1779" s="10">
        <v>3204.5</v>
      </c>
      <c r="E1779" s="11">
        <v>44579</v>
      </c>
      <c r="F1779" s="10">
        <v>3204.5</v>
      </c>
      <c r="G1779" s="12">
        <f>Tabla1[[#This Row],[Importe]]-Tabla1[[#This Row],[Pagado]]</f>
        <v>0</v>
      </c>
      <c r="H1779" s="9" t="s">
        <v>10</v>
      </c>
    </row>
    <row r="1780" spans="1:8" x14ac:dyDescent="0.25">
      <c r="A1780" s="7">
        <v>44579</v>
      </c>
      <c r="B1780" s="8" t="s">
        <v>2111</v>
      </c>
      <c r="C1780" s="9" t="s">
        <v>56</v>
      </c>
      <c r="D1780" s="10">
        <v>7244.8</v>
      </c>
      <c r="E1780" s="11">
        <v>44579</v>
      </c>
      <c r="F1780" s="10">
        <v>7244.8</v>
      </c>
      <c r="G1780" s="12">
        <f>Tabla1[[#This Row],[Importe]]-Tabla1[[#This Row],[Pagado]]</f>
        <v>0</v>
      </c>
      <c r="H1780" s="9" t="s">
        <v>10</v>
      </c>
    </row>
    <row r="1781" spans="1:8" x14ac:dyDescent="0.25">
      <c r="A1781" s="7">
        <v>44579</v>
      </c>
      <c r="B1781" s="8" t="s">
        <v>2112</v>
      </c>
      <c r="C1781" s="9" t="s">
        <v>562</v>
      </c>
      <c r="D1781" s="10">
        <v>3152.6</v>
      </c>
      <c r="E1781" s="11">
        <v>44579</v>
      </c>
      <c r="F1781" s="10">
        <v>3152.6</v>
      </c>
      <c r="G1781" s="12">
        <f>Tabla1[[#This Row],[Importe]]-Tabla1[[#This Row],[Pagado]]</f>
        <v>0</v>
      </c>
      <c r="H1781" s="9" t="s">
        <v>10</v>
      </c>
    </row>
    <row r="1782" spans="1:8" x14ac:dyDescent="0.25">
      <c r="A1782" s="7">
        <v>44579</v>
      </c>
      <c r="B1782" s="8" t="s">
        <v>2113</v>
      </c>
      <c r="C1782" s="9" t="s">
        <v>2114</v>
      </c>
      <c r="D1782" s="10">
        <v>759.6</v>
      </c>
      <c r="E1782" s="11">
        <v>44579</v>
      </c>
      <c r="F1782" s="10">
        <v>759.6</v>
      </c>
      <c r="G1782" s="12">
        <f>Tabla1[[#This Row],[Importe]]-Tabla1[[#This Row],[Pagado]]</f>
        <v>0</v>
      </c>
      <c r="H1782" s="9" t="s">
        <v>10</v>
      </c>
    </row>
    <row r="1783" spans="1:8" x14ac:dyDescent="0.25">
      <c r="A1783" s="7">
        <v>44579</v>
      </c>
      <c r="B1783" s="8" t="s">
        <v>2115</v>
      </c>
      <c r="C1783" s="9" t="s">
        <v>230</v>
      </c>
      <c r="D1783" s="10">
        <v>1921.7</v>
      </c>
      <c r="E1783" s="11">
        <v>44579</v>
      </c>
      <c r="F1783" s="10">
        <v>1921.7</v>
      </c>
      <c r="G1783" s="12">
        <f>Tabla1[[#This Row],[Importe]]-Tabla1[[#This Row],[Pagado]]</f>
        <v>0</v>
      </c>
      <c r="H1783" s="9" t="s">
        <v>10</v>
      </c>
    </row>
    <row r="1784" spans="1:8" x14ac:dyDescent="0.25">
      <c r="A1784" s="7">
        <v>44579</v>
      </c>
      <c r="B1784" s="8" t="s">
        <v>2116</v>
      </c>
      <c r="C1784" s="9" t="s">
        <v>83</v>
      </c>
      <c r="D1784" s="10">
        <v>6974.8</v>
      </c>
      <c r="E1784" s="11">
        <v>44579</v>
      </c>
      <c r="F1784" s="10">
        <v>6974.8</v>
      </c>
      <c r="G1784" s="12">
        <f>Tabla1[[#This Row],[Importe]]-Tabla1[[#This Row],[Pagado]]</f>
        <v>0</v>
      </c>
      <c r="H1784" s="9" t="s">
        <v>10</v>
      </c>
    </row>
    <row r="1785" spans="1:8" x14ac:dyDescent="0.25">
      <c r="A1785" s="7">
        <v>44579</v>
      </c>
      <c r="B1785" s="8" t="s">
        <v>2117</v>
      </c>
      <c r="C1785" s="9" t="s">
        <v>179</v>
      </c>
      <c r="D1785" s="10">
        <v>478.4</v>
      </c>
      <c r="E1785" s="11">
        <v>44579</v>
      </c>
      <c r="F1785" s="10">
        <v>478.4</v>
      </c>
      <c r="G1785" s="12">
        <f>Tabla1[[#This Row],[Importe]]-Tabla1[[#This Row],[Pagado]]</f>
        <v>0</v>
      </c>
      <c r="H1785" s="9" t="s">
        <v>10</v>
      </c>
    </row>
    <row r="1786" spans="1:8" x14ac:dyDescent="0.25">
      <c r="A1786" s="7">
        <v>44579</v>
      </c>
      <c r="B1786" s="8" t="s">
        <v>2118</v>
      </c>
      <c r="C1786" s="9" t="s">
        <v>135</v>
      </c>
      <c r="D1786" s="10">
        <v>1799.2</v>
      </c>
      <c r="E1786" s="11">
        <v>44579</v>
      </c>
      <c r="F1786" s="10">
        <v>1799.2</v>
      </c>
      <c r="G1786" s="12">
        <f>Tabla1[[#This Row],[Importe]]-Tabla1[[#This Row],[Pagado]]</f>
        <v>0</v>
      </c>
      <c r="H1786" s="9" t="s">
        <v>10</v>
      </c>
    </row>
    <row r="1787" spans="1:8" x14ac:dyDescent="0.25">
      <c r="A1787" s="7">
        <v>44579</v>
      </c>
      <c r="B1787" s="8" t="s">
        <v>2119</v>
      </c>
      <c r="C1787" s="9" t="s">
        <v>402</v>
      </c>
      <c r="D1787" s="10">
        <v>8191.7</v>
      </c>
      <c r="E1787" s="11">
        <v>44587</v>
      </c>
      <c r="F1787" s="10">
        <v>8191.7</v>
      </c>
      <c r="G1787" s="12">
        <f>Tabla1[[#This Row],[Importe]]-Tabla1[[#This Row],[Pagado]]</f>
        <v>0</v>
      </c>
      <c r="H1787" s="9" t="s">
        <v>10</v>
      </c>
    </row>
    <row r="1788" spans="1:8" x14ac:dyDescent="0.25">
      <c r="A1788" s="7">
        <v>44579</v>
      </c>
      <c r="B1788" s="8" t="s">
        <v>2120</v>
      </c>
      <c r="C1788" s="9" t="s">
        <v>400</v>
      </c>
      <c r="D1788" s="10">
        <v>4963.3999999999996</v>
      </c>
      <c r="E1788" s="11">
        <v>44587</v>
      </c>
      <c r="F1788" s="10">
        <v>4963.3999999999996</v>
      </c>
      <c r="G1788" s="12">
        <f>Tabla1[[#This Row],[Importe]]-Tabla1[[#This Row],[Pagado]]</f>
        <v>0</v>
      </c>
      <c r="H1788" s="9" t="s">
        <v>10</v>
      </c>
    </row>
    <row r="1789" spans="1:8" x14ac:dyDescent="0.25">
      <c r="A1789" s="7">
        <v>44579</v>
      </c>
      <c r="B1789" s="8" t="s">
        <v>2121</v>
      </c>
      <c r="C1789" s="9" t="s">
        <v>191</v>
      </c>
      <c r="D1789" s="10">
        <v>1603.8</v>
      </c>
      <c r="E1789" s="11">
        <v>44579</v>
      </c>
      <c r="F1789" s="10">
        <v>1603.8</v>
      </c>
      <c r="G1789" s="12">
        <f>Tabla1[[#This Row],[Importe]]-Tabla1[[#This Row],[Pagado]]</f>
        <v>0</v>
      </c>
      <c r="H1789" s="9" t="s">
        <v>10</v>
      </c>
    </row>
    <row r="1790" spans="1:8" x14ac:dyDescent="0.25">
      <c r="A1790" s="7">
        <v>44579</v>
      </c>
      <c r="B1790" s="8" t="s">
        <v>2122</v>
      </c>
      <c r="C1790" s="9" t="s">
        <v>47</v>
      </c>
      <c r="D1790" s="10">
        <v>45314.7</v>
      </c>
      <c r="E1790" s="11">
        <v>44579</v>
      </c>
      <c r="F1790" s="10">
        <v>45314.7</v>
      </c>
      <c r="G1790" s="12">
        <f>Tabla1[[#This Row],[Importe]]-Tabla1[[#This Row],[Pagado]]</f>
        <v>0</v>
      </c>
      <c r="H1790" s="9" t="s">
        <v>10</v>
      </c>
    </row>
    <row r="1791" spans="1:8" x14ac:dyDescent="0.25">
      <c r="A1791" s="7">
        <v>44579</v>
      </c>
      <c r="B1791" s="8" t="s">
        <v>2123</v>
      </c>
      <c r="C1791" s="9" t="s">
        <v>31</v>
      </c>
      <c r="D1791" s="10">
        <v>1066.9000000000001</v>
      </c>
      <c r="E1791" s="11">
        <v>44579</v>
      </c>
      <c r="F1791" s="10">
        <v>1066.9000000000001</v>
      </c>
      <c r="G1791" s="12">
        <f>Tabla1[[#This Row],[Importe]]-Tabla1[[#This Row],[Pagado]]</f>
        <v>0</v>
      </c>
      <c r="H1791" s="9" t="s">
        <v>10</v>
      </c>
    </row>
    <row r="1792" spans="1:8" x14ac:dyDescent="0.25">
      <c r="A1792" s="7">
        <v>44579</v>
      </c>
      <c r="B1792" s="8" t="s">
        <v>2124</v>
      </c>
      <c r="C1792" s="9" t="s">
        <v>131</v>
      </c>
      <c r="D1792" s="10">
        <v>7263.4</v>
      </c>
      <c r="E1792" s="11">
        <v>44579</v>
      </c>
      <c r="F1792" s="10">
        <v>7263.4</v>
      </c>
      <c r="G1792" s="12">
        <f>Tabla1[[#This Row],[Importe]]-Tabla1[[#This Row],[Pagado]]</f>
        <v>0</v>
      </c>
      <c r="H1792" s="9" t="s">
        <v>10</v>
      </c>
    </row>
    <row r="1793" spans="1:8" x14ac:dyDescent="0.25">
      <c r="A1793" s="7">
        <v>44579</v>
      </c>
      <c r="B1793" s="8" t="s">
        <v>2125</v>
      </c>
      <c r="C1793" s="9" t="s">
        <v>263</v>
      </c>
      <c r="D1793" s="10">
        <v>115264</v>
      </c>
      <c r="E1793" s="11">
        <v>44581</v>
      </c>
      <c r="F1793" s="10">
        <v>115264</v>
      </c>
      <c r="G1793" s="12">
        <f>Tabla1[[#This Row],[Importe]]-Tabla1[[#This Row],[Pagado]]</f>
        <v>0</v>
      </c>
      <c r="H1793" s="9" t="s">
        <v>10</v>
      </c>
    </row>
    <row r="1794" spans="1:8" x14ac:dyDescent="0.25">
      <c r="A1794" s="7">
        <v>44579</v>
      </c>
      <c r="B1794" s="8" t="s">
        <v>2126</v>
      </c>
      <c r="C1794" s="9" t="s">
        <v>419</v>
      </c>
      <c r="D1794" s="10">
        <v>7330</v>
      </c>
      <c r="E1794" s="11">
        <v>44579</v>
      </c>
      <c r="F1794" s="10">
        <v>7330</v>
      </c>
      <c r="G1794" s="12">
        <f>Tabla1[[#This Row],[Importe]]-Tabla1[[#This Row],[Pagado]]</f>
        <v>0</v>
      </c>
      <c r="H1794" s="9" t="s">
        <v>10</v>
      </c>
    </row>
    <row r="1795" spans="1:8" x14ac:dyDescent="0.25">
      <c r="A1795" s="7">
        <v>44579</v>
      </c>
      <c r="B1795" s="8" t="s">
        <v>2127</v>
      </c>
      <c r="C1795" s="9" t="s">
        <v>698</v>
      </c>
      <c r="D1795" s="10">
        <v>4958.5</v>
      </c>
      <c r="E1795" s="11">
        <v>44579</v>
      </c>
      <c r="F1795" s="10">
        <v>4958.5</v>
      </c>
      <c r="G1795" s="12">
        <f>Tabla1[[#This Row],[Importe]]-Tabla1[[#This Row],[Pagado]]</f>
        <v>0</v>
      </c>
      <c r="H1795" s="9" t="s">
        <v>10</v>
      </c>
    </row>
    <row r="1796" spans="1:8" x14ac:dyDescent="0.25">
      <c r="A1796" s="7">
        <v>44579</v>
      </c>
      <c r="B1796" s="8" t="s">
        <v>2128</v>
      </c>
      <c r="C1796" s="9" t="s">
        <v>233</v>
      </c>
      <c r="D1796" s="10">
        <v>4917.3999999999996</v>
      </c>
      <c r="E1796" s="11">
        <v>44579</v>
      </c>
      <c r="F1796" s="10">
        <v>4917.3999999999996</v>
      </c>
      <c r="G1796" s="12">
        <f>Tabla1[[#This Row],[Importe]]-Tabla1[[#This Row],[Pagado]]</f>
        <v>0</v>
      </c>
      <c r="H1796" s="9" t="s">
        <v>10</v>
      </c>
    </row>
    <row r="1797" spans="1:8" x14ac:dyDescent="0.25">
      <c r="A1797" s="7">
        <v>44579</v>
      </c>
      <c r="B1797" s="8" t="s">
        <v>2129</v>
      </c>
      <c r="C1797" s="9" t="s">
        <v>466</v>
      </c>
      <c r="D1797" s="10">
        <v>13622.4</v>
      </c>
      <c r="E1797" s="11">
        <v>44579</v>
      </c>
      <c r="F1797" s="10">
        <v>13622.4</v>
      </c>
      <c r="G1797" s="12">
        <f>Tabla1[[#This Row],[Importe]]-Tabla1[[#This Row],[Pagado]]</f>
        <v>0</v>
      </c>
      <c r="H1797" s="9" t="s">
        <v>10</v>
      </c>
    </row>
    <row r="1798" spans="1:8" x14ac:dyDescent="0.25">
      <c r="A1798" s="7">
        <v>44579</v>
      </c>
      <c r="B1798" s="8" t="s">
        <v>2130</v>
      </c>
      <c r="C1798" s="9" t="s">
        <v>681</v>
      </c>
      <c r="D1798" s="10">
        <v>3.04</v>
      </c>
      <c r="E1798" s="11">
        <v>44583</v>
      </c>
      <c r="F1798" s="10">
        <v>3.04</v>
      </c>
      <c r="G1798" s="12">
        <f>Tabla1[[#This Row],[Importe]]-Tabla1[[#This Row],[Pagado]]</f>
        <v>0</v>
      </c>
      <c r="H1798" s="9" t="s">
        <v>10</v>
      </c>
    </row>
    <row r="1799" spans="1:8" x14ac:dyDescent="0.25">
      <c r="A1799" s="7">
        <v>44579</v>
      </c>
      <c r="B1799" s="8" t="s">
        <v>2131</v>
      </c>
      <c r="C1799" s="9" t="s">
        <v>670</v>
      </c>
      <c r="D1799" s="10">
        <v>1982.5</v>
      </c>
      <c r="E1799" s="11">
        <v>44579</v>
      </c>
      <c r="F1799" s="10">
        <v>1982.5</v>
      </c>
      <c r="G1799" s="12">
        <f>Tabla1[[#This Row],[Importe]]-Tabla1[[#This Row],[Pagado]]</f>
        <v>0</v>
      </c>
      <c r="H1799" s="9" t="s">
        <v>10</v>
      </c>
    </row>
    <row r="1800" spans="1:8" x14ac:dyDescent="0.25">
      <c r="A1800" s="7">
        <v>44579</v>
      </c>
      <c r="B1800" s="8" t="s">
        <v>2132</v>
      </c>
      <c r="C1800" s="9" t="s">
        <v>31</v>
      </c>
      <c r="D1800" s="10">
        <v>690.2</v>
      </c>
      <c r="E1800" s="11">
        <v>44579</v>
      </c>
      <c r="F1800" s="10">
        <v>690.2</v>
      </c>
      <c r="G1800" s="12">
        <f>Tabla1[[#This Row],[Importe]]-Tabla1[[#This Row],[Pagado]]</f>
        <v>0</v>
      </c>
      <c r="H1800" s="9" t="s">
        <v>10</v>
      </c>
    </row>
    <row r="1801" spans="1:8" x14ac:dyDescent="0.25">
      <c r="A1801" s="7">
        <v>44579</v>
      </c>
      <c r="B1801" s="8" t="s">
        <v>2133</v>
      </c>
      <c r="C1801" s="9" t="s">
        <v>67</v>
      </c>
      <c r="D1801" s="10">
        <v>1343.7</v>
      </c>
      <c r="E1801" s="11">
        <v>44579</v>
      </c>
      <c r="F1801" s="10">
        <v>1343.7</v>
      </c>
      <c r="G1801" s="12">
        <f>Tabla1[[#This Row],[Importe]]-Tabla1[[#This Row],[Pagado]]</f>
        <v>0</v>
      </c>
      <c r="H1801" s="9" t="s">
        <v>10</v>
      </c>
    </row>
    <row r="1802" spans="1:8" x14ac:dyDescent="0.25">
      <c r="A1802" s="7">
        <v>44579</v>
      </c>
      <c r="B1802" s="8" t="s">
        <v>2134</v>
      </c>
      <c r="C1802" s="9" t="s">
        <v>273</v>
      </c>
      <c r="D1802" s="10">
        <v>1578.76</v>
      </c>
      <c r="E1802" s="11">
        <v>44579</v>
      </c>
      <c r="F1802" s="10">
        <v>1578.76</v>
      </c>
      <c r="G1802" s="12">
        <f>Tabla1[[#This Row],[Importe]]-Tabla1[[#This Row],[Pagado]]</f>
        <v>0</v>
      </c>
      <c r="H1802" s="9" t="s">
        <v>10</v>
      </c>
    </row>
    <row r="1803" spans="1:8" x14ac:dyDescent="0.25">
      <c r="A1803" s="7">
        <v>44579</v>
      </c>
      <c r="B1803" s="8" t="s">
        <v>2135</v>
      </c>
      <c r="C1803" s="9" t="s">
        <v>22</v>
      </c>
      <c r="D1803" s="10">
        <v>4498.2</v>
      </c>
      <c r="E1803" s="11">
        <v>44580</v>
      </c>
      <c r="F1803" s="10">
        <v>4498.2</v>
      </c>
      <c r="G1803" s="12">
        <f>Tabla1[[#This Row],[Importe]]-Tabla1[[#This Row],[Pagado]]</f>
        <v>0</v>
      </c>
      <c r="H1803" s="9" t="s">
        <v>10</v>
      </c>
    </row>
    <row r="1804" spans="1:8" x14ac:dyDescent="0.25">
      <c r="A1804" s="7">
        <v>44579</v>
      </c>
      <c r="B1804" s="8" t="s">
        <v>2136</v>
      </c>
      <c r="C1804" s="9" t="s">
        <v>196</v>
      </c>
      <c r="D1804" s="10">
        <v>1462</v>
      </c>
      <c r="E1804" s="11">
        <v>44579</v>
      </c>
      <c r="F1804" s="10">
        <v>1462</v>
      </c>
      <c r="G1804" s="12">
        <f>Tabla1[[#This Row],[Importe]]-Tabla1[[#This Row],[Pagado]]</f>
        <v>0</v>
      </c>
      <c r="H1804" s="9" t="s">
        <v>10</v>
      </c>
    </row>
    <row r="1805" spans="1:8" x14ac:dyDescent="0.25">
      <c r="A1805" s="7">
        <v>44579</v>
      </c>
      <c r="B1805" s="8" t="s">
        <v>2137</v>
      </c>
      <c r="C1805" s="9" t="s">
        <v>71</v>
      </c>
      <c r="D1805" s="10">
        <v>1288.5999999999999</v>
      </c>
      <c r="E1805" s="11">
        <v>44579</v>
      </c>
      <c r="F1805" s="10">
        <v>1288.5999999999999</v>
      </c>
      <c r="G1805" s="12">
        <f>Tabla1[[#This Row],[Importe]]-Tabla1[[#This Row],[Pagado]]</f>
        <v>0</v>
      </c>
      <c r="H1805" s="9" t="s">
        <v>10</v>
      </c>
    </row>
    <row r="1806" spans="1:8" x14ac:dyDescent="0.25">
      <c r="A1806" s="7">
        <v>44579</v>
      </c>
      <c r="B1806" s="8" t="s">
        <v>2138</v>
      </c>
      <c r="C1806" s="9" t="s">
        <v>2139</v>
      </c>
      <c r="D1806" s="10">
        <v>4365.8999999999996</v>
      </c>
      <c r="E1806" s="11">
        <v>44579</v>
      </c>
      <c r="F1806" s="10">
        <v>4365.8999999999996</v>
      </c>
      <c r="G1806" s="12">
        <f>Tabla1[[#This Row],[Importe]]-Tabla1[[#This Row],[Pagado]]</f>
        <v>0</v>
      </c>
      <c r="H1806" s="9" t="s">
        <v>10</v>
      </c>
    </row>
    <row r="1807" spans="1:8" x14ac:dyDescent="0.25">
      <c r="A1807" s="7">
        <v>44579</v>
      </c>
      <c r="B1807" s="8" t="s">
        <v>2140</v>
      </c>
      <c r="C1807" s="9" t="s">
        <v>196</v>
      </c>
      <c r="D1807" s="10">
        <v>6217.6</v>
      </c>
      <c r="E1807" s="11">
        <v>44582</v>
      </c>
      <c r="F1807" s="10">
        <v>6217.6</v>
      </c>
      <c r="G1807" s="12">
        <f>Tabla1[[#This Row],[Importe]]-Tabla1[[#This Row],[Pagado]]</f>
        <v>0</v>
      </c>
      <c r="H1807" s="9" t="s">
        <v>10</v>
      </c>
    </row>
    <row r="1808" spans="1:8" x14ac:dyDescent="0.25">
      <c r="A1808" s="7">
        <v>44579</v>
      </c>
      <c r="B1808" s="8" t="s">
        <v>2141</v>
      </c>
      <c r="C1808" s="9" t="s">
        <v>435</v>
      </c>
      <c r="D1808" s="10">
        <v>1371.6</v>
      </c>
      <c r="E1808" s="11">
        <v>44579</v>
      </c>
      <c r="F1808" s="10">
        <v>1371.6</v>
      </c>
      <c r="G1808" s="12">
        <f>Tabla1[[#This Row],[Importe]]-Tabla1[[#This Row],[Pagado]]</f>
        <v>0</v>
      </c>
      <c r="H1808" s="9" t="s">
        <v>10</v>
      </c>
    </row>
    <row r="1809" spans="1:8" x14ac:dyDescent="0.25">
      <c r="A1809" s="7">
        <v>44579</v>
      </c>
      <c r="B1809" s="8" t="s">
        <v>2142</v>
      </c>
      <c r="C1809" s="9" t="s">
        <v>433</v>
      </c>
      <c r="D1809" s="10">
        <v>24780</v>
      </c>
      <c r="E1809" s="11">
        <v>44579</v>
      </c>
      <c r="F1809" s="10">
        <v>24780</v>
      </c>
      <c r="G1809" s="12">
        <f>Tabla1[[#This Row],[Importe]]-Tabla1[[#This Row],[Pagado]]</f>
        <v>0</v>
      </c>
      <c r="H1809" s="9" t="s">
        <v>10</v>
      </c>
    </row>
    <row r="1810" spans="1:8" x14ac:dyDescent="0.25">
      <c r="A1810" s="7">
        <v>44579</v>
      </c>
      <c r="B1810" s="8" t="s">
        <v>2143</v>
      </c>
      <c r="C1810" s="9" t="s">
        <v>261</v>
      </c>
      <c r="D1810" s="10">
        <v>29040</v>
      </c>
      <c r="E1810" s="11">
        <v>44580</v>
      </c>
      <c r="F1810" s="10">
        <v>29040</v>
      </c>
      <c r="G1810" s="12">
        <f>Tabla1[[#This Row],[Importe]]-Tabla1[[#This Row],[Pagado]]</f>
        <v>0</v>
      </c>
      <c r="H1810" s="9" t="s">
        <v>10</v>
      </c>
    </row>
    <row r="1811" spans="1:8" x14ac:dyDescent="0.25">
      <c r="A1811" s="7">
        <v>44579</v>
      </c>
      <c r="B1811" s="8" t="s">
        <v>2144</v>
      </c>
      <c r="C1811" s="9" t="s">
        <v>200</v>
      </c>
      <c r="D1811" s="10">
        <v>803.7</v>
      </c>
      <c r="E1811" s="11">
        <v>44580</v>
      </c>
      <c r="F1811" s="10">
        <v>803.7</v>
      </c>
      <c r="G1811" s="12">
        <f>Tabla1[[#This Row],[Importe]]-Tabla1[[#This Row],[Pagado]]</f>
        <v>0</v>
      </c>
      <c r="H1811" s="9" t="s">
        <v>10</v>
      </c>
    </row>
    <row r="1812" spans="1:8" x14ac:dyDescent="0.25">
      <c r="A1812" s="7">
        <v>44579</v>
      </c>
      <c r="B1812" s="8" t="s">
        <v>2145</v>
      </c>
      <c r="C1812" s="9" t="s">
        <v>280</v>
      </c>
      <c r="D1812" s="10">
        <v>474.7</v>
      </c>
      <c r="E1812" s="11">
        <v>44580</v>
      </c>
      <c r="F1812" s="10">
        <v>474.7</v>
      </c>
      <c r="G1812" s="12">
        <f>Tabla1[[#This Row],[Importe]]-Tabla1[[#This Row],[Pagado]]</f>
        <v>0</v>
      </c>
      <c r="H1812" s="9" t="s">
        <v>10</v>
      </c>
    </row>
    <row r="1813" spans="1:8" x14ac:dyDescent="0.25">
      <c r="A1813" s="7">
        <v>44579</v>
      </c>
      <c r="B1813" s="8" t="s">
        <v>2146</v>
      </c>
      <c r="C1813" s="9" t="s">
        <v>284</v>
      </c>
      <c r="D1813" s="10">
        <v>4685.8999999999996</v>
      </c>
      <c r="E1813" s="11">
        <v>44580</v>
      </c>
      <c r="F1813" s="10">
        <v>4685.8999999999996</v>
      </c>
      <c r="G1813" s="12">
        <f>Tabla1[[#This Row],[Importe]]-Tabla1[[#This Row],[Pagado]]</f>
        <v>0</v>
      </c>
      <c r="H1813" s="9" t="s">
        <v>10</v>
      </c>
    </row>
    <row r="1814" spans="1:8" x14ac:dyDescent="0.25">
      <c r="A1814" s="7">
        <v>44579</v>
      </c>
      <c r="B1814" s="8" t="s">
        <v>2147</v>
      </c>
      <c r="C1814" s="9" t="s">
        <v>368</v>
      </c>
      <c r="D1814" s="10">
        <v>1606.4</v>
      </c>
      <c r="E1814" s="11">
        <v>44580</v>
      </c>
      <c r="F1814" s="10">
        <v>1606.4</v>
      </c>
      <c r="G1814" s="12">
        <f>Tabla1[[#This Row],[Importe]]-Tabla1[[#This Row],[Pagado]]</f>
        <v>0</v>
      </c>
      <c r="H1814" s="9" t="s">
        <v>10</v>
      </c>
    </row>
    <row r="1815" spans="1:8" x14ac:dyDescent="0.25">
      <c r="A1815" s="7">
        <v>44579</v>
      </c>
      <c r="B1815" s="8" t="s">
        <v>2148</v>
      </c>
      <c r="C1815" s="9" t="s">
        <v>269</v>
      </c>
      <c r="D1815" s="10">
        <v>1781.6</v>
      </c>
      <c r="E1815" s="11">
        <v>44579</v>
      </c>
      <c r="F1815" s="10">
        <v>1781.6</v>
      </c>
      <c r="G1815" s="12">
        <f>Tabla1[[#This Row],[Importe]]-Tabla1[[#This Row],[Pagado]]</f>
        <v>0</v>
      </c>
      <c r="H1815" s="9" t="s">
        <v>10</v>
      </c>
    </row>
    <row r="1816" spans="1:8" x14ac:dyDescent="0.25">
      <c r="A1816" s="7">
        <v>44579</v>
      </c>
      <c r="B1816" s="8" t="s">
        <v>2149</v>
      </c>
      <c r="C1816" s="9" t="s">
        <v>1008</v>
      </c>
      <c r="D1816" s="10">
        <v>3206.4</v>
      </c>
      <c r="E1816" s="11">
        <v>44579</v>
      </c>
      <c r="F1816" s="10">
        <v>3206.4</v>
      </c>
      <c r="G1816" s="12">
        <f>Tabla1[[#This Row],[Importe]]-Tabla1[[#This Row],[Pagado]]</f>
        <v>0</v>
      </c>
      <c r="H1816" s="9" t="s">
        <v>10</v>
      </c>
    </row>
    <row r="1817" spans="1:8" x14ac:dyDescent="0.25">
      <c r="A1817" s="7">
        <v>44579</v>
      </c>
      <c r="B1817" s="8" t="s">
        <v>2150</v>
      </c>
      <c r="C1817" s="9" t="s">
        <v>2151</v>
      </c>
      <c r="D1817" s="10">
        <v>607.5</v>
      </c>
      <c r="E1817" s="11">
        <v>44579</v>
      </c>
      <c r="F1817" s="10">
        <v>607.5</v>
      </c>
      <c r="G1817" s="12">
        <f>Tabla1[[#This Row],[Importe]]-Tabla1[[#This Row],[Pagado]]</f>
        <v>0</v>
      </c>
      <c r="H1817" s="9" t="s">
        <v>10</v>
      </c>
    </row>
    <row r="1818" spans="1:8" x14ac:dyDescent="0.25">
      <c r="A1818" s="7">
        <v>44579</v>
      </c>
      <c r="B1818" s="8" t="s">
        <v>2152</v>
      </c>
      <c r="C1818" s="9" t="s">
        <v>16</v>
      </c>
      <c r="D1818" s="10">
        <v>414.8</v>
      </c>
      <c r="E1818" s="11">
        <v>44579</v>
      </c>
      <c r="F1818" s="10">
        <v>414.8</v>
      </c>
      <c r="G1818" s="12">
        <f>Tabla1[[#This Row],[Importe]]-Tabla1[[#This Row],[Pagado]]</f>
        <v>0</v>
      </c>
      <c r="H1818" s="9" t="s">
        <v>10</v>
      </c>
    </row>
    <row r="1819" spans="1:8" x14ac:dyDescent="0.25">
      <c r="A1819" s="7">
        <v>44579</v>
      </c>
      <c r="B1819" s="8" t="s">
        <v>2153</v>
      </c>
      <c r="C1819" s="9" t="s">
        <v>31</v>
      </c>
      <c r="D1819" s="10">
        <v>95</v>
      </c>
      <c r="E1819" s="11">
        <v>44583</v>
      </c>
      <c r="F1819" s="10">
        <v>95</v>
      </c>
      <c r="G1819" s="12">
        <f>Tabla1[[#This Row],[Importe]]-Tabla1[[#This Row],[Pagado]]</f>
        <v>0</v>
      </c>
      <c r="H1819" s="9" t="s">
        <v>10</v>
      </c>
    </row>
    <row r="1820" spans="1:8" x14ac:dyDescent="0.25">
      <c r="A1820" s="7">
        <v>44579</v>
      </c>
      <c r="B1820" s="8" t="s">
        <v>2154</v>
      </c>
      <c r="C1820" s="9" t="s">
        <v>31</v>
      </c>
      <c r="D1820" s="10">
        <v>95</v>
      </c>
      <c r="E1820" s="11">
        <v>44591</v>
      </c>
      <c r="F1820" s="10">
        <v>95</v>
      </c>
      <c r="G1820" s="12">
        <f>Tabla1[[#This Row],[Importe]]-Tabla1[[#This Row],[Pagado]]</f>
        <v>0</v>
      </c>
      <c r="H1820" s="9" t="s">
        <v>10</v>
      </c>
    </row>
    <row r="1821" spans="1:8" x14ac:dyDescent="0.25">
      <c r="A1821" s="7">
        <v>44579</v>
      </c>
      <c r="B1821" s="8" t="s">
        <v>2155</v>
      </c>
      <c r="C1821" s="9" t="s">
        <v>2156</v>
      </c>
      <c r="D1821" s="10">
        <v>13619.2</v>
      </c>
      <c r="E1821" s="11">
        <v>44579</v>
      </c>
      <c r="F1821" s="10">
        <v>13619.2</v>
      </c>
      <c r="G1821" s="12">
        <f>Tabla1[[#This Row],[Importe]]-Tabla1[[#This Row],[Pagado]]</f>
        <v>0</v>
      </c>
      <c r="H1821" s="9" t="s">
        <v>10</v>
      </c>
    </row>
    <row r="1822" spans="1:8" x14ac:dyDescent="0.25">
      <c r="A1822" s="7">
        <v>44579</v>
      </c>
      <c r="B1822" s="8" t="s">
        <v>2157</v>
      </c>
      <c r="C1822" s="9" t="s">
        <v>31</v>
      </c>
      <c r="D1822" s="10">
        <v>822.8</v>
      </c>
      <c r="E1822" s="11">
        <v>44579</v>
      </c>
      <c r="F1822" s="10">
        <v>822.8</v>
      </c>
      <c r="G1822" s="12">
        <f>Tabla1[[#This Row],[Importe]]-Tabla1[[#This Row],[Pagado]]</f>
        <v>0</v>
      </c>
      <c r="H1822" s="9" t="s">
        <v>10</v>
      </c>
    </row>
    <row r="1823" spans="1:8" x14ac:dyDescent="0.25">
      <c r="A1823" s="7">
        <v>44579</v>
      </c>
      <c r="B1823" s="8" t="s">
        <v>2158</v>
      </c>
      <c r="C1823" s="9" t="s">
        <v>409</v>
      </c>
      <c r="D1823" s="10">
        <v>12400.8</v>
      </c>
      <c r="E1823" s="11">
        <v>44593</v>
      </c>
      <c r="F1823" s="10">
        <v>12400.8</v>
      </c>
      <c r="G1823" s="12">
        <f>Tabla1[[#This Row],[Importe]]-Tabla1[[#This Row],[Pagado]]</f>
        <v>0</v>
      </c>
      <c r="H1823" s="9" t="s">
        <v>10</v>
      </c>
    </row>
    <row r="1824" spans="1:8" x14ac:dyDescent="0.25">
      <c r="A1824" s="7">
        <v>44579</v>
      </c>
      <c r="B1824" s="8" t="s">
        <v>2159</v>
      </c>
      <c r="C1824" s="9" t="s">
        <v>440</v>
      </c>
      <c r="D1824" s="10">
        <v>23078.16</v>
      </c>
      <c r="E1824" s="11">
        <v>44606</v>
      </c>
      <c r="F1824" s="10">
        <v>23078.16</v>
      </c>
      <c r="G1824" s="12">
        <f>Tabla1[[#This Row],[Importe]]-Tabla1[[#This Row],[Pagado]]</f>
        <v>0</v>
      </c>
      <c r="H1824" s="9" t="s">
        <v>10</v>
      </c>
    </row>
    <row r="1825" spans="1:8" x14ac:dyDescent="0.25">
      <c r="A1825" s="7">
        <v>44579</v>
      </c>
      <c r="B1825" s="8" t="s">
        <v>2160</v>
      </c>
      <c r="C1825" s="9" t="s">
        <v>31</v>
      </c>
      <c r="D1825" s="10">
        <v>100</v>
      </c>
      <c r="E1825" s="11">
        <v>44580</v>
      </c>
      <c r="F1825" s="10">
        <v>100</v>
      </c>
      <c r="G1825" s="12">
        <f>Tabla1[[#This Row],[Importe]]-Tabla1[[#This Row],[Pagado]]</f>
        <v>0</v>
      </c>
      <c r="H1825" s="9" t="s">
        <v>10</v>
      </c>
    </row>
    <row r="1826" spans="1:8" ht="30" x14ac:dyDescent="0.25">
      <c r="A1826" s="7">
        <v>44580</v>
      </c>
      <c r="B1826" s="8" t="s">
        <v>2161</v>
      </c>
      <c r="C1826" s="9" t="s">
        <v>475</v>
      </c>
      <c r="D1826" s="10">
        <v>83165.399999999994</v>
      </c>
      <c r="E1826" s="11" t="s">
        <v>2162</v>
      </c>
      <c r="F1826" s="10">
        <f>52000+31165.4</f>
        <v>83165.399999999994</v>
      </c>
      <c r="G1826" s="12">
        <f>Tabla1[[#This Row],[Importe]]-Tabla1[[#This Row],[Pagado]]</f>
        <v>0</v>
      </c>
      <c r="H1826" s="9" t="s">
        <v>10</v>
      </c>
    </row>
    <row r="1827" spans="1:8" x14ac:dyDescent="0.25">
      <c r="A1827" s="7">
        <v>44580</v>
      </c>
      <c r="B1827" s="8" t="s">
        <v>2163</v>
      </c>
      <c r="C1827" s="9" t="s">
        <v>22</v>
      </c>
      <c r="D1827" s="10">
        <v>74661</v>
      </c>
      <c r="E1827" s="11">
        <v>44583</v>
      </c>
      <c r="F1827" s="10">
        <v>74661</v>
      </c>
      <c r="G1827" s="12">
        <f>Tabla1[[#This Row],[Importe]]-Tabla1[[#This Row],[Pagado]]</f>
        <v>0</v>
      </c>
      <c r="H1827" s="9" t="s">
        <v>10</v>
      </c>
    </row>
    <row r="1828" spans="1:8" x14ac:dyDescent="0.25">
      <c r="A1828" s="7">
        <v>44580</v>
      </c>
      <c r="B1828" s="8" t="s">
        <v>2164</v>
      </c>
      <c r="C1828" s="9" t="s">
        <v>481</v>
      </c>
      <c r="D1828" s="10">
        <v>2090</v>
      </c>
      <c r="E1828" s="11">
        <v>44580</v>
      </c>
      <c r="F1828" s="10">
        <v>2090</v>
      </c>
      <c r="G1828" s="12">
        <f>Tabla1[[#This Row],[Importe]]-Tabla1[[#This Row],[Pagado]]</f>
        <v>0</v>
      </c>
      <c r="H1828" s="9" t="s">
        <v>10</v>
      </c>
    </row>
    <row r="1829" spans="1:8" x14ac:dyDescent="0.25">
      <c r="A1829" s="7">
        <v>44580</v>
      </c>
      <c r="B1829" s="8" t="s">
        <v>2165</v>
      </c>
      <c r="C1829" s="9" t="s">
        <v>2166</v>
      </c>
      <c r="D1829" s="10">
        <v>1584.9</v>
      </c>
      <c r="E1829" s="11">
        <v>44580</v>
      </c>
      <c r="F1829" s="10">
        <v>1584.9</v>
      </c>
      <c r="G1829" s="12">
        <f>Tabla1[[#This Row],[Importe]]-Tabla1[[#This Row],[Pagado]]</f>
        <v>0</v>
      </c>
      <c r="H1829" s="9" t="s">
        <v>10</v>
      </c>
    </row>
    <row r="1830" spans="1:8" x14ac:dyDescent="0.25">
      <c r="A1830" s="7">
        <v>44580</v>
      </c>
      <c r="B1830" s="8" t="s">
        <v>2167</v>
      </c>
      <c r="C1830" s="9" t="s">
        <v>12</v>
      </c>
      <c r="D1830" s="10">
        <v>50921.1</v>
      </c>
      <c r="E1830" s="11">
        <v>44581</v>
      </c>
      <c r="F1830" s="10">
        <v>50921.1</v>
      </c>
      <c r="G1830" s="12">
        <f>Tabla1[[#This Row],[Importe]]-Tabla1[[#This Row],[Pagado]]</f>
        <v>0</v>
      </c>
      <c r="H1830" s="9" t="s">
        <v>10</v>
      </c>
    </row>
    <row r="1831" spans="1:8" x14ac:dyDescent="0.25">
      <c r="A1831" s="7">
        <v>44580</v>
      </c>
      <c r="B1831" s="8" t="s">
        <v>2168</v>
      </c>
      <c r="C1831" s="9" t="s">
        <v>109</v>
      </c>
      <c r="D1831" s="10">
        <v>4087.2</v>
      </c>
      <c r="E1831" s="11">
        <v>44580</v>
      </c>
      <c r="F1831" s="10">
        <v>4087.2</v>
      </c>
      <c r="G1831" s="12">
        <f>Tabla1[[#This Row],[Importe]]-Tabla1[[#This Row],[Pagado]]</f>
        <v>0</v>
      </c>
      <c r="H1831" s="9" t="s">
        <v>10</v>
      </c>
    </row>
    <row r="1832" spans="1:8" x14ac:dyDescent="0.25">
      <c r="A1832" s="7">
        <v>44580</v>
      </c>
      <c r="B1832" s="8" t="s">
        <v>2169</v>
      </c>
      <c r="C1832" s="9" t="s">
        <v>64</v>
      </c>
      <c r="D1832" s="10">
        <v>4303.8</v>
      </c>
      <c r="E1832" s="11">
        <v>44581</v>
      </c>
      <c r="F1832" s="10">
        <v>4303.8</v>
      </c>
      <c r="G1832" s="12">
        <f>Tabla1[[#This Row],[Importe]]-Tabla1[[#This Row],[Pagado]]</f>
        <v>0</v>
      </c>
      <c r="H1832" s="9" t="s">
        <v>10</v>
      </c>
    </row>
    <row r="1833" spans="1:8" ht="30" x14ac:dyDescent="0.25">
      <c r="A1833" s="7">
        <v>44580</v>
      </c>
      <c r="B1833" s="8" t="s">
        <v>2170</v>
      </c>
      <c r="C1833" s="9" t="s">
        <v>111</v>
      </c>
      <c r="D1833" s="10">
        <v>4586.3999999999996</v>
      </c>
      <c r="E1833" s="11" t="s">
        <v>2171</v>
      </c>
      <c r="F1833" s="10">
        <f>4000+586.4</f>
        <v>4586.3999999999996</v>
      </c>
      <c r="G1833" s="12">
        <f>Tabla1[[#This Row],[Importe]]-Tabla1[[#This Row],[Pagado]]</f>
        <v>0</v>
      </c>
      <c r="H1833" s="9" t="s">
        <v>10</v>
      </c>
    </row>
    <row r="1834" spans="1:8" x14ac:dyDescent="0.25">
      <c r="A1834" s="7">
        <v>44580</v>
      </c>
      <c r="B1834" s="8" t="s">
        <v>2172</v>
      </c>
      <c r="C1834" s="9" t="s">
        <v>114</v>
      </c>
      <c r="D1834" s="10">
        <v>4165.2</v>
      </c>
      <c r="E1834" s="11">
        <v>44581</v>
      </c>
      <c r="F1834" s="10">
        <v>4165.2</v>
      </c>
      <c r="G1834" s="12">
        <f>Tabla1[[#This Row],[Importe]]-Tabla1[[#This Row],[Pagado]]</f>
        <v>0</v>
      </c>
      <c r="H1834" s="9" t="s">
        <v>10</v>
      </c>
    </row>
    <row r="1835" spans="1:8" ht="30" x14ac:dyDescent="0.25">
      <c r="A1835" s="7">
        <v>44580</v>
      </c>
      <c r="B1835" s="8" t="s">
        <v>2173</v>
      </c>
      <c r="C1835" s="9" t="s">
        <v>39</v>
      </c>
      <c r="D1835" s="10">
        <v>17036.400000000001</v>
      </c>
      <c r="E1835" s="11" t="s">
        <v>2162</v>
      </c>
      <c r="F1835" s="10">
        <f>4000+13036.4</f>
        <v>17036.400000000001</v>
      </c>
      <c r="G1835" s="12">
        <f>Tabla1[[#This Row],[Importe]]-Tabla1[[#This Row],[Pagado]]</f>
        <v>0</v>
      </c>
      <c r="H1835" s="9" t="s">
        <v>10</v>
      </c>
    </row>
    <row r="1836" spans="1:8" x14ac:dyDescent="0.25">
      <c r="A1836" s="7">
        <v>44580</v>
      </c>
      <c r="B1836" s="8" t="s">
        <v>2174</v>
      </c>
      <c r="C1836" s="9" t="s">
        <v>326</v>
      </c>
      <c r="D1836" s="10">
        <v>2550.6</v>
      </c>
      <c r="E1836" s="11">
        <v>44581</v>
      </c>
      <c r="F1836" s="10">
        <v>2550.6</v>
      </c>
      <c r="G1836" s="12">
        <f>Tabla1[[#This Row],[Importe]]-Tabla1[[#This Row],[Pagado]]</f>
        <v>0</v>
      </c>
      <c r="H1836" s="9" t="s">
        <v>10</v>
      </c>
    </row>
    <row r="1837" spans="1:8" x14ac:dyDescent="0.25">
      <c r="A1837" s="7">
        <v>44580</v>
      </c>
      <c r="B1837" s="8" t="s">
        <v>2175</v>
      </c>
      <c r="C1837" s="9" t="s">
        <v>33</v>
      </c>
      <c r="D1837" s="10">
        <v>8448</v>
      </c>
      <c r="E1837" s="11">
        <v>44580</v>
      </c>
      <c r="F1837" s="10">
        <v>8448</v>
      </c>
      <c r="G1837" s="12">
        <f>Tabla1[[#This Row],[Importe]]-Tabla1[[#This Row],[Pagado]]</f>
        <v>0</v>
      </c>
      <c r="H1837" s="9" t="s">
        <v>10</v>
      </c>
    </row>
    <row r="1838" spans="1:8" x14ac:dyDescent="0.25">
      <c r="A1838" s="7">
        <v>44580</v>
      </c>
      <c r="B1838" s="8" t="s">
        <v>2176</v>
      </c>
      <c r="C1838" s="9" t="s">
        <v>95</v>
      </c>
      <c r="D1838" s="10">
        <v>18356.8</v>
      </c>
      <c r="E1838" s="11">
        <v>44580</v>
      </c>
      <c r="F1838" s="10">
        <v>18356.8</v>
      </c>
      <c r="G1838" s="12">
        <f>Tabla1[[#This Row],[Importe]]-Tabla1[[#This Row],[Pagado]]</f>
        <v>0</v>
      </c>
      <c r="H1838" s="9" t="s">
        <v>10</v>
      </c>
    </row>
    <row r="1839" spans="1:8" x14ac:dyDescent="0.25">
      <c r="A1839" s="7">
        <v>44580</v>
      </c>
      <c r="B1839" s="8" t="s">
        <v>2177</v>
      </c>
      <c r="C1839" s="9" t="s">
        <v>18</v>
      </c>
      <c r="D1839" s="10">
        <v>1586</v>
      </c>
      <c r="E1839" s="11">
        <v>44580</v>
      </c>
      <c r="F1839" s="10">
        <v>1586</v>
      </c>
      <c r="G1839" s="12">
        <f>Tabla1[[#This Row],[Importe]]-Tabla1[[#This Row],[Pagado]]</f>
        <v>0</v>
      </c>
      <c r="H1839" s="9" t="s">
        <v>10</v>
      </c>
    </row>
    <row r="1840" spans="1:8" x14ac:dyDescent="0.25">
      <c r="A1840" s="7">
        <v>44580</v>
      </c>
      <c r="B1840" s="8" t="s">
        <v>2178</v>
      </c>
      <c r="C1840" s="9" t="s">
        <v>9</v>
      </c>
      <c r="D1840" s="10">
        <v>5656</v>
      </c>
      <c r="E1840" s="11">
        <v>44580</v>
      </c>
      <c r="F1840" s="10">
        <v>5656</v>
      </c>
      <c r="G1840" s="12">
        <f>Tabla1[[#This Row],[Importe]]-Tabla1[[#This Row],[Pagado]]</f>
        <v>0</v>
      </c>
      <c r="H1840" s="9" t="s">
        <v>10</v>
      </c>
    </row>
    <row r="1841" spans="1:8" x14ac:dyDescent="0.25">
      <c r="A1841" s="7">
        <v>44580</v>
      </c>
      <c r="B1841" s="8" t="s">
        <v>2179</v>
      </c>
      <c r="C1841" s="9" t="s">
        <v>97</v>
      </c>
      <c r="D1841" s="10">
        <v>6531</v>
      </c>
      <c r="E1841" s="11">
        <v>44582</v>
      </c>
      <c r="F1841" s="10">
        <v>6531</v>
      </c>
      <c r="G1841" s="12">
        <f>Tabla1[[#This Row],[Importe]]-Tabla1[[#This Row],[Pagado]]</f>
        <v>0</v>
      </c>
      <c r="H1841" s="9" t="s">
        <v>10</v>
      </c>
    </row>
    <row r="1842" spans="1:8" x14ac:dyDescent="0.25">
      <c r="A1842" s="7">
        <v>44580</v>
      </c>
      <c r="B1842" s="8" t="s">
        <v>2180</v>
      </c>
      <c r="C1842" s="9" t="s">
        <v>89</v>
      </c>
      <c r="D1842" s="10">
        <v>5326.2</v>
      </c>
      <c r="E1842" s="11">
        <v>44581</v>
      </c>
      <c r="F1842" s="10">
        <v>5326.2</v>
      </c>
      <c r="G1842" s="12">
        <f>Tabla1[[#This Row],[Importe]]-Tabla1[[#This Row],[Pagado]]</f>
        <v>0</v>
      </c>
      <c r="H1842" s="9" t="s">
        <v>10</v>
      </c>
    </row>
    <row r="1843" spans="1:8" x14ac:dyDescent="0.25">
      <c r="A1843" s="7">
        <v>44580</v>
      </c>
      <c r="B1843" s="8" t="s">
        <v>2181</v>
      </c>
      <c r="C1843" s="9" t="s">
        <v>99</v>
      </c>
      <c r="D1843" s="10">
        <v>1767.2</v>
      </c>
      <c r="E1843" s="11">
        <v>44582</v>
      </c>
      <c r="F1843" s="10">
        <v>1767.2</v>
      </c>
      <c r="G1843" s="12">
        <f>Tabla1[[#This Row],[Importe]]-Tabla1[[#This Row],[Pagado]]</f>
        <v>0</v>
      </c>
      <c r="H1843" s="9" t="s">
        <v>10</v>
      </c>
    </row>
    <row r="1844" spans="1:8" x14ac:dyDescent="0.25">
      <c r="A1844" s="7">
        <v>44580</v>
      </c>
      <c r="B1844" s="8" t="s">
        <v>2182</v>
      </c>
      <c r="C1844" s="9" t="s">
        <v>196</v>
      </c>
      <c r="D1844" s="10">
        <v>46665.9</v>
      </c>
      <c r="E1844" s="11">
        <v>44582</v>
      </c>
      <c r="F1844" s="10">
        <v>46665.9</v>
      </c>
      <c r="G1844" s="12">
        <f>Tabla1[[#This Row],[Importe]]-Tabla1[[#This Row],[Pagado]]</f>
        <v>0</v>
      </c>
      <c r="H1844" s="9" t="s">
        <v>10</v>
      </c>
    </row>
    <row r="1845" spans="1:8" x14ac:dyDescent="0.25">
      <c r="A1845" s="7">
        <v>44580</v>
      </c>
      <c r="B1845" s="8" t="s">
        <v>2183</v>
      </c>
      <c r="C1845" s="9" t="s">
        <v>924</v>
      </c>
      <c r="D1845" s="10">
        <v>11509.2</v>
      </c>
      <c r="E1845" s="11">
        <v>44580</v>
      </c>
      <c r="F1845" s="10">
        <v>11509.2</v>
      </c>
      <c r="G1845" s="12">
        <f>Tabla1[[#This Row],[Importe]]-Tabla1[[#This Row],[Pagado]]</f>
        <v>0</v>
      </c>
      <c r="H1845" s="9" t="s">
        <v>10</v>
      </c>
    </row>
    <row r="1846" spans="1:8" x14ac:dyDescent="0.25">
      <c r="A1846" s="7">
        <v>44580</v>
      </c>
      <c r="B1846" s="8" t="s">
        <v>2184</v>
      </c>
      <c r="C1846" s="9" t="s">
        <v>105</v>
      </c>
      <c r="D1846" s="10">
        <v>12929.3</v>
      </c>
      <c r="E1846" s="11">
        <v>44581</v>
      </c>
      <c r="F1846" s="10">
        <v>12929.3</v>
      </c>
      <c r="G1846" s="12">
        <f>Tabla1[[#This Row],[Importe]]-Tabla1[[#This Row],[Pagado]]</f>
        <v>0</v>
      </c>
      <c r="H1846" s="9" t="s">
        <v>10</v>
      </c>
    </row>
    <row r="1847" spans="1:8" x14ac:dyDescent="0.25">
      <c r="A1847" s="7">
        <v>44580</v>
      </c>
      <c r="B1847" s="8" t="s">
        <v>2185</v>
      </c>
      <c r="C1847" s="9" t="s">
        <v>85</v>
      </c>
      <c r="D1847" s="10">
        <v>868.7</v>
      </c>
      <c r="E1847" s="11">
        <v>44580</v>
      </c>
      <c r="F1847" s="10">
        <v>868.7</v>
      </c>
      <c r="G1847" s="12">
        <f>Tabla1[[#This Row],[Importe]]-Tabla1[[#This Row],[Pagado]]</f>
        <v>0</v>
      </c>
      <c r="H1847" s="9" t="s">
        <v>10</v>
      </c>
    </row>
    <row r="1848" spans="1:8" x14ac:dyDescent="0.25">
      <c r="A1848" s="7">
        <v>44580</v>
      </c>
      <c r="B1848" s="8" t="s">
        <v>2186</v>
      </c>
      <c r="C1848" s="9" t="s">
        <v>198</v>
      </c>
      <c r="D1848" s="10">
        <v>1152.5999999999999</v>
      </c>
      <c r="E1848" s="11">
        <v>44580</v>
      </c>
      <c r="F1848" s="10">
        <v>1152.5999999999999</v>
      </c>
      <c r="G1848" s="12">
        <f>Tabla1[[#This Row],[Importe]]-Tabla1[[#This Row],[Pagado]]</f>
        <v>0</v>
      </c>
      <c r="H1848" s="9" t="s">
        <v>10</v>
      </c>
    </row>
    <row r="1849" spans="1:8" x14ac:dyDescent="0.25">
      <c r="A1849" s="7">
        <v>44580</v>
      </c>
      <c r="B1849" s="8" t="s">
        <v>2187</v>
      </c>
      <c r="C1849" s="9" t="s">
        <v>2188</v>
      </c>
      <c r="D1849" s="10">
        <v>0</v>
      </c>
      <c r="E1849" s="13" t="s">
        <v>189</v>
      </c>
      <c r="F1849" s="10">
        <v>0</v>
      </c>
      <c r="G1849" s="12">
        <f>Tabla1[[#This Row],[Importe]]-Tabla1[[#This Row],[Pagado]]</f>
        <v>0</v>
      </c>
      <c r="H1849" s="9" t="s">
        <v>189</v>
      </c>
    </row>
    <row r="1850" spans="1:8" x14ac:dyDescent="0.25">
      <c r="A1850" s="7">
        <v>44580</v>
      </c>
      <c r="B1850" s="8" t="s">
        <v>2189</v>
      </c>
      <c r="C1850" s="9" t="s">
        <v>75</v>
      </c>
      <c r="D1850" s="10">
        <v>2603.8000000000002</v>
      </c>
      <c r="E1850" s="11">
        <v>44580</v>
      </c>
      <c r="F1850" s="10">
        <v>2603.8000000000002</v>
      </c>
      <c r="G1850" s="12">
        <f>Tabla1[[#This Row],[Importe]]-Tabla1[[#This Row],[Pagado]]</f>
        <v>0</v>
      </c>
      <c r="H1850" s="9" t="s">
        <v>10</v>
      </c>
    </row>
    <row r="1851" spans="1:8" x14ac:dyDescent="0.25">
      <c r="A1851" s="7">
        <v>44580</v>
      </c>
      <c r="B1851" s="8" t="s">
        <v>2190</v>
      </c>
      <c r="C1851" s="9" t="s">
        <v>31</v>
      </c>
      <c r="D1851" s="10">
        <v>2787.2</v>
      </c>
      <c r="E1851" s="11">
        <v>44580</v>
      </c>
      <c r="F1851" s="10">
        <v>2787.2</v>
      </c>
      <c r="G1851" s="12">
        <f>Tabla1[[#This Row],[Importe]]-Tabla1[[#This Row],[Pagado]]</f>
        <v>0</v>
      </c>
      <c r="H1851" s="9" t="s">
        <v>10</v>
      </c>
    </row>
    <row r="1852" spans="1:8" x14ac:dyDescent="0.25">
      <c r="A1852" s="7">
        <v>44580</v>
      </c>
      <c r="B1852" s="8" t="s">
        <v>2191</v>
      </c>
      <c r="C1852" s="9" t="s">
        <v>426</v>
      </c>
      <c r="D1852" s="10">
        <v>1989.6</v>
      </c>
      <c r="E1852" s="11">
        <v>44580</v>
      </c>
      <c r="F1852" s="10">
        <v>1989.6</v>
      </c>
      <c r="G1852" s="12">
        <f>Tabla1[[#This Row],[Importe]]-Tabla1[[#This Row],[Pagado]]</f>
        <v>0</v>
      </c>
      <c r="H1852" s="9" t="s">
        <v>10</v>
      </c>
    </row>
    <row r="1853" spans="1:8" x14ac:dyDescent="0.25">
      <c r="A1853" s="7">
        <v>44580</v>
      </c>
      <c r="B1853" s="8" t="s">
        <v>2192</v>
      </c>
      <c r="C1853" s="9" t="s">
        <v>53</v>
      </c>
      <c r="D1853" s="10">
        <v>720</v>
      </c>
      <c r="E1853" s="11">
        <v>44580</v>
      </c>
      <c r="F1853" s="10">
        <v>720</v>
      </c>
      <c r="G1853" s="12">
        <f>Tabla1[[#This Row],[Importe]]-Tabla1[[#This Row],[Pagado]]</f>
        <v>0</v>
      </c>
      <c r="H1853" s="9" t="s">
        <v>10</v>
      </c>
    </row>
    <row r="1854" spans="1:8" x14ac:dyDescent="0.25">
      <c r="A1854" s="7">
        <v>44580</v>
      </c>
      <c r="B1854" s="8" t="s">
        <v>2193</v>
      </c>
      <c r="C1854" s="9" t="s">
        <v>27</v>
      </c>
      <c r="D1854" s="10">
        <v>3807.8</v>
      </c>
      <c r="E1854" s="11">
        <v>44580</v>
      </c>
      <c r="F1854" s="10">
        <v>3807.8</v>
      </c>
      <c r="G1854" s="12">
        <f>Tabla1[[#This Row],[Importe]]-Tabla1[[#This Row],[Pagado]]</f>
        <v>0</v>
      </c>
      <c r="H1854" s="9" t="s">
        <v>10</v>
      </c>
    </row>
    <row r="1855" spans="1:8" x14ac:dyDescent="0.25">
      <c r="A1855" s="7">
        <v>44580</v>
      </c>
      <c r="B1855" s="8" t="s">
        <v>2194</v>
      </c>
      <c r="C1855" s="9" t="s">
        <v>312</v>
      </c>
      <c r="D1855" s="10">
        <v>772.8</v>
      </c>
      <c r="E1855" s="11">
        <v>44580</v>
      </c>
      <c r="F1855" s="10">
        <v>772.8</v>
      </c>
      <c r="G1855" s="12">
        <f>Tabla1[[#This Row],[Importe]]-Tabla1[[#This Row],[Pagado]]</f>
        <v>0</v>
      </c>
      <c r="H1855" s="9" t="s">
        <v>10</v>
      </c>
    </row>
    <row r="1856" spans="1:8" x14ac:dyDescent="0.25">
      <c r="A1856" s="7">
        <v>44580</v>
      </c>
      <c r="B1856" s="8" t="s">
        <v>2195</v>
      </c>
      <c r="C1856" s="9" t="s">
        <v>142</v>
      </c>
      <c r="D1856" s="10">
        <v>40814.9</v>
      </c>
      <c r="E1856" s="11">
        <v>44589</v>
      </c>
      <c r="F1856" s="10">
        <v>40814.9</v>
      </c>
      <c r="G1856" s="12">
        <f>Tabla1[[#This Row],[Importe]]-Tabla1[[#This Row],[Pagado]]</f>
        <v>0</v>
      </c>
      <c r="H1856" s="9" t="s">
        <v>10</v>
      </c>
    </row>
    <row r="1857" spans="1:8" x14ac:dyDescent="0.25">
      <c r="A1857" s="7">
        <v>44580</v>
      </c>
      <c r="B1857" s="8" t="s">
        <v>2196</v>
      </c>
      <c r="C1857" s="9" t="s">
        <v>196</v>
      </c>
      <c r="D1857" s="10">
        <v>8897.7999999999993</v>
      </c>
      <c r="E1857" s="11">
        <v>44582</v>
      </c>
      <c r="F1857" s="10">
        <v>8897.7999999999993</v>
      </c>
      <c r="G1857" s="12">
        <f>Tabla1[[#This Row],[Importe]]-Tabla1[[#This Row],[Pagado]]</f>
        <v>0</v>
      </c>
      <c r="H1857" s="9" t="s">
        <v>10</v>
      </c>
    </row>
    <row r="1858" spans="1:8" x14ac:dyDescent="0.25">
      <c r="A1858" s="7">
        <v>44580</v>
      </c>
      <c r="B1858" s="8" t="s">
        <v>2197</v>
      </c>
      <c r="C1858" s="9" t="s">
        <v>2198</v>
      </c>
      <c r="D1858" s="10">
        <v>0</v>
      </c>
      <c r="E1858" s="13" t="s">
        <v>189</v>
      </c>
      <c r="F1858" s="10">
        <v>0</v>
      </c>
      <c r="G1858" s="12">
        <f>Tabla1[[#This Row],[Importe]]-Tabla1[[#This Row],[Pagado]]</f>
        <v>0</v>
      </c>
      <c r="H1858" s="9" t="s">
        <v>189</v>
      </c>
    </row>
    <row r="1859" spans="1:8" x14ac:dyDescent="0.25">
      <c r="A1859" s="7">
        <v>44580</v>
      </c>
      <c r="B1859" s="8" t="s">
        <v>2199</v>
      </c>
      <c r="C1859" s="9" t="s">
        <v>359</v>
      </c>
      <c r="D1859" s="10">
        <v>2162.9</v>
      </c>
      <c r="E1859" s="11">
        <v>44580</v>
      </c>
      <c r="F1859" s="10">
        <v>2162.9</v>
      </c>
      <c r="G1859" s="12">
        <f>Tabla1[[#This Row],[Importe]]-Tabla1[[#This Row],[Pagado]]</f>
        <v>0</v>
      </c>
      <c r="H1859" s="9" t="s">
        <v>10</v>
      </c>
    </row>
    <row r="1860" spans="1:8" x14ac:dyDescent="0.25">
      <c r="A1860" s="7">
        <v>44580</v>
      </c>
      <c r="B1860" s="8" t="s">
        <v>2200</v>
      </c>
      <c r="C1860" s="9" t="s">
        <v>125</v>
      </c>
      <c r="D1860" s="10">
        <v>5327.1</v>
      </c>
      <c r="E1860" s="11">
        <v>44580</v>
      </c>
      <c r="F1860" s="10">
        <v>5327.1</v>
      </c>
      <c r="G1860" s="12">
        <f>Tabla1[[#This Row],[Importe]]-Tabla1[[#This Row],[Pagado]]</f>
        <v>0</v>
      </c>
      <c r="H1860" s="9" t="s">
        <v>10</v>
      </c>
    </row>
    <row r="1861" spans="1:8" x14ac:dyDescent="0.25">
      <c r="A1861" s="7">
        <v>44580</v>
      </c>
      <c r="B1861" s="8" t="s">
        <v>2201</v>
      </c>
      <c r="C1861" s="9" t="s">
        <v>107</v>
      </c>
      <c r="D1861" s="10">
        <v>13003.2</v>
      </c>
      <c r="E1861" s="11">
        <v>44580</v>
      </c>
      <c r="F1861" s="10">
        <v>13003.2</v>
      </c>
      <c r="G1861" s="12">
        <f>Tabla1[[#This Row],[Importe]]-Tabla1[[#This Row],[Pagado]]</f>
        <v>0</v>
      </c>
      <c r="H1861" s="9" t="s">
        <v>10</v>
      </c>
    </row>
    <row r="1862" spans="1:8" x14ac:dyDescent="0.25">
      <c r="A1862" s="7">
        <v>44580</v>
      </c>
      <c r="B1862" s="8" t="s">
        <v>2202</v>
      </c>
      <c r="C1862" s="9" t="s">
        <v>169</v>
      </c>
      <c r="D1862" s="10">
        <v>676.8</v>
      </c>
      <c r="E1862" s="11">
        <v>44580</v>
      </c>
      <c r="F1862" s="10">
        <v>676.8</v>
      </c>
      <c r="G1862" s="12">
        <f>Tabla1[[#This Row],[Importe]]-Tabla1[[#This Row],[Pagado]]</f>
        <v>0</v>
      </c>
      <c r="H1862" s="9" t="s">
        <v>10</v>
      </c>
    </row>
    <row r="1863" spans="1:8" x14ac:dyDescent="0.25">
      <c r="A1863" s="7">
        <v>44580</v>
      </c>
      <c r="B1863" s="8" t="s">
        <v>2203</v>
      </c>
      <c r="C1863" s="9" t="s">
        <v>16</v>
      </c>
      <c r="D1863" s="10">
        <v>4614.7</v>
      </c>
      <c r="E1863" s="11">
        <v>44580</v>
      </c>
      <c r="F1863" s="10">
        <v>4614.7</v>
      </c>
      <c r="G1863" s="12">
        <f>Tabla1[[#This Row],[Importe]]-Tabla1[[#This Row],[Pagado]]</f>
        <v>0</v>
      </c>
      <c r="H1863" s="9" t="s">
        <v>10</v>
      </c>
    </row>
    <row r="1864" spans="1:8" x14ac:dyDescent="0.25">
      <c r="A1864" s="7">
        <v>44580</v>
      </c>
      <c r="B1864" s="8" t="s">
        <v>2204</v>
      </c>
      <c r="C1864" s="9" t="s">
        <v>849</v>
      </c>
      <c r="D1864" s="10">
        <v>370.6</v>
      </c>
      <c r="E1864" s="11">
        <v>44580</v>
      </c>
      <c r="F1864" s="10">
        <v>370.6</v>
      </c>
      <c r="G1864" s="12">
        <f>Tabla1[[#This Row],[Importe]]-Tabla1[[#This Row],[Pagado]]</f>
        <v>0</v>
      </c>
      <c r="H1864" s="9" t="s">
        <v>10</v>
      </c>
    </row>
    <row r="1865" spans="1:8" x14ac:dyDescent="0.25">
      <c r="A1865" s="7">
        <v>44580</v>
      </c>
      <c r="B1865" s="8" t="s">
        <v>2205</v>
      </c>
      <c r="C1865" s="9" t="s">
        <v>140</v>
      </c>
      <c r="D1865" s="10">
        <v>1089.5999999999999</v>
      </c>
      <c r="E1865" s="11">
        <v>44580</v>
      </c>
      <c r="F1865" s="10">
        <v>1089.5999999999999</v>
      </c>
      <c r="G1865" s="12">
        <f>Tabla1[[#This Row],[Importe]]-Tabla1[[#This Row],[Pagado]]</f>
        <v>0</v>
      </c>
      <c r="H1865" s="9" t="s">
        <v>10</v>
      </c>
    </row>
    <row r="1866" spans="1:8" x14ac:dyDescent="0.25">
      <c r="A1866" s="7">
        <v>44580</v>
      </c>
      <c r="B1866" s="8" t="s">
        <v>2206</v>
      </c>
      <c r="C1866" s="9" t="s">
        <v>127</v>
      </c>
      <c r="D1866" s="10">
        <v>6267.6</v>
      </c>
      <c r="E1866" s="11">
        <v>44580</v>
      </c>
      <c r="F1866" s="10">
        <v>6267.6</v>
      </c>
      <c r="G1866" s="12">
        <f>Tabla1[[#This Row],[Importe]]-Tabla1[[#This Row],[Pagado]]</f>
        <v>0</v>
      </c>
      <c r="H1866" s="9" t="s">
        <v>10</v>
      </c>
    </row>
    <row r="1867" spans="1:8" x14ac:dyDescent="0.25">
      <c r="A1867" s="7">
        <v>44580</v>
      </c>
      <c r="B1867" s="8" t="s">
        <v>2207</v>
      </c>
      <c r="C1867" s="9" t="s">
        <v>339</v>
      </c>
      <c r="D1867" s="10">
        <v>210.8</v>
      </c>
      <c r="E1867" s="11">
        <v>44580</v>
      </c>
      <c r="F1867" s="10">
        <v>210.8</v>
      </c>
      <c r="G1867" s="12">
        <f>Tabla1[[#This Row],[Importe]]-Tabla1[[#This Row],[Pagado]]</f>
        <v>0</v>
      </c>
      <c r="H1867" s="9" t="s">
        <v>10</v>
      </c>
    </row>
    <row r="1868" spans="1:8" x14ac:dyDescent="0.25">
      <c r="A1868" s="7">
        <v>44580</v>
      </c>
      <c r="B1868" s="8" t="s">
        <v>2208</v>
      </c>
      <c r="C1868" s="9" t="s">
        <v>107</v>
      </c>
      <c r="D1868" s="10">
        <v>368.3</v>
      </c>
      <c r="E1868" s="11">
        <v>44580</v>
      </c>
      <c r="F1868" s="10">
        <v>368.3</v>
      </c>
      <c r="G1868" s="12">
        <f>Tabla1[[#This Row],[Importe]]-Tabla1[[#This Row],[Pagado]]</f>
        <v>0</v>
      </c>
      <c r="H1868" s="9" t="s">
        <v>10</v>
      </c>
    </row>
    <row r="1869" spans="1:8" x14ac:dyDescent="0.25">
      <c r="A1869" s="7">
        <v>44580</v>
      </c>
      <c r="B1869" s="8" t="s">
        <v>2209</v>
      </c>
      <c r="C1869" s="9" t="s">
        <v>2210</v>
      </c>
      <c r="D1869" s="10">
        <v>0</v>
      </c>
      <c r="E1869" s="13" t="s">
        <v>189</v>
      </c>
      <c r="F1869" s="10">
        <v>0</v>
      </c>
      <c r="G1869" s="12">
        <f>Tabla1[[#This Row],[Importe]]-Tabla1[[#This Row],[Pagado]]</f>
        <v>0</v>
      </c>
      <c r="H1869" s="9" t="s">
        <v>189</v>
      </c>
    </row>
    <row r="1870" spans="1:8" x14ac:dyDescent="0.25">
      <c r="A1870" s="7">
        <v>44580</v>
      </c>
      <c r="B1870" s="8" t="s">
        <v>2211</v>
      </c>
      <c r="C1870" s="9" t="s">
        <v>129</v>
      </c>
      <c r="D1870" s="10">
        <v>355.2</v>
      </c>
      <c r="E1870" s="11">
        <v>44580</v>
      </c>
      <c r="F1870" s="10">
        <v>355.2</v>
      </c>
      <c r="G1870" s="12">
        <f>Tabla1[[#This Row],[Importe]]-Tabla1[[#This Row],[Pagado]]</f>
        <v>0</v>
      </c>
      <c r="H1870" s="9" t="s">
        <v>10</v>
      </c>
    </row>
    <row r="1871" spans="1:8" x14ac:dyDescent="0.25">
      <c r="A1871" s="7">
        <v>44580</v>
      </c>
      <c r="B1871" s="8" t="s">
        <v>2212</v>
      </c>
      <c r="C1871" s="9" t="s">
        <v>151</v>
      </c>
      <c r="D1871" s="10">
        <v>4428.6000000000004</v>
      </c>
      <c r="E1871" s="11">
        <v>44580</v>
      </c>
      <c r="F1871" s="10">
        <v>4428.6000000000004</v>
      </c>
      <c r="G1871" s="12">
        <f>Tabla1[[#This Row],[Importe]]-Tabla1[[#This Row],[Pagado]]</f>
        <v>0</v>
      </c>
      <c r="H1871" s="9" t="s">
        <v>10</v>
      </c>
    </row>
    <row r="1872" spans="1:8" x14ac:dyDescent="0.25">
      <c r="A1872" s="7">
        <v>44580</v>
      </c>
      <c r="B1872" s="8" t="s">
        <v>2213</v>
      </c>
      <c r="C1872" s="9" t="s">
        <v>83</v>
      </c>
      <c r="D1872" s="10">
        <v>4048.8</v>
      </c>
      <c r="E1872" s="11">
        <v>44580</v>
      </c>
      <c r="F1872" s="10">
        <v>4048.8</v>
      </c>
      <c r="G1872" s="12">
        <f>Tabla1[[#This Row],[Importe]]-Tabla1[[#This Row],[Pagado]]</f>
        <v>0</v>
      </c>
      <c r="H1872" s="9" t="s">
        <v>10</v>
      </c>
    </row>
    <row r="1873" spans="1:8" x14ac:dyDescent="0.25">
      <c r="A1873" s="7">
        <v>44580</v>
      </c>
      <c r="B1873" s="8" t="s">
        <v>2214</v>
      </c>
      <c r="C1873" s="9" t="s">
        <v>49</v>
      </c>
      <c r="D1873" s="10">
        <v>2563.6</v>
      </c>
      <c r="E1873" s="11">
        <v>44580</v>
      </c>
      <c r="F1873" s="10">
        <v>2563.6</v>
      </c>
      <c r="G1873" s="12">
        <f>Tabla1[[#This Row],[Importe]]-Tabla1[[#This Row],[Pagado]]</f>
        <v>0</v>
      </c>
      <c r="H1873" s="9" t="s">
        <v>10</v>
      </c>
    </row>
    <row r="1874" spans="1:8" x14ac:dyDescent="0.25">
      <c r="A1874" s="7">
        <v>44580</v>
      </c>
      <c r="B1874" s="8" t="s">
        <v>2215</v>
      </c>
      <c r="C1874" s="9" t="s">
        <v>146</v>
      </c>
      <c r="D1874" s="10">
        <v>1191.2</v>
      </c>
      <c r="E1874" s="11">
        <v>44580</v>
      </c>
      <c r="F1874" s="10">
        <v>1191.2</v>
      </c>
      <c r="G1874" s="12">
        <f>Tabla1[[#This Row],[Importe]]-Tabla1[[#This Row],[Pagado]]</f>
        <v>0</v>
      </c>
      <c r="H1874" s="9" t="s">
        <v>10</v>
      </c>
    </row>
    <row r="1875" spans="1:8" x14ac:dyDescent="0.25">
      <c r="A1875" s="7">
        <v>44580</v>
      </c>
      <c r="B1875" s="8" t="s">
        <v>2216</v>
      </c>
      <c r="C1875" s="9" t="s">
        <v>200</v>
      </c>
      <c r="D1875" s="10">
        <v>498.2</v>
      </c>
      <c r="E1875" s="11">
        <v>44580</v>
      </c>
      <c r="F1875" s="10">
        <v>498.2</v>
      </c>
      <c r="G1875" s="12">
        <f>Tabla1[[#This Row],[Importe]]-Tabla1[[#This Row],[Pagado]]</f>
        <v>0</v>
      </c>
      <c r="H1875" s="9" t="s">
        <v>10</v>
      </c>
    </row>
    <row r="1876" spans="1:8" x14ac:dyDescent="0.25">
      <c r="A1876" s="7">
        <v>44580</v>
      </c>
      <c r="B1876" s="8" t="s">
        <v>2217</v>
      </c>
      <c r="C1876" s="9" t="s">
        <v>87</v>
      </c>
      <c r="D1876" s="10">
        <v>1860.2</v>
      </c>
      <c r="E1876" s="11">
        <v>44580</v>
      </c>
      <c r="F1876" s="10">
        <v>1860.2</v>
      </c>
      <c r="G1876" s="12">
        <f>Tabla1[[#This Row],[Importe]]-Tabla1[[#This Row],[Pagado]]</f>
        <v>0</v>
      </c>
      <c r="H1876" s="9" t="s">
        <v>10</v>
      </c>
    </row>
    <row r="1877" spans="1:8" x14ac:dyDescent="0.25">
      <c r="A1877" s="7">
        <v>44580</v>
      </c>
      <c r="B1877" s="8" t="s">
        <v>2218</v>
      </c>
      <c r="C1877" s="9" t="s">
        <v>161</v>
      </c>
      <c r="D1877" s="10">
        <v>3685.5</v>
      </c>
      <c r="E1877" s="11">
        <v>44580</v>
      </c>
      <c r="F1877" s="10">
        <v>3685.5</v>
      </c>
      <c r="G1877" s="12">
        <f>Tabla1[[#This Row],[Importe]]-Tabla1[[#This Row],[Pagado]]</f>
        <v>0</v>
      </c>
      <c r="H1877" s="9" t="s">
        <v>10</v>
      </c>
    </row>
    <row r="1878" spans="1:8" x14ac:dyDescent="0.25">
      <c r="A1878" s="7">
        <v>44580</v>
      </c>
      <c r="B1878" s="8" t="s">
        <v>2219</v>
      </c>
      <c r="C1878" s="9" t="s">
        <v>218</v>
      </c>
      <c r="D1878" s="10">
        <v>7793.1</v>
      </c>
      <c r="E1878" s="11">
        <v>44586</v>
      </c>
      <c r="F1878" s="10">
        <v>7793.1</v>
      </c>
      <c r="G1878" s="12">
        <f>Tabla1[[#This Row],[Importe]]-Tabla1[[#This Row],[Pagado]]</f>
        <v>0</v>
      </c>
      <c r="H1878" s="9" t="s">
        <v>10</v>
      </c>
    </row>
    <row r="1879" spans="1:8" x14ac:dyDescent="0.25">
      <c r="A1879" s="7">
        <v>44580</v>
      </c>
      <c r="B1879" s="8" t="s">
        <v>2220</v>
      </c>
      <c r="C1879" s="9" t="s">
        <v>175</v>
      </c>
      <c r="D1879" s="10">
        <v>3000.4</v>
      </c>
      <c r="E1879" s="11">
        <v>44580</v>
      </c>
      <c r="F1879" s="10">
        <v>3000.4</v>
      </c>
      <c r="G1879" s="12">
        <f>Tabla1[[#This Row],[Importe]]-Tabla1[[#This Row],[Pagado]]</f>
        <v>0</v>
      </c>
      <c r="H1879" s="9" t="s">
        <v>10</v>
      </c>
    </row>
    <row r="1880" spans="1:8" x14ac:dyDescent="0.25">
      <c r="A1880" s="7">
        <v>44580</v>
      </c>
      <c r="B1880" s="8" t="s">
        <v>2221</v>
      </c>
      <c r="C1880" s="9" t="s">
        <v>45</v>
      </c>
      <c r="D1880" s="10">
        <v>8681.6</v>
      </c>
      <c r="E1880" s="11">
        <v>44580</v>
      </c>
      <c r="F1880" s="10">
        <v>8681.6</v>
      </c>
      <c r="G1880" s="12">
        <f>Tabla1[[#This Row],[Importe]]-Tabla1[[#This Row],[Pagado]]</f>
        <v>0</v>
      </c>
      <c r="H1880" s="9" t="s">
        <v>10</v>
      </c>
    </row>
    <row r="1881" spans="1:8" x14ac:dyDescent="0.25">
      <c r="A1881" s="7">
        <v>44580</v>
      </c>
      <c r="B1881" s="8" t="s">
        <v>2222</v>
      </c>
      <c r="C1881" s="9" t="s">
        <v>24</v>
      </c>
      <c r="D1881" s="10">
        <v>2454.3000000000002</v>
      </c>
      <c r="E1881" s="11">
        <v>44580</v>
      </c>
      <c r="F1881" s="10">
        <v>2454.3000000000002</v>
      </c>
      <c r="G1881" s="12">
        <f>Tabla1[[#This Row],[Importe]]-Tabla1[[#This Row],[Pagado]]</f>
        <v>0</v>
      </c>
      <c r="H1881" s="9" t="s">
        <v>10</v>
      </c>
    </row>
    <row r="1882" spans="1:8" x14ac:dyDescent="0.25">
      <c r="A1882" s="7">
        <v>44580</v>
      </c>
      <c r="B1882" s="8" t="s">
        <v>2223</v>
      </c>
      <c r="C1882" s="9" t="s">
        <v>33</v>
      </c>
      <c r="D1882" s="10">
        <v>1436.8</v>
      </c>
      <c r="E1882" s="11">
        <v>44580</v>
      </c>
      <c r="F1882" s="10">
        <v>1436.8</v>
      </c>
      <c r="G1882" s="12">
        <f>Tabla1[[#This Row],[Importe]]-Tabla1[[#This Row],[Pagado]]</f>
        <v>0</v>
      </c>
      <c r="H1882" s="9" t="s">
        <v>10</v>
      </c>
    </row>
    <row r="1883" spans="1:8" x14ac:dyDescent="0.25">
      <c r="A1883" s="7">
        <v>44580</v>
      </c>
      <c r="B1883" s="8" t="s">
        <v>2224</v>
      </c>
      <c r="C1883" s="9" t="s">
        <v>79</v>
      </c>
      <c r="D1883" s="10">
        <v>4258.2</v>
      </c>
      <c r="E1883" s="11">
        <v>44580</v>
      </c>
      <c r="F1883" s="10">
        <v>4258.2</v>
      </c>
      <c r="G1883" s="12">
        <f>Tabla1[[#This Row],[Importe]]-Tabla1[[#This Row],[Pagado]]</f>
        <v>0</v>
      </c>
      <c r="H1883" s="9" t="s">
        <v>10</v>
      </c>
    </row>
    <row r="1884" spans="1:8" x14ac:dyDescent="0.25">
      <c r="A1884" s="7">
        <v>44580</v>
      </c>
      <c r="B1884" s="8" t="s">
        <v>2225</v>
      </c>
      <c r="C1884" s="9" t="s">
        <v>319</v>
      </c>
      <c r="D1884" s="10">
        <v>5271.6</v>
      </c>
      <c r="E1884" s="11">
        <v>44580</v>
      </c>
      <c r="F1884" s="10">
        <v>5271.6</v>
      </c>
      <c r="G1884" s="12">
        <f>Tabla1[[#This Row],[Importe]]-Tabla1[[#This Row],[Pagado]]</f>
        <v>0</v>
      </c>
      <c r="H1884" s="9" t="s">
        <v>10</v>
      </c>
    </row>
    <row r="1885" spans="1:8" x14ac:dyDescent="0.25">
      <c r="A1885" s="7">
        <v>44580</v>
      </c>
      <c r="B1885" s="8" t="s">
        <v>2226</v>
      </c>
      <c r="C1885" s="9" t="s">
        <v>520</v>
      </c>
      <c r="D1885" s="10">
        <v>5795.9</v>
      </c>
      <c r="E1885" s="11">
        <v>44580</v>
      </c>
      <c r="F1885" s="10">
        <v>5795.9</v>
      </c>
      <c r="G1885" s="12">
        <f>Tabla1[[#This Row],[Importe]]-Tabla1[[#This Row],[Pagado]]</f>
        <v>0</v>
      </c>
      <c r="H1885" s="9" t="s">
        <v>10</v>
      </c>
    </row>
    <row r="1886" spans="1:8" x14ac:dyDescent="0.25">
      <c r="A1886" s="7">
        <v>44580</v>
      </c>
      <c r="B1886" s="8" t="s">
        <v>2227</v>
      </c>
      <c r="C1886" s="9" t="s">
        <v>212</v>
      </c>
      <c r="D1886" s="10">
        <v>18525.400000000001</v>
      </c>
      <c r="E1886" s="11">
        <v>44583</v>
      </c>
      <c r="F1886" s="10">
        <v>18525.400000000001</v>
      </c>
      <c r="G1886" s="12">
        <f>Tabla1[[#This Row],[Importe]]-Tabla1[[#This Row],[Pagado]]</f>
        <v>0</v>
      </c>
      <c r="H1886" s="9" t="s">
        <v>10</v>
      </c>
    </row>
    <row r="1887" spans="1:8" x14ac:dyDescent="0.25">
      <c r="A1887" s="7">
        <v>44580</v>
      </c>
      <c r="B1887" s="8" t="s">
        <v>2228</v>
      </c>
      <c r="C1887" s="9" t="s">
        <v>206</v>
      </c>
      <c r="D1887" s="10">
        <v>25267</v>
      </c>
      <c r="E1887" s="11">
        <v>44586</v>
      </c>
      <c r="F1887" s="10">
        <v>25267</v>
      </c>
      <c r="G1887" s="12">
        <f>Tabla1[[#This Row],[Importe]]-Tabla1[[#This Row],[Pagado]]</f>
        <v>0</v>
      </c>
      <c r="H1887" s="9" t="s">
        <v>10</v>
      </c>
    </row>
    <row r="1888" spans="1:8" x14ac:dyDescent="0.25">
      <c r="A1888" s="7">
        <v>44580</v>
      </c>
      <c r="B1888" s="8" t="s">
        <v>2229</v>
      </c>
      <c r="C1888" s="9" t="s">
        <v>518</v>
      </c>
      <c r="D1888" s="10">
        <v>2330.1</v>
      </c>
      <c r="E1888" s="11">
        <v>44580</v>
      </c>
      <c r="F1888" s="10">
        <v>2330.1</v>
      </c>
      <c r="G1888" s="12">
        <f>Tabla1[[#This Row],[Importe]]-Tabla1[[#This Row],[Pagado]]</f>
        <v>0</v>
      </c>
      <c r="H1888" s="9" t="s">
        <v>10</v>
      </c>
    </row>
    <row r="1889" spans="1:8" x14ac:dyDescent="0.25">
      <c r="A1889" s="7">
        <v>44580</v>
      </c>
      <c r="B1889" s="8" t="s">
        <v>2230</v>
      </c>
      <c r="C1889" s="9" t="s">
        <v>157</v>
      </c>
      <c r="D1889" s="10">
        <v>1153.7</v>
      </c>
      <c r="E1889" s="11">
        <v>44580</v>
      </c>
      <c r="F1889" s="10">
        <v>1153.7</v>
      </c>
      <c r="G1889" s="12">
        <f>Tabla1[[#This Row],[Importe]]-Tabla1[[#This Row],[Pagado]]</f>
        <v>0</v>
      </c>
      <c r="H1889" s="9" t="s">
        <v>10</v>
      </c>
    </row>
    <row r="1890" spans="1:8" x14ac:dyDescent="0.25">
      <c r="A1890" s="7">
        <v>44580</v>
      </c>
      <c r="B1890" s="8" t="s">
        <v>2231</v>
      </c>
      <c r="C1890" s="9" t="s">
        <v>31</v>
      </c>
      <c r="D1890" s="10">
        <v>1910</v>
      </c>
      <c r="E1890" s="11">
        <v>44580</v>
      </c>
      <c r="F1890" s="10">
        <v>1910</v>
      </c>
      <c r="G1890" s="12">
        <f>Tabla1[[#This Row],[Importe]]-Tabla1[[#This Row],[Pagado]]</f>
        <v>0</v>
      </c>
      <c r="H1890" s="9" t="s">
        <v>10</v>
      </c>
    </row>
    <row r="1891" spans="1:8" x14ac:dyDescent="0.25">
      <c r="A1891" s="7">
        <v>44580</v>
      </c>
      <c r="B1891" s="8" t="s">
        <v>2232</v>
      </c>
      <c r="C1891" s="9" t="s">
        <v>31</v>
      </c>
      <c r="D1891" s="10">
        <v>1632</v>
      </c>
      <c r="E1891" s="11">
        <v>44580</v>
      </c>
      <c r="F1891" s="10">
        <v>1632</v>
      </c>
      <c r="G1891" s="12">
        <f>Tabla1[[#This Row],[Importe]]-Tabla1[[#This Row],[Pagado]]</f>
        <v>0</v>
      </c>
      <c r="H1891" s="9" t="s">
        <v>10</v>
      </c>
    </row>
    <row r="1892" spans="1:8" x14ac:dyDescent="0.25">
      <c r="A1892" s="7">
        <v>44580</v>
      </c>
      <c r="B1892" s="8" t="s">
        <v>2233</v>
      </c>
      <c r="C1892" s="9" t="s">
        <v>191</v>
      </c>
      <c r="D1892" s="10">
        <v>3285.5</v>
      </c>
      <c r="E1892" s="11">
        <v>44580</v>
      </c>
      <c r="F1892" s="10">
        <v>3285.5</v>
      </c>
      <c r="G1892" s="12">
        <f>Tabla1[[#This Row],[Importe]]-Tabla1[[#This Row],[Pagado]]</f>
        <v>0</v>
      </c>
      <c r="H1892" s="9" t="s">
        <v>10</v>
      </c>
    </row>
    <row r="1893" spans="1:8" x14ac:dyDescent="0.25">
      <c r="A1893" s="7">
        <v>44580</v>
      </c>
      <c r="B1893" s="8" t="s">
        <v>2234</v>
      </c>
      <c r="C1893" s="9" t="s">
        <v>703</v>
      </c>
      <c r="D1893" s="10">
        <v>8031.6</v>
      </c>
      <c r="E1893" s="11">
        <v>44580</v>
      </c>
      <c r="F1893" s="10">
        <v>8031.6</v>
      </c>
      <c r="G1893" s="12">
        <f>Tabla1[[#This Row],[Importe]]-Tabla1[[#This Row],[Pagado]]</f>
        <v>0</v>
      </c>
      <c r="H1893" s="9" t="s">
        <v>10</v>
      </c>
    </row>
    <row r="1894" spans="1:8" x14ac:dyDescent="0.25">
      <c r="A1894" s="7">
        <v>44580</v>
      </c>
      <c r="B1894" s="8" t="s">
        <v>2235</v>
      </c>
      <c r="C1894" s="9" t="s">
        <v>878</v>
      </c>
      <c r="D1894" s="10">
        <v>3082</v>
      </c>
      <c r="E1894" s="11">
        <v>44580</v>
      </c>
      <c r="F1894" s="10">
        <v>3082</v>
      </c>
      <c r="G1894" s="12">
        <f>Tabla1[[#This Row],[Importe]]-Tabla1[[#This Row],[Pagado]]</f>
        <v>0</v>
      </c>
      <c r="H1894" s="9" t="s">
        <v>10</v>
      </c>
    </row>
    <row r="1895" spans="1:8" x14ac:dyDescent="0.25">
      <c r="A1895" s="7">
        <v>44580</v>
      </c>
      <c r="B1895" s="8" t="s">
        <v>2236</v>
      </c>
      <c r="C1895" s="9" t="s">
        <v>216</v>
      </c>
      <c r="D1895" s="10">
        <v>2110.3000000000002</v>
      </c>
      <c r="E1895" s="11">
        <v>44580</v>
      </c>
      <c r="F1895" s="10">
        <v>2110.3000000000002</v>
      </c>
      <c r="G1895" s="12">
        <f>Tabla1[[#This Row],[Importe]]-Tabla1[[#This Row],[Pagado]]</f>
        <v>0</v>
      </c>
      <c r="H1895" s="9" t="s">
        <v>10</v>
      </c>
    </row>
    <row r="1896" spans="1:8" x14ac:dyDescent="0.25">
      <c r="A1896" s="7">
        <v>44580</v>
      </c>
      <c r="B1896" s="8" t="s">
        <v>2237</v>
      </c>
      <c r="C1896" s="9" t="s">
        <v>275</v>
      </c>
      <c r="D1896" s="10">
        <v>84096</v>
      </c>
      <c r="E1896" s="11">
        <v>44583</v>
      </c>
      <c r="F1896" s="10">
        <v>84096</v>
      </c>
      <c r="G1896" s="12">
        <f>Tabla1[[#This Row],[Importe]]-Tabla1[[#This Row],[Pagado]]</f>
        <v>0</v>
      </c>
      <c r="H1896" s="9" t="s">
        <v>10</v>
      </c>
    </row>
    <row r="1897" spans="1:8" x14ac:dyDescent="0.25">
      <c r="A1897" s="7">
        <v>44580</v>
      </c>
      <c r="B1897" s="8" t="s">
        <v>2238</v>
      </c>
      <c r="C1897" s="9" t="s">
        <v>154</v>
      </c>
      <c r="D1897" s="10">
        <v>51263.8</v>
      </c>
      <c r="E1897" s="11">
        <v>44583</v>
      </c>
      <c r="F1897" s="10">
        <v>51263.8</v>
      </c>
      <c r="G1897" s="12">
        <f>Tabla1[[#This Row],[Importe]]-Tabla1[[#This Row],[Pagado]]</f>
        <v>0</v>
      </c>
      <c r="H1897" s="9" t="s">
        <v>10</v>
      </c>
    </row>
    <row r="1898" spans="1:8" x14ac:dyDescent="0.25">
      <c r="A1898" s="7">
        <v>44580</v>
      </c>
      <c r="B1898" s="8" t="s">
        <v>2239</v>
      </c>
      <c r="C1898" s="9" t="s">
        <v>2240</v>
      </c>
      <c r="D1898" s="10">
        <v>5791.88</v>
      </c>
      <c r="E1898" s="11">
        <v>44580</v>
      </c>
      <c r="F1898" s="10">
        <v>5791.88</v>
      </c>
      <c r="G1898" s="12">
        <f>Tabla1[[#This Row],[Importe]]-Tabla1[[#This Row],[Pagado]]</f>
        <v>0</v>
      </c>
      <c r="H1898" s="9" t="s">
        <v>10</v>
      </c>
    </row>
    <row r="1899" spans="1:8" x14ac:dyDescent="0.25">
      <c r="A1899" s="7">
        <v>44580</v>
      </c>
      <c r="B1899" s="8" t="s">
        <v>2241</v>
      </c>
      <c r="C1899" s="9" t="s">
        <v>555</v>
      </c>
      <c r="D1899" s="10">
        <v>36907.160000000003</v>
      </c>
      <c r="E1899" s="11">
        <v>44580</v>
      </c>
      <c r="F1899" s="10">
        <v>36907.160000000003</v>
      </c>
      <c r="G1899" s="12">
        <f>Tabla1[[#This Row],[Importe]]-Tabla1[[#This Row],[Pagado]]</f>
        <v>0</v>
      </c>
      <c r="H1899" s="9" t="s">
        <v>10</v>
      </c>
    </row>
    <row r="1900" spans="1:8" x14ac:dyDescent="0.25">
      <c r="A1900" s="7">
        <v>44580</v>
      </c>
      <c r="B1900" s="8" t="s">
        <v>2242</v>
      </c>
      <c r="C1900" s="9" t="s">
        <v>131</v>
      </c>
      <c r="D1900" s="10">
        <v>7042.6</v>
      </c>
      <c r="E1900" s="11">
        <v>44580</v>
      </c>
      <c r="F1900" s="10">
        <v>7042.6</v>
      </c>
      <c r="G1900" s="12">
        <f>Tabla1[[#This Row],[Importe]]-Tabla1[[#This Row],[Pagado]]</f>
        <v>0</v>
      </c>
      <c r="H1900" s="9" t="s">
        <v>10</v>
      </c>
    </row>
    <row r="1901" spans="1:8" x14ac:dyDescent="0.25">
      <c r="A1901" s="7">
        <v>44580</v>
      </c>
      <c r="B1901" s="8" t="s">
        <v>2243</v>
      </c>
      <c r="C1901" s="9" t="s">
        <v>173</v>
      </c>
      <c r="D1901" s="10">
        <v>25670.6</v>
      </c>
      <c r="E1901" s="11">
        <v>44581</v>
      </c>
      <c r="F1901" s="10">
        <v>25670.6</v>
      </c>
      <c r="G1901" s="12">
        <f>Tabla1[[#This Row],[Importe]]-Tabla1[[#This Row],[Pagado]]</f>
        <v>0</v>
      </c>
      <c r="H1901" s="9" t="s">
        <v>10</v>
      </c>
    </row>
    <row r="1902" spans="1:8" x14ac:dyDescent="0.25">
      <c r="A1902" s="7">
        <v>44580</v>
      </c>
      <c r="B1902" s="8" t="s">
        <v>2244</v>
      </c>
      <c r="C1902" s="9" t="s">
        <v>135</v>
      </c>
      <c r="D1902" s="10">
        <v>1320</v>
      </c>
      <c r="E1902" s="11">
        <v>44580</v>
      </c>
      <c r="F1902" s="10">
        <v>1320</v>
      </c>
      <c r="G1902" s="12">
        <f>Tabla1[[#This Row],[Importe]]-Tabla1[[#This Row],[Pagado]]</f>
        <v>0</v>
      </c>
      <c r="H1902" s="9" t="s">
        <v>10</v>
      </c>
    </row>
    <row r="1903" spans="1:8" x14ac:dyDescent="0.25">
      <c r="A1903" s="7">
        <v>44580</v>
      </c>
      <c r="B1903" s="8" t="s">
        <v>2245</v>
      </c>
      <c r="C1903" s="9" t="s">
        <v>179</v>
      </c>
      <c r="D1903" s="10">
        <v>465.3</v>
      </c>
      <c r="E1903" s="11">
        <v>44580</v>
      </c>
      <c r="F1903" s="10">
        <v>465.3</v>
      </c>
      <c r="G1903" s="12">
        <f>Tabla1[[#This Row],[Importe]]-Tabla1[[#This Row],[Pagado]]</f>
        <v>0</v>
      </c>
      <c r="H1903" s="9" t="s">
        <v>10</v>
      </c>
    </row>
    <row r="1904" spans="1:8" x14ac:dyDescent="0.25">
      <c r="A1904" s="7">
        <v>44580</v>
      </c>
      <c r="B1904" s="8" t="s">
        <v>2246</v>
      </c>
      <c r="C1904" s="9" t="s">
        <v>592</v>
      </c>
      <c r="D1904" s="10">
        <v>11240.4</v>
      </c>
      <c r="E1904" s="11">
        <v>44581</v>
      </c>
      <c r="F1904" s="10">
        <v>11240.4</v>
      </c>
      <c r="G1904" s="12">
        <f>Tabla1[[#This Row],[Importe]]-Tabla1[[#This Row],[Pagado]]</f>
        <v>0</v>
      </c>
      <c r="H1904" s="9" t="s">
        <v>10</v>
      </c>
    </row>
    <row r="1905" spans="1:8" x14ac:dyDescent="0.25">
      <c r="A1905" s="7">
        <v>44580</v>
      </c>
      <c r="B1905" s="8" t="s">
        <v>2247</v>
      </c>
      <c r="C1905" s="9" t="s">
        <v>2248</v>
      </c>
      <c r="D1905" s="10">
        <v>0</v>
      </c>
      <c r="E1905" s="13" t="s">
        <v>189</v>
      </c>
      <c r="F1905" s="10">
        <v>0</v>
      </c>
      <c r="G1905" s="12">
        <f>Tabla1[[#This Row],[Importe]]-Tabla1[[#This Row],[Pagado]]</f>
        <v>0</v>
      </c>
      <c r="H1905" s="9" t="s">
        <v>189</v>
      </c>
    </row>
    <row r="1906" spans="1:8" x14ac:dyDescent="0.25">
      <c r="A1906" s="7">
        <v>44580</v>
      </c>
      <c r="B1906" s="8" t="s">
        <v>2249</v>
      </c>
      <c r="C1906" s="9" t="s">
        <v>237</v>
      </c>
      <c r="D1906" s="10">
        <v>2404.8000000000002</v>
      </c>
      <c r="E1906" s="11">
        <v>44580</v>
      </c>
      <c r="F1906" s="10">
        <v>2404.8000000000002</v>
      </c>
      <c r="G1906" s="12">
        <f>Tabla1[[#This Row],[Importe]]-Tabla1[[#This Row],[Pagado]]</f>
        <v>0</v>
      </c>
      <c r="H1906" s="9" t="s">
        <v>10</v>
      </c>
    </row>
    <row r="1907" spans="1:8" x14ac:dyDescent="0.25">
      <c r="A1907" s="7">
        <v>44580</v>
      </c>
      <c r="B1907" s="8" t="s">
        <v>2250</v>
      </c>
      <c r="C1907" s="9" t="s">
        <v>1644</v>
      </c>
      <c r="D1907" s="10">
        <v>7924.2</v>
      </c>
      <c r="E1907" s="11">
        <v>44581</v>
      </c>
      <c r="F1907" s="10">
        <v>7924.2</v>
      </c>
      <c r="G1907" s="12">
        <f>Tabla1[[#This Row],[Importe]]-Tabla1[[#This Row],[Pagado]]</f>
        <v>0</v>
      </c>
      <c r="H1907" s="9" t="s">
        <v>10</v>
      </c>
    </row>
    <row r="1908" spans="1:8" x14ac:dyDescent="0.25">
      <c r="A1908" s="7">
        <v>44580</v>
      </c>
      <c r="B1908" s="8" t="s">
        <v>2251</v>
      </c>
      <c r="C1908" s="9" t="s">
        <v>1630</v>
      </c>
      <c r="D1908" s="10">
        <v>5521.2</v>
      </c>
      <c r="E1908" s="11">
        <v>44581</v>
      </c>
      <c r="F1908" s="10">
        <v>5521.2</v>
      </c>
      <c r="G1908" s="12">
        <f>Tabla1[[#This Row],[Importe]]-Tabla1[[#This Row],[Pagado]]</f>
        <v>0</v>
      </c>
      <c r="H1908" s="9" t="s">
        <v>10</v>
      </c>
    </row>
    <row r="1909" spans="1:8" x14ac:dyDescent="0.25">
      <c r="A1909" s="7">
        <v>44580</v>
      </c>
      <c r="B1909" s="8" t="s">
        <v>2252</v>
      </c>
      <c r="C1909" s="9" t="s">
        <v>31</v>
      </c>
      <c r="D1909" s="10">
        <v>4765.8</v>
      </c>
      <c r="E1909" s="11">
        <v>44581</v>
      </c>
      <c r="F1909" s="10">
        <v>4765.8</v>
      </c>
      <c r="G1909" s="12">
        <f>Tabla1[[#This Row],[Importe]]-Tabla1[[#This Row],[Pagado]]</f>
        <v>0</v>
      </c>
      <c r="H1909" s="9" t="s">
        <v>10</v>
      </c>
    </row>
    <row r="1910" spans="1:8" x14ac:dyDescent="0.25">
      <c r="A1910" s="7">
        <v>44580</v>
      </c>
      <c r="B1910" s="8" t="s">
        <v>2253</v>
      </c>
      <c r="C1910" s="9" t="s">
        <v>31</v>
      </c>
      <c r="D1910" s="10">
        <v>1786.4</v>
      </c>
      <c r="E1910" s="11">
        <v>44581</v>
      </c>
      <c r="F1910" s="10">
        <v>1786.4</v>
      </c>
      <c r="G1910" s="12">
        <f>Tabla1[[#This Row],[Importe]]-Tabla1[[#This Row],[Pagado]]</f>
        <v>0</v>
      </c>
      <c r="H1910" s="9" t="s">
        <v>10</v>
      </c>
    </row>
    <row r="1911" spans="1:8" x14ac:dyDescent="0.25">
      <c r="A1911" s="7">
        <v>44580</v>
      </c>
      <c r="B1911" s="8" t="s">
        <v>2254</v>
      </c>
      <c r="C1911" s="9" t="s">
        <v>133</v>
      </c>
      <c r="D1911" s="10">
        <v>8784.2999999999993</v>
      </c>
      <c r="E1911" s="11">
        <v>44581</v>
      </c>
      <c r="F1911" s="10">
        <v>8784.2999999999993</v>
      </c>
      <c r="G1911" s="12">
        <f>Tabla1[[#This Row],[Importe]]-Tabla1[[#This Row],[Pagado]]</f>
        <v>0</v>
      </c>
      <c r="H1911" s="9" t="s">
        <v>10</v>
      </c>
    </row>
    <row r="1912" spans="1:8" x14ac:dyDescent="0.25">
      <c r="A1912" s="7">
        <v>44580</v>
      </c>
      <c r="B1912" s="8" t="s">
        <v>2255</v>
      </c>
      <c r="C1912" s="9" t="s">
        <v>541</v>
      </c>
      <c r="D1912" s="10">
        <v>9240</v>
      </c>
      <c r="E1912" s="11">
        <v>44581</v>
      </c>
      <c r="F1912" s="10">
        <v>9240</v>
      </c>
      <c r="G1912" s="12">
        <f>Tabla1[[#This Row],[Importe]]-Tabla1[[#This Row],[Pagado]]</f>
        <v>0</v>
      </c>
      <c r="H1912" s="9" t="s">
        <v>10</v>
      </c>
    </row>
    <row r="1913" spans="1:8" x14ac:dyDescent="0.25">
      <c r="A1913" s="7">
        <v>44580</v>
      </c>
      <c r="B1913" s="8" t="s">
        <v>2256</v>
      </c>
      <c r="C1913" s="9" t="s">
        <v>31</v>
      </c>
      <c r="D1913" s="10">
        <v>1142.4000000000001</v>
      </c>
      <c r="E1913" s="11">
        <v>44580</v>
      </c>
      <c r="F1913" s="10">
        <v>1142.4000000000001</v>
      </c>
      <c r="G1913" s="12">
        <f>Tabla1[[#This Row],[Importe]]-Tabla1[[#This Row],[Pagado]]</f>
        <v>0</v>
      </c>
      <c r="H1913" s="9" t="s">
        <v>10</v>
      </c>
    </row>
    <row r="1914" spans="1:8" x14ac:dyDescent="0.25">
      <c r="A1914" s="7">
        <v>44580</v>
      </c>
      <c r="B1914" s="8" t="s">
        <v>2257</v>
      </c>
      <c r="C1914" s="9" t="s">
        <v>1987</v>
      </c>
      <c r="D1914" s="10">
        <v>19904</v>
      </c>
      <c r="E1914" s="11">
        <v>44580</v>
      </c>
      <c r="F1914" s="10">
        <v>19904</v>
      </c>
      <c r="G1914" s="12">
        <f>Tabla1[[#This Row],[Importe]]-Tabla1[[#This Row],[Pagado]]</f>
        <v>0</v>
      </c>
      <c r="H1914" s="9" t="s">
        <v>10</v>
      </c>
    </row>
    <row r="1915" spans="1:8" x14ac:dyDescent="0.25">
      <c r="A1915" s="7">
        <v>44580</v>
      </c>
      <c r="B1915" s="8" t="s">
        <v>2258</v>
      </c>
      <c r="C1915" s="9" t="s">
        <v>843</v>
      </c>
      <c r="D1915" s="10">
        <v>34992</v>
      </c>
      <c r="E1915" s="11">
        <v>44580</v>
      </c>
      <c r="F1915" s="10">
        <v>34992</v>
      </c>
      <c r="G1915" s="12">
        <f>Tabla1[[#This Row],[Importe]]-Tabla1[[#This Row],[Pagado]]</f>
        <v>0</v>
      </c>
      <c r="H1915" s="9" t="s">
        <v>10</v>
      </c>
    </row>
    <row r="1916" spans="1:8" x14ac:dyDescent="0.25">
      <c r="A1916" s="7">
        <v>44580</v>
      </c>
      <c r="B1916" s="8" t="s">
        <v>2259</v>
      </c>
      <c r="C1916" s="9" t="s">
        <v>732</v>
      </c>
      <c r="D1916" s="10">
        <v>3135.6</v>
      </c>
      <c r="E1916" s="11">
        <v>44580</v>
      </c>
      <c r="F1916" s="10">
        <v>3135.6</v>
      </c>
      <c r="G1916" s="12">
        <f>Tabla1[[#This Row],[Importe]]-Tabla1[[#This Row],[Pagado]]</f>
        <v>0</v>
      </c>
      <c r="H1916" s="9" t="s">
        <v>10</v>
      </c>
    </row>
    <row r="1917" spans="1:8" x14ac:dyDescent="0.25">
      <c r="A1917" s="7">
        <v>44580</v>
      </c>
      <c r="B1917" s="8" t="s">
        <v>2260</v>
      </c>
      <c r="C1917" s="9" t="s">
        <v>698</v>
      </c>
      <c r="D1917" s="10">
        <v>4684.8</v>
      </c>
      <c r="E1917" s="11">
        <v>44580</v>
      </c>
      <c r="F1917" s="10">
        <v>4684.8</v>
      </c>
      <c r="G1917" s="12">
        <f>Tabla1[[#This Row],[Importe]]-Tabla1[[#This Row],[Pagado]]</f>
        <v>0</v>
      </c>
      <c r="H1917" s="9" t="s">
        <v>10</v>
      </c>
    </row>
    <row r="1918" spans="1:8" x14ac:dyDescent="0.25">
      <c r="A1918" s="7">
        <v>44580</v>
      </c>
      <c r="B1918" s="8" t="s">
        <v>2261</v>
      </c>
      <c r="C1918" s="9" t="s">
        <v>58</v>
      </c>
      <c r="D1918" s="10">
        <v>3564.8</v>
      </c>
      <c r="E1918" s="11">
        <v>44580</v>
      </c>
      <c r="F1918" s="10">
        <v>3564.8</v>
      </c>
      <c r="G1918" s="12">
        <f>Tabla1[[#This Row],[Importe]]-Tabla1[[#This Row],[Pagado]]</f>
        <v>0</v>
      </c>
      <c r="H1918" s="9" t="s">
        <v>10</v>
      </c>
    </row>
    <row r="1919" spans="1:8" x14ac:dyDescent="0.25">
      <c r="A1919" s="7">
        <v>44580</v>
      </c>
      <c r="B1919" s="8" t="s">
        <v>2262</v>
      </c>
      <c r="C1919" s="9" t="s">
        <v>235</v>
      </c>
      <c r="D1919" s="10">
        <v>10395.4</v>
      </c>
      <c r="E1919" s="11">
        <v>44580</v>
      </c>
      <c r="F1919" s="10">
        <v>10395.4</v>
      </c>
      <c r="G1919" s="12">
        <f>Tabla1[[#This Row],[Importe]]-Tabla1[[#This Row],[Pagado]]</f>
        <v>0</v>
      </c>
      <c r="H1919" s="9" t="s">
        <v>10</v>
      </c>
    </row>
    <row r="1920" spans="1:8" x14ac:dyDescent="0.25">
      <c r="A1920" s="7">
        <v>44580</v>
      </c>
      <c r="B1920" s="8" t="s">
        <v>2263</v>
      </c>
      <c r="C1920" s="9" t="s">
        <v>53</v>
      </c>
      <c r="D1920" s="10">
        <v>2667.5</v>
      </c>
      <c r="E1920" s="11">
        <v>44580</v>
      </c>
      <c r="F1920" s="10">
        <v>2667.5</v>
      </c>
      <c r="G1920" s="12">
        <f>Tabla1[[#This Row],[Importe]]-Tabla1[[#This Row],[Pagado]]</f>
        <v>0</v>
      </c>
      <c r="H1920" s="9" t="s">
        <v>10</v>
      </c>
    </row>
    <row r="1921" spans="1:8" x14ac:dyDescent="0.25">
      <c r="A1921" s="7">
        <v>44580</v>
      </c>
      <c r="B1921" s="8" t="s">
        <v>2264</v>
      </c>
      <c r="C1921" s="9" t="s">
        <v>237</v>
      </c>
      <c r="D1921" s="10">
        <v>1898</v>
      </c>
      <c r="E1921" s="11">
        <v>44580</v>
      </c>
      <c r="F1921" s="10">
        <v>1898</v>
      </c>
      <c r="G1921" s="12">
        <f>Tabla1[[#This Row],[Importe]]-Tabla1[[#This Row],[Pagado]]</f>
        <v>0</v>
      </c>
      <c r="H1921" s="9" t="s">
        <v>10</v>
      </c>
    </row>
    <row r="1922" spans="1:8" x14ac:dyDescent="0.25">
      <c r="A1922" s="7">
        <v>44580</v>
      </c>
      <c r="B1922" s="8" t="s">
        <v>2265</v>
      </c>
      <c r="C1922" s="9" t="s">
        <v>62</v>
      </c>
      <c r="D1922" s="10">
        <v>3609.6</v>
      </c>
      <c r="E1922" s="11">
        <v>44580</v>
      </c>
      <c r="F1922" s="10">
        <v>3609.6</v>
      </c>
      <c r="G1922" s="12">
        <f>Tabla1[[#This Row],[Importe]]-Tabla1[[#This Row],[Pagado]]</f>
        <v>0</v>
      </c>
      <c r="H1922" s="9" t="s">
        <v>10</v>
      </c>
    </row>
    <row r="1923" spans="1:8" x14ac:dyDescent="0.25">
      <c r="A1923" s="7">
        <v>44580</v>
      </c>
      <c r="B1923" s="8" t="s">
        <v>2266</v>
      </c>
      <c r="C1923" s="9" t="s">
        <v>1421</v>
      </c>
      <c r="D1923" s="10">
        <v>30042</v>
      </c>
      <c r="E1923" s="11">
        <v>44580</v>
      </c>
      <c r="F1923" s="10">
        <v>30042</v>
      </c>
      <c r="G1923" s="12">
        <f>Tabla1[[#This Row],[Importe]]-Tabla1[[#This Row],[Pagado]]</f>
        <v>0</v>
      </c>
      <c r="H1923" s="9" t="s">
        <v>10</v>
      </c>
    </row>
    <row r="1924" spans="1:8" x14ac:dyDescent="0.25">
      <c r="A1924" s="7">
        <v>44580</v>
      </c>
      <c r="B1924" s="8" t="s">
        <v>2267</v>
      </c>
      <c r="C1924" s="9" t="s">
        <v>857</v>
      </c>
      <c r="D1924" s="10">
        <v>185.6</v>
      </c>
      <c r="E1924" s="11">
        <v>44580</v>
      </c>
      <c r="F1924" s="10">
        <v>185.6</v>
      </c>
      <c r="G1924" s="12">
        <f>Tabla1[[#This Row],[Importe]]-Tabla1[[#This Row],[Pagado]]</f>
        <v>0</v>
      </c>
      <c r="H1924" s="9" t="s">
        <v>10</v>
      </c>
    </row>
    <row r="1925" spans="1:8" x14ac:dyDescent="0.25">
      <c r="A1925" s="7">
        <v>44580</v>
      </c>
      <c r="B1925" s="8" t="s">
        <v>2268</v>
      </c>
      <c r="C1925" s="9" t="s">
        <v>69</v>
      </c>
      <c r="D1925" s="10">
        <v>2222.4</v>
      </c>
      <c r="E1925" s="11">
        <v>44580</v>
      </c>
      <c r="F1925" s="10">
        <v>2222.4</v>
      </c>
      <c r="G1925" s="12">
        <f>Tabla1[[#This Row],[Importe]]-Tabla1[[#This Row],[Pagado]]</f>
        <v>0</v>
      </c>
      <c r="H1925" s="9" t="s">
        <v>10</v>
      </c>
    </row>
    <row r="1926" spans="1:8" x14ac:dyDescent="0.25">
      <c r="A1926" s="7">
        <v>44580</v>
      </c>
      <c r="B1926" s="8" t="s">
        <v>2269</v>
      </c>
      <c r="C1926" s="9" t="s">
        <v>282</v>
      </c>
      <c r="D1926" s="10">
        <v>2016</v>
      </c>
      <c r="E1926" s="11">
        <v>44581</v>
      </c>
      <c r="F1926" s="10">
        <v>2016</v>
      </c>
      <c r="G1926" s="12">
        <f>Tabla1[[#This Row],[Importe]]-Tabla1[[#This Row],[Pagado]]</f>
        <v>0</v>
      </c>
      <c r="H1926" s="9" t="s">
        <v>10</v>
      </c>
    </row>
    <row r="1927" spans="1:8" x14ac:dyDescent="0.25">
      <c r="A1927" s="7">
        <v>44580</v>
      </c>
      <c r="B1927" s="8" t="s">
        <v>2270</v>
      </c>
      <c r="C1927" s="9" t="s">
        <v>284</v>
      </c>
      <c r="D1927" s="10">
        <v>6019.2</v>
      </c>
      <c r="E1927" s="11">
        <v>44581</v>
      </c>
      <c r="F1927" s="10">
        <v>6019.2</v>
      </c>
      <c r="G1927" s="12">
        <f>Tabla1[[#This Row],[Importe]]-Tabla1[[#This Row],[Pagado]]</f>
        <v>0</v>
      </c>
      <c r="H1927" s="9" t="s">
        <v>10</v>
      </c>
    </row>
    <row r="1928" spans="1:8" x14ac:dyDescent="0.25">
      <c r="A1928" s="7">
        <v>44580</v>
      </c>
      <c r="B1928" s="8" t="s">
        <v>2271</v>
      </c>
      <c r="C1928" s="9" t="s">
        <v>280</v>
      </c>
      <c r="D1928" s="10">
        <v>499.2</v>
      </c>
      <c r="E1928" s="11">
        <v>44581</v>
      </c>
      <c r="F1928" s="10">
        <v>499.2</v>
      </c>
      <c r="G1928" s="12">
        <f>Tabla1[[#This Row],[Importe]]-Tabla1[[#This Row],[Pagado]]</f>
        <v>0</v>
      </c>
      <c r="H1928" s="9" t="s">
        <v>10</v>
      </c>
    </row>
    <row r="1929" spans="1:8" x14ac:dyDescent="0.25">
      <c r="A1929" s="7">
        <v>44580</v>
      </c>
      <c r="B1929" s="8" t="s">
        <v>2272</v>
      </c>
      <c r="C1929" s="9" t="s">
        <v>2273</v>
      </c>
      <c r="D1929" s="10">
        <v>0</v>
      </c>
      <c r="E1929" s="13" t="s">
        <v>189</v>
      </c>
      <c r="F1929" s="10">
        <v>0</v>
      </c>
      <c r="G1929" s="12">
        <f>Tabla1[[#This Row],[Importe]]-Tabla1[[#This Row],[Pagado]]</f>
        <v>0</v>
      </c>
      <c r="H1929" s="9" t="s">
        <v>189</v>
      </c>
    </row>
    <row r="1930" spans="1:8" x14ac:dyDescent="0.25">
      <c r="A1930" s="7">
        <v>44580</v>
      </c>
      <c r="B1930" s="8" t="s">
        <v>2274</v>
      </c>
      <c r="C1930" s="9" t="s">
        <v>419</v>
      </c>
      <c r="D1930" s="10">
        <v>6307.1</v>
      </c>
      <c r="E1930" s="11">
        <v>44580</v>
      </c>
      <c r="F1930" s="10">
        <v>6307.1</v>
      </c>
      <c r="G1930" s="12">
        <f>Tabla1[[#This Row],[Importe]]-Tabla1[[#This Row],[Pagado]]</f>
        <v>0</v>
      </c>
      <c r="H1930" s="9" t="s">
        <v>10</v>
      </c>
    </row>
    <row r="1931" spans="1:8" x14ac:dyDescent="0.25">
      <c r="A1931" s="7">
        <v>44580</v>
      </c>
      <c r="B1931" s="8" t="s">
        <v>2275</v>
      </c>
      <c r="C1931" s="9" t="s">
        <v>131</v>
      </c>
      <c r="D1931" s="10">
        <v>1000.7</v>
      </c>
      <c r="E1931" s="11">
        <v>44580</v>
      </c>
      <c r="F1931" s="10">
        <v>1000.7</v>
      </c>
      <c r="G1931" s="12">
        <f>Tabla1[[#This Row],[Importe]]-Tabla1[[#This Row],[Pagado]]</f>
        <v>0</v>
      </c>
      <c r="H1931" s="9" t="s">
        <v>10</v>
      </c>
    </row>
    <row r="1932" spans="1:8" x14ac:dyDescent="0.25">
      <c r="A1932" s="7">
        <v>44580</v>
      </c>
      <c r="B1932" s="8" t="s">
        <v>2276</v>
      </c>
      <c r="C1932" s="9" t="s">
        <v>273</v>
      </c>
      <c r="D1932" s="10">
        <v>28432</v>
      </c>
      <c r="E1932" s="11">
        <v>44580</v>
      </c>
      <c r="F1932" s="10">
        <v>28432</v>
      </c>
      <c r="G1932" s="12">
        <f>Tabla1[[#This Row],[Importe]]-Tabla1[[#This Row],[Pagado]]</f>
        <v>0</v>
      </c>
      <c r="H1932" s="9" t="s">
        <v>10</v>
      </c>
    </row>
    <row r="1933" spans="1:8" x14ac:dyDescent="0.25">
      <c r="A1933" s="7">
        <v>44580</v>
      </c>
      <c r="B1933" s="8" t="s">
        <v>2277</v>
      </c>
      <c r="C1933" s="9" t="s">
        <v>301</v>
      </c>
      <c r="D1933" s="10">
        <v>19039.8</v>
      </c>
      <c r="E1933" s="11">
        <v>44580</v>
      </c>
      <c r="F1933" s="10">
        <v>19039.8</v>
      </c>
      <c r="G1933" s="12">
        <f>Tabla1[[#This Row],[Importe]]-Tabla1[[#This Row],[Pagado]]</f>
        <v>0</v>
      </c>
      <c r="H1933" s="9" t="s">
        <v>10</v>
      </c>
    </row>
    <row r="1934" spans="1:8" x14ac:dyDescent="0.25">
      <c r="A1934" s="7">
        <v>44580</v>
      </c>
      <c r="B1934" s="8" t="s">
        <v>2278</v>
      </c>
      <c r="C1934" s="9" t="s">
        <v>373</v>
      </c>
      <c r="D1934" s="10">
        <v>80</v>
      </c>
      <c r="E1934" s="11">
        <v>44580</v>
      </c>
      <c r="F1934" s="10">
        <v>80</v>
      </c>
      <c r="G1934" s="12">
        <f>Tabla1[[#This Row],[Importe]]-Tabla1[[#This Row],[Pagado]]</f>
        <v>0</v>
      </c>
      <c r="H1934" s="9" t="s">
        <v>10</v>
      </c>
    </row>
    <row r="1935" spans="1:8" x14ac:dyDescent="0.25">
      <c r="A1935" s="7">
        <v>44580</v>
      </c>
      <c r="B1935" s="8" t="s">
        <v>2279</v>
      </c>
      <c r="C1935" s="9" t="s">
        <v>610</v>
      </c>
      <c r="D1935" s="10">
        <v>23075.200000000001</v>
      </c>
      <c r="E1935" s="11">
        <v>44580</v>
      </c>
      <c r="F1935" s="10">
        <v>23075.200000000001</v>
      </c>
      <c r="G1935" s="12">
        <f>Tabla1[[#This Row],[Importe]]-Tabla1[[#This Row],[Pagado]]</f>
        <v>0</v>
      </c>
      <c r="H1935" s="9" t="s">
        <v>10</v>
      </c>
    </row>
    <row r="1936" spans="1:8" x14ac:dyDescent="0.25">
      <c r="A1936" s="7">
        <v>44580</v>
      </c>
      <c r="B1936" s="8" t="s">
        <v>2280</v>
      </c>
      <c r="C1936" s="9" t="s">
        <v>289</v>
      </c>
      <c r="D1936" s="10">
        <v>7200</v>
      </c>
      <c r="E1936" s="11">
        <v>44580</v>
      </c>
      <c r="F1936" s="10">
        <v>7200</v>
      </c>
      <c r="G1936" s="12">
        <f>Tabla1[[#This Row],[Importe]]-Tabla1[[#This Row],[Pagado]]</f>
        <v>0</v>
      </c>
      <c r="H1936" s="9" t="s">
        <v>10</v>
      </c>
    </row>
    <row r="1937" spans="1:8" x14ac:dyDescent="0.25">
      <c r="A1937" s="7">
        <v>44580</v>
      </c>
      <c r="B1937" s="8" t="s">
        <v>2281</v>
      </c>
      <c r="C1937" s="9" t="s">
        <v>414</v>
      </c>
      <c r="D1937" s="10">
        <v>2394</v>
      </c>
      <c r="E1937" s="11">
        <v>44620</v>
      </c>
      <c r="F1937" s="10">
        <v>2394</v>
      </c>
      <c r="G1937" s="12">
        <f>Tabla1[[#This Row],[Importe]]-Tabla1[[#This Row],[Pagado]]</f>
        <v>0</v>
      </c>
      <c r="H1937" s="9" t="s">
        <v>10</v>
      </c>
    </row>
    <row r="1938" spans="1:8" x14ac:dyDescent="0.25">
      <c r="A1938" s="7">
        <v>44580</v>
      </c>
      <c r="B1938" s="8" t="s">
        <v>2282</v>
      </c>
      <c r="C1938" s="9" t="s">
        <v>452</v>
      </c>
      <c r="D1938" s="10">
        <v>1696</v>
      </c>
      <c r="E1938" s="11">
        <v>44580</v>
      </c>
      <c r="F1938" s="10">
        <v>1696</v>
      </c>
      <c r="G1938" s="12">
        <f>Tabla1[[#This Row],[Importe]]-Tabla1[[#This Row],[Pagado]]</f>
        <v>0</v>
      </c>
      <c r="H1938" s="9" t="s">
        <v>10</v>
      </c>
    </row>
    <row r="1939" spans="1:8" x14ac:dyDescent="0.25">
      <c r="A1939" s="7">
        <v>44580</v>
      </c>
      <c r="B1939" s="8" t="s">
        <v>2283</v>
      </c>
      <c r="C1939" s="9" t="s">
        <v>31</v>
      </c>
      <c r="D1939" s="10">
        <v>138</v>
      </c>
      <c r="E1939" s="11">
        <v>44581</v>
      </c>
      <c r="F1939" s="10">
        <v>138</v>
      </c>
      <c r="G1939" s="12">
        <f>Tabla1[[#This Row],[Importe]]-Tabla1[[#This Row],[Pagado]]</f>
        <v>0</v>
      </c>
      <c r="H1939" s="9" t="s">
        <v>10</v>
      </c>
    </row>
    <row r="1940" spans="1:8" x14ac:dyDescent="0.25">
      <c r="A1940" s="7">
        <v>44581</v>
      </c>
      <c r="B1940" s="8" t="s">
        <v>2284</v>
      </c>
      <c r="C1940" s="9" t="s">
        <v>20</v>
      </c>
      <c r="D1940" s="10">
        <v>5768</v>
      </c>
      <c r="E1940" s="11">
        <v>44581</v>
      </c>
      <c r="F1940" s="10">
        <v>5768</v>
      </c>
      <c r="G1940" s="12">
        <f>Tabla1[[#This Row],[Importe]]-Tabla1[[#This Row],[Pagado]]</f>
        <v>0</v>
      </c>
      <c r="H1940" s="9" t="s">
        <v>10</v>
      </c>
    </row>
    <row r="1941" spans="1:8" x14ac:dyDescent="0.25">
      <c r="A1941" s="7">
        <v>44581</v>
      </c>
      <c r="B1941" s="8" t="s">
        <v>2285</v>
      </c>
      <c r="C1941" s="9" t="s">
        <v>887</v>
      </c>
      <c r="D1941" s="10">
        <v>8407.7999999999993</v>
      </c>
      <c r="E1941" s="11">
        <v>44582</v>
      </c>
      <c r="F1941" s="10">
        <v>8407.7999999999993</v>
      </c>
      <c r="G1941" s="12">
        <f>Tabla1[[#This Row],[Importe]]-Tabla1[[#This Row],[Pagado]]</f>
        <v>0</v>
      </c>
      <c r="H1941" s="9" t="s">
        <v>10</v>
      </c>
    </row>
    <row r="1942" spans="1:8" x14ac:dyDescent="0.25">
      <c r="A1942" s="7">
        <v>44581</v>
      </c>
      <c r="B1942" s="8" t="s">
        <v>2286</v>
      </c>
      <c r="C1942" s="9" t="s">
        <v>83</v>
      </c>
      <c r="D1942" s="10">
        <v>4366.5</v>
      </c>
      <c r="E1942" s="11">
        <v>44581</v>
      </c>
      <c r="F1942" s="10">
        <v>4366.5</v>
      </c>
      <c r="G1942" s="12">
        <f>Tabla1[[#This Row],[Importe]]-Tabla1[[#This Row],[Pagado]]</f>
        <v>0</v>
      </c>
      <c r="H1942" s="9" t="s">
        <v>10</v>
      </c>
    </row>
    <row r="1943" spans="1:8" x14ac:dyDescent="0.25">
      <c r="A1943" s="7">
        <v>44581</v>
      </c>
      <c r="B1943" s="8" t="s">
        <v>2287</v>
      </c>
      <c r="C1943" s="9" t="s">
        <v>87</v>
      </c>
      <c r="D1943" s="10">
        <v>2242.4</v>
      </c>
      <c r="E1943" s="11">
        <v>44581</v>
      </c>
      <c r="F1943" s="10">
        <v>2242.4</v>
      </c>
      <c r="G1943" s="12">
        <f>Tabla1[[#This Row],[Importe]]-Tabla1[[#This Row],[Pagado]]</f>
        <v>0</v>
      </c>
      <c r="H1943" s="9" t="s">
        <v>10</v>
      </c>
    </row>
    <row r="1944" spans="1:8" x14ac:dyDescent="0.25">
      <c r="A1944" s="7">
        <v>44581</v>
      </c>
      <c r="B1944" s="8" t="s">
        <v>2288</v>
      </c>
      <c r="C1944" s="9" t="s">
        <v>12</v>
      </c>
      <c r="D1944" s="10">
        <v>8091.1</v>
      </c>
      <c r="E1944" s="11">
        <v>44581</v>
      </c>
      <c r="F1944" s="10">
        <v>8091.1</v>
      </c>
      <c r="G1944" s="12">
        <f>Tabla1[[#This Row],[Importe]]-Tabla1[[#This Row],[Pagado]]</f>
        <v>0</v>
      </c>
      <c r="H1944" s="9" t="s">
        <v>10</v>
      </c>
    </row>
    <row r="1945" spans="1:8" x14ac:dyDescent="0.25">
      <c r="A1945" s="7">
        <v>44581</v>
      </c>
      <c r="B1945" s="8" t="s">
        <v>2289</v>
      </c>
      <c r="C1945" s="9" t="s">
        <v>125</v>
      </c>
      <c r="D1945" s="10">
        <v>777.6</v>
      </c>
      <c r="E1945" s="11">
        <v>44581</v>
      </c>
      <c r="F1945" s="10">
        <v>777.6</v>
      </c>
      <c r="G1945" s="12">
        <f>Tabla1[[#This Row],[Importe]]-Tabla1[[#This Row],[Pagado]]</f>
        <v>0</v>
      </c>
      <c r="H1945" s="9" t="s">
        <v>10</v>
      </c>
    </row>
    <row r="1946" spans="1:8" ht="45" x14ac:dyDescent="0.25">
      <c r="A1946" s="7">
        <v>44581</v>
      </c>
      <c r="B1946" s="8" t="s">
        <v>2290</v>
      </c>
      <c r="C1946" s="9" t="s">
        <v>475</v>
      </c>
      <c r="D1946" s="10">
        <v>89175.8</v>
      </c>
      <c r="E1946" s="11" t="s">
        <v>2291</v>
      </c>
      <c r="F1946" s="10">
        <f>58000+22000+9175.8</f>
        <v>89175.8</v>
      </c>
      <c r="G1946" s="12">
        <f>Tabla1[[#This Row],[Importe]]-Tabla1[[#This Row],[Pagado]]</f>
        <v>0</v>
      </c>
      <c r="H1946" s="9" t="s">
        <v>10</v>
      </c>
    </row>
    <row r="1947" spans="1:8" x14ac:dyDescent="0.25">
      <c r="A1947" s="7">
        <v>44581</v>
      </c>
      <c r="B1947" s="8" t="s">
        <v>2292</v>
      </c>
      <c r="C1947" s="9" t="s">
        <v>169</v>
      </c>
      <c r="D1947" s="10">
        <v>441</v>
      </c>
      <c r="E1947" s="11">
        <v>44581</v>
      </c>
      <c r="F1947" s="10">
        <v>441</v>
      </c>
      <c r="G1947" s="12">
        <f>Tabla1[[#This Row],[Importe]]-Tabla1[[#This Row],[Pagado]]</f>
        <v>0</v>
      </c>
      <c r="H1947" s="9" t="s">
        <v>10</v>
      </c>
    </row>
    <row r="1948" spans="1:8" x14ac:dyDescent="0.25">
      <c r="A1948" s="7">
        <v>44581</v>
      </c>
      <c r="B1948" s="8" t="s">
        <v>2293</v>
      </c>
      <c r="C1948" s="9" t="s">
        <v>481</v>
      </c>
      <c r="D1948" s="10">
        <v>1640.2</v>
      </c>
      <c r="E1948" s="11">
        <v>44581</v>
      </c>
      <c r="F1948" s="10">
        <v>1640.2</v>
      </c>
      <c r="G1948" s="12">
        <f>Tabla1[[#This Row],[Importe]]-Tabla1[[#This Row],[Pagado]]</f>
        <v>0</v>
      </c>
      <c r="H1948" s="9" t="s">
        <v>10</v>
      </c>
    </row>
    <row r="1949" spans="1:8" x14ac:dyDescent="0.25">
      <c r="A1949" s="7">
        <v>44581</v>
      </c>
      <c r="B1949" s="8" t="s">
        <v>2294</v>
      </c>
      <c r="C1949" s="9" t="s">
        <v>64</v>
      </c>
      <c r="D1949" s="10">
        <v>4330.8</v>
      </c>
      <c r="E1949" s="11">
        <v>44582</v>
      </c>
      <c r="F1949" s="10">
        <v>4330.8</v>
      </c>
      <c r="G1949" s="12">
        <f>Tabla1[[#This Row],[Importe]]-Tabla1[[#This Row],[Pagado]]</f>
        <v>0</v>
      </c>
      <c r="H1949" s="9" t="s">
        <v>10</v>
      </c>
    </row>
    <row r="1950" spans="1:8" x14ac:dyDescent="0.25">
      <c r="A1950" s="7">
        <v>44581</v>
      </c>
      <c r="B1950" s="8" t="s">
        <v>2295</v>
      </c>
      <c r="C1950" s="9" t="s">
        <v>109</v>
      </c>
      <c r="D1950" s="10">
        <v>4430.3999999999996</v>
      </c>
      <c r="E1950" s="11">
        <v>44582</v>
      </c>
      <c r="F1950" s="10">
        <v>4430.3999999999996</v>
      </c>
      <c r="G1950" s="12">
        <f>Tabla1[[#This Row],[Importe]]-Tabla1[[#This Row],[Pagado]]</f>
        <v>0</v>
      </c>
      <c r="H1950" s="9" t="s">
        <v>10</v>
      </c>
    </row>
    <row r="1951" spans="1:8" x14ac:dyDescent="0.25">
      <c r="A1951" s="7">
        <v>44581</v>
      </c>
      <c r="B1951" s="8" t="s">
        <v>2296</v>
      </c>
      <c r="C1951" s="9" t="s">
        <v>120</v>
      </c>
      <c r="D1951" s="10">
        <v>4195.8</v>
      </c>
      <c r="E1951" s="11">
        <v>44583</v>
      </c>
      <c r="F1951" s="10">
        <v>4195.8</v>
      </c>
      <c r="G1951" s="12">
        <f>Tabla1[[#This Row],[Importe]]-Tabla1[[#This Row],[Pagado]]</f>
        <v>0</v>
      </c>
      <c r="H1951" s="9" t="s">
        <v>10</v>
      </c>
    </row>
    <row r="1952" spans="1:8" x14ac:dyDescent="0.25">
      <c r="A1952" s="7">
        <v>44581</v>
      </c>
      <c r="B1952" s="8" t="s">
        <v>2297</v>
      </c>
      <c r="C1952" s="9" t="s">
        <v>618</v>
      </c>
      <c r="D1952" s="10">
        <v>11172.9</v>
      </c>
      <c r="E1952" s="11">
        <v>44581</v>
      </c>
      <c r="F1952" s="10">
        <v>11172.9</v>
      </c>
      <c r="G1952" s="12">
        <f>Tabla1[[#This Row],[Importe]]-Tabla1[[#This Row],[Pagado]]</f>
        <v>0</v>
      </c>
      <c r="H1952" s="9" t="s">
        <v>10</v>
      </c>
    </row>
    <row r="1953" spans="1:8" x14ac:dyDescent="0.25">
      <c r="A1953" s="7">
        <v>44581</v>
      </c>
      <c r="B1953" s="8" t="s">
        <v>2298</v>
      </c>
      <c r="C1953" s="9" t="s">
        <v>39</v>
      </c>
      <c r="D1953" s="10">
        <v>22784.5</v>
      </c>
      <c r="E1953" s="11">
        <v>44584</v>
      </c>
      <c r="F1953" s="10">
        <v>22784.5</v>
      </c>
      <c r="G1953" s="12">
        <f>Tabla1[[#This Row],[Importe]]-Tabla1[[#This Row],[Pagado]]</f>
        <v>0</v>
      </c>
      <c r="H1953" s="9" t="s">
        <v>10</v>
      </c>
    </row>
    <row r="1954" spans="1:8" x14ac:dyDescent="0.25">
      <c r="A1954" s="7">
        <v>44581</v>
      </c>
      <c r="B1954" s="8" t="s">
        <v>2299</v>
      </c>
      <c r="C1954" s="9" t="s">
        <v>99</v>
      </c>
      <c r="D1954" s="10">
        <v>4726.8</v>
      </c>
      <c r="E1954" s="11">
        <v>44583</v>
      </c>
      <c r="F1954" s="10">
        <v>4726.8</v>
      </c>
      <c r="G1954" s="12">
        <f>Tabla1[[#This Row],[Importe]]-Tabla1[[#This Row],[Pagado]]</f>
        <v>0</v>
      </c>
      <c r="H1954" s="9" t="s">
        <v>10</v>
      </c>
    </row>
    <row r="1955" spans="1:8" x14ac:dyDescent="0.25">
      <c r="A1955" s="7">
        <v>44581</v>
      </c>
      <c r="B1955" s="8" t="s">
        <v>2300</v>
      </c>
      <c r="C1955" s="9" t="s">
        <v>118</v>
      </c>
      <c r="D1955" s="10">
        <v>4467.8999999999996</v>
      </c>
      <c r="E1955" s="11">
        <v>44581</v>
      </c>
      <c r="F1955" s="10">
        <v>4467.8999999999996</v>
      </c>
      <c r="G1955" s="12">
        <f>Tabla1[[#This Row],[Importe]]-Tabla1[[#This Row],[Pagado]]</f>
        <v>0</v>
      </c>
      <c r="H1955" s="9" t="s">
        <v>10</v>
      </c>
    </row>
    <row r="1956" spans="1:8" x14ac:dyDescent="0.25">
      <c r="A1956" s="7">
        <v>44581</v>
      </c>
      <c r="B1956" s="8" t="s">
        <v>2301</v>
      </c>
      <c r="C1956" s="9" t="s">
        <v>97</v>
      </c>
      <c r="D1956" s="10">
        <v>1957.5</v>
      </c>
      <c r="E1956" s="11">
        <v>44581</v>
      </c>
      <c r="F1956" s="10">
        <v>1957.5</v>
      </c>
      <c r="G1956" s="12">
        <f>Tabla1[[#This Row],[Importe]]-Tabla1[[#This Row],[Pagado]]</f>
        <v>0</v>
      </c>
      <c r="H1956" s="9" t="s">
        <v>10</v>
      </c>
    </row>
    <row r="1957" spans="1:8" x14ac:dyDescent="0.25">
      <c r="A1957" s="7">
        <v>44581</v>
      </c>
      <c r="B1957" s="8" t="s">
        <v>2302</v>
      </c>
      <c r="C1957" s="9" t="s">
        <v>473</v>
      </c>
      <c r="D1957" s="10">
        <v>4826.5</v>
      </c>
      <c r="E1957" s="11">
        <v>44581</v>
      </c>
      <c r="F1957" s="10">
        <v>4826.5</v>
      </c>
      <c r="G1957" s="12">
        <f>Tabla1[[#This Row],[Importe]]-Tabla1[[#This Row],[Pagado]]</f>
        <v>0</v>
      </c>
      <c r="H1957" s="9" t="s">
        <v>10</v>
      </c>
    </row>
    <row r="1958" spans="1:8" x14ac:dyDescent="0.25">
      <c r="A1958" s="7">
        <v>44581</v>
      </c>
      <c r="B1958" s="8" t="s">
        <v>2303</v>
      </c>
      <c r="C1958" s="9" t="s">
        <v>105</v>
      </c>
      <c r="D1958" s="10">
        <v>7496.6</v>
      </c>
      <c r="E1958" s="11">
        <v>44582</v>
      </c>
      <c r="F1958" s="10">
        <v>7496.6</v>
      </c>
      <c r="G1958" s="12">
        <f>Tabla1[[#This Row],[Importe]]-Tabla1[[#This Row],[Pagado]]</f>
        <v>0</v>
      </c>
      <c r="H1958" s="9" t="s">
        <v>10</v>
      </c>
    </row>
    <row r="1959" spans="1:8" x14ac:dyDescent="0.25">
      <c r="A1959" s="7">
        <v>44581</v>
      </c>
      <c r="B1959" s="8" t="s">
        <v>2304</v>
      </c>
      <c r="C1959" s="9" t="s">
        <v>60</v>
      </c>
      <c r="D1959" s="10">
        <v>4087.8</v>
      </c>
      <c r="E1959" s="11">
        <v>44587</v>
      </c>
      <c r="F1959" s="10">
        <v>4087.8</v>
      </c>
      <c r="G1959" s="12">
        <f>Tabla1[[#This Row],[Importe]]-Tabla1[[#This Row],[Pagado]]</f>
        <v>0</v>
      </c>
      <c r="H1959" s="9" t="s">
        <v>10</v>
      </c>
    </row>
    <row r="1960" spans="1:8" x14ac:dyDescent="0.25">
      <c r="A1960" s="7">
        <v>44581</v>
      </c>
      <c r="B1960" s="8" t="s">
        <v>2305</v>
      </c>
      <c r="C1960" s="9" t="s">
        <v>348</v>
      </c>
      <c r="D1960" s="10">
        <v>1417.8</v>
      </c>
      <c r="E1960" s="11">
        <v>44582</v>
      </c>
      <c r="F1960" s="10">
        <v>1417.8</v>
      </c>
      <c r="G1960" s="12">
        <f>Tabla1[[#This Row],[Importe]]-Tabla1[[#This Row],[Pagado]]</f>
        <v>0</v>
      </c>
      <c r="H1960" s="9" t="s">
        <v>10</v>
      </c>
    </row>
    <row r="1961" spans="1:8" x14ac:dyDescent="0.25">
      <c r="A1961" s="7">
        <v>44581</v>
      </c>
      <c r="B1961" s="8" t="s">
        <v>2306</v>
      </c>
      <c r="C1961" s="9" t="s">
        <v>114</v>
      </c>
      <c r="D1961" s="10">
        <v>4981.2</v>
      </c>
      <c r="E1961" s="11">
        <v>44582</v>
      </c>
      <c r="F1961" s="10">
        <v>4981.2</v>
      </c>
      <c r="G1961" s="12">
        <f>Tabla1[[#This Row],[Importe]]-Tabla1[[#This Row],[Pagado]]</f>
        <v>0</v>
      </c>
      <c r="H1961" s="9" t="s">
        <v>10</v>
      </c>
    </row>
    <row r="1962" spans="1:8" x14ac:dyDescent="0.25">
      <c r="A1962" s="7">
        <v>44581</v>
      </c>
      <c r="B1962" s="8" t="s">
        <v>2307</v>
      </c>
      <c r="C1962" s="9" t="s">
        <v>85</v>
      </c>
      <c r="D1962" s="10">
        <v>956.4</v>
      </c>
      <c r="E1962" s="11">
        <v>44581</v>
      </c>
      <c r="F1962" s="10">
        <v>956.4</v>
      </c>
      <c r="G1962" s="12">
        <f>Tabla1[[#This Row],[Importe]]-Tabla1[[#This Row],[Pagado]]</f>
        <v>0</v>
      </c>
      <c r="H1962" s="9" t="s">
        <v>10</v>
      </c>
    </row>
    <row r="1963" spans="1:8" x14ac:dyDescent="0.25">
      <c r="A1963" s="7">
        <v>44581</v>
      </c>
      <c r="B1963" s="8" t="s">
        <v>2308</v>
      </c>
      <c r="C1963" s="9" t="s">
        <v>312</v>
      </c>
      <c r="D1963" s="10">
        <v>3872</v>
      </c>
      <c r="E1963" s="11">
        <v>44581</v>
      </c>
      <c r="F1963" s="10">
        <v>3872</v>
      </c>
      <c r="G1963" s="12">
        <f>Tabla1[[#This Row],[Importe]]-Tabla1[[#This Row],[Pagado]]</f>
        <v>0</v>
      </c>
      <c r="H1963" s="9" t="s">
        <v>10</v>
      </c>
    </row>
    <row r="1964" spans="1:8" x14ac:dyDescent="0.25">
      <c r="A1964" s="7">
        <v>44581</v>
      </c>
      <c r="B1964" s="8" t="s">
        <v>2309</v>
      </c>
      <c r="C1964" s="9" t="s">
        <v>75</v>
      </c>
      <c r="D1964" s="10">
        <v>5371.2</v>
      </c>
      <c r="E1964" s="11">
        <v>44581</v>
      </c>
      <c r="F1964" s="10">
        <v>5371.2</v>
      </c>
      <c r="G1964" s="12">
        <f>Tabla1[[#This Row],[Importe]]-Tabla1[[#This Row],[Pagado]]</f>
        <v>0</v>
      </c>
      <c r="H1964" s="9" t="s">
        <v>10</v>
      </c>
    </row>
    <row r="1965" spans="1:8" x14ac:dyDescent="0.25">
      <c r="A1965" s="7">
        <v>44581</v>
      </c>
      <c r="B1965" s="8" t="s">
        <v>2310</v>
      </c>
      <c r="C1965" s="9" t="s">
        <v>484</v>
      </c>
      <c r="D1965" s="10">
        <v>2912</v>
      </c>
      <c r="E1965" s="11">
        <v>44581</v>
      </c>
      <c r="F1965" s="10">
        <v>2912</v>
      </c>
      <c r="G1965" s="12">
        <f>Tabla1[[#This Row],[Importe]]-Tabla1[[#This Row],[Pagado]]</f>
        <v>0</v>
      </c>
      <c r="H1965" s="9" t="s">
        <v>10</v>
      </c>
    </row>
    <row r="1966" spans="1:8" x14ac:dyDescent="0.25">
      <c r="A1966" s="7">
        <v>44581</v>
      </c>
      <c r="B1966" s="8" t="s">
        <v>2311</v>
      </c>
      <c r="C1966" s="9" t="s">
        <v>198</v>
      </c>
      <c r="D1966" s="10">
        <v>4070.4</v>
      </c>
      <c r="E1966" s="11">
        <v>44581</v>
      </c>
      <c r="F1966" s="10">
        <v>4070.4</v>
      </c>
      <c r="G1966" s="12">
        <f>Tabla1[[#This Row],[Importe]]-Tabla1[[#This Row],[Pagado]]</f>
        <v>0</v>
      </c>
      <c r="H1966" s="9" t="s">
        <v>10</v>
      </c>
    </row>
    <row r="1967" spans="1:8" x14ac:dyDescent="0.25">
      <c r="A1967" s="7">
        <v>44581</v>
      </c>
      <c r="B1967" s="8" t="s">
        <v>2312</v>
      </c>
      <c r="C1967" s="9" t="s">
        <v>9</v>
      </c>
      <c r="D1967" s="10">
        <v>6570.6</v>
      </c>
      <c r="E1967" s="11">
        <v>44581</v>
      </c>
      <c r="F1967" s="10">
        <v>6570.6</v>
      </c>
      <c r="G1967" s="12">
        <f>Tabla1[[#This Row],[Importe]]-Tabla1[[#This Row],[Pagado]]</f>
        <v>0</v>
      </c>
      <c r="H1967" s="9" t="s">
        <v>10</v>
      </c>
    </row>
    <row r="1968" spans="1:8" x14ac:dyDescent="0.25">
      <c r="A1968" s="7">
        <v>44581</v>
      </c>
      <c r="B1968" s="8" t="s">
        <v>2313</v>
      </c>
      <c r="C1968" s="9" t="s">
        <v>2314</v>
      </c>
      <c r="D1968" s="10">
        <v>0</v>
      </c>
      <c r="E1968" s="13" t="s">
        <v>189</v>
      </c>
      <c r="F1968" s="10">
        <v>0</v>
      </c>
      <c r="G1968" s="12">
        <f>Tabla1[[#This Row],[Importe]]-Tabla1[[#This Row],[Pagado]]</f>
        <v>0</v>
      </c>
      <c r="H1968" s="17" t="s">
        <v>2315</v>
      </c>
    </row>
    <row r="1969" spans="1:8" x14ac:dyDescent="0.25">
      <c r="A1969" s="7">
        <v>44581</v>
      </c>
      <c r="B1969" s="8" t="s">
        <v>2316</v>
      </c>
      <c r="C1969" s="9" t="s">
        <v>18</v>
      </c>
      <c r="D1969" s="10">
        <v>1885</v>
      </c>
      <c r="E1969" s="11">
        <v>44581</v>
      </c>
      <c r="F1969" s="10">
        <v>1885</v>
      </c>
      <c r="G1969" s="12">
        <f>Tabla1[[#This Row],[Importe]]-Tabla1[[#This Row],[Pagado]]</f>
        <v>0</v>
      </c>
      <c r="H1969" s="9" t="s">
        <v>10</v>
      </c>
    </row>
    <row r="1970" spans="1:8" x14ac:dyDescent="0.25">
      <c r="A1970" s="7">
        <v>44581</v>
      </c>
      <c r="B1970" s="8" t="s">
        <v>2317</v>
      </c>
      <c r="C1970" s="9" t="s">
        <v>202</v>
      </c>
      <c r="D1970" s="10">
        <v>2704</v>
      </c>
      <c r="E1970" s="11">
        <v>44581</v>
      </c>
      <c r="F1970" s="10">
        <v>2704</v>
      </c>
      <c r="G1970" s="12">
        <f>Tabla1[[#This Row],[Importe]]-Tabla1[[#This Row],[Pagado]]</f>
        <v>0</v>
      </c>
      <c r="H1970" s="9" t="s">
        <v>10</v>
      </c>
    </row>
    <row r="1971" spans="1:8" x14ac:dyDescent="0.25">
      <c r="A1971" s="7">
        <v>44581</v>
      </c>
      <c r="B1971" s="8" t="s">
        <v>2318</v>
      </c>
      <c r="C1971" s="9" t="s">
        <v>127</v>
      </c>
      <c r="D1971" s="10">
        <v>4328</v>
      </c>
      <c r="E1971" s="11">
        <v>44581</v>
      </c>
      <c r="F1971" s="10">
        <v>4328</v>
      </c>
      <c r="G1971" s="12">
        <f>Tabla1[[#This Row],[Importe]]-Tabla1[[#This Row],[Pagado]]</f>
        <v>0</v>
      </c>
      <c r="H1971" s="9" t="s">
        <v>10</v>
      </c>
    </row>
    <row r="1972" spans="1:8" x14ac:dyDescent="0.25">
      <c r="A1972" s="7">
        <v>44581</v>
      </c>
      <c r="B1972" s="8" t="s">
        <v>2319</v>
      </c>
      <c r="C1972" s="9" t="s">
        <v>129</v>
      </c>
      <c r="D1972" s="10">
        <v>3680</v>
      </c>
      <c r="E1972" s="11">
        <v>44581</v>
      </c>
      <c r="F1972" s="10">
        <v>3680</v>
      </c>
      <c r="G1972" s="12">
        <f>Tabla1[[#This Row],[Importe]]-Tabla1[[#This Row],[Pagado]]</f>
        <v>0</v>
      </c>
      <c r="H1972" s="9" t="s">
        <v>10</v>
      </c>
    </row>
    <row r="1973" spans="1:8" x14ac:dyDescent="0.25">
      <c r="A1973" s="7">
        <v>44581</v>
      </c>
      <c r="B1973" s="8" t="s">
        <v>2320</v>
      </c>
      <c r="C1973" s="9" t="s">
        <v>357</v>
      </c>
      <c r="D1973" s="10">
        <v>1033.3</v>
      </c>
      <c r="E1973" s="11">
        <v>44581</v>
      </c>
      <c r="F1973" s="10">
        <v>1033.3</v>
      </c>
      <c r="G1973" s="12">
        <f>Tabla1[[#This Row],[Importe]]-Tabla1[[#This Row],[Pagado]]</f>
        <v>0</v>
      </c>
      <c r="H1973" s="9" t="s">
        <v>10</v>
      </c>
    </row>
    <row r="1974" spans="1:8" x14ac:dyDescent="0.25">
      <c r="A1974" s="7">
        <v>44581</v>
      </c>
      <c r="B1974" s="8" t="s">
        <v>2321</v>
      </c>
      <c r="C1974" s="9" t="s">
        <v>140</v>
      </c>
      <c r="D1974" s="10">
        <v>4249.7</v>
      </c>
      <c r="E1974" s="11">
        <v>44581</v>
      </c>
      <c r="F1974" s="10">
        <v>4249.7</v>
      </c>
      <c r="G1974" s="12">
        <f>Tabla1[[#This Row],[Importe]]-Tabla1[[#This Row],[Pagado]]</f>
        <v>0</v>
      </c>
      <c r="H1974" s="9" t="s">
        <v>10</v>
      </c>
    </row>
    <row r="1975" spans="1:8" x14ac:dyDescent="0.25">
      <c r="A1975" s="7">
        <v>44581</v>
      </c>
      <c r="B1975" s="8" t="s">
        <v>2322</v>
      </c>
      <c r="C1975" s="9" t="s">
        <v>146</v>
      </c>
      <c r="D1975" s="10">
        <v>1257.5999999999999</v>
      </c>
      <c r="E1975" s="11">
        <v>44581</v>
      </c>
      <c r="F1975" s="10">
        <v>1257.5999999999999</v>
      </c>
      <c r="G1975" s="12">
        <f>Tabla1[[#This Row],[Importe]]-Tabla1[[#This Row],[Pagado]]</f>
        <v>0</v>
      </c>
      <c r="H1975" s="9" t="s">
        <v>10</v>
      </c>
    </row>
    <row r="1976" spans="1:8" x14ac:dyDescent="0.25">
      <c r="A1976" s="7">
        <v>44581</v>
      </c>
      <c r="B1976" s="8" t="s">
        <v>2323</v>
      </c>
      <c r="C1976" s="9" t="s">
        <v>142</v>
      </c>
      <c r="D1976" s="10">
        <v>84819.68</v>
      </c>
      <c r="E1976" s="11">
        <v>44589</v>
      </c>
      <c r="F1976" s="10">
        <v>84819.68</v>
      </c>
      <c r="G1976" s="12">
        <f>Tabla1[[#This Row],[Importe]]-Tabla1[[#This Row],[Pagado]]</f>
        <v>0</v>
      </c>
      <c r="H1976" s="9" t="s">
        <v>10</v>
      </c>
    </row>
    <row r="1977" spans="1:8" x14ac:dyDescent="0.25">
      <c r="A1977" s="7">
        <v>44581</v>
      </c>
      <c r="B1977" s="8" t="s">
        <v>2324</v>
      </c>
      <c r="C1977" s="9" t="s">
        <v>230</v>
      </c>
      <c r="D1977" s="10">
        <v>6875.4</v>
      </c>
      <c r="E1977" s="11">
        <v>44581</v>
      </c>
      <c r="F1977" s="10">
        <v>6875.4</v>
      </c>
      <c r="G1977" s="12">
        <f>Tabla1[[#This Row],[Importe]]-Tabla1[[#This Row],[Pagado]]</f>
        <v>0</v>
      </c>
      <c r="H1977" s="9" t="s">
        <v>10</v>
      </c>
    </row>
    <row r="1978" spans="1:8" x14ac:dyDescent="0.25">
      <c r="A1978" s="7">
        <v>44581</v>
      </c>
      <c r="B1978" s="8" t="s">
        <v>2325</v>
      </c>
      <c r="C1978" s="9" t="s">
        <v>131</v>
      </c>
      <c r="D1978" s="10">
        <v>14016.2</v>
      </c>
      <c r="E1978" s="11">
        <v>44581</v>
      </c>
      <c r="F1978" s="10">
        <v>14016.2</v>
      </c>
      <c r="G1978" s="12">
        <f>Tabla1[[#This Row],[Importe]]-Tabla1[[#This Row],[Pagado]]</f>
        <v>0</v>
      </c>
      <c r="H1978" s="9" t="s">
        <v>10</v>
      </c>
    </row>
    <row r="1979" spans="1:8" x14ac:dyDescent="0.25">
      <c r="A1979" s="7">
        <v>44581</v>
      </c>
      <c r="B1979" s="8" t="s">
        <v>2326</v>
      </c>
      <c r="C1979" s="9" t="s">
        <v>414</v>
      </c>
      <c r="D1979" s="10">
        <v>14866.1</v>
      </c>
      <c r="E1979" s="11">
        <v>44581</v>
      </c>
      <c r="F1979" s="10">
        <v>14866.1</v>
      </c>
      <c r="G1979" s="12">
        <f>Tabla1[[#This Row],[Importe]]-Tabla1[[#This Row],[Pagado]]</f>
        <v>0</v>
      </c>
      <c r="H1979" s="9" t="s">
        <v>10</v>
      </c>
    </row>
    <row r="1980" spans="1:8" x14ac:dyDescent="0.25">
      <c r="A1980" s="7">
        <v>44581</v>
      </c>
      <c r="B1980" s="8" t="s">
        <v>2327</v>
      </c>
      <c r="C1980" s="9" t="s">
        <v>175</v>
      </c>
      <c r="D1980" s="10">
        <v>23602</v>
      </c>
      <c r="E1980" s="11">
        <v>44581</v>
      </c>
      <c r="F1980" s="10">
        <v>23602</v>
      </c>
      <c r="G1980" s="12">
        <f>Tabla1[[#This Row],[Importe]]-Tabla1[[#This Row],[Pagado]]</f>
        <v>0</v>
      </c>
      <c r="H1980" s="9" t="s">
        <v>10</v>
      </c>
    </row>
    <row r="1981" spans="1:8" x14ac:dyDescent="0.25">
      <c r="A1981" s="7">
        <v>44581</v>
      </c>
      <c r="B1981" s="8" t="s">
        <v>2328</v>
      </c>
      <c r="C1981" s="9" t="s">
        <v>53</v>
      </c>
      <c r="D1981" s="10">
        <v>749.7</v>
      </c>
      <c r="E1981" s="11">
        <v>44581</v>
      </c>
      <c r="F1981" s="10">
        <v>749.7</v>
      </c>
      <c r="G1981" s="12">
        <f>Tabla1[[#This Row],[Importe]]-Tabla1[[#This Row],[Pagado]]</f>
        <v>0</v>
      </c>
      <c r="H1981" s="9" t="s">
        <v>10</v>
      </c>
    </row>
    <row r="1982" spans="1:8" x14ac:dyDescent="0.25">
      <c r="A1982" s="7">
        <v>44581</v>
      </c>
      <c r="B1982" s="8" t="s">
        <v>2329</v>
      </c>
      <c r="C1982" s="9" t="s">
        <v>181</v>
      </c>
      <c r="D1982" s="10">
        <v>8444.2000000000007</v>
      </c>
      <c r="E1982" s="11">
        <v>44581</v>
      </c>
      <c r="F1982" s="10">
        <v>8444.2000000000007</v>
      </c>
      <c r="G1982" s="12">
        <f>Tabla1[[#This Row],[Importe]]-Tabla1[[#This Row],[Pagado]]</f>
        <v>0</v>
      </c>
      <c r="H1982" s="9" t="s">
        <v>10</v>
      </c>
    </row>
    <row r="1983" spans="1:8" x14ac:dyDescent="0.25">
      <c r="A1983" s="7">
        <v>44581</v>
      </c>
      <c r="B1983" s="8" t="s">
        <v>2330</v>
      </c>
      <c r="C1983" s="9" t="s">
        <v>426</v>
      </c>
      <c r="D1983" s="10">
        <v>4807.2</v>
      </c>
      <c r="E1983" s="11">
        <v>44581</v>
      </c>
      <c r="F1983" s="10">
        <v>4807.2</v>
      </c>
      <c r="G1983" s="12">
        <f>Tabla1[[#This Row],[Importe]]-Tabla1[[#This Row],[Pagado]]</f>
        <v>0</v>
      </c>
      <c r="H1983" s="9" t="s">
        <v>10</v>
      </c>
    </row>
    <row r="1984" spans="1:8" x14ac:dyDescent="0.25">
      <c r="A1984" s="7">
        <v>44581</v>
      </c>
      <c r="B1984" s="8" t="s">
        <v>2331</v>
      </c>
      <c r="C1984" s="9" t="s">
        <v>49</v>
      </c>
      <c r="D1984" s="10">
        <v>3313.7</v>
      </c>
      <c r="E1984" s="11">
        <v>44581</v>
      </c>
      <c r="F1984" s="10">
        <v>3313.7</v>
      </c>
      <c r="G1984" s="12">
        <f>Tabla1[[#This Row],[Importe]]-Tabla1[[#This Row],[Pagado]]</f>
        <v>0</v>
      </c>
      <c r="H1984" s="9" t="s">
        <v>10</v>
      </c>
    </row>
    <row r="1985" spans="1:8" x14ac:dyDescent="0.25">
      <c r="A1985" s="7">
        <v>44581</v>
      </c>
      <c r="B1985" s="8" t="s">
        <v>2332</v>
      </c>
      <c r="C1985" s="9" t="s">
        <v>27</v>
      </c>
      <c r="D1985" s="10">
        <v>3552</v>
      </c>
      <c r="E1985" s="11">
        <v>44581</v>
      </c>
      <c r="F1985" s="10">
        <v>3552</v>
      </c>
      <c r="G1985" s="12">
        <f>Tabla1[[#This Row],[Importe]]-Tabla1[[#This Row],[Pagado]]</f>
        <v>0</v>
      </c>
      <c r="H1985" s="9" t="s">
        <v>10</v>
      </c>
    </row>
    <row r="1986" spans="1:8" x14ac:dyDescent="0.25">
      <c r="A1986" s="7">
        <v>44581</v>
      </c>
      <c r="B1986" s="8" t="s">
        <v>2333</v>
      </c>
      <c r="C1986" s="9" t="s">
        <v>79</v>
      </c>
      <c r="D1986" s="10">
        <v>2712</v>
      </c>
      <c r="E1986" s="11">
        <v>44581</v>
      </c>
      <c r="F1986" s="10">
        <v>2712</v>
      </c>
      <c r="G1986" s="12">
        <f>Tabla1[[#This Row],[Importe]]-Tabla1[[#This Row],[Pagado]]</f>
        <v>0</v>
      </c>
      <c r="H1986" s="9" t="s">
        <v>10</v>
      </c>
    </row>
    <row r="1987" spans="1:8" x14ac:dyDescent="0.25">
      <c r="A1987" s="7">
        <v>44581</v>
      </c>
      <c r="B1987" s="8" t="s">
        <v>2334</v>
      </c>
      <c r="C1987" s="9" t="s">
        <v>157</v>
      </c>
      <c r="D1987" s="10">
        <v>3636.2</v>
      </c>
      <c r="E1987" s="11">
        <v>44581</v>
      </c>
      <c r="F1987" s="10">
        <v>3636.2</v>
      </c>
      <c r="G1987" s="12">
        <f>Tabla1[[#This Row],[Importe]]-Tabla1[[#This Row],[Pagado]]</f>
        <v>0</v>
      </c>
      <c r="H1987" s="9" t="s">
        <v>10</v>
      </c>
    </row>
    <row r="1988" spans="1:8" x14ac:dyDescent="0.25">
      <c r="A1988" s="7">
        <v>44581</v>
      </c>
      <c r="B1988" s="8" t="s">
        <v>2335</v>
      </c>
      <c r="C1988" s="9" t="s">
        <v>518</v>
      </c>
      <c r="D1988" s="10">
        <v>1272</v>
      </c>
      <c r="E1988" s="11">
        <v>44581</v>
      </c>
      <c r="F1988" s="10">
        <v>1272</v>
      </c>
      <c r="G1988" s="12">
        <f>Tabla1[[#This Row],[Importe]]-Tabla1[[#This Row],[Pagado]]</f>
        <v>0</v>
      </c>
      <c r="H1988" s="9" t="s">
        <v>10</v>
      </c>
    </row>
    <row r="1989" spans="1:8" x14ac:dyDescent="0.25">
      <c r="A1989" s="7">
        <v>44581</v>
      </c>
      <c r="B1989" s="8" t="s">
        <v>2336</v>
      </c>
      <c r="C1989" s="9" t="s">
        <v>2337</v>
      </c>
      <c r="D1989" s="10">
        <v>0</v>
      </c>
      <c r="E1989" s="13" t="s">
        <v>189</v>
      </c>
      <c r="F1989" s="10">
        <v>0</v>
      </c>
      <c r="G1989" s="12">
        <f>Tabla1[[#This Row],[Importe]]-Tabla1[[#This Row],[Pagado]]</f>
        <v>0</v>
      </c>
      <c r="H1989" s="9" t="s">
        <v>189</v>
      </c>
    </row>
    <row r="1990" spans="1:8" x14ac:dyDescent="0.25">
      <c r="A1990" s="7">
        <v>44581</v>
      </c>
      <c r="B1990" s="8" t="s">
        <v>2338</v>
      </c>
      <c r="C1990" s="9" t="s">
        <v>71</v>
      </c>
      <c r="D1990" s="10">
        <v>3410</v>
      </c>
      <c r="E1990" s="11">
        <v>44581</v>
      </c>
      <c r="F1990" s="10">
        <v>3410</v>
      </c>
      <c r="G1990" s="12">
        <f>Tabla1[[#This Row],[Importe]]-Tabla1[[#This Row],[Pagado]]</f>
        <v>0</v>
      </c>
      <c r="H1990" s="9" t="s">
        <v>10</v>
      </c>
    </row>
    <row r="1991" spans="1:8" x14ac:dyDescent="0.25">
      <c r="A1991" s="7">
        <v>44581</v>
      </c>
      <c r="B1991" s="8" t="s">
        <v>2339</v>
      </c>
      <c r="C1991" s="9" t="s">
        <v>200</v>
      </c>
      <c r="D1991" s="10">
        <v>811.2</v>
      </c>
      <c r="E1991" s="11">
        <v>44581</v>
      </c>
      <c r="F1991" s="10">
        <v>811.2</v>
      </c>
      <c r="G1991" s="12">
        <f>Tabla1[[#This Row],[Importe]]-Tabla1[[#This Row],[Pagado]]</f>
        <v>0</v>
      </c>
      <c r="H1991" s="9" t="s">
        <v>10</v>
      </c>
    </row>
    <row r="1992" spans="1:8" x14ac:dyDescent="0.25">
      <c r="A1992" s="7">
        <v>44581</v>
      </c>
      <c r="B1992" s="8" t="s">
        <v>2340</v>
      </c>
      <c r="C1992" s="9" t="s">
        <v>151</v>
      </c>
      <c r="D1992" s="10">
        <v>4766.8</v>
      </c>
      <c r="E1992" s="11">
        <v>44581</v>
      </c>
      <c r="F1992" s="10">
        <v>4766.8</v>
      </c>
      <c r="G1992" s="12">
        <f>Tabla1[[#This Row],[Importe]]-Tabla1[[#This Row],[Pagado]]</f>
        <v>0</v>
      </c>
      <c r="H1992" s="9" t="s">
        <v>10</v>
      </c>
    </row>
    <row r="1993" spans="1:8" x14ac:dyDescent="0.25">
      <c r="A1993" s="7">
        <v>44581</v>
      </c>
      <c r="B1993" s="8" t="s">
        <v>2341</v>
      </c>
      <c r="C1993" s="9" t="s">
        <v>373</v>
      </c>
      <c r="D1993" s="10">
        <v>3020.8</v>
      </c>
      <c r="E1993" s="11">
        <v>44581</v>
      </c>
      <c r="F1993" s="10">
        <v>3020.8</v>
      </c>
      <c r="G1993" s="12">
        <f>Tabla1[[#This Row],[Importe]]-Tabla1[[#This Row],[Pagado]]</f>
        <v>0</v>
      </c>
      <c r="H1993" s="9" t="s">
        <v>10</v>
      </c>
    </row>
    <row r="1994" spans="1:8" x14ac:dyDescent="0.25">
      <c r="A1994" s="7">
        <v>44581</v>
      </c>
      <c r="B1994" s="8" t="s">
        <v>2342</v>
      </c>
      <c r="C1994" s="9" t="s">
        <v>647</v>
      </c>
      <c r="D1994" s="10">
        <v>2658.7</v>
      </c>
      <c r="E1994" s="11">
        <v>44581</v>
      </c>
      <c r="F1994" s="10">
        <v>2658.7</v>
      </c>
      <c r="G1994" s="12">
        <f>Tabla1[[#This Row],[Importe]]-Tabla1[[#This Row],[Pagado]]</f>
        <v>0</v>
      </c>
      <c r="H1994" s="9" t="s">
        <v>10</v>
      </c>
    </row>
    <row r="1995" spans="1:8" x14ac:dyDescent="0.25">
      <c r="A1995" s="7">
        <v>44581</v>
      </c>
      <c r="B1995" s="8" t="s">
        <v>2343</v>
      </c>
      <c r="C1995" s="9" t="s">
        <v>1064</v>
      </c>
      <c r="D1995" s="10">
        <v>1084.2</v>
      </c>
      <c r="E1995" s="11">
        <v>44581</v>
      </c>
      <c r="F1995" s="10">
        <v>1084.2</v>
      </c>
      <c r="G1995" s="12">
        <f>Tabla1[[#This Row],[Importe]]-Tabla1[[#This Row],[Pagado]]</f>
        <v>0</v>
      </c>
      <c r="H1995" s="9" t="s">
        <v>10</v>
      </c>
    </row>
    <row r="1996" spans="1:8" x14ac:dyDescent="0.25">
      <c r="A1996" s="7">
        <v>44581</v>
      </c>
      <c r="B1996" s="8" t="s">
        <v>2344</v>
      </c>
      <c r="C1996" s="9" t="s">
        <v>56</v>
      </c>
      <c r="D1996" s="10">
        <v>7997.2</v>
      </c>
      <c r="E1996" s="11">
        <v>44581</v>
      </c>
      <c r="F1996" s="10">
        <v>7997.2</v>
      </c>
      <c r="G1996" s="12">
        <f>Tabla1[[#This Row],[Importe]]-Tabla1[[#This Row],[Pagado]]</f>
        <v>0</v>
      </c>
      <c r="H1996" s="9" t="s">
        <v>10</v>
      </c>
    </row>
    <row r="1997" spans="1:8" x14ac:dyDescent="0.25">
      <c r="A1997" s="7">
        <v>44581</v>
      </c>
      <c r="B1997" s="8" t="s">
        <v>2345</v>
      </c>
      <c r="C1997" s="9" t="s">
        <v>37</v>
      </c>
      <c r="D1997" s="10">
        <v>3180.1</v>
      </c>
      <c r="E1997" s="11">
        <v>44581</v>
      </c>
      <c r="F1997" s="10">
        <v>3180.1</v>
      </c>
      <c r="G1997" s="12">
        <f>Tabla1[[#This Row],[Importe]]-Tabla1[[#This Row],[Pagado]]</f>
        <v>0</v>
      </c>
      <c r="H1997" s="9" t="s">
        <v>10</v>
      </c>
    </row>
    <row r="1998" spans="1:8" x14ac:dyDescent="0.25">
      <c r="A1998" s="7">
        <v>44581</v>
      </c>
      <c r="B1998" s="8" t="s">
        <v>2346</v>
      </c>
      <c r="C1998" s="9" t="s">
        <v>392</v>
      </c>
      <c r="D1998" s="10">
        <v>9224.7999999999993</v>
      </c>
      <c r="E1998" s="11">
        <v>44589</v>
      </c>
      <c r="F1998" s="10">
        <v>9224.7999999999993</v>
      </c>
      <c r="G1998" s="12">
        <f>Tabla1[[#This Row],[Importe]]-Tabla1[[#This Row],[Pagado]]</f>
        <v>0</v>
      </c>
      <c r="H1998" s="9" t="s">
        <v>10</v>
      </c>
    </row>
    <row r="1999" spans="1:8" x14ac:dyDescent="0.25">
      <c r="A1999" s="7">
        <v>44581</v>
      </c>
      <c r="B1999" s="8" t="s">
        <v>2347</v>
      </c>
      <c r="C1999" s="9" t="s">
        <v>29</v>
      </c>
      <c r="D1999" s="10">
        <v>2784</v>
      </c>
      <c r="E1999" s="11">
        <v>44581</v>
      </c>
      <c r="F1999" s="10">
        <v>2784</v>
      </c>
      <c r="G1999" s="12">
        <f>Tabla1[[#This Row],[Importe]]-Tabla1[[#This Row],[Pagado]]</f>
        <v>0</v>
      </c>
      <c r="H1999" s="9" t="s">
        <v>10</v>
      </c>
    </row>
    <row r="2000" spans="1:8" x14ac:dyDescent="0.25">
      <c r="A2000" s="7">
        <v>44581</v>
      </c>
      <c r="B2000" s="8" t="s">
        <v>2348</v>
      </c>
      <c r="C2000" s="9" t="s">
        <v>228</v>
      </c>
      <c r="D2000" s="10">
        <v>4397.3999999999996</v>
      </c>
      <c r="E2000" s="11">
        <v>44581</v>
      </c>
      <c r="F2000" s="10">
        <v>4397.3999999999996</v>
      </c>
      <c r="G2000" s="12">
        <f>Tabla1[[#This Row],[Importe]]-Tabla1[[#This Row],[Pagado]]</f>
        <v>0</v>
      </c>
      <c r="H2000" s="9" t="s">
        <v>10</v>
      </c>
    </row>
    <row r="2001" spans="1:8" x14ac:dyDescent="0.25">
      <c r="A2001" s="7">
        <v>44581</v>
      </c>
      <c r="B2001" s="8" t="s">
        <v>2349</v>
      </c>
      <c r="C2001" s="9" t="s">
        <v>45</v>
      </c>
      <c r="D2001" s="10">
        <v>12122.4</v>
      </c>
      <c r="E2001" s="11">
        <v>44581</v>
      </c>
      <c r="F2001" s="10">
        <v>12122.4</v>
      </c>
      <c r="G2001" s="12">
        <f>Tabla1[[#This Row],[Importe]]-Tabla1[[#This Row],[Pagado]]</f>
        <v>0</v>
      </c>
      <c r="H2001" s="9" t="s">
        <v>10</v>
      </c>
    </row>
    <row r="2002" spans="1:8" x14ac:dyDescent="0.25">
      <c r="A2002" s="7">
        <v>44581</v>
      </c>
      <c r="B2002" s="8" t="s">
        <v>2350</v>
      </c>
      <c r="C2002" s="9" t="s">
        <v>45</v>
      </c>
      <c r="D2002" s="10">
        <v>479.4</v>
      </c>
      <c r="E2002" s="11">
        <v>44581</v>
      </c>
      <c r="F2002" s="10">
        <v>479.4</v>
      </c>
      <c r="G2002" s="12">
        <f>Tabla1[[#This Row],[Importe]]-Tabla1[[#This Row],[Pagado]]</f>
        <v>0</v>
      </c>
      <c r="H2002" s="9" t="s">
        <v>10</v>
      </c>
    </row>
    <row r="2003" spans="1:8" x14ac:dyDescent="0.25">
      <c r="A2003" s="7">
        <v>44581</v>
      </c>
      <c r="B2003" s="8" t="s">
        <v>2351</v>
      </c>
      <c r="C2003" s="9" t="s">
        <v>729</v>
      </c>
      <c r="D2003" s="10">
        <v>18223.5</v>
      </c>
      <c r="E2003" s="11">
        <v>44581</v>
      </c>
      <c r="F2003" s="10">
        <v>18223.5</v>
      </c>
      <c r="G2003" s="12">
        <f>Tabla1[[#This Row],[Importe]]-Tabla1[[#This Row],[Pagado]]</f>
        <v>0</v>
      </c>
      <c r="H2003" s="9" t="s">
        <v>10</v>
      </c>
    </row>
    <row r="2004" spans="1:8" x14ac:dyDescent="0.25">
      <c r="A2004" s="7">
        <v>44581</v>
      </c>
      <c r="B2004" s="8" t="s">
        <v>2352</v>
      </c>
      <c r="C2004" s="9" t="s">
        <v>670</v>
      </c>
      <c r="D2004" s="10">
        <v>3678.4</v>
      </c>
      <c r="E2004" s="11">
        <v>44581</v>
      </c>
      <c r="F2004" s="10">
        <v>3678.4</v>
      </c>
      <c r="G2004" s="12">
        <f>Tabla1[[#This Row],[Importe]]-Tabla1[[#This Row],[Pagado]]</f>
        <v>0</v>
      </c>
      <c r="H2004" s="9" t="s">
        <v>10</v>
      </c>
    </row>
    <row r="2005" spans="1:8" x14ac:dyDescent="0.25">
      <c r="A2005" s="7">
        <v>44581</v>
      </c>
      <c r="B2005" s="8" t="s">
        <v>2353</v>
      </c>
      <c r="C2005" s="9" t="s">
        <v>24</v>
      </c>
      <c r="D2005" s="10">
        <v>673.4</v>
      </c>
      <c r="E2005" s="11">
        <v>44581</v>
      </c>
      <c r="F2005" s="10">
        <v>673.4</v>
      </c>
      <c r="G2005" s="12">
        <f>Tabla1[[#This Row],[Importe]]-Tabla1[[#This Row],[Pagado]]</f>
        <v>0</v>
      </c>
      <c r="H2005" s="9" t="s">
        <v>10</v>
      </c>
    </row>
    <row r="2006" spans="1:8" x14ac:dyDescent="0.25">
      <c r="A2006" s="7">
        <v>44581</v>
      </c>
      <c r="B2006" s="8" t="s">
        <v>2354</v>
      </c>
      <c r="C2006" s="9" t="s">
        <v>840</v>
      </c>
      <c r="D2006" s="10">
        <v>11850.6</v>
      </c>
      <c r="E2006" s="11">
        <v>44581</v>
      </c>
      <c r="F2006" s="10">
        <v>11850.6</v>
      </c>
      <c r="G2006" s="12">
        <f>Tabla1[[#This Row],[Importe]]-Tabla1[[#This Row],[Pagado]]</f>
        <v>0</v>
      </c>
      <c r="H2006" s="9" t="s">
        <v>10</v>
      </c>
    </row>
    <row r="2007" spans="1:8" x14ac:dyDescent="0.25">
      <c r="A2007" s="7">
        <v>44581</v>
      </c>
      <c r="B2007" s="8" t="s">
        <v>2355</v>
      </c>
      <c r="C2007" s="9" t="s">
        <v>2356</v>
      </c>
      <c r="D2007" s="10">
        <v>0</v>
      </c>
      <c r="E2007" s="13" t="s">
        <v>189</v>
      </c>
      <c r="F2007" s="10">
        <v>0</v>
      </c>
      <c r="G2007" s="12">
        <f>Tabla1[[#This Row],[Importe]]-Tabla1[[#This Row],[Pagado]]</f>
        <v>0</v>
      </c>
      <c r="H2007" s="17" t="s">
        <v>2357</v>
      </c>
    </row>
    <row r="2008" spans="1:8" x14ac:dyDescent="0.25">
      <c r="A2008" s="7">
        <v>44581</v>
      </c>
      <c r="B2008" s="8" t="s">
        <v>2358</v>
      </c>
      <c r="C2008" s="9" t="s">
        <v>380</v>
      </c>
      <c r="D2008" s="10">
        <v>13701.9</v>
      </c>
      <c r="E2008" s="11">
        <v>44581</v>
      </c>
      <c r="F2008" s="10">
        <v>13701.9</v>
      </c>
      <c r="G2008" s="12">
        <f>Tabla1[[#This Row],[Importe]]-Tabla1[[#This Row],[Pagado]]</f>
        <v>0</v>
      </c>
      <c r="H2008" s="9" t="s">
        <v>10</v>
      </c>
    </row>
    <row r="2009" spans="1:8" x14ac:dyDescent="0.25">
      <c r="A2009" s="7">
        <v>44581</v>
      </c>
      <c r="B2009" s="8" t="s">
        <v>2359</v>
      </c>
      <c r="C2009" s="9" t="s">
        <v>179</v>
      </c>
      <c r="D2009" s="10">
        <v>710.4</v>
      </c>
      <c r="E2009" s="11">
        <v>44581</v>
      </c>
      <c r="F2009" s="10">
        <v>710.4</v>
      </c>
      <c r="G2009" s="12">
        <f>Tabla1[[#This Row],[Importe]]-Tabla1[[#This Row],[Pagado]]</f>
        <v>0</v>
      </c>
      <c r="H2009" s="9" t="s">
        <v>10</v>
      </c>
    </row>
    <row r="2010" spans="1:8" x14ac:dyDescent="0.25">
      <c r="A2010" s="7">
        <v>44581</v>
      </c>
      <c r="B2010" s="8" t="s">
        <v>2360</v>
      </c>
      <c r="C2010" s="9" t="s">
        <v>191</v>
      </c>
      <c r="D2010" s="10">
        <v>2449.6</v>
      </c>
      <c r="E2010" s="11">
        <v>44581</v>
      </c>
      <c r="F2010" s="10">
        <v>2449.6</v>
      </c>
      <c r="G2010" s="12">
        <f>Tabla1[[#This Row],[Importe]]-Tabla1[[#This Row],[Pagado]]</f>
        <v>0</v>
      </c>
      <c r="H2010" s="9" t="s">
        <v>10</v>
      </c>
    </row>
    <row r="2011" spans="1:8" x14ac:dyDescent="0.25">
      <c r="A2011" s="7">
        <v>44581</v>
      </c>
      <c r="B2011" s="8" t="s">
        <v>2361</v>
      </c>
      <c r="C2011" s="9" t="s">
        <v>135</v>
      </c>
      <c r="D2011" s="10">
        <v>857.5</v>
      </c>
      <c r="E2011" s="11">
        <v>44581</v>
      </c>
      <c r="F2011" s="10">
        <v>857.5</v>
      </c>
      <c r="G2011" s="12">
        <f>Tabla1[[#This Row],[Importe]]-Tabla1[[#This Row],[Pagado]]</f>
        <v>0</v>
      </c>
      <c r="H2011" s="9" t="s">
        <v>10</v>
      </c>
    </row>
    <row r="2012" spans="1:8" x14ac:dyDescent="0.25">
      <c r="A2012" s="7">
        <v>44581</v>
      </c>
      <c r="B2012" s="8" t="s">
        <v>2362</v>
      </c>
      <c r="C2012" s="9" t="s">
        <v>1505</v>
      </c>
      <c r="D2012" s="10">
        <v>4695.8999999999996</v>
      </c>
      <c r="E2012" s="11">
        <v>44581</v>
      </c>
      <c r="F2012" s="10">
        <v>4695.8999999999996</v>
      </c>
      <c r="G2012" s="12">
        <f>Tabla1[[#This Row],[Importe]]-Tabla1[[#This Row],[Pagado]]</f>
        <v>0</v>
      </c>
      <c r="H2012" s="9" t="s">
        <v>10</v>
      </c>
    </row>
    <row r="2013" spans="1:8" x14ac:dyDescent="0.25">
      <c r="A2013" s="7">
        <v>44581</v>
      </c>
      <c r="B2013" s="8" t="s">
        <v>2363</v>
      </c>
      <c r="C2013" s="9" t="s">
        <v>47</v>
      </c>
      <c r="D2013" s="10">
        <v>48205.8</v>
      </c>
      <c r="E2013" s="11">
        <v>44581</v>
      </c>
      <c r="F2013" s="10">
        <v>48205.8</v>
      </c>
      <c r="G2013" s="12">
        <f>Tabla1[[#This Row],[Importe]]-Tabla1[[#This Row],[Pagado]]</f>
        <v>0</v>
      </c>
      <c r="H2013" s="9" t="s">
        <v>10</v>
      </c>
    </row>
    <row r="2014" spans="1:8" x14ac:dyDescent="0.25">
      <c r="A2014" s="7">
        <v>44581</v>
      </c>
      <c r="B2014" s="8" t="s">
        <v>2364</v>
      </c>
      <c r="C2014" s="9" t="s">
        <v>216</v>
      </c>
      <c r="D2014" s="10">
        <v>1291.2</v>
      </c>
      <c r="E2014" s="11">
        <v>44581</v>
      </c>
      <c r="F2014" s="10">
        <v>1291.2</v>
      </c>
      <c r="G2014" s="12">
        <f>Tabla1[[#This Row],[Importe]]-Tabla1[[#This Row],[Pagado]]</f>
        <v>0</v>
      </c>
      <c r="H2014" s="9" t="s">
        <v>10</v>
      </c>
    </row>
    <row r="2015" spans="1:8" x14ac:dyDescent="0.25">
      <c r="A2015" s="7">
        <v>44581</v>
      </c>
      <c r="B2015" s="8" t="s">
        <v>2365</v>
      </c>
      <c r="C2015" s="9" t="s">
        <v>368</v>
      </c>
      <c r="D2015" s="10">
        <v>1991.6</v>
      </c>
      <c r="E2015" s="11">
        <v>44581</v>
      </c>
      <c r="F2015" s="10">
        <v>1991.6</v>
      </c>
      <c r="G2015" s="12">
        <f>Tabla1[[#This Row],[Importe]]-Tabla1[[#This Row],[Pagado]]</f>
        <v>0</v>
      </c>
      <c r="H2015" s="9" t="s">
        <v>10</v>
      </c>
    </row>
    <row r="2016" spans="1:8" x14ac:dyDescent="0.25">
      <c r="A2016" s="7">
        <v>44581</v>
      </c>
      <c r="B2016" s="8" t="s">
        <v>2366</v>
      </c>
      <c r="C2016" s="9" t="s">
        <v>196</v>
      </c>
      <c r="D2016" s="10">
        <v>7616.4</v>
      </c>
      <c r="E2016" s="11">
        <v>44582</v>
      </c>
      <c r="F2016" s="10">
        <v>7616.4</v>
      </c>
      <c r="G2016" s="12">
        <f>Tabla1[[#This Row],[Importe]]-Tabla1[[#This Row],[Pagado]]</f>
        <v>0</v>
      </c>
      <c r="H2016" s="9" t="s">
        <v>10</v>
      </c>
    </row>
    <row r="2017" spans="1:8" x14ac:dyDescent="0.25">
      <c r="A2017" s="7">
        <v>44581</v>
      </c>
      <c r="B2017" s="8" t="s">
        <v>2367</v>
      </c>
      <c r="C2017" s="9" t="s">
        <v>1676</v>
      </c>
      <c r="D2017" s="10">
        <v>2203.1999999999998</v>
      </c>
      <c r="E2017" s="11">
        <v>44581</v>
      </c>
      <c r="F2017" s="10">
        <v>2203.1999999999998</v>
      </c>
      <c r="G2017" s="12">
        <f>Tabla1[[#This Row],[Importe]]-Tabla1[[#This Row],[Pagado]]</f>
        <v>0</v>
      </c>
      <c r="H2017" s="9" t="s">
        <v>10</v>
      </c>
    </row>
    <row r="2018" spans="1:8" x14ac:dyDescent="0.25">
      <c r="A2018" s="7">
        <v>44581</v>
      </c>
      <c r="B2018" s="8" t="s">
        <v>2368</v>
      </c>
      <c r="C2018" s="9" t="s">
        <v>414</v>
      </c>
      <c r="D2018" s="10">
        <v>27.22</v>
      </c>
      <c r="E2018" s="11">
        <v>44593</v>
      </c>
      <c r="F2018" s="10">
        <v>27.22</v>
      </c>
      <c r="G2018" s="12">
        <f>Tabla1[[#This Row],[Importe]]-Tabla1[[#This Row],[Pagado]]</f>
        <v>0</v>
      </c>
      <c r="H2018" s="9" t="s">
        <v>10</v>
      </c>
    </row>
    <row r="2019" spans="1:8" x14ac:dyDescent="0.25">
      <c r="A2019" s="7">
        <v>44581</v>
      </c>
      <c r="B2019" s="8" t="s">
        <v>2369</v>
      </c>
      <c r="C2019" s="9" t="s">
        <v>2370</v>
      </c>
      <c r="D2019" s="10">
        <v>0</v>
      </c>
      <c r="E2019" s="13" t="s">
        <v>189</v>
      </c>
      <c r="F2019" s="10">
        <v>0</v>
      </c>
      <c r="G2019" s="12">
        <f>Tabla1[[#This Row],[Importe]]-Tabla1[[#This Row],[Pagado]]</f>
        <v>0</v>
      </c>
      <c r="H2019" s="9" t="s">
        <v>189</v>
      </c>
    </row>
    <row r="2020" spans="1:8" x14ac:dyDescent="0.25">
      <c r="A2020" s="7">
        <v>44581</v>
      </c>
      <c r="B2020" s="8" t="s">
        <v>2371</v>
      </c>
      <c r="C2020" s="9" t="s">
        <v>715</v>
      </c>
      <c r="D2020" s="10">
        <v>8051.8</v>
      </c>
      <c r="E2020" s="11">
        <v>44581</v>
      </c>
      <c r="F2020" s="10">
        <v>8051.8</v>
      </c>
      <c r="G2020" s="12">
        <f>Tabla1[[#This Row],[Importe]]-Tabla1[[#This Row],[Pagado]]</f>
        <v>0</v>
      </c>
      <c r="H2020" s="9" t="s">
        <v>10</v>
      </c>
    </row>
    <row r="2021" spans="1:8" x14ac:dyDescent="0.25">
      <c r="A2021" s="7">
        <v>44581</v>
      </c>
      <c r="B2021" s="8" t="s">
        <v>2372</v>
      </c>
      <c r="C2021" s="9" t="s">
        <v>804</v>
      </c>
      <c r="D2021" s="10">
        <v>10005.700000000001</v>
      </c>
      <c r="E2021" s="11">
        <v>44581</v>
      </c>
      <c r="F2021" s="10">
        <v>10005.700000000001</v>
      </c>
      <c r="G2021" s="12">
        <f>Tabla1[[#This Row],[Importe]]-Tabla1[[#This Row],[Pagado]]</f>
        <v>0</v>
      </c>
      <c r="H2021" s="9" t="s">
        <v>10</v>
      </c>
    </row>
    <row r="2022" spans="1:8" x14ac:dyDescent="0.25">
      <c r="A2022" s="7">
        <v>44581</v>
      </c>
      <c r="B2022" s="8" t="s">
        <v>2373</v>
      </c>
      <c r="C2022" s="9" t="s">
        <v>698</v>
      </c>
      <c r="D2022" s="10">
        <v>5638.4</v>
      </c>
      <c r="E2022" s="11">
        <v>44581</v>
      </c>
      <c r="F2022" s="10">
        <v>5638.4</v>
      </c>
      <c r="G2022" s="12">
        <f>Tabla1[[#This Row],[Importe]]-Tabla1[[#This Row],[Pagado]]</f>
        <v>0</v>
      </c>
      <c r="H2022" s="9" t="s">
        <v>10</v>
      </c>
    </row>
    <row r="2023" spans="1:8" x14ac:dyDescent="0.25">
      <c r="A2023" s="7">
        <v>44581</v>
      </c>
      <c r="B2023" s="8" t="s">
        <v>2374</v>
      </c>
      <c r="C2023" s="9" t="s">
        <v>67</v>
      </c>
      <c r="D2023" s="10">
        <v>964.8</v>
      </c>
      <c r="E2023" s="11">
        <v>44581</v>
      </c>
      <c r="F2023" s="10">
        <v>964.8</v>
      </c>
      <c r="G2023" s="12">
        <f>Tabla1[[#This Row],[Importe]]-Tabla1[[#This Row],[Pagado]]</f>
        <v>0</v>
      </c>
      <c r="H2023" s="9" t="s">
        <v>10</v>
      </c>
    </row>
    <row r="2024" spans="1:8" x14ac:dyDescent="0.25">
      <c r="A2024" s="7">
        <v>44581</v>
      </c>
      <c r="B2024" s="8" t="s">
        <v>2375</v>
      </c>
      <c r="C2024" s="9" t="s">
        <v>450</v>
      </c>
      <c r="D2024" s="10">
        <v>5644.8</v>
      </c>
      <c r="E2024" s="11">
        <v>44581</v>
      </c>
      <c r="F2024" s="10">
        <v>5644.8</v>
      </c>
      <c r="G2024" s="12">
        <f>Tabla1[[#This Row],[Importe]]-Tabla1[[#This Row],[Pagado]]</f>
        <v>0</v>
      </c>
      <c r="H2024" s="9" t="s">
        <v>10</v>
      </c>
    </row>
    <row r="2025" spans="1:8" x14ac:dyDescent="0.25">
      <c r="A2025" s="7">
        <v>44581</v>
      </c>
      <c r="B2025" s="8" t="s">
        <v>2376</v>
      </c>
      <c r="C2025" s="9" t="s">
        <v>2377</v>
      </c>
      <c r="D2025" s="10">
        <v>6995.8</v>
      </c>
      <c r="E2025" s="11">
        <v>44581</v>
      </c>
      <c r="F2025" s="10">
        <v>6995.8</v>
      </c>
      <c r="G2025" s="12">
        <f>Tabla1[[#This Row],[Importe]]-Tabla1[[#This Row],[Pagado]]</f>
        <v>0</v>
      </c>
      <c r="H2025" s="9" t="s">
        <v>10</v>
      </c>
    </row>
    <row r="2026" spans="1:8" x14ac:dyDescent="0.25">
      <c r="A2026" s="7">
        <v>44581</v>
      </c>
      <c r="B2026" s="8" t="s">
        <v>2378</v>
      </c>
      <c r="C2026" s="9" t="s">
        <v>16</v>
      </c>
      <c r="D2026" s="10">
        <v>1264</v>
      </c>
      <c r="E2026" s="11">
        <v>44581</v>
      </c>
      <c r="F2026" s="10">
        <v>1264</v>
      </c>
      <c r="G2026" s="12">
        <f>Tabla1[[#This Row],[Importe]]-Tabla1[[#This Row],[Pagado]]</f>
        <v>0</v>
      </c>
      <c r="H2026" s="9" t="s">
        <v>10</v>
      </c>
    </row>
    <row r="2027" spans="1:8" x14ac:dyDescent="0.25">
      <c r="A2027" s="7">
        <v>44581</v>
      </c>
      <c r="B2027" s="8" t="s">
        <v>2379</v>
      </c>
      <c r="C2027" s="9" t="s">
        <v>263</v>
      </c>
      <c r="D2027" s="10">
        <v>14080</v>
      </c>
      <c r="E2027" s="11">
        <v>44595</v>
      </c>
      <c r="F2027" s="10">
        <v>14080</v>
      </c>
      <c r="G2027" s="12">
        <f>Tabla1[[#This Row],[Importe]]-Tabla1[[#This Row],[Pagado]]</f>
        <v>0</v>
      </c>
      <c r="H2027" s="9" t="s">
        <v>10</v>
      </c>
    </row>
    <row r="2028" spans="1:8" x14ac:dyDescent="0.25">
      <c r="A2028" s="7">
        <v>44581</v>
      </c>
      <c r="B2028" s="8" t="s">
        <v>2380</v>
      </c>
      <c r="C2028" s="9" t="s">
        <v>107</v>
      </c>
      <c r="D2028" s="10">
        <v>13200.8</v>
      </c>
      <c r="E2028" s="11">
        <v>44582</v>
      </c>
      <c r="F2028" s="10">
        <v>13200.8</v>
      </c>
      <c r="G2028" s="12">
        <f>Tabla1[[#This Row],[Importe]]-Tabla1[[#This Row],[Pagado]]</f>
        <v>0</v>
      </c>
      <c r="H2028" s="9" t="s">
        <v>10</v>
      </c>
    </row>
    <row r="2029" spans="1:8" x14ac:dyDescent="0.25">
      <c r="A2029" s="7">
        <v>44581</v>
      </c>
      <c r="B2029" s="8" t="s">
        <v>2381</v>
      </c>
      <c r="C2029" s="9" t="s">
        <v>222</v>
      </c>
      <c r="D2029" s="10">
        <v>1971.2</v>
      </c>
      <c r="E2029" s="11">
        <v>44581</v>
      </c>
      <c r="F2029" s="10">
        <v>1971.2</v>
      </c>
      <c r="G2029" s="12">
        <f>Tabla1[[#This Row],[Importe]]-Tabla1[[#This Row],[Pagado]]</f>
        <v>0</v>
      </c>
      <c r="H2029" s="9" t="s">
        <v>10</v>
      </c>
    </row>
    <row r="2030" spans="1:8" x14ac:dyDescent="0.25">
      <c r="A2030" s="7">
        <v>44581</v>
      </c>
      <c r="B2030" s="8" t="s">
        <v>2382</v>
      </c>
      <c r="C2030" s="9" t="s">
        <v>2383</v>
      </c>
      <c r="D2030" s="10">
        <v>2040</v>
      </c>
      <c r="E2030" s="11">
        <v>44581</v>
      </c>
      <c r="F2030" s="10">
        <v>2040</v>
      </c>
      <c r="G2030" s="12">
        <f>Tabla1[[#This Row],[Importe]]-Tabla1[[#This Row],[Pagado]]</f>
        <v>0</v>
      </c>
      <c r="H2030" s="9" t="s">
        <v>10</v>
      </c>
    </row>
    <row r="2031" spans="1:8" x14ac:dyDescent="0.25">
      <c r="A2031" s="7">
        <v>44581</v>
      </c>
      <c r="B2031" s="8" t="s">
        <v>2384</v>
      </c>
      <c r="C2031" s="9" t="s">
        <v>664</v>
      </c>
      <c r="D2031" s="10">
        <v>10510.4</v>
      </c>
      <c r="E2031" s="11">
        <v>44582</v>
      </c>
      <c r="F2031" s="10">
        <v>10510.4</v>
      </c>
      <c r="G2031" s="12">
        <f>Tabla1[[#This Row],[Importe]]-Tabla1[[#This Row],[Pagado]]</f>
        <v>0</v>
      </c>
      <c r="H2031" s="9" t="s">
        <v>10</v>
      </c>
    </row>
    <row r="2032" spans="1:8" x14ac:dyDescent="0.25">
      <c r="A2032" s="7">
        <v>44581</v>
      </c>
      <c r="B2032" s="8" t="s">
        <v>2385</v>
      </c>
      <c r="C2032" s="9" t="s">
        <v>1362</v>
      </c>
      <c r="D2032" s="10">
        <v>3237.4</v>
      </c>
      <c r="E2032" s="11">
        <v>44582</v>
      </c>
      <c r="F2032" s="10">
        <v>3237.4</v>
      </c>
      <c r="G2032" s="12">
        <f>Tabla1[[#This Row],[Importe]]-Tabla1[[#This Row],[Pagado]]</f>
        <v>0</v>
      </c>
      <c r="H2032" s="9" t="s">
        <v>10</v>
      </c>
    </row>
    <row r="2033" spans="1:8" x14ac:dyDescent="0.25">
      <c r="A2033" s="7">
        <v>44581</v>
      </c>
      <c r="B2033" s="8" t="s">
        <v>2386</v>
      </c>
      <c r="C2033" s="9" t="s">
        <v>291</v>
      </c>
      <c r="D2033" s="10">
        <v>1444</v>
      </c>
      <c r="E2033" s="11">
        <v>44582</v>
      </c>
      <c r="F2033" s="10">
        <v>1444</v>
      </c>
      <c r="G2033" s="12">
        <f>Tabla1[[#This Row],[Importe]]-Tabla1[[#This Row],[Pagado]]</f>
        <v>0</v>
      </c>
      <c r="H2033" s="9" t="s">
        <v>10</v>
      </c>
    </row>
    <row r="2034" spans="1:8" x14ac:dyDescent="0.25">
      <c r="A2034" s="7">
        <v>44581</v>
      </c>
      <c r="B2034" s="8" t="s">
        <v>2387</v>
      </c>
      <c r="C2034" s="9" t="s">
        <v>67</v>
      </c>
      <c r="D2034" s="10">
        <v>1849.4</v>
      </c>
      <c r="E2034" s="11">
        <v>44581</v>
      </c>
      <c r="F2034" s="10">
        <v>1849.4</v>
      </c>
      <c r="G2034" s="12">
        <f>Tabla1[[#This Row],[Importe]]-Tabla1[[#This Row],[Pagado]]</f>
        <v>0</v>
      </c>
      <c r="H2034" s="9" t="s">
        <v>10</v>
      </c>
    </row>
    <row r="2035" spans="1:8" ht="30" x14ac:dyDescent="0.25">
      <c r="A2035" s="7">
        <v>44581</v>
      </c>
      <c r="B2035" s="8" t="s">
        <v>2388</v>
      </c>
      <c r="C2035" s="9" t="s">
        <v>275</v>
      </c>
      <c r="D2035" s="10">
        <v>18841.3</v>
      </c>
      <c r="E2035" s="11" t="s">
        <v>2389</v>
      </c>
      <c r="F2035" s="10">
        <f>4535.63+14305.67</f>
        <v>18841.3</v>
      </c>
      <c r="G2035" s="12">
        <f>Tabla1[[#This Row],[Importe]]-Tabla1[[#This Row],[Pagado]]</f>
        <v>0</v>
      </c>
      <c r="H2035" s="9" t="s">
        <v>10</v>
      </c>
    </row>
    <row r="2036" spans="1:8" x14ac:dyDescent="0.25">
      <c r="A2036" s="7">
        <v>44581</v>
      </c>
      <c r="B2036" s="8" t="s">
        <v>2390</v>
      </c>
      <c r="C2036" s="9" t="s">
        <v>222</v>
      </c>
      <c r="D2036" s="10">
        <v>6145.7</v>
      </c>
      <c r="E2036" s="11">
        <v>44581</v>
      </c>
      <c r="F2036" s="10">
        <v>6145.7</v>
      </c>
      <c r="G2036" s="12">
        <f>Tabla1[[#This Row],[Importe]]-Tabla1[[#This Row],[Pagado]]</f>
        <v>0</v>
      </c>
      <c r="H2036" s="9" t="s">
        <v>10</v>
      </c>
    </row>
    <row r="2037" spans="1:8" x14ac:dyDescent="0.25">
      <c r="A2037" s="7">
        <v>44581</v>
      </c>
      <c r="B2037" s="8" t="s">
        <v>2391</v>
      </c>
      <c r="C2037" s="9" t="s">
        <v>1421</v>
      </c>
      <c r="D2037" s="10">
        <v>30317.360000000001</v>
      </c>
      <c r="E2037" s="11">
        <v>44581</v>
      </c>
      <c r="F2037" s="10">
        <v>30317.360000000001</v>
      </c>
      <c r="G2037" s="12">
        <f>Tabla1[[#This Row],[Importe]]-Tabla1[[#This Row],[Pagado]]</f>
        <v>0</v>
      </c>
      <c r="H2037" s="9" t="s">
        <v>10</v>
      </c>
    </row>
    <row r="2038" spans="1:8" x14ac:dyDescent="0.25">
      <c r="A2038" s="7">
        <v>44581</v>
      </c>
      <c r="B2038" s="8" t="s">
        <v>2392</v>
      </c>
      <c r="C2038" s="9" t="s">
        <v>2393</v>
      </c>
      <c r="D2038" s="10">
        <v>63410.76</v>
      </c>
      <c r="E2038" s="11">
        <v>44581</v>
      </c>
      <c r="F2038" s="10">
        <v>63410.76</v>
      </c>
      <c r="G2038" s="12">
        <f>Tabla1[[#This Row],[Importe]]-Tabla1[[#This Row],[Pagado]]</f>
        <v>0</v>
      </c>
      <c r="H2038" s="9" t="s">
        <v>10</v>
      </c>
    </row>
    <row r="2039" spans="1:8" x14ac:dyDescent="0.25">
      <c r="A2039" s="7">
        <v>44581</v>
      </c>
      <c r="B2039" s="8" t="s">
        <v>2394</v>
      </c>
      <c r="C2039" s="9" t="s">
        <v>647</v>
      </c>
      <c r="D2039" s="10">
        <v>1384.5</v>
      </c>
      <c r="E2039" s="11">
        <v>44581</v>
      </c>
      <c r="F2039" s="10">
        <v>1384.5</v>
      </c>
      <c r="G2039" s="12">
        <f>Tabla1[[#This Row],[Importe]]-Tabla1[[#This Row],[Pagado]]</f>
        <v>0</v>
      </c>
      <c r="H2039" s="9" t="s">
        <v>10</v>
      </c>
    </row>
    <row r="2040" spans="1:8" x14ac:dyDescent="0.25">
      <c r="A2040" s="7">
        <v>44581</v>
      </c>
      <c r="B2040" s="8" t="s">
        <v>2395</v>
      </c>
      <c r="C2040" s="9" t="s">
        <v>31</v>
      </c>
      <c r="D2040" s="10">
        <v>630</v>
      </c>
      <c r="E2040" s="11">
        <v>44581</v>
      </c>
      <c r="F2040" s="10">
        <v>630</v>
      </c>
      <c r="G2040" s="12">
        <f>Tabla1[[#This Row],[Importe]]-Tabla1[[#This Row],[Pagado]]</f>
        <v>0</v>
      </c>
      <c r="H2040" s="9" t="s">
        <v>10</v>
      </c>
    </row>
    <row r="2041" spans="1:8" x14ac:dyDescent="0.25">
      <c r="A2041" s="7">
        <v>44581</v>
      </c>
      <c r="B2041" s="8" t="s">
        <v>2396</v>
      </c>
      <c r="C2041" s="9" t="s">
        <v>83</v>
      </c>
      <c r="D2041" s="10">
        <v>1125.5999999999999</v>
      </c>
      <c r="E2041" s="11">
        <v>44581</v>
      </c>
      <c r="F2041" s="10">
        <v>1125.5999999999999</v>
      </c>
      <c r="G2041" s="12">
        <f>Tabla1[[#This Row],[Importe]]-Tabla1[[#This Row],[Pagado]]</f>
        <v>0</v>
      </c>
      <c r="H2041" s="9" t="s">
        <v>10</v>
      </c>
    </row>
    <row r="2042" spans="1:8" x14ac:dyDescent="0.25">
      <c r="A2042" s="7">
        <v>44581</v>
      </c>
      <c r="B2042" s="8" t="s">
        <v>2397</v>
      </c>
      <c r="C2042" s="9" t="s">
        <v>605</v>
      </c>
      <c r="D2042" s="10">
        <v>59713.919999999998</v>
      </c>
      <c r="E2042" s="11">
        <v>44582</v>
      </c>
      <c r="F2042" s="10">
        <v>59713.919999999998</v>
      </c>
      <c r="G2042" s="12">
        <f>Tabla1[[#This Row],[Importe]]-Tabla1[[#This Row],[Pagado]]</f>
        <v>0</v>
      </c>
      <c r="H2042" s="9" t="s">
        <v>10</v>
      </c>
    </row>
    <row r="2043" spans="1:8" x14ac:dyDescent="0.25">
      <c r="A2043" s="7">
        <v>44581</v>
      </c>
      <c r="B2043" s="8" t="s">
        <v>2398</v>
      </c>
      <c r="C2043" s="9" t="s">
        <v>681</v>
      </c>
      <c r="D2043" s="10">
        <v>5.67</v>
      </c>
      <c r="E2043" s="11">
        <v>44588</v>
      </c>
      <c r="F2043" s="10">
        <v>5.67</v>
      </c>
      <c r="G2043" s="12">
        <f>Tabla1[[#This Row],[Importe]]-Tabla1[[#This Row],[Pagado]]</f>
        <v>0</v>
      </c>
      <c r="H2043" s="9" t="s">
        <v>10</v>
      </c>
    </row>
    <row r="2044" spans="1:8" x14ac:dyDescent="0.25">
      <c r="A2044" s="7">
        <v>44581</v>
      </c>
      <c r="B2044" s="8" t="s">
        <v>2399</v>
      </c>
      <c r="C2044" s="9" t="s">
        <v>414</v>
      </c>
      <c r="D2044" s="10">
        <v>6500</v>
      </c>
      <c r="E2044" s="11">
        <v>44620</v>
      </c>
      <c r="F2044" s="10">
        <v>6500</v>
      </c>
      <c r="G2044" s="12">
        <f>Tabla1[[#This Row],[Importe]]-Tabla1[[#This Row],[Pagado]]</f>
        <v>0</v>
      </c>
      <c r="H2044" s="9" t="s">
        <v>10</v>
      </c>
    </row>
    <row r="2045" spans="1:8" ht="30" x14ac:dyDescent="0.25">
      <c r="A2045" s="7">
        <v>44581</v>
      </c>
      <c r="B2045" s="8" t="s">
        <v>2400</v>
      </c>
      <c r="C2045" s="9" t="s">
        <v>421</v>
      </c>
      <c r="D2045" s="10">
        <v>14544.5</v>
      </c>
      <c r="E2045" s="11" t="s">
        <v>3644</v>
      </c>
      <c r="F2045" s="10">
        <f>2300+12244.5</f>
        <v>14544.5</v>
      </c>
      <c r="G2045" s="12">
        <f>Tabla1[[#This Row],[Importe]]-Tabla1[[#This Row],[Pagado]]</f>
        <v>0</v>
      </c>
      <c r="H2045" s="9" t="s">
        <v>10</v>
      </c>
    </row>
    <row r="2046" spans="1:8" x14ac:dyDescent="0.25">
      <c r="A2046" s="7">
        <v>44581</v>
      </c>
      <c r="B2046" s="8" t="s">
        <v>2401</v>
      </c>
      <c r="C2046" s="9" t="s">
        <v>58</v>
      </c>
      <c r="D2046" s="10">
        <v>3247</v>
      </c>
      <c r="E2046" s="11">
        <v>44581</v>
      </c>
      <c r="F2046" s="10">
        <v>3247</v>
      </c>
      <c r="G2046" s="12">
        <f>Tabla1[[#This Row],[Importe]]-Tabla1[[#This Row],[Pagado]]</f>
        <v>0</v>
      </c>
      <c r="H2046" s="9" t="s">
        <v>10</v>
      </c>
    </row>
    <row r="2047" spans="1:8" x14ac:dyDescent="0.25">
      <c r="A2047" s="7">
        <v>44581</v>
      </c>
      <c r="B2047" s="8" t="s">
        <v>2402</v>
      </c>
      <c r="C2047" s="9" t="s">
        <v>71</v>
      </c>
      <c r="D2047" s="10">
        <v>174</v>
      </c>
      <c r="E2047" s="11">
        <v>44581</v>
      </c>
      <c r="F2047" s="10">
        <v>174</v>
      </c>
      <c r="G2047" s="12">
        <f>Tabla1[[#This Row],[Importe]]-Tabla1[[#This Row],[Pagado]]</f>
        <v>0</v>
      </c>
      <c r="H2047" s="9" t="s">
        <v>10</v>
      </c>
    </row>
    <row r="2048" spans="1:8" x14ac:dyDescent="0.25">
      <c r="A2048" s="7">
        <v>44581</v>
      </c>
      <c r="B2048" s="8" t="s">
        <v>2403</v>
      </c>
      <c r="C2048" s="9" t="s">
        <v>359</v>
      </c>
      <c r="D2048" s="10">
        <v>2727.2</v>
      </c>
      <c r="E2048" s="11">
        <v>44581</v>
      </c>
      <c r="F2048" s="10">
        <v>2727.2</v>
      </c>
      <c r="G2048" s="12">
        <f>Tabla1[[#This Row],[Importe]]-Tabla1[[#This Row],[Pagado]]</f>
        <v>0</v>
      </c>
      <c r="H2048" s="9" t="s">
        <v>10</v>
      </c>
    </row>
    <row r="2049" spans="1:8" x14ac:dyDescent="0.25">
      <c r="A2049" s="7">
        <v>44581</v>
      </c>
      <c r="B2049" s="8" t="s">
        <v>2404</v>
      </c>
      <c r="C2049" s="9" t="s">
        <v>39</v>
      </c>
      <c r="D2049" s="10">
        <v>487.2</v>
      </c>
      <c r="E2049" s="11">
        <v>44581</v>
      </c>
      <c r="F2049" s="10">
        <v>487.2</v>
      </c>
      <c r="G2049" s="12">
        <f>Tabla1[[#This Row],[Importe]]-Tabla1[[#This Row],[Pagado]]</f>
        <v>0</v>
      </c>
      <c r="H2049" s="9" t="s">
        <v>10</v>
      </c>
    </row>
    <row r="2050" spans="1:8" x14ac:dyDescent="0.25">
      <c r="A2050" s="7">
        <v>44581</v>
      </c>
      <c r="B2050" s="8" t="s">
        <v>2405</v>
      </c>
      <c r="C2050" s="9" t="s">
        <v>269</v>
      </c>
      <c r="D2050" s="10">
        <v>2416.4</v>
      </c>
      <c r="E2050" s="11">
        <v>44581</v>
      </c>
      <c r="F2050" s="10">
        <v>2416.4</v>
      </c>
      <c r="G2050" s="12">
        <f>Tabla1[[#This Row],[Importe]]-Tabla1[[#This Row],[Pagado]]</f>
        <v>0</v>
      </c>
      <c r="H2050" s="9" t="s">
        <v>10</v>
      </c>
    </row>
    <row r="2051" spans="1:8" x14ac:dyDescent="0.25">
      <c r="A2051" s="7">
        <v>44581</v>
      </c>
      <c r="B2051" s="8" t="s">
        <v>2406</v>
      </c>
      <c r="C2051" s="9" t="s">
        <v>275</v>
      </c>
      <c r="D2051" s="10">
        <v>27651.599999999999</v>
      </c>
      <c r="E2051" s="11">
        <v>44589</v>
      </c>
      <c r="F2051" s="10">
        <v>27651.599999999999</v>
      </c>
      <c r="G2051" s="12">
        <f>Tabla1[[#This Row],[Importe]]-Tabla1[[#This Row],[Pagado]]</f>
        <v>0</v>
      </c>
      <c r="H2051" s="9" t="s">
        <v>10</v>
      </c>
    </row>
    <row r="2052" spans="1:8" x14ac:dyDescent="0.25">
      <c r="A2052" s="7">
        <v>44581</v>
      </c>
      <c r="B2052" s="8" t="s">
        <v>2407</v>
      </c>
      <c r="C2052" s="9" t="s">
        <v>409</v>
      </c>
      <c r="D2052" s="10">
        <v>8344.2000000000007</v>
      </c>
      <c r="E2052" s="11">
        <v>44593</v>
      </c>
      <c r="F2052" s="10">
        <v>8344.2000000000007</v>
      </c>
      <c r="G2052" s="12">
        <f>Tabla1[[#This Row],[Importe]]-Tabla1[[#This Row],[Pagado]]</f>
        <v>0</v>
      </c>
      <c r="H2052" s="9" t="s">
        <v>10</v>
      </c>
    </row>
    <row r="2053" spans="1:8" x14ac:dyDescent="0.25">
      <c r="A2053" s="7">
        <v>44581</v>
      </c>
      <c r="B2053" s="8" t="s">
        <v>2408</v>
      </c>
      <c r="C2053" s="9" t="s">
        <v>1265</v>
      </c>
      <c r="D2053" s="10">
        <v>533.6</v>
      </c>
      <c r="E2053" s="11">
        <v>44581</v>
      </c>
      <c r="F2053" s="10">
        <v>533.6</v>
      </c>
      <c r="G2053" s="12">
        <f>Tabla1[[#This Row],[Importe]]-Tabla1[[#This Row],[Pagado]]</f>
        <v>0</v>
      </c>
      <c r="H2053" s="9" t="s">
        <v>10</v>
      </c>
    </row>
    <row r="2054" spans="1:8" x14ac:dyDescent="0.25">
      <c r="A2054" s="7">
        <v>44581</v>
      </c>
      <c r="B2054" s="8" t="s">
        <v>2409</v>
      </c>
      <c r="C2054" s="9" t="s">
        <v>284</v>
      </c>
      <c r="D2054" s="10">
        <v>5769.6</v>
      </c>
      <c r="E2054" s="11">
        <v>44582</v>
      </c>
      <c r="F2054" s="10">
        <v>5769.6</v>
      </c>
      <c r="G2054" s="12">
        <f>Tabla1[[#This Row],[Importe]]-Tabla1[[#This Row],[Pagado]]</f>
        <v>0</v>
      </c>
      <c r="H2054" s="9" t="s">
        <v>10</v>
      </c>
    </row>
    <row r="2055" spans="1:8" x14ac:dyDescent="0.25">
      <c r="A2055" s="7">
        <v>44581</v>
      </c>
      <c r="B2055" s="8" t="s">
        <v>2410</v>
      </c>
      <c r="C2055" s="9" t="s">
        <v>282</v>
      </c>
      <c r="D2055" s="10">
        <v>1920</v>
      </c>
      <c r="E2055" s="11">
        <v>44582</v>
      </c>
      <c r="F2055" s="10">
        <v>1920</v>
      </c>
      <c r="G2055" s="12">
        <f>Tabla1[[#This Row],[Importe]]-Tabla1[[#This Row],[Pagado]]</f>
        <v>0</v>
      </c>
      <c r="H2055" s="9" t="s">
        <v>10</v>
      </c>
    </row>
    <row r="2056" spans="1:8" x14ac:dyDescent="0.25">
      <c r="A2056" s="7">
        <v>44581</v>
      </c>
      <c r="B2056" s="8" t="s">
        <v>2411</v>
      </c>
      <c r="C2056" s="9" t="s">
        <v>431</v>
      </c>
      <c r="D2056" s="10">
        <v>504</v>
      </c>
      <c r="E2056" s="11">
        <v>44582</v>
      </c>
      <c r="F2056" s="10">
        <v>504</v>
      </c>
      <c r="G2056" s="12">
        <f>Tabla1[[#This Row],[Importe]]-Tabla1[[#This Row],[Pagado]]</f>
        <v>0</v>
      </c>
      <c r="H2056" s="9" t="s">
        <v>10</v>
      </c>
    </row>
    <row r="2057" spans="1:8" x14ac:dyDescent="0.25">
      <c r="A2057" s="7">
        <v>44581</v>
      </c>
      <c r="B2057" s="8" t="s">
        <v>2412</v>
      </c>
      <c r="C2057" s="9" t="s">
        <v>280</v>
      </c>
      <c r="D2057" s="10">
        <v>720</v>
      </c>
      <c r="E2057" s="11">
        <v>44582</v>
      </c>
      <c r="F2057" s="10">
        <v>720</v>
      </c>
      <c r="G2057" s="12">
        <f>Tabla1[[#This Row],[Importe]]-Tabla1[[#This Row],[Pagado]]</f>
        <v>0</v>
      </c>
      <c r="H2057" s="9" t="s">
        <v>10</v>
      </c>
    </row>
    <row r="2058" spans="1:8" x14ac:dyDescent="0.25">
      <c r="A2058" s="7">
        <v>44581</v>
      </c>
      <c r="B2058" s="8" t="s">
        <v>2413</v>
      </c>
      <c r="C2058" s="9" t="s">
        <v>14</v>
      </c>
      <c r="D2058" s="10">
        <v>15414.7</v>
      </c>
      <c r="E2058" s="11">
        <v>44581</v>
      </c>
      <c r="F2058" s="10">
        <v>15414.7</v>
      </c>
      <c r="G2058" s="12">
        <f>Tabla1[[#This Row],[Importe]]-Tabla1[[#This Row],[Pagado]]</f>
        <v>0</v>
      </c>
      <c r="H2058" s="9" t="s">
        <v>10</v>
      </c>
    </row>
    <row r="2059" spans="1:8" x14ac:dyDescent="0.25">
      <c r="A2059" s="7">
        <v>44581</v>
      </c>
      <c r="B2059" s="8" t="s">
        <v>2414</v>
      </c>
      <c r="C2059" s="9" t="s">
        <v>612</v>
      </c>
      <c r="D2059" s="10">
        <v>181.6</v>
      </c>
      <c r="E2059" s="11">
        <v>44581</v>
      </c>
      <c r="F2059" s="10">
        <v>181.6</v>
      </c>
      <c r="G2059" s="12">
        <f>Tabla1[[#This Row],[Importe]]-Tabla1[[#This Row],[Pagado]]</f>
        <v>0</v>
      </c>
      <c r="H2059" s="9" t="s">
        <v>10</v>
      </c>
    </row>
    <row r="2060" spans="1:8" x14ac:dyDescent="0.25">
      <c r="A2060" s="7">
        <v>44581</v>
      </c>
      <c r="B2060" s="8" t="s">
        <v>2415</v>
      </c>
      <c r="C2060" s="9" t="s">
        <v>31</v>
      </c>
      <c r="D2060" s="10">
        <v>916.8</v>
      </c>
      <c r="E2060" s="11">
        <v>44581</v>
      </c>
      <c r="F2060" s="10">
        <v>916.8</v>
      </c>
      <c r="G2060" s="12">
        <f>Tabla1[[#This Row],[Importe]]-Tabla1[[#This Row],[Pagado]]</f>
        <v>0</v>
      </c>
      <c r="H2060" s="9" t="s">
        <v>10</v>
      </c>
    </row>
    <row r="2061" spans="1:8" x14ac:dyDescent="0.25">
      <c r="A2061" s="7">
        <v>44581</v>
      </c>
      <c r="B2061" s="8" t="s">
        <v>2416</v>
      </c>
      <c r="C2061" s="9" t="s">
        <v>69</v>
      </c>
      <c r="D2061" s="10">
        <v>1948.8</v>
      </c>
      <c r="E2061" s="11">
        <v>44581</v>
      </c>
      <c r="F2061" s="10">
        <v>1948.8</v>
      </c>
      <c r="G2061" s="12">
        <f>Tabla1[[#This Row],[Importe]]-Tabla1[[#This Row],[Pagado]]</f>
        <v>0</v>
      </c>
      <c r="H2061" s="9" t="s">
        <v>10</v>
      </c>
    </row>
    <row r="2062" spans="1:8" x14ac:dyDescent="0.25">
      <c r="A2062" s="7">
        <v>44581</v>
      </c>
      <c r="B2062" s="8" t="s">
        <v>2417</v>
      </c>
      <c r="C2062" s="9" t="s">
        <v>31</v>
      </c>
      <c r="D2062" s="10">
        <v>195</v>
      </c>
      <c r="E2062" s="11">
        <v>44582</v>
      </c>
      <c r="F2062" s="10">
        <v>195</v>
      </c>
      <c r="G2062" s="12">
        <f>Tabla1[[#This Row],[Importe]]-Tabla1[[#This Row],[Pagado]]</f>
        <v>0</v>
      </c>
      <c r="H2062" s="9" t="s">
        <v>10</v>
      </c>
    </row>
    <row r="2063" spans="1:8" x14ac:dyDescent="0.25">
      <c r="A2063" s="7">
        <v>44581</v>
      </c>
      <c r="B2063" s="8" t="s">
        <v>2418</v>
      </c>
      <c r="C2063" s="9" t="s">
        <v>31</v>
      </c>
      <c r="D2063" s="10">
        <v>135</v>
      </c>
      <c r="E2063" s="11">
        <v>44582</v>
      </c>
      <c r="F2063" s="10">
        <v>135</v>
      </c>
      <c r="G2063" s="12">
        <f>Tabla1[[#This Row],[Importe]]-Tabla1[[#This Row],[Pagado]]</f>
        <v>0</v>
      </c>
      <c r="H2063" s="9" t="s">
        <v>10</v>
      </c>
    </row>
    <row r="2064" spans="1:8" x14ac:dyDescent="0.25">
      <c r="A2064" s="7">
        <v>44581</v>
      </c>
      <c r="B2064" s="8" t="s">
        <v>2419</v>
      </c>
      <c r="C2064" s="9" t="s">
        <v>31</v>
      </c>
      <c r="D2064" s="10">
        <v>1074.5999999999999</v>
      </c>
      <c r="E2064" s="11">
        <v>44582</v>
      </c>
      <c r="F2064" s="10">
        <v>1074.5999999999999</v>
      </c>
      <c r="G2064" s="12">
        <f>Tabla1[[#This Row],[Importe]]-Tabla1[[#This Row],[Pagado]]</f>
        <v>0</v>
      </c>
      <c r="H2064" s="9" t="s">
        <v>10</v>
      </c>
    </row>
    <row r="2065" spans="1:8" x14ac:dyDescent="0.25">
      <c r="A2065" s="7">
        <v>44581</v>
      </c>
      <c r="B2065" s="8" t="s">
        <v>2420</v>
      </c>
      <c r="C2065" s="9" t="s">
        <v>31</v>
      </c>
      <c r="D2065" s="10">
        <v>172.5</v>
      </c>
      <c r="E2065" s="11">
        <v>44582</v>
      </c>
      <c r="F2065" s="10">
        <v>172.5</v>
      </c>
      <c r="G2065" s="12">
        <f>Tabla1[[#This Row],[Importe]]-Tabla1[[#This Row],[Pagado]]</f>
        <v>0</v>
      </c>
      <c r="H2065" s="9" t="s">
        <v>10</v>
      </c>
    </row>
    <row r="2066" spans="1:8" x14ac:dyDescent="0.25">
      <c r="A2066" s="7">
        <v>44582</v>
      </c>
      <c r="B2066" s="8" t="s">
        <v>2421</v>
      </c>
      <c r="C2066" s="9" t="s">
        <v>887</v>
      </c>
      <c r="D2066" s="10">
        <v>8158.8</v>
      </c>
      <c r="E2066" s="11">
        <v>44583</v>
      </c>
      <c r="F2066" s="10">
        <v>8158.8</v>
      </c>
      <c r="G2066" s="12">
        <f>Tabla1[[#This Row],[Importe]]-Tabla1[[#This Row],[Pagado]]</f>
        <v>0</v>
      </c>
      <c r="H2066" s="9" t="s">
        <v>10</v>
      </c>
    </row>
    <row r="2067" spans="1:8" x14ac:dyDescent="0.25">
      <c r="A2067" s="7">
        <v>44582</v>
      </c>
      <c r="B2067" s="8" t="s">
        <v>2422</v>
      </c>
      <c r="C2067" s="9" t="s">
        <v>475</v>
      </c>
      <c r="D2067" s="10">
        <v>60841.8</v>
      </c>
      <c r="E2067" s="11">
        <v>44584</v>
      </c>
      <c r="F2067" s="10">
        <v>60841.8</v>
      </c>
      <c r="G2067" s="12">
        <f>Tabla1[[#This Row],[Importe]]-Tabla1[[#This Row],[Pagado]]</f>
        <v>0</v>
      </c>
      <c r="H2067" s="9" t="s">
        <v>10</v>
      </c>
    </row>
    <row r="2068" spans="1:8" x14ac:dyDescent="0.25">
      <c r="A2068" s="7">
        <v>44582</v>
      </c>
      <c r="B2068" s="8" t="s">
        <v>2423</v>
      </c>
      <c r="C2068" s="9" t="s">
        <v>12</v>
      </c>
      <c r="D2068" s="10">
        <v>25953.200000000001</v>
      </c>
      <c r="E2068" s="11">
        <v>44583</v>
      </c>
      <c r="F2068" s="10">
        <v>25953.200000000001</v>
      </c>
      <c r="G2068" s="12">
        <f>Tabla1[[#This Row],[Importe]]-Tabla1[[#This Row],[Pagado]]</f>
        <v>0</v>
      </c>
      <c r="H2068" s="9" t="s">
        <v>10</v>
      </c>
    </row>
    <row r="2069" spans="1:8" x14ac:dyDescent="0.25">
      <c r="A2069" s="7">
        <v>44582</v>
      </c>
      <c r="B2069" s="8" t="s">
        <v>2424</v>
      </c>
      <c r="C2069" s="9" t="s">
        <v>154</v>
      </c>
      <c r="D2069" s="10">
        <v>77375.3</v>
      </c>
      <c r="E2069" s="11">
        <v>44589</v>
      </c>
      <c r="F2069" s="10">
        <v>77375.3</v>
      </c>
      <c r="G2069" s="12">
        <f>Tabla1[[#This Row],[Importe]]-Tabla1[[#This Row],[Pagado]]</f>
        <v>0</v>
      </c>
      <c r="H2069" s="9" t="s">
        <v>10</v>
      </c>
    </row>
    <row r="2070" spans="1:8" x14ac:dyDescent="0.25">
      <c r="A2070" s="7">
        <v>44582</v>
      </c>
      <c r="B2070" s="8" t="s">
        <v>2425</v>
      </c>
      <c r="C2070" s="9" t="s">
        <v>75</v>
      </c>
      <c r="D2070" s="10">
        <v>4982.3999999999996</v>
      </c>
      <c r="E2070" s="11">
        <v>44582</v>
      </c>
      <c r="F2070" s="10">
        <v>4982.3999999999996</v>
      </c>
      <c r="G2070" s="12">
        <f>Tabla1[[#This Row],[Importe]]-Tabla1[[#This Row],[Pagado]]</f>
        <v>0</v>
      </c>
      <c r="H2070" s="9" t="s">
        <v>10</v>
      </c>
    </row>
    <row r="2071" spans="1:8" x14ac:dyDescent="0.25">
      <c r="A2071" s="7">
        <v>44582</v>
      </c>
      <c r="B2071" s="8" t="s">
        <v>2426</v>
      </c>
      <c r="C2071" s="9" t="s">
        <v>473</v>
      </c>
      <c r="D2071" s="10">
        <v>4870.7</v>
      </c>
      <c r="E2071" s="11">
        <v>44582</v>
      </c>
      <c r="F2071" s="10">
        <v>4870.7</v>
      </c>
      <c r="G2071" s="12">
        <f>Tabla1[[#This Row],[Importe]]-Tabla1[[#This Row],[Pagado]]</f>
        <v>0</v>
      </c>
      <c r="H2071" s="9" t="s">
        <v>10</v>
      </c>
    </row>
    <row r="2072" spans="1:8" x14ac:dyDescent="0.25">
      <c r="A2072" s="7">
        <v>44582</v>
      </c>
      <c r="B2072" s="8" t="s">
        <v>2427</v>
      </c>
      <c r="C2072" s="9" t="s">
        <v>206</v>
      </c>
      <c r="D2072" s="10">
        <v>51546.7</v>
      </c>
      <c r="E2072" s="11">
        <v>44589</v>
      </c>
      <c r="F2072" s="10">
        <v>51546.7</v>
      </c>
      <c r="G2072" s="12">
        <f>Tabla1[[#This Row],[Importe]]-Tabla1[[#This Row],[Pagado]]</f>
        <v>0</v>
      </c>
      <c r="H2072" s="9" t="s">
        <v>10</v>
      </c>
    </row>
    <row r="2073" spans="1:8" x14ac:dyDescent="0.25">
      <c r="A2073" s="7">
        <v>44582</v>
      </c>
      <c r="B2073" s="8" t="s">
        <v>2428</v>
      </c>
      <c r="C2073" s="9" t="s">
        <v>481</v>
      </c>
      <c r="D2073" s="10">
        <v>2214.6</v>
      </c>
      <c r="E2073" s="11">
        <v>44582</v>
      </c>
      <c r="F2073" s="10">
        <v>2214.6</v>
      </c>
      <c r="G2073" s="12">
        <f>Tabla1[[#This Row],[Importe]]-Tabla1[[#This Row],[Pagado]]</f>
        <v>0</v>
      </c>
      <c r="H2073" s="9" t="s">
        <v>10</v>
      </c>
    </row>
    <row r="2074" spans="1:8" x14ac:dyDescent="0.25">
      <c r="A2074" s="7">
        <v>44582</v>
      </c>
      <c r="B2074" s="8" t="s">
        <v>2429</v>
      </c>
      <c r="C2074" s="9" t="s">
        <v>513</v>
      </c>
      <c r="D2074" s="10">
        <v>10070.4</v>
      </c>
      <c r="E2074" s="11">
        <v>44582</v>
      </c>
      <c r="F2074" s="10">
        <v>10070.4</v>
      </c>
      <c r="G2074" s="12">
        <f>Tabla1[[#This Row],[Importe]]-Tabla1[[#This Row],[Pagado]]</f>
        <v>0</v>
      </c>
      <c r="H2074" s="9" t="s">
        <v>10</v>
      </c>
    </row>
    <row r="2075" spans="1:8" x14ac:dyDescent="0.25">
      <c r="A2075" s="7">
        <v>44582</v>
      </c>
      <c r="B2075" s="8" t="s">
        <v>2430</v>
      </c>
      <c r="C2075" s="9" t="s">
        <v>114</v>
      </c>
      <c r="D2075" s="10">
        <v>4222.3999999999996</v>
      </c>
      <c r="E2075" s="11">
        <v>44583</v>
      </c>
      <c r="F2075" s="10">
        <v>4222.3999999999996</v>
      </c>
      <c r="G2075" s="12">
        <f>Tabla1[[#This Row],[Importe]]-Tabla1[[#This Row],[Pagado]]</f>
        <v>0</v>
      </c>
      <c r="H2075" s="9" t="s">
        <v>10</v>
      </c>
    </row>
    <row r="2076" spans="1:8" x14ac:dyDescent="0.25">
      <c r="A2076" s="7">
        <v>44582</v>
      </c>
      <c r="B2076" s="8" t="s">
        <v>2431</v>
      </c>
      <c r="C2076" s="9" t="s">
        <v>146</v>
      </c>
      <c r="D2076" s="10">
        <v>5011.2</v>
      </c>
      <c r="E2076" s="11">
        <v>44582</v>
      </c>
      <c r="F2076" s="10">
        <v>5011.2</v>
      </c>
      <c r="G2076" s="12">
        <f>Tabla1[[#This Row],[Importe]]-Tabla1[[#This Row],[Pagado]]</f>
        <v>0</v>
      </c>
      <c r="H2076" s="9" t="s">
        <v>10</v>
      </c>
    </row>
    <row r="2077" spans="1:8" x14ac:dyDescent="0.25">
      <c r="A2077" s="7">
        <v>44582</v>
      </c>
      <c r="B2077" s="8" t="s">
        <v>2432</v>
      </c>
      <c r="C2077" s="9" t="s">
        <v>9</v>
      </c>
      <c r="D2077" s="10">
        <v>7367</v>
      </c>
      <c r="E2077" s="11">
        <v>44582</v>
      </c>
      <c r="F2077" s="10">
        <v>7367</v>
      </c>
      <c r="G2077" s="12">
        <f>Tabla1[[#This Row],[Importe]]-Tabla1[[#This Row],[Pagado]]</f>
        <v>0</v>
      </c>
      <c r="H2077" s="9" t="s">
        <v>10</v>
      </c>
    </row>
    <row r="2078" spans="1:8" x14ac:dyDescent="0.25">
      <c r="A2078" s="7">
        <v>44582</v>
      </c>
      <c r="B2078" s="8" t="s">
        <v>2433</v>
      </c>
      <c r="C2078" s="9" t="s">
        <v>116</v>
      </c>
      <c r="D2078" s="10">
        <v>3807</v>
      </c>
      <c r="E2078" s="11">
        <v>44583</v>
      </c>
      <c r="F2078" s="10">
        <v>3807</v>
      </c>
      <c r="G2078" s="12">
        <f>Tabla1[[#This Row],[Importe]]-Tabla1[[#This Row],[Pagado]]</f>
        <v>0</v>
      </c>
      <c r="H2078" s="9" t="s">
        <v>10</v>
      </c>
    </row>
    <row r="2079" spans="1:8" x14ac:dyDescent="0.25">
      <c r="A2079" s="7">
        <v>44582</v>
      </c>
      <c r="B2079" s="8" t="s">
        <v>2434</v>
      </c>
      <c r="C2079" s="9" t="s">
        <v>111</v>
      </c>
      <c r="D2079" s="10">
        <v>4659.2</v>
      </c>
      <c r="E2079" s="11">
        <v>44583</v>
      </c>
      <c r="F2079" s="10">
        <v>4659.2</v>
      </c>
      <c r="G2079" s="12">
        <f>Tabla1[[#This Row],[Importe]]-Tabla1[[#This Row],[Pagado]]</f>
        <v>0</v>
      </c>
      <c r="H2079" s="9" t="s">
        <v>10</v>
      </c>
    </row>
    <row r="2080" spans="1:8" x14ac:dyDescent="0.25">
      <c r="A2080" s="7">
        <v>44582</v>
      </c>
      <c r="B2080" s="8" t="s">
        <v>2435</v>
      </c>
      <c r="C2080" s="9" t="s">
        <v>109</v>
      </c>
      <c r="D2080" s="10">
        <v>5163.6000000000004</v>
      </c>
      <c r="E2080" s="11">
        <v>44583</v>
      </c>
      <c r="F2080" s="10">
        <v>5163.6000000000004</v>
      </c>
      <c r="G2080" s="12">
        <f>Tabla1[[#This Row],[Importe]]-Tabla1[[#This Row],[Pagado]]</f>
        <v>0</v>
      </c>
      <c r="H2080" s="9" t="s">
        <v>10</v>
      </c>
    </row>
    <row r="2081" spans="1:8" x14ac:dyDescent="0.25">
      <c r="A2081" s="7">
        <v>44582</v>
      </c>
      <c r="B2081" s="8" t="s">
        <v>2436</v>
      </c>
      <c r="C2081" s="9" t="s">
        <v>60</v>
      </c>
      <c r="D2081" s="10">
        <v>3958.2</v>
      </c>
      <c r="E2081" s="11">
        <v>44587</v>
      </c>
      <c r="F2081" s="10">
        <v>3958.2</v>
      </c>
      <c r="G2081" s="12">
        <f>Tabla1[[#This Row],[Importe]]-Tabla1[[#This Row],[Pagado]]</f>
        <v>0</v>
      </c>
      <c r="H2081" s="9" t="s">
        <v>10</v>
      </c>
    </row>
    <row r="2082" spans="1:8" x14ac:dyDescent="0.25">
      <c r="A2082" s="7">
        <v>44582</v>
      </c>
      <c r="B2082" s="8" t="s">
        <v>2437</v>
      </c>
      <c r="C2082" s="9" t="s">
        <v>513</v>
      </c>
      <c r="D2082" s="10">
        <v>3247</v>
      </c>
      <c r="E2082" s="11">
        <v>44582</v>
      </c>
      <c r="F2082" s="10">
        <v>3247</v>
      </c>
      <c r="G2082" s="12">
        <f>Tabla1[[#This Row],[Importe]]-Tabla1[[#This Row],[Pagado]]</f>
        <v>0</v>
      </c>
      <c r="H2082" s="9" t="s">
        <v>10</v>
      </c>
    </row>
    <row r="2083" spans="1:8" x14ac:dyDescent="0.25">
      <c r="A2083" s="7">
        <v>44582</v>
      </c>
      <c r="B2083" s="8" t="s">
        <v>2438</v>
      </c>
      <c r="C2083" s="9" t="s">
        <v>345</v>
      </c>
      <c r="D2083" s="10">
        <v>489.6</v>
      </c>
      <c r="E2083" s="11">
        <v>44582</v>
      </c>
      <c r="F2083" s="10">
        <v>489.6</v>
      </c>
      <c r="G2083" s="12">
        <f>Tabla1[[#This Row],[Importe]]-Tabla1[[#This Row],[Pagado]]</f>
        <v>0</v>
      </c>
      <c r="H2083" s="9" t="s">
        <v>10</v>
      </c>
    </row>
    <row r="2084" spans="1:8" x14ac:dyDescent="0.25">
      <c r="A2084" s="7">
        <v>44582</v>
      </c>
      <c r="B2084" s="8" t="s">
        <v>2439</v>
      </c>
      <c r="C2084" s="9" t="s">
        <v>208</v>
      </c>
      <c r="D2084" s="10">
        <v>18342.900000000001</v>
      </c>
      <c r="E2084" s="11">
        <v>44593</v>
      </c>
      <c r="F2084" s="10">
        <v>18342.900000000001</v>
      </c>
      <c r="G2084" s="12">
        <f>Tabla1[[#This Row],[Importe]]-Tabla1[[#This Row],[Pagado]]</f>
        <v>0</v>
      </c>
      <c r="H2084" s="9" t="s">
        <v>10</v>
      </c>
    </row>
    <row r="2085" spans="1:8" x14ac:dyDescent="0.25">
      <c r="A2085" s="7">
        <v>44582</v>
      </c>
      <c r="B2085" s="8" t="s">
        <v>2440</v>
      </c>
      <c r="C2085" s="9" t="s">
        <v>348</v>
      </c>
      <c r="D2085" s="10">
        <v>2301.8000000000002</v>
      </c>
      <c r="E2085" s="11">
        <v>44582</v>
      </c>
      <c r="F2085" s="10">
        <v>2301.8000000000002</v>
      </c>
      <c r="G2085" s="12">
        <f>Tabla1[[#This Row],[Importe]]-Tabla1[[#This Row],[Pagado]]</f>
        <v>0</v>
      </c>
      <c r="H2085" s="9" t="s">
        <v>10</v>
      </c>
    </row>
    <row r="2086" spans="1:8" x14ac:dyDescent="0.25">
      <c r="A2086" s="7">
        <v>44582</v>
      </c>
      <c r="B2086" s="8" t="s">
        <v>2441</v>
      </c>
      <c r="C2086" s="9" t="s">
        <v>39</v>
      </c>
      <c r="D2086" s="10">
        <v>24090.400000000001</v>
      </c>
      <c r="E2086" s="11">
        <v>44585</v>
      </c>
      <c r="F2086" s="10">
        <v>24090.400000000001</v>
      </c>
      <c r="G2086" s="12">
        <f>Tabla1[[#This Row],[Importe]]-Tabla1[[#This Row],[Pagado]]</f>
        <v>0</v>
      </c>
      <c r="H2086" s="9" t="s">
        <v>10</v>
      </c>
    </row>
    <row r="2087" spans="1:8" x14ac:dyDescent="0.25">
      <c r="A2087" s="7">
        <v>44582</v>
      </c>
      <c r="B2087" s="8" t="s">
        <v>2442</v>
      </c>
      <c r="C2087" s="9" t="s">
        <v>326</v>
      </c>
      <c r="D2087" s="10">
        <v>5663.5</v>
      </c>
      <c r="E2087" s="11">
        <v>44583</v>
      </c>
      <c r="F2087" s="10">
        <v>5663.5</v>
      </c>
      <c r="G2087" s="12">
        <f>Tabla1[[#This Row],[Importe]]-Tabla1[[#This Row],[Pagado]]</f>
        <v>0</v>
      </c>
      <c r="H2087" s="9" t="s">
        <v>10</v>
      </c>
    </row>
    <row r="2088" spans="1:8" x14ac:dyDescent="0.25">
      <c r="A2088" s="7">
        <v>44582</v>
      </c>
      <c r="B2088" s="8" t="s">
        <v>2443</v>
      </c>
      <c r="C2088" s="9" t="s">
        <v>93</v>
      </c>
      <c r="D2088" s="10">
        <v>8407.2000000000007</v>
      </c>
      <c r="E2088" s="11">
        <v>44583</v>
      </c>
      <c r="F2088" s="10">
        <v>8407.2000000000007</v>
      </c>
      <c r="G2088" s="12">
        <f>Tabla1[[#This Row],[Importe]]-Tabla1[[#This Row],[Pagado]]</f>
        <v>0</v>
      </c>
      <c r="H2088" s="9" t="s">
        <v>10</v>
      </c>
    </row>
    <row r="2089" spans="1:8" x14ac:dyDescent="0.25">
      <c r="A2089" s="7">
        <v>44582</v>
      </c>
      <c r="B2089" s="8" t="s">
        <v>2444</v>
      </c>
      <c r="C2089" s="9" t="s">
        <v>173</v>
      </c>
      <c r="D2089" s="10">
        <v>18515.2</v>
      </c>
      <c r="E2089" s="11">
        <v>44583</v>
      </c>
      <c r="F2089" s="10">
        <v>18515.2</v>
      </c>
      <c r="G2089" s="12">
        <f>Tabla1[[#This Row],[Importe]]-Tabla1[[#This Row],[Pagado]]</f>
        <v>0</v>
      </c>
      <c r="H2089" s="9" t="s">
        <v>10</v>
      </c>
    </row>
    <row r="2090" spans="1:8" x14ac:dyDescent="0.25">
      <c r="A2090" s="7">
        <v>44582</v>
      </c>
      <c r="B2090" s="8" t="s">
        <v>2445</v>
      </c>
      <c r="C2090" s="9" t="s">
        <v>64</v>
      </c>
      <c r="D2090" s="10">
        <v>5354.1</v>
      </c>
      <c r="E2090" s="11">
        <v>44583</v>
      </c>
      <c r="F2090" s="10">
        <v>5354.1</v>
      </c>
      <c r="G2090" s="12">
        <f>Tabla1[[#This Row],[Importe]]-Tabla1[[#This Row],[Pagado]]</f>
        <v>0</v>
      </c>
      <c r="H2090" s="9" t="s">
        <v>10</v>
      </c>
    </row>
    <row r="2091" spans="1:8" x14ac:dyDescent="0.25">
      <c r="A2091" s="7">
        <v>44582</v>
      </c>
      <c r="B2091" s="8" t="s">
        <v>2446</v>
      </c>
      <c r="C2091" s="9" t="s">
        <v>105</v>
      </c>
      <c r="D2091" s="10">
        <v>9152.2000000000007</v>
      </c>
      <c r="E2091" s="11">
        <v>44583</v>
      </c>
      <c r="F2091" s="10">
        <v>9152.2000000000007</v>
      </c>
      <c r="G2091" s="12">
        <f>Tabla1[[#This Row],[Importe]]-Tabla1[[#This Row],[Pagado]]</f>
        <v>0</v>
      </c>
      <c r="H2091" s="9" t="s">
        <v>10</v>
      </c>
    </row>
    <row r="2092" spans="1:8" x14ac:dyDescent="0.25">
      <c r="A2092" s="7">
        <v>44582</v>
      </c>
      <c r="B2092" s="8" t="s">
        <v>2447</v>
      </c>
      <c r="C2092" s="9" t="s">
        <v>97</v>
      </c>
      <c r="D2092" s="10">
        <v>11085.2</v>
      </c>
      <c r="E2092" s="11">
        <v>44583</v>
      </c>
      <c r="F2092" s="10">
        <v>11085.2</v>
      </c>
      <c r="G2092" s="12">
        <f>Tabla1[[#This Row],[Importe]]-Tabla1[[#This Row],[Pagado]]</f>
        <v>0</v>
      </c>
      <c r="H2092" s="9" t="s">
        <v>10</v>
      </c>
    </row>
    <row r="2093" spans="1:8" ht="30" x14ac:dyDescent="0.25">
      <c r="A2093" s="7">
        <v>44582</v>
      </c>
      <c r="B2093" s="8" t="s">
        <v>2448</v>
      </c>
      <c r="C2093" s="9" t="s">
        <v>22</v>
      </c>
      <c r="D2093" s="10">
        <v>25665.200000000001</v>
      </c>
      <c r="E2093" s="11" t="s">
        <v>2449</v>
      </c>
      <c r="F2093" s="10">
        <f>13631.4+12033.8</f>
        <v>25665.199999999997</v>
      </c>
      <c r="G2093" s="12">
        <f>Tabla1[[#This Row],[Importe]]-Tabla1[[#This Row],[Pagado]]</f>
        <v>0</v>
      </c>
      <c r="H2093" s="9" t="s">
        <v>10</v>
      </c>
    </row>
    <row r="2094" spans="1:8" x14ac:dyDescent="0.25">
      <c r="A2094" s="7">
        <v>44582</v>
      </c>
      <c r="B2094" s="8" t="s">
        <v>2450</v>
      </c>
      <c r="C2094" s="9" t="s">
        <v>1676</v>
      </c>
      <c r="D2094" s="10">
        <v>499.2</v>
      </c>
      <c r="E2094" s="11">
        <v>44582</v>
      </c>
      <c r="F2094" s="10">
        <v>499.2</v>
      </c>
      <c r="G2094" s="12">
        <f>Tabla1[[#This Row],[Importe]]-Tabla1[[#This Row],[Pagado]]</f>
        <v>0</v>
      </c>
      <c r="H2094" s="9" t="s">
        <v>10</v>
      </c>
    </row>
    <row r="2095" spans="1:8" x14ac:dyDescent="0.25">
      <c r="A2095" s="7">
        <v>44582</v>
      </c>
      <c r="B2095" s="8" t="s">
        <v>2451</v>
      </c>
      <c r="C2095" s="9" t="s">
        <v>99</v>
      </c>
      <c r="D2095" s="10">
        <v>2323.1999999999998</v>
      </c>
      <c r="E2095" s="11">
        <v>44583</v>
      </c>
      <c r="F2095" s="10">
        <v>2323.1999999999998</v>
      </c>
      <c r="G2095" s="12">
        <f>Tabla1[[#This Row],[Importe]]-Tabla1[[#This Row],[Pagado]]</f>
        <v>0</v>
      </c>
      <c r="H2095" s="9" t="s">
        <v>10</v>
      </c>
    </row>
    <row r="2096" spans="1:8" x14ac:dyDescent="0.25">
      <c r="A2096" s="7">
        <v>44582</v>
      </c>
      <c r="B2096" s="8" t="s">
        <v>2452</v>
      </c>
      <c r="C2096" s="9" t="s">
        <v>89</v>
      </c>
      <c r="D2096" s="10">
        <v>5412.8</v>
      </c>
      <c r="E2096" s="11">
        <v>44582</v>
      </c>
      <c r="F2096" s="10">
        <v>5412.8</v>
      </c>
      <c r="G2096" s="12">
        <f>Tabla1[[#This Row],[Importe]]-Tabla1[[#This Row],[Pagado]]</f>
        <v>0</v>
      </c>
      <c r="H2096" s="9" t="s">
        <v>10</v>
      </c>
    </row>
    <row r="2097" spans="1:8" x14ac:dyDescent="0.25">
      <c r="A2097" s="7">
        <v>44582</v>
      </c>
      <c r="B2097" s="8" t="s">
        <v>2453</v>
      </c>
      <c r="C2097" s="9" t="s">
        <v>85</v>
      </c>
      <c r="D2097" s="10">
        <v>2238.4</v>
      </c>
      <c r="E2097" s="11">
        <v>44582</v>
      </c>
      <c r="F2097" s="10">
        <v>2238.4</v>
      </c>
      <c r="G2097" s="12">
        <f>Tabla1[[#This Row],[Importe]]-Tabla1[[#This Row],[Pagado]]</f>
        <v>0</v>
      </c>
      <c r="H2097" s="9" t="s">
        <v>10</v>
      </c>
    </row>
    <row r="2098" spans="1:8" x14ac:dyDescent="0.25">
      <c r="A2098" s="7">
        <v>44582</v>
      </c>
      <c r="B2098" s="8" t="s">
        <v>2454</v>
      </c>
      <c r="C2098" s="9" t="s">
        <v>924</v>
      </c>
      <c r="D2098" s="10">
        <v>10884.8</v>
      </c>
      <c r="E2098" s="11">
        <v>44582</v>
      </c>
      <c r="F2098" s="10">
        <v>10884.8</v>
      </c>
      <c r="G2098" s="12">
        <f>Tabla1[[#This Row],[Importe]]-Tabla1[[#This Row],[Pagado]]</f>
        <v>0</v>
      </c>
      <c r="H2098" s="9" t="s">
        <v>10</v>
      </c>
    </row>
    <row r="2099" spans="1:8" x14ac:dyDescent="0.25">
      <c r="A2099" s="7">
        <v>44582</v>
      </c>
      <c r="B2099" s="8" t="s">
        <v>2455</v>
      </c>
      <c r="C2099" s="9" t="s">
        <v>31</v>
      </c>
      <c r="D2099" s="10">
        <v>2394</v>
      </c>
      <c r="E2099" s="11">
        <v>44582</v>
      </c>
      <c r="F2099" s="10">
        <v>2394</v>
      </c>
      <c r="G2099" s="12">
        <f>Tabla1[[#This Row],[Importe]]-Tabla1[[#This Row],[Pagado]]</f>
        <v>0</v>
      </c>
      <c r="H2099" s="9" t="s">
        <v>10</v>
      </c>
    </row>
    <row r="2100" spans="1:8" x14ac:dyDescent="0.25">
      <c r="A2100" s="7">
        <v>44582</v>
      </c>
      <c r="B2100" s="8" t="s">
        <v>2456</v>
      </c>
      <c r="C2100" s="9" t="s">
        <v>339</v>
      </c>
      <c r="D2100" s="10">
        <v>1997.1</v>
      </c>
      <c r="E2100" s="11">
        <v>44582</v>
      </c>
      <c r="F2100" s="10">
        <v>1997.1</v>
      </c>
      <c r="G2100" s="12">
        <f>Tabla1[[#This Row],[Importe]]-Tabla1[[#This Row],[Pagado]]</f>
        <v>0</v>
      </c>
      <c r="H2100" s="9" t="s">
        <v>10</v>
      </c>
    </row>
    <row r="2101" spans="1:8" x14ac:dyDescent="0.25">
      <c r="A2101" s="7">
        <v>44582</v>
      </c>
      <c r="B2101" s="8" t="s">
        <v>2457</v>
      </c>
      <c r="C2101" s="9" t="s">
        <v>127</v>
      </c>
      <c r="D2101" s="10">
        <v>1668</v>
      </c>
      <c r="E2101" s="11">
        <v>44582</v>
      </c>
      <c r="F2101" s="10">
        <v>1668</v>
      </c>
      <c r="G2101" s="12">
        <f>Tabla1[[#This Row],[Importe]]-Tabla1[[#This Row],[Pagado]]</f>
        <v>0</v>
      </c>
      <c r="H2101" s="9" t="s">
        <v>10</v>
      </c>
    </row>
    <row r="2102" spans="1:8" x14ac:dyDescent="0.25">
      <c r="A2102" s="7">
        <v>44582</v>
      </c>
      <c r="B2102" s="8" t="s">
        <v>2458</v>
      </c>
      <c r="C2102" s="9" t="s">
        <v>129</v>
      </c>
      <c r="D2102" s="10">
        <v>847.7</v>
      </c>
      <c r="E2102" s="11">
        <v>44582</v>
      </c>
      <c r="F2102" s="10">
        <v>847.7</v>
      </c>
      <c r="G2102" s="12">
        <f>Tabla1[[#This Row],[Importe]]-Tabla1[[#This Row],[Pagado]]</f>
        <v>0</v>
      </c>
      <c r="H2102" s="9" t="s">
        <v>10</v>
      </c>
    </row>
    <row r="2103" spans="1:8" x14ac:dyDescent="0.25">
      <c r="A2103" s="7">
        <v>44582</v>
      </c>
      <c r="B2103" s="8" t="s">
        <v>2459</v>
      </c>
      <c r="C2103" s="9" t="s">
        <v>35</v>
      </c>
      <c r="D2103" s="10">
        <v>2223.1999999999998</v>
      </c>
      <c r="E2103" s="11">
        <v>44582</v>
      </c>
      <c r="F2103" s="10">
        <v>2223.1999999999998</v>
      </c>
      <c r="G2103" s="12">
        <f>Tabla1[[#This Row],[Importe]]-Tabla1[[#This Row],[Pagado]]</f>
        <v>0</v>
      </c>
      <c r="H2103" s="9" t="s">
        <v>10</v>
      </c>
    </row>
    <row r="2104" spans="1:8" x14ac:dyDescent="0.25">
      <c r="A2104" s="7">
        <v>44582</v>
      </c>
      <c r="B2104" s="8" t="s">
        <v>2460</v>
      </c>
      <c r="C2104" s="9" t="s">
        <v>319</v>
      </c>
      <c r="D2104" s="10">
        <v>5299.2</v>
      </c>
      <c r="E2104" s="11">
        <v>44582</v>
      </c>
      <c r="F2104" s="10">
        <v>5299.2</v>
      </c>
      <c r="G2104" s="12">
        <f>Tabla1[[#This Row],[Importe]]-Tabla1[[#This Row],[Pagado]]</f>
        <v>0</v>
      </c>
      <c r="H2104" s="9" t="s">
        <v>10</v>
      </c>
    </row>
    <row r="2105" spans="1:8" x14ac:dyDescent="0.25">
      <c r="A2105" s="7">
        <v>44582</v>
      </c>
      <c r="B2105" s="8" t="s">
        <v>2461</v>
      </c>
      <c r="C2105" s="9" t="s">
        <v>314</v>
      </c>
      <c r="D2105" s="10">
        <v>3422.4</v>
      </c>
      <c r="E2105" s="11">
        <v>44582</v>
      </c>
      <c r="F2105" s="10">
        <v>3422.4</v>
      </c>
      <c r="G2105" s="12">
        <f>Tabla1[[#This Row],[Importe]]-Tabla1[[#This Row],[Pagado]]</f>
        <v>0</v>
      </c>
      <c r="H2105" s="9" t="s">
        <v>10</v>
      </c>
    </row>
    <row r="2106" spans="1:8" x14ac:dyDescent="0.25">
      <c r="A2106" s="7">
        <v>44582</v>
      </c>
      <c r="B2106" s="8" t="s">
        <v>2462</v>
      </c>
      <c r="C2106" s="9" t="s">
        <v>142</v>
      </c>
      <c r="D2106" s="10">
        <v>74257.8</v>
      </c>
      <c r="E2106" s="11">
        <v>44589</v>
      </c>
      <c r="F2106" s="10">
        <v>74257.8</v>
      </c>
      <c r="G2106" s="12">
        <f>Tabla1[[#This Row],[Importe]]-Tabla1[[#This Row],[Pagado]]</f>
        <v>0</v>
      </c>
      <c r="H2106" s="9" t="s">
        <v>10</v>
      </c>
    </row>
    <row r="2107" spans="1:8" x14ac:dyDescent="0.25">
      <c r="A2107" s="7">
        <v>44582</v>
      </c>
      <c r="B2107" s="8" t="s">
        <v>2463</v>
      </c>
      <c r="C2107" s="9" t="s">
        <v>183</v>
      </c>
      <c r="D2107" s="10">
        <v>1562.4</v>
      </c>
      <c r="E2107" s="11">
        <v>44582</v>
      </c>
      <c r="F2107" s="10">
        <v>1562.4</v>
      </c>
      <c r="G2107" s="12">
        <f>Tabla1[[#This Row],[Importe]]-Tabla1[[#This Row],[Pagado]]</f>
        <v>0</v>
      </c>
      <c r="H2107" s="9" t="s">
        <v>10</v>
      </c>
    </row>
    <row r="2108" spans="1:8" x14ac:dyDescent="0.25">
      <c r="A2108" s="7">
        <v>44582</v>
      </c>
      <c r="B2108" s="8" t="s">
        <v>2464</v>
      </c>
      <c r="C2108" s="9" t="s">
        <v>157</v>
      </c>
      <c r="D2108" s="10">
        <v>2659.8</v>
      </c>
      <c r="E2108" s="11">
        <v>44582</v>
      </c>
      <c r="F2108" s="10">
        <v>2659.8</v>
      </c>
      <c r="G2108" s="12">
        <f>Tabla1[[#This Row],[Importe]]-Tabla1[[#This Row],[Pagado]]</f>
        <v>0</v>
      </c>
      <c r="H2108" s="9" t="s">
        <v>10</v>
      </c>
    </row>
    <row r="2109" spans="1:8" x14ac:dyDescent="0.25">
      <c r="A2109" s="7">
        <v>44582</v>
      </c>
      <c r="B2109" s="8" t="s">
        <v>2465</v>
      </c>
      <c r="C2109" s="9" t="s">
        <v>27</v>
      </c>
      <c r="D2109" s="10">
        <v>1545.2</v>
      </c>
      <c r="E2109" s="11">
        <v>44582</v>
      </c>
      <c r="F2109" s="10">
        <v>1545.2</v>
      </c>
      <c r="G2109" s="12">
        <f>Tabla1[[#This Row],[Importe]]-Tabla1[[#This Row],[Pagado]]</f>
        <v>0</v>
      </c>
      <c r="H2109" s="9" t="s">
        <v>10</v>
      </c>
    </row>
    <row r="2110" spans="1:8" x14ac:dyDescent="0.25">
      <c r="A2110" s="7">
        <v>44582</v>
      </c>
      <c r="B2110" s="8" t="s">
        <v>2466</v>
      </c>
      <c r="C2110" s="9" t="s">
        <v>87</v>
      </c>
      <c r="D2110" s="10">
        <v>1929.2</v>
      </c>
      <c r="E2110" s="11">
        <v>44582</v>
      </c>
      <c r="F2110" s="10">
        <v>1929.2</v>
      </c>
      <c r="G2110" s="12">
        <f>Tabla1[[#This Row],[Importe]]-Tabla1[[#This Row],[Pagado]]</f>
        <v>0</v>
      </c>
      <c r="H2110" s="9" t="s">
        <v>10</v>
      </c>
    </row>
    <row r="2111" spans="1:8" x14ac:dyDescent="0.25">
      <c r="A2111" s="7">
        <v>44582</v>
      </c>
      <c r="B2111" s="8" t="s">
        <v>2467</v>
      </c>
      <c r="C2111" s="9" t="s">
        <v>251</v>
      </c>
      <c r="D2111" s="10">
        <v>998.8</v>
      </c>
      <c r="E2111" s="11">
        <v>44582</v>
      </c>
      <c r="F2111" s="10">
        <v>998.8</v>
      </c>
      <c r="G2111" s="12">
        <f>Tabla1[[#This Row],[Importe]]-Tabla1[[#This Row],[Pagado]]</f>
        <v>0</v>
      </c>
      <c r="H2111" s="9" t="s">
        <v>10</v>
      </c>
    </row>
    <row r="2112" spans="1:8" x14ac:dyDescent="0.25">
      <c r="A2112" s="7">
        <v>44582</v>
      </c>
      <c r="B2112" s="8" t="s">
        <v>2468</v>
      </c>
      <c r="C2112" s="9" t="s">
        <v>525</v>
      </c>
      <c r="D2112" s="10">
        <v>8065.7</v>
      </c>
      <c r="E2112" s="11">
        <v>44582</v>
      </c>
      <c r="F2112" s="10">
        <v>8065.7</v>
      </c>
      <c r="G2112" s="12">
        <f>Tabla1[[#This Row],[Importe]]-Tabla1[[#This Row],[Pagado]]</f>
        <v>0</v>
      </c>
      <c r="H2112" s="9" t="s">
        <v>10</v>
      </c>
    </row>
    <row r="2113" spans="1:8" x14ac:dyDescent="0.25">
      <c r="A2113" s="7">
        <v>44582</v>
      </c>
      <c r="B2113" s="8" t="s">
        <v>2469</v>
      </c>
      <c r="C2113" s="9" t="s">
        <v>518</v>
      </c>
      <c r="D2113" s="10">
        <v>154</v>
      </c>
      <c r="E2113" s="11">
        <v>44582</v>
      </c>
      <c r="F2113" s="10">
        <v>154</v>
      </c>
      <c r="G2113" s="12">
        <f>Tabla1[[#This Row],[Importe]]-Tabla1[[#This Row],[Pagado]]</f>
        <v>0</v>
      </c>
      <c r="H2113" s="9" t="s">
        <v>10</v>
      </c>
    </row>
    <row r="2114" spans="1:8" x14ac:dyDescent="0.25">
      <c r="A2114" s="7">
        <v>44582</v>
      </c>
      <c r="B2114" s="8" t="s">
        <v>2470</v>
      </c>
      <c r="C2114" s="9" t="s">
        <v>29</v>
      </c>
      <c r="D2114" s="10">
        <v>4915.2</v>
      </c>
      <c r="E2114" s="11">
        <v>44582</v>
      </c>
      <c r="F2114" s="10">
        <v>4915.2</v>
      </c>
      <c r="G2114" s="12">
        <f>Tabla1[[#This Row],[Importe]]-Tabla1[[#This Row],[Pagado]]</f>
        <v>0</v>
      </c>
      <c r="H2114" s="9" t="s">
        <v>10</v>
      </c>
    </row>
    <row r="2115" spans="1:8" x14ac:dyDescent="0.25">
      <c r="A2115" s="7">
        <v>44582</v>
      </c>
      <c r="B2115" s="8" t="s">
        <v>2471</v>
      </c>
      <c r="C2115" s="9" t="s">
        <v>161</v>
      </c>
      <c r="D2115" s="10">
        <v>4195.8</v>
      </c>
      <c r="E2115" s="11">
        <v>44582</v>
      </c>
      <c r="F2115" s="10">
        <v>4195.8</v>
      </c>
      <c r="G2115" s="12">
        <f>Tabla1[[#This Row],[Importe]]-Tabla1[[#This Row],[Pagado]]</f>
        <v>0</v>
      </c>
      <c r="H2115" s="9" t="s">
        <v>10</v>
      </c>
    </row>
    <row r="2116" spans="1:8" x14ac:dyDescent="0.25">
      <c r="A2116" s="7">
        <v>44582</v>
      </c>
      <c r="B2116" s="8" t="s">
        <v>2472</v>
      </c>
      <c r="C2116" s="9" t="s">
        <v>159</v>
      </c>
      <c r="D2116" s="10">
        <v>3236.8</v>
      </c>
      <c r="E2116" s="11">
        <v>44582</v>
      </c>
      <c r="F2116" s="10">
        <v>3236.8</v>
      </c>
      <c r="G2116" s="12">
        <f>Tabla1[[#This Row],[Importe]]-Tabla1[[#This Row],[Pagado]]</f>
        <v>0</v>
      </c>
      <c r="H2116" s="9" t="s">
        <v>10</v>
      </c>
    </row>
    <row r="2117" spans="1:8" x14ac:dyDescent="0.25">
      <c r="A2117" s="7">
        <v>44582</v>
      </c>
      <c r="B2117" s="8" t="s">
        <v>2473</v>
      </c>
      <c r="C2117" s="9" t="s">
        <v>196</v>
      </c>
      <c r="D2117" s="10">
        <v>100870.28</v>
      </c>
      <c r="E2117" s="11">
        <v>44582</v>
      </c>
      <c r="F2117" s="10">
        <v>100870.28</v>
      </c>
      <c r="G2117" s="12">
        <f>Tabla1[[#This Row],[Importe]]-Tabla1[[#This Row],[Pagado]]</f>
        <v>0</v>
      </c>
      <c r="H2117" s="9" t="s">
        <v>10</v>
      </c>
    </row>
    <row r="2118" spans="1:8" x14ac:dyDescent="0.25">
      <c r="A2118" s="7">
        <v>44582</v>
      </c>
      <c r="B2118" s="8" t="s">
        <v>2474</v>
      </c>
      <c r="C2118" s="9" t="s">
        <v>520</v>
      </c>
      <c r="D2118" s="10">
        <v>7160.4</v>
      </c>
      <c r="E2118" s="11">
        <v>44582</v>
      </c>
      <c r="F2118" s="10">
        <v>7160.4</v>
      </c>
      <c r="G2118" s="12">
        <f>Tabla1[[#This Row],[Importe]]-Tabla1[[#This Row],[Pagado]]</f>
        <v>0</v>
      </c>
      <c r="H2118" s="9" t="s">
        <v>10</v>
      </c>
    </row>
    <row r="2119" spans="1:8" x14ac:dyDescent="0.25">
      <c r="A2119" s="7">
        <v>44582</v>
      </c>
      <c r="B2119" s="8" t="s">
        <v>2475</v>
      </c>
      <c r="C2119" s="9" t="s">
        <v>151</v>
      </c>
      <c r="D2119" s="10">
        <v>11308.4</v>
      </c>
      <c r="E2119" s="11">
        <v>44582</v>
      </c>
      <c r="F2119" s="10">
        <v>11308.4</v>
      </c>
      <c r="G2119" s="12">
        <f>Tabla1[[#This Row],[Importe]]-Tabla1[[#This Row],[Pagado]]</f>
        <v>0</v>
      </c>
      <c r="H2119" s="9" t="s">
        <v>10</v>
      </c>
    </row>
    <row r="2120" spans="1:8" ht="30" x14ac:dyDescent="0.25">
      <c r="A2120" s="7">
        <v>44582</v>
      </c>
      <c r="B2120" s="8" t="s">
        <v>2476</v>
      </c>
      <c r="C2120" s="9" t="s">
        <v>224</v>
      </c>
      <c r="D2120" s="10">
        <v>13116</v>
      </c>
      <c r="E2120" s="11" t="s">
        <v>2477</v>
      </c>
      <c r="F2120" s="10">
        <f>1400+11716</f>
        <v>13116</v>
      </c>
      <c r="G2120" s="12">
        <f>Tabla1[[#This Row],[Importe]]-Tabla1[[#This Row],[Pagado]]</f>
        <v>0</v>
      </c>
      <c r="H2120" s="9" t="s">
        <v>10</v>
      </c>
    </row>
    <row r="2121" spans="1:8" x14ac:dyDescent="0.25">
      <c r="A2121" s="7">
        <v>44582</v>
      </c>
      <c r="B2121" s="8" t="s">
        <v>2478</v>
      </c>
      <c r="C2121" s="9" t="s">
        <v>45</v>
      </c>
      <c r="D2121" s="10">
        <v>11799.4</v>
      </c>
      <c r="E2121" s="11">
        <v>44582</v>
      </c>
      <c r="F2121" s="10">
        <v>11799.4</v>
      </c>
      <c r="G2121" s="12">
        <f>Tabla1[[#This Row],[Importe]]-Tabla1[[#This Row],[Pagado]]</f>
        <v>0</v>
      </c>
      <c r="H2121" s="9" t="s">
        <v>10</v>
      </c>
    </row>
    <row r="2122" spans="1:8" x14ac:dyDescent="0.25">
      <c r="A2122" s="7">
        <v>44582</v>
      </c>
      <c r="B2122" s="8" t="s">
        <v>2479</v>
      </c>
      <c r="C2122" s="9" t="s">
        <v>31</v>
      </c>
      <c r="D2122" s="10">
        <v>3444.7</v>
      </c>
      <c r="E2122" s="11">
        <v>44582</v>
      </c>
      <c r="F2122" s="10">
        <v>3444.7</v>
      </c>
      <c r="G2122" s="12">
        <f>Tabla1[[#This Row],[Importe]]-Tabla1[[#This Row],[Pagado]]</f>
        <v>0</v>
      </c>
      <c r="H2122" s="9" t="s">
        <v>10</v>
      </c>
    </row>
    <row r="2123" spans="1:8" x14ac:dyDescent="0.25">
      <c r="A2123" s="7">
        <v>44582</v>
      </c>
      <c r="B2123" s="8" t="s">
        <v>2480</v>
      </c>
      <c r="C2123" s="9" t="s">
        <v>230</v>
      </c>
      <c r="D2123" s="10">
        <v>2142.5</v>
      </c>
      <c r="E2123" s="11">
        <v>44582</v>
      </c>
      <c r="F2123" s="10">
        <v>2142.5</v>
      </c>
      <c r="G2123" s="12">
        <f>Tabla1[[#This Row],[Importe]]-Tabla1[[#This Row],[Pagado]]</f>
        <v>0</v>
      </c>
      <c r="H2123" s="9" t="s">
        <v>10</v>
      </c>
    </row>
    <row r="2124" spans="1:8" x14ac:dyDescent="0.25">
      <c r="A2124" s="7">
        <v>44582</v>
      </c>
      <c r="B2124" s="8" t="s">
        <v>2481</v>
      </c>
      <c r="C2124" s="9" t="s">
        <v>966</v>
      </c>
      <c r="D2124" s="10">
        <v>1875</v>
      </c>
      <c r="E2124" s="11">
        <v>44582</v>
      </c>
      <c r="F2124" s="10">
        <v>1875</v>
      </c>
      <c r="G2124" s="12">
        <f>Tabla1[[#This Row],[Importe]]-Tabla1[[#This Row],[Pagado]]</f>
        <v>0</v>
      </c>
      <c r="H2124" s="9" t="s">
        <v>10</v>
      </c>
    </row>
    <row r="2125" spans="1:8" x14ac:dyDescent="0.25">
      <c r="A2125" s="7">
        <v>44582</v>
      </c>
      <c r="B2125" s="8" t="s">
        <v>2482</v>
      </c>
      <c r="C2125" s="9" t="s">
        <v>49</v>
      </c>
      <c r="D2125" s="10">
        <v>3353.2</v>
      </c>
      <c r="E2125" s="11">
        <v>44582</v>
      </c>
      <c r="F2125" s="10">
        <v>3353.2</v>
      </c>
      <c r="G2125" s="12">
        <f>Tabla1[[#This Row],[Importe]]-Tabla1[[#This Row],[Pagado]]</f>
        <v>0</v>
      </c>
      <c r="H2125" s="9" t="s">
        <v>10</v>
      </c>
    </row>
    <row r="2126" spans="1:8" x14ac:dyDescent="0.25">
      <c r="A2126" s="7">
        <v>44582</v>
      </c>
      <c r="B2126" s="8" t="s">
        <v>2483</v>
      </c>
      <c r="C2126" s="9" t="s">
        <v>79</v>
      </c>
      <c r="D2126" s="10">
        <v>4939.2</v>
      </c>
      <c r="E2126" s="11">
        <v>44582</v>
      </c>
      <c r="F2126" s="10">
        <v>4939.2</v>
      </c>
      <c r="G2126" s="12">
        <f>Tabla1[[#This Row],[Importe]]-Tabla1[[#This Row],[Pagado]]</f>
        <v>0</v>
      </c>
      <c r="H2126" s="9" t="s">
        <v>10</v>
      </c>
    </row>
    <row r="2127" spans="1:8" x14ac:dyDescent="0.25">
      <c r="A2127" s="7">
        <v>44582</v>
      </c>
      <c r="B2127" s="8" t="s">
        <v>2484</v>
      </c>
      <c r="C2127" s="9" t="s">
        <v>79</v>
      </c>
      <c r="D2127" s="10">
        <v>9604.7999999999993</v>
      </c>
      <c r="E2127" s="11">
        <v>44582</v>
      </c>
      <c r="F2127" s="10">
        <v>9604.7999999999993</v>
      </c>
      <c r="G2127" s="12">
        <f>Tabla1[[#This Row],[Importe]]-Tabla1[[#This Row],[Pagado]]</f>
        <v>0</v>
      </c>
      <c r="H2127" s="9" t="s">
        <v>10</v>
      </c>
    </row>
    <row r="2128" spans="1:8" x14ac:dyDescent="0.25">
      <c r="A2128" s="7">
        <v>44582</v>
      </c>
      <c r="B2128" s="8" t="s">
        <v>2485</v>
      </c>
      <c r="C2128" s="9" t="s">
        <v>454</v>
      </c>
      <c r="D2128" s="10">
        <v>3400</v>
      </c>
      <c r="E2128" s="11">
        <v>44582</v>
      </c>
      <c r="F2128" s="10">
        <v>3400</v>
      </c>
      <c r="G2128" s="12">
        <f>Tabla1[[#This Row],[Importe]]-Tabla1[[#This Row],[Pagado]]</f>
        <v>0</v>
      </c>
      <c r="H2128" s="9" t="s">
        <v>10</v>
      </c>
    </row>
    <row r="2129" spans="1:8" x14ac:dyDescent="0.25">
      <c r="A2129" s="7">
        <v>44582</v>
      </c>
      <c r="B2129" s="8" t="s">
        <v>2486</v>
      </c>
      <c r="C2129" s="9" t="s">
        <v>555</v>
      </c>
      <c r="D2129" s="10">
        <v>24416.799999999999</v>
      </c>
      <c r="E2129" s="11">
        <v>44582</v>
      </c>
      <c r="F2129" s="10">
        <v>24416.799999999999</v>
      </c>
      <c r="G2129" s="12">
        <f>Tabla1[[#This Row],[Importe]]-Tabla1[[#This Row],[Pagado]]</f>
        <v>0</v>
      </c>
      <c r="H2129" s="9" t="s">
        <v>10</v>
      </c>
    </row>
    <row r="2130" spans="1:8" x14ac:dyDescent="0.25">
      <c r="A2130" s="7">
        <v>44582</v>
      </c>
      <c r="B2130" s="8" t="s">
        <v>2487</v>
      </c>
      <c r="C2130" s="9" t="s">
        <v>670</v>
      </c>
      <c r="D2130" s="10">
        <v>4347</v>
      </c>
      <c r="E2130" s="11">
        <v>44582</v>
      </c>
      <c r="F2130" s="10">
        <v>4347</v>
      </c>
      <c r="G2130" s="12">
        <f>Tabla1[[#This Row],[Importe]]-Tabla1[[#This Row],[Pagado]]</f>
        <v>0</v>
      </c>
      <c r="H2130" s="9" t="s">
        <v>10</v>
      </c>
    </row>
    <row r="2131" spans="1:8" x14ac:dyDescent="0.25">
      <c r="A2131" s="7">
        <v>44582</v>
      </c>
      <c r="B2131" s="8" t="s">
        <v>2488</v>
      </c>
      <c r="C2131" s="9" t="s">
        <v>365</v>
      </c>
      <c r="D2131" s="10">
        <v>1219.8</v>
      </c>
      <c r="E2131" s="11">
        <v>44582</v>
      </c>
      <c r="F2131" s="10">
        <v>1219.8</v>
      </c>
      <c r="G2131" s="12">
        <f>Tabla1[[#This Row],[Importe]]-Tabla1[[#This Row],[Pagado]]</f>
        <v>0</v>
      </c>
      <c r="H2131" s="9" t="s">
        <v>10</v>
      </c>
    </row>
    <row r="2132" spans="1:8" x14ac:dyDescent="0.25">
      <c r="A2132" s="7">
        <v>44582</v>
      </c>
      <c r="B2132" s="8" t="s">
        <v>2489</v>
      </c>
      <c r="C2132" s="9" t="s">
        <v>368</v>
      </c>
      <c r="D2132" s="10">
        <v>4294.3999999999996</v>
      </c>
      <c r="E2132" s="11">
        <v>44582</v>
      </c>
      <c r="F2132" s="10">
        <v>4294.3999999999996</v>
      </c>
      <c r="G2132" s="12">
        <f>Tabla1[[#This Row],[Importe]]-Tabla1[[#This Row],[Pagado]]</f>
        <v>0</v>
      </c>
      <c r="H2132" s="9" t="s">
        <v>10</v>
      </c>
    </row>
    <row r="2133" spans="1:8" x14ac:dyDescent="0.25">
      <c r="A2133" s="7">
        <v>44582</v>
      </c>
      <c r="B2133" s="8" t="s">
        <v>2490</v>
      </c>
      <c r="C2133" s="9" t="s">
        <v>31</v>
      </c>
      <c r="D2133" s="10">
        <v>600.29999999999995</v>
      </c>
      <c r="E2133" s="11">
        <v>44582</v>
      </c>
      <c r="F2133" s="10">
        <v>600.29999999999995</v>
      </c>
      <c r="G2133" s="12">
        <f>Tabla1[[#This Row],[Importe]]-Tabla1[[#This Row],[Pagado]]</f>
        <v>0</v>
      </c>
      <c r="H2133" s="9" t="s">
        <v>10</v>
      </c>
    </row>
    <row r="2134" spans="1:8" x14ac:dyDescent="0.25">
      <c r="A2134" s="7">
        <v>44582</v>
      </c>
      <c r="B2134" s="8" t="s">
        <v>2491</v>
      </c>
      <c r="C2134" s="9" t="s">
        <v>131</v>
      </c>
      <c r="D2134" s="10">
        <v>14607.6</v>
      </c>
      <c r="E2134" s="11">
        <v>44582</v>
      </c>
      <c r="F2134" s="10">
        <v>14607.6</v>
      </c>
      <c r="G2134" s="12">
        <f>Tabla1[[#This Row],[Importe]]-Tabla1[[#This Row],[Pagado]]</f>
        <v>0</v>
      </c>
      <c r="H2134" s="9" t="s">
        <v>10</v>
      </c>
    </row>
    <row r="2135" spans="1:8" x14ac:dyDescent="0.25">
      <c r="A2135" s="7">
        <v>44582</v>
      </c>
      <c r="B2135" s="8" t="s">
        <v>2492</v>
      </c>
      <c r="C2135" s="9" t="s">
        <v>368</v>
      </c>
      <c r="D2135" s="10">
        <v>768.4</v>
      </c>
      <c r="E2135" s="11">
        <v>44582</v>
      </c>
      <c r="F2135" s="10">
        <v>768.4</v>
      </c>
      <c r="G2135" s="12">
        <f>Tabla1[[#This Row],[Importe]]-Tabla1[[#This Row],[Pagado]]</f>
        <v>0</v>
      </c>
      <c r="H2135" s="9" t="s">
        <v>10</v>
      </c>
    </row>
    <row r="2136" spans="1:8" x14ac:dyDescent="0.25">
      <c r="A2136" s="7">
        <v>44582</v>
      </c>
      <c r="B2136" s="8" t="s">
        <v>2493</v>
      </c>
      <c r="C2136" s="9" t="s">
        <v>244</v>
      </c>
      <c r="D2136" s="10">
        <v>2934.8</v>
      </c>
      <c r="E2136" s="11">
        <v>44582</v>
      </c>
      <c r="F2136" s="10">
        <v>2934.8</v>
      </c>
      <c r="G2136" s="12">
        <f>Tabla1[[#This Row],[Importe]]-Tabla1[[#This Row],[Pagado]]</f>
        <v>0</v>
      </c>
      <c r="H2136" s="9" t="s">
        <v>10</v>
      </c>
    </row>
    <row r="2137" spans="1:8" x14ac:dyDescent="0.25">
      <c r="A2137" s="7">
        <v>44582</v>
      </c>
      <c r="B2137" s="8" t="s">
        <v>2494</v>
      </c>
      <c r="C2137" s="9" t="s">
        <v>179</v>
      </c>
      <c r="D2137" s="10">
        <v>916.8</v>
      </c>
      <c r="E2137" s="11">
        <v>44582</v>
      </c>
      <c r="F2137" s="10">
        <v>916.8</v>
      </c>
      <c r="G2137" s="12">
        <f>Tabla1[[#This Row],[Importe]]-Tabla1[[#This Row],[Pagado]]</f>
        <v>0</v>
      </c>
      <c r="H2137" s="9" t="s">
        <v>10</v>
      </c>
    </row>
    <row r="2138" spans="1:8" x14ac:dyDescent="0.25">
      <c r="A2138" s="7">
        <v>44582</v>
      </c>
      <c r="B2138" s="8" t="s">
        <v>2495</v>
      </c>
      <c r="C2138" s="9" t="s">
        <v>24</v>
      </c>
      <c r="D2138" s="10">
        <v>819.6</v>
      </c>
      <c r="E2138" s="11">
        <v>44582</v>
      </c>
      <c r="F2138" s="10">
        <v>819.6</v>
      </c>
      <c r="G2138" s="12">
        <f>Tabla1[[#This Row],[Importe]]-Tabla1[[#This Row],[Pagado]]</f>
        <v>0</v>
      </c>
      <c r="H2138" s="9" t="s">
        <v>10</v>
      </c>
    </row>
    <row r="2139" spans="1:8" x14ac:dyDescent="0.25">
      <c r="A2139" s="7">
        <v>44582</v>
      </c>
      <c r="B2139" s="8" t="s">
        <v>2496</v>
      </c>
      <c r="C2139" s="9" t="s">
        <v>191</v>
      </c>
      <c r="D2139" s="10">
        <v>2892.5</v>
      </c>
      <c r="E2139" s="11">
        <v>44582</v>
      </c>
      <c r="F2139" s="10">
        <v>2892.5</v>
      </c>
      <c r="G2139" s="12">
        <f>Tabla1[[#This Row],[Importe]]-Tabla1[[#This Row],[Pagado]]</f>
        <v>0</v>
      </c>
      <c r="H2139" s="9" t="s">
        <v>10</v>
      </c>
    </row>
    <row r="2140" spans="1:8" x14ac:dyDescent="0.25">
      <c r="A2140" s="7">
        <v>44582</v>
      </c>
      <c r="B2140" s="8" t="s">
        <v>2497</v>
      </c>
      <c r="C2140" s="9" t="s">
        <v>144</v>
      </c>
      <c r="D2140" s="10">
        <v>5101</v>
      </c>
      <c r="E2140" s="11">
        <v>44583</v>
      </c>
      <c r="F2140" s="10">
        <v>5101</v>
      </c>
      <c r="G2140" s="12">
        <f>Tabla1[[#This Row],[Importe]]-Tabla1[[#This Row],[Pagado]]</f>
        <v>0</v>
      </c>
      <c r="H2140" s="9" t="s">
        <v>10</v>
      </c>
    </row>
    <row r="2141" spans="1:8" x14ac:dyDescent="0.25">
      <c r="A2141" s="7">
        <v>44582</v>
      </c>
      <c r="B2141" s="8" t="s">
        <v>2498</v>
      </c>
      <c r="C2141" s="9" t="s">
        <v>107</v>
      </c>
      <c r="D2141" s="10">
        <v>12613.3</v>
      </c>
      <c r="E2141" s="11">
        <v>44583</v>
      </c>
      <c r="F2141" s="10">
        <v>12613.3</v>
      </c>
      <c r="G2141" s="12">
        <f>Tabla1[[#This Row],[Importe]]-Tabla1[[#This Row],[Pagado]]</f>
        <v>0</v>
      </c>
      <c r="H2141" s="9" t="s">
        <v>10</v>
      </c>
    </row>
    <row r="2142" spans="1:8" x14ac:dyDescent="0.25">
      <c r="A2142" s="7">
        <v>44582</v>
      </c>
      <c r="B2142" s="8" t="s">
        <v>2499</v>
      </c>
      <c r="C2142" s="9" t="s">
        <v>664</v>
      </c>
      <c r="D2142" s="10">
        <v>6950.4</v>
      </c>
      <c r="E2142" s="11">
        <v>44583</v>
      </c>
      <c r="F2142" s="10">
        <v>6950.4</v>
      </c>
      <c r="G2142" s="12">
        <f>Tabla1[[#This Row],[Importe]]-Tabla1[[#This Row],[Pagado]]</f>
        <v>0</v>
      </c>
      <c r="H2142" s="9" t="s">
        <v>10</v>
      </c>
    </row>
    <row r="2143" spans="1:8" x14ac:dyDescent="0.25">
      <c r="A2143" s="7">
        <v>44582</v>
      </c>
      <c r="B2143" s="8" t="s">
        <v>2500</v>
      </c>
      <c r="C2143" s="9" t="s">
        <v>51</v>
      </c>
      <c r="D2143" s="10">
        <v>2963.2</v>
      </c>
      <c r="E2143" s="11">
        <v>44582</v>
      </c>
      <c r="F2143" s="10">
        <v>2963.2</v>
      </c>
      <c r="G2143" s="12">
        <f>Tabla1[[#This Row],[Importe]]-Tabla1[[#This Row],[Pagado]]</f>
        <v>0</v>
      </c>
      <c r="H2143" s="9" t="s">
        <v>10</v>
      </c>
    </row>
    <row r="2144" spans="1:8" x14ac:dyDescent="0.25">
      <c r="A2144" s="7">
        <v>44582</v>
      </c>
      <c r="B2144" s="8" t="s">
        <v>2501</v>
      </c>
      <c r="C2144" s="9" t="s">
        <v>373</v>
      </c>
      <c r="D2144" s="10">
        <v>456</v>
      </c>
      <c r="E2144" s="11">
        <v>44582</v>
      </c>
      <c r="F2144" s="10">
        <v>456</v>
      </c>
      <c r="G2144" s="12">
        <f>Tabla1[[#This Row],[Importe]]-Tabla1[[#This Row],[Pagado]]</f>
        <v>0</v>
      </c>
      <c r="H2144" s="9" t="s">
        <v>10</v>
      </c>
    </row>
    <row r="2145" spans="1:8" x14ac:dyDescent="0.25">
      <c r="A2145" s="7">
        <v>44582</v>
      </c>
      <c r="B2145" s="8" t="s">
        <v>2502</v>
      </c>
      <c r="C2145" s="9" t="s">
        <v>67</v>
      </c>
      <c r="D2145" s="10">
        <v>1358.4</v>
      </c>
      <c r="E2145" s="11">
        <v>44582</v>
      </c>
      <c r="F2145" s="10">
        <v>1358.4</v>
      </c>
      <c r="G2145" s="12">
        <f>Tabla1[[#This Row],[Importe]]-Tabla1[[#This Row],[Pagado]]</f>
        <v>0</v>
      </c>
      <c r="H2145" s="9" t="s">
        <v>10</v>
      </c>
    </row>
    <row r="2146" spans="1:8" x14ac:dyDescent="0.25">
      <c r="A2146" s="7">
        <v>44582</v>
      </c>
      <c r="B2146" s="8" t="s">
        <v>2503</v>
      </c>
      <c r="C2146" s="9" t="s">
        <v>1313</v>
      </c>
      <c r="D2146" s="10">
        <v>4622.2</v>
      </c>
      <c r="E2146" s="11">
        <v>44582</v>
      </c>
      <c r="F2146" s="10">
        <v>4622.2</v>
      </c>
      <c r="G2146" s="12">
        <f>Tabla1[[#This Row],[Importe]]-Tabla1[[#This Row],[Pagado]]</f>
        <v>0</v>
      </c>
      <c r="H2146" s="9" t="s">
        <v>10</v>
      </c>
    </row>
    <row r="2147" spans="1:8" x14ac:dyDescent="0.25">
      <c r="A2147" s="7">
        <v>44582</v>
      </c>
      <c r="B2147" s="8" t="s">
        <v>2504</v>
      </c>
      <c r="C2147" s="9" t="s">
        <v>53</v>
      </c>
      <c r="D2147" s="10">
        <v>1043.7</v>
      </c>
      <c r="E2147" s="11">
        <v>44582</v>
      </c>
      <c r="F2147" s="10">
        <v>1043.7</v>
      </c>
      <c r="G2147" s="12">
        <f>Tabla1[[#This Row],[Importe]]-Tabla1[[#This Row],[Pagado]]</f>
        <v>0</v>
      </c>
      <c r="H2147" s="9" t="s">
        <v>10</v>
      </c>
    </row>
    <row r="2148" spans="1:8" x14ac:dyDescent="0.25">
      <c r="A2148" s="7">
        <v>44582</v>
      </c>
      <c r="B2148" s="8" t="s">
        <v>2505</v>
      </c>
      <c r="C2148" s="9" t="s">
        <v>56</v>
      </c>
      <c r="D2148" s="10">
        <v>2794.8</v>
      </c>
      <c r="E2148" s="11">
        <v>44582</v>
      </c>
      <c r="F2148" s="10">
        <v>2794.8</v>
      </c>
      <c r="G2148" s="12">
        <f>Tabla1[[#This Row],[Importe]]-Tabla1[[#This Row],[Pagado]]</f>
        <v>0</v>
      </c>
      <c r="H2148" s="9" t="s">
        <v>10</v>
      </c>
    </row>
    <row r="2149" spans="1:8" x14ac:dyDescent="0.25">
      <c r="A2149" s="7">
        <v>44582</v>
      </c>
      <c r="B2149" s="8" t="s">
        <v>2506</v>
      </c>
      <c r="C2149" s="9" t="s">
        <v>212</v>
      </c>
      <c r="D2149" s="10">
        <v>116253.3</v>
      </c>
      <c r="E2149" s="11">
        <v>44587</v>
      </c>
      <c r="F2149" s="10">
        <v>116253.3</v>
      </c>
      <c r="G2149" s="12">
        <f>Tabla1[[#This Row],[Importe]]-Tabla1[[#This Row],[Pagado]]</f>
        <v>0</v>
      </c>
      <c r="H2149" s="9" t="s">
        <v>10</v>
      </c>
    </row>
    <row r="2150" spans="1:8" x14ac:dyDescent="0.25">
      <c r="A2150" s="7">
        <v>44582</v>
      </c>
      <c r="B2150" s="8" t="s">
        <v>2507</v>
      </c>
      <c r="C2150" s="9" t="s">
        <v>275</v>
      </c>
      <c r="D2150" s="10">
        <v>114364.4</v>
      </c>
      <c r="E2150" s="11">
        <v>44589</v>
      </c>
      <c r="F2150" s="10">
        <v>114364.4</v>
      </c>
      <c r="G2150" s="12">
        <f>Tabla1[[#This Row],[Importe]]-Tabla1[[#This Row],[Pagado]]</f>
        <v>0</v>
      </c>
      <c r="H2150" s="9" t="s">
        <v>10</v>
      </c>
    </row>
    <row r="2151" spans="1:8" x14ac:dyDescent="0.25">
      <c r="A2151" s="7">
        <v>44582</v>
      </c>
      <c r="B2151" s="8" t="s">
        <v>2508</v>
      </c>
      <c r="C2151" s="9" t="s">
        <v>419</v>
      </c>
      <c r="D2151" s="10">
        <v>4679.6000000000004</v>
      </c>
      <c r="E2151" s="11">
        <v>44582</v>
      </c>
      <c r="F2151" s="10">
        <v>4679.6000000000004</v>
      </c>
      <c r="G2151" s="12">
        <f>Tabla1[[#This Row],[Importe]]-Tabla1[[#This Row],[Pagado]]</f>
        <v>0</v>
      </c>
      <c r="H2151" s="9" t="s">
        <v>10</v>
      </c>
    </row>
    <row r="2152" spans="1:8" x14ac:dyDescent="0.25">
      <c r="A2152" s="7">
        <v>44582</v>
      </c>
      <c r="B2152" s="8" t="s">
        <v>2509</v>
      </c>
      <c r="C2152" s="9" t="s">
        <v>849</v>
      </c>
      <c r="D2152" s="10">
        <v>4854.3999999999996</v>
      </c>
      <c r="E2152" s="11">
        <v>44582</v>
      </c>
      <c r="F2152" s="10">
        <v>4854.3999999999996</v>
      </c>
      <c r="G2152" s="12">
        <f>Tabla1[[#This Row],[Importe]]-Tabla1[[#This Row],[Pagado]]</f>
        <v>0</v>
      </c>
      <c r="H2152" s="9" t="s">
        <v>10</v>
      </c>
    </row>
    <row r="2153" spans="1:8" x14ac:dyDescent="0.25">
      <c r="A2153" s="7">
        <v>44582</v>
      </c>
      <c r="B2153" s="8" t="s">
        <v>2510</v>
      </c>
      <c r="C2153" s="9" t="s">
        <v>149</v>
      </c>
      <c r="D2153" s="10">
        <v>1800</v>
      </c>
      <c r="E2153" s="11">
        <v>44582</v>
      </c>
      <c r="F2153" s="10">
        <v>1800</v>
      </c>
      <c r="G2153" s="12">
        <f>Tabla1[[#This Row],[Importe]]-Tabla1[[#This Row],[Pagado]]</f>
        <v>0</v>
      </c>
      <c r="H2153" s="9" t="s">
        <v>10</v>
      </c>
    </row>
    <row r="2154" spans="1:8" x14ac:dyDescent="0.25">
      <c r="A2154" s="7">
        <v>44582</v>
      </c>
      <c r="B2154" s="8" t="s">
        <v>2511</v>
      </c>
      <c r="C2154" s="9" t="s">
        <v>647</v>
      </c>
      <c r="D2154" s="10">
        <v>1772.5</v>
      </c>
      <c r="E2154" s="11">
        <v>44582</v>
      </c>
      <c r="F2154" s="10">
        <v>1772.5</v>
      </c>
      <c r="G2154" s="12">
        <f>Tabla1[[#This Row],[Importe]]-Tabla1[[#This Row],[Pagado]]</f>
        <v>0</v>
      </c>
      <c r="H2154" s="9" t="s">
        <v>10</v>
      </c>
    </row>
    <row r="2155" spans="1:8" x14ac:dyDescent="0.25">
      <c r="A2155" s="7">
        <v>44582</v>
      </c>
      <c r="B2155" s="8" t="s">
        <v>2512</v>
      </c>
      <c r="C2155" s="9" t="s">
        <v>218</v>
      </c>
      <c r="D2155" s="10">
        <v>36350.879999999997</v>
      </c>
      <c r="E2155" s="11">
        <v>44589</v>
      </c>
      <c r="F2155" s="10">
        <v>36350.879999999997</v>
      </c>
      <c r="G2155" s="12">
        <f>Tabla1[[#This Row],[Importe]]-Tabla1[[#This Row],[Pagado]]</f>
        <v>0</v>
      </c>
      <c r="H2155" s="9" t="s">
        <v>10</v>
      </c>
    </row>
    <row r="2156" spans="1:8" x14ac:dyDescent="0.25">
      <c r="A2156" s="7">
        <v>44582</v>
      </c>
      <c r="B2156" s="8" t="s">
        <v>2513</v>
      </c>
      <c r="C2156" s="9" t="s">
        <v>1644</v>
      </c>
      <c r="D2156" s="10">
        <v>8342.4</v>
      </c>
      <c r="E2156" s="11">
        <v>44583</v>
      </c>
      <c r="F2156" s="10">
        <v>8342.4</v>
      </c>
      <c r="G2156" s="12">
        <f>Tabla1[[#This Row],[Importe]]-Tabla1[[#This Row],[Pagado]]</f>
        <v>0</v>
      </c>
      <c r="H2156" s="9" t="s">
        <v>10</v>
      </c>
    </row>
    <row r="2157" spans="1:8" x14ac:dyDescent="0.25">
      <c r="A2157" s="7">
        <v>44582</v>
      </c>
      <c r="B2157" s="8" t="s">
        <v>2514</v>
      </c>
      <c r="C2157" s="9" t="s">
        <v>67</v>
      </c>
      <c r="D2157" s="10">
        <v>10091.9</v>
      </c>
      <c r="E2157" s="11">
        <v>44582</v>
      </c>
      <c r="F2157" s="10">
        <v>10091.9</v>
      </c>
      <c r="G2157" s="12">
        <f>Tabla1[[#This Row],[Importe]]-Tabla1[[#This Row],[Pagado]]</f>
        <v>0</v>
      </c>
      <c r="H2157" s="9" t="s">
        <v>10</v>
      </c>
    </row>
    <row r="2158" spans="1:8" x14ac:dyDescent="0.25">
      <c r="A2158" s="7">
        <v>44582</v>
      </c>
      <c r="B2158" s="8" t="s">
        <v>2515</v>
      </c>
      <c r="C2158" s="9" t="s">
        <v>1676</v>
      </c>
      <c r="D2158" s="10">
        <v>2899.2</v>
      </c>
      <c r="E2158" s="11">
        <v>44582</v>
      </c>
      <c r="F2158" s="10">
        <v>2899.2</v>
      </c>
      <c r="G2158" s="12">
        <f>Tabla1[[#This Row],[Importe]]-Tabla1[[#This Row],[Pagado]]</f>
        <v>0</v>
      </c>
      <c r="H2158" s="9" t="s">
        <v>10</v>
      </c>
    </row>
    <row r="2159" spans="1:8" x14ac:dyDescent="0.25">
      <c r="A2159" s="7">
        <v>44582</v>
      </c>
      <c r="B2159" s="8" t="s">
        <v>2516</v>
      </c>
      <c r="C2159" s="9" t="s">
        <v>51</v>
      </c>
      <c r="D2159" s="10">
        <v>728</v>
      </c>
      <c r="E2159" s="11">
        <v>44582</v>
      </c>
      <c r="F2159" s="10">
        <v>728</v>
      </c>
      <c r="G2159" s="12">
        <f>Tabla1[[#This Row],[Importe]]-Tabla1[[#This Row],[Pagado]]</f>
        <v>0</v>
      </c>
      <c r="H2159" s="9" t="s">
        <v>10</v>
      </c>
    </row>
    <row r="2160" spans="1:8" x14ac:dyDescent="0.25">
      <c r="A2160" s="7">
        <v>44582</v>
      </c>
      <c r="B2160" s="8" t="s">
        <v>2517</v>
      </c>
      <c r="C2160" s="9" t="s">
        <v>31</v>
      </c>
      <c r="D2160" s="10">
        <v>7086.4</v>
      </c>
      <c r="E2160" s="11">
        <v>44583</v>
      </c>
      <c r="F2160" s="10">
        <v>7086.4</v>
      </c>
      <c r="G2160" s="12">
        <f>Tabla1[[#This Row],[Importe]]-Tabla1[[#This Row],[Pagado]]</f>
        <v>0</v>
      </c>
      <c r="H2160" s="9" t="s">
        <v>10</v>
      </c>
    </row>
    <row r="2161" spans="1:8" x14ac:dyDescent="0.25">
      <c r="A2161" s="7">
        <v>44582</v>
      </c>
      <c r="B2161" s="8" t="s">
        <v>2518</v>
      </c>
      <c r="C2161" s="9" t="s">
        <v>414</v>
      </c>
      <c r="D2161" s="10">
        <v>3400</v>
      </c>
      <c r="E2161" s="11">
        <v>44582</v>
      </c>
      <c r="F2161" s="10">
        <v>3400</v>
      </c>
      <c r="G2161" s="12">
        <f>Tabla1[[#This Row],[Importe]]-Tabla1[[#This Row],[Pagado]]</f>
        <v>0</v>
      </c>
      <c r="H2161" s="9" t="s">
        <v>10</v>
      </c>
    </row>
    <row r="2162" spans="1:8" x14ac:dyDescent="0.25">
      <c r="A2162" s="7">
        <v>44582</v>
      </c>
      <c r="B2162" s="8" t="s">
        <v>2519</v>
      </c>
      <c r="C2162" s="9" t="s">
        <v>592</v>
      </c>
      <c r="D2162" s="10">
        <v>36793.300000000003</v>
      </c>
      <c r="E2162" s="11">
        <v>44583</v>
      </c>
      <c r="F2162" s="10">
        <v>36793.300000000003</v>
      </c>
      <c r="G2162" s="12">
        <f>Tabla1[[#This Row],[Importe]]-Tabla1[[#This Row],[Pagado]]</f>
        <v>0</v>
      </c>
      <c r="H2162" s="9" t="s">
        <v>10</v>
      </c>
    </row>
    <row r="2163" spans="1:8" x14ac:dyDescent="0.25">
      <c r="A2163" s="7">
        <v>44582</v>
      </c>
      <c r="B2163" s="8" t="s">
        <v>2520</v>
      </c>
      <c r="C2163" s="9" t="s">
        <v>133</v>
      </c>
      <c r="D2163" s="10">
        <v>16843.2</v>
      </c>
      <c r="E2163" s="11">
        <v>44587</v>
      </c>
      <c r="F2163" s="10">
        <v>16843.2</v>
      </c>
      <c r="G2163" s="12">
        <f>Tabla1[[#This Row],[Importe]]-Tabla1[[#This Row],[Pagado]]</f>
        <v>0</v>
      </c>
      <c r="H2163" s="9" t="s">
        <v>10</v>
      </c>
    </row>
    <row r="2164" spans="1:8" x14ac:dyDescent="0.25">
      <c r="A2164" s="7">
        <v>44582</v>
      </c>
      <c r="B2164" s="8" t="s">
        <v>2521</v>
      </c>
      <c r="C2164" s="9" t="s">
        <v>452</v>
      </c>
      <c r="D2164" s="10">
        <v>9769.6</v>
      </c>
      <c r="E2164" s="11">
        <v>44582</v>
      </c>
      <c r="F2164" s="10">
        <v>9769.6</v>
      </c>
      <c r="G2164" s="12">
        <f>Tabla1[[#This Row],[Importe]]-Tabla1[[#This Row],[Pagado]]</f>
        <v>0</v>
      </c>
      <c r="H2164" s="9" t="s">
        <v>10</v>
      </c>
    </row>
    <row r="2165" spans="1:8" x14ac:dyDescent="0.25">
      <c r="A2165" s="7">
        <v>44582</v>
      </c>
      <c r="B2165" s="8" t="s">
        <v>2522</v>
      </c>
      <c r="C2165" s="9" t="s">
        <v>31</v>
      </c>
      <c r="D2165" s="10">
        <v>8463.7000000000007</v>
      </c>
      <c r="E2165" s="11">
        <v>44583</v>
      </c>
      <c r="F2165" s="10">
        <v>8463.7000000000007</v>
      </c>
      <c r="G2165" s="12">
        <f>Tabla1[[#This Row],[Importe]]-Tabla1[[#This Row],[Pagado]]</f>
        <v>0</v>
      </c>
      <c r="H2165" s="9" t="s">
        <v>10</v>
      </c>
    </row>
    <row r="2166" spans="1:8" x14ac:dyDescent="0.25">
      <c r="A2166" s="7">
        <v>44582</v>
      </c>
      <c r="B2166" s="8" t="s">
        <v>2523</v>
      </c>
      <c r="C2166" s="9" t="s">
        <v>71</v>
      </c>
      <c r="D2166" s="10">
        <v>1685.3</v>
      </c>
      <c r="E2166" s="11">
        <v>44582</v>
      </c>
      <c r="F2166" s="10">
        <v>1685.3</v>
      </c>
      <c r="G2166" s="12">
        <f>Tabla1[[#This Row],[Importe]]-Tabla1[[#This Row],[Pagado]]</f>
        <v>0</v>
      </c>
      <c r="H2166" s="9" t="s">
        <v>10</v>
      </c>
    </row>
    <row r="2167" spans="1:8" x14ac:dyDescent="0.25">
      <c r="A2167" s="7">
        <v>44582</v>
      </c>
      <c r="B2167" s="8" t="s">
        <v>2524</v>
      </c>
      <c r="C2167" s="9" t="s">
        <v>200</v>
      </c>
      <c r="D2167" s="10">
        <v>499.2</v>
      </c>
      <c r="E2167" s="11">
        <v>44582</v>
      </c>
      <c r="F2167" s="10">
        <v>499.2</v>
      </c>
      <c r="G2167" s="12">
        <f>Tabla1[[#This Row],[Importe]]-Tabla1[[#This Row],[Pagado]]</f>
        <v>0</v>
      </c>
      <c r="H2167" s="9" t="s">
        <v>10</v>
      </c>
    </row>
    <row r="2168" spans="1:8" x14ac:dyDescent="0.25">
      <c r="A2168" s="7">
        <v>44582</v>
      </c>
      <c r="B2168" s="8" t="s">
        <v>2525</v>
      </c>
      <c r="C2168" s="9" t="s">
        <v>698</v>
      </c>
      <c r="D2168" s="10">
        <v>4339.6000000000004</v>
      </c>
      <c r="E2168" s="11">
        <v>44582</v>
      </c>
      <c r="F2168" s="10">
        <v>4339.6000000000004</v>
      </c>
      <c r="G2168" s="12">
        <f>Tabla1[[#This Row],[Importe]]-Tabla1[[#This Row],[Pagado]]</f>
        <v>0</v>
      </c>
      <c r="H2168" s="9" t="s">
        <v>10</v>
      </c>
    </row>
    <row r="2169" spans="1:8" x14ac:dyDescent="0.25">
      <c r="A2169" s="7">
        <v>44582</v>
      </c>
      <c r="B2169" s="8" t="s">
        <v>2526</v>
      </c>
      <c r="C2169" s="9" t="s">
        <v>198</v>
      </c>
      <c r="D2169" s="10">
        <v>435.2</v>
      </c>
      <c r="E2169" s="11">
        <v>44582</v>
      </c>
      <c r="F2169" s="10">
        <v>435.2</v>
      </c>
      <c r="G2169" s="12">
        <f>Tabla1[[#This Row],[Importe]]-Tabla1[[#This Row],[Pagado]]</f>
        <v>0</v>
      </c>
      <c r="H2169" s="9" t="s">
        <v>10</v>
      </c>
    </row>
    <row r="2170" spans="1:8" x14ac:dyDescent="0.25">
      <c r="A2170" s="7">
        <v>44582</v>
      </c>
      <c r="B2170" s="8" t="s">
        <v>2527</v>
      </c>
      <c r="C2170" s="9" t="s">
        <v>1021</v>
      </c>
      <c r="D2170" s="10">
        <v>10621.7</v>
      </c>
      <c r="E2170" s="11">
        <v>44583</v>
      </c>
      <c r="F2170" s="10">
        <v>10621.7</v>
      </c>
      <c r="G2170" s="12">
        <f>Tabla1[[#This Row],[Importe]]-Tabla1[[#This Row],[Pagado]]</f>
        <v>0</v>
      </c>
      <c r="H2170" s="9" t="s">
        <v>10</v>
      </c>
    </row>
    <row r="2171" spans="1:8" x14ac:dyDescent="0.25">
      <c r="A2171" s="7">
        <v>44582</v>
      </c>
      <c r="B2171" s="8" t="s">
        <v>2528</v>
      </c>
      <c r="C2171" s="9" t="s">
        <v>857</v>
      </c>
      <c r="D2171" s="10">
        <v>642</v>
      </c>
      <c r="E2171" s="11">
        <v>44582</v>
      </c>
      <c r="F2171" s="10">
        <v>642</v>
      </c>
      <c r="G2171" s="12">
        <f>Tabla1[[#This Row],[Importe]]-Tabla1[[#This Row],[Pagado]]</f>
        <v>0</v>
      </c>
      <c r="H2171" s="9" t="s">
        <v>10</v>
      </c>
    </row>
    <row r="2172" spans="1:8" x14ac:dyDescent="0.25">
      <c r="A2172" s="7">
        <v>44582</v>
      </c>
      <c r="B2172" s="8" t="s">
        <v>2529</v>
      </c>
      <c r="C2172" s="9" t="s">
        <v>1016</v>
      </c>
      <c r="D2172" s="10">
        <v>5792.8</v>
      </c>
      <c r="E2172" s="11">
        <v>44582</v>
      </c>
      <c r="F2172" s="10">
        <v>5792.8</v>
      </c>
      <c r="G2172" s="12">
        <f>Tabla1[[#This Row],[Importe]]-Tabla1[[#This Row],[Pagado]]</f>
        <v>0</v>
      </c>
      <c r="H2172" s="9" t="s">
        <v>10</v>
      </c>
    </row>
    <row r="2173" spans="1:8" x14ac:dyDescent="0.25">
      <c r="A2173" s="7">
        <v>44582</v>
      </c>
      <c r="B2173" s="8" t="s">
        <v>2530</v>
      </c>
      <c r="C2173" s="9" t="s">
        <v>269</v>
      </c>
      <c r="D2173" s="10">
        <v>4284</v>
      </c>
      <c r="E2173" s="11">
        <v>44582</v>
      </c>
      <c r="F2173" s="10">
        <v>4284</v>
      </c>
      <c r="G2173" s="12">
        <f>Tabla1[[#This Row],[Importe]]-Tabla1[[#This Row],[Pagado]]</f>
        <v>0</v>
      </c>
      <c r="H2173" s="9" t="s">
        <v>10</v>
      </c>
    </row>
    <row r="2174" spans="1:8" x14ac:dyDescent="0.25">
      <c r="A2174" s="7">
        <v>44582</v>
      </c>
      <c r="B2174" s="8" t="s">
        <v>2531</v>
      </c>
      <c r="C2174" s="9" t="s">
        <v>83</v>
      </c>
      <c r="D2174" s="10">
        <v>684</v>
      </c>
      <c r="E2174" s="11">
        <v>44582</v>
      </c>
      <c r="F2174" s="10">
        <v>684</v>
      </c>
      <c r="G2174" s="12">
        <f>Tabla1[[#This Row],[Importe]]-Tabla1[[#This Row],[Pagado]]</f>
        <v>0</v>
      </c>
      <c r="H2174" s="9" t="s">
        <v>10</v>
      </c>
    </row>
    <row r="2175" spans="1:8" x14ac:dyDescent="0.25">
      <c r="A2175" s="7">
        <v>44582</v>
      </c>
      <c r="B2175" s="8" t="s">
        <v>2532</v>
      </c>
      <c r="C2175" s="9" t="s">
        <v>875</v>
      </c>
      <c r="D2175" s="10">
        <v>30171.119999999999</v>
      </c>
      <c r="E2175" s="11">
        <v>44583</v>
      </c>
      <c r="F2175" s="10">
        <v>30171.119999999999</v>
      </c>
      <c r="G2175" s="12">
        <f>Tabla1[[#This Row],[Importe]]-Tabla1[[#This Row],[Pagado]]</f>
        <v>0</v>
      </c>
      <c r="H2175" s="9" t="s">
        <v>10</v>
      </c>
    </row>
    <row r="2176" spans="1:8" x14ac:dyDescent="0.25">
      <c r="A2176" s="7">
        <v>44582</v>
      </c>
      <c r="B2176" s="8" t="s">
        <v>2533</v>
      </c>
      <c r="C2176" s="9" t="s">
        <v>9</v>
      </c>
      <c r="D2176" s="10">
        <v>2121.6</v>
      </c>
      <c r="E2176" s="11">
        <v>44582</v>
      </c>
      <c r="F2176" s="10">
        <v>2121.6</v>
      </c>
      <c r="G2176" s="12">
        <f>Tabla1[[#This Row],[Importe]]-Tabla1[[#This Row],[Pagado]]</f>
        <v>0</v>
      </c>
      <c r="H2176" s="9" t="s">
        <v>10</v>
      </c>
    </row>
    <row r="2177" spans="1:8" x14ac:dyDescent="0.25">
      <c r="A2177" s="7">
        <v>44582</v>
      </c>
      <c r="B2177" s="8" t="s">
        <v>2534</v>
      </c>
      <c r="C2177" s="9" t="s">
        <v>1008</v>
      </c>
      <c r="D2177" s="10">
        <v>1400</v>
      </c>
      <c r="E2177" s="11">
        <v>44582</v>
      </c>
      <c r="F2177" s="10">
        <v>1400</v>
      </c>
      <c r="G2177" s="12">
        <f>Tabla1[[#This Row],[Importe]]-Tabla1[[#This Row],[Pagado]]</f>
        <v>0</v>
      </c>
      <c r="H2177" s="9" t="s">
        <v>10</v>
      </c>
    </row>
    <row r="2178" spans="1:8" x14ac:dyDescent="0.25">
      <c r="A2178" s="7">
        <v>44582</v>
      </c>
      <c r="B2178" s="8" t="s">
        <v>2535</v>
      </c>
      <c r="C2178" s="9" t="s">
        <v>994</v>
      </c>
      <c r="D2178" s="10">
        <v>1103.2</v>
      </c>
      <c r="E2178" s="11">
        <v>44582</v>
      </c>
      <c r="F2178" s="10">
        <v>1103.2</v>
      </c>
      <c r="G2178" s="12">
        <f>Tabla1[[#This Row],[Importe]]-Tabla1[[#This Row],[Pagado]]</f>
        <v>0</v>
      </c>
      <c r="H2178" s="9" t="s">
        <v>10</v>
      </c>
    </row>
    <row r="2179" spans="1:8" x14ac:dyDescent="0.25">
      <c r="A2179" s="7">
        <v>44582</v>
      </c>
      <c r="B2179" s="8" t="s">
        <v>2536</v>
      </c>
      <c r="C2179" s="9" t="s">
        <v>175</v>
      </c>
      <c r="D2179" s="10">
        <v>6684.6</v>
      </c>
      <c r="E2179" s="11">
        <v>44583</v>
      </c>
      <c r="F2179" s="10">
        <v>6684.6</v>
      </c>
      <c r="G2179" s="12">
        <f>Tabla1[[#This Row],[Importe]]-Tabla1[[#This Row],[Pagado]]</f>
        <v>0</v>
      </c>
      <c r="H2179" s="9" t="s">
        <v>10</v>
      </c>
    </row>
    <row r="2180" spans="1:8" x14ac:dyDescent="0.25">
      <c r="A2180" s="7">
        <v>44582</v>
      </c>
      <c r="B2180" s="8" t="s">
        <v>2537</v>
      </c>
      <c r="C2180" s="9" t="s">
        <v>181</v>
      </c>
      <c r="D2180" s="10">
        <v>5163.2</v>
      </c>
      <c r="E2180" s="11">
        <v>44583</v>
      </c>
      <c r="F2180" s="10">
        <v>5163.2</v>
      </c>
      <c r="G2180" s="12">
        <f>Tabla1[[#This Row],[Importe]]-Tabla1[[#This Row],[Pagado]]</f>
        <v>0</v>
      </c>
      <c r="H2180" s="9" t="s">
        <v>10</v>
      </c>
    </row>
    <row r="2181" spans="1:8" x14ac:dyDescent="0.25">
      <c r="A2181" s="7">
        <v>44582</v>
      </c>
      <c r="B2181" s="8" t="s">
        <v>2538</v>
      </c>
      <c r="C2181" s="9" t="s">
        <v>280</v>
      </c>
      <c r="D2181" s="10">
        <v>854.4</v>
      </c>
      <c r="E2181" s="11">
        <v>44583</v>
      </c>
      <c r="F2181" s="10">
        <v>854.4</v>
      </c>
      <c r="G2181" s="12">
        <f>Tabla1[[#This Row],[Importe]]-Tabla1[[#This Row],[Pagado]]</f>
        <v>0</v>
      </c>
      <c r="H2181" s="9" t="s">
        <v>10</v>
      </c>
    </row>
    <row r="2182" spans="1:8" x14ac:dyDescent="0.25">
      <c r="A2182" s="7">
        <v>44582</v>
      </c>
      <c r="B2182" s="8" t="s">
        <v>2539</v>
      </c>
      <c r="C2182" s="9" t="s">
        <v>282</v>
      </c>
      <c r="D2182" s="10">
        <v>1958.4</v>
      </c>
      <c r="E2182" s="11">
        <v>44583</v>
      </c>
      <c r="F2182" s="10">
        <v>1958.4</v>
      </c>
      <c r="G2182" s="12">
        <f>Tabla1[[#This Row],[Importe]]-Tabla1[[#This Row],[Pagado]]</f>
        <v>0</v>
      </c>
      <c r="H2182" s="9" t="s">
        <v>10</v>
      </c>
    </row>
    <row r="2183" spans="1:8" x14ac:dyDescent="0.25">
      <c r="A2183" s="7">
        <v>44582</v>
      </c>
      <c r="B2183" s="8" t="s">
        <v>2540</v>
      </c>
      <c r="C2183" s="9" t="s">
        <v>284</v>
      </c>
      <c r="D2183" s="10">
        <v>7320</v>
      </c>
      <c r="E2183" s="11">
        <v>44583</v>
      </c>
      <c r="F2183" s="10">
        <v>7320</v>
      </c>
      <c r="G2183" s="12">
        <f>Tabla1[[#This Row],[Importe]]-Tabla1[[#This Row],[Pagado]]</f>
        <v>0</v>
      </c>
      <c r="H2183" s="9" t="s">
        <v>10</v>
      </c>
    </row>
    <row r="2184" spans="1:8" x14ac:dyDescent="0.25">
      <c r="A2184" s="7">
        <v>44582</v>
      </c>
      <c r="B2184" s="8" t="s">
        <v>2541</v>
      </c>
      <c r="C2184" s="9" t="s">
        <v>872</v>
      </c>
      <c r="D2184" s="10">
        <v>5312.06</v>
      </c>
      <c r="E2184" s="11">
        <v>44582</v>
      </c>
      <c r="F2184" s="10">
        <v>5312.06</v>
      </c>
      <c r="G2184" s="12">
        <f>Tabla1[[#This Row],[Importe]]-Tabla1[[#This Row],[Pagado]]</f>
        <v>0</v>
      </c>
      <c r="H2184" s="9" t="s">
        <v>10</v>
      </c>
    </row>
    <row r="2185" spans="1:8" x14ac:dyDescent="0.25">
      <c r="A2185" s="7">
        <v>44582</v>
      </c>
      <c r="B2185" s="8" t="s">
        <v>2542</v>
      </c>
      <c r="C2185" s="9" t="s">
        <v>31</v>
      </c>
      <c r="D2185" s="10">
        <v>388.5</v>
      </c>
      <c r="E2185" s="11">
        <v>44582</v>
      </c>
      <c r="F2185" s="10">
        <v>388.5</v>
      </c>
      <c r="G2185" s="12">
        <f>Tabla1[[#This Row],[Importe]]-Tabla1[[#This Row],[Pagado]]</f>
        <v>0</v>
      </c>
      <c r="H2185" s="9" t="s">
        <v>10</v>
      </c>
    </row>
    <row r="2186" spans="1:8" x14ac:dyDescent="0.25">
      <c r="A2186" s="7">
        <v>44582</v>
      </c>
      <c r="B2186" s="8" t="s">
        <v>2543</v>
      </c>
      <c r="C2186" s="9" t="s">
        <v>31</v>
      </c>
      <c r="D2186" s="10">
        <v>409</v>
      </c>
      <c r="E2186" s="11">
        <v>44582</v>
      </c>
      <c r="F2186" s="10">
        <v>409</v>
      </c>
      <c r="G2186" s="12">
        <f>Tabla1[[#This Row],[Importe]]-Tabla1[[#This Row],[Pagado]]</f>
        <v>0</v>
      </c>
      <c r="H2186" s="9" t="s">
        <v>10</v>
      </c>
    </row>
    <row r="2187" spans="1:8" x14ac:dyDescent="0.25">
      <c r="A2187" s="7">
        <v>44582</v>
      </c>
      <c r="B2187" s="8" t="s">
        <v>2544</v>
      </c>
      <c r="C2187" s="9" t="s">
        <v>448</v>
      </c>
      <c r="D2187" s="10">
        <v>16771.2</v>
      </c>
      <c r="E2187" s="11">
        <v>44583</v>
      </c>
      <c r="F2187" s="10">
        <v>16771.2</v>
      </c>
      <c r="G2187" s="12">
        <f>Tabla1[[#This Row],[Importe]]-Tabla1[[#This Row],[Pagado]]</f>
        <v>0</v>
      </c>
      <c r="H2187" s="9" t="s">
        <v>10</v>
      </c>
    </row>
    <row r="2188" spans="1:8" x14ac:dyDescent="0.25">
      <c r="A2188" s="7">
        <v>44582</v>
      </c>
      <c r="B2188" s="8" t="s">
        <v>2545</v>
      </c>
      <c r="C2188" s="9" t="s">
        <v>1339</v>
      </c>
      <c r="D2188" s="10">
        <v>966</v>
      </c>
      <c r="E2188" s="11">
        <v>44582</v>
      </c>
      <c r="F2188" s="10">
        <v>966</v>
      </c>
      <c r="G2188" s="12">
        <f>Tabla1[[#This Row],[Importe]]-Tabla1[[#This Row],[Pagado]]</f>
        <v>0</v>
      </c>
      <c r="H2188" s="9" t="s">
        <v>10</v>
      </c>
    </row>
    <row r="2189" spans="1:8" x14ac:dyDescent="0.25">
      <c r="A2189" s="7">
        <v>44582</v>
      </c>
      <c r="B2189" s="8" t="s">
        <v>2546</v>
      </c>
      <c r="C2189" s="9" t="s">
        <v>463</v>
      </c>
      <c r="D2189" s="10">
        <v>479.4</v>
      </c>
      <c r="E2189" s="11">
        <v>44584</v>
      </c>
      <c r="F2189" s="10">
        <v>479.4</v>
      </c>
      <c r="G2189" s="12">
        <f>Tabla1[[#This Row],[Importe]]-Tabla1[[#This Row],[Pagado]]</f>
        <v>0</v>
      </c>
      <c r="H2189" s="9" t="s">
        <v>10</v>
      </c>
    </row>
    <row r="2190" spans="1:8" x14ac:dyDescent="0.25">
      <c r="A2190" s="7">
        <v>44582</v>
      </c>
      <c r="B2190" s="8" t="s">
        <v>2547</v>
      </c>
      <c r="C2190" s="9" t="s">
        <v>196</v>
      </c>
      <c r="D2190" s="10">
        <v>5418.8</v>
      </c>
      <c r="E2190" s="11">
        <v>44589</v>
      </c>
      <c r="F2190" s="10">
        <v>5418.8</v>
      </c>
      <c r="G2190" s="12">
        <f>Tabla1[[#This Row],[Importe]]-Tabla1[[#This Row],[Pagado]]</f>
        <v>0</v>
      </c>
      <c r="H2190" s="9" t="s">
        <v>10</v>
      </c>
    </row>
    <row r="2191" spans="1:8" x14ac:dyDescent="0.25">
      <c r="A2191" s="7">
        <v>44583</v>
      </c>
      <c r="B2191" s="8" t="s">
        <v>2548</v>
      </c>
      <c r="C2191" s="9" t="s">
        <v>887</v>
      </c>
      <c r="D2191" s="10">
        <v>22390.400000000001</v>
      </c>
      <c r="E2191" s="11">
        <v>44589</v>
      </c>
      <c r="F2191" s="10">
        <v>22390.400000000001</v>
      </c>
      <c r="G2191" s="12">
        <f>Tabla1[[#This Row],[Importe]]-Tabla1[[#This Row],[Pagado]]</f>
        <v>0</v>
      </c>
      <c r="H2191" s="9" t="s">
        <v>10</v>
      </c>
    </row>
    <row r="2192" spans="1:8" ht="30" x14ac:dyDescent="0.25">
      <c r="A2192" s="7">
        <v>44583</v>
      </c>
      <c r="B2192" s="8" t="s">
        <v>2549</v>
      </c>
      <c r="C2192" s="9" t="s">
        <v>475</v>
      </c>
      <c r="D2192" s="10">
        <v>66612.2</v>
      </c>
      <c r="E2192" s="11" t="s">
        <v>2550</v>
      </c>
      <c r="F2192" s="10">
        <f>35000+31612.2</f>
        <v>66612.2</v>
      </c>
      <c r="G2192" s="12">
        <f>Tabla1[[#This Row],[Importe]]-Tabla1[[#This Row],[Pagado]]</f>
        <v>0</v>
      </c>
      <c r="H2192" s="9" t="s">
        <v>10</v>
      </c>
    </row>
    <row r="2193" spans="1:8" x14ac:dyDescent="0.25">
      <c r="A2193" s="7">
        <v>44583</v>
      </c>
      <c r="B2193" s="8" t="s">
        <v>2551</v>
      </c>
      <c r="C2193" s="9" t="s">
        <v>1021</v>
      </c>
      <c r="D2193" s="10">
        <v>15232</v>
      </c>
      <c r="E2193" s="11">
        <v>44585</v>
      </c>
      <c r="F2193" s="10">
        <v>15232</v>
      </c>
      <c r="G2193" s="12">
        <f>Tabla1[[#This Row],[Importe]]-Tabla1[[#This Row],[Pagado]]</f>
        <v>0</v>
      </c>
      <c r="H2193" s="9" t="s">
        <v>10</v>
      </c>
    </row>
    <row r="2194" spans="1:8" x14ac:dyDescent="0.25">
      <c r="A2194" s="7">
        <v>44583</v>
      </c>
      <c r="B2194" s="8" t="s">
        <v>2552</v>
      </c>
      <c r="C2194" s="9" t="s">
        <v>75</v>
      </c>
      <c r="D2194" s="10">
        <v>9475.2000000000007</v>
      </c>
      <c r="E2194" s="11">
        <v>44584</v>
      </c>
      <c r="F2194" s="10">
        <v>9475.2000000000007</v>
      </c>
      <c r="G2194" s="12">
        <f>Tabla1[[#This Row],[Importe]]-Tabla1[[#This Row],[Pagado]]</f>
        <v>0</v>
      </c>
      <c r="H2194" s="9" t="s">
        <v>10</v>
      </c>
    </row>
    <row r="2195" spans="1:8" x14ac:dyDescent="0.25">
      <c r="A2195" s="7">
        <v>44583</v>
      </c>
      <c r="B2195" s="8" t="s">
        <v>2553</v>
      </c>
      <c r="C2195" s="9" t="s">
        <v>75</v>
      </c>
      <c r="D2195" s="10">
        <v>8044.8</v>
      </c>
      <c r="E2195" s="11">
        <v>44583</v>
      </c>
      <c r="F2195" s="10">
        <v>8044.8</v>
      </c>
      <c r="G2195" s="12">
        <f>Tabla1[[#This Row],[Importe]]-Tabla1[[#This Row],[Pagado]]</f>
        <v>0</v>
      </c>
      <c r="H2195" s="9" t="s">
        <v>10</v>
      </c>
    </row>
    <row r="2196" spans="1:8" x14ac:dyDescent="0.25">
      <c r="A2196" s="7">
        <v>44583</v>
      </c>
      <c r="B2196" s="8" t="s">
        <v>2554</v>
      </c>
      <c r="C2196" s="9" t="s">
        <v>85</v>
      </c>
      <c r="D2196" s="10">
        <v>2338.4</v>
      </c>
      <c r="E2196" s="11">
        <v>44583</v>
      </c>
      <c r="F2196" s="10">
        <v>2338.4</v>
      </c>
      <c r="G2196" s="12">
        <f>Tabla1[[#This Row],[Importe]]-Tabla1[[#This Row],[Pagado]]</f>
        <v>0</v>
      </c>
      <c r="H2196" s="9" t="s">
        <v>10</v>
      </c>
    </row>
    <row r="2197" spans="1:8" x14ac:dyDescent="0.25">
      <c r="A2197" s="7">
        <v>44583</v>
      </c>
      <c r="B2197" s="8" t="s">
        <v>2555</v>
      </c>
      <c r="C2197" s="9" t="s">
        <v>12</v>
      </c>
      <c r="D2197" s="10">
        <v>32219.1</v>
      </c>
      <c r="E2197" s="11">
        <v>44584</v>
      </c>
      <c r="F2197" s="10">
        <v>32219.1</v>
      </c>
      <c r="G2197" s="12">
        <f>Tabla1[[#This Row],[Importe]]-Tabla1[[#This Row],[Pagado]]</f>
        <v>0</v>
      </c>
      <c r="H2197" s="9" t="s">
        <v>10</v>
      </c>
    </row>
    <row r="2198" spans="1:8" x14ac:dyDescent="0.25">
      <c r="A2198" s="7">
        <v>44583</v>
      </c>
      <c r="B2198" s="8" t="s">
        <v>2556</v>
      </c>
      <c r="C2198" s="9" t="s">
        <v>79</v>
      </c>
      <c r="D2198" s="10">
        <v>18589.2</v>
      </c>
      <c r="E2198" s="11">
        <v>44583</v>
      </c>
      <c r="F2198" s="10">
        <v>18589.2</v>
      </c>
      <c r="G2198" s="12">
        <f>Tabla1[[#This Row],[Importe]]-Tabla1[[#This Row],[Pagado]]</f>
        <v>0</v>
      </c>
      <c r="H2198" s="9" t="s">
        <v>10</v>
      </c>
    </row>
    <row r="2199" spans="1:8" x14ac:dyDescent="0.25">
      <c r="A2199" s="7">
        <v>44583</v>
      </c>
      <c r="B2199" s="8" t="s">
        <v>2557</v>
      </c>
      <c r="C2199" s="9" t="s">
        <v>1907</v>
      </c>
      <c r="D2199" s="10">
        <v>28070.400000000001</v>
      </c>
      <c r="E2199" s="11">
        <v>44584</v>
      </c>
      <c r="F2199" s="10">
        <v>28070.400000000001</v>
      </c>
      <c r="G2199" s="12">
        <f>Tabla1[[#This Row],[Importe]]-Tabla1[[#This Row],[Pagado]]</f>
        <v>0</v>
      </c>
      <c r="H2199" s="9" t="s">
        <v>10</v>
      </c>
    </row>
    <row r="2200" spans="1:8" x14ac:dyDescent="0.25">
      <c r="A2200" s="7">
        <v>44583</v>
      </c>
      <c r="B2200" s="8" t="s">
        <v>2558</v>
      </c>
      <c r="C2200" s="9" t="s">
        <v>95</v>
      </c>
      <c r="D2200" s="10">
        <v>13151.6</v>
      </c>
      <c r="E2200" s="11">
        <v>44583</v>
      </c>
      <c r="F2200" s="10">
        <v>13151.6</v>
      </c>
      <c r="G2200" s="12">
        <f>Tabla1[[#This Row],[Importe]]-Tabla1[[#This Row],[Pagado]]</f>
        <v>0</v>
      </c>
      <c r="H2200" s="9" t="s">
        <v>10</v>
      </c>
    </row>
    <row r="2201" spans="1:8" x14ac:dyDescent="0.25">
      <c r="A2201" s="7">
        <v>44583</v>
      </c>
      <c r="B2201" s="8" t="s">
        <v>2559</v>
      </c>
      <c r="C2201" s="9" t="s">
        <v>31</v>
      </c>
      <c r="D2201" s="10">
        <v>4087.8</v>
      </c>
      <c r="E2201" s="11">
        <v>44583</v>
      </c>
      <c r="F2201" s="10">
        <v>4087.8</v>
      </c>
      <c r="G2201" s="12">
        <f>Tabla1[[#This Row],[Importe]]-Tabla1[[#This Row],[Pagado]]</f>
        <v>0</v>
      </c>
      <c r="H2201" s="9" t="s">
        <v>10</v>
      </c>
    </row>
    <row r="2202" spans="1:8" x14ac:dyDescent="0.25">
      <c r="A2202" s="7">
        <v>44583</v>
      </c>
      <c r="B2202" s="8" t="s">
        <v>2560</v>
      </c>
      <c r="C2202" s="9" t="s">
        <v>9</v>
      </c>
      <c r="D2202" s="10">
        <v>7024.2</v>
      </c>
      <c r="E2202" s="11">
        <v>44583</v>
      </c>
      <c r="F2202" s="10">
        <v>7024.2</v>
      </c>
      <c r="G2202" s="12">
        <f>Tabla1[[#This Row],[Importe]]-Tabla1[[#This Row],[Pagado]]</f>
        <v>0</v>
      </c>
      <c r="H2202" s="9" t="s">
        <v>10</v>
      </c>
    </row>
    <row r="2203" spans="1:8" x14ac:dyDescent="0.25">
      <c r="A2203" s="7">
        <v>44583</v>
      </c>
      <c r="B2203" s="8" t="s">
        <v>2561</v>
      </c>
      <c r="C2203" s="9" t="s">
        <v>525</v>
      </c>
      <c r="D2203" s="10">
        <v>2509.5</v>
      </c>
      <c r="E2203" s="11">
        <v>44583</v>
      </c>
      <c r="F2203" s="10">
        <v>2509.5</v>
      </c>
      <c r="G2203" s="12">
        <f>Tabla1[[#This Row],[Importe]]-Tabla1[[#This Row],[Pagado]]</f>
        <v>0</v>
      </c>
      <c r="H2203" s="9" t="s">
        <v>10</v>
      </c>
    </row>
    <row r="2204" spans="1:8" x14ac:dyDescent="0.25">
      <c r="A2204" s="7">
        <v>44583</v>
      </c>
      <c r="B2204" s="8" t="s">
        <v>2562</v>
      </c>
      <c r="C2204" s="9" t="s">
        <v>2563</v>
      </c>
      <c r="D2204" s="10">
        <v>4082.4</v>
      </c>
      <c r="E2204" s="11">
        <v>44583</v>
      </c>
      <c r="F2204" s="10">
        <v>4082.4</v>
      </c>
      <c r="G2204" s="12">
        <f>Tabla1[[#This Row],[Importe]]-Tabla1[[#This Row],[Pagado]]</f>
        <v>0</v>
      </c>
      <c r="H2204" s="9" t="s">
        <v>10</v>
      </c>
    </row>
    <row r="2205" spans="1:8" x14ac:dyDescent="0.25">
      <c r="A2205" s="7">
        <v>44583</v>
      </c>
      <c r="B2205" s="8" t="s">
        <v>2564</v>
      </c>
      <c r="C2205" s="9" t="s">
        <v>118</v>
      </c>
      <c r="D2205" s="10">
        <v>4648.1000000000004</v>
      </c>
      <c r="E2205" s="11">
        <v>44583</v>
      </c>
      <c r="F2205" s="10">
        <v>4648.1000000000004</v>
      </c>
      <c r="G2205" s="12">
        <f>Tabla1[[#This Row],[Importe]]-Tabla1[[#This Row],[Pagado]]</f>
        <v>0</v>
      </c>
      <c r="H2205" s="9" t="s">
        <v>10</v>
      </c>
    </row>
    <row r="2206" spans="1:8" x14ac:dyDescent="0.25">
      <c r="A2206" s="7">
        <v>44583</v>
      </c>
      <c r="B2206" s="8" t="s">
        <v>2565</v>
      </c>
      <c r="C2206" s="9" t="s">
        <v>60</v>
      </c>
      <c r="D2206" s="10">
        <v>9126</v>
      </c>
      <c r="E2206" s="11">
        <v>44589</v>
      </c>
      <c r="F2206" s="10">
        <v>9126</v>
      </c>
      <c r="G2206" s="12">
        <f>Tabla1[[#This Row],[Importe]]-Tabla1[[#This Row],[Pagado]]</f>
        <v>0</v>
      </c>
      <c r="H2206" s="9" t="s">
        <v>10</v>
      </c>
    </row>
    <row r="2207" spans="1:8" x14ac:dyDescent="0.25">
      <c r="A2207" s="7">
        <v>44583</v>
      </c>
      <c r="B2207" s="8" t="s">
        <v>2566</v>
      </c>
      <c r="C2207" s="9" t="s">
        <v>18</v>
      </c>
      <c r="D2207" s="10">
        <v>1633.5</v>
      </c>
      <c r="E2207" s="11">
        <v>44583</v>
      </c>
      <c r="F2207" s="10">
        <v>1633.5</v>
      </c>
      <c r="G2207" s="12">
        <f>Tabla1[[#This Row],[Importe]]-Tabla1[[#This Row],[Pagado]]</f>
        <v>0</v>
      </c>
      <c r="H2207" s="9" t="s">
        <v>10</v>
      </c>
    </row>
    <row r="2208" spans="1:8" x14ac:dyDescent="0.25">
      <c r="A2208" s="7">
        <v>44583</v>
      </c>
      <c r="B2208" s="8" t="s">
        <v>2567</v>
      </c>
      <c r="C2208" s="9" t="s">
        <v>326</v>
      </c>
      <c r="D2208" s="10">
        <v>8621.6</v>
      </c>
      <c r="E2208" s="11">
        <v>44585</v>
      </c>
      <c r="F2208" s="10">
        <v>8621.6</v>
      </c>
      <c r="G2208" s="12">
        <f>Tabla1[[#This Row],[Importe]]-Tabla1[[#This Row],[Pagado]]</f>
        <v>0</v>
      </c>
      <c r="H2208" s="9" t="s">
        <v>10</v>
      </c>
    </row>
    <row r="2209" spans="1:8" ht="45" x14ac:dyDescent="0.25">
      <c r="A2209" s="7">
        <v>44583</v>
      </c>
      <c r="B2209" s="8" t="s">
        <v>2568</v>
      </c>
      <c r="C2209" s="9" t="s">
        <v>39</v>
      </c>
      <c r="D2209" s="10">
        <v>31914</v>
      </c>
      <c r="E2209" s="11" t="s">
        <v>2569</v>
      </c>
      <c r="F2209" s="10">
        <f>4000+5000+22914</f>
        <v>31914</v>
      </c>
      <c r="G2209" s="12">
        <f>Tabla1[[#This Row],[Importe]]-Tabla1[[#This Row],[Pagado]]</f>
        <v>0</v>
      </c>
      <c r="H2209" s="9" t="s">
        <v>10</v>
      </c>
    </row>
    <row r="2210" spans="1:8" x14ac:dyDescent="0.25">
      <c r="A2210" s="7">
        <v>44583</v>
      </c>
      <c r="B2210" s="8" t="s">
        <v>2570</v>
      </c>
      <c r="C2210" s="9" t="s">
        <v>111</v>
      </c>
      <c r="D2210" s="10">
        <v>9458.7999999999993</v>
      </c>
      <c r="E2210" s="11">
        <v>44585</v>
      </c>
      <c r="F2210" s="10">
        <v>9458.7999999999993</v>
      </c>
      <c r="G2210" s="12">
        <f>Tabla1[[#This Row],[Importe]]-Tabla1[[#This Row],[Pagado]]</f>
        <v>0</v>
      </c>
      <c r="H2210" s="9" t="s">
        <v>10</v>
      </c>
    </row>
    <row r="2211" spans="1:8" x14ac:dyDescent="0.25">
      <c r="A2211" s="7">
        <v>44583</v>
      </c>
      <c r="B2211" s="8" t="s">
        <v>2571</v>
      </c>
      <c r="C2211" s="9" t="s">
        <v>120</v>
      </c>
      <c r="D2211" s="10">
        <v>4417.2</v>
      </c>
      <c r="E2211" s="11">
        <v>44585</v>
      </c>
      <c r="F2211" s="10">
        <v>4417.2</v>
      </c>
      <c r="G2211" s="12">
        <f>Tabla1[[#This Row],[Importe]]-Tabla1[[#This Row],[Pagado]]</f>
        <v>0</v>
      </c>
      <c r="H2211" s="9" t="s">
        <v>10</v>
      </c>
    </row>
    <row r="2212" spans="1:8" x14ac:dyDescent="0.25">
      <c r="A2212" s="7">
        <v>44583</v>
      </c>
      <c r="B2212" s="8" t="s">
        <v>2572</v>
      </c>
      <c r="C2212" s="9" t="s">
        <v>109</v>
      </c>
      <c r="D2212" s="10">
        <v>8892</v>
      </c>
      <c r="E2212" s="11">
        <v>44585</v>
      </c>
      <c r="F2212" s="10">
        <v>8892</v>
      </c>
      <c r="G2212" s="12">
        <f>Tabla1[[#This Row],[Importe]]-Tabla1[[#This Row],[Pagado]]</f>
        <v>0</v>
      </c>
      <c r="H2212" s="9" t="s">
        <v>10</v>
      </c>
    </row>
    <row r="2213" spans="1:8" x14ac:dyDescent="0.25">
      <c r="A2213" s="7">
        <v>44583</v>
      </c>
      <c r="B2213" s="8" t="s">
        <v>2573</v>
      </c>
      <c r="C2213" s="9" t="s">
        <v>131</v>
      </c>
      <c r="D2213" s="10">
        <v>11486.8</v>
      </c>
      <c r="E2213" s="11">
        <v>44583</v>
      </c>
      <c r="F2213" s="10">
        <v>11486.8</v>
      </c>
      <c r="G2213" s="12">
        <f>Tabla1[[#This Row],[Importe]]-Tabla1[[#This Row],[Pagado]]</f>
        <v>0</v>
      </c>
      <c r="H2213" s="9" t="s">
        <v>10</v>
      </c>
    </row>
    <row r="2214" spans="1:8" x14ac:dyDescent="0.25">
      <c r="A2214" s="7">
        <v>44583</v>
      </c>
      <c r="B2214" s="8" t="s">
        <v>2574</v>
      </c>
      <c r="C2214" s="9" t="s">
        <v>520</v>
      </c>
      <c r="D2214" s="10">
        <v>4897.7</v>
      </c>
      <c r="E2214" s="11">
        <v>44583</v>
      </c>
      <c r="F2214" s="10">
        <v>4897.7</v>
      </c>
      <c r="G2214" s="12">
        <f>Tabla1[[#This Row],[Importe]]-Tabla1[[#This Row],[Pagado]]</f>
        <v>0</v>
      </c>
      <c r="H2214" s="9" t="s">
        <v>10</v>
      </c>
    </row>
    <row r="2215" spans="1:8" x14ac:dyDescent="0.25">
      <c r="A2215" s="7">
        <v>44583</v>
      </c>
      <c r="B2215" s="8" t="s">
        <v>2575</v>
      </c>
      <c r="C2215" s="9" t="s">
        <v>518</v>
      </c>
      <c r="D2215" s="10">
        <v>1214.4000000000001</v>
      </c>
      <c r="E2215" s="11">
        <v>44583</v>
      </c>
      <c r="F2215" s="10">
        <v>1214.4000000000001</v>
      </c>
      <c r="G2215" s="12">
        <f>Tabla1[[#This Row],[Importe]]-Tabla1[[#This Row],[Pagado]]</f>
        <v>0</v>
      </c>
      <c r="H2215" s="9" t="s">
        <v>10</v>
      </c>
    </row>
    <row r="2216" spans="1:8" x14ac:dyDescent="0.25">
      <c r="A2216" s="7">
        <v>44583</v>
      </c>
      <c r="B2216" s="8" t="s">
        <v>2576</v>
      </c>
      <c r="C2216" s="9" t="s">
        <v>183</v>
      </c>
      <c r="D2216" s="10">
        <v>517.79999999999995</v>
      </c>
      <c r="E2216" s="11">
        <v>44583</v>
      </c>
      <c r="F2216" s="10">
        <v>517.79999999999995</v>
      </c>
      <c r="G2216" s="12">
        <f>Tabla1[[#This Row],[Importe]]-Tabla1[[#This Row],[Pagado]]</f>
        <v>0</v>
      </c>
      <c r="H2216" s="9" t="s">
        <v>10</v>
      </c>
    </row>
    <row r="2217" spans="1:8" x14ac:dyDescent="0.25">
      <c r="A2217" s="7">
        <v>44583</v>
      </c>
      <c r="B2217" s="8" t="s">
        <v>2577</v>
      </c>
      <c r="C2217" s="9" t="s">
        <v>484</v>
      </c>
      <c r="D2217" s="10">
        <v>4608</v>
      </c>
      <c r="E2217" s="11">
        <v>44583</v>
      </c>
      <c r="F2217" s="10">
        <v>4608</v>
      </c>
      <c r="G2217" s="12">
        <f>Tabla1[[#This Row],[Importe]]-Tabla1[[#This Row],[Pagado]]</f>
        <v>0</v>
      </c>
      <c r="H2217" s="9" t="s">
        <v>10</v>
      </c>
    </row>
    <row r="2218" spans="1:8" x14ac:dyDescent="0.25">
      <c r="A2218" s="7">
        <v>44583</v>
      </c>
      <c r="B2218" s="8" t="s">
        <v>2578</v>
      </c>
      <c r="C2218" s="9" t="s">
        <v>159</v>
      </c>
      <c r="D2218" s="10">
        <v>4404.8</v>
      </c>
      <c r="E2218" s="11">
        <v>44583</v>
      </c>
      <c r="F2218" s="10">
        <v>4404.8</v>
      </c>
      <c r="G2218" s="12">
        <f>Tabla1[[#This Row],[Importe]]-Tabla1[[#This Row],[Pagado]]</f>
        <v>0</v>
      </c>
      <c r="H2218" s="9" t="s">
        <v>10</v>
      </c>
    </row>
    <row r="2219" spans="1:8" x14ac:dyDescent="0.25">
      <c r="A2219" s="7">
        <v>44583</v>
      </c>
      <c r="B2219" s="8" t="s">
        <v>2579</v>
      </c>
      <c r="C2219" s="9" t="s">
        <v>151</v>
      </c>
      <c r="D2219" s="10">
        <v>16354.32</v>
      </c>
      <c r="E2219" s="11">
        <v>44583</v>
      </c>
      <c r="F2219" s="10">
        <v>16354.32</v>
      </c>
      <c r="G2219" s="12">
        <f>Tabla1[[#This Row],[Importe]]-Tabla1[[#This Row],[Pagado]]</f>
        <v>0</v>
      </c>
      <c r="H2219" s="9" t="s">
        <v>10</v>
      </c>
    </row>
    <row r="2220" spans="1:8" ht="30" x14ac:dyDescent="0.25">
      <c r="A2220" s="7">
        <v>44583</v>
      </c>
      <c r="B2220" s="8" t="s">
        <v>2580</v>
      </c>
      <c r="C2220" s="9" t="s">
        <v>22</v>
      </c>
      <c r="D2220" s="10">
        <v>60193.1</v>
      </c>
      <c r="E2220" s="11" t="s">
        <v>2581</v>
      </c>
      <c r="F2220" s="10">
        <f>47000+13193.1</f>
        <v>60193.1</v>
      </c>
      <c r="G2220" s="12">
        <f>Tabla1[[#This Row],[Importe]]-Tabla1[[#This Row],[Pagado]]</f>
        <v>0</v>
      </c>
      <c r="H2220" s="9" t="s">
        <v>10</v>
      </c>
    </row>
    <row r="2221" spans="1:8" x14ac:dyDescent="0.25">
      <c r="A2221" s="7">
        <v>44583</v>
      </c>
      <c r="B2221" s="8" t="s">
        <v>2582</v>
      </c>
      <c r="C2221" s="9" t="s">
        <v>183</v>
      </c>
      <c r="D2221" s="10">
        <v>84</v>
      </c>
      <c r="E2221" s="11">
        <v>44583</v>
      </c>
      <c r="F2221" s="10">
        <v>84</v>
      </c>
      <c r="G2221" s="12">
        <f>Tabla1[[#This Row],[Importe]]-Tabla1[[#This Row],[Pagado]]</f>
        <v>0</v>
      </c>
      <c r="H2221" s="9" t="s">
        <v>10</v>
      </c>
    </row>
    <row r="2222" spans="1:8" x14ac:dyDescent="0.25">
      <c r="A2222" s="7">
        <v>44583</v>
      </c>
      <c r="B2222" s="8" t="s">
        <v>2583</v>
      </c>
      <c r="C2222" s="9" t="s">
        <v>319</v>
      </c>
      <c r="D2222" s="10">
        <v>9348.9</v>
      </c>
      <c r="E2222" s="11">
        <v>44583</v>
      </c>
      <c r="F2222" s="10">
        <v>9348.9</v>
      </c>
      <c r="G2222" s="12">
        <f>Tabla1[[#This Row],[Importe]]-Tabla1[[#This Row],[Pagado]]</f>
        <v>0</v>
      </c>
      <c r="H2222" s="9" t="s">
        <v>10</v>
      </c>
    </row>
    <row r="2223" spans="1:8" x14ac:dyDescent="0.25">
      <c r="A2223" s="7">
        <v>44583</v>
      </c>
      <c r="B2223" s="8" t="s">
        <v>2584</v>
      </c>
      <c r="C2223" s="9" t="s">
        <v>89</v>
      </c>
      <c r="D2223" s="10">
        <v>5215.6000000000004</v>
      </c>
      <c r="E2223" s="11">
        <v>44585</v>
      </c>
      <c r="F2223" s="10">
        <v>5215.6000000000004</v>
      </c>
      <c r="G2223" s="12">
        <f>Tabla1[[#This Row],[Importe]]-Tabla1[[#This Row],[Pagado]]</f>
        <v>0</v>
      </c>
      <c r="H2223" s="9" t="s">
        <v>10</v>
      </c>
    </row>
    <row r="2224" spans="1:8" x14ac:dyDescent="0.25">
      <c r="A2224" s="7">
        <v>44583</v>
      </c>
      <c r="B2224" s="8" t="s">
        <v>2585</v>
      </c>
      <c r="C2224" s="9" t="s">
        <v>87</v>
      </c>
      <c r="D2224" s="10">
        <v>3024</v>
      </c>
      <c r="E2224" s="11">
        <v>44584</v>
      </c>
      <c r="F2224" s="10">
        <v>3024</v>
      </c>
      <c r="G2224" s="12">
        <f>Tabla1[[#This Row],[Importe]]-Tabla1[[#This Row],[Pagado]]</f>
        <v>0</v>
      </c>
      <c r="H2224" s="9" t="s">
        <v>10</v>
      </c>
    </row>
    <row r="2225" spans="1:8" x14ac:dyDescent="0.25">
      <c r="A2225" s="7">
        <v>44583</v>
      </c>
      <c r="B2225" s="8" t="s">
        <v>2586</v>
      </c>
      <c r="C2225" s="9" t="s">
        <v>348</v>
      </c>
      <c r="D2225" s="10">
        <v>3740</v>
      </c>
      <c r="E2225" s="11">
        <v>44583</v>
      </c>
      <c r="F2225" s="10">
        <v>3740</v>
      </c>
      <c r="G2225" s="12">
        <f>Tabla1[[#This Row],[Importe]]-Tabla1[[#This Row],[Pagado]]</f>
        <v>0</v>
      </c>
      <c r="H2225" s="9" t="s">
        <v>10</v>
      </c>
    </row>
    <row r="2226" spans="1:8" x14ac:dyDescent="0.25">
      <c r="A2226" s="7">
        <v>44583</v>
      </c>
      <c r="B2226" s="8" t="s">
        <v>2587</v>
      </c>
      <c r="C2226" s="9" t="s">
        <v>93</v>
      </c>
      <c r="D2226" s="10">
        <v>20794</v>
      </c>
      <c r="E2226" s="11">
        <v>44585</v>
      </c>
      <c r="F2226" s="10">
        <v>20794</v>
      </c>
      <c r="G2226" s="12">
        <f>Tabla1[[#This Row],[Importe]]-Tabla1[[#This Row],[Pagado]]</f>
        <v>0</v>
      </c>
      <c r="H2226" s="9" t="s">
        <v>10</v>
      </c>
    </row>
    <row r="2227" spans="1:8" x14ac:dyDescent="0.25">
      <c r="A2227" s="7">
        <v>44583</v>
      </c>
      <c r="B2227" s="8" t="s">
        <v>2588</v>
      </c>
      <c r="C2227" s="9" t="s">
        <v>157</v>
      </c>
      <c r="D2227" s="10">
        <v>877</v>
      </c>
      <c r="E2227" s="11">
        <v>44583</v>
      </c>
      <c r="F2227" s="10">
        <v>877</v>
      </c>
      <c r="G2227" s="12">
        <f>Tabla1[[#This Row],[Importe]]-Tabla1[[#This Row],[Pagado]]</f>
        <v>0</v>
      </c>
      <c r="H2227" s="9" t="s">
        <v>10</v>
      </c>
    </row>
    <row r="2228" spans="1:8" ht="30" x14ac:dyDescent="0.25">
      <c r="A2228" s="7">
        <v>44583</v>
      </c>
      <c r="B2228" s="8" t="s">
        <v>2589</v>
      </c>
      <c r="C2228" s="9" t="s">
        <v>99</v>
      </c>
      <c r="D2228" s="10">
        <v>6617.6</v>
      </c>
      <c r="E2228" s="11" t="s">
        <v>2590</v>
      </c>
      <c r="F2228" s="10">
        <f>4500+2117.6</f>
        <v>6617.6</v>
      </c>
      <c r="G2228" s="12">
        <f>Tabla1[[#This Row],[Importe]]-Tabla1[[#This Row],[Pagado]]</f>
        <v>0</v>
      </c>
      <c r="H2228" s="9" t="s">
        <v>10</v>
      </c>
    </row>
    <row r="2229" spans="1:8" x14ac:dyDescent="0.25">
      <c r="A2229" s="7">
        <v>44583</v>
      </c>
      <c r="B2229" s="8" t="s">
        <v>2591</v>
      </c>
      <c r="C2229" s="9" t="s">
        <v>1537</v>
      </c>
      <c r="D2229" s="10">
        <v>1491.7</v>
      </c>
      <c r="E2229" s="11">
        <v>44583</v>
      </c>
      <c r="F2229" s="10">
        <v>1491.7</v>
      </c>
      <c r="G2229" s="12">
        <f>Tabla1[[#This Row],[Importe]]-Tabla1[[#This Row],[Pagado]]</f>
        <v>0</v>
      </c>
      <c r="H2229" s="9" t="s">
        <v>10</v>
      </c>
    </row>
    <row r="2230" spans="1:8" x14ac:dyDescent="0.25">
      <c r="A2230" s="7">
        <v>44583</v>
      </c>
      <c r="B2230" s="8" t="s">
        <v>2592</v>
      </c>
      <c r="C2230" s="9" t="s">
        <v>114</v>
      </c>
      <c r="D2230" s="10">
        <v>9240.4</v>
      </c>
      <c r="E2230" s="11">
        <v>44585</v>
      </c>
      <c r="F2230" s="10">
        <v>9240.4</v>
      </c>
      <c r="G2230" s="12">
        <f>Tabla1[[#This Row],[Importe]]-Tabla1[[#This Row],[Pagado]]</f>
        <v>0</v>
      </c>
      <c r="H2230" s="9" t="s">
        <v>10</v>
      </c>
    </row>
    <row r="2231" spans="1:8" x14ac:dyDescent="0.25">
      <c r="A2231" s="7">
        <v>44583</v>
      </c>
      <c r="B2231" s="8" t="s">
        <v>2593</v>
      </c>
      <c r="C2231" s="9" t="s">
        <v>64</v>
      </c>
      <c r="D2231" s="10">
        <v>8527.2999999999993</v>
      </c>
      <c r="E2231" s="11">
        <v>44587</v>
      </c>
      <c r="F2231" s="10">
        <v>8527.2999999999993</v>
      </c>
      <c r="G2231" s="12">
        <f>Tabla1[[#This Row],[Importe]]-Tabla1[[#This Row],[Pagado]]</f>
        <v>0</v>
      </c>
      <c r="H2231" s="9" t="s">
        <v>10</v>
      </c>
    </row>
    <row r="2232" spans="1:8" x14ac:dyDescent="0.25">
      <c r="A2232" s="7">
        <v>44583</v>
      </c>
      <c r="B2232" s="8" t="s">
        <v>2594</v>
      </c>
      <c r="C2232" s="9" t="s">
        <v>314</v>
      </c>
      <c r="D2232" s="10">
        <v>4257.6000000000004</v>
      </c>
      <c r="E2232" s="11">
        <v>44584</v>
      </c>
      <c r="F2232" s="10">
        <v>4257.6000000000004</v>
      </c>
      <c r="G2232" s="12">
        <f>Tabla1[[#This Row],[Importe]]-Tabla1[[#This Row],[Pagado]]</f>
        <v>0</v>
      </c>
      <c r="H2232" s="9" t="s">
        <v>10</v>
      </c>
    </row>
    <row r="2233" spans="1:8" x14ac:dyDescent="0.25">
      <c r="A2233" s="7">
        <v>44583</v>
      </c>
      <c r="B2233" s="8" t="s">
        <v>2595</v>
      </c>
      <c r="C2233" s="9" t="s">
        <v>97</v>
      </c>
      <c r="D2233" s="10">
        <v>16570.5</v>
      </c>
      <c r="E2233" s="11">
        <v>44585</v>
      </c>
      <c r="F2233" s="10">
        <v>16570.5</v>
      </c>
      <c r="G2233" s="12">
        <f>Tabla1[[#This Row],[Importe]]-Tabla1[[#This Row],[Pagado]]</f>
        <v>0</v>
      </c>
      <c r="H2233" s="9" t="s">
        <v>10</v>
      </c>
    </row>
    <row r="2234" spans="1:8" x14ac:dyDescent="0.25">
      <c r="A2234" s="7">
        <v>44583</v>
      </c>
      <c r="B2234" s="8" t="s">
        <v>2596</v>
      </c>
      <c r="C2234" s="9" t="s">
        <v>345</v>
      </c>
      <c r="D2234" s="10">
        <v>796.8</v>
      </c>
      <c r="E2234" s="11">
        <v>44583</v>
      </c>
      <c r="F2234" s="10">
        <v>796.8</v>
      </c>
      <c r="G2234" s="12">
        <f>Tabla1[[#This Row],[Importe]]-Tabla1[[#This Row],[Pagado]]</f>
        <v>0</v>
      </c>
      <c r="H2234" s="9" t="s">
        <v>10</v>
      </c>
    </row>
    <row r="2235" spans="1:8" x14ac:dyDescent="0.25">
      <c r="A2235" s="7">
        <v>44583</v>
      </c>
      <c r="B2235" s="8" t="s">
        <v>2597</v>
      </c>
      <c r="C2235" s="9" t="s">
        <v>89</v>
      </c>
      <c r="D2235" s="10">
        <v>1876.4</v>
      </c>
      <c r="E2235" s="11">
        <v>44585</v>
      </c>
      <c r="F2235" s="10">
        <v>1876.4</v>
      </c>
      <c r="G2235" s="12">
        <f>Tabla1[[#This Row],[Importe]]-Tabla1[[#This Row],[Pagado]]</f>
        <v>0</v>
      </c>
      <c r="H2235" s="9" t="s">
        <v>10</v>
      </c>
    </row>
    <row r="2236" spans="1:8" x14ac:dyDescent="0.25">
      <c r="A2236" s="7">
        <v>44583</v>
      </c>
      <c r="B2236" s="8" t="s">
        <v>2598</v>
      </c>
      <c r="C2236" s="9" t="s">
        <v>39</v>
      </c>
      <c r="D2236" s="10">
        <v>3442.8</v>
      </c>
      <c r="E2236" s="11">
        <v>44586</v>
      </c>
      <c r="F2236" s="10">
        <v>3442.8</v>
      </c>
      <c r="G2236" s="12">
        <f>Tabla1[[#This Row],[Importe]]-Tabla1[[#This Row],[Pagado]]</f>
        <v>0</v>
      </c>
      <c r="H2236" s="9" t="s">
        <v>10</v>
      </c>
    </row>
    <row r="2237" spans="1:8" x14ac:dyDescent="0.25">
      <c r="A2237" s="7">
        <v>44583</v>
      </c>
      <c r="B2237" s="8" t="s">
        <v>2599</v>
      </c>
      <c r="C2237" s="9" t="s">
        <v>127</v>
      </c>
      <c r="D2237" s="10">
        <v>4598.3</v>
      </c>
      <c r="E2237" s="11">
        <v>44584</v>
      </c>
      <c r="F2237" s="10">
        <v>4598.3</v>
      </c>
      <c r="G2237" s="12">
        <f>Tabla1[[#This Row],[Importe]]-Tabla1[[#This Row],[Pagado]]</f>
        <v>0</v>
      </c>
      <c r="H2237" s="9" t="s">
        <v>10</v>
      </c>
    </row>
    <row r="2238" spans="1:8" x14ac:dyDescent="0.25">
      <c r="A2238" s="7">
        <v>44583</v>
      </c>
      <c r="B2238" s="8" t="s">
        <v>2600</v>
      </c>
      <c r="C2238" s="9" t="s">
        <v>129</v>
      </c>
      <c r="D2238" s="10">
        <v>4560.7</v>
      </c>
      <c r="E2238" s="11">
        <v>44584</v>
      </c>
      <c r="F2238" s="10">
        <v>4560.7</v>
      </c>
      <c r="G2238" s="12">
        <f>Tabla1[[#This Row],[Importe]]-Tabla1[[#This Row],[Pagado]]</f>
        <v>0</v>
      </c>
      <c r="H2238" s="9" t="s">
        <v>10</v>
      </c>
    </row>
    <row r="2239" spans="1:8" x14ac:dyDescent="0.25">
      <c r="A2239" s="7">
        <v>44583</v>
      </c>
      <c r="B2239" s="8" t="s">
        <v>2601</v>
      </c>
      <c r="C2239" s="9" t="s">
        <v>140</v>
      </c>
      <c r="D2239" s="10">
        <v>2144.1</v>
      </c>
      <c r="E2239" s="11">
        <v>44584</v>
      </c>
      <c r="F2239" s="10">
        <v>2144.1</v>
      </c>
      <c r="G2239" s="12">
        <f>Tabla1[[#This Row],[Importe]]-Tabla1[[#This Row],[Pagado]]</f>
        <v>0</v>
      </c>
      <c r="H2239" s="9" t="s">
        <v>10</v>
      </c>
    </row>
    <row r="2240" spans="1:8" x14ac:dyDescent="0.25">
      <c r="A2240" s="7">
        <v>44583</v>
      </c>
      <c r="B2240" s="8" t="s">
        <v>2602</v>
      </c>
      <c r="C2240" s="9" t="s">
        <v>47</v>
      </c>
      <c r="D2240" s="10">
        <v>44725.919999999998</v>
      </c>
      <c r="E2240" s="11">
        <v>44583</v>
      </c>
      <c r="F2240" s="10">
        <v>44725.919999999998</v>
      </c>
      <c r="G2240" s="12">
        <f>Tabla1[[#This Row],[Importe]]-Tabla1[[#This Row],[Pagado]]</f>
        <v>0</v>
      </c>
      <c r="H2240" s="9" t="s">
        <v>10</v>
      </c>
    </row>
    <row r="2241" spans="1:8" x14ac:dyDescent="0.25">
      <c r="A2241" s="7">
        <v>44583</v>
      </c>
      <c r="B2241" s="8" t="s">
        <v>2603</v>
      </c>
      <c r="C2241" s="9" t="s">
        <v>161</v>
      </c>
      <c r="D2241" s="10">
        <v>761.1</v>
      </c>
      <c r="E2241" s="11">
        <v>44583</v>
      </c>
      <c r="F2241" s="10">
        <v>761.1</v>
      </c>
      <c r="G2241" s="12">
        <f>Tabla1[[#This Row],[Importe]]-Tabla1[[#This Row],[Pagado]]</f>
        <v>0</v>
      </c>
      <c r="H2241" s="9" t="s">
        <v>10</v>
      </c>
    </row>
    <row r="2242" spans="1:8" x14ac:dyDescent="0.25">
      <c r="A2242" s="7">
        <v>44583</v>
      </c>
      <c r="B2242" s="8" t="s">
        <v>2604</v>
      </c>
      <c r="C2242" s="9" t="s">
        <v>513</v>
      </c>
      <c r="D2242" s="10">
        <v>7742.6</v>
      </c>
      <c r="E2242" s="11">
        <v>44583</v>
      </c>
      <c r="F2242" s="10">
        <v>7742.6</v>
      </c>
      <c r="G2242" s="12">
        <f>Tabla1[[#This Row],[Importe]]-Tabla1[[#This Row],[Pagado]]</f>
        <v>0</v>
      </c>
      <c r="H2242" s="9" t="s">
        <v>10</v>
      </c>
    </row>
    <row r="2243" spans="1:8" ht="30" x14ac:dyDescent="0.25">
      <c r="A2243" s="7">
        <v>44583</v>
      </c>
      <c r="B2243" s="8" t="s">
        <v>2605</v>
      </c>
      <c r="C2243" s="9" t="s">
        <v>105</v>
      </c>
      <c r="D2243" s="10">
        <v>15208.8</v>
      </c>
      <c r="E2243" s="11" t="s">
        <v>2606</v>
      </c>
      <c r="F2243" s="10">
        <f>10000+5208.8</f>
        <v>15208.8</v>
      </c>
      <c r="G2243" s="12">
        <f>Tabla1[[#This Row],[Importe]]-Tabla1[[#This Row],[Pagado]]</f>
        <v>0</v>
      </c>
      <c r="H2243" s="9" t="s">
        <v>10</v>
      </c>
    </row>
    <row r="2244" spans="1:8" x14ac:dyDescent="0.25">
      <c r="A2244" s="7">
        <v>44583</v>
      </c>
      <c r="B2244" s="8" t="s">
        <v>2607</v>
      </c>
      <c r="C2244" s="9" t="s">
        <v>29</v>
      </c>
      <c r="D2244" s="10">
        <v>5875.2</v>
      </c>
      <c r="E2244" s="11">
        <v>44583</v>
      </c>
      <c r="F2244" s="10">
        <v>5875.2</v>
      </c>
      <c r="G2244" s="12">
        <f>Tabla1[[#This Row],[Importe]]-Tabla1[[#This Row],[Pagado]]</f>
        <v>0</v>
      </c>
      <c r="H2244" s="9" t="s">
        <v>10</v>
      </c>
    </row>
    <row r="2245" spans="1:8" x14ac:dyDescent="0.25">
      <c r="A2245" s="7">
        <v>44583</v>
      </c>
      <c r="B2245" s="8" t="s">
        <v>2608</v>
      </c>
      <c r="C2245" s="9" t="s">
        <v>16</v>
      </c>
      <c r="D2245" s="10">
        <v>4817.1000000000004</v>
      </c>
      <c r="E2245" s="11">
        <v>44583</v>
      </c>
      <c r="F2245" s="10">
        <v>4817.1000000000004</v>
      </c>
      <c r="G2245" s="12">
        <f>Tabla1[[#This Row],[Importe]]-Tabla1[[#This Row],[Pagado]]</f>
        <v>0</v>
      </c>
      <c r="H2245" s="9" t="s">
        <v>10</v>
      </c>
    </row>
    <row r="2246" spans="1:8" x14ac:dyDescent="0.25">
      <c r="A2246" s="7">
        <v>44583</v>
      </c>
      <c r="B2246" s="8" t="s">
        <v>2609</v>
      </c>
      <c r="C2246" s="9" t="s">
        <v>146</v>
      </c>
      <c r="D2246" s="10">
        <v>8270.4</v>
      </c>
      <c r="E2246" s="11">
        <v>44584</v>
      </c>
      <c r="F2246" s="10">
        <v>8270.4</v>
      </c>
      <c r="G2246" s="12">
        <f>Tabla1[[#This Row],[Importe]]-Tabla1[[#This Row],[Pagado]]</f>
        <v>0</v>
      </c>
      <c r="H2246" s="9" t="s">
        <v>10</v>
      </c>
    </row>
    <row r="2247" spans="1:8" x14ac:dyDescent="0.25">
      <c r="A2247" s="7">
        <v>44583</v>
      </c>
      <c r="B2247" s="8" t="s">
        <v>2610</v>
      </c>
      <c r="C2247" s="9" t="s">
        <v>49</v>
      </c>
      <c r="D2247" s="10">
        <v>3007.8</v>
      </c>
      <c r="E2247" s="11">
        <v>44583</v>
      </c>
      <c r="F2247" s="10">
        <v>3007.8</v>
      </c>
      <c r="G2247" s="12">
        <f>Tabla1[[#This Row],[Importe]]-Tabla1[[#This Row],[Pagado]]</f>
        <v>0</v>
      </c>
      <c r="H2247" s="9" t="s">
        <v>10</v>
      </c>
    </row>
    <row r="2248" spans="1:8" x14ac:dyDescent="0.25">
      <c r="A2248" s="7">
        <v>44583</v>
      </c>
      <c r="B2248" s="8" t="s">
        <v>2611</v>
      </c>
      <c r="C2248" s="9" t="s">
        <v>373</v>
      </c>
      <c r="D2248" s="10">
        <v>3180.8</v>
      </c>
      <c r="E2248" s="11">
        <v>44583</v>
      </c>
      <c r="F2248" s="10">
        <v>3180.8</v>
      </c>
      <c r="G2248" s="12">
        <f>Tabla1[[#This Row],[Importe]]-Tabla1[[#This Row],[Pagado]]</f>
        <v>0</v>
      </c>
      <c r="H2248" s="9" t="s">
        <v>10</v>
      </c>
    </row>
    <row r="2249" spans="1:8" x14ac:dyDescent="0.25">
      <c r="A2249" s="7">
        <v>44583</v>
      </c>
      <c r="B2249" s="8" t="s">
        <v>2612</v>
      </c>
      <c r="C2249" s="9" t="s">
        <v>1362</v>
      </c>
      <c r="D2249" s="10">
        <v>3345.6</v>
      </c>
      <c r="E2249" s="11">
        <v>44584</v>
      </c>
      <c r="F2249" s="10">
        <v>3345.6</v>
      </c>
      <c r="G2249" s="12">
        <f>Tabla1[[#This Row],[Importe]]-Tabla1[[#This Row],[Pagado]]</f>
        <v>0</v>
      </c>
      <c r="H2249" s="9" t="s">
        <v>10</v>
      </c>
    </row>
    <row r="2250" spans="1:8" x14ac:dyDescent="0.25">
      <c r="A2250" s="7">
        <v>44583</v>
      </c>
      <c r="B2250" s="8" t="s">
        <v>2613</v>
      </c>
      <c r="C2250" s="9" t="s">
        <v>230</v>
      </c>
      <c r="D2250" s="10">
        <v>4721.3999999999996</v>
      </c>
      <c r="E2250" s="11">
        <v>44583</v>
      </c>
      <c r="F2250" s="10">
        <v>4721.3999999999996</v>
      </c>
      <c r="G2250" s="12">
        <f>Tabla1[[#This Row],[Importe]]-Tabla1[[#This Row],[Pagado]]</f>
        <v>0</v>
      </c>
      <c r="H2250" s="9" t="s">
        <v>10</v>
      </c>
    </row>
    <row r="2251" spans="1:8" x14ac:dyDescent="0.25">
      <c r="A2251" s="7">
        <v>44583</v>
      </c>
      <c r="B2251" s="8" t="s">
        <v>2614</v>
      </c>
      <c r="C2251" s="9" t="s">
        <v>31</v>
      </c>
      <c r="D2251" s="10">
        <v>3159.84</v>
      </c>
      <c r="E2251" s="11">
        <v>44584</v>
      </c>
      <c r="F2251" s="10">
        <v>3159.84</v>
      </c>
      <c r="G2251" s="12">
        <f>Tabla1[[#This Row],[Importe]]-Tabla1[[#This Row],[Pagado]]</f>
        <v>0</v>
      </c>
      <c r="H2251" s="9" t="s">
        <v>10</v>
      </c>
    </row>
    <row r="2252" spans="1:8" x14ac:dyDescent="0.25">
      <c r="A2252" s="7">
        <v>44583</v>
      </c>
      <c r="B2252" s="8" t="s">
        <v>2615</v>
      </c>
      <c r="C2252" s="9" t="s">
        <v>24</v>
      </c>
      <c r="D2252" s="10">
        <v>3580.1</v>
      </c>
      <c r="E2252" s="11">
        <v>44583</v>
      </c>
      <c r="F2252" s="10">
        <v>3580.1</v>
      </c>
      <c r="G2252" s="12">
        <f>Tabla1[[#This Row],[Importe]]-Tabla1[[#This Row],[Pagado]]</f>
        <v>0</v>
      </c>
      <c r="H2252" s="9" t="s">
        <v>10</v>
      </c>
    </row>
    <row r="2253" spans="1:8" x14ac:dyDescent="0.25">
      <c r="A2253" s="7">
        <v>44583</v>
      </c>
      <c r="B2253" s="8" t="s">
        <v>2616</v>
      </c>
      <c r="C2253" s="9" t="s">
        <v>339</v>
      </c>
      <c r="D2253" s="10">
        <v>2093</v>
      </c>
      <c r="E2253" s="11">
        <v>44584</v>
      </c>
      <c r="F2253" s="10">
        <v>2093</v>
      </c>
      <c r="G2253" s="12">
        <f>Tabla1[[#This Row],[Importe]]-Tabla1[[#This Row],[Pagado]]</f>
        <v>0</v>
      </c>
      <c r="H2253" s="9" t="s">
        <v>10</v>
      </c>
    </row>
    <row r="2254" spans="1:8" x14ac:dyDescent="0.25">
      <c r="A2254" s="7">
        <v>44583</v>
      </c>
      <c r="B2254" s="8" t="s">
        <v>2617</v>
      </c>
      <c r="C2254" s="9" t="s">
        <v>45</v>
      </c>
      <c r="D2254" s="10">
        <v>9921.4</v>
      </c>
      <c r="E2254" s="11">
        <v>44583</v>
      </c>
      <c r="F2254" s="10">
        <v>9921.4</v>
      </c>
      <c r="G2254" s="12">
        <f>Tabla1[[#This Row],[Importe]]-Tabla1[[#This Row],[Pagado]]</f>
        <v>0</v>
      </c>
      <c r="H2254" s="9" t="s">
        <v>10</v>
      </c>
    </row>
    <row r="2255" spans="1:8" x14ac:dyDescent="0.25">
      <c r="A2255" s="7">
        <v>44583</v>
      </c>
      <c r="B2255" s="8" t="s">
        <v>2618</v>
      </c>
      <c r="C2255" s="9" t="s">
        <v>179</v>
      </c>
      <c r="D2255" s="10">
        <v>998.4</v>
      </c>
      <c r="E2255" s="11">
        <v>44583</v>
      </c>
      <c r="F2255" s="10">
        <v>998.4</v>
      </c>
      <c r="G2255" s="12">
        <f>Tabla1[[#This Row],[Importe]]-Tabla1[[#This Row],[Pagado]]</f>
        <v>0</v>
      </c>
      <c r="H2255" s="9" t="s">
        <v>10</v>
      </c>
    </row>
    <row r="2256" spans="1:8" x14ac:dyDescent="0.25">
      <c r="A2256" s="7">
        <v>44583</v>
      </c>
      <c r="B2256" s="8" t="s">
        <v>2619</v>
      </c>
      <c r="C2256" s="9" t="s">
        <v>2620</v>
      </c>
      <c r="D2256" s="10">
        <v>0</v>
      </c>
      <c r="E2256" s="13" t="s">
        <v>189</v>
      </c>
      <c r="F2256" s="10">
        <v>0</v>
      </c>
      <c r="G2256" s="12">
        <f>Tabla1[[#This Row],[Importe]]-Tabla1[[#This Row],[Pagado]]</f>
        <v>0</v>
      </c>
      <c r="H2256" s="17" t="s">
        <v>2621</v>
      </c>
    </row>
    <row r="2257" spans="1:8" x14ac:dyDescent="0.25">
      <c r="A2257" s="7">
        <v>44583</v>
      </c>
      <c r="B2257" s="8" t="s">
        <v>2622</v>
      </c>
      <c r="C2257" s="9" t="s">
        <v>1064</v>
      </c>
      <c r="D2257" s="10">
        <v>2628.6</v>
      </c>
      <c r="E2257" s="11">
        <v>44583</v>
      </c>
      <c r="F2257" s="10">
        <v>2628.6</v>
      </c>
      <c r="G2257" s="12">
        <f>Tabla1[[#This Row],[Importe]]-Tabla1[[#This Row],[Pagado]]</f>
        <v>0</v>
      </c>
      <c r="H2257" s="9" t="s">
        <v>10</v>
      </c>
    </row>
    <row r="2258" spans="1:8" x14ac:dyDescent="0.25">
      <c r="A2258" s="7">
        <v>44583</v>
      </c>
      <c r="B2258" s="8" t="s">
        <v>2623</v>
      </c>
      <c r="C2258" s="9" t="s">
        <v>605</v>
      </c>
      <c r="D2258" s="10">
        <v>29234.7</v>
      </c>
      <c r="E2258" s="11">
        <v>44583</v>
      </c>
      <c r="F2258" s="10">
        <v>29234.7</v>
      </c>
      <c r="G2258" s="12">
        <f>Tabla1[[#This Row],[Importe]]-Tabla1[[#This Row],[Pagado]]</f>
        <v>0</v>
      </c>
      <c r="H2258" s="9" t="s">
        <v>10</v>
      </c>
    </row>
    <row r="2259" spans="1:8" x14ac:dyDescent="0.25">
      <c r="A2259" s="7">
        <v>44583</v>
      </c>
      <c r="B2259" s="8" t="s">
        <v>2624</v>
      </c>
      <c r="C2259" s="9" t="s">
        <v>382</v>
      </c>
      <c r="D2259" s="10">
        <v>7267.2</v>
      </c>
      <c r="E2259" s="11">
        <v>44583</v>
      </c>
      <c r="F2259" s="10">
        <v>7267.2</v>
      </c>
      <c r="G2259" s="12">
        <f>Tabla1[[#This Row],[Importe]]-Tabla1[[#This Row],[Pagado]]</f>
        <v>0</v>
      </c>
      <c r="H2259" s="9" t="s">
        <v>10</v>
      </c>
    </row>
    <row r="2260" spans="1:8" x14ac:dyDescent="0.25">
      <c r="A2260" s="7">
        <v>44583</v>
      </c>
      <c r="B2260" s="8" t="s">
        <v>2625</v>
      </c>
      <c r="C2260" s="9" t="s">
        <v>142</v>
      </c>
      <c r="D2260" s="10">
        <v>115953.8</v>
      </c>
      <c r="E2260" s="11">
        <v>44589</v>
      </c>
      <c r="F2260" s="10">
        <v>115953.8</v>
      </c>
      <c r="G2260" s="12">
        <f>Tabla1[[#This Row],[Importe]]-Tabla1[[#This Row],[Pagado]]</f>
        <v>0</v>
      </c>
      <c r="H2260" s="9" t="s">
        <v>10</v>
      </c>
    </row>
    <row r="2261" spans="1:8" x14ac:dyDescent="0.25">
      <c r="A2261" s="7">
        <v>44583</v>
      </c>
      <c r="B2261" s="8" t="s">
        <v>2626</v>
      </c>
      <c r="C2261" s="9" t="s">
        <v>181</v>
      </c>
      <c r="D2261" s="10">
        <v>12585.8</v>
      </c>
      <c r="E2261" s="11">
        <v>44583</v>
      </c>
      <c r="F2261" s="10">
        <v>12585.8</v>
      </c>
      <c r="G2261" s="12">
        <f>Tabla1[[#This Row],[Importe]]-Tabla1[[#This Row],[Pagado]]</f>
        <v>0</v>
      </c>
      <c r="H2261" s="9" t="s">
        <v>10</v>
      </c>
    </row>
    <row r="2262" spans="1:8" x14ac:dyDescent="0.25">
      <c r="A2262" s="7">
        <v>44583</v>
      </c>
      <c r="B2262" s="8" t="s">
        <v>2627</v>
      </c>
      <c r="C2262" s="9" t="s">
        <v>216</v>
      </c>
      <c r="D2262" s="10">
        <v>3074.4</v>
      </c>
      <c r="E2262" s="11">
        <v>44583</v>
      </c>
      <c r="F2262" s="10">
        <v>3074.4</v>
      </c>
      <c r="G2262" s="12">
        <f>Tabla1[[#This Row],[Importe]]-Tabla1[[#This Row],[Pagado]]</f>
        <v>0</v>
      </c>
      <c r="H2262" s="9" t="s">
        <v>10</v>
      </c>
    </row>
    <row r="2263" spans="1:8" x14ac:dyDescent="0.25">
      <c r="A2263" s="7">
        <v>44583</v>
      </c>
      <c r="B2263" s="8" t="s">
        <v>2628</v>
      </c>
      <c r="C2263" s="9" t="s">
        <v>804</v>
      </c>
      <c r="D2263" s="10">
        <v>13959.9</v>
      </c>
      <c r="E2263" s="11">
        <v>44583</v>
      </c>
      <c r="F2263" s="10">
        <v>13959.9</v>
      </c>
      <c r="G2263" s="12">
        <f>Tabla1[[#This Row],[Importe]]-Tabla1[[#This Row],[Pagado]]</f>
        <v>0</v>
      </c>
      <c r="H2263" s="9" t="s">
        <v>10</v>
      </c>
    </row>
    <row r="2264" spans="1:8" x14ac:dyDescent="0.25">
      <c r="A2264" s="7">
        <v>44583</v>
      </c>
      <c r="B2264" s="8" t="s">
        <v>2629</v>
      </c>
      <c r="C2264" s="9" t="s">
        <v>196</v>
      </c>
      <c r="D2264" s="10">
        <v>100279.24</v>
      </c>
      <c r="E2264" s="11">
        <v>44589</v>
      </c>
      <c r="F2264" s="10">
        <v>100279.24</v>
      </c>
      <c r="G2264" s="12">
        <f>Tabla1[[#This Row],[Importe]]-Tabla1[[#This Row],[Pagado]]</f>
        <v>0</v>
      </c>
      <c r="H2264" s="9" t="s">
        <v>10</v>
      </c>
    </row>
    <row r="2265" spans="1:8" x14ac:dyDescent="0.25">
      <c r="A2265" s="7">
        <v>44583</v>
      </c>
      <c r="B2265" s="8" t="s">
        <v>2630</v>
      </c>
      <c r="C2265" s="9" t="s">
        <v>357</v>
      </c>
      <c r="D2265" s="10">
        <v>3782.4</v>
      </c>
      <c r="E2265" s="11">
        <v>44584</v>
      </c>
      <c r="F2265" s="10">
        <v>3782.4</v>
      </c>
      <c r="G2265" s="12">
        <f>Tabla1[[#This Row],[Importe]]-Tabla1[[#This Row],[Pagado]]</f>
        <v>0</v>
      </c>
      <c r="H2265" s="9" t="s">
        <v>10</v>
      </c>
    </row>
    <row r="2266" spans="1:8" x14ac:dyDescent="0.25">
      <c r="A2266" s="7">
        <v>44583</v>
      </c>
      <c r="B2266" s="8" t="s">
        <v>2631</v>
      </c>
      <c r="C2266" s="9" t="s">
        <v>149</v>
      </c>
      <c r="D2266" s="10">
        <v>560</v>
      </c>
      <c r="E2266" s="11">
        <v>44583</v>
      </c>
      <c r="F2266" s="10">
        <v>560</v>
      </c>
      <c r="G2266" s="12">
        <f>Tabla1[[#This Row],[Importe]]-Tabla1[[#This Row],[Pagado]]</f>
        <v>0</v>
      </c>
      <c r="H2266" s="9" t="s">
        <v>10</v>
      </c>
    </row>
    <row r="2267" spans="1:8" x14ac:dyDescent="0.25">
      <c r="A2267" s="7">
        <v>44583</v>
      </c>
      <c r="B2267" s="8" t="s">
        <v>2632</v>
      </c>
      <c r="C2267" s="9" t="s">
        <v>62</v>
      </c>
      <c r="D2267" s="10">
        <v>3500.8</v>
      </c>
      <c r="E2267" s="11">
        <v>44583</v>
      </c>
      <c r="F2267" s="10">
        <v>3500.8</v>
      </c>
      <c r="G2267" s="12">
        <f>Tabla1[[#This Row],[Importe]]-Tabla1[[#This Row],[Pagado]]</f>
        <v>0</v>
      </c>
      <c r="H2267" s="9" t="s">
        <v>10</v>
      </c>
    </row>
    <row r="2268" spans="1:8" x14ac:dyDescent="0.25">
      <c r="A2268" s="7">
        <v>44583</v>
      </c>
      <c r="B2268" s="8" t="s">
        <v>2633</v>
      </c>
      <c r="C2268" s="9" t="s">
        <v>125</v>
      </c>
      <c r="D2268" s="10">
        <v>3477.6</v>
      </c>
      <c r="E2268" s="11">
        <v>44584</v>
      </c>
      <c r="F2268" s="10">
        <v>3477.6</v>
      </c>
      <c r="G2268" s="12">
        <f>Tabla1[[#This Row],[Importe]]-Tabla1[[#This Row],[Pagado]]</f>
        <v>0</v>
      </c>
      <c r="H2268" s="9" t="s">
        <v>10</v>
      </c>
    </row>
    <row r="2269" spans="1:8" x14ac:dyDescent="0.25">
      <c r="A2269" s="7">
        <v>44583</v>
      </c>
      <c r="B2269" s="8" t="s">
        <v>2634</v>
      </c>
      <c r="C2269" s="9" t="s">
        <v>1676</v>
      </c>
      <c r="D2269" s="10">
        <v>2030.4</v>
      </c>
      <c r="E2269" s="11">
        <v>44583</v>
      </c>
      <c r="F2269" s="10">
        <v>2030.4</v>
      </c>
      <c r="G2269" s="12">
        <f>Tabla1[[#This Row],[Importe]]-Tabla1[[#This Row],[Pagado]]</f>
        <v>0</v>
      </c>
      <c r="H2269" s="9" t="s">
        <v>10</v>
      </c>
    </row>
    <row r="2270" spans="1:8" x14ac:dyDescent="0.25">
      <c r="A2270" s="7">
        <v>44583</v>
      </c>
      <c r="B2270" s="8" t="s">
        <v>2635</v>
      </c>
      <c r="C2270" s="9" t="s">
        <v>555</v>
      </c>
      <c r="D2270" s="10">
        <v>36600</v>
      </c>
      <c r="E2270" s="11">
        <v>44584</v>
      </c>
      <c r="F2270" s="10">
        <v>36600</v>
      </c>
      <c r="G2270" s="12">
        <f>Tabla1[[#This Row],[Importe]]-Tabla1[[#This Row],[Pagado]]</f>
        <v>0</v>
      </c>
      <c r="H2270" s="9" t="s">
        <v>10</v>
      </c>
    </row>
    <row r="2271" spans="1:8" x14ac:dyDescent="0.25">
      <c r="A2271" s="7">
        <v>44583</v>
      </c>
      <c r="B2271" s="8" t="s">
        <v>2636</v>
      </c>
      <c r="C2271" s="9" t="s">
        <v>298</v>
      </c>
      <c r="D2271" s="10">
        <v>10750</v>
      </c>
      <c r="E2271" s="11">
        <v>44583</v>
      </c>
      <c r="F2271" s="10">
        <v>10750</v>
      </c>
      <c r="G2271" s="12">
        <f>Tabla1[[#This Row],[Importe]]-Tabla1[[#This Row],[Pagado]]</f>
        <v>0</v>
      </c>
      <c r="H2271" s="9" t="s">
        <v>10</v>
      </c>
    </row>
    <row r="2272" spans="1:8" x14ac:dyDescent="0.25">
      <c r="A2272" s="7">
        <v>44583</v>
      </c>
      <c r="B2272" s="8" t="s">
        <v>2637</v>
      </c>
      <c r="C2272" s="9" t="s">
        <v>380</v>
      </c>
      <c r="D2272" s="10">
        <v>9602.4</v>
      </c>
      <c r="E2272" s="11">
        <v>44584</v>
      </c>
      <c r="F2272" s="10">
        <v>9602.4</v>
      </c>
      <c r="G2272" s="12">
        <f>Tabla1[[#This Row],[Importe]]-Tabla1[[#This Row],[Pagado]]</f>
        <v>0</v>
      </c>
      <c r="H2272" s="9" t="s">
        <v>10</v>
      </c>
    </row>
    <row r="2273" spans="1:8" x14ac:dyDescent="0.25">
      <c r="A2273" s="7">
        <v>44583</v>
      </c>
      <c r="B2273" s="8" t="s">
        <v>2638</v>
      </c>
      <c r="C2273" s="9" t="s">
        <v>371</v>
      </c>
      <c r="D2273" s="10">
        <v>11504.5</v>
      </c>
      <c r="E2273" s="11">
        <v>44584</v>
      </c>
      <c r="F2273" s="10">
        <v>11504.5</v>
      </c>
      <c r="G2273" s="12">
        <f>Tabla1[[#This Row],[Importe]]-Tabla1[[#This Row],[Pagado]]</f>
        <v>0</v>
      </c>
      <c r="H2273" s="9" t="s">
        <v>10</v>
      </c>
    </row>
    <row r="2274" spans="1:8" x14ac:dyDescent="0.25">
      <c r="A2274" s="7">
        <v>44583</v>
      </c>
      <c r="B2274" s="8" t="s">
        <v>2639</v>
      </c>
      <c r="C2274" s="9" t="s">
        <v>698</v>
      </c>
      <c r="D2274" s="10">
        <v>2690.2</v>
      </c>
      <c r="E2274" s="11">
        <v>44583</v>
      </c>
      <c r="F2274" s="10">
        <v>2690.2</v>
      </c>
      <c r="G2274" s="12">
        <f>Tabla1[[#This Row],[Importe]]-Tabla1[[#This Row],[Pagado]]</f>
        <v>0</v>
      </c>
      <c r="H2274" s="9" t="s">
        <v>10</v>
      </c>
    </row>
    <row r="2275" spans="1:8" ht="30" x14ac:dyDescent="0.25">
      <c r="A2275" s="7">
        <v>44583</v>
      </c>
      <c r="B2275" s="8" t="s">
        <v>2640</v>
      </c>
      <c r="C2275" s="9" t="s">
        <v>275</v>
      </c>
      <c r="D2275" s="10">
        <v>123923.9</v>
      </c>
      <c r="E2275" s="11" t="s">
        <v>3647</v>
      </c>
      <c r="F2275" s="10">
        <f>100290.33+23633.57</f>
        <v>123923.9</v>
      </c>
      <c r="G2275" s="12">
        <f>Tabla1[[#This Row],[Importe]]-Tabla1[[#This Row],[Pagado]]</f>
        <v>0</v>
      </c>
      <c r="H2275" s="9" t="s">
        <v>10</v>
      </c>
    </row>
    <row r="2276" spans="1:8" x14ac:dyDescent="0.25">
      <c r="A2276" s="7">
        <v>44583</v>
      </c>
      <c r="B2276" s="8" t="s">
        <v>2641</v>
      </c>
      <c r="C2276" s="9" t="s">
        <v>107</v>
      </c>
      <c r="D2276" s="10">
        <v>18074.8</v>
      </c>
      <c r="E2276" s="11">
        <v>44583</v>
      </c>
      <c r="F2276" s="10">
        <v>18074.8</v>
      </c>
      <c r="G2276" s="12">
        <f>Tabla1[[#This Row],[Importe]]-Tabla1[[#This Row],[Pagado]]</f>
        <v>0</v>
      </c>
      <c r="H2276" s="9" t="s">
        <v>10</v>
      </c>
    </row>
    <row r="2277" spans="1:8" x14ac:dyDescent="0.25">
      <c r="A2277" s="7">
        <v>44583</v>
      </c>
      <c r="B2277" s="8" t="s">
        <v>2642</v>
      </c>
      <c r="C2277" s="9" t="s">
        <v>1313</v>
      </c>
      <c r="D2277" s="10">
        <v>4452.8</v>
      </c>
      <c r="E2277" s="11">
        <v>44583</v>
      </c>
      <c r="F2277" s="10">
        <v>4452.8</v>
      </c>
      <c r="G2277" s="12">
        <f>Tabla1[[#This Row],[Importe]]-Tabla1[[#This Row],[Pagado]]</f>
        <v>0</v>
      </c>
      <c r="H2277" s="9" t="s">
        <v>10</v>
      </c>
    </row>
    <row r="2278" spans="1:8" x14ac:dyDescent="0.25">
      <c r="A2278" s="7">
        <v>44583</v>
      </c>
      <c r="B2278" s="8" t="s">
        <v>2643</v>
      </c>
      <c r="C2278" s="9" t="s">
        <v>135</v>
      </c>
      <c r="D2278" s="10">
        <v>1098.9000000000001</v>
      </c>
      <c r="E2278" s="11">
        <v>44583</v>
      </c>
      <c r="F2278" s="10">
        <v>1098.9000000000001</v>
      </c>
      <c r="G2278" s="12">
        <f>Tabla1[[#This Row],[Importe]]-Tabla1[[#This Row],[Pagado]]</f>
        <v>0</v>
      </c>
      <c r="H2278" s="9" t="s">
        <v>10</v>
      </c>
    </row>
    <row r="2279" spans="1:8" x14ac:dyDescent="0.25">
      <c r="A2279" s="7">
        <v>44583</v>
      </c>
      <c r="B2279" s="8" t="s">
        <v>2644</v>
      </c>
      <c r="C2279" s="9" t="s">
        <v>414</v>
      </c>
      <c r="D2279" s="10">
        <v>9705.6</v>
      </c>
      <c r="E2279" s="11">
        <v>44583</v>
      </c>
      <c r="F2279" s="10">
        <v>9705.6</v>
      </c>
      <c r="G2279" s="12">
        <f>Tabla1[[#This Row],[Importe]]-Tabla1[[#This Row],[Pagado]]</f>
        <v>0</v>
      </c>
      <c r="H2279" s="9" t="s">
        <v>10</v>
      </c>
    </row>
    <row r="2280" spans="1:8" x14ac:dyDescent="0.25">
      <c r="A2280" s="7">
        <v>44583</v>
      </c>
      <c r="B2280" s="8" t="s">
        <v>2645</v>
      </c>
      <c r="C2280" s="9" t="s">
        <v>237</v>
      </c>
      <c r="D2280" s="10">
        <v>2339.1</v>
      </c>
      <c r="E2280" s="11">
        <v>44583</v>
      </c>
      <c r="F2280" s="10">
        <v>2339.1</v>
      </c>
      <c r="G2280" s="12">
        <f>Tabla1[[#This Row],[Importe]]-Tabla1[[#This Row],[Pagado]]</f>
        <v>0</v>
      </c>
      <c r="H2280" s="9" t="s">
        <v>10</v>
      </c>
    </row>
    <row r="2281" spans="1:8" x14ac:dyDescent="0.25">
      <c r="A2281" s="7">
        <v>44583</v>
      </c>
      <c r="B2281" s="8" t="s">
        <v>2646</v>
      </c>
      <c r="C2281" s="9" t="s">
        <v>233</v>
      </c>
      <c r="D2281" s="10">
        <v>3426.3</v>
      </c>
      <c r="E2281" s="11">
        <v>44583</v>
      </c>
      <c r="F2281" s="10">
        <v>3426.3</v>
      </c>
      <c r="G2281" s="12">
        <f>Tabla1[[#This Row],[Importe]]-Tabla1[[#This Row],[Pagado]]</f>
        <v>0</v>
      </c>
      <c r="H2281" s="9" t="s">
        <v>10</v>
      </c>
    </row>
    <row r="2282" spans="1:8" x14ac:dyDescent="0.25">
      <c r="A2282" s="7">
        <v>44583</v>
      </c>
      <c r="B2282" s="8" t="s">
        <v>2647</v>
      </c>
      <c r="C2282" s="9" t="s">
        <v>169</v>
      </c>
      <c r="D2282" s="10">
        <v>882</v>
      </c>
      <c r="E2282" s="11">
        <v>44583</v>
      </c>
      <c r="F2282" s="10">
        <v>882</v>
      </c>
      <c r="G2282" s="12">
        <f>Tabla1[[#This Row],[Importe]]-Tabla1[[#This Row],[Pagado]]</f>
        <v>0</v>
      </c>
      <c r="H2282" s="9" t="s">
        <v>10</v>
      </c>
    </row>
    <row r="2283" spans="1:8" x14ac:dyDescent="0.25">
      <c r="A2283" s="7">
        <v>44583</v>
      </c>
      <c r="B2283" s="8" t="s">
        <v>2648</v>
      </c>
      <c r="C2283" s="9" t="s">
        <v>69</v>
      </c>
      <c r="D2283" s="10">
        <v>2443.1999999999998</v>
      </c>
      <c r="E2283" s="11">
        <v>44583</v>
      </c>
      <c r="F2283" s="10">
        <v>2443.1999999999998</v>
      </c>
      <c r="G2283" s="12">
        <f>Tabla1[[#This Row],[Importe]]-Tabla1[[#This Row],[Pagado]]</f>
        <v>0</v>
      </c>
      <c r="H2283" s="9" t="s">
        <v>10</v>
      </c>
    </row>
    <row r="2284" spans="1:8" x14ac:dyDescent="0.25">
      <c r="A2284" s="7">
        <v>44583</v>
      </c>
      <c r="B2284" s="8" t="s">
        <v>2649</v>
      </c>
      <c r="C2284" s="9" t="s">
        <v>125</v>
      </c>
      <c r="D2284" s="10">
        <v>1859.4</v>
      </c>
      <c r="E2284" s="11">
        <v>44583</v>
      </c>
      <c r="F2284" s="10">
        <v>1859.4</v>
      </c>
      <c r="G2284" s="12">
        <f>Tabla1[[#This Row],[Importe]]-Tabla1[[#This Row],[Pagado]]</f>
        <v>0</v>
      </c>
      <c r="H2284" s="9" t="s">
        <v>10</v>
      </c>
    </row>
    <row r="2285" spans="1:8" x14ac:dyDescent="0.25">
      <c r="A2285" s="7">
        <v>44583</v>
      </c>
      <c r="B2285" s="8" t="s">
        <v>2650</v>
      </c>
      <c r="C2285" s="9" t="s">
        <v>224</v>
      </c>
      <c r="D2285" s="10">
        <v>420</v>
      </c>
      <c r="E2285" s="11">
        <v>44583</v>
      </c>
      <c r="F2285" s="10">
        <v>420</v>
      </c>
      <c r="G2285" s="12">
        <f>Tabla1[[#This Row],[Importe]]-Tabla1[[#This Row],[Pagado]]</f>
        <v>0</v>
      </c>
      <c r="H2285" s="9" t="s">
        <v>10</v>
      </c>
    </row>
    <row r="2286" spans="1:8" x14ac:dyDescent="0.25">
      <c r="A2286" s="7">
        <v>44583</v>
      </c>
      <c r="B2286" s="8" t="s">
        <v>2651</v>
      </c>
      <c r="C2286" s="9" t="s">
        <v>47</v>
      </c>
      <c r="D2286" s="10">
        <v>3820.8</v>
      </c>
      <c r="E2286" s="11">
        <v>44583</v>
      </c>
      <c r="F2286" s="10">
        <v>3820.8</v>
      </c>
      <c r="G2286" s="12">
        <f>Tabla1[[#This Row],[Importe]]-Tabla1[[#This Row],[Pagado]]</f>
        <v>0</v>
      </c>
      <c r="H2286" s="9" t="s">
        <v>10</v>
      </c>
    </row>
    <row r="2287" spans="1:8" x14ac:dyDescent="0.25">
      <c r="A2287" s="7">
        <v>44583</v>
      </c>
      <c r="B2287" s="8" t="s">
        <v>2652</v>
      </c>
      <c r="C2287" s="9" t="s">
        <v>16</v>
      </c>
      <c r="D2287" s="10">
        <v>1382.5</v>
      </c>
      <c r="E2287" s="11">
        <v>44583</v>
      </c>
      <c r="F2287" s="10">
        <v>1382.5</v>
      </c>
      <c r="G2287" s="12">
        <f>Tabla1[[#This Row],[Importe]]-Tabla1[[#This Row],[Pagado]]</f>
        <v>0</v>
      </c>
      <c r="H2287" s="9" t="s">
        <v>10</v>
      </c>
    </row>
    <row r="2288" spans="1:8" x14ac:dyDescent="0.25">
      <c r="A2288" s="7">
        <v>44583</v>
      </c>
      <c r="B2288" s="8" t="s">
        <v>2653</v>
      </c>
      <c r="C2288" s="9" t="s">
        <v>244</v>
      </c>
      <c r="D2288" s="10">
        <v>1499.6</v>
      </c>
      <c r="E2288" s="11">
        <v>44583</v>
      </c>
      <c r="F2288" s="10">
        <v>1499.6</v>
      </c>
      <c r="G2288" s="12">
        <f>Tabla1[[#This Row],[Importe]]-Tabla1[[#This Row],[Pagado]]</f>
        <v>0</v>
      </c>
      <c r="H2288" s="9" t="s">
        <v>10</v>
      </c>
    </row>
    <row r="2289" spans="1:8" x14ac:dyDescent="0.25">
      <c r="A2289" s="7">
        <v>44583</v>
      </c>
      <c r="B2289" s="8" t="s">
        <v>2654</v>
      </c>
      <c r="C2289" s="9" t="s">
        <v>414</v>
      </c>
      <c r="D2289" s="10">
        <v>4.6500000000000004</v>
      </c>
      <c r="E2289" s="11">
        <v>44588</v>
      </c>
      <c r="F2289" s="10">
        <v>4.6500000000000004</v>
      </c>
      <c r="G2289" s="12">
        <f>Tabla1[[#This Row],[Importe]]-Tabla1[[#This Row],[Pagado]]</f>
        <v>0</v>
      </c>
      <c r="H2289" s="9" t="s">
        <v>10</v>
      </c>
    </row>
    <row r="2290" spans="1:8" x14ac:dyDescent="0.25">
      <c r="A2290" s="7">
        <v>44583</v>
      </c>
      <c r="B2290" s="8" t="s">
        <v>2655</v>
      </c>
      <c r="C2290" s="9" t="s">
        <v>414</v>
      </c>
      <c r="D2290" s="10">
        <v>4.5599999999999996</v>
      </c>
      <c r="E2290" s="11">
        <v>44596</v>
      </c>
      <c r="F2290" s="10">
        <v>4.5599999999999996</v>
      </c>
      <c r="G2290" s="12">
        <f>Tabla1[[#This Row],[Importe]]-Tabla1[[#This Row],[Pagado]]</f>
        <v>0</v>
      </c>
      <c r="H2290" s="9" t="s">
        <v>10</v>
      </c>
    </row>
    <row r="2291" spans="1:8" x14ac:dyDescent="0.25">
      <c r="A2291" s="7">
        <v>44583</v>
      </c>
      <c r="B2291" s="8" t="s">
        <v>2656</v>
      </c>
      <c r="C2291" s="9" t="s">
        <v>142</v>
      </c>
      <c r="D2291" s="10">
        <v>420</v>
      </c>
      <c r="E2291" s="11">
        <v>44589</v>
      </c>
      <c r="F2291" s="10">
        <v>420</v>
      </c>
      <c r="G2291" s="12">
        <f>Tabla1[[#This Row],[Importe]]-Tabla1[[#This Row],[Pagado]]</f>
        <v>0</v>
      </c>
      <c r="H2291" s="9" t="s">
        <v>10</v>
      </c>
    </row>
    <row r="2292" spans="1:8" x14ac:dyDescent="0.25">
      <c r="A2292" s="7">
        <v>44583</v>
      </c>
      <c r="B2292" s="8" t="s">
        <v>2657</v>
      </c>
      <c r="C2292" s="9" t="s">
        <v>214</v>
      </c>
      <c r="D2292" s="10">
        <v>1406.4</v>
      </c>
      <c r="E2292" s="11">
        <v>44583</v>
      </c>
      <c r="F2292" s="10">
        <v>1406.4</v>
      </c>
      <c r="G2292" s="12">
        <f>Tabla1[[#This Row],[Importe]]-Tabla1[[#This Row],[Pagado]]</f>
        <v>0</v>
      </c>
      <c r="H2292" s="9" t="s">
        <v>10</v>
      </c>
    </row>
    <row r="2293" spans="1:8" x14ac:dyDescent="0.25">
      <c r="A2293" s="7">
        <v>44583</v>
      </c>
      <c r="B2293" s="8" t="s">
        <v>2658</v>
      </c>
      <c r="C2293" s="9" t="s">
        <v>284</v>
      </c>
      <c r="D2293" s="10">
        <v>9585.6</v>
      </c>
      <c r="E2293" s="11">
        <v>44584</v>
      </c>
      <c r="F2293" s="10">
        <v>9585.6</v>
      </c>
      <c r="G2293" s="12">
        <f>Tabla1[[#This Row],[Importe]]-Tabla1[[#This Row],[Pagado]]</f>
        <v>0</v>
      </c>
      <c r="H2293" s="9" t="s">
        <v>10</v>
      </c>
    </row>
    <row r="2294" spans="1:8" x14ac:dyDescent="0.25">
      <c r="A2294" s="7">
        <v>44583</v>
      </c>
      <c r="B2294" s="8" t="s">
        <v>2659</v>
      </c>
      <c r="C2294" s="9" t="s">
        <v>431</v>
      </c>
      <c r="D2294" s="10">
        <v>888</v>
      </c>
      <c r="E2294" s="11">
        <v>44584</v>
      </c>
      <c r="F2294" s="10">
        <v>888</v>
      </c>
      <c r="G2294" s="12">
        <f>Tabla1[[#This Row],[Importe]]-Tabla1[[#This Row],[Pagado]]</f>
        <v>0</v>
      </c>
      <c r="H2294" s="9" t="s">
        <v>10</v>
      </c>
    </row>
    <row r="2295" spans="1:8" x14ac:dyDescent="0.25">
      <c r="A2295" s="7">
        <v>44583</v>
      </c>
      <c r="B2295" s="8" t="s">
        <v>2660</v>
      </c>
      <c r="C2295" s="9" t="s">
        <v>282</v>
      </c>
      <c r="D2295" s="10">
        <v>5083.2</v>
      </c>
      <c r="E2295" s="11">
        <v>44584</v>
      </c>
      <c r="F2295" s="10">
        <v>5083.2</v>
      </c>
      <c r="G2295" s="12">
        <f>Tabla1[[#This Row],[Importe]]-Tabla1[[#This Row],[Pagado]]</f>
        <v>0</v>
      </c>
      <c r="H2295" s="9" t="s">
        <v>10</v>
      </c>
    </row>
    <row r="2296" spans="1:8" x14ac:dyDescent="0.25">
      <c r="A2296" s="7">
        <v>44583</v>
      </c>
      <c r="B2296" s="8" t="s">
        <v>2661</v>
      </c>
      <c r="C2296" s="9" t="s">
        <v>1064</v>
      </c>
      <c r="D2296" s="10">
        <v>1647</v>
      </c>
      <c r="E2296" s="11">
        <v>44583</v>
      </c>
      <c r="F2296" s="10">
        <v>1647</v>
      </c>
      <c r="G2296" s="12">
        <f>Tabla1[[#This Row],[Importe]]-Tabla1[[#This Row],[Pagado]]</f>
        <v>0</v>
      </c>
      <c r="H2296" s="9" t="s">
        <v>10</v>
      </c>
    </row>
    <row r="2297" spans="1:8" x14ac:dyDescent="0.25">
      <c r="A2297" s="7">
        <v>44583</v>
      </c>
      <c r="B2297" s="8" t="s">
        <v>2662</v>
      </c>
      <c r="C2297" s="9" t="s">
        <v>71</v>
      </c>
      <c r="D2297" s="10">
        <v>617.6</v>
      </c>
      <c r="E2297" s="11">
        <v>44583</v>
      </c>
      <c r="F2297" s="10">
        <v>617.6</v>
      </c>
      <c r="G2297" s="12">
        <f>Tabla1[[#This Row],[Importe]]-Tabla1[[#This Row],[Pagado]]</f>
        <v>0</v>
      </c>
      <c r="H2297" s="9" t="s">
        <v>10</v>
      </c>
    </row>
    <row r="2298" spans="1:8" x14ac:dyDescent="0.25">
      <c r="A2298" s="7">
        <v>44583</v>
      </c>
      <c r="B2298" s="8" t="s">
        <v>2663</v>
      </c>
      <c r="C2298" s="9" t="s">
        <v>280</v>
      </c>
      <c r="D2298" s="10">
        <v>1531.2</v>
      </c>
      <c r="E2298" s="11">
        <v>44584</v>
      </c>
      <c r="F2298" s="10">
        <v>1531.2</v>
      </c>
      <c r="G2298" s="12">
        <f>Tabla1[[#This Row],[Importe]]-Tabla1[[#This Row],[Pagado]]</f>
        <v>0</v>
      </c>
      <c r="H2298" s="9" t="s">
        <v>10</v>
      </c>
    </row>
    <row r="2299" spans="1:8" x14ac:dyDescent="0.25">
      <c r="A2299" s="7">
        <v>44583</v>
      </c>
      <c r="B2299" s="8" t="s">
        <v>2664</v>
      </c>
      <c r="C2299" s="9" t="s">
        <v>51</v>
      </c>
      <c r="D2299" s="10">
        <v>4037.8</v>
      </c>
      <c r="E2299" s="11">
        <v>44583</v>
      </c>
      <c r="F2299" s="10">
        <v>4037.8</v>
      </c>
      <c r="G2299" s="12">
        <f>Tabla1[[#This Row],[Importe]]-Tabla1[[#This Row],[Pagado]]</f>
        <v>0</v>
      </c>
      <c r="H2299" s="9" t="s">
        <v>10</v>
      </c>
    </row>
    <row r="2300" spans="1:8" x14ac:dyDescent="0.25">
      <c r="A2300" s="7">
        <v>44583</v>
      </c>
      <c r="B2300" s="8" t="s">
        <v>2665</v>
      </c>
      <c r="C2300" s="9" t="s">
        <v>857</v>
      </c>
      <c r="D2300" s="10">
        <v>977.2</v>
      </c>
      <c r="E2300" s="11">
        <v>44583</v>
      </c>
      <c r="F2300" s="10">
        <v>977.2</v>
      </c>
      <c r="G2300" s="12">
        <f>Tabla1[[#This Row],[Importe]]-Tabla1[[#This Row],[Pagado]]</f>
        <v>0</v>
      </c>
      <c r="H2300" s="9" t="s">
        <v>10</v>
      </c>
    </row>
    <row r="2301" spans="1:8" x14ac:dyDescent="0.25">
      <c r="A2301" s="7">
        <v>44583</v>
      </c>
      <c r="B2301" s="8" t="s">
        <v>2666</v>
      </c>
      <c r="C2301" s="9" t="s">
        <v>31</v>
      </c>
      <c r="D2301" s="10">
        <v>510</v>
      </c>
      <c r="E2301" s="11">
        <v>44583</v>
      </c>
      <c r="F2301" s="10">
        <v>510</v>
      </c>
      <c r="G2301" s="12">
        <f>Tabla1[[#This Row],[Importe]]-Tabla1[[#This Row],[Pagado]]</f>
        <v>0</v>
      </c>
      <c r="H2301" s="9" t="s">
        <v>10</v>
      </c>
    </row>
    <row r="2302" spans="1:8" x14ac:dyDescent="0.25">
      <c r="A2302" s="7">
        <v>44583</v>
      </c>
      <c r="B2302" s="8" t="s">
        <v>2667</v>
      </c>
      <c r="C2302" s="9" t="s">
        <v>459</v>
      </c>
      <c r="D2302" s="10">
        <v>213</v>
      </c>
      <c r="E2302" s="11">
        <v>44583</v>
      </c>
      <c r="F2302" s="10">
        <v>213</v>
      </c>
      <c r="G2302" s="12">
        <f>Tabla1[[#This Row],[Importe]]-Tabla1[[#This Row],[Pagado]]</f>
        <v>0</v>
      </c>
      <c r="H2302" s="9" t="s">
        <v>10</v>
      </c>
    </row>
    <row r="2303" spans="1:8" x14ac:dyDescent="0.25">
      <c r="A2303" s="7">
        <v>44583</v>
      </c>
      <c r="B2303" s="8" t="s">
        <v>2668</v>
      </c>
      <c r="C2303" s="9" t="s">
        <v>457</v>
      </c>
      <c r="D2303" s="10">
        <v>198</v>
      </c>
      <c r="E2303" s="11">
        <v>44583</v>
      </c>
      <c r="F2303" s="10">
        <v>198</v>
      </c>
      <c r="G2303" s="12">
        <f>Tabla1[[#This Row],[Importe]]-Tabla1[[#This Row],[Pagado]]</f>
        <v>0</v>
      </c>
      <c r="H2303" s="9" t="s">
        <v>10</v>
      </c>
    </row>
    <row r="2304" spans="1:8" x14ac:dyDescent="0.25">
      <c r="A2304" s="7">
        <v>44583</v>
      </c>
      <c r="B2304" s="8" t="s">
        <v>2669</v>
      </c>
      <c r="C2304" s="9" t="s">
        <v>450</v>
      </c>
      <c r="D2304" s="10">
        <v>1790.4</v>
      </c>
      <c r="E2304" s="11">
        <v>44583</v>
      </c>
      <c r="F2304" s="10">
        <v>1790.4</v>
      </c>
      <c r="G2304" s="12">
        <f>Tabla1[[#This Row],[Importe]]-Tabla1[[#This Row],[Pagado]]</f>
        <v>0</v>
      </c>
      <c r="H2304" s="9" t="s">
        <v>10</v>
      </c>
    </row>
    <row r="2305" spans="1:8" x14ac:dyDescent="0.25">
      <c r="A2305" s="7">
        <v>44583</v>
      </c>
      <c r="B2305" s="8" t="s">
        <v>2670</v>
      </c>
      <c r="C2305" s="9" t="s">
        <v>31</v>
      </c>
      <c r="D2305" s="10">
        <v>240</v>
      </c>
      <c r="E2305" s="11">
        <v>44583</v>
      </c>
      <c r="F2305" s="10">
        <v>240</v>
      </c>
      <c r="G2305" s="12">
        <f>Tabla1[[#This Row],[Importe]]-Tabla1[[#This Row],[Pagado]]</f>
        <v>0</v>
      </c>
      <c r="H2305" s="9" t="s">
        <v>10</v>
      </c>
    </row>
    <row r="2306" spans="1:8" x14ac:dyDescent="0.25">
      <c r="A2306" s="7">
        <v>44583</v>
      </c>
      <c r="B2306" s="8" t="s">
        <v>2671</v>
      </c>
      <c r="C2306" s="9" t="s">
        <v>461</v>
      </c>
      <c r="D2306" s="10">
        <v>394</v>
      </c>
      <c r="E2306" s="11">
        <v>44583</v>
      </c>
      <c r="F2306" s="10">
        <v>394</v>
      </c>
      <c r="G2306" s="12">
        <f>Tabla1[[#This Row],[Importe]]-Tabla1[[#This Row],[Pagado]]</f>
        <v>0</v>
      </c>
      <c r="H2306" s="9" t="s">
        <v>10</v>
      </c>
    </row>
    <row r="2307" spans="1:8" x14ac:dyDescent="0.25">
      <c r="A2307" s="7">
        <v>44583</v>
      </c>
      <c r="B2307" s="8" t="s">
        <v>2672</v>
      </c>
      <c r="C2307" s="9" t="s">
        <v>196</v>
      </c>
      <c r="D2307" s="10">
        <v>6011.8</v>
      </c>
      <c r="E2307" s="11">
        <v>44589</v>
      </c>
      <c r="F2307" s="10">
        <v>6011.8</v>
      </c>
      <c r="G2307" s="12">
        <f>Tabla1[[#This Row],[Importe]]-Tabla1[[#This Row],[Pagado]]</f>
        <v>0</v>
      </c>
      <c r="H2307" s="9" t="s">
        <v>10</v>
      </c>
    </row>
    <row r="2308" spans="1:8" x14ac:dyDescent="0.25">
      <c r="A2308" s="7">
        <v>44583</v>
      </c>
      <c r="B2308" s="8" t="s">
        <v>2673</v>
      </c>
      <c r="C2308" s="9" t="s">
        <v>419</v>
      </c>
      <c r="D2308" s="10">
        <v>6714.4</v>
      </c>
      <c r="E2308" s="11">
        <v>44583</v>
      </c>
      <c r="F2308" s="10">
        <v>6714.4</v>
      </c>
      <c r="G2308" s="12">
        <f>Tabla1[[#This Row],[Importe]]-Tabla1[[#This Row],[Pagado]]</f>
        <v>0</v>
      </c>
      <c r="H2308" s="9" t="s">
        <v>10</v>
      </c>
    </row>
    <row r="2309" spans="1:8" x14ac:dyDescent="0.25">
      <c r="A2309" s="7">
        <v>44583</v>
      </c>
      <c r="B2309" s="8" t="s">
        <v>2674</v>
      </c>
      <c r="C2309" s="9" t="s">
        <v>31</v>
      </c>
      <c r="D2309" s="10">
        <v>222</v>
      </c>
      <c r="E2309" s="11">
        <v>44583</v>
      </c>
      <c r="F2309" s="10">
        <v>222</v>
      </c>
      <c r="G2309" s="12">
        <f>Tabla1[[#This Row],[Importe]]-Tabla1[[#This Row],[Pagado]]</f>
        <v>0</v>
      </c>
      <c r="H2309" s="9" t="s">
        <v>10</v>
      </c>
    </row>
    <row r="2310" spans="1:8" x14ac:dyDescent="0.25">
      <c r="A2310" s="7">
        <v>44583</v>
      </c>
      <c r="B2310" s="8" t="s">
        <v>2675</v>
      </c>
      <c r="C2310" s="9" t="s">
        <v>31</v>
      </c>
      <c r="D2310" s="10">
        <v>222</v>
      </c>
      <c r="E2310" s="11">
        <v>44583</v>
      </c>
      <c r="F2310" s="10">
        <v>222</v>
      </c>
      <c r="G2310" s="12">
        <f>Tabla1[[#This Row],[Importe]]-Tabla1[[#This Row],[Pagado]]</f>
        <v>0</v>
      </c>
      <c r="H2310" s="9" t="s">
        <v>10</v>
      </c>
    </row>
    <row r="2311" spans="1:8" x14ac:dyDescent="0.25">
      <c r="A2311" s="7">
        <v>44583</v>
      </c>
      <c r="B2311" s="8" t="s">
        <v>2676</v>
      </c>
      <c r="C2311" s="9" t="s">
        <v>31</v>
      </c>
      <c r="D2311" s="10">
        <v>2215.5</v>
      </c>
      <c r="E2311" s="11">
        <v>44583</v>
      </c>
      <c r="F2311" s="10">
        <v>2215.5</v>
      </c>
      <c r="G2311" s="12">
        <f>Tabla1[[#This Row],[Importe]]-Tabla1[[#This Row],[Pagado]]</f>
        <v>0</v>
      </c>
      <c r="H2311" s="9" t="s">
        <v>10</v>
      </c>
    </row>
    <row r="2312" spans="1:8" x14ac:dyDescent="0.25">
      <c r="A2312" s="7">
        <v>44583</v>
      </c>
      <c r="B2312" s="8" t="s">
        <v>2677</v>
      </c>
      <c r="C2312" s="9" t="s">
        <v>463</v>
      </c>
      <c r="D2312" s="10">
        <v>550</v>
      </c>
      <c r="E2312" s="11">
        <v>44583</v>
      </c>
      <c r="F2312" s="10">
        <v>550</v>
      </c>
      <c r="G2312" s="12">
        <f>Tabla1[[#This Row],[Importe]]-Tabla1[[#This Row],[Pagado]]</f>
        <v>0</v>
      </c>
      <c r="H2312" s="9" t="s">
        <v>10</v>
      </c>
    </row>
    <row r="2313" spans="1:8" x14ac:dyDescent="0.25">
      <c r="A2313" s="7">
        <v>44583</v>
      </c>
      <c r="B2313" s="8" t="s">
        <v>2678</v>
      </c>
      <c r="C2313" s="9" t="s">
        <v>1003</v>
      </c>
      <c r="D2313" s="10">
        <v>1020</v>
      </c>
      <c r="E2313" s="11">
        <v>44585</v>
      </c>
      <c r="F2313" s="10">
        <v>1020</v>
      </c>
      <c r="G2313" s="12">
        <f>Tabla1[[#This Row],[Importe]]-Tabla1[[#This Row],[Pagado]]</f>
        <v>0</v>
      </c>
      <c r="H2313" s="9" t="s">
        <v>10</v>
      </c>
    </row>
    <row r="2314" spans="1:8" x14ac:dyDescent="0.25">
      <c r="A2314" s="7">
        <v>44583</v>
      </c>
      <c r="B2314" s="8" t="s">
        <v>2679</v>
      </c>
      <c r="C2314" s="9" t="s">
        <v>9</v>
      </c>
      <c r="D2314" s="10">
        <v>1372.8</v>
      </c>
      <c r="E2314" s="11">
        <v>44583</v>
      </c>
      <c r="F2314" s="10">
        <v>1372.8</v>
      </c>
      <c r="G2314" s="12">
        <f>Tabla1[[#This Row],[Importe]]-Tabla1[[#This Row],[Pagado]]</f>
        <v>0</v>
      </c>
      <c r="H2314" s="9" t="s">
        <v>10</v>
      </c>
    </row>
    <row r="2315" spans="1:8" x14ac:dyDescent="0.25">
      <c r="A2315" s="7">
        <v>44583</v>
      </c>
      <c r="B2315" s="8" t="s">
        <v>2680</v>
      </c>
      <c r="C2315" s="9" t="s">
        <v>454</v>
      </c>
      <c r="D2315" s="10">
        <v>1700</v>
      </c>
      <c r="E2315" s="11">
        <v>44583</v>
      </c>
      <c r="F2315" s="10">
        <v>1700</v>
      </c>
      <c r="G2315" s="12">
        <f>Tabla1[[#This Row],[Importe]]-Tabla1[[#This Row],[Pagado]]</f>
        <v>0</v>
      </c>
      <c r="H2315" s="9" t="s">
        <v>10</v>
      </c>
    </row>
    <row r="2316" spans="1:8" x14ac:dyDescent="0.25">
      <c r="A2316" s="7">
        <v>44583</v>
      </c>
      <c r="B2316" s="8" t="s">
        <v>2681</v>
      </c>
      <c r="C2316" s="9" t="s">
        <v>27</v>
      </c>
      <c r="D2316" s="10">
        <v>888</v>
      </c>
      <c r="E2316" s="11">
        <v>44583</v>
      </c>
      <c r="F2316" s="10">
        <v>888</v>
      </c>
      <c r="G2316" s="12">
        <f>Tabla1[[#This Row],[Importe]]-Tabla1[[#This Row],[Pagado]]</f>
        <v>0</v>
      </c>
      <c r="H2316" s="9" t="s">
        <v>10</v>
      </c>
    </row>
    <row r="2317" spans="1:8" x14ac:dyDescent="0.25">
      <c r="A2317" s="7">
        <v>44583</v>
      </c>
      <c r="B2317" s="8" t="s">
        <v>2682</v>
      </c>
      <c r="C2317" s="9" t="s">
        <v>1706</v>
      </c>
      <c r="D2317" s="10">
        <v>10800</v>
      </c>
      <c r="E2317" s="11">
        <v>44583</v>
      </c>
      <c r="F2317" s="10">
        <v>10800</v>
      </c>
      <c r="G2317" s="12">
        <f>Tabla1[[#This Row],[Importe]]-Tabla1[[#This Row],[Pagado]]</f>
        <v>0</v>
      </c>
      <c r="H2317" s="9" t="s">
        <v>10</v>
      </c>
    </row>
    <row r="2318" spans="1:8" x14ac:dyDescent="0.25">
      <c r="A2318" s="7">
        <v>44583</v>
      </c>
      <c r="B2318" s="8" t="s">
        <v>2683</v>
      </c>
      <c r="C2318" s="9" t="s">
        <v>275</v>
      </c>
      <c r="D2318" s="10">
        <v>28799</v>
      </c>
      <c r="E2318" s="11">
        <v>44597</v>
      </c>
      <c r="F2318" s="10">
        <v>28799</v>
      </c>
      <c r="G2318" s="12">
        <f>Tabla1[[#This Row],[Importe]]-Tabla1[[#This Row],[Pagado]]</f>
        <v>0</v>
      </c>
      <c r="H2318" s="9" t="s">
        <v>10</v>
      </c>
    </row>
    <row r="2319" spans="1:8" x14ac:dyDescent="0.25">
      <c r="A2319" s="7">
        <v>44583</v>
      </c>
      <c r="B2319" s="8" t="s">
        <v>2684</v>
      </c>
      <c r="C2319" s="9" t="s">
        <v>518</v>
      </c>
      <c r="D2319" s="10">
        <v>1469</v>
      </c>
      <c r="E2319" s="11">
        <v>44583</v>
      </c>
      <c r="F2319" s="10">
        <v>1469</v>
      </c>
      <c r="G2319" s="12">
        <f>Tabla1[[#This Row],[Importe]]-Tabla1[[#This Row],[Pagado]]</f>
        <v>0</v>
      </c>
      <c r="H2319" s="9" t="s">
        <v>10</v>
      </c>
    </row>
    <row r="2320" spans="1:8" x14ac:dyDescent="0.25">
      <c r="A2320" s="7">
        <v>44583</v>
      </c>
      <c r="B2320" s="8" t="s">
        <v>2685</v>
      </c>
      <c r="C2320" s="9" t="s">
        <v>31</v>
      </c>
      <c r="D2320" s="10">
        <v>397.8</v>
      </c>
      <c r="E2320" s="11">
        <v>44583</v>
      </c>
      <c r="F2320" s="10">
        <v>397.8</v>
      </c>
      <c r="G2320" s="12">
        <f>Tabla1[[#This Row],[Importe]]-Tabla1[[#This Row],[Pagado]]</f>
        <v>0</v>
      </c>
      <c r="H2320" s="9" t="s">
        <v>10</v>
      </c>
    </row>
    <row r="2321" spans="1:8" x14ac:dyDescent="0.25">
      <c r="A2321" s="7">
        <v>44583</v>
      </c>
      <c r="B2321" s="8" t="s">
        <v>2686</v>
      </c>
      <c r="C2321" s="9" t="s">
        <v>31</v>
      </c>
      <c r="D2321" s="10">
        <v>189</v>
      </c>
      <c r="E2321" s="11">
        <v>44591</v>
      </c>
      <c r="F2321" s="10">
        <v>189</v>
      </c>
      <c r="G2321" s="12">
        <f>Tabla1[[#This Row],[Importe]]-Tabla1[[#This Row],[Pagado]]</f>
        <v>0</v>
      </c>
      <c r="H2321" s="9" t="s">
        <v>10</v>
      </c>
    </row>
    <row r="2322" spans="1:8" x14ac:dyDescent="0.25">
      <c r="A2322" s="7">
        <v>44583</v>
      </c>
      <c r="B2322" s="8" t="s">
        <v>2687</v>
      </c>
      <c r="C2322" s="9" t="s">
        <v>275</v>
      </c>
      <c r="D2322" s="10">
        <v>33443.599999999999</v>
      </c>
      <c r="E2322" s="11">
        <v>44597</v>
      </c>
      <c r="F2322" s="10">
        <v>33443.599999999999</v>
      </c>
      <c r="G2322" s="12">
        <f>Tabla1[[#This Row],[Importe]]-Tabla1[[#This Row],[Pagado]]</f>
        <v>0</v>
      </c>
      <c r="H2322" s="9" t="s">
        <v>10</v>
      </c>
    </row>
    <row r="2323" spans="1:8" x14ac:dyDescent="0.25">
      <c r="A2323" s="7">
        <v>44584</v>
      </c>
      <c r="B2323" s="8" t="s">
        <v>2688</v>
      </c>
      <c r="C2323" s="9" t="s">
        <v>9</v>
      </c>
      <c r="D2323" s="10">
        <v>6159</v>
      </c>
      <c r="E2323" s="11">
        <v>44584</v>
      </c>
      <c r="F2323" s="10">
        <v>6159</v>
      </c>
      <c r="G2323" s="12">
        <f>Tabla1[[#This Row],[Importe]]-Tabla1[[#This Row],[Pagado]]</f>
        <v>0</v>
      </c>
      <c r="H2323" s="9" t="s">
        <v>10</v>
      </c>
    </row>
    <row r="2324" spans="1:8" x14ac:dyDescent="0.25">
      <c r="A2324" s="7">
        <v>44584</v>
      </c>
      <c r="B2324" s="8" t="s">
        <v>2689</v>
      </c>
      <c r="C2324" s="9" t="s">
        <v>12</v>
      </c>
      <c r="D2324" s="10">
        <v>41457.75</v>
      </c>
      <c r="E2324" s="11">
        <v>44585</v>
      </c>
      <c r="F2324" s="10">
        <v>41457.75</v>
      </c>
      <c r="G2324" s="12">
        <f>Tabla1[[#This Row],[Importe]]-Tabla1[[#This Row],[Pagado]]</f>
        <v>0</v>
      </c>
      <c r="H2324" s="9" t="s">
        <v>10</v>
      </c>
    </row>
    <row r="2325" spans="1:8" ht="30" x14ac:dyDescent="0.25">
      <c r="A2325" s="7">
        <v>44584</v>
      </c>
      <c r="B2325" s="8" t="s">
        <v>2690</v>
      </c>
      <c r="C2325" s="9" t="s">
        <v>475</v>
      </c>
      <c r="D2325" s="10">
        <v>45754.8</v>
      </c>
      <c r="E2325" s="11" t="s">
        <v>2691</v>
      </c>
      <c r="F2325" s="10">
        <f>26000+19754.8</f>
        <v>45754.8</v>
      </c>
      <c r="G2325" s="12">
        <f>Tabla1[[#This Row],[Importe]]-Tabla1[[#This Row],[Pagado]]</f>
        <v>0</v>
      </c>
      <c r="H2325" s="9" t="s">
        <v>10</v>
      </c>
    </row>
    <row r="2326" spans="1:8" x14ac:dyDescent="0.25">
      <c r="A2326" s="7">
        <v>44584</v>
      </c>
      <c r="B2326" s="8" t="s">
        <v>2692</v>
      </c>
      <c r="C2326" s="9" t="s">
        <v>16</v>
      </c>
      <c r="D2326" s="10">
        <v>9090</v>
      </c>
      <c r="E2326" s="11">
        <v>44584</v>
      </c>
      <c r="F2326" s="10">
        <v>9090</v>
      </c>
      <c r="G2326" s="12">
        <f>Tabla1[[#This Row],[Importe]]-Tabla1[[#This Row],[Pagado]]</f>
        <v>0</v>
      </c>
      <c r="H2326" s="9" t="s">
        <v>10</v>
      </c>
    </row>
    <row r="2327" spans="1:8" x14ac:dyDescent="0.25">
      <c r="A2327" s="7">
        <v>44584</v>
      </c>
      <c r="B2327" s="8" t="s">
        <v>2693</v>
      </c>
      <c r="C2327" s="9" t="s">
        <v>924</v>
      </c>
      <c r="D2327" s="10">
        <v>10642</v>
      </c>
      <c r="E2327" s="11">
        <v>44584</v>
      </c>
      <c r="F2327" s="10">
        <v>10642</v>
      </c>
      <c r="G2327" s="12">
        <f>Tabla1[[#This Row],[Importe]]-Tabla1[[#This Row],[Pagado]]</f>
        <v>0</v>
      </c>
      <c r="H2327" s="9" t="s">
        <v>10</v>
      </c>
    </row>
    <row r="2328" spans="1:8" x14ac:dyDescent="0.25">
      <c r="A2328" s="7">
        <v>44584</v>
      </c>
      <c r="B2328" s="8" t="s">
        <v>2694</v>
      </c>
      <c r="C2328" s="9" t="s">
        <v>14</v>
      </c>
      <c r="D2328" s="10">
        <v>30905</v>
      </c>
      <c r="E2328" s="11">
        <v>44584</v>
      </c>
      <c r="F2328" s="10">
        <v>30905</v>
      </c>
      <c r="G2328" s="12">
        <f>Tabla1[[#This Row],[Importe]]-Tabla1[[#This Row],[Pagado]]</f>
        <v>0</v>
      </c>
      <c r="H2328" s="9" t="s">
        <v>10</v>
      </c>
    </row>
    <row r="2329" spans="1:8" x14ac:dyDescent="0.25">
      <c r="A2329" s="7">
        <v>44584</v>
      </c>
      <c r="B2329" s="8" t="s">
        <v>2695</v>
      </c>
      <c r="C2329" s="9" t="s">
        <v>29</v>
      </c>
      <c r="D2329" s="10">
        <v>5390</v>
      </c>
      <c r="E2329" s="11">
        <v>44584</v>
      </c>
      <c r="F2329" s="10">
        <v>5390</v>
      </c>
      <c r="G2329" s="12">
        <f>Tabla1[[#This Row],[Importe]]-Tabla1[[#This Row],[Pagado]]</f>
        <v>0</v>
      </c>
      <c r="H2329" s="9" t="s">
        <v>10</v>
      </c>
    </row>
    <row r="2330" spans="1:8" x14ac:dyDescent="0.25">
      <c r="A2330" s="7">
        <v>44584</v>
      </c>
      <c r="B2330" s="8" t="s">
        <v>2696</v>
      </c>
      <c r="C2330" s="9" t="s">
        <v>22</v>
      </c>
      <c r="D2330" s="10">
        <v>34879.5</v>
      </c>
      <c r="E2330" s="11">
        <v>44586</v>
      </c>
      <c r="F2330" s="10">
        <v>34879.5</v>
      </c>
      <c r="G2330" s="12">
        <f>Tabla1[[#This Row],[Importe]]-Tabla1[[#This Row],[Pagado]]</f>
        <v>0</v>
      </c>
      <c r="H2330" s="9" t="s">
        <v>10</v>
      </c>
    </row>
    <row r="2331" spans="1:8" x14ac:dyDescent="0.25">
      <c r="A2331" s="7">
        <v>44584</v>
      </c>
      <c r="B2331" s="8" t="s">
        <v>2697</v>
      </c>
      <c r="C2331" s="9" t="s">
        <v>51</v>
      </c>
      <c r="D2331" s="10">
        <v>470.4</v>
      </c>
      <c r="E2331" s="11">
        <v>44584</v>
      </c>
      <c r="F2331" s="10">
        <v>470.4</v>
      </c>
      <c r="G2331" s="12">
        <f>Tabla1[[#This Row],[Importe]]-Tabla1[[#This Row],[Pagado]]</f>
        <v>0</v>
      </c>
      <c r="H2331" s="9" t="s">
        <v>10</v>
      </c>
    </row>
    <row r="2332" spans="1:8" x14ac:dyDescent="0.25">
      <c r="A2332" s="7">
        <v>44584</v>
      </c>
      <c r="B2332" s="8" t="s">
        <v>2698</v>
      </c>
      <c r="C2332" s="9" t="s">
        <v>37</v>
      </c>
      <c r="D2332" s="10">
        <v>2262.4</v>
      </c>
      <c r="E2332" s="11">
        <v>44584</v>
      </c>
      <c r="F2332" s="10">
        <v>2262.4</v>
      </c>
      <c r="G2332" s="12">
        <f>Tabla1[[#This Row],[Importe]]-Tabla1[[#This Row],[Pagado]]</f>
        <v>0</v>
      </c>
      <c r="H2332" s="9" t="s">
        <v>10</v>
      </c>
    </row>
    <row r="2333" spans="1:8" x14ac:dyDescent="0.25">
      <c r="A2333" s="7">
        <v>44584</v>
      </c>
      <c r="B2333" s="8" t="s">
        <v>2699</v>
      </c>
      <c r="C2333" s="9" t="s">
        <v>49</v>
      </c>
      <c r="D2333" s="10">
        <v>3337.2</v>
      </c>
      <c r="E2333" s="11">
        <v>44584</v>
      </c>
      <c r="F2333" s="10">
        <v>3337.2</v>
      </c>
      <c r="G2333" s="12">
        <f>Tabla1[[#This Row],[Importe]]-Tabla1[[#This Row],[Pagado]]</f>
        <v>0</v>
      </c>
      <c r="H2333" s="9" t="s">
        <v>10</v>
      </c>
    </row>
    <row r="2334" spans="1:8" x14ac:dyDescent="0.25">
      <c r="A2334" s="7">
        <v>44584</v>
      </c>
      <c r="B2334" s="8" t="s">
        <v>2700</v>
      </c>
      <c r="C2334" s="9" t="s">
        <v>45</v>
      </c>
      <c r="D2334" s="10">
        <v>8939.6</v>
      </c>
      <c r="E2334" s="11">
        <v>44584</v>
      </c>
      <c r="F2334" s="10">
        <v>8939.6</v>
      </c>
      <c r="G2334" s="12">
        <f>Tabla1[[#This Row],[Importe]]-Tabla1[[#This Row],[Pagado]]</f>
        <v>0</v>
      </c>
      <c r="H2334" s="9" t="s">
        <v>10</v>
      </c>
    </row>
    <row r="2335" spans="1:8" x14ac:dyDescent="0.25">
      <c r="A2335" s="7">
        <v>44584</v>
      </c>
      <c r="B2335" s="8" t="s">
        <v>2701</v>
      </c>
      <c r="C2335" s="9" t="s">
        <v>1064</v>
      </c>
      <c r="D2335" s="10">
        <v>2805</v>
      </c>
      <c r="E2335" s="11">
        <v>44584</v>
      </c>
      <c r="F2335" s="10">
        <v>2805</v>
      </c>
      <c r="G2335" s="12">
        <f>Tabla1[[#This Row],[Importe]]-Tabla1[[#This Row],[Pagado]]</f>
        <v>0</v>
      </c>
      <c r="H2335" s="9" t="s">
        <v>10</v>
      </c>
    </row>
    <row r="2336" spans="1:8" x14ac:dyDescent="0.25">
      <c r="A2336" s="7">
        <v>44584</v>
      </c>
      <c r="B2336" s="8" t="s">
        <v>2702</v>
      </c>
      <c r="C2336" s="9" t="s">
        <v>1421</v>
      </c>
      <c r="D2336" s="10">
        <v>37544</v>
      </c>
      <c r="E2336" s="11">
        <v>44584</v>
      </c>
      <c r="F2336" s="10">
        <v>37544</v>
      </c>
      <c r="G2336" s="12">
        <f>Tabla1[[#This Row],[Importe]]-Tabla1[[#This Row],[Pagado]]</f>
        <v>0</v>
      </c>
      <c r="H2336" s="9" t="s">
        <v>10</v>
      </c>
    </row>
    <row r="2337" spans="1:8" x14ac:dyDescent="0.25">
      <c r="A2337" s="7">
        <v>44584</v>
      </c>
      <c r="B2337" s="8" t="s">
        <v>2703</v>
      </c>
      <c r="C2337" s="9" t="s">
        <v>31</v>
      </c>
      <c r="D2337" s="10">
        <v>1878.5</v>
      </c>
      <c r="E2337" s="11">
        <v>44584</v>
      </c>
      <c r="F2337" s="10">
        <v>1878.5</v>
      </c>
      <c r="G2337" s="12">
        <f>Tabla1[[#This Row],[Importe]]-Tabla1[[#This Row],[Pagado]]</f>
        <v>0</v>
      </c>
      <c r="H2337" s="9" t="s">
        <v>10</v>
      </c>
    </row>
    <row r="2338" spans="1:8" x14ac:dyDescent="0.25">
      <c r="A2338" s="7">
        <v>44584</v>
      </c>
      <c r="B2338" s="8" t="s">
        <v>2704</v>
      </c>
      <c r="C2338" s="9" t="s">
        <v>27</v>
      </c>
      <c r="D2338" s="10">
        <v>2390</v>
      </c>
      <c r="E2338" s="11">
        <v>44584</v>
      </c>
      <c r="F2338" s="10">
        <v>2390</v>
      </c>
      <c r="G2338" s="12">
        <f>Tabla1[[#This Row],[Importe]]-Tabla1[[#This Row],[Pagado]]</f>
        <v>0</v>
      </c>
      <c r="H2338" s="9" t="s">
        <v>10</v>
      </c>
    </row>
    <row r="2339" spans="1:8" x14ac:dyDescent="0.25">
      <c r="A2339" s="7">
        <v>44584</v>
      </c>
      <c r="B2339" s="8" t="s">
        <v>2705</v>
      </c>
      <c r="C2339" s="9" t="s">
        <v>33</v>
      </c>
      <c r="D2339" s="10">
        <v>16821.2</v>
      </c>
      <c r="E2339" s="11">
        <v>44584</v>
      </c>
      <c r="F2339" s="10">
        <v>16821.2</v>
      </c>
      <c r="G2339" s="12">
        <f>Tabla1[[#This Row],[Importe]]-Tabla1[[#This Row],[Pagado]]</f>
        <v>0</v>
      </c>
      <c r="H2339" s="9" t="s">
        <v>10</v>
      </c>
    </row>
    <row r="2340" spans="1:8" x14ac:dyDescent="0.25">
      <c r="A2340" s="7">
        <v>44584</v>
      </c>
      <c r="B2340" s="8" t="s">
        <v>2706</v>
      </c>
      <c r="C2340" s="9" t="s">
        <v>161</v>
      </c>
      <c r="D2340" s="10">
        <v>3924.9</v>
      </c>
      <c r="E2340" s="11">
        <v>44584</v>
      </c>
      <c r="F2340" s="10">
        <v>3924.9</v>
      </c>
      <c r="G2340" s="12">
        <f>Tabla1[[#This Row],[Importe]]-Tabla1[[#This Row],[Pagado]]</f>
        <v>0</v>
      </c>
      <c r="H2340" s="9" t="s">
        <v>10</v>
      </c>
    </row>
    <row r="2341" spans="1:8" x14ac:dyDescent="0.25">
      <c r="A2341" s="7">
        <v>44584</v>
      </c>
      <c r="B2341" s="8" t="s">
        <v>2707</v>
      </c>
      <c r="C2341" s="9" t="s">
        <v>216</v>
      </c>
      <c r="D2341" s="10">
        <v>1390</v>
      </c>
      <c r="E2341" s="11">
        <v>44584</v>
      </c>
      <c r="F2341" s="10">
        <v>1390</v>
      </c>
      <c r="G2341" s="12">
        <f>Tabla1[[#This Row],[Importe]]-Tabla1[[#This Row],[Pagado]]</f>
        <v>0</v>
      </c>
      <c r="H2341" s="9" t="s">
        <v>10</v>
      </c>
    </row>
    <row r="2342" spans="1:8" x14ac:dyDescent="0.25">
      <c r="A2342" s="7">
        <v>44584</v>
      </c>
      <c r="B2342" s="8" t="s">
        <v>2708</v>
      </c>
      <c r="C2342" s="9" t="s">
        <v>33</v>
      </c>
      <c r="D2342" s="10">
        <v>308</v>
      </c>
      <c r="E2342" s="11">
        <v>44584</v>
      </c>
      <c r="F2342" s="10">
        <v>308</v>
      </c>
      <c r="G2342" s="12">
        <f>Tabla1[[#This Row],[Importe]]-Tabla1[[#This Row],[Pagado]]</f>
        <v>0</v>
      </c>
      <c r="H2342" s="9" t="s">
        <v>10</v>
      </c>
    </row>
    <row r="2343" spans="1:8" x14ac:dyDescent="0.25">
      <c r="A2343" s="7">
        <v>44584</v>
      </c>
      <c r="B2343" s="8" t="s">
        <v>2709</v>
      </c>
      <c r="C2343" s="9" t="s">
        <v>804</v>
      </c>
      <c r="D2343" s="10">
        <v>16917</v>
      </c>
      <c r="E2343" s="11">
        <v>44584</v>
      </c>
      <c r="F2343" s="10">
        <v>16917</v>
      </c>
      <c r="G2343" s="12">
        <f>Tabla1[[#This Row],[Importe]]-Tabla1[[#This Row],[Pagado]]</f>
        <v>0</v>
      </c>
      <c r="H2343" s="9" t="s">
        <v>10</v>
      </c>
    </row>
    <row r="2344" spans="1:8" x14ac:dyDescent="0.25">
      <c r="A2344" s="7">
        <v>44584</v>
      </c>
      <c r="B2344" s="8" t="s">
        <v>2710</v>
      </c>
      <c r="C2344" s="9" t="s">
        <v>24</v>
      </c>
      <c r="D2344" s="10">
        <v>3165.5</v>
      </c>
      <c r="E2344" s="11">
        <v>44584</v>
      </c>
      <c r="F2344" s="10">
        <v>3165.5</v>
      </c>
      <c r="G2344" s="12">
        <f>Tabla1[[#This Row],[Importe]]-Tabla1[[#This Row],[Pagado]]</f>
        <v>0</v>
      </c>
      <c r="H2344" s="9" t="s">
        <v>10</v>
      </c>
    </row>
    <row r="2345" spans="1:8" x14ac:dyDescent="0.25">
      <c r="A2345" s="7">
        <v>44584</v>
      </c>
      <c r="B2345" s="8" t="s">
        <v>2711</v>
      </c>
      <c r="C2345" s="9" t="s">
        <v>840</v>
      </c>
      <c r="D2345" s="10">
        <v>5922.8</v>
      </c>
      <c r="E2345" s="11">
        <v>44584</v>
      </c>
      <c r="F2345" s="10">
        <v>5922.8</v>
      </c>
      <c r="G2345" s="12">
        <f>Tabla1[[#This Row],[Importe]]-Tabla1[[#This Row],[Pagado]]</f>
        <v>0</v>
      </c>
      <c r="H2345" s="9" t="s">
        <v>10</v>
      </c>
    </row>
    <row r="2346" spans="1:8" x14ac:dyDescent="0.25">
      <c r="A2346" s="7">
        <v>44584</v>
      </c>
      <c r="B2346" s="8" t="s">
        <v>2712</v>
      </c>
      <c r="C2346" s="9" t="s">
        <v>237</v>
      </c>
      <c r="D2346" s="10">
        <v>997.5</v>
      </c>
      <c r="E2346" s="11">
        <v>44584</v>
      </c>
      <c r="F2346" s="10">
        <v>997.5</v>
      </c>
      <c r="G2346" s="12">
        <f>Tabla1[[#This Row],[Importe]]-Tabla1[[#This Row],[Pagado]]</f>
        <v>0</v>
      </c>
      <c r="H2346" s="9" t="s">
        <v>10</v>
      </c>
    </row>
    <row r="2347" spans="1:8" x14ac:dyDescent="0.25">
      <c r="A2347" s="7">
        <v>44584</v>
      </c>
      <c r="B2347" s="8" t="s">
        <v>2713</v>
      </c>
      <c r="C2347" s="9" t="s">
        <v>840</v>
      </c>
      <c r="D2347" s="10">
        <v>1579.92</v>
      </c>
      <c r="E2347" s="11">
        <v>44584</v>
      </c>
      <c r="F2347" s="10">
        <v>1579.92</v>
      </c>
      <c r="G2347" s="12">
        <f>Tabla1[[#This Row],[Importe]]-Tabla1[[#This Row],[Pagado]]</f>
        <v>0</v>
      </c>
      <c r="H2347" s="9" t="s">
        <v>10</v>
      </c>
    </row>
    <row r="2348" spans="1:8" x14ac:dyDescent="0.25">
      <c r="A2348" s="7">
        <v>44584</v>
      </c>
      <c r="B2348" s="8" t="s">
        <v>2714</v>
      </c>
      <c r="C2348" s="9" t="s">
        <v>56</v>
      </c>
      <c r="D2348" s="10">
        <v>10073.6</v>
      </c>
      <c r="E2348" s="11">
        <v>44584</v>
      </c>
      <c r="F2348" s="10">
        <v>10073.6</v>
      </c>
      <c r="G2348" s="12">
        <f>Tabla1[[#This Row],[Importe]]-Tabla1[[#This Row],[Pagado]]</f>
        <v>0</v>
      </c>
      <c r="H2348" s="9" t="s">
        <v>10</v>
      </c>
    </row>
    <row r="2349" spans="1:8" x14ac:dyDescent="0.25">
      <c r="A2349" s="7">
        <v>44584</v>
      </c>
      <c r="B2349" s="8" t="s">
        <v>2715</v>
      </c>
      <c r="C2349" s="9" t="s">
        <v>58</v>
      </c>
      <c r="D2349" s="10">
        <v>5764.6</v>
      </c>
      <c r="E2349" s="11">
        <v>44584</v>
      </c>
      <c r="F2349" s="10">
        <v>5764.6</v>
      </c>
      <c r="G2349" s="12">
        <f>Tabla1[[#This Row],[Importe]]-Tabla1[[#This Row],[Pagado]]</f>
        <v>0</v>
      </c>
      <c r="H2349" s="9" t="s">
        <v>10</v>
      </c>
    </row>
    <row r="2350" spans="1:8" x14ac:dyDescent="0.25">
      <c r="A2350" s="7">
        <v>44584</v>
      </c>
      <c r="B2350" s="8" t="s">
        <v>2716</v>
      </c>
      <c r="C2350" s="9" t="s">
        <v>481</v>
      </c>
      <c r="D2350" s="10">
        <v>1444.3</v>
      </c>
      <c r="E2350" s="11">
        <v>44584</v>
      </c>
      <c r="F2350" s="10">
        <v>1444.3</v>
      </c>
      <c r="G2350" s="12">
        <f>Tabla1[[#This Row],[Importe]]-Tabla1[[#This Row],[Pagado]]</f>
        <v>0</v>
      </c>
      <c r="H2350" s="9" t="s">
        <v>10</v>
      </c>
    </row>
    <row r="2351" spans="1:8" x14ac:dyDescent="0.25">
      <c r="A2351" s="7">
        <v>44584</v>
      </c>
      <c r="B2351" s="8" t="s">
        <v>2717</v>
      </c>
      <c r="C2351" s="9" t="s">
        <v>131</v>
      </c>
      <c r="D2351" s="10">
        <v>598.5</v>
      </c>
      <c r="E2351" s="11">
        <v>44584</v>
      </c>
      <c r="F2351" s="10">
        <v>598.5</v>
      </c>
      <c r="G2351" s="12">
        <f>Tabla1[[#This Row],[Importe]]-Tabla1[[#This Row],[Pagado]]</f>
        <v>0</v>
      </c>
      <c r="H2351" s="9" t="s">
        <v>10</v>
      </c>
    </row>
    <row r="2352" spans="1:8" x14ac:dyDescent="0.25">
      <c r="A2352" s="7">
        <v>44584</v>
      </c>
      <c r="B2352" s="8" t="s">
        <v>2718</v>
      </c>
      <c r="C2352" s="9" t="s">
        <v>289</v>
      </c>
      <c r="D2352" s="10">
        <v>7526.4</v>
      </c>
      <c r="E2352" s="11">
        <v>44584</v>
      </c>
      <c r="F2352" s="10">
        <v>7526.4</v>
      </c>
      <c r="G2352" s="12">
        <f>Tabla1[[#This Row],[Importe]]-Tabla1[[#This Row],[Pagado]]</f>
        <v>0</v>
      </c>
      <c r="H2352" s="9" t="s">
        <v>10</v>
      </c>
    </row>
    <row r="2353" spans="1:8" x14ac:dyDescent="0.25">
      <c r="A2353" s="7">
        <v>44584</v>
      </c>
      <c r="B2353" s="8" t="s">
        <v>2719</v>
      </c>
      <c r="C2353" s="9" t="s">
        <v>244</v>
      </c>
      <c r="D2353" s="10">
        <v>775.2</v>
      </c>
      <c r="E2353" s="11">
        <v>44584</v>
      </c>
      <c r="F2353" s="10">
        <v>775.2</v>
      </c>
      <c r="G2353" s="12">
        <f>Tabla1[[#This Row],[Importe]]-Tabla1[[#This Row],[Pagado]]</f>
        <v>0</v>
      </c>
      <c r="H2353" s="9" t="s">
        <v>10</v>
      </c>
    </row>
    <row r="2354" spans="1:8" x14ac:dyDescent="0.25">
      <c r="A2354" s="7">
        <v>44584</v>
      </c>
      <c r="B2354" s="8" t="s">
        <v>2720</v>
      </c>
      <c r="C2354" s="9" t="s">
        <v>53</v>
      </c>
      <c r="D2354" s="10">
        <v>1255.8</v>
      </c>
      <c r="E2354" s="11">
        <v>44584</v>
      </c>
      <c r="F2354" s="10">
        <v>1255.8</v>
      </c>
      <c r="G2354" s="12">
        <f>Tabla1[[#This Row],[Importe]]-Tabla1[[#This Row],[Pagado]]</f>
        <v>0</v>
      </c>
      <c r="H2354" s="9" t="s">
        <v>10</v>
      </c>
    </row>
    <row r="2355" spans="1:8" x14ac:dyDescent="0.25">
      <c r="A2355" s="7">
        <v>44584</v>
      </c>
      <c r="B2355" s="8" t="s">
        <v>2721</v>
      </c>
      <c r="C2355" s="9" t="s">
        <v>67</v>
      </c>
      <c r="D2355" s="10">
        <v>1615</v>
      </c>
      <c r="E2355" s="11">
        <v>44584</v>
      </c>
      <c r="F2355" s="10">
        <v>1615</v>
      </c>
      <c r="G2355" s="12">
        <f>Tabla1[[#This Row],[Importe]]-Tabla1[[#This Row],[Pagado]]</f>
        <v>0</v>
      </c>
      <c r="H2355" s="9" t="s">
        <v>10</v>
      </c>
    </row>
    <row r="2356" spans="1:8" x14ac:dyDescent="0.25">
      <c r="A2356" s="7">
        <v>44584</v>
      </c>
      <c r="B2356" s="8" t="s">
        <v>2722</v>
      </c>
      <c r="C2356" s="9" t="s">
        <v>67</v>
      </c>
      <c r="D2356" s="10">
        <v>270</v>
      </c>
      <c r="E2356" s="11">
        <v>44584</v>
      </c>
      <c r="F2356" s="10">
        <v>270</v>
      </c>
      <c r="G2356" s="12">
        <f>Tabla1[[#This Row],[Importe]]-Tabla1[[#This Row],[Pagado]]</f>
        <v>0</v>
      </c>
      <c r="H2356" s="9" t="s">
        <v>10</v>
      </c>
    </row>
    <row r="2357" spans="1:8" x14ac:dyDescent="0.25">
      <c r="A2357" s="7">
        <v>44584</v>
      </c>
      <c r="B2357" s="8" t="s">
        <v>2723</v>
      </c>
      <c r="C2357" s="9" t="s">
        <v>27</v>
      </c>
      <c r="D2357" s="10">
        <v>1100.4000000000001</v>
      </c>
      <c r="E2357" s="11">
        <v>44584</v>
      </c>
      <c r="F2357" s="10">
        <v>1100.4000000000001</v>
      </c>
      <c r="G2357" s="12">
        <f>Tabla1[[#This Row],[Importe]]-Tabla1[[#This Row],[Pagado]]</f>
        <v>0</v>
      </c>
      <c r="H2357" s="9" t="s">
        <v>10</v>
      </c>
    </row>
    <row r="2358" spans="1:8" x14ac:dyDescent="0.25">
      <c r="A2358" s="7">
        <v>44584</v>
      </c>
      <c r="B2358" s="8" t="s">
        <v>2724</v>
      </c>
      <c r="C2358" s="9" t="s">
        <v>16</v>
      </c>
      <c r="D2358" s="10">
        <v>3380</v>
      </c>
      <c r="E2358" s="11">
        <v>44584</v>
      </c>
      <c r="F2358" s="10">
        <v>3380</v>
      </c>
      <c r="G2358" s="12">
        <f>Tabla1[[#This Row],[Importe]]-Tabla1[[#This Row],[Pagado]]</f>
        <v>0</v>
      </c>
      <c r="H2358" s="9" t="s">
        <v>10</v>
      </c>
    </row>
    <row r="2359" spans="1:8" x14ac:dyDescent="0.25">
      <c r="A2359" s="7">
        <v>44584</v>
      </c>
      <c r="B2359" s="8" t="s">
        <v>2725</v>
      </c>
      <c r="C2359" s="9" t="s">
        <v>71</v>
      </c>
      <c r="D2359" s="10">
        <v>2814.5</v>
      </c>
      <c r="E2359" s="11">
        <v>44584</v>
      </c>
      <c r="F2359" s="10">
        <v>2814.5</v>
      </c>
      <c r="G2359" s="12">
        <f>Tabla1[[#This Row],[Importe]]-Tabla1[[#This Row],[Pagado]]</f>
        <v>0</v>
      </c>
      <c r="H2359" s="9" t="s">
        <v>10</v>
      </c>
    </row>
    <row r="2360" spans="1:8" x14ac:dyDescent="0.25">
      <c r="A2360" s="7">
        <v>44584</v>
      </c>
      <c r="B2360" s="8" t="s">
        <v>2726</v>
      </c>
      <c r="C2360" s="9" t="s">
        <v>71</v>
      </c>
      <c r="D2360" s="10">
        <v>483</v>
      </c>
      <c r="E2360" s="11">
        <v>44584</v>
      </c>
      <c r="F2360" s="10">
        <v>483</v>
      </c>
      <c r="G2360" s="12">
        <f>Tabla1[[#This Row],[Importe]]-Tabla1[[#This Row],[Pagado]]</f>
        <v>0</v>
      </c>
      <c r="H2360" s="9" t="s">
        <v>10</v>
      </c>
    </row>
    <row r="2361" spans="1:8" x14ac:dyDescent="0.25">
      <c r="A2361" s="7">
        <v>44584</v>
      </c>
      <c r="B2361" s="8" t="s">
        <v>2727</v>
      </c>
      <c r="C2361" s="9" t="s">
        <v>69</v>
      </c>
      <c r="D2361" s="10">
        <v>2265</v>
      </c>
      <c r="E2361" s="11">
        <v>44584</v>
      </c>
      <c r="F2361" s="10">
        <v>2265</v>
      </c>
      <c r="G2361" s="12">
        <f>Tabla1[[#This Row],[Importe]]-Tabla1[[#This Row],[Pagado]]</f>
        <v>0</v>
      </c>
      <c r="H2361" s="9" t="s">
        <v>10</v>
      </c>
    </row>
    <row r="2362" spans="1:8" x14ac:dyDescent="0.25">
      <c r="A2362" s="7">
        <v>44584</v>
      </c>
      <c r="B2362" s="8" t="s">
        <v>2728</v>
      </c>
      <c r="C2362" s="9" t="s">
        <v>149</v>
      </c>
      <c r="D2362" s="10">
        <v>567.79999999999995</v>
      </c>
      <c r="E2362" s="11">
        <v>44584</v>
      </c>
      <c r="F2362" s="10">
        <v>567.79999999999995</v>
      </c>
      <c r="G2362" s="12">
        <f>Tabla1[[#This Row],[Importe]]-Tabla1[[#This Row],[Pagado]]</f>
        <v>0</v>
      </c>
      <c r="H2362" s="9" t="s">
        <v>10</v>
      </c>
    </row>
    <row r="2363" spans="1:8" x14ac:dyDescent="0.25">
      <c r="A2363" s="7">
        <v>44584</v>
      </c>
      <c r="B2363" s="8" t="s">
        <v>2729</v>
      </c>
      <c r="C2363" s="9" t="s">
        <v>58</v>
      </c>
      <c r="D2363" s="10">
        <v>1227.4000000000001</v>
      </c>
      <c r="E2363" s="11">
        <v>44584</v>
      </c>
      <c r="F2363" s="10">
        <v>1227.4000000000001</v>
      </c>
      <c r="G2363" s="12">
        <f>Tabla1[[#This Row],[Importe]]-Tabla1[[#This Row],[Pagado]]</f>
        <v>0</v>
      </c>
      <c r="H2363" s="9" t="s">
        <v>10</v>
      </c>
    </row>
    <row r="2364" spans="1:8" ht="30" x14ac:dyDescent="0.25">
      <c r="A2364" s="7">
        <v>44584</v>
      </c>
      <c r="B2364" s="8" t="s">
        <v>2730</v>
      </c>
      <c r="C2364" s="9" t="s">
        <v>475</v>
      </c>
      <c r="D2364" s="10">
        <v>27091.8</v>
      </c>
      <c r="E2364" s="11" t="s">
        <v>2731</v>
      </c>
      <c r="F2364" s="10">
        <f>15000+12091.8</f>
        <v>27091.8</v>
      </c>
      <c r="G2364" s="12">
        <f>Tabla1[[#This Row],[Importe]]-Tabla1[[#This Row],[Pagado]]</f>
        <v>0</v>
      </c>
      <c r="H2364" s="9" t="s">
        <v>10</v>
      </c>
    </row>
    <row r="2365" spans="1:8" x14ac:dyDescent="0.25">
      <c r="A2365" s="7">
        <v>44584</v>
      </c>
      <c r="B2365" s="8" t="s">
        <v>2732</v>
      </c>
      <c r="C2365" s="9" t="s">
        <v>53</v>
      </c>
      <c r="D2365" s="10">
        <v>1668</v>
      </c>
      <c r="E2365" s="11">
        <v>44584</v>
      </c>
      <c r="F2365" s="10">
        <v>1668</v>
      </c>
      <c r="G2365" s="12">
        <f>Tabla1[[#This Row],[Importe]]-Tabla1[[#This Row],[Pagado]]</f>
        <v>0</v>
      </c>
      <c r="H2365" s="9" t="s">
        <v>10</v>
      </c>
    </row>
    <row r="2366" spans="1:8" x14ac:dyDescent="0.25">
      <c r="A2366" s="7">
        <v>44584</v>
      </c>
      <c r="B2366" s="8" t="s">
        <v>2733</v>
      </c>
      <c r="C2366" s="9" t="s">
        <v>16</v>
      </c>
      <c r="D2366" s="10">
        <v>1039.5</v>
      </c>
      <c r="E2366" s="11">
        <v>44584</v>
      </c>
      <c r="F2366" s="10">
        <v>1039.5</v>
      </c>
      <c r="G2366" s="12">
        <f>Tabla1[[#This Row],[Importe]]-Tabla1[[#This Row],[Pagado]]</f>
        <v>0</v>
      </c>
      <c r="H2366" s="9" t="s">
        <v>10</v>
      </c>
    </row>
    <row r="2367" spans="1:8" x14ac:dyDescent="0.25">
      <c r="A2367" s="7">
        <v>44584</v>
      </c>
      <c r="B2367" s="8" t="s">
        <v>2734</v>
      </c>
      <c r="C2367" s="9" t="s">
        <v>214</v>
      </c>
      <c r="D2367" s="10">
        <v>1215</v>
      </c>
      <c r="E2367" s="11">
        <v>44584</v>
      </c>
      <c r="F2367" s="10">
        <v>1215</v>
      </c>
      <c r="G2367" s="12">
        <f>Tabla1[[#This Row],[Importe]]-Tabla1[[#This Row],[Pagado]]</f>
        <v>0</v>
      </c>
      <c r="H2367" s="9" t="s">
        <v>10</v>
      </c>
    </row>
    <row r="2368" spans="1:8" x14ac:dyDescent="0.25">
      <c r="A2368" s="7">
        <v>44584</v>
      </c>
      <c r="B2368" s="8" t="s">
        <v>2735</v>
      </c>
      <c r="C2368" s="9" t="s">
        <v>31</v>
      </c>
      <c r="D2368" s="10">
        <v>1906.1</v>
      </c>
      <c r="E2368" s="11">
        <v>44584</v>
      </c>
      <c r="F2368" s="10">
        <v>1906.1</v>
      </c>
      <c r="G2368" s="12">
        <f>Tabla1[[#This Row],[Importe]]-Tabla1[[#This Row],[Pagado]]</f>
        <v>0</v>
      </c>
      <c r="H2368" s="9" t="s">
        <v>10</v>
      </c>
    </row>
    <row r="2369" spans="1:8" x14ac:dyDescent="0.25">
      <c r="A2369" s="7">
        <v>44584</v>
      </c>
      <c r="B2369" s="8" t="s">
        <v>2736</v>
      </c>
      <c r="C2369" s="9" t="s">
        <v>1339</v>
      </c>
      <c r="D2369" s="10">
        <v>441.14</v>
      </c>
      <c r="E2369" s="11">
        <v>44585</v>
      </c>
      <c r="F2369" s="10">
        <v>441.14</v>
      </c>
      <c r="G2369" s="12">
        <f>Tabla1[[#This Row],[Importe]]-Tabla1[[#This Row],[Pagado]]</f>
        <v>0</v>
      </c>
      <c r="H2369" s="9" t="s">
        <v>10</v>
      </c>
    </row>
    <row r="2370" spans="1:8" x14ac:dyDescent="0.25">
      <c r="A2370" s="7">
        <v>44585</v>
      </c>
      <c r="B2370" s="8" t="s">
        <v>2737</v>
      </c>
      <c r="C2370" s="9" t="s">
        <v>75</v>
      </c>
      <c r="D2370" s="10">
        <v>4900</v>
      </c>
      <c r="E2370" s="11">
        <v>44585</v>
      </c>
      <c r="F2370" s="10">
        <v>4900</v>
      </c>
      <c r="G2370" s="12">
        <f>Tabla1[[#This Row],[Importe]]-Tabla1[[#This Row],[Pagado]]</f>
        <v>0</v>
      </c>
      <c r="H2370" s="9" t="s">
        <v>10</v>
      </c>
    </row>
    <row r="2371" spans="1:8" x14ac:dyDescent="0.25">
      <c r="A2371" s="7">
        <v>44585</v>
      </c>
      <c r="B2371" s="8" t="s">
        <v>2738</v>
      </c>
      <c r="C2371" s="9" t="s">
        <v>2739</v>
      </c>
      <c r="D2371" s="10">
        <v>0</v>
      </c>
      <c r="E2371" s="13" t="s">
        <v>189</v>
      </c>
      <c r="F2371" s="10">
        <v>0</v>
      </c>
      <c r="G2371" s="12">
        <f>Tabla1[[#This Row],[Importe]]-Tabla1[[#This Row],[Pagado]]</f>
        <v>0</v>
      </c>
      <c r="H2371" s="17" t="s">
        <v>2740</v>
      </c>
    </row>
    <row r="2372" spans="1:8" ht="30" x14ac:dyDescent="0.25">
      <c r="A2372" s="7">
        <v>44585</v>
      </c>
      <c r="B2372" s="8" t="s">
        <v>2741</v>
      </c>
      <c r="C2372" s="9" t="s">
        <v>475</v>
      </c>
      <c r="D2372" s="10">
        <v>72261</v>
      </c>
      <c r="E2372" s="11" t="s">
        <v>2742</v>
      </c>
      <c r="F2372" s="10">
        <f>70258+2003</f>
        <v>72261</v>
      </c>
      <c r="G2372" s="12">
        <f>Tabla1[[#This Row],[Importe]]-Tabla1[[#This Row],[Pagado]]</f>
        <v>0</v>
      </c>
      <c r="H2372" s="9" t="s">
        <v>10</v>
      </c>
    </row>
    <row r="2373" spans="1:8" x14ac:dyDescent="0.25">
      <c r="A2373" s="7">
        <v>44585</v>
      </c>
      <c r="B2373" s="8" t="s">
        <v>2743</v>
      </c>
      <c r="C2373" s="9" t="s">
        <v>212</v>
      </c>
      <c r="D2373" s="10">
        <v>13357.34</v>
      </c>
      <c r="E2373" s="11">
        <v>44589</v>
      </c>
      <c r="F2373" s="10">
        <v>13357.34</v>
      </c>
      <c r="G2373" s="12">
        <f>Tabla1[[#This Row],[Importe]]-Tabla1[[#This Row],[Pagado]]</f>
        <v>0</v>
      </c>
      <c r="H2373" s="9" t="s">
        <v>10</v>
      </c>
    </row>
    <row r="2374" spans="1:8" x14ac:dyDescent="0.25">
      <c r="A2374" s="7">
        <v>44585</v>
      </c>
      <c r="B2374" s="8" t="s">
        <v>2744</v>
      </c>
      <c r="C2374" s="9" t="s">
        <v>481</v>
      </c>
      <c r="D2374" s="10">
        <v>2564.1999999999998</v>
      </c>
      <c r="E2374" s="11">
        <v>44585</v>
      </c>
      <c r="F2374" s="10">
        <v>2564.1999999999998</v>
      </c>
      <c r="G2374" s="12">
        <f>Tabla1[[#This Row],[Importe]]-Tabla1[[#This Row],[Pagado]]</f>
        <v>0</v>
      </c>
      <c r="H2374" s="9" t="s">
        <v>10</v>
      </c>
    </row>
    <row r="2375" spans="1:8" x14ac:dyDescent="0.25">
      <c r="A2375" s="7">
        <v>44585</v>
      </c>
      <c r="B2375" s="8" t="s">
        <v>2745</v>
      </c>
      <c r="C2375" s="9" t="s">
        <v>12</v>
      </c>
      <c r="D2375" s="10">
        <v>39402.050000000003</v>
      </c>
      <c r="E2375" s="11">
        <v>44586</v>
      </c>
      <c r="F2375" s="10">
        <v>39402.050000000003</v>
      </c>
      <c r="G2375" s="12">
        <f>Tabla1[[#This Row],[Importe]]-Tabla1[[#This Row],[Pagado]]</f>
        <v>0</v>
      </c>
      <c r="H2375" s="9" t="s">
        <v>10</v>
      </c>
    </row>
    <row r="2376" spans="1:8" x14ac:dyDescent="0.25">
      <c r="A2376" s="7">
        <v>44585</v>
      </c>
      <c r="B2376" s="8" t="s">
        <v>2746</v>
      </c>
      <c r="C2376" s="9" t="s">
        <v>473</v>
      </c>
      <c r="D2376" s="10">
        <v>5178.1000000000004</v>
      </c>
      <c r="E2376" s="11">
        <v>44585</v>
      </c>
      <c r="F2376" s="10">
        <v>5178.1000000000004</v>
      </c>
      <c r="G2376" s="12">
        <f>Tabla1[[#This Row],[Importe]]-Tabla1[[#This Row],[Pagado]]</f>
        <v>0</v>
      </c>
      <c r="H2376" s="9" t="s">
        <v>10</v>
      </c>
    </row>
    <row r="2377" spans="1:8" x14ac:dyDescent="0.25">
      <c r="A2377" s="7">
        <v>44585</v>
      </c>
      <c r="B2377" s="8" t="s">
        <v>2747</v>
      </c>
      <c r="C2377" s="9" t="s">
        <v>18</v>
      </c>
      <c r="D2377" s="10">
        <v>1605.5</v>
      </c>
      <c r="E2377" s="11">
        <v>44585</v>
      </c>
      <c r="F2377" s="10">
        <v>1605.5</v>
      </c>
      <c r="G2377" s="12">
        <f>Tabla1[[#This Row],[Importe]]-Tabla1[[#This Row],[Pagado]]</f>
        <v>0</v>
      </c>
      <c r="H2377" s="9" t="s">
        <v>10</v>
      </c>
    </row>
    <row r="2378" spans="1:8" x14ac:dyDescent="0.25">
      <c r="A2378" s="7">
        <v>44585</v>
      </c>
      <c r="B2378" s="8" t="s">
        <v>2748</v>
      </c>
      <c r="C2378" s="9" t="s">
        <v>9</v>
      </c>
      <c r="D2378" s="10">
        <v>5790.2</v>
      </c>
      <c r="E2378" s="11">
        <v>44585</v>
      </c>
      <c r="F2378" s="10">
        <v>5790.2</v>
      </c>
      <c r="G2378" s="12">
        <f>Tabla1[[#This Row],[Importe]]-Tabla1[[#This Row],[Pagado]]</f>
        <v>0</v>
      </c>
      <c r="H2378" s="9" t="s">
        <v>10</v>
      </c>
    </row>
    <row r="2379" spans="1:8" x14ac:dyDescent="0.25">
      <c r="A2379" s="7">
        <v>44585</v>
      </c>
      <c r="B2379" s="8" t="s">
        <v>2749</v>
      </c>
      <c r="C2379" s="9" t="s">
        <v>312</v>
      </c>
      <c r="D2379" s="10">
        <v>4312.2</v>
      </c>
      <c r="E2379" s="11">
        <v>44585</v>
      </c>
      <c r="F2379" s="10">
        <v>4312.2</v>
      </c>
      <c r="G2379" s="12">
        <f>Tabla1[[#This Row],[Importe]]-Tabla1[[#This Row],[Pagado]]</f>
        <v>0</v>
      </c>
      <c r="H2379" s="9" t="s">
        <v>10</v>
      </c>
    </row>
    <row r="2380" spans="1:8" x14ac:dyDescent="0.25">
      <c r="A2380" s="7">
        <v>44585</v>
      </c>
      <c r="B2380" s="8" t="s">
        <v>2750</v>
      </c>
      <c r="C2380" s="9" t="s">
        <v>64</v>
      </c>
      <c r="D2380" s="10">
        <v>4033.8</v>
      </c>
      <c r="E2380" s="11">
        <v>44587</v>
      </c>
      <c r="F2380" s="10">
        <v>4033.8</v>
      </c>
      <c r="G2380" s="12">
        <f>Tabla1[[#This Row],[Importe]]-Tabla1[[#This Row],[Pagado]]</f>
        <v>0</v>
      </c>
      <c r="H2380" s="9" t="s">
        <v>10</v>
      </c>
    </row>
    <row r="2381" spans="1:8" x14ac:dyDescent="0.25">
      <c r="A2381" s="7">
        <v>44585</v>
      </c>
      <c r="B2381" s="8" t="s">
        <v>2751</v>
      </c>
      <c r="C2381" s="9" t="s">
        <v>111</v>
      </c>
      <c r="D2381" s="10">
        <v>4149.6000000000004</v>
      </c>
      <c r="E2381" s="11">
        <v>44586</v>
      </c>
      <c r="F2381" s="10">
        <v>4149.6000000000004</v>
      </c>
      <c r="G2381" s="12">
        <f>Tabla1[[#This Row],[Importe]]-Tabla1[[#This Row],[Pagado]]</f>
        <v>0</v>
      </c>
      <c r="H2381" s="9" t="s">
        <v>10</v>
      </c>
    </row>
    <row r="2382" spans="1:8" x14ac:dyDescent="0.25">
      <c r="A2382" s="7">
        <v>44585</v>
      </c>
      <c r="B2382" s="8" t="s">
        <v>2752</v>
      </c>
      <c r="C2382" s="9" t="s">
        <v>198</v>
      </c>
      <c r="D2382" s="10">
        <v>872.2</v>
      </c>
      <c r="E2382" s="11">
        <v>44585</v>
      </c>
      <c r="F2382" s="10">
        <v>872.2</v>
      </c>
      <c r="G2382" s="12">
        <f>Tabla1[[#This Row],[Importe]]-Tabla1[[#This Row],[Pagado]]</f>
        <v>0</v>
      </c>
      <c r="H2382" s="9" t="s">
        <v>10</v>
      </c>
    </row>
    <row r="2383" spans="1:8" x14ac:dyDescent="0.25">
      <c r="A2383" s="7">
        <v>44585</v>
      </c>
      <c r="B2383" s="8" t="s">
        <v>2753</v>
      </c>
      <c r="C2383" s="9" t="s">
        <v>326</v>
      </c>
      <c r="D2383" s="10">
        <v>5011.2</v>
      </c>
      <c r="E2383" s="11">
        <v>44586</v>
      </c>
      <c r="F2383" s="10">
        <v>5011.2</v>
      </c>
      <c r="G2383" s="12">
        <f>Tabla1[[#This Row],[Importe]]-Tabla1[[#This Row],[Pagado]]</f>
        <v>0</v>
      </c>
      <c r="H2383" s="9" t="s">
        <v>10</v>
      </c>
    </row>
    <row r="2384" spans="1:8" x14ac:dyDescent="0.25">
      <c r="A2384" s="7">
        <v>44585</v>
      </c>
      <c r="B2384" s="8" t="s">
        <v>2754</v>
      </c>
      <c r="C2384" s="9" t="s">
        <v>2563</v>
      </c>
      <c r="D2384" s="10">
        <v>3861</v>
      </c>
      <c r="E2384" s="11">
        <v>44585</v>
      </c>
      <c r="F2384" s="10">
        <v>3861</v>
      </c>
      <c r="G2384" s="12">
        <f>Tabla1[[#This Row],[Importe]]-Tabla1[[#This Row],[Pagado]]</f>
        <v>0</v>
      </c>
      <c r="H2384" s="9" t="s">
        <v>10</v>
      </c>
    </row>
    <row r="2385" spans="1:8" x14ac:dyDescent="0.25">
      <c r="A2385" s="7">
        <v>44585</v>
      </c>
      <c r="B2385" s="8" t="s">
        <v>2755</v>
      </c>
      <c r="C2385" s="9" t="s">
        <v>116</v>
      </c>
      <c r="D2385" s="10">
        <v>4444.2</v>
      </c>
      <c r="E2385" s="11">
        <v>44586</v>
      </c>
      <c r="F2385" s="10">
        <v>4444.2</v>
      </c>
      <c r="G2385" s="12">
        <f>Tabla1[[#This Row],[Importe]]-Tabla1[[#This Row],[Pagado]]</f>
        <v>0</v>
      </c>
      <c r="H2385" s="9" t="s">
        <v>10</v>
      </c>
    </row>
    <row r="2386" spans="1:8" x14ac:dyDescent="0.25">
      <c r="A2386" s="7">
        <v>44585</v>
      </c>
      <c r="B2386" s="8" t="s">
        <v>2756</v>
      </c>
      <c r="C2386" s="9" t="s">
        <v>47</v>
      </c>
      <c r="D2386" s="10">
        <v>47951.199999999997</v>
      </c>
      <c r="E2386" s="11">
        <v>44585</v>
      </c>
      <c r="F2386" s="10">
        <v>47951.199999999997</v>
      </c>
      <c r="G2386" s="12">
        <f>Tabla1[[#This Row],[Importe]]-Tabla1[[#This Row],[Pagado]]</f>
        <v>0</v>
      </c>
      <c r="H2386" s="9" t="s">
        <v>10</v>
      </c>
    </row>
    <row r="2387" spans="1:8" x14ac:dyDescent="0.25">
      <c r="A2387" s="7">
        <v>44585</v>
      </c>
      <c r="B2387" s="8" t="s">
        <v>2757</v>
      </c>
      <c r="C2387" s="9" t="s">
        <v>47</v>
      </c>
      <c r="D2387" s="10">
        <v>875</v>
      </c>
      <c r="E2387" s="11">
        <v>44585</v>
      </c>
      <c r="F2387" s="10">
        <v>875</v>
      </c>
      <c r="G2387" s="12">
        <f>Tabla1[[#This Row],[Importe]]-Tabla1[[#This Row],[Pagado]]</f>
        <v>0</v>
      </c>
      <c r="H2387" s="9" t="s">
        <v>10</v>
      </c>
    </row>
    <row r="2388" spans="1:8" x14ac:dyDescent="0.25">
      <c r="A2388" s="7">
        <v>44585</v>
      </c>
      <c r="B2388" s="8" t="s">
        <v>2758</v>
      </c>
      <c r="C2388" s="9" t="s">
        <v>60</v>
      </c>
      <c r="D2388" s="10">
        <v>4380.1000000000004</v>
      </c>
      <c r="E2388" s="11">
        <v>44587</v>
      </c>
      <c r="F2388" s="10">
        <v>4380.1000000000004</v>
      </c>
      <c r="G2388" s="12">
        <f>Tabla1[[#This Row],[Importe]]-Tabla1[[#This Row],[Pagado]]</f>
        <v>0</v>
      </c>
      <c r="H2388" s="9" t="s">
        <v>10</v>
      </c>
    </row>
    <row r="2389" spans="1:8" x14ac:dyDescent="0.25">
      <c r="A2389" s="7">
        <v>44585</v>
      </c>
      <c r="B2389" s="8" t="s">
        <v>2759</v>
      </c>
      <c r="C2389" s="9" t="s">
        <v>118</v>
      </c>
      <c r="D2389" s="10">
        <v>1610</v>
      </c>
      <c r="E2389" s="11">
        <v>44585</v>
      </c>
      <c r="F2389" s="10">
        <v>1610</v>
      </c>
      <c r="G2389" s="12">
        <f>Tabla1[[#This Row],[Importe]]-Tabla1[[#This Row],[Pagado]]</f>
        <v>0</v>
      </c>
      <c r="H2389" s="9" t="s">
        <v>10</v>
      </c>
    </row>
    <row r="2390" spans="1:8" x14ac:dyDescent="0.25">
      <c r="A2390" s="7">
        <v>44585</v>
      </c>
      <c r="B2390" s="8" t="s">
        <v>2760</v>
      </c>
      <c r="C2390" s="9" t="s">
        <v>114</v>
      </c>
      <c r="D2390" s="10">
        <v>4943.2</v>
      </c>
      <c r="E2390" s="11">
        <v>44586</v>
      </c>
      <c r="F2390" s="10">
        <v>4943.2</v>
      </c>
      <c r="G2390" s="12">
        <f>Tabla1[[#This Row],[Importe]]-Tabla1[[#This Row],[Pagado]]</f>
        <v>0</v>
      </c>
      <c r="H2390" s="9" t="s">
        <v>10</v>
      </c>
    </row>
    <row r="2391" spans="1:8" x14ac:dyDescent="0.25">
      <c r="A2391" s="7">
        <v>44585</v>
      </c>
      <c r="B2391" s="8" t="s">
        <v>2761</v>
      </c>
      <c r="C2391" s="9" t="s">
        <v>91</v>
      </c>
      <c r="D2391" s="10">
        <v>5085</v>
      </c>
      <c r="E2391" s="11">
        <v>44587</v>
      </c>
      <c r="F2391" s="10">
        <v>5085</v>
      </c>
      <c r="G2391" s="12">
        <f>Tabla1[[#This Row],[Importe]]-Tabla1[[#This Row],[Pagado]]</f>
        <v>0</v>
      </c>
      <c r="H2391" s="9" t="s">
        <v>10</v>
      </c>
    </row>
    <row r="2392" spans="1:8" x14ac:dyDescent="0.25">
      <c r="A2392" s="7">
        <v>44585</v>
      </c>
      <c r="B2392" s="8" t="s">
        <v>2762</v>
      </c>
      <c r="C2392" s="9" t="s">
        <v>105</v>
      </c>
      <c r="D2392" s="10">
        <v>5189.2</v>
      </c>
      <c r="E2392" s="11">
        <v>44585</v>
      </c>
      <c r="F2392" s="10">
        <v>5189.2</v>
      </c>
      <c r="G2392" s="12">
        <f>Tabla1[[#This Row],[Importe]]-Tabla1[[#This Row],[Pagado]]</f>
        <v>0</v>
      </c>
      <c r="H2392" s="9" t="s">
        <v>10</v>
      </c>
    </row>
    <row r="2393" spans="1:8" x14ac:dyDescent="0.25">
      <c r="A2393" s="7">
        <v>44585</v>
      </c>
      <c r="B2393" s="8" t="s">
        <v>2763</v>
      </c>
      <c r="C2393" s="9" t="s">
        <v>2764</v>
      </c>
      <c r="D2393" s="10">
        <v>0</v>
      </c>
      <c r="E2393" s="13" t="s">
        <v>189</v>
      </c>
      <c r="F2393" s="10">
        <v>0</v>
      </c>
      <c r="G2393" s="12">
        <f>Tabla1[[#This Row],[Importe]]-Tabla1[[#This Row],[Pagado]]</f>
        <v>0</v>
      </c>
      <c r="H2393" s="9" t="s">
        <v>189</v>
      </c>
    </row>
    <row r="2394" spans="1:8" x14ac:dyDescent="0.25">
      <c r="A2394" s="7">
        <v>44585</v>
      </c>
      <c r="B2394" s="8" t="s">
        <v>2765</v>
      </c>
      <c r="C2394" s="9" t="s">
        <v>137</v>
      </c>
      <c r="D2394" s="10">
        <v>5428.5</v>
      </c>
      <c r="E2394" s="11">
        <v>44585</v>
      </c>
      <c r="F2394" s="10">
        <v>5428.5</v>
      </c>
      <c r="G2394" s="12">
        <f>Tabla1[[#This Row],[Importe]]-Tabla1[[#This Row],[Pagado]]</f>
        <v>0</v>
      </c>
      <c r="H2394" s="9" t="s">
        <v>10</v>
      </c>
    </row>
    <row r="2395" spans="1:8" x14ac:dyDescent="0.25">
      <c r="A2395" s="7">
        <v>44585</v>
      </c>
      <c r="B2395" s="8" t="s">
        <v>2766</v>
      </c>
      <c r="C2395" s="9" t="s">
        <v>93</v>
      </c>
      <c r="D2395" s="10">
        <v>6153.5</v>
      </c>
      <c r="E2395" s="11">
        <v>44586</v>
      </c>
      <c r="F2395" s="10">
        <v>6153.5</v>
      </c>
      <c r="G2395" s="12">
        <f>Tabla1[[#This Row],[Importe]]-Tabla1[[#This Row],[Pagado]]</f>
        <v>0</v>
      </c>
      <c r="H2395" s="9" t="s">
        <v>10</v>
      </c>
    </row>
    <row r="2396" spans="1:8" x14ac:dyDescent="0.25">
      <c r="A2396" s="7">
        <v>44585</v>
      </c>
      <c r="B2396" s="8" t="s">
        <v>2767</v>
      </c>
      <c r="C2396" s="9" t="s">
        <v>99</v>
      </c>
      <c r="D2396" s="10">
        <v>5854.8</v>
      </c>
      <c r="E2396" s="11">
        <v>44588</v>
      </c>
      <c r="F2396" s="10">
        <v>5854.8</v>
      </c>
      <c r="G2396" s="12">
        <f>Tabla1[[#This Row],[Importe]]-Tabla1[[#This Row],[Pagado]]</f>
        <v>0</v>
      </c>
      <c r="H2396" s="9" t="s">
        <v>10</v>
      </c>
    </row>
    <row r="2397" spans="1:8" x14ac:dyDescent="0.25">
      <c r="A2397" s="7">
        <v>44585</v>
      </c>
      <c r="B2397" s="8" t="s">
        <v>2768</v>
      </c>
      <c r="C2397" s="9" t="s">
        <v>89</v>
      </c>
      <c r="D2397" s="10">
        <v>4144.6000000000004</v>
      </c>
      <c r="E2397" s="11">
        <v>44586</v>
      </c>
      <c r="F2397" s="10">
        <v>4144.6000000000004</v>
      </c>
      <c r="G2397" s="12">
        <f>Tabla1[[#This Row],[Importe]]-Tabla1[[#This Row],[Pagado]]</f>
        <v>0</v>
      </c>
      <c r="H2397" s="9" t="s">
        <v>10</v>
      </c>
    </row>
    <row r="2398" spans="1:8" x14ac:dyDescent="0.25">
      <c r="A2398" s="7">
        <v>44585</v>
      </c>
      <c r="B2398" s="8" t="s">
        <v>2769</v>
      </c>
      <c r="C2398" s="9" t="s">
        <v>22</v>
      </c>
      <c r="D2398" s="10">
        <v>45819.199999999997</v>
      </c>
      <c r="E2398" s="11">
        <v>44586</v>
      </c>
      <c r="F2398" s="10">
        <v>45819.199999999997</v>
      </c>
      <c r="G2398" s="12">
        <f>Tabla1[[#This Row],[Importe]]-Tabla1[[#This Row],[Pagado]]</f>
        <v>0</v>
      </c>
      <c r="H2398" s="9" t="s">
        <v>10</v>
      </c>
    </row>
    <row r="2399" spans="1:8" x14ac:dyDescent="0.25">
      <c r="A2399" s="7">
        <v>44585</v>
      </c>
      <c r="B2399" s="8" t="s">
        <v>2770</v>
      </c>
      <c r="C2399" s="9" t="s">
        <v>97</v>
      </c>
      <c r="D2399" s="10">
        <v>6100.9</v>
      </c>
      <c r="E2399" s="11">
        <v>44587</v>
      </c>
      <c r="F2399" s="10">
        <v>6100.9</v>
      </c>
      <c r="G2399" s="12">
        <f>Tabla1[[#This Row],[Importe]]-Tabla1[[#This Row],[Pagado]]</f>
        <v>0</v>
      </c>
      <c r="H2399" s="9" t="s">
        <v>10</v>
      </c>
    </row>
    <row r="2400" spans="1:8" x14ac:dyDescent="0.25">
      <c r="A2400" s="7">
        <v>44585</v>
      </c>
      <c r="B2400" s="8" t="s">
        <v>2771</v>
      </c>
      <c r="C2400" s="9" t="s">
        <v>137</v>
      </c>
      <c r="D2400" s="10">
        <v>17897.599999999999</v>
      </c>
      <c r="E2400" s="11">
        <v>44585</v>
      </c>
      <c r="F2400" s="10">
        <v>17897.599999999999</v>
      </c>
      <c r="G2400" s="12">
        <f>Tabla1[[#This Row],[Importe]]-Tabla1[[#This Row],[Pagado]]</f>
        <v>0</v>
      </c>
      <c r="H2400" s="9" t="s">
        <v>10</v>
      </c>
    </row>
    <row r="2401" spans="1:8" x14ac:dyDescent="0.25">
      <c r="A2401" s="7">
        <v>44585</v>
      </c>
      <c r="B2401" s="8" t="s">
        <v>2772</v>
      </c>
      <c r="C2401" s="9" t="s">
        <v>27</v>
      </c>
      <c r="D2401" s="10">
        <v>5824</v>
      </c>
      <c r="E2401" s="11">
        <v>44585</v>
      </c>
      <c r="F2401" s="10">
        <v>5824</v>
      </c>
      <c r="G2401" s="12">
        <f>Tabla1[[#This Row],[Importe]]-Tabla1[[#This Row],[Pagado]]</f>
        <v>0</v>
      </c>
      <c r="H2401" s="9" t="s">
        <v>10</v>
      </c>
    </row>
    <row r="2402" spans="1:8" ht="30" x14ac:dyDescent="0.25">
      <c r="A2402" s="7">
        <v>44585</v>
      </c>
      <c r="B2402" s="8" t="s">
        <v>2773</v>
      </c>
      <c r="C2402" s="9" t="s">
        <v>39</v>
      </c>
      <c r="D2402" s="10">
        <v>24669.5</v>
      </c>
      <c r="E2402" s="11" t="s">
        <v>2742</v>
      </c>
      <c r="F2402" s="10">
        <f>4000+20669.5</f>
        <v>24669.5</v>
      </c>
      <c r="G2402" s="12">
        <f>Tabla1[[#This Row],[Importe]]-Tabla1[[#This Row],[Pagado]]</f>
        <v>0</v>
      </c>
      <c r="H2402" s="9" t="s">
        <v>10</v>
      </c>
    </row>
    <row r="2403" spans="1:8" x14ac:dyDescent="0.25">
      <c r="A2403" s="7">
        <v>44585</v>
      </c>
      <c r="B2403" s="8" t="s">
        <v>2774</v>
      </c>
      <c r="C2403" s="9" t="s">
        <v>135</v>
      </c>
      <c r="D2403" s="10">
        <v>916.3</v>
      </c>
      <c r="E2403" s="11">
        <v>44585</v>
      </c>
      <c r="F2403" s="10">
        <v>916.3</v>
      </c>
      <c r="G2403" s="12">
        <f>Tabla1[[#This Row],[Importe]]-Tabla1[[#This Row],[Pagado]]</f>
        <v>0</v>
      </c>
      <c r="H2403" s="9" t="s">
        <v>10</v>
      </c>
    </row>
    <row r="2404" spans="1:8" x14ac:dyDescent="0.25">
      <c r="A2404" s="7">
        <v>44585</v>
      </c>
      <c r="B2404" s="8" t="s">
        <v>2775</v>
      </c>
      <c r="C2404" s="9" t="s">
        <v>179</v>
      </c>
      <c r="D2404" s="10">
        <v>460</v>
      </c>
      <c r="E2404" s="11">
        <v>44585</v>
      </c>
      <c r="F2404" s="10">
        <v>460</v>
      </c>
      <c r="G2404" s="12">
        <f>Tabla1[[#This Row],[Importe]]-Tabla1[[#This Row],[Pagado]]</f>
        <v>0</v>
      </c>
      <c r="H2404" s="9" t="s">
        <v>10</v>
      </c>
    </row>
    <row r="2405" spans="1:8" x14ac:dyDescent="0.25">
      <c r="A2405" s="7">
        <v>44585</v>
      </c>
      <c r="B2405" s="8" t="s">
        <v>2776</v>
      </c>
      <c r="C2405" s="9" t="s">
        <v>131</v>
      </c>
      <c r="D2405" s="10">
        <v>7496.5</v>
      </c>
      <c r="E2405" s="11">
        <v>44585</v>
      </c>
      <c r="F2405" s="10">
        <v>7496.5</v>
      </c>
      <c r="G2405" s="12">
        <f>Tabla1[[#This Row],[Importe]]-Tabla1[[#This Row],[Pagado]]</f>
        <v>0</v>
      </c>
      <c r="H2405" s="9" t="s">
        <v>10</v>
      </c>
    </row>
    <row r="2406" spans="1:8" x14ac:dyDescent="0.25">
      <c r="A2406" s="7">
        <v>44585</v>
      </c>
      <c r="B2406" s="8" t="s">
        <v>2777</v>
      </c>
      <c r="C2406" s="9" t="s">
        <v>142</v>
      </c>
      <c r="D2406" s="10">
        <v>12359.2</v>
      </c>
      <c r="E2406" s="11">
        <v>44589</v>
      </c>
      <c r="F2406" s="10">
        <v>12359.2</v>
      </c>
      <c r="G2406" s="12">
        <f>Tabla1[[#This Row],[Importe]]-Tabla1[[#This Row],[Pagado]]</f>
        <v>0</v>
      </c>
      <c r="H2406" s="9" t="s">
        <v>10</v>
      </c>
    </row>
    <row r="2407" spans="1:8" x14ac:dyDescent="0.25">
      <c r="A2407" s="7">
        <v>44585</v>
      </c>
      <c r="B2407" s="8" t="s">
        <v>2778</v>
      </c>
      <c r="C2407" s="9" t="s">
        <v>196</v>
      </c>
      <c r="D2407" s="10">
        <v>51496.14</v>
      </c>
      <c r="E2407" s="11">
        <v>44589</v>
      </c>
      <c r="F2407" s="10">
        <v>51496.14</v>
      </c>
      <c r="G2407" s="12">
        <f>Tabla1[[#This Row],[Importe]]-Tabla1[[#This Row],[Pagado]]</f>
        <v>0</v>
      </c>
      <c r="H2407" s="9" t="s">
        <v>10</v>
      </c>
    </row>
    <row r="2408" spans="1:8" x14ac:dyDescent="0.25">
      <c r="A2408" s="7">
        <v>44585</v>
      </c>
      <c r="B2408" s="8" t="s">
        <v>2779</v>
      </c>
      <c r="C2408" s="9" t="s">
        <v>2780</v>
      </c>
      <c r="D2408" s="10">
        <v>6584.1</v>
      </c>
      <c r="E2408" s="11">
        <v>44585</v>
      </c>
      <c r="F2408" s="10">
        <v>6584.1</v>
      </c>
      <c r="G2408" s="12">
        <f>Tabla1[[#This Row],[Importe]]-Tabla1[[#This Row],[Pagado]]</f>
        <v>0</v>
      </c>
      <c r="H2408" s="9" t="s">
        <v>10</v>
      </c>
    </row>
    <row r="2409" spans="1:8" x14ac:dyDescent="0.25">
      <c r="A2409" s="7">
        <v>44585</v>
      </c>
      <c r="B2409" s="8" t="s">
        <v>2781</v>
      </c>
      <c r="C2409" s="9" t="s">
        <v>127</v>
      </c>
      <c r="D2409" s="10">
        <v>5502.6</v>
      </c>
      <c r="E2409" s="11">
        <v>44585</v>
      </c>
      <c r="F2409" s="10">
        <v>5502.6</v>
      </c>
      <c r="G2409" s="12">
        <f>Tabla1[[#This Row],[Importe]]-Tabla1[[#This Row],[Pagado]]</f>
        <v>0</v>
      </c>
      <c r="H2409" s="9" t="s">
        <v>10</v>
      </c>
    </row>
    <row r="2410" spans="1:8" x14ac:dyDescent="0.25">
      <c r="A2410" s="7">
        <v>44585</v>
      </c>
      <c r="B2410" s="8" t="s">
        <v>2782</v>
      </c>
      <c r="C2410" s="9" t="s">
        <v>357</v>
      </c>
      <c r="D2410" s="10">
        <v>862.4</v>
      </c>
      <c r="E2410" s="11">
        <v>44585</v>
      </c>
      <c r="F2410" s="10">
        <v>862.4</v>
      </c>
      <c r="G2410" s="12">
        <f>Tabla1[[#This Row],[Importe]]-Tabla1[[#This Row],[Pagado]]</f>
        <v>0</v>
      </c>
      <c r="H2410" s="9" t="s">
        <v>10</v>
      </c>
    </row>
    <row r="2411" spans="1:8" x14ac:dyDescent="0.25">
      <c r="A2411" s="7">
        <v>44585</v>
      </c>
      <c r="B2411" s="8" t="s">
        <v>2783</v>
      </c>
      <c r="C2411" s="9" t="s">
        <v>129</v>
      </c>
      <c r="D2411" s="10">
        <v>5358.5</v>
      </c>
      <c r="E2411" s="11">
        <v>44585</v>
      </c>
      <c r="F2411" s="10">
        <v>5358.5</v>
      </c>
      <c r="G2411" s="12">
        <f>Tabla1[[#This Row],[Importe]]-Tabla1[[#This Row],[Pagado]]</f>
        <v>0</v>
      </c>
      <c r="H2411" s="9" t="s">
        <v>10</v>
      </c>
    </row>
    <row r="2412" spans="1:8" x14ac:dyDescent="0.25">
      <c r="A2412" s="7">
        <v>44585</v>
      </c>
      <c r="B2412" s="8" t="s">
        <v>2784</v>
      </c>
      <c r="C2412" s="9" t="s">
        <v>140</v>
      </c>
      <c r="D2412" s="10">
        <v>436.1</v>
      </c>
      <c r="E2412" s="11">
        <v>44585</v>
      </c>
      <c r="F2412" s="10">
        <v>436.1</v>
      </c>
      <c r="G2412" s="12">
        <f>Tabla1[[#This Row],[Importe]]-Tabla1[[#This Row],[Pagado]]</f>
        <v>0</v>
      </c>
      <c r="H2412" s="9" t="s">
        <v>10</v>
      </c>
    </row>
    <row r="2413" spans="1:8" x14ac:dyDescent="0.25">
      <c r="A2413" s="7">
        <v>44585</v>
      </c>
      <c r="B2413" s="8" t="s">
        <v>2785</v>
      </c>
      <c r="C2413" s="9" t="s">
        <v>196</v>
      </c>
      <c r="D2413" s="10">
        <v>3248.8</v>
      </c>
      <c r="E2413" s="11">
        <v>44589</v>
      </c>
      <c r="F2413" s="10">
        <v>3248.8</v>
      </c>
      <c r="G2413" s="12">
        <f>Tabla1[[#This Row],[Importe]]-Tabla1[[#This Row],[Pagado]]</f>
        <v>0</v>
      </c>
      <c r="H2413" s="9" t="s">
        <v>10</v>
      </c>
    </row>
    <row r="2414" spans="1:8" x14ac:dyDescent="0.25">
      <c r="A2414" s="7">
        <v>44585</v>
      </c>
      <c r="B2414" s="8" t="s">
        <v>2786</v>
      </c>
      <c r="C2414" s="9" t="s">
        <v>53</v>
      </c>
      <c r="D2414" s="10">
        <v>2299.1999999999998</v>
      </c>
      <c r="E2414" s="11">
        <v>44585</v>
      </c>
      <c r="F2414" s="10">
        <v>2299.1999999999998</v>
      </c>
      <c r="G2414" s="12">
        <f>Tabla1[[#This Row],[Importe]]-Tabla1[[#This Row],[Pagado]]</f>
        <v>0</v>
      </c>
      <c r="H2414" s="9" t="s">
        <v>10</v>
      </c>
    </row>
    <row r="2415" spans="1:8" x14ac:dyDescent="0.25">
      <c r="A2415" s="7">
        <v>44585</v>
      </c>
      <c r="B2415" s="8" t="s">
        <v>2787</v>
      </c>
      <c r="C2415" s="9" t="s">
        <v>373</v>
      </c>
      <c r="D2415" s="10">
        <v>1605.5</v>
      </c>
      <c r="E2415" s="11">
        <v>44585</v>
      </c>
      <c r="F2415" s="10">
        <v>1605.5</v>
      </c>
      <c r="G2415" s="12">
        <f>Tabla1[[#This Row],[Importe]]-Tabla1[[#This Row],[Pagado]]</f>
        <v>0</v>
      </c>
      <c r="H2415" s="9" t="s">
        <v>10</v>
      </c>
    </row>
    <row r="2416" spans="1:8" x14ac:dyDescent="0.25">
      <c r="A2416" s="7">
        <v>44585</v>
      </c>
      <c r="B2416" s="8" t="s">
        <v>2788</v>
      </c>
      <c r="C2416" s="9" t="s">
        <v>161</v>
      </c>
      <c r="D2416" s="10">
        <v>2613</v>
      </c>
      <c r="E2416" s="11">
        <v>44585</v>
      </c>
      <c r="F2416" s="10">
        <v>2613</v>
      </c>
      <c r="G2416" s="12">
        <f>Tabla1[[#This Row],[Importe]]-Tabla1[[#This Row],[Pagado]]</f>
        <v>0</v>
      </c>
      <c r="H2416" s="9" t="s">
        <v>10</v>
      </c>
    </row>
    <row r="2417" spans="1:8" x14ac:dyDescent="0.25">
      <c r="A2417" s="7">
        <v>44585</v>
      </c>
      <c r="B2417" s="8" t="s">
        <v>2789</v>
      </c>
      <c r="C2417" s="9" t="s">
        <v>83</v>
      </c>
      <c r="D2417" s="10">
        <v>8856.4</v>
      </c>
      <c r="E2417" s="11">
        <v>44585</v>
      </c>
      <c r="F2417" s="10">
        <v>8856.4</v>
      </c>
      <c r="G2417" s="12">
        <f>Tabla1[[#This Row],[Importe]]-Tabla1[[#This Row],[Pagado]]</f>
        <v>0</v>
      </c>
      <c r="H2417" s="9" t="s">
        <v>10</v>
      </c>
    </row>
    <row r="2418" spans="1:8" x14ac:dyDescent="0.25">
      <c r="A2418" s="7">
        <v>44585</v>
      </c>
      <c r="B2418" s="8" t="s">
        <v>2790</v>
      </c>
      <c r="C2418" s="9" t="s">
        <v>16</v>
      </c>
      <c r="D2418" s="10">
        <v>3533.5</v>
      </c>
      <c r="E2418" s="11">
        <v>44585</v>
      </c>
      <c r="F2418" s="10">
        <v>3533.5</v>
      </c>
      <c r="G2418" s="12">
        <f>Tabla1[[#This Row],[Importe]]-Tabla1[[#This Row],[Pagado]]</f>
        <v>0</v>
      </c>
      <c r="H2418" s="9" t="s">
        <v>10</v>
      </c>
    </row>
    <row r="2419" spans="1:8" x14ac:dyDescent="0.25">
      <c r="A2419" s="7">
        <v>44585</v>
      </c>
      <c r="B2419" s="8" t="s">
        <v>2791</v>
      </c>
      <c r="C2419" s="9" t="s">
        <v>261</v>
      </c>
      <c r="D2419" s="10">
        <v>38035.800000000003</v>
      </c>
      <c r="E2419" s="11">
        <v>44585</v>
      </c>
      <c r="F2419" s="10">
        <v>38035.800000000003</v>
      </c>
      <c r="G2419" s="12">
        <f>Tabla1[[#This Row],[Importe]]-Tabla1[[#This Row],[Pagado]]</f>
        <v>0</v>
      </c>
      <c r="H2419" s="9" t="s">
        <v>10</v>
      </c>
    </row>
    <row r="2420" spans="1:8" x14ac:dyDescent="0.25">
      <c r="A2420" s="7">
        <v>44585</v>
      </c>
      <c r="B2420" s="8" t="s">
        <v>2792</v>
      </c>
      <c r="C2420" s="9" t="s">
        <v>670</v>
      </c>
      <c r="D2420" s="10">
        <v>3553.2</v>
      </c>
      <c r="E2420" s="11">
        <v>44585</v>
      </c>
      <c r="F2420" s="10">
        <v>3553.2</v>
      </c>
      <c r="G2420" s="12">
        <f>Tabla1[[#This Row],[Importe]]-Tabla1[[#This Row],[Pagado]]</f>
        <v>0</v>
      </c>
      <c r="H2420" s="9" t="s">
        <v>10</v>
      </c>
    </row>
    <row r="2421" spans="1:8" x14ac:dyDescent="0.25">
      <c r="A2421" s="7">
        <v>44585</v>
      </c>
      <c r="B2421" s="8" t="s">
        <v>2793</v>
      </c>
      <c r="C2421" s="9" t="s">
        <v>146</v>
      </c>
      <c r="D2421" s="10">
        <v>1228.8</v>
      </c>
      <c r="E2421" s="11">
        <v>44585</v>
      </c>
      <c r="F2421" s="10">
        <v>1228.8</v>
      </c>
      <c r="G2421" s="12">
        <f>Tabla1[[#This Row],[Importe]]-Tabla1[[#This Row],[Pagado]]</f>
        <v>0</v>
      </c>
      <c r="H2421" s="9" t="s">
        <v>10</v>
      </c>
    </row>
    <row r="2422" spans="1:8" x14ac:dyDescent="0.25">
      <c r="A2422" s="7">
        <v>44585</v>
      </c>
      <c r="B2422" s="8" t="s">
        <v>2794</v>
      </c>
      <c r="C2422" s="9" t="s">
        <v>216</v>
      </c>
      <c r="D2422" s="10">
        <v>1460</v>
      </c>
      <c r="E2422" s="11">
        <v>44585</v>
      </c>
      <c r="F2422" s="10">
        <v>1460</v>
      </c>
      <c r="G2422" s="12">
        <f>Tabla1[[#This Row],[Importe]]-Tabla1[[#This Row],[Pagado]]</f>
        <v>0</v>
      </c>
      <c r="H2422" s="9" t="s">
        <v>10</v>
      </c>
    </row>
    <row r="2423" spans="1:8" x14ac:dyDescent="0.25">
      <c r="A2423" s="7">
        <v>44585</v>
      </c>
      <c r="B2423" s="8" t="s">
        <v>2795</v>
      </c>
      <c r="C2423" s="9" t="s">
        <v>144</v>
      </c>
      <c r="D2423" s="10">
        <v>2626.8</v>
      </c>
      <c r="E2423" s="11">
        <v>44585</v>
      </c>
      <c r="F2423" s="10">
        <v>2626.8</v>
      </c>
      <c r="G2423" s="12">
        <f>Tabla1[[#This Row],[Importe]]-Tabla1[[#This Row],[Pagado]]</f>
        <v>0</v>
      </c>
      <c r="H2423" s="9" t="s">
        <v>10</v>
      </c>
    </row>
    <row r="2424" spans="1:8" x14ac:dyDescent="0.25">
      <c r="A2424" s="7">
        <v>44585</v>
      </c>
      <c r="B2424" s="8" t="s">
        <v>2796</v>
      </c>
      <c r="C2424" s="9" t="s">
        <v>224</v>
      </c>
      <c r="D2424" s="10">
        <v>696</v>
      </c>
      <c r="E2424" s="11">
        <v>44585</v>
      </c>
      <c r="F2424" s="10">
        <v>696</v>
      </c>
      <c r="G2424" s="12">
        <f>Tabla1[[#This Row],[Importe]]-Tabla1[[#This Row],[Pagado]]</f>
        <v>0</v>
      </c>
      <c r="H2424" s="9" t="s">
        <v>10</v>
      </c>
    </row>
    <row r="2425" spans="1:8" x14ac:dyDescent="0.25">
      <c r="A2425" s="7">
        <v>44585</v>
      </c>
      <c r="B2425" s="8" t="s">
        <v>2797</v>
      </c>
      <c r="C2425" s="9" t="s">
        <v>314</v>
      </c>
      <c r="D2425" s="10">
        <v>985</v>
      </c>
      <c r="E2425" s="11">
        <v>44585</v>
      </c>
      <c r="F2425" s="10">
        <v>985</v>
      </c>
      <c r="G2425" s="12">
        <f>Tabla1[[#This Row],[Importe]]-Tabla1[[#This Row],[Pagado]]</f>
        <v>0</v>
      </c>
      <c r="H2425" s="9" t="s">
        <v>10</v>
      </c>
    </row>
    <row r="2426" spans="1:8" x14ac:dyDescent="0.25">
      <c r="A2426" s="7">
        <v>44585</v>
      </c>
      <c r="B2426" s="8" t="s">
        <v>2798</v>
      </c>
      <c r="C2426" s="9" t="s">
        <v>107</v>
      </c>
      <c r="D2426" s="10">
        <v>13709.7</v>
      </c>
      <c r="E2426" s="11">
        <v>44585</v>
      </c>
      <c r="F2426" s="10">
        <v>13709.7</v>
      </c>
      <c r="G2426" s="12">
        <f>Tabla1[[#This Row],[Importe]]-Tabla1[[#This Row],[Pagado]]</f>
        <v>0</v>
      </c>
      <c r="H2426" s="9" t="s">
        <v>10</v>
      </c>
    </row>
    <row r="2427" spans="1:8" x14ac:dyDescent="0.25">
      <c r="A2427" s="7">
        <v>44585</v>
      </c>
      <c r="B2427" s="8" t="s">
        <v>2799</v>
      </c>
      <c r="C2427" s="9" t="s">
        <v>91</v>
      </c>
      <c r="D2427" s="10">
        <v>3500</v>
      </c>
      <c r="E2427" s="11">
        <v>44587</v>
      </c>
      <c r="F2427" s="10">
        <v>3500</v>
      </c>
      <c r="G2427" s="12">
        <f>Tabla1[[#This Row],[Importe]]-Tabla1[[#This Row],[Pagado]]</f>
        <v>0</v>
      </c>
      <c r="H2427" s="9" t="s">
        <v>10</v>
      </c>
    </row>
    <row r="2428" spans="1:8" x14ac:dyDescent="0.25">
      <c r="A2428" s="7">
        <v>44585</v>
      </c>
      <c r="B2428" s="8" t="s">
        <v>2800</v>
      </c>
      <c r="C2428" s="9" t="s">
        <v>291</v>
      </c>
      <c r="D2428" s="10">
        <v>4480.3999999999996</v>
      </c>
      <c r="E2428" s="11">
        <v>44585</v>
      </c>
      <c r="F2428" s="10">
        <v>4480.3999999999996</v>
      </c>
      <c r="G2428" s="12">
        <f>Tabla1[[#This Row],[Importe]]-Tabla1[[#This Row],[Pagado]]</f>
        <v>0</v>
      </c>
      <c r="H2428" s="9" t="s">
        <v>10</v>
      </c>
    </row>
    <row r="2429" spans="1:8" x14ac:dyDescent="0.25">
      <c r="A2429" s="7">
        <v>44585</v>
      </c>
      <c r="B2429" s="8" t="s">
        <v>2801</v>
      </c>
      <c r="C2429" s="9" t="s">
        <v>45</v>
      </c>
      <c r="D2429" s="10">
        <v>9284.7999999999993</v>
      </c>
      <c r="E2429" s="11">
        <v>44585</v>
      </c>
      <c r="F2429" s="10">
        <v>9284.7999999999993</v>
      </c>
      <c r="G2429" s="12">
        <f>Tabla1[[#This Row],[Importe]]-Tabla1[[#This Row],[Pagado]]</f>
        <v>0</v>
      </c>
      <c r="H2429" s="9" t="s">
        <v>10</v>
      </c>
    </row>
    <row r="2430" spans="1:8" x14ac:dyDescent="0.25">
      <c r="A2430" s="7">
        <v>44585</v>
      </c>
      <c r="B2430" s="8" t="s">
        <v>2802</v>
      </c>
      <c r="C2430" s="9" t="s">
        <v>49</v>
      </c>
      <c r="D2430" s="10">
        <v>3211.9</v>
      </c>
      <c r="E2430" s="11">
        <v>44585</v>
      </c>
      <c r="F2430" s="10">
        <v>3211.9</v>
      </c>
      <c r="G2430" s="12">
        <f>Tabla1[[#This Row],[Importe]]-Tabla1[[#This Row],[Pagado]]</f>
        <v>0</v>
      </c>
      <c r="H2430" s="9" t="s">
        <v>10</v>
      </c>
    </row>
    <row r="2431" spans="1:8" x14ac:dyDescent="0.25">
      <c r="A2431" s="7">
        <v>44585</v>
      </c>
      <c r="B2431" s="8" t="s">
        <v>2803</v>
      </c>
      <c r="C2431" s="9" t="s">
        <v>2804</v>
      </c>
      <c r="D2431" s="10">
        <v>780</v>
      </c>
      <c r="E2431" s="11">
        <v>44585</v>
      </c>
      <c r="F2431" s="10">
        <v>780</v>
      </c>
      <c r="G2431" s="12">
        <f>Tabla1[[#This Row],[Importe]]-Tabla1[[#This Row],[Pagado]]</f>
        <v>0</v>
      </c>
      <c r="H2431" s="9" t="s">
        <v>10</v>
      </c>
    </row>
    <row r="2432" spans="1:8" x14ac:dyDescent="0.25">
      <c r="A2432" s="7">
        <v>44585</v>
      </c>
      <c r="B2432" s="8" t="s">
        <v>2805</v>
      </c>
      <c r="C2432" s="9" t="s">
        <v>214</v>
      </c>
      <c r="D2432" s="10">
        <v>9607.1</v>
      </c>
      <c r="E2432" s="11">
        <v>44586</v>
      </c>
      <c r="F2432" s="10">
        <v>9607.1</v>
      </c>
      <c r="G2432" s="12">
        <f>Tabla1[[#This Row],[Importe]]-Tabla1[[#This Row],[Pagado]]</f>
        <v>0</v>
      </c>
      <c r="H2432" s="9" t="s">
        <v>10</v>
      </c>
    </row>
    <row r="2433" spans="1:8" x14ac:dyDescent="0.25">
      <c r="A2433" s="7">
        <v>44585</v>
      </c>
      <c r="B2433" s="8" t="s">
        <v>2806</v>
      </c>
      <c r="C2433" s="9" t="s">
        <v>154</v>
      </c>
      <c r="D2433" s="10">
        <v>44510.8</v>
      </c>
      <c r="E2433" s="11">
        <v>44593</v>
      </c>
      <c r="F2433" s="10">
        <v>44510.8</v>
      </c>
      <c r="G2433" s="12">
        <f>Tabla1[[#This Row],[Importe]]-Tabla1[[#This Row],[Pagado]]</f>
        <v>0</v>
      </c>
      <c r="H2433" s="9" t="s">
        <v>10</v>
      </c>
    </row>
    <row r="2434" spans="1:8" x14ac:dyDescent="0.25">
      <c r="A2434" s="7">
        <v>44585</v>
      </c>
      <c r="B2434" s="8" t="s">
        <v>2807</v>
      </c>
      <c r="C2434" s="9" t="s">
        <v>240</v>
      </c>
      <c r="D2434" s="10">
        <v>9968</v>
      </c>
      <c r="E2434" s="11">
        <v>44585</v>
      </c>
      <c r="F2434" s="10">
        <v>9968</v>
      </c>
      <c r="G2434" s="12">
        <f>Tabla1[[#This Row],[Importe]]-Tabla1[[#This Row],[Pagado]]</f>
        <v>0</v>
      </c>
      <c r="H2434" s="9" t="s">
        <v>10</v>
      </c>
    </row>
    <row r="2435" spans="1:8" x14ac:dyDescent="0.25">
      <c r="A2435" s="7">
        <v>44585</v>
      </c>
      <c r="B2435" s="8" t="s">
        <v>2808</v>
      </c>
      <c r="C2435" s="9" t="s">
        <v>24</v>
      </c>
      <c r="D2435" s="10">
        <v>1222.0999999999999</v>
      </c>
      <c r="E2435" s="11">
        <v>44585</v>
      </c>
      <c r="F2435" s="10">
        <v>1222.0999999999999</v>
      </c>
      <c r="G2435" s="12">
        <f>Tabla1[[#This Row],[Importe]]-Tabla1[[#This Row],[Pagado]]</f>
        <v>0</v>
      </c>
      <c r="H2435" s="9" t="s">
        <v>10</v>
      </c>
    </row>
    <row r="2436" spans="1:8" x14ac:dyDescent="0.25">
      <c r="A2436" s="7">
        <v>44585</v>
      </c>
      <c r="B2436" s="8" t="s">
        <v>2809</v>
      </c>
      <c r="C2436" s="9" t="s">
        <v>230</v>
      </c>
      <c r="D2436" s="10">
        <v>4405.6000000000004</v>
      </c>
      <c r="E2436" s="11">
        <v>44585</v>
      </c>
      <c r="F2436" s="10">
        <v>4405.6000000000004</v>
      </c>
      <c r="G2436" s="12">
        <f>Tabla1[[#This Row],[Importe]]-Tabla1[[#This Row],[Pagado]]</f>
        <v>0</v>
      </c>
      <c r="H2436" s="9" t="s">
        <v>10</v>
      </c>
    </row>
    <row r="2437" spans="1:8" x14ac:dyDescent="0.25">
      <c r="A2437" s="7">
        <v>44585</v>
      </c>
      <c r="B2437" s="8" t="s">
        <v>2810</v>
      </c>
      <c r="C2437" s="9" t="s">
        <v>382</v>
      </c>
      <c r="D2437" s="10">
        <v>5744.4</v>
      </c>
      <c r="E2437" s="11">
        <v>44585</v>
      </c>
      <c r="F2437" s="10">
        <v>5744.4</v>
      </c>
      <c r="G2437" s="12">
        <f>Tabla1[[#This Row],[Importe]]-Tabla1[[#This Row],[Pagado]]</f>
        <v>0</v>
      </c>
      <c r="H2437" s="9" t="s">
        <v>10</v>
      </c>
    </row>
    <row r="2438" spans="1:8" x14ac:dyDescent="0.25">
      <c r="A2438" s="7">
        <v>44585</v>
      </c>
      <c r="B2438" s="8" t="s">
        <v>2811</v>
      </c>
      <c r="C2438" s="9" t="s">
        <v>62</v>
      </c>
      <c r="D2438" s="10">
        <v>7798.2</v>
      </c>
      <c r="E2438" s="11">
        <v>44585</v>
      </c>
      <c r="F2438" s="10">
        <v>7798.2</v>
      </c>
      <c r="G2438" s="12">
        <f>Tabla1[[#This Row],[Importe]]-Tabla1[[#This Row],[Pagado]]</f>
        <v>0</v>
      </c>
      <c r="H2438" s="9" t="s">
        <v>10</v>
      </c>
    </row>
    <row r="2439" spans="1:8" x14ac:dyDescent="0.25">
      <c r="A2439" s="7">
        <v>44585</v>
      </c>
      <c r="B2439" s="8" t="s">
        <v>2812</v>
      </c>
      <c r="C2439" s="9" t="s">
        <v>2114</v>
      </c>
      <c r="D2439" s="10">
        <v>900</v>
      </c>
      <c r="E2439" s="11">
        <v>44585</v>
      </c>
      <c r="F2439" s="10">
        <v>900</v>
      </c>
      <c r="G2439" s="12">
        <f>Tabla1[[#This Row],[Importe]]-Tabla1[[#This Row],[Pagado]]</f>
        <v>0</v>
      </c>
      <c r="H2439" s="9" t="s">
        <v>10</v>
      </c>
    </row>
    <row r="2440" spans="1:8" x14ac:dyDescent="0.25">
      <c r="A2440" s="7">
        <v>44585</v>
      </c>
      <c r="B2440" s="8" t="s">
        <v>2813</v>
      </c>
      <c r="C2440" s="9" t="s">
        <v>208</v>
      </c>
      <c r="D2440" s="10">
        <v>16720.400000000001</v>
      </c>
      <c r="E2440" s="11">
        <v>44593</v>
      </c>
      <c r="F2440" s="10">
        <v>16720.400000000001</v>
      </c>
      <c r="G2440" s="12">
        <f>Tabla1[[#This Row],[Importe]]-Tabla1[[#This Row],[Pagado]]</f>
        <v>0</v>
      </c>
      <c r="H2440" s="9" t="s">
        <v>10</v>
      </c>
    </row>
    <row r="2441" spans="1:8" x14ac:dyDescent="0.25">
      <c r="A2441" s="7">
        <v>44585</v>
      </c>
      <c r="B2441" s="8" t="s">
        <v>2814</v>
      </c>
      <c r="C2441" s="9" t="s">
        <v>1021</v>
      </c>
      <c r="D2441" s="10">
        <v>10169.6</v>
      </c>
      <c r="E2441" s="11">
        <v>44607</v>
      </c>
      <c r="F2441" s="10">
        <v>10169.6</v>
      </c>
      <c r="G2441" s="12">
        <f>Tabla1[[#This Row],[Importe]]-Tabla1[[#This Row],[Pagado]]</f>
        <v>0</v>
      </c>
      <c r="H2441" s="9" t="s">
        <v>10</v>
      </c>
    </row>
    <row r="2442" spans="1:8" x14ac:dyDescent="0.25">
      <c r="A2442" s="7">
        <v>44585</v>
      </c>
      <c r="B2442" s="8" t="s">
        <v>2815</v>
      </c>
      <c r="C2442" s="9" t="s">
        <v>222</v>
      </c>
      <c r="D2442" s="10">
        <v>5914.2</v>
      </c>
      <c r="E2442" s="11">
        <v>44585</v>
      </c>
      <c r="F2442" s="10">
        <v>5914.2</v>
      </c>
      <c r="G2442" s="12">
        <f>Tabla1[[#This Row],[Importe]]-Tabla1[[#This Row],[Pagado]]</f>
        <v>0</v>
      </c>
      <c r="H2442" s="9" t="s">
        <v>10</v>
      </c>
    </row>
    <row r="2443" spans="1:8" x14ac:dyDescent="0.25">
      <c r="A2443" s="7">
        <v>44585</v>
      </c>
      <c r="B2443" s="8" t="s">
        <v>2816</v>
      </c>
      <c r="C2443" s="9" t="s">
        <v>222</v>
      </c>
      <c r="D2443" s="10">
        <v>1837.5</v>
      </c>
      <c r="E2443" s="11">
        <v>44585</v>
      </c>
      <c r="F2443" s="10">
        <v>1837.5</v>
      </c>
      <c r="G2443" s="12">
        <f>Tabla1[[#This Row],[Importe]]-Tabla1[[#This Row],[Pagado]]</f>
        <v>0</v>
      </c>
      <c r="H2443" s="9" t="s">
        <v>10</v>
      </c>
    </row>
    <row r="2444" spans="1:8" x14ac:dyDescent="0.25">
      <c r="A2444" s="7">
        <v>44585</v>
      </c>
      <c r="B2444" s="8" t="s">
        <v>2817</v>
      </c>
      <c r="C2444" s="9" t="s">
        <v>206</v>
      </c>
      <c r="D2444" s="10">
        <v>21193.599999999999</v>
      </c>
      <c r="E2444" s="11">
        <v>44589</v>
      </c>
      <c r="F2444" s="10">
        <v>21193.599999999999</v>
      </c>
      <c r="G2444" s="12">
        <f>Tabla1[[#This Row],[Importe]]-Tabla1[[#This Row],[Pagado]]</f>
        <v>0</v>
      </c>
      <c r="H2444" s="9" t="s">
        <v>10</v>
      </c>
    </row>
    <row r="2445" spans="1:8" x14ac:dyDescent="0.25">
      <c r="A2445" s="7">
        <v>44585</v>
      </c>
      <c r="B2445" s="8" t="s">
        <v>2818</v>
      </c>
      <c r="C2445" s="9" t="s">
        <v>392</v>
      </c>
      <c r="D2445" s="10">
        <v>9739.6</v>
      </c>
      <c r="E2445" s="11">
        <v>44594</v>
      </c>
      <c r="F2445" s="10">
        <v>9739.6</v>
      </c>
      <c r="G2445" s="12">
        <f>Tabla1[[#This Row],[Importe]]-Tabla1[[#This Row],[Pagado]]</f>
        <v>0</v>
      </c>
      <c r="H2445" s="9" t="s">
        <v>10</v>
      </c>
    </row>
    <row r="2446" spans="1:8" x14ac:dyDescent="0.25">
      <c r="A2446" s="7">
        <v>44585</v>
      </c>
      <c r="B2446" s="8" t="s">
        <v>2819</v>
      </c>
      <c r="C2446" s="9" t="s">
        <v>173</v>
      </c>
      <c r="D2446" s="10">
        <v>27993.200000000001</v>
      </c>
      <c r="E2446" s="11">
        <v>44586</v>
      </c>
      <c r="F2446" s="10">
        <v>27993.200000000001</v>
      </c>
      <c r="G2446" s="12">
        <f>Tabla1[[#This Row],[Importe]]-Tabla1[[#This Row],[Pagado]]</f>
        <v>0</v>
      </c>
      <c r="H2446" s="9" t="s">
        <v>10</v>
      </c>
    </row>
    <row r="2447" spans="1:8" x14ac:dyDescent="0.25">
      <c r="A2447" s="7">
        <v>44585</v>
      </c>
      <c r="B2447" s="8" t="s">
        <v>2820</v>
      </c>
      <c r="C2447" s="9" t="s">
        <v>31</v>
      </c>
      <c r="D2447" s="10">
        <v>6942.6</v>
      </c>
      <c r="E2447" s="11">
        <v>44586</v>
      </c>
      <c r="F2447" s="10">
        <v>6942.6</v>
      </c>
      <c r="G2447" s="12">
        <f>Tabla1[[#This Row],[Importe]]-Tabla1[[#This Row],[Pagado]]</f>
        <v>0</v>
      </c>
      <c r="H2447" s="9" t="s">
        <v>10</v>
      </c>
    </row>
    <row r="2448" spans="1:8" x14ac:dyDescent="0.25">
      <c r="A2448" s="7">
        <v>44585</v>
      </c>
      <c r="B2448" s="8" t="s">
        <v>2821</v>
      </c>
      <c r="C2448" s="9" t="s">
        <v>69</v>
      </c>
      <c r="D2448" s="10">
        <v>2271.5</v>
      </c>
      <c r="E2448" s="11">
        <v>44585</v>
      </c>
      <c r="F2448" s="10">
        <v>2271.5</v>
      </c>
      <c r="G2448" s="12">
        <f>Tabla1[[#This Row],[Importe]]-Tabla1[[#This Row],[Pagado]]</f>
        <v>0</v>
      </c>
      <c r="H2448" s="9" t="s">
        <v>10</v>
      </c>
    </row>
    <row r="2449" spans="1:8" x14ac:dyDescent="0.25">
      <c r="A2449" s="7">
        <v>44585</v>
      </c>
      <c r="B2449" s="8" t="s">
        <v>2822</v>
      </c>
      <c r="C2449" s="9" t="s">
        <v>275</v>
      </c>
      <c r="D2449" s="10">
        <v>30579.200000000001</v>
      </c>
      <c r="E2449" s="11">
        <v>44597</v>
      </c>
      <c r="F2449" s="10">
        <v>30579.200000000001</v>
      </c>
      <c r="G2449" s="12">
        <f>Tabla1[[#This Row],[Importe]]-Tabla1[[#This Row],[Pagado]]</f>
        <v>0</v>
      </c>
      <c r="H2449" s="9" t="s">
        <v>10</v>
      </c>
    </row>
    <row r="2450" spans="1:8" x14ac:dyDescent="0.25">
      <c r="A2450" s="7">
        <v>44585</v>
      </c>
      <c r="B2450" s="8" t="s">
        <v>2823</v>
      </c>
      <c r="C2450" s="9" t="s">
        <v>133</v>
      </c>
      <c r="D2450" s="10">
        <v>14692.8</v>
      </c>
      <c r="E2450" s="11">
        <v>44586</v>
      </c>
      <c r="F2450" s="10">
        <v>14692.8</v>
      </c>
      <c r="G2450" s="12">
        <f>Tabla1[[#This Row],[Importe]]-Tabla1[[#This Row],[Pagado]]</f>
        <v>0</v>
      </c>
      <c r="H2450" s="9" t="s">
        <v>10</v>
      </c>
    </row>
    <row r="2451" spans="1:8" x14ac:dyDescent="0.25">
      <c r="A2451" s="7">
        <v>44585</v>
      </c>
      <c r="B2451" s="8" t="s">
        <v>2824</v>
      </c>
      <c r="C2451" s="9" t="s">
        <v>1630</v>
      </c>
      <c r="D2451" s="10">
        <v>8881.6</v>
      </c>
      <c r="E2451" s="11">
        <v>44586</v>
      </c>
      <c r="F2451" s="10">
        <v>8881.6</v>
      </c>
      <c r="G2451" s="12">
        <f>Tabla1[[#This Row],[Importe]]-Tabla1[[#This Row],[Pagado]]</f>
        <v>0</v>
      </c>
      <c r="H2451" s="9" t="s">
        <v>10</v>
      </c>
    </row>
    <row r="2452" spans="1:8" x14ac:dyDescent="0.25">
      <c r="A2452" s="7">
        <v>44585</v>
      </c>
      <c r="B2452" s="8" t="s">
        <v>2825</v>
      </c>
      <c r="C2452" s="9" t="s">
        <v>1064</v>
      </c>
      <c r="D2452" s="10">
        <v>3182.4</v>
      </c>
      <c r="E2452" s="11">
        <v>44585</v>
      </c>
      <c r="F2452" s="10">
        <v>3182.4</v>
      </c>
      <c r="G2452" s="12">
        <f>Tabla1[[#This Row],[Importe]]-Tabla1[[#This Row],[Pagado]]</f>
        <v>0</v>
      </c>
      <c r="H2452" s="9" t="s">
        <v>10</v>
      </c>
    </row>
    <row r="2453" spans="1:8" x14ac:dyDescent="0.25">
      <c r="A2453" s="7">
        <v>44585</v>
      </c>
      <c r="B2453" s="8" t="s">
        <v>2826</v>
      </c>
      <c r="C2453" s="9" t="s">
        <v>1644</v>
      </c>
      <c r="D2453" s="10">
        <v>8193.6</v>
      </c>
      <c r="E2453" s="11">
        <v>44586</v>
      </c>
      <c r="F2453" s="10">
        <v>8193.6</v>
      </c>
      <c r="G2453" s="12">
        <f>Tabla1[[#This Row],[Importe]]-Tabla1[[#This Row],[Pagado]]</f>
        <v>0</v>
      </c>
      <c r="H2453" s="9" t="s">
        <v>10</v>
      </c>
    </row>
    <row r="2454" spans="1:8" x14ac:dyDescent="0.25">
      <c r="A2454" s="7">
        <v>44585</v>
      </c>
      <c r="B2454" s="8" t="s">
        <v>2827</v>
      </c>
      <c r="C2454" s="9" t="s">
        <v>56</v>
      </c>
      <c r="D2454" s="10">
        <v>2019.6</v>
      </c>
      <c r="E2454" s="11">
        <v>44585</v>
      </c>
      <c r="F2454" s="10">
        <v>2019.6</v>
      </c>
      <c r="G2454" s="12">
        <f>Tabla1[[#This Row],[Importe]]-Tabla1[[#This Row],[Pagado]]</f>
        <v>0</v>
      </c>
      <c r="H2454" s="9" t="s">
        <v>10</v>
      </c>
    </row>
    <row r="2455" spans="1:8" x14ac:dyDescent="0.25">
      <c r="A2455" s="7">
        <v>44585</v>
      </c>
      <c r="B2455" s="8" t="s">
        <v>2828</v>
      </c>
      <c r="C2455" s="9" t="s">
        <v>228</v>
      </c>
      <c r="D2455" s="10">
        <v>5595.6</v>
      </c>
      <c r="E2455" s="11">
        <v>44585</v>
      </c>
      <c r="F2455" s="10">
        <v>5595.6</v>
      </c>
      <c r="G2455" s="12">
        <f>Tabla1[[#This Row],[Importe]]-Tabla1[[#This Row],[Pagado]]</f>
        <v>0</v>
      </c>
      <c r="H2455" s="9" t="s">
        <v>10</v>
      </c>
    </row>
    <row r="2456" spans="1:8" x14ac:dyDescent="0.25">
      <c r="A2456" s="7">
        <v>44585</v>
      </c>
      <c r="B2456" s="8" t="s">
        <v>2829</v>
      </c>
      <c r="C2456" s="9" t="s">
        <v>450</v>
      </c>
      <c r="D2456" s="10">
        <v>4313.6000000000004</v>
      </c>
      <c r="E2456" s="11">
        <v>44585</v>
      </c>
      <c r="F2456" s="10">
        <v>4313.6000000000004</v>
      </c>
      <c r="G2456" s="12">
        <f>Tabla1[[#This Row],[Importe]]-Tabla1[[#This Row],[Pagado]]</f>
        <v>0</v>
      </c>
      <c r="H2456" s="9" t="s">
        <v>10</v>
      </c>
    </row>
    <row r="2457" spans="1:8" x14ac:dyDescent="0.25">
      <c r="A2457" s="7">
        <v>44585</v>
      </c>
      <c r="B2457" s="8" t="s">
        <v>2830</v>
      </c>
      <c r="C2457" s="9" t="s">
        <v>414</v>
      </c>
      <c r="D2457" s="10">
        <v>15000</v>
      </c>
      <c r="E2457" s="11">
        <v>44585</v>
      </c>
      <c r="F2457" s="10">
        <v>15000</v>
      </c>
      <c r="G2457" s="12">
        <f>Tabla1[[#This Row],[Importe]]-Tabla1[[#This Row],[Pagado]]</f>
        <v>0</v>
      </c>
      <c r="H2457" s="9" t="s">
        <v>10</v>
      </c>
    </row>
    <row r="2458" spans="1:8" x14ac:dyDescent="0.25">
      <c r="A2458" s="7">
        <v>44585</v>
      </c>
      <c r="B2458" s="8" t="s">
        <v>2831</v>
      </c>
      <c r="C2458" s="9" t="s">
        <v>414</v>
      </c>
      <c r="D2458" s="10">
        <v>27.22</v>
      </c>
      <c r="E2458" s="11">
        <v>44601</v>
      </c>
      <c r="F2458" s="10">
        <v>27.22</v>
      </c>
      <c r="G2458" s="12">
        <f>Tabla1[[#This Row],[Importe]]-Tabla1[[#This Row],[Pagado]]</f>
        <v>0</v>
      </c>
      <c r="H2458" s="9" t="s">
        <v>10</v>
      </c>
    </row>
    <row r="2459" spans="1:8" x14ac:dyDescent="0.25">
      <c r="A2459" s="7">
        <v>44585</v>
      </c>
      <c r="B2459" s="8" t="s">
        <v>2832</v>
      </c>
      <c r="C2459" s="9" t="s">
        <v>157</v>
      </c>
      <c r="D2459" s="10">
        <v>1797.4</v>
      </c>
      <c r="E2459" s="11" t="s">
        <v>2833</v>
      </c>
      <c r="F2459" s="10">
        <v>1797.4</v>
      </c>
      <c r="G2459" s="12">
        <f>Tabla1[[#This Row],[Importe]]-Tabla1[[#This Row],[Pagado]]</f>
        <v>0</v>
      </c>
      <c r="H2459" s="9" t="s">
        <v>10</v>
      </c>
    </row>
    <row r="2460" spans="1:8" x14ac:dyDescent="0.25">
      <c r="A2460" s="7">
        <v>44585</v>
      </c>
      <c r="B2460" s="8" t="s">
        <v>2834</v>
      </c>
      <c r="C2460" s="9" t="s">
        <v>520</v>
      </c>
      <c r="D2460" s="10">
        <v>4766.8</v>
      </c>
      <c r="E2460" s="11" t="s">
        <v>2833</v>
      </c>
      <c r="F2460" s="10">
        <v>4766.8</v>
      </c>
      <c r="G2460" s="12">
        <f>Tabla1[[#This Row],[Importe]]-Tabla1[[#This Row],[Pagado]]</f>
        <v>0</v>
      </c>
      <c r="H2460" s="9" t="s">
        <v>10</v>
      </c>
    </row>
    <row r="2461" spans="1:8" x14ac:dyDescent="0.25">
      <c r="A2461" s="7">
        <v>44585</v>
      </c>
      <c r="B2461" s="8" t="s">
        <v>2835</v>
      </c>
      <c r="C2461" s="9" t="s">
        <v>525</v>
      </c>
      <c r="D2461" s="10">
        <v>384</v>
      </c>
      <c r="E2461" s="11" t="s">
        <v>2833</v>
      </c>
      <c r="F2461" s="10">
        <v>384</v>
      </c>
      <c r="G2461" s="12">
        <f>Tabla1[[#This Row],[Importe]]-Tabla1[[#This Row],[Pagado]]</f>
        <v>0</v>
      </c>
      <c r="H2461" s="9" t="s">
        <v>10</v>
      </c>
    </row>
    <row r="2462" spans="1:8" x14ac:dyDescent="0.25">
      <c r="A2462" s="7">
        <v>44585</v>
      </c>
      <c r="B2462" s="8" t="s">
        <v>2836</v>
      </c>
      <c r="C2462" s="9" t="s">
        <v>159</v>
      </c>
      <c r="D2462" s="10">
        <v>1574.2</v>
      </c>
      <c r="E2462" s="11" t="s">
        <v>2833</v>
      </c>
      <c r="F2462" s="10">
        <v>1574.2</v>
      </c>
      <c r="G2462" s="12">
        <f>Tabla1[[#This Row],[Importe]]-Tabla1[[#This Row],[Pagado]]</f>
        <v>0</v>
      </c>
      <c r="H2462" s="9" t="s">
        <v>10</v>
      </c>
    </row>
    <row r="2463" spans="1:8" x14ac:dyDescent="0.25">
      <c r="A2463" s="7">
        <v>44585</v>
      </c>
      <c r="B2463" s="8" t="s">
        <v>2837</v>
      </c>
      <c r="C2463" s="9" t="s">
        <v>151</v>
      </c>
      <c r="D2463" s="10">
        <v>2665.6</v>
      </c>
      <c r="E2463" s="11" t="s">
        <v>2833</v>
      </c>
      <c r="F2463" s="10">
        <v>2665.6</v>
      </c>
      <c r="G2463" s="12">
        <f>Tabla1[[#This Row],[Importe]]-Tabla1[[#This Row],[Pagado]]</f>
        <v>0</v>
      </c>
      <c r="H2463" s="9" t="s">
        <v>10</v>
      </c>
    </row>
    <row r="2464" spans="1:8" x14ac:dyDescent="0.25">
      <c r="A2464" s="7">
        <v>44585</v>
      </c>
      <c r="B2464" s="8" t="s">
        <v>2838</v>
      </c>
      <c r="C2464" s="9" t="s">
        <v>698</v>
      </c>
      <c r="D2464" s="10">
        <v>6438.4</v>
      </c>
      <c r="E2464" s="11">
        <v>44585</v>
      </c>
      <c r="F2464" s="10">
        <v>6438.4</v>
      </c>
      <c r="G2464" s="12">
        <f>Tabla1[[#This Row],[Importe]]-Tabla1[[#This Row],[Pagado]]</f>
        <v>0</v>
      </c>
      <c r="H2464" s="9" t="s">
        <v>10</v>
      </c>
    </row>
    <row r="2465" spans="1:8" x14ac:dyDescent="0.25">
      <c r="A2465" s="7">
        <v>44585</v>
      </c>
      <c r="B2465" s="8" t="s">
        <v>2839</v>
      </c>
      <c r="C2465" s="9" t="s">
        <v>407</v>
      </c>
      <c r="D2465" s="10">
        <v>51342</v>
      </c>
      <c r="E2465" s="11">
        <v>44587</v>
      </c>
      <c r="F2465" s="10">
        <v>51342</v>
      </c>
      <c r="G2465" s="12">
        <f>Tabla1[[#This Row],[Importe]]-Tabla1[[#This Row],[Pagado]]</f>
        <v>0</v>
      </c>
      <c r="H2465" s="9" t="s">
        <v>10</v>
      </c>
    </row>
    <row r="2466" spans="1:8" x14ac:dyDescent="0.25">
      <c r="A2466" s="7">
        <v>44585</v>
      </c>
      <c r="B2466" s="8" t="s">
        <v>2840</v>
      </c>
      <c r="C2466" s="9" t="s">
        <v>79</v>
      </c>
      <c r="D2466" s="10">
        <v>4715.6000000000004</v>
      </c>
      <c r="E2466" s="11">
        <v>44586</v>
      </c>
      <c r="F2466" s="10">
        <v>4715.6000000000004</v>
      </c>
      <c r="G2466" s="12">
        <f>Tabla1[[#This Row],[Importe]]-Tabla1[[#This Row],[Pagado]]</f>
        <v>0</v>
      </c>
      <c r="H2466" s="9" t="s">
        <v>10</v>
      </c>
    </row>
    <row r="2467" spans="1:8" x14ac:dyDescent="0.25">
      <c r="A2467" s="7">
        <v>44585</v>
      </c>
      <c r="B2467" s="8" t="s">
        <v>2841</v>
      </c>
      <c r="C2467" s="9" t="s">
        <v>1971</v>
      </c>
      <c r="D2467" s="10">
        <v>767.6</v>
      </c>
      <c r="E2467" s="11">
        <v>44586</v>
      </c>
      <c r="F2467" s="10">
        <v>767.6</v>
      </c>
      <c r="G2467" s="12">
        <f>Tabla1[[#This Row],[Importe]]-Tabla1[[#This Row],[Pagado]]</f>
        <v>0</v>
      </c>
      <c r="H2467" s="9" t="s">
        <v>10</v>
      </c>
    </row>
    <row r="2468" spans="1:8" x14ac:dyDescent="0.25">
      <c r="A2468" s="7">
        <v>44585</v>
      </c>
      <c r="B2468" s="8" t="s">
        <v>2842</v>
      </c>
      <c r="C2468" s="9" t="s">
        <v>79</v>
      </c>
      <c r="D2468" s="10">
        <v>2735</v>
      </c>
      <c r="E2468" s="11">
        <v>44586</v>
      </c>
      <c r="F2468" s="10">
        <v>2735</v>
      </c>
      <c r="G2468" s="12">
        <f>Tabla1[[#This Row],[Importe]]-Tabla1[[#This Row],[Pagado]]</f>
        <v>0</v>
      </c>
      <c r="H2468" s="9" t="s">
        <v>10</v>
      </c>
    </row>
    <row r="2469" spans="1:8" x14ac:dyDescent="0.25">
      <c r="A2469" s="7">
        <v>44585</v>
      </c>
      <c r="B2469" s="8" t="s">
        <v>2843</v>
      </c>
      <c r="C2469" s="9" t="s">
        <v>31</v>
      </c>
      <c r="D2469" s="10">
        <v>1117.5</v>
      </c>
      <c r="E2469" s="11">
        <v>44585</v>
      </c>
      <c r="F2469" s="10">
        <v>1117.5</v>
      </c>
      <c r="G2469" s="12">
        <f>Tabla1[[#This Row],[Importe]]-Tabla1[[#This Row],[Pagado]]</f>
        <v>0</v>
      </c>
      <c r="H2469" s="9" t="s">
        <v>10</v>
      </c>
    </row>
    <row r="2470" spans="1:8" x14ac:dyDescent="0.25">
      <c r="A2470" s="7">
        <v>44585</v>
      </c>
      <c r="B2470" s="8" t="s">
        <v>2844</v>
      </c>
      <c r="C2470" s="9" t="s">
        <v>31</v>
      </c>
      <c r="D2470" s="10">
        <v>1075</v>
      </c>
      <c r="E2470" s="11">
        <v>44585</v>
      </c>
      <c r="F2470" s="10">
        <v>1075</v>
      </c>
      <c r="G2470" s="12">
        <f>Tabla1[[#This Row],[Importe]]-Tabla1[[#This Row],[Pagado]]</f>
        <v>0</v>
      </c>
      <c r="H2470" s="9" t="s">
        <v>10</v>
      </c>
    </row>
    <row r="2471" spans="1:8" x14ac:dyDescent="0.25">
      <c r="A2471" s="7">
        <v>44585</v>
      </c>
      <c r="B2471" s="8" t="s">
        <v>2845</v>
      </c>
      <c r="C2471" s="9" t="s">
        <v>31</v>
      </c>
      <c r="D2471" s="10">
        <v>137.19999999999999</v>
      </c>
      <c r="E2471" s="11">
        <v>44585</v>
      </c>
      <c r="F2471" s="10">
        <v>137.19999999999999</v>
      </c>
      <c r="G2471" s="12">
        <f>Tabla1[[#This Row],[Importe]]-Tabla1[[#This Row],[Pagado]]</f>
        <v>0</v>
      </c>
      <c r="H2471" s="9" t="s">
        <v>10</v>
      </c>
    </row>
    <row r="2472" spans="1:8" x14ac:dyDescent="0.25">
      <c r="A2472" s="7">
        <v>44585</v>
      </c>
      <c r="B2472" s="8" t="s">
        <v>2846</v>
      </c>
      <c r="C2472" s="9" t="s">
        <v>249</v>
      </c>
      <c r="D2472" s="10">
        <v>7772.7</v>
      </c>
      <c r="E2472" s="11">
        <v>44585</v>
      </c>
      <c r="F2472" s="10">
        <v>7772.7</v>
      </c>
      <c r="G2472" s="12">
        <f>Tabla1[[#This Row],[Importe]]-Tabla1[[#This Row],[Pagado]]</f>
        <v>0</v>
      </c>
      <c r="H2472" s="9" t="s">
        <v>10</v>
      </c>
    </row>
    <row r="2473" spans="1:8" x14ac:dyDescent="0.25">
      <c r="A2473" s="7">
        <v>44585</v>
      </c>
      <c r="B2473" s="8" t="s">
        <v>2847</v>
      </c>
      <c r="C2473" s="9" t="s">
        <v>1313</v>
      </c>
      <c r="D2473" s="10">
        <v>10014</v>
      </c>
      <c r="E2473" s="11">
        <v>44585</v>
      </c>
      <c r="F2473" s="10">
        <v>10014</v>
      </c>
      <c r="G2473" s="12">
        <f>Tabla1[[#This Row],[Importe]]-Tabla1[[#This Row],[Pagado]]</f>
        <v>0</v>
      </c>
      <c r="H2473" s="9" t="s">
        <v>10</v>
      </c>
    </row>
    <row r="2474" spans="1:8" x14ac:dyDescent="0.25">
      <c r="A2474" s="7">
        <v>44585</v>
      </c>
      <c r="B2474" s="8" t="s">
        <v>2848</v>
      </c>
      <c r="C2474" s="9" t="s">
        <v>440</v>
      </c>
      <c r="D2474" s="10">
        <v>21485.360000000001</v>
      </c>
      <c r="E2474" s="11">
        <v>44596</v>
      </c>
      <c r="F2474" s="10">
        <v>21485.360000000001</v>
      </c>
      <c r="G2474" s="12">
        <f>Tabla1[[#This Row],[Importe]]-Tabla1[[#This Row],[Pagado]]</f>
        <v>0</v>
      </c>
      <c r="H2474" s="9" t="s">
        <v>10</v>
      </c>
    </row>
    <row r="2475" spans="1:8" x14ac:dyDescent="0.25">
      <c r="A2475" s="7">
        <v>44585</v>
      </c>
      <c r="B2475" s="8" t="s">
        <v>2849</v>
      </c>
      <c r="C2475" s="9" t="s">
        <v>191</v>
      </c>
      <c r="D2475" s="10">
        <v>15820.8</v>
      </c>
      <c r="E2475" s="11">
        <v>44585</v>
      </c>
      <c r="F2475" s="10">
        <v>15820.8</v>
      </c>
      <c r="G2475" s="12">
        <f>Tabla1[[#This Row],[Importe]]-Tabla1[[#This Row],[Pagado]]</f>
        <v>0</v>
      </c>
      <c r="H2475" s="9" t="s">
        <v>10</v>
      </c>
    </row>
    <row r="2476" spans="1:8" x14ac:dyDescent="0.25">
      <c r="A2476" s="7">
        <v>44585</v>
      </c>
      <c r="B2476" s="8" t="s">
        <v>2850</v>
      </c>
      <c r="C2476" s="9" t="s">
        <v>282</v>
      </c>
      <c r="D2476" s="10">
        <v>3415</v>
      </c>
      <c r="E2476" s="11">
        <v>44586</v>
      </c>
      <c r="F2476" s="10">
        <v>3415</v>
      </c>
      <c r="G2476" s="12">
        <f>Tabla1[[#This Row],[Importe]]-Tabla1[[#This Row],[Pagado]]</f>
        <v>0</v>
      </c>
      <c r="H2476" s="9" t="s">
        <v>10</v>
      </c>
    </row>
    <row r="2477" spans="1:8" x14ac:dyDescent="0.25">
      <c r="A2477" s="7">
        <v>44585</v>
      </c>
      <c r="B2477" s="8" t="s">
        <v>2851</v>
      </c>
      <c r="C2477" s="9" t="s">
        <v>284</v>
      </c>
      <c r="D2477" s="10">
        <v>6395</v>
      </c>
      <c r="E2477" s="11">
        <v>44586</v>
      </c>
      <c r="F2477" s="10">
        <v>6395</v>
      </c>
      <c r="G2477" s="12">
        <f>Tabla1[[#This Row],[Importe]]-Tabla1[[#This Row],[Pagado]]</f>
        <v>0</v>
      </c>
      <c r="H2477" s="9" t="s">
        <v>10</v>
      </c>
    </row>
    <row r="2478" spans="1:8" x14ac:dyDescent="0.25">
      <c r="A2478" s="7">
        <v>44585</v>
      </c>
      <c r="B2478" s="8" t="s">
        <v>2852</v>
      </c>
      <c r="C2478" s="9" t="s">
        <v>359</v>
      </c>
      <c r="D2478" s="10">
        <v>2668.1</v>
      </c>
      <c r="E2478" s="11">
        <v>44586</v>
      </c>
      <c r="F2478" s="10">
        <v>2668.1</v>
      </c>
      <c r="G2478" s="12">
        <f>Tabla1[[#This Row],[Importe]]-Tabla1[[#This Row],[Pagado]]</f>
        <v>0</v>
      </c>
      <c r="H2478" s="9" t="s">
        <v>10</v>
      </c>
    </row>
    <row r="2479" spans="1:8" x14ac:dyDescent="0.25">
      <c r="A2479" s="7">
        <v>44585</v>
      </c>
      <c r="B2479" s="8" t="s">
        <v>2853</v>
      </c>
      <c r="C2479" s="9" t="s">
        <v>280</v>
      </c>
      <c r="D2479" s="10">
        <v>495</v>
      </c>
      <c r="E2479" s="11">
        <v>44586</v>
      </c>
      <c r="F2479" s="10">
        <v>495</v>
      </c>
      <c r="G2479" s="12">
        <f>Tabla1[[#This Row],[Importe]]-Tabla1[[#This Row],[Pagado]]</f>
        <v>0</v>
      </c>
      <c r="H2479" s="9" t="s">
        <v>10</v>
      </c>
    </row>
    <row r="2480" spans="1:8" x14ac:dyDescent="0.25">
      <c r="A2480" s="7">
        <v>44585</v>
      </c>
      <c r="B2480" s="8" t="s">
        <v>2854</v>
      </c>
      <c r="C2480" s="9" t="s">
        <v>181</v>
      </c>
      <c r="D2480" s="10">
        <v>10421.6</v>
      </c>
      <c r="E2480" s="11">
        <v>44586</v>
      </c>
      <c r="F2480" s="10">
        <v>10421.6</v>
      </c>
      <c r="G2480" s="12">
        <f>Tabla1[[#This Row],[Importe]]-Tabla1[[#This Row],[Pagado]]</f>
        <v>0</v>
      </c>
      <c r="H2480" s="9" t="s">
        <v>10</v>
      </c>
    </row>
    <row r="2481" spans="1:8" x14ac:dyDescent="0.25">
      <c r="A2481" s="7">
        <v>44585</v>
      </c>
      <c r="B2481" s="8" t="s">
        <v>2855</v>
      </c>
      <c r="C2481" s="9" t="s">
        <v>175</v>
      </c>
      <c r="D2481" s="10">
        <v>14239.2</v>
      </c>
      <c r="E2481" s="11">
        <v>44586</v>
      </c>
      <c r="F2481" s="10">
        <v>14239.2</v>
      </c>
      <c r="G2481" s="12">
        <f>Tabla1[[#This Row],[Importe]]-Tabla1[[#This Row],[Pagado]]</f>
        <v>0</v>
      </c>
      <c r="H2481" s="9" t="s">
        <v>10</v>
      </c>
    </row>
    <row r="2482" spans="1:8" x14ac:dyDescent="0.25">
      <c r="A2482" s="7">
        <v>44585</v>
      </c>
      <c r="B2482" s="8" t="s">
        <v>2856</v>
      </c>
      <c r="C2482" s="9" t="s">
        <v>368</v>
      </c>
      <c r="D2482" s="10">
        <v>8116.8</v>
      </c>
      <c r="E2482" s="11">
        <v>44586</v>
      </c>
      <c r="F2482" s="10">
        <v>8116.8</v>
      </c>
      <c r="G2482" s="12">
        <f>Tabla1[[#This Row],[Importe]]-Tabla1[[#This Row],[Pagado]]</f>
        <v>0</v>
      </c>
      <c r="H2482" s="9" t="s">
        <v>10</v>
      </c>
    </row>
    <row r="2483" spans="1:8" x14ac:dyDescent="0.25">
      <c r="A2483" s="7">
        <v>44585</v>
      </c>
      <c r="B2483" s="8" t="s">
        <v>2857</v>
      </c>
      <c r="C2483" s="9" t="s">
        <v>2858</v>
      </c>
      <c r="D2483" s="10">
        <v>0</v>
      </c>
      <c r="E2483" s="13" t="s">
        <v>189</v>
      </c>
      <c r="F2483" s="10">
        <v>0</v>
      </c>
      <c r="G2483" s="12">
        <f>Tabla1[[#This Row],[Importe]]-Tabla1[[#This Row],[Pagado]]</f>
        <v>0</v>
      </c>
      <c r="H2483" s="9" t="s">
        <v>189</v>
      </c>
    </row>
    <row r="2484" spans="1:8" x14ac:dyDescent="0.25">
      <c r="A2484" s="7">
        <v>44585</v>
      </c>
      <c r="B2484" s="8" t="s">
        <v>2859</v>
      </c>
      <c r="C2484" s="9" t="s">
        <v>200</v>
      </c>
      <c r="D2484" s="10">
        <v>540</v>
      </c>
      <c r="E2484" s="11">
        <v>44586</v>
      </c>
      <c r="F2484" s="10">
        <v>540</v>
      </c>
      <c r="G2484" s="12">
        <f>Tabla1[[#This Row],[Importe]]-Tabla1[[#This Row],[Pagado]]</f>
        <v>0</v>
      </c>
      <c r="H2484" s="9" t="s">
        <v>10</v>
      </c>
    </row>
    <row r="2485" spans="1:8" x14ac:dyDescent="0.25">
      <c r="A2485" s="7">
        <v>44585</v>
      </c>
      <c r="B2485" s="8" t="s">
        <v>2860</v>
      </c>
      <c r="C2485" s="9" t="s">
        <v>426</v>
      </c>
      <c r="D2485" s="10">
        <v>2450</v>
      </c>
      <c r="E2485" s="11">
        <v>44586</v>
      </c>
      <c r="F2485" s="10">
        <v>2450</v>
      </c>
      <c r="G2485" s="12">
        <f>Tabla1[[#This Row],[Importe]]-Tabla1[[#This Row],[Pagado]]</f>
        <v>0</v>
      </c>
      <c r="H2485" s="9" t="s">
        <v>10</v>
      </c>
    </row>
    <row r="2486" spans="1:8" x14ac:dyDescent="0.25">
      <c r="A2486" s="7">
        <v>44585</v>
      </c>
      <c r="B2486" s="8" t="s">
        <v>2861</v>
      </c>
      <c r="C2486" s="9" t="s">
        <v>1490</v>
      </c>
      <c r="D2486" s="10">
        <v>1673.2</v>
      </c>
      <c r="E2486" s="11">
        <v>44586</v>
      </c>
      <c r="F2486" s="10">
        <v>1673.2</v>
      </c>
      <c r="G2486" s="12">
        <f>Tabla1[[#This Row],[Importe]]-Tabla1[[#This Row],[Pagado]]</f>
        <v>0</v>
      </c>
      <c r="H2486" s="9" t="s">
        <v>10</v>
      </c>
    </row>
    <row r="2487" spans="1:8" x14ac:dyDescent="0.25">
      <c r="A2487" s="7">
        <v>44585</v>
      </c>
      <c r="B2487" s="8" t="s">
        <v>2862</v>
      </c>
      <c r="C2487" s="9" t="s">
        <v>149</v>
      </c>
      <c r="D2487" s="10">
        <v>370.6</v>
      </c>
      <c r="E2487" s="11">
        <v>44585</v>
      </c>
      <c r="F2487" s="10">
        <v>370.6</v>
      </c>
      <c r="G2487" s="12">
        <f>Tabla1[[#This Row],[Importe]]-Tabla1[[#This Row],[Pagado]]</f>
        <v>0</v>
      </c>
      <c r="H2487" s="9" t="s">
        <v>10</v>
      </c>
    </row>
    <row r="2488" spans="1:8" x14ac:dyDescent="0.25">
      <c r="A2488" s="7">
        <v>44585</v>
      </c>
      <c r="B2488" s="8" t="s">
        <v>2863</v>
      </c>
      <c r="C2488" s="9" t="s">
        <v>31</v>
      </c>
      <c r="D2488" s="10">
        <v>1710.1</v>
      </c>
      <c r="E2488" s="11">
        <v>44585</v>
      </c>
      <c r="F2488" s="10">
        <v>1710.1</v>
      </c>
      <c r="G2488" s="12">
        <f>Tabla1[[#This Row],[Importe]]-Tabla1[[#This Row],[Pagado]]</f>
        <v>0</v>
      </c>
      <c r="H2488" s="9" t="s">
        <v>10</v>
      </c>
    </row>
    <row r="2489" spans="1:8" x14ac:dyDescent="0.25">
      <c r="A2489" s="7">
        <v>44585</v>
      </c>
      <c r="B2489" s="8" t="s">
        <v>2864</v>
      </c>
      <c r="C2489" s="9" t="s">
        <v>62</v>
      </c>
      <c r="D2489" s="10">
        <v>4082.4</v>
      </c>
      <c r="E2489" s="11">
        <v>44585</v>
      </c>
      <c r="F2489" s="10">
        <v>4082.4</v>
      </c>
      <c r="G2489" s="12">
        <f>Tabla1[[#This Row],[Importe]]-Tabla1[[#This Row],[Pagado]]</f>
        <v>0</v>
      </c>
      <c r="H2489" s="9" t="s">
        <v>10</v>
      </c>
    </row>
    <row r="2490" spans="1:8" x14ac:dyDescent="0.25">
      <c r="A2490" s="7">
        <v>44585</v>
      </c>
      <c r="B2490" s="8" t="s">
        <v>2865</v>
      </c>
      <c r="C2490" s="9" t="s">
        <v>269</v>
      </c>
      <c r="D2490" s="10">
        <v>2722.5</v>
      </c>
      <c r="E2490" s="11">
        <v>44585</v>
      </c>
      <c r="F2490" s="10">
        <v>2722.5</v>
      </c>
      <c r="G2490" s="12">
        <f>Tabla1[[#This Row],[Importe]]-Tabla1[[#This Row],[Pagado]]</f>
        <v>0</v>
      </c>
      <c r="H2490" s="9" t="s">
        <v>10</v>
      </c>
    </row>
    <row r="2491" spans="1:8" x14ac:dyDescent="0.25">
      <c r="A2491" s="7">
        <v>44585</v>
      </c>
      <c r="B2491" s="8" t="s">
        <v>2866</v>
      </c>
      <c r="C2491" s="9" t="s">
        <v>31</v>
      </c>
      <c r="D2491" s="10">
        <v>49</v>
      </c>
      <c r="E2491" s="11">
        <v>44585</v>
      </c>
      <c r="F2491" s="10">
        <v>49</v>
      </c>
      <c r="G2491" s="12">
        <f>Tabla1[[#This Row],[Importe]]-Tabla1[[#This Row],[Pagado]]</f>
        <v>0</v>
      </c>
      <c r="H2491" s="9" t="s">
        <v>10</v>
      </c>
    </row>
    <row r="2492" spans="1:8" x14ac:dyDescent="0.25">
      <c r="A2492" s="7">
        <v>44585</v>
      </c>
      <c r="B2492" s="8" t="s">
        <v>2867</v>
      </c>
      <c r="C2492" s="9" t="s">
        <v>365</v>
      </c>
      <c r="D2492" s="10">
        <v>732.6</v>
      </c>
      <c r="E2492" s="11">
        <v>44585</v>
      </c>
      <c r="F2492" s="10">
        <v>732.6</v>
      </c>
      <c r="G2492" s="12">
        <f>Tabla1[[#This Row],[Importe]]-Tabla1[[#This Row],[Pagado]]</f>
        <v>0</v>
      </c>
      <c r="H2492" s="9" t="s">
        <v>10</v>
      </c>
    </row>
    <row r="2493" spans="1:8" x14ac:dyDescent="0.25">
      <c r="A2493" s="7">
        <v>44585</v>
      </c>
      <c r="B2493" s="8" t="s">
        <v>2868</v>
      </c>
      <c r="C2493" s="9" t="s">
        <v>610</v>
      </c>
      <c r="D2493" s="10">
        <v>31569.200000000001</v>
      </c>
      <c r="E2493" s="11">
        <v>44592</v>
      </c>
      <c r="F2493" s="10">
        <v>31569.200000000001</v>
      </c>
      <c r="G2493" s="12">
        <f>Tabla1[[#This Row],[Importe]]-Tabla1[[#This Row],[Pagado]]</f>
        <v>0</v>
      </c>
      <c r="H2493" s="9" t="s">
        <v>10</v>
      </c>
    </row>
    <row r="2494" spans="1:8" x14ac:dyDescent="0.25">
      <c r="A2494" s="7">
        <v>44586</v>
      </c>
      <c r="B2494" s="8" t="s">
        <v>2869</v>
      </c>
      <c r="C2494" s="9" t="s">
        <v>12</v>
      </c>
      <c r="D2494" s="10">
        <v>21851.05</v>
      </c>
      <c r="E2494" s="11">
        <v>44587</v>
      </c>
      <c r="F2494" s="10">
        <v>21851.05</v>
      </c>
      <c r="G2494" s="12">
        <f>Tabla1[[#This Row],[Importe]]-Tabla1[[#This Row],[Pagado]]</f>
        <v>0</v>
      </c>
      <c r="H2494" s="9" t="s">
        <v>10</v>
      </c>
    </row>
    <row r="2495" spans="1:8" x14ac:dyDescent="0.25">
      <c r="A2495" s="7">
        <v>44586</v>
      </c>
      <c r="B2495" s="8" t="s">
        <v>2870</v>
      </c>
      <c r="C2495" s="9" t="s">
        <v>193</v>
      </c>
      <c r="D2495" s="10">
        <v>6000</v>
      </c>
      <c r="E2495" s="11">
        <v>44586</v>
      </c>
      <c r="F2495" s="10">
        <v>6000</v>
      </c>
      <c r="G2495" s="12">
        <f>Tabla1[[#This Row],[Importe]]-Tabla1[[#This Row],[Pagado]]</f>
        <v>0</v>
      </c>
      <c r="H2495" s="9" t="s">
        <v>10</v>
      </c>
    </row>
    <row r="2496" spans="1:8" x14ac:dyDescent="0.25">
      <c r="A2496" s="7">
        <v>44586</v>
      </c>
      <c r="B2496" s="8" t="s">
        <v>2871</v>
      </c>
      <c r="C2496" s="9" t="s">
        <v>481</v>
      </c>
      <c r="D2496" s="10">
        <v>1226</v>
      </c>
      <c r="E2496" s="11">
        <v>44586</v>
      </c>
      <c r="F2496" s="10">
        <v>1226</v>
      </c>
      <c r="G2496" s="12">
        <f>Tabla1[[#This Row],[Importe]]-Tabla1[[#This Row],[Pagado]]</f>
        <v>0</v>
      </c>
      <c r="H2496" s="9" t="s">
        <v>10</v>
      </c>
    </row>
    <row r="2497" spans="1:8" x14ac:dyDescent="0.25">
      <c r="A2497" s="7">
        <v>44586</v>
      </c>
      <c r="B2497" s="8" t="s">
        <v>2872</v>
      </c>
      <c r="C2497" s="9" t="s">
        <v>314</v>
      </c>
      <c r="D2497" s="10">
        <v>4504.5</v>
      </c>
      <c r="E2497" s="11">
        <v>44586</v>
      </c>
      <c r="F2497" s="10">
        <v>4504.5</v>
      </c>
      <c r="G2497" s="12">
        <f>Tabla1[[#This Row],[Importe]]-Tabla1[[#This Row],[Pagado]]</f>
        <v>0</v>
      </c>
      <c r="H2497" s="9" t="s">
        <v>10</v>
      </c>
    </row>
    <row r="2498" spans="1:8" x14ac:dyDescent="0.25">
      <c r="A2498" s="7">
        <v>44586</v>
      </c>
      <c r="B2498" s="8" t="s">
        <v>2873</v>
      </c>
      <c r="C2498" s="9" t="s">
        <v>2874</v>
      </c>
      <c r="D2498" s="10">
        <v>0</v>
      </c>
      <c r="E2498" s="13" t="s">
        <v>189</v>
      </c>
      <c r="F2498" s="10">
        <v>0</v>
      </c>
      <c r="G2498" s="12">
        <f>Tabla1[[#This Row],[Importe]]-Tabla1[[#This Row],[Pagado]]</f>
        <v>0</v>
      </c>
      <c r="H2498" s="17" t="s">
        <v>2875</v>
      </c>
    </row>
    <row r="2499" spans="1:8" x14ac:dyDescent="0.25">
      <c r="A2499" s="7">
        <v>44586</v>
      </c>
      <c r="B2499" s="8" t="s">
        <v>2876</v>
      </c>
      <c r="C2499" s="9" t="s">
        <v>9</v>
      </c>
      <c r="D2499" s="10">
        <v>5491.2</v>
      </c>
      <c r="E2499" s="11">
        <v>44586</v>
      </c>
      <c r="F2499" s="10">
        <v>5491.2</v>
      </c>
      <c r="G2499" s="12">
        <f>Tabla1[[#This Row],[Importe]]-Tabla1[[#This Row],[Pagado]]</f>
        <v>0</v>
      </c>
      <c r="H2499" s="9" t="s">
        <v>10</v>
      </c>
    </row>
    <row r="2500" spans="1:8" x14ac:dyDescent="0.25">
      <c r="A2500" s="7">
        <v>44586</v>
      </c>
      <c r="B2500" s="8" t="s">
        <v>2877</v>
      </c>
      <c r="C2500" s="9" t="s">
        <v>49</v>
      </c>
      <c r="D2500" s="10">
        <v>2035.5</v>
      </c>
      <c r="E2500" s="11">
        <v>44586</v>
      </c>
      <c r="F2500" s="10">
        <v>2035.5</v>
      </c>
      <c r="G2500" s="12">
        <f>Tabla1[[#This Row],[Importe]]-Tabla1[[#This Row],[Pagado]]</f>
        <v>0</v>
      </c>
      <c r="H2500" s="9" t="s">
        <v>10</v>
      </c>
    </row>
    <row r="2501" spans="1:8" x14ac:dyDescent="0.25">
      <c r="A2501" s="7">
        <v>44586</v>
      </c>
      <c r="B2501" s="8" t="s">
        <v>2878</v>
      </c>
      <c r="C2501" s="9" t="s">
        <v>85</v>
      </c>
      <c r="D2501" s="10">
        <v>1377.6</v>
      </c>
      <c r="E2501" s="11">
        <v>44586</v>
      </c>
      <c r="F2501" s="10">
        <v>1377.6</v>
      </c>
      <c r="G2501" s="12">
        <f>Tabla1[[#This Row],[Importe]]-Tabla1[[#This Row],[Pagado]]</f>
        <v>0</v>
      </c>
      <c r="H2501" s="9" t="s">
        <v>10</v>
      </c>
    </row>
    <row r="2502" spans="1:8" x14ac:dyDescent="0.25">
      <c r="A2502" s="7">
        <v>44586</v>
      </c>
      <c r="B2502" s="8" t="s">
        <v>2879</v>
      </c>
      <c r="C2502" s="9" t="s">
        <v>348</v>
      </c>
      <c r="D2502" s="10">
        <v>2074</v>
      </c>
      <c r="E2502" s="11">
        <v>44586</v>
      </c>
      <c r="F2502" s="10">
        <v>2074</v>
      </c>
      <c r="G2502" s="12">
        <f>Tabla1[[#This Row],[Importe]]-Tabla1[[#This Row],[Pagado]]</f>
        <v>0</v>
      </c>
      <c r="H2502" s="9" t="s">
        <v>10</v>
      </c>
    </row>
    <row r="2503" spans="1:8" x14ac:dyDescent="0.25">
      <c r="A2503" s="7">
        <v>44586</v>
      </c>
      <c r="B2503" s="8" t="s">
        <v>2880</v>
      </c>
      <c r="C2503" s="9" t="s">
        <v>99</v>
      </c>
      <c r="D2503" s="10">
        <v>840</v>
      </c>
      <c r="E2503" s="11">
        <v>44586</v>
      </c>
      <c r="F2503" s="10">
        <v>840</v>
      </c>
      <c r="G2503" s="12">
        <f>Tabla1[[#This Row],[Importe]]-Tabla1[[#This Row],[Pagado]]</f>
        <v>0</v>
      </c>
      <c r="H2503" s="9" t="s">
        <v>10</v>
      </c>
    </row>
    <row r="2504" spans="1:8" x14ac:dyDescent="0.25">
      <c r="A2504" s="7">
        <v>44586</v>
      </c>
      <c r="B2504" s="8" t="s">
        <v>2881</v>
      </c>
      <c r="C2504" s="9" t="s">
        <v>120</v>
      </c>
      <c r="D2504" s="10">
        <v>4433.3999999999996</v>
      </c>
      <c r="E2504" s="11">
        <v>44588</v>
      </c>
      <c r="F2504" s="10">
        <v>4433.3999999999996</v>
      </c>
      <c r="G2504" s="12">
        <f>Tabla1[[#This Row],[Importe]]-Tabla1[[#This Row],[Pagado]]</f>
        <v>0</v>
      </c>
      <c r="H2504" s="9" t="s">
        <v>10</v>
      </c>
    </row>
    <row r="2505" spans="1:8" x14ac:dyDescent="0.25">
      <c r="A2505" s="7">
        <v>44586</v>
      </c>
      <c r="B2505" s="8" t="s">
        <v>2882</v>
      </c>
      <c r="C2505" s="9" t="s">
        <v>39</v>
      </c>
      <c r="D2505" s="10">
        <v>17197.900000000001</v>
      </c>
      <c r="E2505" s="11">
        <v>44587</v>
      </c>
      <c r="F2505" s="10">
        <v>17197.900000000001</v>
      </c>
      <c r="G2505" s="12">
        <f>Tabla1[[#This Row],[Importe]]-Tabla1[[#This Row],[Pagado]]</f>
        <v>0</v>
      </c>
      <c r="H2505" s="9" t="s">
        <v>10</v>
      </c>
    </row>
    <row r="2506" spans="1:8" x14ac:dyDescent="0.25">
      <c r="A2506" s="7">
        <v>44586</v>
      </c>
      <c r="B2506" s="8" t="s">
        <v>2883</v>
      </c>
      <c r="C2506" s="9" t="s">
        <v>118</v>
      </c>
      <c r="D2506" s="10">
        <v>4833.6000000000004</v>
      </c>
      <c r="E2506" s="11">
        <v>44586</v>
      </c>
      <c r="F2506" s="10">
        <v>4833.6000000000004</v>
      </c>
      <c r="G2506" s="12">
        <f>Tabla1[[#This Row],[Importe]]-Tabla1[[#This Row],[Pagado]]</f>
        <v>0</v>
      </c>
      <c r="H2506" s="9" t="s">
        <v>10</v>
      </c>
    </row>
    <row r="2507" spans="1:8" x14ac:dyDescent="0.25">
      <c r="A2507" s="7">
        <v>44586</v>
      </c>
      <c r="B2507" s="8" t="s">
        <v>2884</v>
      </c>
      <c r="C2507" s="9" t="s">
        <v>111</v>
      </c>
      <c r="D2507" s="10">
        <v>5179.2</v>
      </c>
      <c r="E2507" s="11">
        <v>44588</v>
      </c>
      <c r="F2507" s="10">
        <v>5179.2</v>
      </c>
      <c r="G2507" s="12">
        <f>Tabla1[[#This Row],[Importe]]-Tabla1[[#This Row],[Pagado]]</f>
        <v>0</v>
      </c>
      <c r="H2507" s="9" t="s">
        <v>10</v>
      </c>
    </row>
    <row r="2508" spans="1:8" ht="30" x14ac:dyDescent="0.25">
      <c r="A2508" s="7">
        <v>44586</v>
      </c>
      <c r="B2508" s="8" t="s">
        <v>2885</v>
      </c>
      <c r="C2508" s="9" t="s">
        <v>22</v>
      </c>
      <c r="D2508" s="10">
        <v>35230.9</v>
      </c>
      <c r="E2508" s="11" t="s">
        <v>2886</v>
      </c>
      <c r="F2508" s="10">
        <f>26000+9230.9</f>
        <v>35230.9</v>
      </c>
      <c r="G2508" s="12">
        <f>Tabla1[[#This Row],[Importe]]-Tabla1[[#This Row],[Pagado]]</f>
        <v>0</v>
      </c>
      <c r="H2508" s="9" t="s">
        <v>10</v>
      </c>
    </row>
    <row r="2509" spans="1:8" x14ac:dyDescent="0.25">
      <c r="A2509" s="7">
        <v>44586</v>
      </c>
      <c r="B2509" s="8" t="s">
        <v>2887</v>
      </c>
      <c r="C2509" s="9" t="s">
        <v>64</v>
      </c>
      <c r="D2509" s="10">
        <v>4433.3999999999996</v>
      </c>
      <c r="E2509" s="11">
        <v>44587</v>
      </c>
      <c r="F2509" s="10">
        <v>4433.3999999999996</v>
      </c>
      <c r="G2509" s="12">
        <f>Tabla1[[#This Row],[Importe]]-Tabla1[[#This Row],[Pagado]]</f>
        <v>0</v>
      </c>
      <c r="H2509" s="9" t="s">
        <v>10</v>
      </c>
    </row>
    <row r="2510" spans="1:8" x14ac:dyDescent="0.25">
      <c r="A2510" s="7">
        <v>44586</v>
      </c>
      <c r="B2510" s="8" t="s">
        <v>2888</v>
      </c>
      <c r="C2510" s="9" t="s">
        <v>114</v>
      </c>
      <c r="D2510" s="10">
        <v>4659.2</v>
      </c>
      <c r="E2510" s="11">
        <v>44587</v>
      </c>
      <c r="F2510" s="10">
        <v>4659.2</v>
      </c>
      <c r="G2510" s="12">
        <f>Tabla1[[#This Row],[Importe]]-Tabla1[[#This Row],[Pagado]]</f>
        <v>0</v>
      </c>
      <c r="H2510" s="9" t="s">
        <v>10</v>
      </c>
    </row>
    <row r="2511" spans="1:8" x14ac:dyDescent="0.25">
      <c r="A2511" s="7">
        <v>44586</v>
      </c>
      <c r="B2511" s="8" t="s">
        <v>2889</v>
      </c>
      <c r="C2511" s="9" t="s">
        <v>93</v>
      </c>
      <c r="D2511" s="10">
        <v>6042.6</v>
      </c>
      <c r="E2511" s="11">
        <v>44587</v>
      </c>
      <c r="F2511" s="10">
        <v>6042.6</v>
      </c>
      <c r="G2511" s="12">
        <f>Tabla1[[#This Row],[Importe]]-Tabla1[[#This Row],[Pagado]]</f>
        <v>0</v>
      </c>
      <c r="H2511" s="9" t="s">
        <v>10</v>
      </c>
    </row>
    <row r="2512" spans="1:8" x14ac:dyDescent="0.25">
      <c r="A2512" s="7">
        <v>44586</v>
      </c>
      <c r="B2512" s="8" t="s">
        <v>2890</v>
      </c>
      <c r="C2512" s="9" t="s">
        <v>109</v>
      </c>
      <c r="D2512" s="10">
        <v>4742.3999999999996</v>
      </c>
      <c r="E2512" s="11">
        <v>44587</v>
      </c>
      <c r="F2512" s="10">
        <v>4742.3999999999996</v>
      </c>
      <c r="G2512" s="12">
        <f>Tabla1[[#This Row],[Importe]]-Tabla1[[#This Row],[Pagado]]</f>
        <v>0</v>
      </c>
      <c r="H2512" s="9" t="s">
        <v>10</v>
      </c>
    </row>
    <row r="2513" spans="1:8" x14ac:dyDescent="0.25">
      <c r="A2513" s="7">
        <v>44586</v>
      </c>
      <c r="B2513" s="8" t="s">
        <v>2891</v>
      </c>
      <c r="C2513" s="9" t="s">
        <v>60</v>
      </c>
      <c r="D2513" s="10">
        <v>3774.6</v>
      </c>
      <c r="E2513" s="11">
        <v>44587</v>
      </c>
      <c r="F2513" s="10">
        <v>3774.6</v>
      </c>
      <c r="G2513" s="12">
        <f>Tabla1[[#This Row],[Importe]]-Tabla1[[#This Row],[Pagado]]</f>
        <v>0</v>
      </c>
      <c r="H2513" s="9" t="s">
        <v>10</v>
      </c>
    </row>
    <row r="2514" spans="1:8" x14ac:dyDescent="0.25">
      <c r="A2514" s="7">
        <v>44586</v>
      </c>
      <c r="B2514" s="8" t="s">
        <v>2892</v>
      </c>
      <c r="C2514" s="9" t="s">
        <v>53</v>
      </c>
      <c r="D2514" s="10">
        <v>1107.4000000000001</v>
      </c>
      <c r="E2514" s="11">
        <v>44586</v>
      </c>
      <c r="F2514" s="10">
        <v>1107.4000000000001</v>
      </c>
      <c r="G2514" s="12">
        <f>Tabla1[[#This Row],[Importe]]-Tabla1[[#This Row],[Pagado]]</f>
        <v>0</v>
      </c>
      <c r="H2514" s="9" t="s">
        <v>10</v>
      </c>
    </row>
    <row r="2515" spans="1:8" x14ac:dyDescent="0.25">
      <c r="A2515" s="7">
        <v>44586</v>
      </c>
      <c r="B2515" s="8" t="s">
        <v>2893</v>
      </c>
      <c r="C2515" s="9" t="s">
        <v>24</v>
      </c>
      <c r="D2515" s="10">
        <v>3094</v>
      </c>
      <c r="E2515" s="11">
        <v>44586</v>
      </c>
      <c r="F2515" s="10">
        <v>3094</v>
      </c>
      <c r="G2515" s="12">
        <f>Tabla1[[#This Row],[Importe]]-Tabla1[[#This Row],[Pagado]]</f>
        <v>0</v>
      </c>
      <c r="H2515" s="9" t="s">
        <v>10</v>
      </c>
    </row>
    <row r="2516" spans="1:8" x14ac:dyDescent="0.25">
      <c r="A2516" s="7">
        <v>44586</v>
      </c>
      <c r="B2516" s="8" t="s">
        <v>2894</v>
      </c>
      <c r="C2516" s="9" t="s">
        <v>224</v>
      </c>
      <c r="D2516" s="10">
        <v>616.4</v>
      </c>
      <c r="E2516" s="11">
        <v>44586</v>
      </c>
      <c r="F2516" s="10">
        <v>616.4</v>
      </c>
      <c r="G2516" s="12">
        <f>Tabla1[[#This Row],[Importe]]-Tabla1[[#This Row],[Pagado]]</f>
        <v>0</v>
      </c>
      <c r="H2516" s="9" t="s">
        <v>10</v>
      </c>
    </row>
    <row r="2517" spans="1:8" x14ac:dyDescent="0.25">
      <c r="A2517" s="7">
        <v>44586</v>
      </c>
      <c r="B2517" s="8" t="s">
        <v>2895</v>
      </c>
      <c r="C2517" s="9" t="s">
        <v>142</v>
      </c>
      <c r="D2517" s="10">
        <v>66416.800000000003</v>
      </c>
      <c r="E2517" s="11">
        <v>44589</v>
      </c>
      <c r="F2517" s="10">
        <v>66416.800000000003</v>
      </c>
      <c r="G2517" s="12">
        <f>Tabla1[[#This Row],[Importe]]-Tabla1[[#This Row],[Pagado]]</f>
        <v>0</v>
      </c>
      <c r="H2517" s="9" t="s">
        <v>10</v>
      </c>
    </row>
    <row r="2518" spans="1:8" x14ac:dyDescent="0.25">
      <c r="A2518" s="7">
        <v>44586</v>
      </c>
      <c r="B2518" s="8" t="s">
        <v>2896</v>
      </c>
      <c r="C2518" s="9" t="s">
        <v>16</v>
      </c>
      <c r="D2518" s="10">
        <v>4470.8</v>
      </c>
      <c r="E2518" s="11">
        <v>44586</v>
      </c>
      <c r="F2518" s="10">
        <v>4470.8</v>
      </c>
      <c r="G2518" s="12">
        <f>Tabla1[[#This Row],[Importe]]-Tabla1[[#This Row],[Pagado]]</f>
        <v>0</v>
      </c>
      <c r="H2518" s="9" t="s">
        <v>10</v>
      </c>
    </row>
    <row r="2519" spans="1:8" x14ac:dyDescent="0.25">
      <c r="A2519" s="7">
        <v>44586</v>
      </c>
      <c r="B2519" s="8" t="s">
        <v>2897</v>
      </c>
      <c r="C2519" s="9" t="s">
        <v>159</v>
      </c>
      <c r="D2519" s="10">
        <v>4711.2</v>
      </c>
      <c r="E2519" s="11">
        <v>44586</v>
      </c>
      <c r="F2519" s="10">
        <v>4711.2</v>
      </c>
      <c r="G2519" s="12">
        <f>Tabla1[[#This Row],[Importe]]-Tabla1[[#This Row],[Pagado]]</f>
        <v>0</v>
      </c>
      <c r="H2519" s="9" t="s">
        <v>10</v>
      </c>
    </row>
    <row r="2520" spans="1:8" x14ac:dyDescent="0.25">
      <c r="A2520" s="7">
        <v>44586</v>
      </c>
      <c r="B2520" s="8" t="s">
        <v>2898</v>
      </c>
      <c r="C2520" s="9" t="s">
        <v>520</v>
      </c>
      <c r="D2520" s="10">
        <v>2236.4</v>
      </c>
      <c r="E2520" s="11">
        <v>44586</v>
      </c>
      <c r="F2520" s="10">
        <v>2236.4</v>
      </c>
      <c r="G2520" s="12">
        <f>Tabla1[[#This Row],[Importe]]-Tabla1[[#This Row],[Pagado]]</f>
        <v>0</v>
      </c>
      <c r="H2520" s="9" t="s">
        <v>10</v>
      </c>
    </row>
    <row r="2521" spans="1:8" x14ac:dyDescent="0.25">
      <c r="A2521" s="7">
        <v>44586</v>
      </c>
      <c r="B2521" s="8" t="s">
        <v>2899</v>
      </c>
      <c r="C2521" s="9" t="s">
        <v>27</v>
      </c>
      <c r="D2521" s="10">
        <v>4392.3999999999996</v>
      </c>
      <c r="E2521" s="11">
        <v>44586</v>
      </c>
      <c r="F2521" s="10">
        <v>4392.3999999999996</v>
      </c>
      <c r="G2521" s="12">
        <f>Tabla1[[#This Row],[Importe]]-Tabla1[[#This Row],[Pagado]]</f>
        <v>0</v>
      </c>
      <c r="H2521" s="9" t="s">
        <v>10</v>
      </c>
    </row>
    <row r="2522" spans="1:8" x14ac:dyDescent="0.25">
      <c r="A2522" s="7">
        <v>44586</v>
      </c>
      <c r="B2522" s="8" t="s">
        <v>2900</v>
      </c>
      <c r="C2522" s="9" t="s">
        <v>142</v>
      </c>
      <c r="D2522" s="10">
        <v>10750</v>
      </c>
      <c r="E2522" s="11">
        <v>44589</v>
      </c>
      <c r="F2522" s="10">
        <v>10750</v>
      </c>
      <c r="G2522" s="12">
        <f>Tabla1[[#This Row],[Importe]]-Tabla1[[#This Row],[Pagado]]</f>
        <v>0</v>
      </c>
      <c r="H2522" s="9" t="s">
        <v>10</v>
      </c>
    </row>
    <row r="2523" spans="1:8" x14ac:dyDescent="0.25">
      <c r="A2523" s="7">
        <v>44586</v>
      </c>
      <c r="B2523" s="8" t="s">
        <v>2901</v>
      </c>
      <c r="C2523" s="9" t="s">
        <v>670</v>
      </c>
      <c r="D2523" s="10">
        <v>4239.8999999999996</v>
      </c>
      <c r="E2523" s="11">
        <v>44586</v>
      </c>
      <c r="F2523" s="10">
        <v>4239.8999999999996</v>
      </c>
      <c r="G2523" s="12">
        <f>Tabla1[[#This Row],[Importe]]-Tabla1[[#This Row],[Pagado]]</f>
        <v>0</v>
      </c>
      <c r="H2523" s="9" t="s">
        <v>10</v>
      </c>
    </row>
    <row r="2524" spans="1:8" x14ac:dyDescent="0.25">
      <c r="A2524" s="7">
        <v>44586</v>
      </c>
      <c r="B2524" s="8" t="s">
        <v>2902</v>
      </c>
      <c r="C2524" s="9" t="s">
        <v>51</v>
      </c>
      <c r="D2524" s="10">
        <v>1214.4000000000001</v>
      </c>
      <c r="E2524" s="11">
        <v>44586</v>
      </c>
      <c r="F2524" s="10">
        <v>1214.4000000000001</v>
      </c>
      <c r="G2524" s="12">
        <f>Tabla1[[#This Row],[Importe]]-Tabla1[[#This Row],[Pagado]]</f>
        <v>0</v>
      </c>
      <c r="H2524" s="9" t="s">
        <v>10</v>
      </c>
    </row>
    <row r="2525" spans="1:8" x14ac:dyDescent="0.25">
      <c r="A2525" s="7">
        <v>44586</v>
      </c>
      <c r="B2525" s="8" t="s">
        <v>2903</v>
      </c>
      <c r="C2525" s="9" t="s">
        <v>140</v>
      </c>
      <c r="D2525" s="10">
        <v>3897.6</v>
      </c>
      <c r="E2525" s="11">
        <v>44586</v>
      </c>
      <c r="F2525" s="10">
        <v>3897.6</v>
      </c>
      <c r="G2525" s="12">
        <f>Tabla1[[#This Row],[Importe]]-Tabla1[[#This Row],[Pagado]]</f>
        <v>0</v>
      </c>
      <c r="H2525" s="9" t="s">
        <v>10</v>
      </c>
    </row>
    <row r="2526" spans="1:8" x14ac:dyDescent="0.25">
      <c r="A2526" s="7">
        <v>44586</v>
      </c>
      <c r="B2526" s="8" t="s">
        <v>2904</v>
      </c>
      <c r="C2526" s="9" t="s">
        <v>2905</v>
      </c>
      <c r="D2526" s="10">
        <v>0</v>
      </c>
      <c r="E2526" s="13" t="s">
        <v>189</v>
      </c>
      <c r="F2526" s="10">
        <v>0</v>
      </c>
      <c r="G2526" s="12">
        <f>Tabla1[[#This Row],[Importe]]-Tabla1[[#This Row],[Pagado]]</f>
        <v>0</v>
      </c>
      <c r="H2526" s="9" t="s">
        <v>189</v>
      </c>
    </row>
    <row r="2527" spans="1:8" x14ac:dyDescent="0.25">
      <c r="A2527" s="7">
        <v>44586</v>
      </c>
      <c r="B2527" s="8" t="s">
        <v>2906</v>
      </c>
      <c r="C2527" s="9" t="s">
        <v>198</v>
      </c>
      <c r="D2527" s="10">
        <v>3458.4</v>
      </c>
      <c r="E2527" s="11">
        <v>44586</v>
      </c>
      <c r="F2527" s="10">
        <v>3458.4</v>
      </c>
      <c r="G2527" s="12">
        <f>Tabla1[[#This Row],[Importe]]-Tabla1[[#This Row],[Pagado]]</f>
        <v>0</v>
      </c>
      <c r="H2527" s="9" t="s">
        <v>10</v>
      </c>
    </row>
    <row r="2528" spans="1:8" x14ac:dyDescent="0.25">
      <c r="A2528" s="7">
        <v>44586</v>
      </c>
      <c r="B2528" s="8" t="s">
        <v>2907</v>
      </c>
      <c r="C2528" s="9" t="s">
        <v>157</v>
      </c>
      <c r="D2528" s="10">
        <v>2843</v>
      </c>
      <c r="E2528" s="11">
        <v>44586</v>
      </c>
      <c r="F2528" s="10">
        <v>2843</v>
      </c>
      <c r="G2528" s="12">
        <f>Tabla1[[#This Row],[Importe]]-Tabla1[[#This Row],[Pagado]]</f>
        <v>0</v>
      </c>
      <c r="H2528" s="9" t="s">
        <v>10</v>
      </c>
    </row>
    <row r="2529" spans="1:8" x14ac:dyDescent="0.25">
      <c r="A2529" s="7">
        <v>44586</v>
      </c>
      <c r="B2529" s="8" t="s">
        <v>2908</v>
      </c>
      <c r="C2529" s="9" t="s">
        <v>146</v>
      </c>
      <c r="D2529" s="10">
        <v>1310.4000000000001</v>
      </c>
      <c r="E2529" s="11">
        <v>44586</v>
      </c>
      <c r="F2529" s="10">
        <v>1310.4000000000001</v>
      </c>
      <c r="G2529" s="12">
        <f>Tabla1[[#This Row],[Importe]]-Tabla1[[#This Row],[Pagado]]</f>
        <v>0</v>
      </c>
      <c r="H2529" s="9" t="s">
        <v>10</v>
      </c>
    </row>
    <row r="2530" spans="1:8" x14ac:dyDescent="0.25">
      <c r="A2530" s="7">
        <v>44586</v>
      </c>
      <c r="B2530" s="8" t="s">
        <v>2909</v>
      </c>
      <c r="C2530" s="9" t="s">
        <v>314</v>
      </c>
      <c r="D2530" s="10">
        <v>1250</v>
      </c>
      <c r="E2530" s="11">
        <v>44586</v>
      </c>
      <c r="F2530" s="10">
        <v>1250</v>
      </c>
      <c r="G2530" s="12">
        <f>Tabla1[[#This Row],[Importe]]-Tabla1[[#This Row],[Pagado]]</f>
        <v>0</v>
      </c>
      <c r="H2530" s="9" t="s">
        <v>10</v>
      </c>
    </row>
    <row r="2531" spans="1:8" x14ac:dyDescent="0.25">
      <c r="A2531" s="7">
        <v>44586</v>
      </c>
      <c r="B2531" s="8" t="s">
        <v>2910</v>
      </c>
      <c r="C2531" s="9" t="s">
        <v>357</v>
      </c>
      <c r="D2531" s="10">
        <v>450.8</v>
      </c>
      <c r="E2531" s="11">
        <v>44586</v>
      </c>
      <c r="F2531" s="10">
        <v>450.8</v>
      </c>
      <c r="G2531" s="12">
        <f>Tabla1[[#This Row],[Importe]]-Tabla1[[#This Row],[Pagado]]</f>
        <v>0</v>
      </c>
      <c r="H2531" s="9" t="s">
        <v>10</v>
      </c>
    </row>
    <row r="2532" spans="1:8" x14ac:dyDescent="0.25">
      <c r="A2532" s="7">
        <v>44586</v>
      </c>
      <c r="B2532" s="8" t="s">
        <v>2911</v>
      </c>
      <c r="C2532" s="9" t="s">
        <v>129</v>
      </c>
      <c r="D2532" s="10">
        <v>1906.1</v>
      </c>
      <c r="E2532" s="11">
        <v>44586</v>
      </c>
      <c r="F2532" s="10">
        <v>1906.1</v>
      </c>
      <c r="G2532" s="12">
        <f>Tabla1[[#This Row],[Importe]]-Tabla1[[#This Row],[Pagado]]</f>
        <v>0</v>
      </c>
      <c r="H2532" s="9" t="s">
        <v>10</v>
      </c>
    </row>
    <row r="2533" spans="1:8" x14ac:dyDescent="0.25">
      <c r="A2533" s="7">
        <v>44586</v>
      </c>
      <c r="B2533" s="8" t="s">
        <v>2912</v>
      </c>
      <c r="C2533" s="9" t="s">
        <v>87</v>
      </c>
      <c r="D2533" s="10">
        <v>850.2</v>
      </c>
      <c r="E2533" s="11">
        <v>44586</v>
      </c>
      <c r="F2533" s="10">
        <v>850.2</v>
      </c>
      <c r="G2533" s="12">
        <f>Tabla1[[#This Row],[Importe]]-Tabla1[[#This Row],[Pagado]]</f>
        <v>0</v>
      </c>
      <c r="H2533" s="9" t="s">
        <v>10</v>
      </c>
    </row>
    <row r="2534" spans="1:8" x14ac:dyDescent="0.25">
      <c r="A2534" s="7">
        <v>44586</v>
      </c>
      <c r="B2534" s="8" t="s">
        <v>2913</v>
      </c>
      <c r="C2534" s="9" t="s">
        <v>107</v>
      </c>
      <c r="D2534" s="10">
        <v>14467.6</v>
      </c>
      <c r="E2534" s="11">
        <v>44586</v>
      </c>
      <c r="F2534" s="10">
        <v>14467.6</v>
      </c>
      <c r="G2534" s="12">
        <f>Tabla1[[#This Row],[Importe]]-Tabla1[[#This Row],[Pagado]]</f>
        <v>0</v>
      </c>
      <c r="H2534" s="9" t="s">
        <v>10</v>
      </c>
    </row>
    <row r="2535" spans="1:8" x14ac:dyDescent="0.25">
      <c r="A2535" s="7">
        <v>44586</v>
      </c>
      <c r="B2535" s="8" t="s">
        <v>2914</v>
      </c>
      <c r="C2535" s="9" t="s">
        <v>79</v>
      </c>
      <c r="D2535" s="10">
        <v>1960</v>
      </c>
      <c r="E2535" s="11">
        <v>44586</v>
      </c>
      <c r="F2535" s="10">
        <v>1960</v>
      </c>
      <c r="G2535" s="12">
        <f>Tabla1[[#This Row],[Importe]]-Tabla1[[#This Row],[Pagado]]</f>
        <v>0</v>
      </c>
      <c r="H2535" s="9" t="s">
        <v>10</v>
      </c>
    </row>
    <row r="2536" spans="1:8" x14ac:dyDescent="0.25">
      <c r="A2536" s="7">
        <v>44586</v>
      </c>
      <c r="B2536" s="8" t="s">
        <v>2915</v>
      </c>
      <c r="C2536" s="9" t="s">
        <v>419</v>
      </c>
      <c r="D2536" s="10">
        <v>7155.2</v>
      </c>
      <c r="E2536" s="11">
        <v>44586</v>
      </c>
      <c r="F2536" s="10">
        <v>7155.2</v>
      </c>
      <c r="G2536" s="12">
        <f>Tabla1[[#This Row],[Importe]]-Tabla1[[#This Row],[Pagado]]</f>
        <v>0</v>
      </c>
      <c r="H2536" s="9" t="s">
        <v>10</v>
      </c>
    </row>
    <row r="2537" spans="1:8" x14ac:dyDescent="0.25">
      <c r="A2537" s="7">
        <v>44586</v>
      </c>
      <c r="B2537" s="8" t="s">
        <v>2916</v>
      </c>
      <c r="C2537" s="9" t="s">
        <v>45</v>
      </c>
      <c r="D2537" s="10">
        <v>8027.4</v>
      </c>
      <c r="E2537" s="11">
        <v>44586</v>
      </c>
      <c r="F2537" s="10">
        <v>8027.4</v>
      </c>
      <c r="G2537" s="12">
        <f>Tabla1[[#This Row],[Importe]]-Tabla1[[#This Row],[Pagado]]</f>
        <v>0</v>
      </c>
      <c r="H2537" s="9" t="s">
        <v>10</v>
      </c>
    </row>
    <row r="2538" spans="1:8" x14ac:dyDescent="0.25">
      <c r="A2538" s="7">
        <v>44586</v>
      </c>
      <c r="B2538" s="8" t="s">
        <v>2917</v>
      </c>
      <c r="C2538" s="9" t="s">
        <v>83</v>
      </c>
      <c r="D2538" s="10">
        <v>4324.1000000000004</v>
      </c>
      <c r="E2538" s="11">
        <v>44586</v>
      </c>
      <c r="F2538" s="10">
        <v>4324.1000000000004</v>
      </c>
      <c r="G2538" s="12">
        <f>Tabla1[[#This Row],[Importe]]-Tabla1[[#This Row],[Pagado]]</f>
        <v>0</v>
      </c>
      <c r="H2538" s="9" t="s">
        <v>10</v>
      </c>
    </row>
    <row r="2539" spans="1:8" x14ac:dyDescent="0.25">
      <c r="A2539" s="7">
        <v>44586</v>
      </c>
      <c r="B2539" s="8" t="s">
        <v>2918</v>
      </c>
      <c r="C2539" s="9" t="s">
        <v>230</v>
      </c>
      <c r="D2539" s="10">
        <v>2275.1999999999998</v>
      </c>
      <c r="E2539" s="11">
        <v>44586</v>
      </c>
      <c r="F2539" s="10">
        <v>2275.1999999999998</v>
      </c>
      <c r="G2539" s="12">
        <f>Tabla1[[#This Row],[Importe]]-Tabla1[[#This Row],[Pagado]]</f>
        <v>0</v>
      </c>
      <c r="H2539" s="9" t="s">
        <v>10</v>
      </c>
    </row>
    <row r="2540" spans="1:8" x14ac:dyDescent="0.25">
      <c r="A2540" s="7">
        <v>44586</v>
      </c>
      <c r="B2540" s="8" t="s">
        <v>2919</v>
      </c>
      <c r="C2540" s="9" t="s">
        <v>261</v>
      </c>
      <c r="D2540" s="10">
        <v>29502</v>
      </c>
      <c r="E2540" s="11">
        <v>44586</v>
      </c>
      <c r="F2540" s="10">
        <v>29502</v>
      </c>
      <c r="G2540" s="12">
        <f>Tabla1[[#This Row],[Importe]]-Tabla1[[#This Row],[Pagado]]</f>
        <v>0</v>
      </c>
      <c r="H2540" s="9" t="s">
        <v>10</v>
      </c>
    </row>
    <row r="2541" spans="1:8" x14ac:dyDescent="0.25">
      <c r="A2541" s="7">
        <v>44586</v>
      </c>
      <c r="B2541" s="8" t="s">
        <v>2920</v>
      </c>
      <c r="C2541" s="9" t="s">
        <v>131</v>
      </c>
      <c r="D2541" s="10">
        <v>5917.3</v>
      </c>
      <c r="E2541" s="11">
        <v>44586</v>
      </c>
      <c r="F2541" s="10">
        <v>5917.3</v>
      </c>
      <c r="G2541" s="12">
        <f>Tabla1[[#This Row],[Importe]]-Tabla1[[#This Row],[Pagado]]</f>
        <v>0</v>
      </c>
      <c r="H2541" s="9" t="s">
        <v>10</v>
      </c>
    </row>
    <row r="2542" spans="1:8" x14ac:dyDescent="0.25">
      <c r="A2542" s="7">
        <v>44586</v>
      </c>
      <c r="B2542" s="8" t="s">
        <v>2921</v>
      </c>
      <c r="C2542" s="9" t="s">
        <v>562</v>
      </c>
      <c r="D2542" s="10">
        <v>3291.2</v>
      </c>
      <c r="E2542" s="11">
        <v>44586</v>
      </c>
      <c r="F2542" s="10">
        <v>3291.2</v>
      </c>
      <c r="G2542" s="12">
        <f>Tabla1[[#This Row],[Importe]]-Tabla1[[#This Row],[Pagado]]</f>
        <v>0</v>
      </c>
      <c r="H2542" s="9" t="s">
        <v>10</v>
      </c>
    </row>
    <row r="2543" spans="1:8" x14ac:dyDescent="0.25">
      <c r="A2543" s="7">
        <v>44586</v>
      </c>
      <c r="B2543" s="8" t="s">
        <v>2922</v>
      </c>
      <c r="C2543" s="9" t="s">
        <v>198</v>
      </c>
      <c r="D2543" s="10">
        <v>4275.2</v>
      </c>
      <c r="E2543" s="11">
        <v>44586</v>
      </c>
      <c r="F2543" s="10">
        <v>4275.2</v>
      </c>
      <c r="G2543" s="12">
        <f>Tabla1[[#This Row],[Importe]]-Tabla1[[#This Row],[Pagado]]</f>
        <v>0</v>
      </c>
      <c r="H2543" s="9" t="s">
        <v>10</v>
      </c>
    </row>
    <row r="2544" spans="1:8" x14ac:dyDescent="0.25">
      <c r="A2544" s="7">
        <v>44586</v>
      </c>
      <c r="B2544" s="8" t="s">
        <v>2923</v>
      </c>
      <c r="C2544" s="9" t="s">
        <v>368</v>
      </c>
      <c r="D2544" s="10">
        <v>915.2</v>
      </c>
      <c r="E2544" s="11">
        <v>44586</v>
      </c>
      <c r="F2544" s="10">
        <v>915.2</v>
      </c>
      <c r="G2544" s="12">
        <f>Tabla1[[#This Row],[Importe]]-Tabla1[[#This Row],[Pagado]]</f>
        <v>0</v>
      </c>
      <c r="H2544" s="9" t="s">
        <v>10</v>
      </c>
    </row>
    <row r="2545" spans="1:8" x14ac:dyDescent="0.25">
      <c r="A2545" s="7">
        <v>44586</v>
      </c>
      <c r="B2545" s="8" t="s">
        <v>2924</v>
      </c>
      <c r="C2545" s="9" t="s">
        <v>2114</v>
      </c>
      <c r="D2545" s="10">
        <v>1197</v>
      </c>
      <c r="E2545" s="11">
        <v>44586</v>
      </c>
      <c r="F2545" s="10">
        <v>1197</v>
      </c>
      <c r="G2545" s="12">
        <f>Tabla1[[#This Row],[Importe]]-Tabla1[[#This Row],[Pagado]]</f>
        <v>0</v>
      </c>
      <c r="H2545" s="9" t="s">
        <v>10</v>
      </c>
    </row>
    <row r="2546" spans="1:8" x14ac:dyDescent="0.25">
      <c r="A2546" s="7">
        <v>44586</v>
      </c>
      <c r="B2546" s="8" t="s">
        <v>2925</v>
      </c>
      <c r="C2546" s="9" t="s">
        <v>67</v>
      </c>
      <c r="D2546" s="10">
        <v>900</v>
      </c>
      <c r="E2546" s="11">
        <v>44586</v>
      </c>
      <c r="F2546" s="10">
        <v>900</v>
      </c>
      <c r="G2546" s="12">
        <f>Tabla1[[#This Row],[Importe]]-Tabla1[[#This Row],[Pagado]]</f>
        <v>0</v>
      </c>
      <c r="H2546" s="9" t="s">
        <v>10</v>
      </c>
    </row>
    <row r="2547" spans="1:8" x14ac:dyDescent="0.25">
      <c r="A2547" s="7">
        <v>44586</v>
      </c>
      <c r="B2547" s="8" t="s">
        <v>2926</v>
      </c>
      <c r="C2547" s="9" t="s">
        <v>56</v>
      </c>
      <c r="D2547" s="10">
        <v>6920</v>
      </c>
      <c r="E2547" s="11">
        <v>44586</v>
      </c>
      <c r="F2547" s="10">
        <v>6920</v>
      </c>
      <c r="G2547" s="12">
        <f>Tabla1[[#This Row],[Importe]]-Tabla1[[#This Row],[Pagado]]</f>
        <v>0</v>
      </c>
      <c r="H2547" s="9" t="s">
        <v>10</v>
      </c>
    </row>
    <row r="2548" spans="1:8" x14ac:dyDescent="0.25">
      <c r="A2548" s="7">
        <v>44586</v>
      </c>
      <c r="B2548" s="8" t="s">
        <v>2927</v>
      </c>
      <c r="C2548" s="9" t="s">
        <v>1064</v>
      </c>
      <c r="D2548" s="10">
        <v>1591.2</v>
      </c>
      <c r="E2548" s="11">
        <v>44586</v>
      </c>
      <c r="F2548" s="10">
        <v>1591.2</v>
      </c>
      <c r="G2548" s="12">
        <f>Tabla1[[#This Row],[Importe]]-Tabla1[[#This Row],[Pagado]]</f>
        <v>0</v>
      </c>
      <c r="H2548" s="9" t="s">
        <v>10</v>
      </c>
    </row>
    <row r="2549" spans="1:8" x14ac:dyDescent="0.25">
      <c r="A2549" s="7">
        <v>44586</v>
      </c>
      <c r="B2549" s="8" t="s">
        <v>2928</v>
      </c>
      <c r="C2549" s="9" t="s">
        <v>275</v>
      </c>
      <c r="D2549" s="10">
        <v>117366.2</v>
      </c>
      <c r="E2549" s="11">
        <v>44597</v>
      </c>
      <c r="F2549" s="10">
        <v>117366.2</v>
      </c>
      <c r="G2549" s="12">
        <f>Tabla1[[#This Row],[Importe]]-Tabla1[[#This Row],[Pagado]]</f>
        <v>0</v>
      </c>
      <c r="H2549" s="9" t="s">
        <v>10</v>
      </c>
    </row>
    <row r="2550" spans="1:8" x14ac:dyDescent="0.25">
      <c r="A2550" s="7">
        <v>44586</v>
      </c>
      <c r="B2550" s="8" t="s">
        <v>2929</v>
      </c>
      <c r="C2550" s="9" t="s">
        <v>135</v>
      </c>
      <c r="D2550" s="10">
        <v>739.9</v>
      </c>
      <c r="E2550" s="11">
        <v>44586</v>
      </c>
      <c r="F2550" s="10">
        <v>739.9</v>
      </c>
      <c r="G2550" s="12">
        <f>Tabla1[[#This Row],[Importe]]-Tabla1[[#This Row],[Pagado]]</f>
        <v>0</v>
      </c>
      <c r="H2550" s="9" t="s">
        <v>10</v>
      </c>
    </row>
    <row r="2551" spans="1:8" x14ac:dyDescent="0.25">
      <c r="A2551" s="7">
        <v>44586</v>
      </c>
      <c r="B2551" s="8" t="s">
        <v>2930</v>
      </c>
      <c r="C2551" s="9" t="s">
        <v>179</v>
      </c>
      <c r="D2551" s="10">
        <v>510</v>
      </c>
      <c r="E2551" s="11">
        <v>44586</v>
      </c>
      <c r="F2551" s="10">
        <v>510</v>
      </c>
      <c r="G2551" s="12">
        <f>Tabla1[[#This Row],[Importe]]-Tabla1[[#This Row],[Pagado]]</f>
        <v>0</v>
      </c>
      <c r="H2551" s="9" t="s">
        <v>10</v>
      </c>
    </row>
    <row r="2552" spans="1:8" x14ac:dyDescent="0.25">
      <c r="A2552" s="7">
        <v>44586</v>
      </c>
      <c r="B2552" s="8" t="s">
        <v>2931</v>
      </c>
      <c r="C2552" s="9" t="s">
        <v>127</v>
      </c>
      <c r="D2552" s="10">
        <v>5743.9</v>
      </c>
      <c r="E2552" s="11">
        <v>44586</v>
      </c>
      <c r="F2552" s="10">
        <v>5743.9</v>
      </c>
      <c r="G2552" s="12">
        <f>Tabla1[[#This Row],[Importe]]-Tabla1[[#This Row],[Pagado]]</f>
        <v>0</v>
      </c>
      <c r="H2552" s="9" t="s">
        <v>10</v>
      </c>
    </row>
    <row r="2553" spans="1:8" x14ac:dyDescent="0.25">
      <c r="A2553" s="7">
        <v>44586</v>
      </c>
      <c r="B2553" s="8" t="s">
        <v>2932</v>
      </c>
      <c r="C2553" s="9" t="s">
        <v>698</v>
      </c>
      <c r="D2553" s="10">
        <v>5707.2</v>
      </c>
      <c r="E2553" s="11">
        <v>44586</v>
      </c>
      <c r="F2553" s="10">
        <v>5707.2</v>
      </c>
      <c r="G2553" s="12">
        <f>Tabla1[[#This Row],[Importe]]-Tabla1[[#This Row],[Pagado]]</f>
        <v>0</v>
      </c>
      <c r="H2553" s="9" t="s">
        <v>10</v>
      </c>
    </row>
    <row r="2554" spans="1:8" x14ac:dyDescent="0.25">
      <c r="A2554" s="7">
        <v>44586</v>
      </c>
      <c r="B2554" s="8" t="s">
        <v>2933</v>
      </c>
      <c r="C2554" s="9" t="s">
        <v>2377</v>
      </c>
      <c r="D2554" s="10">
        <v>4750</v>
      </c>
      <c r="E2554" s="11">
        <v>44586</v>
      </c>
      <c r="F2554" s="10">
        <v>4750</v>
      </c>
      <c r="G2554" s="12">
        <f>Tabla1[[#This Row],[Importe]]-Tabla1[[#This Row],[Pagado]]</f>
        <v>0</v>
      </c>
      <c r="H2554" s="9" t="s">
        <v>10</v>
      </c>
    </row>
    <row r="2555" spans="1:8" x14ac:dyDescent="0.25">
      <c r="A2555" s="7">
        <v>44586</v>
      </c>
      <c r="B2555" s="8" t="s">
        <v>2934</v>
      </c>
      <c r="C2555" s="9" t="s">
        <v>1187</v>
      </c>
      <c r="D2555" s="10">
        <v>1960.8</v>
      </c>
      <c r="E2555" s="11">
        <v>44586</v>
      </c>
      <c r="F2555" s="10">
        <v>1960.8</v>
      </c>
      <c r="G2555" s="12">
        <f>Tabla1[[#This Row],[Importe]]-Tabla1[[#This Row],[Pagado]]</f>
        <v>0</v>
      </c>
      <c r="H2555" s="9" t="s">
        <v>10</v>
      </c>
    </row>
    <row r="2556" spans="1:8" x14ac:dyDescent="0.25">
      <c r="A2556" s="7">
        <v>44586</v>
      </c>
      <c r="B2556" s="8" t="s">
        <v>2935</v>
      </c>
      <c r="C2556" s="9" t="s">
        <v>214</v>
      </c>
      <c r="D2556" s="10">
        <v>1140</v>
      </c>
      <c r="E2556" s="11">
        <v>44586</v>
      </c>
      <c r="F2556" s="10">
        <v>1140</v>
      </c>
      <c r="G2556" s="12">
        <f>Tabla1[[#This Row],[Importe]]-Tabla1[[#This Row],[Pagado]]</f>
        <v>0</v>
      </c>
      <c r="H2556" s="9" t="s">
        <v>10</v>
      </c>
    </row>
    <row r="2557" spans="1:8" x14ac:dyDescent="0.25">
      <c r="A2557" s="7">
        <v>44586</v>
      </c>
      <c r="B2557" s="8" t="s">
        <v>2936</v>
      </c>
      <c r="C2557" s="9" t="s">
        <v>2377</v>
      </c>
      <c r="D2557" s="10">
        <v>1318.6</v>
      </c>
      <c r="E2557" s="11">
        <v>44586</v>
      </c>
      <c r="F2557" s="10">
        <v>1318.6</v>
      </c>
      <c r="G2557" s="12">
        <f>Tabla1[[#This Row],[Importe]]-Tabla1[[#This Row],[Pagado]]</f>
        <v>0</v>
      </c>
      <c r="H2557" s="9" t="s">
        <v>10</v>
      </c>
    </row>
    <row r="2558" spans="1:8" x14ac:dyDescent="0.25">
      <c r="A2558" s="7">
        <v>44586</v>
      </c>
      <c r="B2558" s="8" t="s">
        <v>2937</v>
      </c>
      <c r="C2558" s="9" t="s">
        <v>273</v>
      </c>
      <c r="D2558" s="10">
        <v>2979.92</v>
      </c>
      <c r="E2558" s="11">
        <v>44586</v>
      </c>
      <c r="F2558" s="10">
        <v>2979.92</v>
      </c>
      <c r="G2558" s="12">
        <f>Tabla1[[#This Row],[Importe]]-Tabla1[[#This Row],[Pagado]]</f>
        <v>0</v>
      </c>
      <c r="H2558" s="9" t="s">
        <v>10</v>
      </c>
    </row>
    <row r="2559" spans="1:8" x14ac:dyDescent="0.25">
      <c r="A2559" s="7">
        <v>44586</v>
      </c>
      <c r="B2559" s="8" t="s">
        <v>2938</v>
      </c>
      <c r="C2559" s="9" t="s">
        <v>407</v>
      </c>
      <c r="D2559" s="10">
        <v>15394.2</v>
      </c>
      <c r="E2559" s="11">
        <v>44587</v>
      </c>
      <c r="F2559" s="10">
        <v>15394.2</v>
      </c>
      <c r="G2559" s="12">
        <f>Tabla1[[#This Row],[Importe]]-Tabla1[[#This Row],[Pagado]]</f>
        <v>0</v>
      </c>
      <c r="H2559" s="9" t="s">
        <v>10</v>
      </c>
    </row>
    <row r="2560" spans="1:8" x14ac:dyDescent="0.25">
      <c r="A2560" s="7">
        <v>44586</v>
      </c>
      <c r="B2560" s="8" t="s">
        <v>2939</v>
      </c>
      <c r="C2560" s="9" t="s">
        <v>58</v>
      </c>
      <c r="D2560" s="10">
        <v>5182.3999999999996</v>
      </c>
      <c r="E2560" s="11">
        <v>44586</v>
      </c>
      <c r="F2560" s="10">
        <v>5182.3999999999996</v>
      </c>
      <c r="G2560" s="12">
        <f>Tabla1[[#This Row],[Importe]]-Tabla1[[#This Row],[Pagado]]</f>
        <v>0</v>
      </c>
      <c r="H2560" s="9" t="s">
        <v>10</v>
      </c>
    </row>
    <row r="2561" spans="1:8" x14ac:dyDescent="0.25">
      <c r="A2561" s="7">
        <v>44586</v>
      </c>
      <c r="B2561" s="8" t="s">
        <v>2940</v>
      </c>
      <c r="C2561" s="9" t="s">
        <v>58</v>
      </c>
      <c r="D2561" s="10">
        <v>1118</v>
      </c>
      <c r="E2561" s="11">
        <v>44586</v>
      </c>
      <c r="F2561" s="10">
        <v>1118</v>
      </c>
      <c r="G2561" s="12">
        <f>Tabla1[[#This Row],[Importe]]-Tabla1[[#This Row],[Pagado]]</f>
        <v>0</v>
      </c>
      <c r="H2561" s="9" t="s">
        <v>10</v>
      </c>
    </row>
    <row r="2562" spans="1:8" x14ac:dyDescent="0.25">
      <c r="A2562" s="7">
        <v>44586</v>
      </c>
      <c r="B2562" s="8" t="s">
        <v>2941</v>
      </c>
      <c r="C2562" s="9" t="s">
        <v>2139</v>
      </c>
      <c r="D2562" s="10">
        <v>4674.6000000000004</v>
      </c>
      <c r="E2562" s="11">
        <v>44586</v>
      </c>
      <c r="F2562" s="10">
        <v>4674.6000000000004</v>
      </c>
      <c r="G2562" s="12">
        <f>Tabla1[[#This Row],[Importe]]-Tabla1[[#This Row],[Pagado]]</f>
        <v>0</v>
      </c>
      <c r="H2562" s="9" t="s">
        <v>10</v>
      </c>
    </row>
    <row r="2563" spans="1:8" x14ac:dyDescent="0.25">
      <c r="A2563" s="7">
        <v>44586</v>
      </c>
      <c r="B2563" s="8" t="s">
        <v>2942</v>
      </c>
      <c r="C2563" s="9" t="s">
        <v>273</v>
      </c>
      <c r="D2563" s="10">
        <v>32016.6</v>
      </c>
      <c r="E2563" s="11">
        <v>44586</v>
      </c>
      <c r="F2563" s="10">
        <v>32016.6</v>
      </c>
      <c r="G2563" s="12">
        <f>Tabla1[[#This Row],[Importe]]-Tabla1[[#This Row],[Pagado]]</f>
        <v>0</v>
      </c>
      <c r="H2563" s="9" t="s">
        <v>10</v>
      </c>
    </row>
    <row r="2564" spans="1:8" x14ac:dyDescent="0.25">
      <c r="A2564" s="7">
        <v>44586</v>
      </c>
      <c r="B2564" s="8" t="s">
        <v>2943</v>
      </c>
      <c r="C2564" s="9" t="s">
        <v>142</v>
      </c>
      <c r="D2564" s="10">
        <v>28322</v>
      </c>
      <c r="E2564" s="11">
        <v>44589</v>
      </c>
      <c r="F2564" s="10">
        <v>28322</v>
      </c>
      <c r="G2564" s="12">
        <f>Tabla1[[#This Row],[Importe]]-Tabla1[[#This Row],[Pagado]]</f>
        <v>0</v>
      </c>
      <c r="H2564" s="9" t="s">
        <v>10</v>
      </c>
    </row>
    <row r="2565" spans="1:8" x14ac:dyDescent="0.25">
      <c r="A2565" s="7">
        <v>44586</v>
      </c>
      <c r="B2565" s="8" t="s">
        <v>2944</v>
      </c>
      <c r="C2565" s="9" t="s">
        <v>47</v>
      </c>
      <c r="D2565" s="10">
        <v>48467.56</v>
      </c>
      <c r="E2565" s="11">
        <v>44586</v>
      </c>
      <c r="F2565" s="10">
        <v>48467.56</v>
      </c>
      <c r="G2565" s="12">
        <f>Tabla1[[#This Row],[Importe]]-Tabla1[[#This Row],[Pagado]]</f>
        <v>0</v>
      </c>
      <c r="H2565" s="9" t="s">
        <v>10</v>
      </c>
    </row>
    <row r="2566" spans="1:8" x14ac:dyDescent="0.25">
      <c r="A2566" s="7">
        <v>44586</v>
      </c>
      <c r="B2566" s="8" t="s">
        <v>2945</v>
      </c>
      <c r="C2566" s="9" t="s">
        <v>1021</v>
      </c>
      <c r="D2566" s="10">
        <v>9404.7999999999993</v>
      </c>
      <c r="E2566" s="11">
        <v>44586</v>
      </c>
      <c r="F2566" s="10">
        <v>9404.7999999999993</v>
      </c>
      <c r="G2566" s="12">
        <f>Tabla1[[#This Row],[Importe]]-Tabla1[[#This Row],[Pagado]]</f>
        <v>0</v>
      </c>
      <c r="H2566" s="9" t="s">
        <v>10</v>
      </c>
    </row>
    <row r="2567" spans="1:8" x14ac:dyDescent="0.25">
      <c r="A2567" s="7">
        <v>44586</v>
      </c>
      <c r="B2567" s="8" t="s">
        <v>2946</v>
      </c>
      <c r="C2567" s="9" t="s">
        <v>1064</v>
      </c>
      <c r="D2567" s="10">
        <v>1275</v>
      </c>
      <c r="E2567" s="11">
        <v>44586</v>
      </c>
      <c r="F2567" s="10">
        <v>1275</v>
      </c>
      <c r="G2567" s="12">
        <f>Tabla1[[#This Row],[Importe]]-Tabla1[[#This Row],[Pagado]]</f>
        <v>0</v>
      </c>
      <c r="H2567" s="9" t="s">
        <v>10</v>
      </c>
    </row>
    <row r="2568" spans="1:8" x14ac:dyDescent="0.25">
      <c r="A2568" s="7">
        <v>44586</v>
      </c>
      <c r="B2568" s="8" t="s">
        <v>2947</v>
      </c>
      <c r="C2568" s="9" t="s">
        <v>2393</v>
      </c>
      <c r="D2568" s="10">
        <v>40427.879999999997</v>
      </c>
      <c r="E2568" s="11">
        <v>44586</v>
      </c>
      <c r="F2568" s="10">
        <v>40427.879999999997</v>
      </c>
      <c r="G2568" s="12">
        <f>Tabla1[[#This Row],[Importe]]-Tabla1[[#This Row],[Pagado]]</f>
        <v>0</v>
      </c>
      <c r="H2568" s="9" t="s">
        <v>10</v>
      </c>
    </row>
    <row r="2569" spans="1:8" x14ac:dyDescent="0.25">
      <c r="A2569" s="7">
        <v>44586</v>
      </c>
      <c r="B2569" s="8" t="s">
        <v>2948</v>
      </c>
      <c r="C2569" s="9" t="s">
        <v>2393</v>
      </c>
      <c r="D2569" s="10">
        <v>1828.8</v>
      </c>
      <c r="E2569" s="11">
        <v>44586</v>
      </c>
      <c r="F2569" s="10">
        <v>1828.8</v>
      </c>
      <c r="G2569" s="12">
        <f>Tabla1[[#This Row],[Importe]]-Tabla1[[#This Row],[Pagado]]</f>
        <v>0</v>
      </c>
      <c r="H2569" s="9" t="s">
        <v>10</v>
      </c>
    </row>
    <row r="2570" spans="1:8" x14ac:dyDescent="0.25">
      <c r="A2570" s="7">
        <v>44586</v>
      </c>
      <c r="B2570" s="8" t="s">
        <v>2949</v>
      </c>
      <c r="C2570" s="9" t="s">
        <v>75</v>
      </c>
      <c r="D2570" s="10">
        <v>4990</v>
      </c>
      <c r="E2570" s="11">
        <v>44587</v>
      </c>
      <c r="F2570" s="10">
        <v>4990</v>
      </c>
      <c r="G2570" s="12">
        <f>Tabla1[[#This Row],[Importe]]-Tabla1[[#This Row],[Pagado]]</f>
        <v>0</v>
      </c>
      <c r="H2570" s="9" t="s">
        <v>10</v>
      </c>
    </row>
    <row r="2571" spans="1:8" x14ac:dyDescent="0.25">
      <c r="A2571" s="7">
        <v>44586</v>
      </c>
      <c r="B2571" s="8" t="s">
        <v>2950</v>
      </c>
      <c r="C2571" s="9" t="s">
        <v>175</v>
      </c>
      <c r="D2571" s="10">
        <v>18676.3</v>
      </c>
      <c r="E2571" s="11">
        <v>44587</v>
      </c>
      <c r="F2571" s="10">
        <v>18676.3</v>
      </c>
      <c r="G2571" s="12">
        <f>Tabla1[[#This Row],[Importe]]-Tabla1[[#This Row],[Pagado]]</f>
        <v>0</v>
      </c>
      <c r="H2571" s="9" t="s">
        <v>10</v>
      </c>
    </row>
    <row r="2572" spans="1:8" x14ac:dyDescent="0.25">
      <c r="A2572" s="7">
        <v>44586</v>
      </c>
      <c r="B2572" s="8" t="s">
        <v>2951</v>
      </c>
      <c r="C2572" s="9" t="s">
        <v>200</v>
      </c>
      <c r="D2572" s="10">
        <v>520</v>
      </c>
      <c r="E2572" s="11">
        <v>44587</v>
      </c>
      <c r="F2572" s="10">
        <v>520</v>
      </c>
      <c r="G2572" s="12">
        <f>Tabla1[[#This Row],[Importe]]-Tabla1[[#This Row],[Pagado]]</f>
        <v>0</v>
      </c>
      <c r="H2572" s="9" t="s">
        <v>10</v>
      </c>
    </row>
    <row r="2573" spans="1:8" x14ac:dyDescent="0.25">
      <c r="A2573" s="7">
        <v>44586</v>
      </c>
      <c r="B2573" s="8" t="s">
        <v>2952</v>
      </c>
      <c r="C2573" s="9" t="s">
        <v>450</v>
      </c>
      <c r="D2573" s="10">
        <v>6444.8</v>
      </c>
      <c r="E2573" s="11">
        <v>44586</v>
      </c>
      <c r="F2573" s="10">
        <v>6444.8</v>
      </c>
      <c r="G2573" s="12">
        <f>Tabla1[[#This Row],[Importe]]-Tabla1[[#This Row],[Pagado]]</f>
        <v>0</v>
      </c>
      <c r="H2573" s="9" t="s">
        <v>10</v>
      </c>
    </row>
    <row r="2574" spans="1:8" x14ac:dyDescent="0.25">
      <c r="A2574" s="7">
        <v>44586</v>
      </c>
      <c r="B2574" s="8" t="s">
        <v>2953</v>
      </c>
      <c r="C2574" s="9" t="s">
        <v>273</v>
      </c>
      <c r="D2574" s="10">
        <v>1400</v>
      </c>
      <c r="E2574" s="11">
        <v>44586</v>
      </c>
      <c r="F2574" s="10">
        <v>1400</v>
      </c>
      <c r="G2574" s="12">
        <f>Tabla1[[#This Row],[Importe]]-Tabla1[[#This Row],[Pagado]]</f>
        <v>0</v>
      </c>
      <c r="H2574" s="9" t="s">
        <v>10</v>
      </c>
    </row>
    <row r="2575" spans="1:8" x14ac:dyDescent="0.25">
      <c r="A2575" s="7">
        <v>44586</v>
      </c>
      <c r="B2575" s="8" t="s">
        <v>2954</v>
      </c>
      <c r="C2575" s="9" t="s">
        <v>298</v>
      </c>
      <c r="D2575" s="10">
        <v>1971.1</v>
      </c>
      <c r="E2575" s="11">
        <v>44586</v>
      </c>
      <c r="F2575" s="10">
        <v>1971.1</v>
      </c>
      <c r="G2575" s="12">
        <f>Tabla1[[#This Row],[Importe]]-Tabla1[[#This Row],[Pagado]]</f>
        <v>0</v>
      </c>
      <c r="H2575" s="9" t="s">
        <v>10</v>
      </c>
    </row>
    <row r="2576" spans="1:8" x14ac:dyDescent="0.25">
      <c r="A2576" s="7">
        <v>44586</v>
      </c>
      <c r="B2576" s="8" t="s">
        <v>2955</v>
      </c>
      <c r="C2576" s="9" t="s">
        <v>433</v>
      </c>
      <c r="D2576" s="10">
        <v>26280</v>
      </c>
      <c r="E2576" s="11">
        <v>44586</v>
      </c>
      <c r="F2576" s="10">
        <v>26280</v>
      </c>
      <c r="G2576" s="12">
        <f>Tabla1[[#This Row],[Importe]]-Tabla1[[#This Row],[Pagado]]</f>
        <v>0</v>
      </c>
      <c r="H2576" s="9" t="s">
        <v>10</v>
      </c>
    </row>
    <row r="2577" spans="1:8" x14ac:dyDescent="0.25">
      <c r="A2577" s="7">
        <v>44586</v>
      </c>
      <c r="B2577" s="8" t="s">
        <v>2956</v>
      </c>
      <c r="C2577" s="9" t="s">
        <v>69</v>
      </c>
      <c r="D2577" s="10">
        <v>1790</v>
      </c>
      <c r="E2577" s="11">
        <v>44586</v>
      </c>
      <c r="F2577" s="10">
        <v>1790</v>
      </c>
      <c r="G2577" s="12">
        <f>Tabla1[[#This Row],[Importe]]-Tabla1[[#This Row],[Pagado]]</f>
        <v>0</v>
      </c>
      <c r="H2577" s="9" t="s">
        <v>10</v>
      </c>
    </row>
    <row r="2578" spans="1:8" x14ac:dyDescent="0.25">
      <c r="A2578" s="7">
        <v>44586</v>
      </c>
      <c r="B2578" s="8" t="s">
        <v>2957</v>
      </c>
      <c r="C2578" s="9" t="s">
        <v>681</v>
      </c>
      <c r="D2578" s="10">
        <v>6.8</v>
      </c>
      <c r="E2578" s="11">
        <v>44593</v>
      </c>
      <c r="F2578" s="10">
        <v>6.8</v>
      </c>
      <c r="G2578" s="12">
        <f>Tabla1[[#This Row],[Importe]]-Tabla1[[#This Row],[Pagado]]</f>
        <v>0</v>
      </c>
      <c r="H2578" s="9" t="s">
        <v>10</v>
      </c>
    </row>
    <row r="2579" spans="1:8" x14ac:dyDescent="0.25">
      <c r="A2579" s="7">
        <v>44586</v>
      </c>
      <c r="B2579" s="8" t="s">
        <v>2958</v>
      </c>
      <c r="C2579" s="9" t="s">
        <v>2959</v>
      </c>
      <c r="D2579" s="10">
        <v>0</v>
      </c>
      <c r="E2579" s="13" t="s">
        <v>189</v>
      </c>
      <c r="F2579" s="10">
        <v>0</v>
      </c>
      <c r="G2579" s="12">
        <f>Tabla1[[#This Row],[Importe]]-Tabla1[[#This Row],[Pagado]]</f>
        <v>0</v>
      </c>
      <c r="H2579" s="9" t="s">
        <v>189</v>
      </c>
    </row>
    <row r="2580" spans="1:8" x14ac:dyDescent="0.25">
      <c r="A2580" s="7">
        <v>44586</v>
      </c>
      <c r="B2580" s="8" t="s">
        <v>2960</v>
      </c>
      <c r="C2580" s="9" t="s">
        <v>2961</v>
      </c>
      <c r="D2580" s="10">
        <v>50720.4</v>
      </c>
      <c r="E2580" s="11">
        <v>44587</v>
      </c>
      <c r="F2580" s="10">
        <v>50720.4</v>
      </c>
      <c r="G2580" s="12">
        <f>Tabla1[[#This Row],[Importe]]-Tabla1[[#This Row],[Pagado]]</f>
        <v>0</v>
      </c>
      <c r="H2580" s="9" t="s">
        <v>10</v>
      </c>
    </row>
    <row r="2581" spans="1:8" x14ac:dyDescent="0.25">
      <c r="A2581" s="7">
        <v>44586</v>
      </c>
      <c r="B2581" s="8" t="s">
        <v>2962</v>
      </c>
      <c r="C2581" s="9" t="s">
        <v>31</v>
      </c>
      <c r="D2581" s="10">
        <v>812</v>
      </c>
      <c r="E2581" s="11">
        <v>44586</v>
      </c>
      <c r="F2581" s="10">
        <v>812</v>
      </c>
      <c r="G2581" s="12">
        <f>Tabla1[[#This Row],[Importe]]-Tabla1[[#This Row],[Pagado]]</f>
        <v>0</v>
      </c>
      <c r="H2581" s="9" t="s">
        <v>10</v>
      </c>
    </row>
    <row r="2582" spans="1:8" x14ac:dyDescent="0.25">
      <c r="A2582" s="7">
        <v>44586</v>
      </c>
      <c r="B2582" s="8" t="s">
        <v>2963</v>
      </c>
      <c r="C2582" s="9" t="s">
        <v>14</v>
      </c>
      <c r="D2582" s="10">
        <v>2125</v>
      </c>
      <c r="E2582" s="11">
        <v>44586</v>
      </c>
      <c r="F2582" s="10">
        <v>2125</v>
      </c>
      <c r="G2582" s="12">
        <f>Tabla1[[#This Row],[Importe]]-Tabla1[[#This Row],[Pagado]]</f>
        <v>0</v>
      </c>
      <c r="H2582" s="9" t="s">
        <v>10</v>
      </c>
    </row>
    <row r="2583" spans="1:8" x14ac:dyDescent="0.25">
      <c r="A2583" s="7">
        <v>44586</v>
      </c>
      <c r="B2583" s="8" t="s">
        <v>2964</v>
      </c>
      <c r="C2583" s="9" t="s">
        <v>202</v>
      </c>
      <c r="D2583" s="10">
        <v>3523</v>
      </c>
      <c r="E2583" s="11">
        <v>44586</v>
      </c>
      <c r="F2583" s="10">
        <v>3523</v>
      </c>
      <c r="G2583" s="12">
        <f>Tabla1[[#This Row],[Importe]]-Tabla1[[#This Row],[Pagado]]</f>
        <v>0</v>
      </c>
      <c r="H2583" s="9" t="s">
        <v>10</v>
      </c>
    </row>
    <row r="2584" spans="1:8" x14ac:dyDescent="0.25">
      <c r="A2584" s="7">
        <v>44586</v>
      </c>
      <c r="B2584" s="8" t="s">
        <v>2965</v>
      </c>
      <c r="C2584" s="9" t="s">
        <v>53</v>
      </c>
      <c r="D2584" s="10">
        <v>1807.7</v>
      </c>
      <c r="E2584" s="11">
        <v>44586</v>
      </c>
      <c r="F2584" s="10">
        <v>1807.7</v>
      </c>
      <c r="G2584" s="12">
        <f>Tabla1[[#This Row],[Importe]]-Tabla1[[#This Row],[Pagado]]</f>
        <v>0</v>
      </c>
      <c r="H2584" s="9" t="s">
        <v>10</v>
      </c>
    </row>
    <row r="2585" spans="1:8" x14ac:dyDescent="0.25">
      <c r="A2585" s="7">
        <v>44586</v>
      </c>
      <c r="B2585" s="8" t="s">
        <v>2966</v>
      </c>
      <c r="C2585" s="9" t="s">
        <v>2961</v>
      </c>
      <c r="D2585" s="10">
        <v>50769</v>
      </c>
      <c r="E2585" s="11">
        <v>44587</v>
      </c>
      <c r="F2585" s="10">
        <v>50769</v>
      </c>
      <c r="G2585" s="12">
        <f>Tabla1[[#This Row],[Importe]]-Tabla1[[#This Row],[Pagado]]</f>
        <v>0</v>
      </c>
      <c r="H2585" s="9" t="s">
        <v>10</v>
      </c>
    </row>
    <row r="2586" spans="1:8" x14ac:dyDescent="0.25">
      <c r="A2586" s="7">
        <v>44586</v>
      </c>
      <c r="B2586" s="8" t="s">
        <v>2967</v>
      </c>
      <c r="C2586" s="9" t="s">
        <v>31</v>
      </c>
      <c r="D2586" s="10">
        <v>564</v>
      </c>
      <c r="E2586" s="11">
        <v>44587</v>
      </c>
      <c r="F2586" s="10">
        <v>564</v>
      </c>
      <c r="G2586" s="12">
        <f>Tabla1[[#This Row],[Importe]]-Tabla1[[#This Row],[Pagado]]</f>
        <v>0</v>
      </c>
      <c r="H2586" s="9" t="s">
        <v>10</v>
      </c>
    </row>
    <row r="2587" spans="1:8" x14ac:dyDescent="0.25">
      <c r="A2587" s="7">
        <v>44587</v>
      </c>
      <c r="B2587" s="8" t="s">
        <v>2968</v>
      </c>
      <c r="C2587" s="9" t="s">
        <v>2969</v>
      </c>
      <c r="D2587" s="10">
        <v>0</v>
      </c>
      <c r="E2587" s="13" t="s">
        <v>189</v>
      </c>
      <c r="F2587" s="10">
        <v>0</v>
      </c>
      <c r="G2587" s="12">
        <f>Tabla1[[#This Row],[Importe]]-Tabla1[[#This Row],[Pagado]]</f>
        <v>0</v>
      </c>
      <c r="H2587" s="9" t="s">
        <v>189</v>
      </c>
    </row>
    <row r="2588" spans="1:8" ht="30" x14ac:dyDescent="0.25">
      <c r="A2588" s="7">
        <v>44587</v>
      </c>
      <c r="B2588" s="8" t="s">
        <v>2970</v>
      </c>
      <c r="C2588" s="9" t="s">
        <v>475</v>
      </c>
      <c r="D2588" s="10">
        <v>35526.400000000001</v>
      </c>
      <c r="E2588" s="11" t="s">
        <v>2742</v>
      </c>
      <c r="F2588" s="10">
        <f>11350+24176.4</f>
        <v>35526.400000000001</v>
      </c>
      <c r="G2588" s="12">
        <f>Tabla1[[#This Row],[Importe]]-Tabla1[[#This Row],[Pagado]]</f>
        <v>0</v>
      </c>
      <c r="H2588" s="9" t="s">
        <v>10</v>
      </c>
    </row>
    <row r="2589" spans="1:8" x14ac:dyDescent="0.25">
      <c r="A2589" s="7">
        <v>44587</v>
      </c>
      <c r="B2589" s="8" t="s">
        <v>2971</v>
      </c>
      <c r="C2589" s="9" t="s">
        <v>83</v>
      </c>
      <c r="D2589" s="10">
        <v>4329.8</v>
      </c>
      <c r="E2589" s="11">
        <v>44587</v>
      </c>
      <c r="F2589" s="10">
        <v>4329.8</v>
      </c>
      <c r="G2589" s="12">
        <f>Tabla1[[#This Row],[Importe]]-Tabla1[[#This Row],[Pagado]]</f>
        <v>0</v>
      </c>
      <c r="H2589" s="9" t="s">
        <v>10</v>
      </c>
    </row>
    <row r="2590" spans="1:8" x14ac:dyDescent="0.25">
      <c r="A2590" s="7">
        <v>44587</v>
      </c>
      <c r="B2590" s="8" t="s">
        <v>2972</v>
      </c>
      <c r="C2590" s="9" t="s">
        <v>12</v>
      </c>
      <c r="D2590" s="10">
        <v>10748.2</v>
      </c>
      <c r="E2590" s="11">
        <v>44587</v>
      </c>
      <c r="F2590" s="10">
        <v>10748.2</v>
      </c>
      <c r="G2590" s="12">
        <f>Tabla1[[#This Row],[Importe]]-Tabla1[[#This Row],[Pagado]]</f>
        <v>0</v>
      </c>
      <c r="H2590" s="9" t="s">
        <v>10</v>
      </c>
    </row>
    <row r="2591" spans="1:8" x14ac:dyDescent="0.25">
      <c r="A2591" s="7">
        <v>44587</v>
      </c>
      <c r="B2591" s="8" t="s">
        <v>2973</v>
      </c>
      <c r="C2591" s="9" t="s">
        <v>481</v>
      </c>
      <c r="D2591" s="10">
        <v>1999.3</v>
      </c>
      <c r="E2591" s="11">
        <v>44587</v>
      </c>
      <c r="F2591" s="10">
        <v>1999.3</v>
      </c>
      <c r="G2591" s="12">
        <f>Tabla1[[#This Row],[Importe]]-Tabla1[[#This Row],[Pagado]]</f>
        <v>0</v>
      </c>
      <c r="H2591" s="9" t="s">
        <v>10</v>
      </c>
    </row>
    <row r="2592" spans="1:8" x14ac:dyDescent="0.25">
      <c r="A2592" s="7">
        <v>44587</v>
      </c>
      <c r="B2592" s="8" t="s">
        <v>2974</v>
      </c>
      <c r="C2592" s="9" t="s">
        <v>87</v>
      </c>
      <c r="D2592" s="10">
        <v>1395</v>
      </c>
      <c r="E2592" s="11">
        <v>44587</v>
      </c>
      <c r="F2592" s="10">
        <v>1395</v>
      </c>
      <c r="G2592" s="12">
        <f>Tabla1[[#This Row],[Importe]]-Tabla1[[#This Row],[Pagado]]</f>
        <v>0</v>
      </c>
      <c r="H2592" s="9" t="s">
        <v>10</v>
      </c>
    </row>
    <row r="2593" spans="1:8" x14ac:dyDescent="0.25">
      <c r="A2593" s="7">
        <v>44587</v>
      </c>
      <c r="B2593" s="8" t="s">
        <v>2975</v>
      </c>
      <c r="C2593" s="9" t="s">
        <v>85</v>
      </c>
      <c r="D2593" s="10">
        <v>835</v>
      </c>
      <c r="E2593" s="11">
        <v>44587</v>
      </c>
      <c r="F2593" s="10">
        <v>835</v>
      </c>
      <c r="G2593" s="12">
        <f>Tabla1[[#This Row],[Importe]]-Tabla1[[#This Row],[Pagado]]</f>
        <v>0</v>
      </c>
      <c r="H2593" s="9" t="s">
        <v>10</v>
      </c>
    </row>
    <row r="2594" spans="1:8" x14ac:dyDescent="0.25">
      <c r="A2594" s="7">
        <v>44587</v>
      </c>
      <c r="B2594" s="8" t="s">
        <v>2976</v>
      </c>
      <c r="C2594" s="9" t="s">
        <v>116</v>
      </c>
      <c r="D2594" s="10">
        <v>3920.4</v>
      </c>
      <c r="E2594" s="11">
        <v>44588</v>
      </c>
      <c r="F2594" s="10">
        <v>3920.4</v>
      </c>
      <c r="G2594" s="12">
        <f>Tabla1[[#This Row],[Importe]]-Tabla1[[#This Row],[Pagado]]</f>
        <v>0</v>
      </c>
      <c r="H2594" s="9" t="s">
        <v>10</v>
      </c>
    </row>
    <row r="2595" spans="1:8" x14ac:dyDescent="0.25">
      <c r="A2595" s="7">
        <v>44587</v>
      </c>
      <c r="B2595" s="8" t="s">
        <v>2977</v>
      </c>
      <c r="C2595" s="9" t="s">
        <v>326</v>
      </c>
      <c r="D2595" s="10">
        <v>5012.8</v>
      </c>
      <c r="E2595" s="11">
        <v>44589</v>
      </c>
      <c r="F2595" s="10">
        <v>5012.8</v>
      </c>
      <c r="G2595" s="12">
        <f>Tabla1[[#This Row],[Importe]]-Tabla1[[#This Row],[Pagado]]</f>
        <v>0</v>
      </c>
      <c r="H2595" s="9" t="s">
        <v>10</v>
      </c>
    </row>
    <row r="2596" spans="1:8" x14ac:dyDescent="0.25">
      <c r="A2596" s="7">
        <v>44587</v>
      </c>
      <c r="B2596" s="8" t="s">
        <v>2978</v>
      </c>
      <c r="C2596" s="9" t="s">
        <v>60</v>
      </c>
      <c r="D2596" s="10">
        <v>4109.3999999999996</v>
      </c>
      <c r="E2596" s="11">
        <v>44592</v>
      </c>
      <c r="F2596" s="10">
        <v>4109.3999999999996</v>
      </c>
      <c r="G2596" s="12">
        <f>Tabla1[[#This Row],[Importe]]-Tabla1[[#This Row],[Pagado]]</f>
        <v>0</v>
      </c>
      <c r="H2596" s="9" t="s">
        <v>10</v>
      </c>
    </row>
    <row r="2597" spans="1:8" x14ac:dyDescent="0.25">
      <c r="A2597" s="7">
        <v>44587</v>
      </c>
      <c r="B2597" s="8" t="s">
        <v>2979</v>
      </c>
      <c r="C2597" s="9" t="s">
        <v>93</v>
      </c>
      <c r="D2597" s="10">
        <v>4388.8</v>
      </c>
      <c r="E2597" s="11">
        <v>44588</v>
      </c>
      <c r="F2597" s="10">
        <v>4388.8</v>
      </c>
      <c r="G2597" s="12">
        <f>Tabla1[[#This Row],[Importe]]-Tabla1[[#This Row],[Pagado]]</f>
        <v>0</v>
      </c>
      <c r="H2597" s="9" t="s">
        <v>10</v>
      </c>
    </row>
    <row r="2598" spans="1:8" x14ac:dyDescent="0.25">
      <c r="A2598" s="7">
        <v>44587</v>
      </c>
      <c r="B2598" s="8" t="s">
        <v>2980</v>
      </c>
      <c r="C2598" s="9" t="s">
        <v>1339</v>
      </c>
      <c r="D2598" s="10">
        <v>2343.1999999999998</v>
      </c>
      <c r="E2598" s="11">
        <v>44587</v>
      </c>
      <c r="F2598" s="10">
        <v>2343.1999999999998</v>
      </c>
      <c r="G2598" s="12">
        <f>Tabla1[[#This Row],[Importe]]-Tabla1[[#This Row],[Pagado]]</f>
        <v>0</v>
      </c>
      <c r="H2598" s="9" t="s">
        <v>10</v>
      </c>
    </row>
    <row r="2599" spans="1:8" x14ac:dyDescent="0.25">
      <c r="A2599" s="7">
        <v>44587</v>
      </c>
      <c r="B2599" s="8" t="s">
        <v>2981</v>
      </c>
      <c r="C2599" s="9" t="s">
        <v>9</v>
      </c>
      <c r="D2599" s="10">
        <v>5353.4</v>
      </c>
      <c r="E2599" s="11">
        <v>44587</v>
      </c>
      <c r="F2599" s="10">
        <v>5353.4</v>
      </c>
      <c r="G2599" s="12">
        <f>Tabla1[[#This Row],[Importe]]-Tabla1[[#This Row],[Pagado]]</f>
        <v>0</v>
      </c>
      <c r="H2599" s="9" t="s">
        <v>10</v>
      </c>
    </row>
    <row r="2600" spans="1:8" x14ac:dyDescent="0.25">
      <c r="A2600" s="7">
        <v>44587</v>
      </c>
      <c r="B2600" s="8" t="s">
        <v>2982</v>
      </c>
      <c r="C2600" s="9" t="s">
        <v>64</v>
      </c>
      <c r="D2600" s="10">
        <v>4592</v>
      </c>
      <c r="E2600" s="11">
        <v>44589</v>
      </c>
      <c r="F2600" s="10">
        <v>4592</v>
      </c>
      <c r="G2600" s="12">
        <f>Tabla1[[#This Row],[Importe]]-Tabla1[[#This Row],[Pagado]]</f>
        <v>0</v>
      </c>
      <c r="H2600" s="9" t="s">
        <v>10</v>
      </c>
    </row>
    <row r="2601" spans="1:8" x14ac:dyDescent="0.25">
      <c r="A2601" s="7">
        <v>44587</v>
      </c>
      <c r="B2601" s="8" t="s">
        <v>2983</v>
      </c>
      <c r="C2601" s="9" t="s">
        <v>114</v>
      </c>
      <c r="D2601" s="10">
        <v>4721.6000000000004</v>
      </c>
      <c r="E2601" s="11">
        <v>44589</v>
      </c>
      <c r="F2601" s="10">
        <v>4721.6000000000004</v>
      </c>
      <c r="G2601" s="12">
        <f>Tabla1[[#This Row],[Importe]]-Tabla1[[#This Row],[Pagado]]</f>
        <v>0</v>
      </c>
      <c r="H2601" s="9" t="s">
        <v>10</v>
      </c>
    </row>
    <row r="2602" spans="1:8" x14ac:dyDescent="0.25">
      <c r="A2602" s="7">
        <v>44587</v>
      </c>
      <c r="B2602" s="8" t="s">
        <v>2984</v>
      </c>
      <c r="C2602" s="9" t="s">
        <v>22</v>
      </c>
      <c r="D2602" s="10">
        <v>22922.5</v>
      </c>
      <c r="E2602" s="11">
        <v>44589</v>
      </c>
      <c r="F2602" s="10">
        <v>22922.5</v>
      </c>
      <c r="G2602" s="12">
        <f>Tabla1[[#This Row],[Importe]]-Tabla1[[#This Row],[Pagado]]</f>
        <v>0</v>
      </c>
      <c r="H2602" s="9" t="s">
        <v>10</v>
      </c>
    </row>
    <row r="2603" spans="1:8" x14ac:dyDescent="0.25">
      <c r="A2603" s="7">
        <v>44587</v>
      </c>
      <c r="B2603" s="8" t="s">
        <v>2985</v>
      </c>
      <c r="C2603" s="9" t="s">
        <v>99</v>
      </c>
      <c r="D2603" s="10">
        <v>2947.2</v>
      </c>
      <c r="E2603" s="11">
        <v>44589</v>
      </c>
      <c r="F2603" s="10">
        <v>2947.2</v>
      </c>
      <c r="G2603" s="12">
        <f>Tabla1[[#This Row],[Importe]]-Tabla1[[#This Row],[Pagado]]</f>
        <v>0</v>
      </c>
      <c r="H2603" s="9" t="s">
        <v>10</v>
      </c>
    </row>
    <row r="2604" spans="1:8" x14ac:dyDescent="0.25">
      <c r="A2604" s="7">
        <v>44587</v>
      </c>
      <c r="B2604" s="8" t="s">
        <v>2986</v>
      </c>
      <c r="C2604" s="9" t="s">
        <v>97</v>
      </c>
      <c r="D2604" s="10">
        <v>10031.299999999999</v>
      </c>
      <c r="E2604" s="11">
        <v>44588</v>
      </c>
      <c r="F2604" s="10">
        <v>10031.299999999999</v>
      </c>
      <c r="G2604" s="12">
        <f>Tabla1[[#This Row],[Importe]]-Tabla1[[#This Row],[Pagado]]</f>
        <v>0</v>
      </c>
      <c r="H2604" s="9" t="s">
        <v>10</v>
      </c>
    </row>
    <row r="2605" spans="1:8" ht="30" x14ac:dyDescent="0.25">
      <c r="A2605" s="7">
        <v>44587</v>
      </c>
      <c r="B2605" s="8" t="s">
        <v>2987</v>
      </c>
      <c r="C2605" s="9" t="s">
        <v>39</v>
      </c>
      <c r="D2605" s="10">
        <v>11006.5</v>
      </c>
      <c r="E2605" s="11" t="s">
        <v>2988</v>
      </c>
      <c r="F2605" s="10">
        <f>3000+8006.5</f>
        <v>11006.5</v>
      </c>
      <c r="G2605" s="12">
        <f>Tabla1[[#This Row],[Importe]]-Tabla1[[#This Row],[Pagado]]</f>
        <v>0</v>
      </c>
      <c r="H2605" s="9" t="s">
        <v>10</v>
      </c>
    </row>
    <row r="2606" spans="1:8" x14ac:dyDescent="0.25">
      <c r="A2606" s="7">
        <v>44587</v>
      </c>
      <c r="B2606" s="8" t="s">
        <v>2989</v>
      </c>
      <c r="C2606" s="9" t="s">
        <v>89</v>
      </c>
      <c r="D2606" s="10">
        <v>5130.6000000000004</v>
      </c>
      <c r="E2606" s="11">
        <v>44588</v>
      </c>
      <c r="F2606" s="10">
        <v>5130.6000000000004</v>
      </c>
      <c r="G2606" s="12">
        <f>Tabla1[[#This Row],[Importe]]-Tabla1[[#This Row],[Pagado]]</f>
        <v>0</v>
      </c>
      <c r="H2606" s="9" t="s">
        <v>10</v>
      </c>
    </row>
    <row r="2607" spans="1:8" x14ac:dyDescent="0.25">
      <c r="A2607" s="7">
        <v>44587</v>
      </c>
      <c r="B2607" s="8" t="s">
        <v>2990</v>
      </c>
      <c r="C2607" s="9" t="s">
        <v>105</v>
      </c>
      <c r="D2607" s="10">
        <v>10387.6</v>
      </c>
      <c r="E2607" s="11">
        <v>44588</v>
      </c>
      <c r="F2607" s="10">
        <v>10387.6</v>
      </c>
      <c r="G2607" s="12">
        <f>Tabla1[[#This Row],[Importe]]-Tabla1[[#This Row],[Pagado]]</f>
        <v>0</v>
      </c>
      <c r="H2607" s="9" t="s">
        <v>10</v>
      </c>
    </row>
    <row r="2608" spans="1:8" x14ac:dyDescent="0.25">
      <c r="A2608" s="7">
        <v>44587</v>
      </c>
      <c r="B2608" s="8" t="s">
        <v>2991</v>
      </c>
      <c r="C2608" s="9" t="s">
        <v>131</v>
      </c>
      <c r="D2608" s="10">
        <v>7101.7</v>
      </c>
      <c r="E2608" s="11">
        <v>44587</v>
      </c>
      <c r="F2608" s="10">
        <v>7101.7</v>
      </c>
      <c r="G2608" s="12">
        <f>Tabla1[[#This Row],[Importe]]-Tabla1[[#This Row],[Pagado]]</f>
        <v>0</v>
      </c>
      <c r="H2608" s="9" t="s">
        <v>10</v>
      </c>
    </row>
    <row r="2609" spans="1:8" x14ac:dyDescent="0.25">
      <c r="A2609" s="7">
        <v>44587</v>
      </c>
      <c r="B2609" s="8" t="s">
        <v>2992</v>
      </c>
      <c r="C2609" s="9" t="s">
        <v>157</v>
      </c>
      <c r="D2609" s="10">
        <v>5362.3</v>
      </c>
      <c r="E2609" s="11">
        <v>44587</v>
      </c>
      <c r="F2609" s="10">
        <v>5362.3</v>
      </c>
      <c r="G2609" s="12">
        <f>Tabla1[[#This Row],[Importe]]-Tabla1[[#This Row],[Pagado]]</f>
        <v>0</v>
      </c>
      <c r="H2609" s="9" t="s">
        <v>10</v>
      </c>
    </row>
    <row r="2610" spans="1:8" x14ac:dyDescent="0.25">
      <c r="A2610" s="7">
        <v>44587</v>
      </c>
      <c r="B2610" s="8" t="s">
        <v>2993</v>
      </c>
      <c r="C2610" s="9" t="s">
        <v>1971</v>
      </c>
      <c r="D2610" s="10">
        <v>2033.4</v>
      </c>
      <c r="E2610" s="11">
        <v>44587</v>
      </c>
      <c r="F2610" s="10">
        <v>2033.4</v>
      </c>
      <c r="G2610" s="12">
        <f>Tabla1[[#This Row],[Importe]]-Tabla1[[#This Row],[Pagado]]</f>
        <v>0</v>
      </c>
      <c r="H2610" s="9" t="s">
        <v>10</v>
      </c>
    </row>
    <row r="2611" spans="1:8" x14ac:dyDescent="0.25">
      <c r="A2611" s="7">
        <v>44587</v>
      </c>
      <c r="B2611" s="8" t="s">
        <v>2994</v>
      </c>
      <c r="C2611" s="9" t="s">
        <v>196</v>
      </c>
      <c r="D2611" s="10">
        <v>114946.5</v>
      </c>
      <c r="E2611" s="11">
        <v>44589</v>
      </c>
      <c r="F2611" s="10">
        <v>114946.5</v>
      </c>
      <c r="G2611" s="12">
        <f>Tabla1[[#This Row],[Importe]]-Tabla1[[#This Row],[Pagado]]</f>
        <v>0</v>
      </c>
      <c r="H2611" s="9" t="s">
        <v>10</v>
      </c>
    </row>
    <row r="2612" spans="1:8" x14ac:dyDescent="0.25">
      <c r="A2612" s="7">
        <v>44587</v>
      </c>
      <c r="B2612" s="8" t="s">
        <v>2995</v>
      </c>
      <c r="C2612" s="9" t="s">
        <v>484</v>
      </c>
      <c r="D2612" s="10">
        <v>5760</v>
      </c>
      <c r="E2612" s="11">
        <v>44587</v>
      </c>
      <c r="F2612" s="10">
        <v>5760</v>
      </c>
      <c r="G2612" s="12">
        <f>Tabla1[[#This Row],[Importe]]-Tabla1[[#This Row],[Pagado]]</f>
        <v>0</v>
      </c>
      <c r="H2612" s="9" t="s">
        <v>10</v>
      </c>
    </row>
    <row r="2613" spans="1:8" x14ac:dyDescent="0.25">
      <c r="A2613" s="7">
        <v>44587</v>
      </c>
      <c r="B2613" s="8" t="s">
        <v>2996</v>
      </c>
      <c r="C2613" s="9" t="s">
        <v>196</v>
      </c>
      <c r="D2613" s="10">
        <v>11723</v>
      </c>
      <c r="E2613" s="11">
        <v>44589</v>
      </c>
      <c r="F2613" s="10">
        <v>11723</v>
      </c>
      <c r="G2613" s="12">
        <f>Tabla1[[#This Row],[Importe]]-Tabla1[[#This Row],[Pagado]]</f>
        <v>0</v>
      </c>
      <c r="H2613" s="9" t="s">
        <v>10</v>
      </c>
    </row>
    <row r="2614" spans="1:8" x14ac:dyDescent="0.25">
      <c r="A2614" s="7">
        <v>44587</v>
      </c>
      <c r="B2614" s="8" t="s">
        <v>2997</v>
      </c>
      <c r="C2614" s="9" t="s">
        <v>520</v>
      </c>
      <c r="D2614" s="10">
        <v>7317.3</v>
      </c>
      <c r="E2614" s="11">
        <v>44587</v>
      </c>
      <c r="F2614" s="10">
        <v>7317.3</v>
      </c>
      <c r="G2614" s="12">
        <f>Tabla1[[#This Row],[Importe]]-Tabla1[[#This Row],[Pagado]]</f>
        <v>0</v>
      </c>
      <c r="H2614" s="9" t="s">
        <v>10</v>
      </c>
    </row>
    <row r="2615" spans="1:8" x14ac:dyDescent="0.25">
      <c r="A2615" s="7">
        <v>44587</v>
      </c>
      <c r="B2615" s="8" t="s">
        <v>2998</v>
      </c>
      <c r="C2615" s="9" t="s">
        <v>53</v>
      </c>
      <c r="D2615" s="10">
        <v>3154.1</v>
      </c>
      <c r="E2615" s="11">
        <v>44587</v>
      </c>
      <c r="F2615" s="10">
        <v>3154.1</v>
      </c>
      <c r="G2615" s="12">
        <f>Tabla1[[#This Row],[Importe]]-Tabla1[[#This Row],[Pagado]]</f>
        <v>0</v>
      </c>
      <c r="H2615" s="9" t="s">
        <v>10</v>
      </c>
    </row>
    <row r="2616" spans="1:8" x14ac:dyDescent="0.25">
      <c r="A2616" s="7">
        <v>44587</v>
      </c>
      <c r="B2616" s="8" t="s">
        <v>2999</v>
      </c>
      <c r="C2616" s="9" t="s">
        <v>587</v>
      </c>
      <c r="D2616" s="10">
        <v>4153.6000000000004</v>
      </c>
      <c r="E2616" s="11">
        <v>44587</v>
      </c>
      <c r="F2616" s="10">
        <v>4153.6000000000004</v>
      </c>
      <c r="G2616" s="12">
        <f>Tabla1[[#This Row],[Importe]]-Tabla1[[#This Row],[Pagado]]</f>
        <v>0</v>
      </c>
      <c r="H2616" s="9" t="s">
        <v>10</v>
      </c>
    </row>
    <row r="2617" spans="1:8" x14ac:dyDescent="0.25">
      <c r="A2617" s="7">
        <v>44587</v>
      </c>
      <c r="B2617" s="8" t="s">
        <v>3000</v>
      </c>
      <c r="C2617" s="9" t="s">
        <v>49</v>
      </c>
      <c r="D2617" s="10">
        <v>3715.8</v>
      </c>
      <c r="E2617" s="11">
        <v>44587</v>
      </c>
      <c r="F2617" s="10">
        <v>3715.8</v>
      </c>
      <c r="G2617" s="12">
        <f>Tabla1[[#This Row],[Importe]]-Tabla1[[#This Row],[Pagado]]</f>
        <v>0</v>
      </c>
      <c r="H2617" s="9" t="s">
        <v>10</v>
      </c>
    </row>
    <row r="2618" spans="1:8" x14ac:dyDescent="0.25">
      <c r="A2618" s="7">
        <v>44587</v>
      </c>
      <c r="B2618" s="8" t="s">
        <v>3001</v>
      </c>
      <c r="C2618" s="9" t="s">
        <v>79</v>
      </c>
      <c r="D2618" s="10">
        <v>3110</v>
      </c>
      <c r="E2618" s="11">
        <v>44587</v>
      </c>
      <c r="F2618" s="10">
        <v>3110</v>
      </c>
      <c r="G2618" s="12">
        <f>Tabla1[[#This Row],[Importe]]-Tabla1[[#This Row],[Pagado]]</f>
        <v>0</v>
      </c>
      <c r="H2618" s="9" t="s">
        <v>10</v>
      </c>
    </row>
    <row r="2619" spans="1:8" x14ac:dyDescent="0.25">
      <c r="A2619" s="7">
        <v>44587</v>
      </c>
      <c r="B2619" s="8" t="s">
        <v>3002</v>
      </c>
      <c r="C2619" s="9" t="s">
        <v>159</v>
      </c>
      <c r="D2619" s="10">
        <v>1173</v>
      </c>
      <c r="E2619" s="11">
        <v>44587</v>
      </c>
      <c r="F2619" s="10">
        <v>1173</v>
      </c>
      <c r="G2619" s="12">
        <f>Tabla1[[#This Row],[Importe]]-Tabla1[[#This Row],[Pagado]]</f>
        <v>0</v>
      </c>
      <c r="H2619" s="9" t="s">
        <v>10</v>
      </c>
    </row>
    <row r="2620" spans="1:8" x14ac:dyDescent="0.25">
      <c r="A2620" s="7">
        <v>44587</v>
      </c>
      <c r="B2620" s="8" t="s">
        <v>3003</v>
      </c>
      <c r="C2620" s="9" t="s">
        <v>142</v>
      </c>
      <c r="D2620" s="10">
        <v>61861.4</v>
      </c>
      <c r="E2620" s="11">
        <v>44589</v>
      </c>
      <c r="F2620" s="10">
        <v>61861.4</v>
      </c>
      <c r="G2620" s="12">
        <f>Tabla1[[#This Row],[Importe]]-Tabla1[[#This Row],[Pagado]]</f>
        <v>0</v>
      </c>
      <c r="H2620" s="9" t="s">
        <v>10</v>
      </c>
    </row>
    <row r="2621" spans="1:8" x14ac:dyDescent="0.25">
      <c r="A2621" s="7">
        <v>44587</v>
      </c>
      <c r="B2621" s="8" t="s">
        <v>3004</v>
      </c>
      <c r="C2621" s="9" t="s">
        <v>79</v>
      </c>
      <c r="D2621" s="10">
        <v>1960</v>
      </c>
      <c r="E2621" s="11">
        <v>44587</v>
      </c>
      <c r="F2621" s="10">
        <v>1960</v>
      </c>
      <c r="G2621" s="12">
        <f>Tabla1[[#This Row],[Importe]]-Tabla1[[#This Row],[Pagado]]</f>
        <v>0</v>
      </c>
      <c r="H2621" s="9" t="s">
        <v>10</v>
      </c>
    </row>
    <row r="2622" spans="1:8" x14ac:dyDescent="0.25">
      <c r="A2622" s="7">
        <v>44587</v>
      </c>
      <c r="B2622" s="8" t="s">
        <v>3005</v>
      </c>
      <c r="C2622" s="9" t="s">
        <v>924</v>
      </c>
      <c r="D2622" s="10">
        <v>13187.1</v>
      </c>
      <c r="E2622" s="11">
        <v>44587</v>
      </c>
      <c r="F2622" s="10">
        <v>13187.1</v>
      </c>
      <c r="G2622" s="12">
        <f>Tabla1[[#This Row],[Importe]]-Tabla1[[#This Row],[Pagado]]</f>
        <v>0</v>
      </c>
      <c r="H2622" s="9" t="s">
        <v>10</v>
      </c>
    </row>
    <row r="2623" spans="1:8" x14ac:dyDescent="0.25">
      <c r="A2623" s="7">
        <v>44587</v>
      </c>
      <c r="B2623" s="8" t="s">
        <v>3006</v>
      </c>
      <c r="C2623" s="9" t="s">
        <v>198</v>
      </c>
      <c r="D2623" s="10">
        <v>1019.5</v>
      </c>
      <c r="E2623" s="11">
        <v>44587</v>
      </c>
      <c r="F2623" s="10">
        <v>1019.5</v>
      </c>
      <c r="G2623" s="12">
        <f>Tabla1[[#This Row],[Importe]]-Tabla1[[#This Row],[Pagado]]</f>
        <v>0</v>
      </c>
      <c r="H2623" s="9" t="s">
        <v>10</v>
      </c>
    </row>
    <row r="2624" spans="1:8" x14ac:dyDescent="0.25">
      <c r="A2624" s="7">
        <v>44587</v>
      </c>
      <c r="B2624" s="8" t="s">
        <v>3007</v>
      </c>
      <c r="C2624" s="9" t="s">
        <v>312</v>
      </c>
      <c r="D2624" s="10">
        <v>4611.8</v>
      </c>
      <c r="E2624" s="11">
        <v>44587</v>
      </c>
      <c r="F2624" s="10">
        <v>4611.8</v>
      </c>
      <c r="G2624" s="12">
        <f>Tabla1[[#This Row],[Importe]]-Tabla1[[#This Row],[Pagado]]</f>
        <v>0</v>
      </c>
      <c r="H2624" s="9" t="s">
        <v>10</v>
      </c>
    </row>
    <row r="2625" spans="1:8" x14ac:dyDescent="0.25">
      <c r="A2625" s="7">
        <v>44587</v>
      </c>
      <c r="B2625" s="8" t="s">
        <v>3008</v>
      </c>
      <c r="C2625" s="9" t="s">
        <v>27</v>
      </c>
      <c r="D2625" s="10">
        <v>3068.5</v>
      </c>
      <c r="E2625" s="11">
        <v>44587</v>
      </c>
      <c r="F2625" s="10">
        <v>3068.5</v>
      </c>
      <c r="G2625" s="12">
        <f>Tabla1[[#This Row],[Importe]]-Tabla1[[#This Row],[Pagado]]</f>
        <v>0</v>
      </c>
      <c r="H2625" s="9" t="s">
        <v>10</v>
      </c>
    </row>
    <row r="2626" spans="1:8" x14ac:dyDescent="0.25">
      <c r="A2626" s="7">
        <v>44587</v>
      </c>
      <c r="B2626" s="8" t="s">
        <v>3009</v>
      </c>
      <c r="C2626" s="9" t="s">
        <v>16</v>
      </c>
      <c r="D2626" s="10">
        <v>4334.5</v>
      </c>
      <c r="E2626" s="11">
        <v>44587</v>
      </c>
      <c r="F2626" s="10">
        <v>4334.5</v>
      </c>
      <c r="G2626" s="12">
        <f>Tabla1[[#This Row],[Importe]]-Tabla1[[#This Row],[Pagado]]</f>
        <v>0</v>
      </c>
      <c r="H2626" s="9" t="s">
        <v>10</v>
      </c>
    </row>
    <row r="2627" spans="1:8" x14ac:dyDescent="0.25">
      <c r="A2627" s="7">
        <v>44587</v>
      </c>
      <c r="B2627" s="8" t="s">
        <v>3010</v>
      </c>
      <c r="C2627" s="9" t="s">
        <v>373</v>
      </c>
      <c r="D2627" s="10">
        <v>3573.5</v>
      </c>
      <c r="E2627" s="11">
        <v>44587</v>
      </c>
      <c r="F2627" s="10">
        <v>3573.5</v>
      </c>
      <c r="G2627" s="12">
        <f>Tabla1[[#This Row],[Importe]]-Tabla1[[#This Row],[Pagado]]</f>
        <v>0</v>
      </c>
      <c r="H2627" s="9" t="s">
        <v>10</v>
      </c>
    </row>
    <row r="2628" spans="1:8" x14ac:dyDescent="0.25">
      <c r="A2628" s="7">
        <v>44587</v>
      </c>
      <c r="B2628" s="8" t="s">
        <v>3011</v>
      </c>
      <c r="C2628" s="9" t="s">
        <v>45</v>
      </c>
      <c r="D2628" s="10">
        <v>10403.6</v>
      </c>
      <c r="E2628" s="11">
        <v>44587</v>
      </c>
      <c r="F2628" s="10">
        <v>10403.6</v>
      </c>
      <c r="G2628" s="12">
        <f>Tabla1[[#This Row],[Importe]]-Tabla1[[#This Row],[Pagado]]</f>
        <v>0</v>
      </c>
      <c r="H2628" s="9" t="s">
        <v>10</v>
      </c>
    </row>
    <row r="2629" spans="1:8" x14ac:dyDescent="0.25">
      <c r="A2629" s="7">
        <v>44587</v>
      </c>
      <c r="B2629" s="8" t="s">
        <v>3012</v>
      </c>
      <c r="C2629" s="9" t="s">
        <v>140</v>
      </c>
      <c r="D2629" s="10">
        <v>1107.9000000000001</v>
      </c>
      <c r="E2629" s="11">
        <v>44587</v>
      </c>
      <c r="F2629" s="10">
        <v>1107.9000000000001</v>
      </c>
      <c r="G2629" s="12">
        <f>Tabla1[[#This Row],[Importe]]-Tabla1[[#This Row],[Pagado]]</f>
        <v>0</v>
      </c>
      <c r="H2629" s="9" t="s">
        <v>10</v>
      </c>
    </row>
    <row r="2630" spans="1:8" x14ac:dyDescent="0.25">
      <c r="A2630" s="7">
        <v>44587</v>
      </c>
      <c r="B2630" s="8" t="s">
        <v>3013</v>
      </c>
      <c r="C2630" s="9" t="s">
        <v>339</v>
      </c>
      <c r="D2630" s="10">
        <v>396.9</v>
      </c>
      <c r="E2630" s="11">
        <v>44587</v>
      </c>
      <c r="F2630" s="10">
        <v>396.9</v>
      </c>
      <c r="G2630" s="12">
        <f>Tabla1[[#This Row],[Importe]]-Tabla1[[#This Row],[Pagado]]</f>
        <v>0</v>
      </c>
      <c r="H2630" s="9" t="s">
        <v>10</v>
      </c>
    </row>
    <row r="2631" spans="1:8" x14ac:dyDescent="0.25">
      <c r="A2631" s="7">
        <v>44587</v>
      </c>
      <c r="B2631" s="8" t="s">
        <v>3014</v>
      </c>
      <c r="C2631" s="9" t="s">
        <v>127</v>
      </c>
      <c r="D2631" s="10">
        <v>4582.5</v>
      </c>
      <c r="E2631" s="11">
        <v>44587</v>
      </c>
      <c r="F2631" s="10">
        <v>4582.5</v>
      </c>
      <c r="G2631" s="12">
        <f>Tabla1[[#This Row],[Importe]]-Tabla1[[#This Row],[Pagado]]</f>
        <v>0</v>
      </c>
      <c r="H2631" s="9" t="s">
        <v>10</v>
      </c>
    </row>
    <row r="2632" spans="1:8" x14ac:dyDescent="0.25">
      <c r="A2632" s="7">
        <v>44587</v>
      </c>
      <c r="B2632" s="8" t="s">
        <v>3015</v>
      </c>
      <c r="C2632" s="9" t="s">
        <v>357</v>
      </c>
      <c r="D2632" s="10">
        <v>3558.4</v>
      </c>
      <c r="E2632" s="11">
        <v>44587</v>
      </c>
      <c r="F2632" s="10">
        <v>3558.4</v>
      </c>
      <c r="G2632" s="12">
        <f>Tabla1[[#This Row],[Importe]]-Tabla1[[#This Row],[Pagado]]</f>
        <v>0</v>
      </c>
      <c r="H2632" s="9" t="s">
        <v>10</v>
      </c>
    </row>
    <row r="2633" spans="1:8" x14ac:dyDescent="0.25">
      <c r="A2633" s="7">
        <v>44587</v>
      </c>
      <c r="B2633" s="8" t="s">
        <v>3016</v>
      </c>
      <c r="C2633" s="9" t="s">
        <v>129</v>
      </c>
      <c r="D2633" s="10">
        <v>3395.6</v>
      </c>
      <c r="E2633" s="11">
        <v>44587</v>
      </c>
      <c r="F2633" s="10">
        <v>3395.6</v>
      </c>
      <c r="G2633" s="12">
        <f>Tabla1[[#This Row],[Importe]]-Tabla1[[#This Row],[Pagado]]</f>
        <v>0</v>
      </c>
      <c r="H2633" s="9" t="s">
        <v>10</v>
      </c>
    </row>
    <row r="2634" spans="1:8" x14ac:dyDescent="0.25">
      <c r="A2634" s="7">
        <v>44587</v>
      </c>
      <c r="B2634" s="8" t="s">
        <v>3017</v>
      </c>
      <c r="C2634" s="9" t="s">
        <v>24</v>
      </c>
      <c r="D2634" s="10">
        <v>3451.5</v>
      </c>
      <c r="E2634" s="11">
        <v>44587</v>
      </c>
      <c r="F2634" s="10">
        <v>3451.5</v>
      </c>
      <c r="G2634" s="12">
        <f>Tabla1[[#This Row],[Importe]]-Tabla1[[#This Row],[Pagado]]</f>
        <v>0</v>
      </c>
      <c r="H2634" s="9" t="s">
        <v>10</v>
      </c>
    </row>
    <row r="2635" spans="1:8" x14ac:dyDescent="0.25">
      <c r="A2635" s="7">
        <v>44587</v>
      </c>
      <c r="B2635" s="8" t="s">
        <v>3018</v>
      </c>
      <c r="C2635" s="9" t="s">
        <v>18</v>
      </c>
      <c r="D2635" s="10">
        <v>1683.5</v>
      </c>
      <c r="E2635" s="11">
        <v>44587</v>
      </c>
      <c r="F2635" s="10">
        <v>1683.5</v>
      </c>
      <c r="G2635" s="12">
        <f>Tabla1[[#This Row],[Importe]]-Tabla1[[#This Row],[Pagado]]</f>
        <v>0</v>
      </c>
      <c r="H2635" s="9" t="s">
        <v>10</v>
      </c>
    </row>
    <row r="2636" spans="1:8" x14ac:dyDescent="0.25">
      <c r="A2636" s="7">
        <v>44587</v>
      </c>
      <c r="B2636" s="8" t="s">
        <v>3019</v>
      </c>
      <c r="C2636" s="9" t="s">
        <v>357</v>
      </c>
      <c r="D2636" s="10">
        <v>231.2</v>
      </c>
      <c r="E2636" s="11">
        <v>44587</v>
      </c>
      <c r="F2636" s="10">
        <v>231.2</v>
      </c>
      <c r="G2636" s="12">
        <f>Tabla1[[#This Row],[Importe]]-Tabla1[[#This Row],[Pagado]]</f>
        <v>0</v>
      </c>
      <c r="H2636" s="9" t="s">
        <v>10</v>
      </c>
    </row>
    <row r="2637" spans="1:8" x14ac:dyDescent="0.25">
      <c r="A2637" s="7">
        <v>44587</v>
      </c>
      <c r="B2637" s="8" t="s">
        <v>3020</v>
      </c>
      <c r="C2637" s="9" t="s">
        <v>191</v>
      </c>
      <c r="D2637" s="10">
        <v>1622.5</v>
      </c>
      <c r="E2637" s="11">
        <v>44587</v>
      </c>
      <c r="F2637" s="10">
        <v>1622.5</v>
      </c>
      <c r="G2637" s="12">
        <f>Tabla1[[#This Row],[Importe]]-Tabla1[[#This Row],[Pagado]]</f>
        <v>0</v>
      </c>
      <c r="H2637" s="9" t="s">
        <v>10</v>
      </c>
    </row>
    <row r="2638" spans="1:8" x14ac:dyDescent="0.25">
      <c r="A2638" s="7">
        <v>44587</v>
      </c>
      <c r="B2638" s="8" t="s">
        <v>3021</v>
      </c>
      <c r="C2638" s="9" t="s">
        <v>31</v>
      </c>
      <c r="D2638" s="10">
        <v>3806</v>
      </c>
      <c r="E2638" s="11">
        <v>44587</v>
      </c>
      <c r="F2638" s="10">
        <v>3806</v>
      </c>
      <c r="G2638" s="12">
        <f>Tabla1[[#This Row],[Importe]]-Tabla1[[#This Row],[Pagado]]</f>
        <v>0</v>
      </c>
      <c r="H2638" s="9" t="s">
        <v>10</v>
      </c>
    </row>
    <row r="2639" spans="1:8" x14ac:dyDescent="0.25">
      <c r="A2639" s="7">
        <v>44587</v>
      </c>
      <c r="B2639" s="8" t="s">
        <v>3022</v>
      </c>
      <c r="C2639" s="9" t="s">
        <v>804</v>
      </c>
      <c r="D2639" s="10">
        <v>6246.2</v>
      </c>
      <c r="E2639" s="11">
        <v>44587</v>
      </c>
      <c r="F2639" s="10">
        <v>6246.2</v>
      </c>
      <c r="G2639" s="12">
        <f>Tabla1[[#This Row],[Importe]]-Tabla1[[#This Row],[Pagado]]</f>
        <v>0</v>
      </c>
      <c r="H2639" s="9" t="s">
        <v>10</v>
      </c>
    </row>
    <row r="2640" spans="1:8" x14ac:dyDescent="0.25">
      <c r="A2640" s="7">
        <v>44587</v>
      </c>
      <c r="B2640" s="8" t="s">
        <v>3023</v>
      </c>
      <c r="C2640" s="9" t="s">
        <v>216</v>
      </c>
      <c r="D2640" s="10">
        <v>2065</v>
      </c>
      <c r="E2640" s="11">
        <v>44587</v>
      </c>
      <c r="F2640" s="10">
        <v>2065</v>
      </c>
      <c r="G2640" s="12">
        <f>Tabla1[[#This Row],[Importe]]-Tabla1[[#This Row],[Pagado]]</f>
        <v>0</v>
      </c>
      <c r="H2640" s="9" t="s">
        <v>10</v>
      </c>
    </row>
    <row r="2641" spans="1:8" x14ac:dyDescent="0.25">
      <c r="A2641" s="7">
        <v>44587</v>
      </c>
      <c r="B2641" s="8" t="s">
        <v>3024</v>
      </c>
      <c r="C2641" s="9" t="s">
        <v>275</v>
      </c>
      <c r="D2641" s="10">
        <v>39492.9</v>
      </c>
      <c r="E2641" s="11">
        <v>44597</v>
      </c>
      <c r="F2641" s="10">
        <v>39492.9</v>
      </c>
      <c r="G2641" s="12">
        <f>Tabla1[[#This Row],[Importe]]-Tabla1[[#This Row],[Pagado]]</f>
        <v>0</v>
      </c>
      <c r="H2641" s="9" t="s">
        <v>10</v>
      </c>
    </row>
    <row r="2642" spans="1:8" x14ac:dyDescent="0.25">
      <c r="A2642" s="7">
        <v>44587</v>
      </c>
      <c r="B2642" s="8" t="s">
        <v>3025</v>
      </c>
      <c r="C2642" s="9" t="s">
        <v>555</v>
      </c>
      <c r="D2642" s="10">
        <v>37086.78</v>
      </c>
      <c r="E2642" s="11">
        <v>44587</v>
      </c>
      <c r="F2642" s="10">
        <v>37086.78</v>
      </c>
      <c r="G2642" s="12">
        <f>Tabla1[[#This Row],[Importe]]-Tabla1[[#This Row],[Pagado]]</f>
        <v>0</v>
      </c>
      <c r="H2642" s="9" t="s">
        <v>10</v>
      </c>
    </row>
    <row r="2643" spans="1:8" x14ac:dyDescent="0.25">
      <c r="A2643" s="7">
        <v>44587</v>
      </c>
      <c r="B2643" s="8" t="s">
        <v>3026</v>
      </c>
      <c r="C2643" s="9" t="s">
        <v>154</v>
      </c>
      <c r="D2643" s="10">
        <v>54067.4</v>
      </c>
      <c r="E2643" s="11">
        <v>44593</v>
      </c>
      <c r="F2643" s="10">
        <v>54067.4</v>
      </c>
      <c r="G2643" s="12">
        <f>Tabla1[[#This Row],[Importe]]-Tabla1[[#This Row],[Pagado]]</f>
        <v>0</v>
      </c>
      <c r="H2643" s="9" t="s">
        <v>10</v>
      </c>
    </row>
    <row r="2644" spans="1:8" x14ac:dyDescent="0.25">
      <c r="A2644" s="7">
        <v>44587</v>
      </c>
      <c r="B2644" s="8" t="s">
        <v>3027</v>
      </c>
      <c r="C2644" s="9" t="s">
        <v>237</v>
      </c>
      <c r="D2644" s="10">
        <v>1715.9</v>
      </c>
      <c r="E2644" s="11">
        <v>44587</v>
      </c>
      <c r="F2644" s="10">
        <v>1715.9</v>
      </c>
      <c r="G2644" s="12">
        <f>Tabla1[[#This Row],[Importe]]-Tabla1[[#This Row],[Pagado]]</f>
        <v>0</v>
      </c>
      <c r="H2644" s="9" t="s">
        <v>10</v>
      </c>
    </row>
    <row r="2645" spans="1:8" x14ac:dyDescent="0.25">
      <c r="A2645" s="7">
        <v>44587</v>
      </c>
      <c r="B2645" s="8" t="s">
        <v>3028</v>
      </c>
      <c r="C2645" s="9" t="s">
        <v>202</v>
      </c>
      <c r="D2645" s="10">
        <v>515.20000000000005</v>
      </c>
      <c r="E2645" s="11">
        <v>44587</v>
      </c>
      <c r="F2645" s="10">
        <v>515.20000000000005</v>
      </c>
      <c r="G2645" s="12">
        <f>Tabla1[[#This Row],[Importe]]-Tabla1[[#This Row],[Pagado]]</f>
        <v>0</v>
      </c>
      <c r="H2645" s="9" t="s">
        <v>10</v>
      </c>
    </row>
    <row r="2646" spans="1:8" x14ac:dyDescent="0.25">
      <c r="A2646" s="7">
        <v>44587</v>
      </c>
      <c r="B2646" s="8" t="s">
        <v>3029</v>
      </c>
      <c r="C2646" s="9" t="s">
        <v>212</v>
      </c>
      <c r="D2646" s="10">
        <v>24787.200000000001</v>
      </c>
      <c r="E2646" s="11">
        <v>44590</v>
      </c>
      <c r="F2646" s="10">
        <v>24787.200000000001</v>
      </c>
      <c r="G2646" s="12">
        <f>Tabla1[[#This Row],[Importe]]-Tabla1[[#This Row],[Pagado]]</f>
        <v>0</v>
      </c>
      <c r="H2646" s="9" t="s">
        <v>10</v>
      </c>
    </row>
    <row r="2647" spans="1:8" x14ac:dyDescent="0.25">
      <c r="A2647" s="7">
        <v>44587</v>
      </c>
      <c r="B2647" s="8" t="s">
        <v>3030</v>
      </c>
      <c r="C2647" s="9" t="s">
        <v>206</v>
      </c>
      <c r="D2647" s="10">
        <v>25611.34</v>
      </c>
      <c r="E2647" s="11">
        <v>44593</v>
      </c>
      <c r="F2647" s="10">
        <v>25611.34</v>
      </c>
      <c r="G2647" s="12">
        <f>Tabla1[[#This Row],[Importe]]-Tabla1[[#This Row],[Pagado]]</f>
        <v>0</v>
      </c>
      <c r="H2647" s="9" t="s">
        <v>10</v>
      </c>
    </row>
    <row r="2648" spans="1:8" x14ac:dyDescent="0.25">
      <c r="A2648" s="7">
        <v>44587</v>
      </c>
      <c r="B2648" s="8" t="s">
        <v>3031</v>
      </c>
      <c r="C2648" s="9" t="s">
        <v>173</v>
      </c>
      <c r="D2648" s="10">
        <v>21061</v>
      </c>
      <c r="E2648" s="11">
        <v>44588</v>
      </c>
      <c r="F2648" s="10">
        <v>21061</v>
      </c>
      <c r="G2648" s="12">
        <f>Tabla1[[#This Row],[Importe]]-Tabla1[[#This Row],[Pagado]]</f>
        <v>0</v>
      </c>
      <c r="H2648" s="9" t="s">
        <v>10</v>
      </c>
    </row>
    <row r="2649" spans="1:8" x14ac:dyDescent="0.25">
      <c r="A2649" s="7">
        <v>44587</v>
      </c>
      <c r="B2649" s="8" t="s">
        <v>3032</v>
      </c>
      <c r="C2649" s="9" t="s">
        <v>419</v>
      </c>
      <c r="D2649" s="10">
        <v>6394.5</v>
      </c>
      <c r="E2649" s="11">
        <v>44587</v>
      </c>
      <c r="F2649" s="10">
        <v>6394.5</v>
      </c>
      <c r="G2649" s="12">
        <f>Tabla1[[#This Row],[Importe]]-Tabla1[[#This Row],[Pagado]]</f>
        <v>0</v>
      </c>
      <c r="H2649" s="9" t="s">
        <v>10</v>
      </c>
    </row>
    <row r="2650" spans="1:8" x14ac:dyDescent="0.25">
      <c r="A2650" s="7">
        <v>44587</v>
      </c>
      <c r="B2650" s="8" t="s">
        <v>3033</v>
      </c>
      <c r="C2650" s="9" t="s">
        <v>419</v>
      </c>
      <c r="D2650" s="10">
        <v>742.4</v>
      </c>
      <c r="E2650" s="11">
        <v>44587</v>
      </c>
      <c r="F2650" s="10">
        <v>742.4</v>
      </c>
      <c r="G2650" s="12">
        <f>Tabla1[[#This Row],[Importe]]-Tabla1[[#This Row],[Pagado]]</f>
        <v>0</v>
      </c>
      <c r="H2650" s="9" t="s">
        <v>10</v>
      </c>
    </row>
    <row r="2651" spans="1:8" x14ac:dyDescent="0.25">
      <c r="A2651" s="7">
        <v>44587</v>
      </c>
      <c r="B2651" s="8" t="s">
        <v>3034</v>
      </c>
      <c r="C2651" s="9" t="s">
        <v>218</v>
      </c>
      <c r="D2651" s="10">
        <v>26270.639999999999</v>
      </c>
      <c r="E2651" s="11">
        <v>44596</v>
      </c>
      <c r="F2651" s="10">
        <v>26270.639999999999</v>
      </c>
      <c r="G2651" s="12">
        <f>Tabla1[[#This Row],[Importe]]-Tabla1[[#This Row],[Pagado]]</f>
        <v>0</v>
      </c>
      <c r="H2651" s="9" t="s">
        <v>10</v>
      </c>
    </row>
    <row r="2652" spans="1:8" x14ac:dyDescent="0.25">
      <c r="A2652" s="7">
        <v>44587</v>
      </c>
      <c r="B2652" s="8" t="s">
        <v>3035</v>
      </c>
      <c r="C2652" s="9" t="s">
        <v>592</v>
      </c>
      <c r="D2652" s="10">
        <v>18148.2</v>
      </c>
      <c r="E2652" s="11">
        <v>44588</v>
      </c>
      <c r="F2652" s="10">
        <v>18148.2</v>
      </c>
      <c r="G2652" s="12">
        <f>Tabla1[[#This Row],[Importe]]-Tabla1[[#This Row],[Pagado]]</f>
        <v>0</v>
      </c>
      <c r="H2652" s="9" t="s">
        <v>10</v>
      </c>
    </row>
    <row r="2653" spans="1:8" x14ac:dyDescent="0.25">
      <c r="A2653" s="7">
        <v>44587</v>
      </c>
      <c r="B2653" s="8" t="s">
        <v>3036</v>
      </c>
      <c r="C2653" s="9" t="s">
        <v>450</v>
      </c>
      <c r="D2653" s="10">
        <v>4291.8</v>
      </c>
      <c r="E2653" s="11">
        <v>44587</v>
      </c>
      <c r="F2653" s="10">
        <v>4291.8</v>
      </c>
      <c r="G2653" s="12">
        <f>Tabla1[[#This Row],[Importe]]-Tabla1[[#This Row],[Pagado]]</f>
        <v>0</v>
      </c>
      <c r="H2653" s="9" t="s">
        <v>10</v>
      </c>
    </row>
    <row r="2654" spans="1:8" x14ac:dyDescent="0.25">
      <c r="A2654" s="7">
        <v>44587</v>
      </c>
      <c r="B2654" s="8" t="s">
        <v>3037</v>
      </c>
      <c r="C2654" s="9" t="s">
        <v>133</v>
      </c>
      <c r="D2654" s="10">
        <v>11407.4</v>
      </c>
      <c r="E2654" s="11">
        <v>44588</v>
      </c>
      <c r="F2654" s="10">
        <v>11407.4</v>
      </c>
      <c r="G2654" s="12">
        <f>Tabla1[[#This Row],[Importe]]-Tabla1[[#This Row],[Pagado]]</f>
        <v>0</v>
      </c>
      <c r="H2654" s="9" t="s">
        <v>10</v>
      </c>
    </row>
    <row r="2655" spans="1:8" x14ac:dyDescent="0.25">
      <c r="A2655" s="7">
        <v>44587</v>
      </c>
      <c r="B2655" s="8" t="s">
        <v>3038</v>
      </c>
      <c r="C2655" s="9" t="s">
        <v>1630</v>
      </c>
      <c r="D2655" s="10">
        <v>7258.2</v>
      </c>
      <c r="E2655" s="11">
        <v>44588</v>
      </c>
      <c r="F2655" s="10">
        <v>7258.2</v>
      </c>
      <c r="G2655" s="12">
        <f>Tabla1[[#This Row],[Importe]]-Tabla1[[#This Row],[Pagado]]</f>
        <v>0</v>
      </c>
      <c r="H2655" s="9" t="s">
        <v>10</v>
      </c>
    </row>
    <row r="2656" spans="1:8" x14ac:dyDescent="0.25">
      <c r="A2656" s="7">
        <v>44587</v>
      </c>
      <c r="B2656" s="8" t="s">
        <v>3039</v>
      </c>
      <c r="C2656" s="9" t="s">
        <v>31</v>
      </c>
      <c r="D2656" s="10">
        <v>5896.3</v>
      </c>
      <c r="E2656" s="11">
        <v>44588</v>
      </c>
      <c r="F2656" s="10">
        <v>5896.3</v>
      </c>
      <c r="G2656" s="12">
        <f>Tabla1[[#This Row],[Importe]]-Tabla1[[#This Row],[Pagado]]</f>
        <v>0</v>
      </c>
      <c r="H2656" s="9" t="s">
        <v>10</v>
      </c>
    </row>
    <row r="2657" spans="1:8" x14ac:dyDescent="0.25">
      <c r="A2657" s="7">
        <v>44587</v>
      </c>
      <c r="B2657" s="8" t="s">
        <v>3040</v>
      </c>
      <c r="C2657" s="9" t="s">
        <v>1644</v>
      </c>
      <c r="D2657" s="10">
        <v>7934.4</v>
      </c>
      <c r="E2657" s="11">
        <v>44588</v>
      </c>
      <c r="F2657" s="10">
        <v>7934.4</v>
      </c>
      <c r="G2657" s="12">
        <f>Tabla1[[#This Row],[Importe]]-Tabla1[[#This Row],[Pagado]]</f>
        <v>0</v>
      </c>
      <c r="H2657" s="9" t="s">
        <v>10</v>
      </c>
    </row>
    <row r="2658" spans="1:8" x14ac:dyDescent="0.25">
      <c r="A2658" s="7">
        <v>44587</v>
      </c>
      <c r="B2658" s="8" t="s">
        <v>3041</v>
      </c>
      <c r="C2658" s="9" t="s">
        <v>528</v>
      </c>
      <c r="D2658" s="10">
        <v>24268.799999999999</v>
      </c>
      <c r="E2658" s="11">
        <v>44588</v>
      </c>
      <c r="F2658" s="10">
        <v>24268.799999999999</v>
      </c>
      <c r="G2658" s="12">
        <f>Tabla1[[#This Row],[Importe]]-Tabla1[[#This Row],[Pagado]]</f>
        <v>0</v>
      </c>
      <c r="H2658" s="9" t="s">
        <v>10</v>
      </c>
    </row>
    <row r="2659" spans="1:8" x14ac:dyDescent="0.25">
      <c r="A2659" s="7">
        <v>44587</v>
      </c>
      <c r="B2659" s="8" t="s">
        <v>3042</v>
      </c>
      <c r="C2659" s="9" t="s">
        <v>146</v>
      </c>
      <c r="D2659" s="10">
        <v>1675.2</v>
      </c>
      <c r="E2659" s="11">
        <v>44587</v>
      </c>
      <c r="F2659" s="10">
        <v>1675.2</v>
      </c>
      <c r="G2659" s="12">
        <f>Tabla1[[#This Row],[Importe]]-Tabla1[[#This Row],[Pagado]]</f>
        <v>0</v>
      </c>
      <c r="H2659" s="9" t="s">
        <v>10</v>
      </c>
    </row>
    <row r="2660" spans="1:8" x14ac:dyDescent="0.25">
      <c r="A2660" s="7">
        <v>44587</v>
      </c>
      <c r="B2660" s="8" t="s">
        <v>3043</v>
      </c>
      <c r="C2660" s="9" t="s">
        <v>107</v>
      </c>
      <c r="D2660" s="10">
        <v>8175.6</v>
      </c>
      <c r="E2660" s="11">
        <v>44587</v>
      </c>
      <c r="F2660" s="10">
        <v>8175.6</v>
      </c>
      <c r="G2660" s="12">
        <f>Tabla1[[#This Row],[Importe]]-Tabla1[[#This Row],[Pagado]]</f>
        <v>0</v>
      </c>
      <c r="H2660" s="9" t="s">
        <v>10</v>
      </c>
    </row>
    <row r="2661" spans="1:8" x14ac:dyDescent="0.25">
      <c r="A2661" s="7">
        <v>44587</v>
      </c>
      <c r="B2661" s="8" t="s">
        <v>3044</v>
      </c>
      <c r="C2661" s="9" t="s">
        <v>664</v>
      </c>
      <c r="D2661" s="10">
        <v>7928.8</v>
      </c>
      <c r="E2661" s="11">
        <v>44587</v>
      </c>
      <c r="F2661" s="10">
        <v>7928.8</v>
      </c>
      <c r="G2661" s="12">
        <f>Tabla1[[#This Row],[Importe]]-Tabla1[[#This Row],[Pagado]]</f>
        <v>0</v>
      </c>
      <c r="H2661" s="9" t="s">
        <v>10</v>
      </c>
    </row>
    <row r="2662" spans="1:8" x14ac:dyDescent="0.25">
      <c r="A2662" s="7">
        <v>44587</v>
      </c>
      <c r="B2662" s="8" t="s">
        <v>3045</v>
      </c>
      <c r="C2662" s="9" t="s">
        <v>670</v>
      </c>
      <c r="D2662" s="10">
        <v>3370.5</v>
      </c>
      <c r="E2662" s="11">
        <v>44587</v>
      </c>
      <c r="F2662" s="10">
        <v>3370.5</v>
      </c>
      <c r="G2662" s="12">
        <f>Tabla1[[#This Row],[Importe]]-Tabla1[[#This Row],[Pagado]]</f>
        <v>0</v>
      </c>
      <c r="H2662" s="9" t="s">
        <v>10</v>
      </c>
    </row>
    <row r="2663" spans="1:8" x14ac:dyDescent="0.25">
      <c r="A2663" s="7">
        <v>44587</v>
      </c>
      <c r="B2663" s="8" t="s">
        <v>3046</v>
      </c>
      <c r="C2663" s="9" t="s">
        <v>857</v>
      </c>
      <c r="D2663" s="10">
        <v>950</v>
      </c>
      <c r="E2663" s="11">
        <v>44587</v>
      </c>
      <c r="F2663" s="10">
        <v>950</v>
      </c>
      <c r="G2663" s="12">
        <f>Tabla1[[#This Row],[Importe]]-Tabla1[[#This Row],[Pagado]]</f>
        <v>0</v>
      </c>
      <c r="H2663" s="9" t="s">
        <v>10</v>
      </c>
    </row>
    <row r="2664" spans="1:8" x14ac:dyDescent="0.25">
      <c r="A2664" s="7">
        <v>44587</v>
      </c>
      <c r="B2664" s="8" t="s">
        <v>3047</v>
      </c>
      <c r="C2664" s="9" t="s">
        <v>235</v>
      </c>
      <c r="D2664" s="10">
        <v>9510.4</v>
      </c>
      <c r="E2664" s="11">
        <v>44587</v>
      </c>
      <c r="F2664" s="10">
        <v>9510.4</v>
      </c>
      <c r="G2664" s="12">
        <f>Tabla1[[#This Row],[Importe]]-Tabla1[[#This Row],[Pagado]]</f>
        <v>0</v>
      </c>
      <c r="H2664" s="9" t="s">
        <v>10</v>
      </c>
    </row>
    <row r="2665" spans="1:8" x14ac:dyDescent="0.25">
      <c r="A2665" s="7">
        <v>44587</v>
      </c>
      <c r="B2665" s="8" t="s">
        <v>3048</v>
      </c>
      <c r="C2665" s="9" t="s">
        <v>71</v>
      </c>
      <c r="D2665" s="10">
        <v>493.5</v>
      </c>
      <c r="E2665" s="11">
        <v>44587</v>
      </c>
      <c r="F2665" s="10">
        <v>493.5</v>
      </c>
      <c r="G2665" s="12">
        <f>Tabla1[[#This Row],[Importe]]-Tabla1[[#This Row],[Pagado]]</f>
        <v>0</v>
      </c>
      <c r="H2665" s="9" t="s">
        <v>10</v>
      </c>
    </row>
    <row r="2666" spans="1:8" x14ac:dyDescent="0.25">
      <c r="A2666" s="7">
        <v>44587</v>
      </c>
      <c r="B2666" s="8" t="s">
        <v>3049</v>
      </c>
      <c r="C2666" s="9" t="s">
        <v>291</v>
      </c>
      <c r="D2666" s="10">
        <v>4064.6</v>
      </c>
      <c r="E2666" s="11">
        <v>44587</v>
      </c>
      <c r="F2666" s="10">
        <v>4064.6</v>
      </c>
      <c r="G2666" s="12">
        <f>Tabla1[[#This Row],[Importe]]-Tabla1[[#This Row],[Pagado]]</f>
        <v>0</v>
      </c>
      <c r="H2666" s="9" t="s">
        <v>10</v>
      </c>
    </row>
    <row r="2667" spans="1:8" x14ac:dyDescent="0.25">
      <c r="A2667" s="7">
        <v>44587</v>
      </c>
      <c r="B2667" s="8" t="s">
        <v>3050</v>
      </c>
      <c r="C2667" s="9" t="s">
        <v>698</v>
      </c>
      <c r="D2667" s="10">
        <v>4334.3999999999996</v>
      </c>
      <c r="E2667" s="11">
        <v>44587</v>
      </c>
      <c r="F2667" s="10">
        <v>4334.3999999999996</v>
      </c>
      <c r="G2667" s="12">
        <f>Tabla1[[#This Row],[Importe]]-Tabla1[[#This Row],[Pagado]]</f>
        <v>0</v>
      </c>
      <c r="H2667" s="9" t="s">
        <v>10</v>
      </c>
    </row>
    <row r="2668" spans="1:8" x14ac:dyDescent="0.25">
      <c r="A2668" s="7">
        <v>44587</v>
      </c>
      <c r="B2668" s="8" t="s">
        <v>3051</v>
      </c>
      <c r="C2668" s="9" t="s">
        <v>179</v>
      </c>
      <c r="D2668" s="10">
        <v>990</v>
      </c>
      <c r="E2668" s="11">
        <v>44587</v>
      </c>
      <c r="F2668" s="10">
        <v>990</v>
      </c>
      <c r="G2668" s="12">
        <f>Tabla1[[#This Row],[Importe]]-Tabla1[[#This Row],[Pagado]]</f>
        <v>0</v>
      </c>
      <c r="H2668" s="9" t="s">
        <v>10</v>
      </c>
    </row>
    <row r="2669" spans="1:8" x14ac:dyDescent="0.25">
      <c r="A2669" s="7">
        <v>44587</v>
      </c>
      <c r="B2669" s="8" t="s">
        <v>3052</v>
      </c>
      <c r="C2669" s="9" t="s">
        <v>31</v>
      </c>
      <c r="D2669" s="10">
        <v>826.9</v>
      </c>
      <c r="E2669" s="11">
        <v>44587</v>
      </c>
      <c r="F2669" s="10">
        <v>826.9</v>
      </c>
      <c r="G2669" s="12">
        <f>Tabla1[[#This Row],[Importe]]-Tabla1[[#This Row],[Pagado]]</f>
        <v>0</v>
      </c>
      <c r="H2669" s="9" t="s">
        <v>10</v>
      </c>
    </row>
    <row r="2670" spans="1:8" x14ac:dyDescent="0.25">
      <c r="A2670" s="7">
        <v>44587</v>
      </c>
      <c r="B2670" s="8" t="s">
        <v>3053</v>
      </c>
      <c r="C2670" s="9" t="s">
        <v>200</v>
      </c>
      <c r="D2670" s="10">
        <v>1227.5</v>
      </c>
      <c r="E2670" s="11">
        <v>44588</v>
      </c>
      <c r="F2670" s="10">
        <v>1227.5</v>
      </c>
      <c r="G2670" s="12">
        <f>Tabla1[[#This Row],[Importe]]-Tabla1[[#This Row],[Pagado]]</f>
        <v>0</v>
      </c>
      <c r="H2670" s="9" t="s">
        <v>10</v>
      </c>
    </row>
    <row r="2671" spans="1:8" x14ac:dyDescent="0.25">
      <c r="A2671" s="7">
        <v>44587</v>
      </c>
      <c r="B2671" s="8" t="s">
        <v>3054</v>
      </c>
      <c r="C2671" s="9" t="s">
        <v>576</v>
      </c>
      <c r="D2671" s="10">
        <v>2205.9</v>
      </c>
      <c r="E2671" s="11">
        <v>44588</v>
      </c>
      <c r="F2671" s="10">
        <v>2205.9</v>
      </c>
      <c r="G2671" s="12">
        <f>Tabla1[[#This Row],[Importe]]-Tabla1[[#This Row],[Pagado]]</f>
        <v>0</v>
      </c>
      <c r="H2671" s="9" t="s">
        <v>10</v>
      </c>
    </row>
    <row r="2672" spans="1:8" x14ac:dyDescent="0.25">
      <c r="A2672" s="7">
        <v>44587</v>
      </c>
      <c r="B2672" s="8" t="s">
        <v>3055</v>
      </c>
      <c r="C2672" s="9" t="s">
        <v>280</v>
      </c>
      <c r="D2672" s="10">
        <v>525</v>
      </c>
      <c r="E2672" s="11">
        <v>44588</v>
      </c>
      <c r="F2672" s="10">
        <v>525</v>
      </c>
      <c r="G2672" s="12">
        <f>Tabla1[[#This Row],[Importe]]-Tabla1[[#This Row],[Pagado]]</f>
        <v>0</v>
      </c>
      <c r="H2672" s="9" t="s">
        <v>10</v>
      </c>
    </row>
    <row r="2673" spans="1:8" x14ac:dyDescent="0.25">
      <c r="A2673" s="7">
        <v>44587</v>
      </c>
      <c r="B2673" s="8" t="s">
        <v>3056</v>
      </c>
      <c r="C2673" s="9" t="s">
        <v>284</v>
      </c>
      <c r="D2673" s="10">
        <v>5075</v>
      </c>
      <c r="E2673" s="11">
        <v>44588</v>
      </c>
      <c r="F2673" s="10">
        <v>5075</v>
      </c>
      <c r="G2673" s="12">
        <f>Tabla1[[#This Row],[Importe]]-Tabla1[[#This Row],[Pagado]]</f>
        <v>0</v>
      </c>
      <c r="H2673" s="9" t="s">
        <v>10</v>
      </c>
    </row>
    <row r="2674" spans="1:8" x14ac:dyDescent="0.25">
      <c r="A2674" s="7">
        <v>44587</v>
      </c>
      <c r="B2674" s="8" t="s">
        <v>3057</v>
      </c>
      <c r="C2674" s="9" t="s">
        <v>710</v>
      </c>
      <c r="D2674" s="10">
        <v>2034.3</v>
      </c>
      <c r="E2674" s="11">
        <v>44588</v>
      </c>
      <c r="F2674" s="10">
        <v>2034.3</v>
      </c>
      <c r="G2674" s="12">
        <f>Tabla1[[#This Row],[Importe]]-Tabla1[[#This Row],[Pagado]]</f>
        <v>0</v>
      </c>
      <c r="H2674" s="9" t="s">
        <v>10</v>
      </c>
    </row>
    <row r="2675" spans="1:8" x14ac:dyDescent="0.25">
      <c r="A2675" s="7">
        <v>44587</v>
      </c>
      <c r="B2675" s="8" t="s">
        <v>3058</v>
      </c>
      <c r="C2675" s="9" t="s">
        <v>426</v>
      </c>
      <c r="D2675" s="10">
        <v>7303</v>
      </c>
      <c r="E2675" s="11">
        <v>44588</v>
      </c>
      <c r="F2675" s="10">
        <v>7303</v>
      </c>
      <c r="G2675" s="12">
        <f>Tabla1[[#This Row],[Importe]]-Tabla1[[#This Row],[Pagado]]</f>
        <v>0</v>
      </c>
      <c r="H2675" s="9" t="s">
        <v>10</v>
      </c>
    </row>
    <row r="2676" spans="1:8" x14ac:dyDescent="0.25">
      <c r="A2676" s="7">
        <v>44587</v>
      </c>
      <c r="B2676" s="8" t="s">
        <v>3059</v>
      </c>
      <c r="C2676" s="9" t="s">
        <v>175</v>
      </c>
      <c r="D2676" s="10">
        <v>9640</v>
      </c>
      <c r="E2676" s="11">
        <v>44588</v>
      </c>
      <c r="F2676" s="10">
        <v>9640</v>
      </c>
      <c r="G2676" s="12">
        <f>Tabla1[[#This Row],[Importe]]-Tabla1[[#This Row],[Pagado]]</f>
        <v>0</v>
      </c>
      <c r="H2676" s="9" t="s">
        <v>10</v>
      </c>
    </row>
    <row r="2677" spans="1:8" x14ac:dyDescent="0.25">
      <c r="A2677" s="7">
        <v>44587</v>
      </c>
      <c r="B2677" s="8" t="s">
        <v>3060</v>
      </c>
      <c r="C2677" s="9" t="s">
        <v>396</v>
      </c>
      <c r="D2677" s="10">
        <v>6482.4</v>
      </c>
      <c r="E2677" s="11">
        <v>44595</v>
      </c>
      <c r="F2677" s="10">
        <v>6482.4</v>
      </c>
      <c r="G2677" s="12">
        <f>Tabla1[[#This Row],[Importe]]-Tabla1[[#This Row],[Pagado]]</f>
        <v>0</v>
      </c>
      <c r="H2677" s="9" t="s">
        <v>10</v>
      </c>
    </row>
    <row r="2678" spans="1:8" x14ac:dyDescent="0.25">
      <c r="A2678" s="7">
        <v>44587</v>
      </c>
      <c r="B2678" s="8" t="s">
        <v>3061</v>
      </c>
      <c r="C2678" s="9" t="s">
        <v>400</v>
      </c>
      <c r="D2678" s="10">
        <v>4323.2</v>
      </c>
      <c r="E2678" s="11">
        <v>44608</v>
      </c>
      <c r="F2678" s="10">
        <v>4323.2</v>
      </c>
      <c r="G2678" s="12">
        <f>Tabla1[[#This Row],[Importe]]-Tabla1[[#This Row],[Pagado]]</f>
        <v>0</v>
      </c>
      <c r="H2678" s="9" t="s">
        <v>10</v>
      </c>
    </row>
    <row r="2679" spans="1:8" x14ac:dyDescent="0.25">
      <c r="A2679" s="7">
        <v>44587</v>
      </c>
      <c r="B2679" s="8" t="s">
        <v>3062</v>
      </c>
      <c r="C2679" s="9" t="s">
        <v>402</v>
      </c>
      <c r="D2679" s="10">
        <v>8428.6</v>
      </c>
      <c r="E2679" s="11">
        <v>44595</v>
      </c>
      <c r="F2679" s="10">
        <v>8428.6</v>
      </c>
      <c r="G2679" s="12">
        <f>Tabla1[[#This Row],[Importe]]-Tabla1[[#This Row],[Pagado]]</f>
        <v>0</v>
      </c>
      <c r="H2679" s="9" t="s">
        <v>10</v>
      </c>
    </row>
    <row r="2680" spans="1:8" x14ac:dyDescent="0.25">
      <c r="A2680" s="7">
        <v>44587</v>
      </c>
      <c r="B2680" s="8" t="s">
        <v>3063</v>
      </c>
      <c r="C2680" s="9" t="s">
        <v>135</v>
      </c>
      <c r="D2680" s="10">
        <v>1049.3</v>
      </c>
      <c r="E2680" s="11">
        <v>44587</v>
      </c>
      <c r="F2680" s="10">
        <v>1049.3</v>
      </c>
      <c r="G2680" s="12">
        <f>Tabla1[[#This Row],[Importe]]-Tabla1[[#This Row],[Pagado]]</f>
        <v>0</v>
      </c>
      <c r="H2680" s="9" t="s">
        <v>10</v>
      </c>
    </row>
    <row r="2681" spans="1:8" x14ac:dyDescent="0.25">
      <c r="A2681" s="7">
        <v>44587</v>
      </c>
      <c r="B2681" s="8" t="s">
        <v>3064</v>
      </c>
      <c r="C2681" s="9" t="s">
        <v>1421</v>
      </c>
      <c r="D2681" s="10">
        <v>37145</v>
      </c>
      <c r="E2681" s="11">
        <v>44587</v>
      </c>
      <c r="F2681" s="10">
        <v>37145</v>
      </c>
      <c r="G2681" s="12">
        <f>Tabla1[[#This Row],[Importe]]-Tabla1[[#This Row],[Pagado]]</f>
        <v>0</v>
      </c>
      <c r="H2681" s="9" t="s">
        <v>10</v>
      </c>
    </row>
    <row r="2682" spans="1:8" x14ac:dyDescent="0.25">
      <c r="A2682" s="7">
        <v>44587</v>
      </c>
      <c r="B2682" s="8" t="s">
        <v>3065</v>
      </c>
      <c r="C2682" s="9" t="s">
        <v>421</v>
      </c>
      <c r="D2682" s="10">
        <v>4834.2</v>
      </c>
      <c r="E2682" s="11">
        <v>44587</v>
      </c>
      <c r="F2682" s="10">
        <v>4834.2</v>
      </c>
      <c r="G2682" s="12">
        <f>Tabla1[[#This Row],[Importe]]-Tabla1[[#This Row],[Pagado]]</f>
        <v>0</v>
      </c>
      <c r="H2682" s="9" t="s">
        <v>10</v>
      </c>
    </row>
    <row r="2683" spans="1:8" x14ac:dyDescent="0.25">
      <c r="A2683" s="7">
        <v>44587</v>
      </c>
      <c r="B2683" s="8" t="s">
        <v>3066</v>
      </c>
      <c r="C2683" s="9" t="s">
        <v>435</v>
      </c>
      <c r="D2683" s="10">
        <v>1490</v>
      </c>
      <c r="E2683" s="11">
        <v>44587</v>
      </c>
      <c r="F2683" s="10">
        <v>1490</v>
      </c>
      <c r="G2683" s="12">
        <f>Tabla1[[#This Row],[Importe]]-Tabla1[[#This Row],[Pagado]]</f>
        <v>0</v>
      </c>
      <c r="H2683" s="9" t="s">
        <v>10</v>
      </c>
    </row>
    <row r="2684" spans="1:8" x14ac:dyDescent="0.25">
      <c r="A2684" s="7">
        <v>44587</v>
      </c>
      <c r="B2684" s="8" t="s">
        <v>3067</v>
      </c>
      <c r="C2684" s="9" t="s">
        <v>31</v>
      </c>
      <c r="D2684" s="10">
        <v>46</v>
      </c>
      <c r="E2684" s="11">
        <v>44587</v>
      </c>
      <c r="F2684" s="10">
        <v>46</v>
      </c>
      <c r="G2684" s="12">
        <f>Tabla1[[#This Row],[Importe]]-Tabla1[[#This Row],[Pagado]]</f>
        <v>0</v>
      </c>
      <c r="H2684" s="9" t="s">
        <v>10</v>
      </c>
    </row>
    <row r="2685" spans="1:8" x14ac:dyDescent="0.25">
      <c r="A2685" s="7">
        <v>44587</v>
      </c>
      <c r="B2685" s="8" t="s">
        <v>3068</v>
      </c>
      <c r="C2685" s="9" t="s">
        <v>610</v>
      </c>
      <c r="D2685" s="10">
        <v>31468</v>
      </c>
      <c r="E2685" s="11">
        <v>44587</v>
      </c>
      <c r="F2685" s="10">
        <v>31468</v>
      </c>
      <c r="G2685" s="12">
        <f>Tabla1[[#This Row],[Importe]]-Tabla1[[#This Row],[Pagado]]</f>
        <v>0</v>
      </c>
      <c r="H2685" s="9" t="s">
        <v>10</v>
      </c>
    </row>
    <row r="2686" spans="1:8" x14ac:dyDescent="0.25">
      <c r="A2686" s="7">
        <v>44587</v>
      </c>
      <c r="B2686" s="8" t="s">
        <v>3069</v>
      </c>
      <c r="C2686" s="9" t="s">
        <v>31</v>
      </c>
      <c r="D2686" s="10">
        <v>2707.2</v>
      </c>
      <c r="E2686" s="11">
        <v>44587</v>
      </c>
      <c r="F2686" s="10">
        <v>2707.2</v>
      </c>
      <c r="G2686" s="12">
        <f>Tabla1[[#This Row],[Importe]]-Tabla1[[#This Row],[Pagado]]</f>
        <v>0</v>
      </c>
      <c r="H2686" s="9" t="s">
        <v>10</v>
      </c>
    </row>
    <row r="2687" spans="1:8" x14ac:dyDescent="0.25">
      <c r="A2687" s="7">
        <v>44587</v>
      </c>
      <c r="B2687" s="8" t="s">
        <v>3070</v>
      </c>
      <c r="C2687" s="9" t="s">
        <v>31</v>
      </c>
      <c r="D2687" s="10">
        <v>3251.2</v>
      </c>
      <c r="E2687" s="11">
        <v>44587</v>
      </c>
      <c r="F2687" s="10">
        <v>3251.2</v>
      </c>
      <c r="G2687" s="12">
        <f>Tabla1[[#This Row],[Importe]]-Tabla1[[#This Row],[Pagado]]</f>
        <v>0</v>
      </c>
      <c r="H2687" s="9" t="s">
        <v>10</v>
      </c>
    </row>
    <row r="2688" spans="1:8" x14ac:dyDescent="0.25">
      <c r="A2688" s="7">
        <v>44587</v>
      </c>
      <c r="B2688" s="8" t="s">
        <v>3071</v>
      </c>
      <c r="C2688" s="9" t="s">
        <v>31</v>
      </c>
      <c r="D2688" s="10">
        <v>1024</v>
      </c>
      <c r="E2688" s="11">
        <v>44587</v>
      </c>
      <c r="F2688" s="10">
        <v>1024</v>
      </c>
      <c r="G2688" s="12">
        <f>Tabla1[[#This Row],[Importe]]-Tabla1[[#This Row],[Pagado]]</f>
        <v>0</v>
      </c>
      <c r="H2688" s="9" t="s">
        <v>10</v>
      </c>
    </row>
    <row r="2689" spans="1:8" x14ac:dyDescent="0.25">
      <c r="A2689" s="7">
        <v>44588</v>
      </c>
      <c r="B2689" s="8" t="s">
        <v>3072</v>
      </c>
      <c r="C2689" s="9" t="s">
        <v>20</v>
      </c>
      <c r="D2689" s="10">
        <v>3847.2</v>
      </c>
      <c r="E2689" s="11">
        <v>44588</v>
      </c>
      <c r="F2689" s="10">
        <v>3847.2</v>
      </c>
      <c r="G2689" s="12">
        <f>Tabla1[[#This Row],[Importe]]-Tabla1[[#This Row],[Pagado]]</f>
        <v>0</v>
      </c>
      <c r="H2689" s="9" t="s">
        <v>10</v>
      </c>
    </row>
    <row r="2690" spans="1:8" x14ac:dyDescent="0.25">
      <c r="A2690" s="7">
        <v>44588</v>
      </c>
      <c r="B2690" s="8" t="s">
        <v>3073</v>
      </c>
      <c r="C2690" s="9" t="s">
        <v>83</v>
      </c>
      <c r="D2690" s="10">
        <v>5654</v>
      </c>
      <c r="E2690" s="11">
        <v>44588</v>
      </c>
      <c r="F2690" s="10">
        <v>5654</v>
      </c>
      <c r="G2690" s="12">
        <f>Tabla1[[#This Row],[Importe]]-Tabla1[[#This Row],[Pagado]]</f>
        <v>0</v>
      </c>
      <c r="H2690" s="9" t="s">
        <v>10</v>
      </c>
    </row>
    <row r="2691" spans="1:8" x14ac:dyDescent="0.25">
      <c r="A2691" s="7">
        <v>44588</v>
      </c>
      <c r="B2691" s="8" t="s">
        <v>3074</v>
      </c>
      <c r="C2691" s="9" t="s">
        <v>87</v>
      </c>
      <c r="D2691" s="10">
        <v>1595</v>
      </c>
      <c r="E2691" s="11">
        <v>44588</v>
      </c>
      <c r="F2691" s="10">
        <v>1595</v>
      </c>
      <c r="G2691" s="12">
        <f>Tabla1[[#This Row],[Importe]]-Tabla1[[#This Row],[Pagado]]</f>
        <v>0</v>
      </c>
      <c r="H2691" s="9" t="s">
        <v>10</v>
      </c>
    </row>
    <row r="2692" spans="1:8" x14ac:dyDescent="0.25">
      <c r="A2692" s="7">
        <v>44588</v>
      </c>
      <c r="B2692" s="8" t="s">
        <v>3075</v>
      </c>
      <c r="C2692" s="9" t="s">
        <v>12</v>
      </c>
      <c r="D2692" s="10">
        <v>33278.699999999997</v>
      </c>
      <c r="E2692" s="11">
        <v>44589</v>
      </c>
      <c r="F2692" s="10">
        <v>33278.699999999997</v>
      </c>
      <c r="G2692" s="12">
        <f>Tabla1[[#This Row],[Importe]]-Tabla1[[#This Row],[Pagado]]</f>
        <v>0</v>
      </c>
      <c r="H2692" s="9" t="s">
        <v>10</v>
      </c>
    </row>
    <row r="2693" spans="1:8" x14ac:dyDescent="0.25">
      <c r="A2693" s="7">
        <v>44588</v>
      </c>
      <c r="B2693" s="8" t="s">
        <v>3076</v>
      </c>
      <c r="C2693" s="9" t="s">
        <v>475</v>
      </c>
      <c r="D2693" s="10">
        <v>20551.599999999999</v>
      </c>
      <c r="E2693" s="11">
        <v>44589</v>
      </c>
      <c r="F2693" s="10">
        <v>20551.599999999999</v>
      </c>
      <c r="G2693" s="12">
        <f>Tabla1[[#This Row],[Importe]]-Tabla1[[#This Row],[Pagado]]</f>
        <v>0</v>
      </c>
      <c r="H2693" s="9" t="s">
        <v>10</v>
      </c>
    </row>
    <row r="2694" spans="1:8" x14ac:dyDescent="0.25">
      <c r="A2694" s="7">
        <v>44588</v>
      </c>
      <c r="B2694" s="8" t="s">
        <v>3077</v>
      </c>
      <c r="C2694" s="9" t="s">
        <v>481</v>
      </c>
      <c r="D2694" s="10">
        <v>1867.2</v>
      </c>
      <c r="E2694" s="11">
        <v>44588</v>
      </c>
      <c r="F2694" s="10">
        <v>1867.2</v>
      </c>
      <c r="G2694" s="12">
        <f>Tabla1[[#This Row],[Importe]]-Tabla1[[#This Row],[Pagado]]</f>
        <v>0</v>
      </c>
      <c r="H2694" s="9" t="s">
        <v>10</v>
      </c>
    </row>
    <row r="2695" spans="1:8" x14ac:dyDescent="0.25">
      <c r="A2695" s="7">
        <v>44588</v>
      </c>
      <c r="B2695" s="8" t="s">
        <v>3078</v>
      </c>
      <c r="C2695" s="9" t="s">
        <v>481</v>
      </c>
      <c r="D2695" s="10">
        <v>156.80000000000001</v>
      </c>
      <c r="E2695" s="11">
        <v>44588</v>
      </c>
      <c r="F2695" s="10">
        <v>156.80000000000001</v>
      </c>
      <c r="G2695" s="12">
        <f>Tabla1[[#This Row],[Importe]]-Tabla1[[#This Row],[Pagado]]</f>
        <v>0</v>
      </c>
      <c r="H2695" s="9" t="s">
        <v>10</v>
      </c>
    </row>
    <row r="2696" spans="1:8" x14ac:dyDescent="0.25">
      <c r="A2696" s="7">
        <v>44588</v>
      </c>
      <c r="B2696" s="8" t="s">
        <v>3079</v>
      </c>
      <c r="C2696" s="9" t="s">
        <v>9</v>
      </c>
      <c r="D2696" s="10">
        <v>5171.7</v>
      </c>
      <c r="E2696" s="11">
        <v>44588</v>
      </c>
      <c r="F2696" s="10">
        <v>5171.7</v>
      </c>
      <c r="G2696" s="12">
        <f>Tabla1[[#This Row],[Importe]]-Tabla1[[#This Row],[Pagado]]</f>
        <v>0</v>
      </c>
      <c r="H2696" s="9" t="s">
        <v>10</v>
      </c>
    </row>
    <row r="2697" spans="1:8" x14ac:dyDescent="0.25">
      <c r="A2697" s="7">
        <v>44588</v>
      </c>
      <c r="B2697" s="8" t="s">
        <v>3080</v>
      </c>
      <c r="C2697" s="9" t="s">
        <v>181</v>
      </c>
      <c r="D2697" s="10">
        <v>10213.799999999999</v>
      </c>
      <c r="E2697" s="11">
        <v>44588</v>
      </c>
      <c r="F2697" s="10">
        <v>10213.799999999999</v>
      </c>
      <c r="G2697" s="12">
        <f>Tabla1[[#This Row],[Importe]]-Tabla1[[#This Row],[Pagado]]</f>
        <v>0</v>
      </c>
      <c r="H2697" s="9" t="s">
        <v>10</v>
      </c>
    </row>
    <row r="2698" spans="1:8" x14ac:dyDescent="0.25">
      <c r="A2698" s="7">
        <v>44588</v>
      </c>
      <c r="B2698" s="8" t="s">
        <v>3081</v>
      </c>
      <c r="C2698" s="9" t="s">
        <v>129</v>
      </c>
      <c r="D2698" s="10">
        <v>1493.4</v>
      </c>
      <c r="E2698" s="11">
        <v>44588</v>
      </c>
      <c r="F2698" s="10">
        <v>1493.4</v>
      </c>
      <c r="G2698" s="12">
        <f>Tabla1[[#This Row],[Importe]]-Tabla1[[#This Row],[Pagado]]</f>
        <v>0</v>
      </c>
      <c r="H2698" s="9" t="s">
        <v>10</v>
      </c>
    </row>
    <row r="2699" spans="1:8" x14ac:dyDescent="0.25">
      <c r="A2699" s="7">
        <v>44588</v>
      </c>
      <c r="B2699" s="8" t="s">
        <v>3082</v>
      </c>
      <c r="C2699" s="9" t="s">
        <v>127</v>
      </c>
      <c r="D2699" s="10">
        <v>4402</v>
      </c>
      <c r="E2699" s="11">
        <v>44588</v>
      </c>
      <c r="F2699" s="10">
        <v>4402</v>
      </c>
      <c r="G2699" s="12">
        <f>Tabla1[[#This Row],[Importe]]-Tabla1[[#This Row],[Pagado]]</f>
        <v>0</v>
      </c>
      <c r="H2699" s="9" t="s">
        <v>10</v>
      </c>
    </row>
    <row r="2700" spans="1:8" x14ac:dyDescent="0.25">
      <c r="A2700" s="7">
        <v>44588</v>
      </c>
      <c r="B2700" s="8" t="s">
        <v>3083</v>
      </c>
      <c r="C2700" s="9" t="s">
        <v>291</v>
      </c>
      <c r="D2700" s="10">
        <v>780</v>
      </c>
      <c r="E2700" s="11">
        <v>44588</v>
      </c>
      <c r="F2700" s="10">
        <v>780</v>
      </c>
      <c r="G2700" s="12">
        <f>Tabla1[[#This Row],[Importe]]-Tabla1[[#This Row],[Pagado]]</f>
        <v>0</v>
      </c>
      <c r="H2700" s="9" t="s">
        <v>10</v>
      </c>
    </row>
    <row r="2701" spans="1:8" x14ac:dyDescent="0.25">
      <c r="A2701" s="7">
        <v>44588</v>
      </c>
      <c r="B2701" s="8" t="s">
        <v>3084</v>
      </c>
      <c r="C2701" s="9" t="s">
        <v>339</v>
      </c>
      <c r="D2701" s="10">
        <v>3687.8</v>
      </c>
      <c r="E2701" s="11">
        <v>44588</v>
      </c>
      <c r="F2701" s="10">
        <v>3687.8</v>
      </c>
      <c r="G2701" s="12">
        <f>Tabla1[[#This Row],[Importe]]-Tabla1[[#This Row],[Pagado]]</f>
        <v>0</v>
      </c>
      <c r="H2701" s="9" t="s">
        <v>10</v>
      </c>
    </row>
    <row r="2702" spans="1:8" x14ac:dyDescent="0.25">
      <c r="A2702" s="7">
        <v>44588</v>
      </c>
      <c r="B2702" s="8" t="s">
        <v>3085</v>
      </c>
      <c r="C2702" s="9" t="s">
        <v>140</v>
      </c>
      <c r="D2702" s="10">
        <v>1431.2</v>
      </c>
      <c r="E2702" s="11">
        <v>44588</v>
      </c>
      <c r="F2702" s="10">
        <v>1431.2</v>
      </c>
      <c r="G2702" s="12">
        <f>Tabla1[[#This Row],[Importe]]-Tabla1[[#This Row],[Pagado]]</f>
        <v>0</v>
      </c>
      <c r="H2702" s="9" t="s">
        <v>10</v>
      </c>
    </row>
    <row r="2703" spans="1:8" x14ac:dyDescent="0.25">
      <c r="A2703" s="7">
        <v>44588</v>
      </c>
      <c r="B2703" s="8" t="s">
        <v>3086</v>
      </c>
      <c r="C2703" s="9" t="s">
        <v>175</v>
      </c>
      <c r="D2703" s="10">
        <v>16523.8</v>
      </c>
      <c r="E2703" s="11">
        <v>44588</v>
      </c>
      <c r="F2703" s="10">
        <v>16523.8</v>
      </c>
      <c r="G2703" s="12">
        <f>Tabla1[[#This Row],[Importe]]-Tabla1[[#This Row],[Pagado]]</f>
        <v>0</v>
      </c>
      <c r="H2703" s="9" t="s">
        <v>10</v>
      </c>
    </row>
    <row r="2704" spans="1:8" x14ac:dyDescent="0.25">
      <c r="A2704" s="7">
        <v>44588</v>
      </c>
      <c r="B2704" s="8" t="s">
        <v>3087</v>
      </c>
      <c r="C2704" s="9" t="s">
        <v>97</v>
      </c>
      <c r="D2704" s="10">
        <v>5866.3</v>
      </c>
      <c r="E2704" s="11">
        <v>44589</v>
      </c>
      <c r="F2704" s="10">
        <v>5866.3</v>
      </c>
      <c r="G2704" s="12">
        <f>Tabla1[[#This Row],[Importe]]-Tabla1[[#This Row],[Pagado]]</f>
        <v>0</v>
      </c>
      <c r="H2704" s="9" t="s">
        <v>10</v>
      </c>
    </row>
    <row r="2705" spans="1:8" x14ac:dyDescent="0.25">
      <c r="A2705" s="7">
        <v>44588</v>
      </c>
      <c r="B2705" s="8" t="s">
        <v>3088</v>
      </c>
      <c r="C2705" s="9" t="s">
        <v>105</v>
      </c>
      <c r="D2705" s="10">
        <v>4120</v>
      </c>
      <c r="E2705" s="11">
        <v>44589</v>
      </c>
      <c r="F2705" s="10">
        <v>4120</v>
      </c>
      <c r="G2705" s="12">
        <f>Tabla1[[#This Row],[Importe]]-Tabla1[[#This Row],[Pagado]]</f>
        <v>0</v>
      </c>
      <c r="H2705" s="9" t="s">
        <v>10</v>
      </c>
    </row>
    <row r="2706" spans="1:8" x14ac:dyDescent="0.25">
      <c r="A2706" s="7">
        <v>44588</v>
      </c>
      <c r="B2706" s="8" t="s">
        <v>3089</v>
      </c>
      <c r="C2706" s="9" t="s">
        <v>109</v>
      </c>
      <c r="D2706" s="10">
        <v>4110</v>
      </c>
      <c r="E2706" s="11">
        <v>44589</v>
      </c>
      <c r="F2706" s="10">
        <v>4110</v>
      </c>
      <c r="G2706" s="12">
        <f>Tabla1[[#This Row],[Importe]]-Tabla1[[#This Row],[Pagado]]</f>
        <v>0</v>
      </c>
      <c r="H2706" s="9" t="s">
        <v>10</v>
      </c>
    </row>
    <row r="2707" spans="1:8" x14ac:dyDescent="0.25">
      <c r="A2707" s="7">
        <v>44588</v>
      </c>
      <c r="B2707" s="8" t="s">
        <v>3090</v>
      </c>
      <c r="C2707" s="9" t="s">
        <v>348</v>
      </c>
      <c r="D2707" s="10">
        <v>2091</v>
      </c>
      <c r="E2707" s="11">
        <v>44588</v>
      </c>
      <c r="F2707" s="10">
        <v>2091</v>
      </c>
      <c r="G2707" s="12">
        <f>Tabla1[[#This Row],[Importe]]-Tabla1[[#This Row],[Pagado]]</f>
        <v>0</v>
      </c>
      <c r="H2707" s="9" t="s">
        <v>10</v>
      </c>
    </row>
    <row r="2708" spans="1:8" x14ac:dyDescent="0.25">
      <c r="A2708" s="7">
        <v>44588</v>
      </c>
      <c r="B2708" s="8" t="s">
        <v>3091</v>
      </c>
      <c r="C2708" s="9" t="s">
        <v>89</v>
      </c>
      <c r="D2708" s="10">
        <v>4250</v>
      </c>
      <c r="E2708" s="11">
        <v>44589</v>
      </c>
      <c r="F2708" s="10">
        <v>4250</v>
      </c>
      <c r="G2708" s="12">
        <f>Tabla1[[#This Row],[Importe]]-Tabla1[[#This Row],[Pagado]]</f>
        <v>0</v>
      </c>
      <c r="H2708" s="9" t="s">
        <v>10</v>
      </c>
    </row>
    <row r="2709" spans="1:8" x14ac:dyDescent="0.25">
      <c r="A2709" s="7">
        <v>44588</v>
      </c>
      <c r="B2709" s="8" t="s">
        <v>3092</v>
      </c>
      <c r="C2709" s="9" t="s">
        <v>111</v>
      </c>
      <c r="D2709" s="10">
        <v>4040</v>
      </c>
      <c r="E2709" s="11">
        <v>44589</v>
      </c>
      <c r="F2709" s="10">
        <v>4040</v>
      </c>
      <c r="G2709" s="12">
        <f>Tabla1[[#This Row],[Importe]]-Tabla1[[#This Row],[Pagado]]</f>
        <v>0</v>
      </c>
      <c r="H2709" s="9" t="s">
        <v>10</v>
      </c>
    </row>
    <row r="2710" spans="1:8" x14ac:dyDescent="0.25">
      <c r="A2710" s="7">
        <v>44588</v>
      </c>
      <c r="B2710" s="8" t="s">
        <v>3093</v>
      </c>
      <c r="C2710" s="9" t="s">
        <v>114</v>
      </c>
      <c r="D2710" s="10">
        <v>4395</v>
      </c>
      <c r="E2710" s="11">
        <v>44589</v>
      </c>
      <c r="F2710" s="10">
        <v>4395</v>
      </c>
      <c r="G2710" s="12">
        <f>Tabla1[[#This Row],[Importe]]-Tabla1[[#This Row],[Pagado]]</f>
        <v>0</v>
      </c>
      <c r="H2710" s="9" t="s">
        <v>10</v>
      </c>
    </row>
    <row r="2711" spans="1:8" x14ac:dyDescent="0.25">
      <c r="A2711" s="7">
        <v>44588</v>
      </c>
      <c r="B2711" s="8" t="s">
        <v>3094</v>
      </c>
      <c r="C2711" s="9" t="s">
        <v>120</v>
      </c>
      <c r="D2711" s="10">
        <v>4477.2</v>
      </c>
      <c r="E2711" s="11">
        <v>44590</v>
      </c>
      <c r="F2711" s="10">
        <v>4477.2</v>
      </c>
      <c r="G2711" s="12">
        <f>Tabla1[[#This Row],[Importe]]-Tabla1[[#This Row],[Pagado]]</f>
        <v>0</v>
      </c>
      <c r="H2711" s="9" t="s">
        <v>10</v>
      </c>
    </row>
    <row r="2712" spans="1:8" x14ac:dyDescent="0.25">
      <c r="A2712" s="7">
        <v>44588</v>
      </c>
      <c r="B2712" s="8" t="s">
        <v>3095</v>
      </c>
      <c r="C2712" s="9" t="s">
        <v>64</v>
      </c>
      <c r="D2712" s="10">
        <v>4769.2</v>
      </c>
      <c r="E2712" s="11">
        <v>44589</v>
      </c>
      <c r="F2712" s="10">
        <v>4769.2</v>
      </c>
      <c r="G2712" s="12">
        <f>Tabla1[[#This Row],[Importe]]-Tabla1[[#This Row],[Pagado]]</f>
        <v>0</v>
      </c>
      <c r="H2712" s="9" t="s">
        <v>10</v>
      </c>
    </row>
    <row r="2713" spans="1:8" ht="30" x14ac:dyDescent="0.25">
      <c r="A2713" s="7">
        <v>44588</v>
      </c>
      <c r="B2713" s="8" t="s">
        <v>3096</v>
      </c>
      <c r="C2713" s="9" t="s">
        <v>93</v>
      </c>
      <c r="D2713" s="10">
        <v>4913.6000000000004</v>
      </c>
      <c r="E2713" s="11" t="s">
        <v>3097</v>
      </c>
      <c r="F2713" s="10">
        <f>2000+2913.6</f>
        <v>4913.6000000000004</v>
      </c>
      <c r="G2713" s="12">
        <f>Tabla1[[#This Row],[Importe]]-Tabla1[[#This Row],[Pagado]]</f>
        <v>0</v>
      </c>
      <c r="H2713" s="9" t="s">
        <v>10</v>
      </c>
    </row>
    <row r="2714" spans="1:8" x14ac:dyDescent="0.25">
      <c r="A2714" s="7">
        <v>44588</v>
      </c>
      <c r="B2714" s="8" t="s">
        <v>3098</v>
      </c>
      <c r="C2714" s="9" t="s">
        <v>22</v>
      </c>
      <c r="D2714" s="10">
        <v>32733.9</v>
      </c>
      <c r="E2714" s="11">
        <v>44589</v>
      </c>
      <c r="F2714" s="10">
        <v>32733.9</v>
      </c>
      <c r="G2714" s="12">
        <f>Tabla1[[#This Row],[Importe]]-Tabla1[[#This Row],[Pagado]]</f>
        <v>0</v>
      </c>
      <c r="H2714" s="9" t="s">
        <v>10</v>
      </c>
    </row>
    <row r="2715" spans="1:8" x14ac:dyDescent="0.25">
      <c r="A2715" s="7">
        <v>44588</v>
      </c>
      <c r="B2715" s="8" t="s">
        <v>3099</v>
      </c>
      <c r="C2715" s="9" t="s">
        <v>39</v>
      </c>
      <c r="D2715" s="10">
        <v>23020.3</v>
      </c>
      <c r="E2715" s="11">
        <v>44591</v>
      </c>
      <c r="F2715" s="10">
        <v>23020.3</v>
      </c>
      <c r="G2715" s="12">
        <f>Tabla1[[#This Row],[Importe]]-Tabla1[[#This Row],[Pagado]]</f>
        <v>0</v>
      </c>
      <c r="H2715" s="9" t="s">
        <v>10</v>
      </c>
    </row>
    <row r="2716" spans="1:8" x14ac:dyDescent="0.25">
      <c r="A2716" s="7">
        <v>44588</v>
      </c>
      <c r="B2716" s="8" t="s">
        <v>3100</v>
      </c>
      <c r="C2716" s="9" t="s">
        <v>75</v>
      </c>
      <c r="D2716" s="10">
        <v>7155</v>
      </c>
      <c r="E2716" s="11">
        <v>44588</v>
      </c>
      <c r="F2716" s="10">
        <v>7155</v>
      </c>
      <c r="G2716" s="12">
        <f>Tabla1[[#This Row],[Importe]]-Tabla1[[#This Row],[Pagado]]</f>
        <v>0</v>
      </c>
      <c r="H2716" s="9" t="s">
        <v>10</v>
      </c>
    </row>
    <row r="2717" spans="1:8" x14ac:dyDescent="0.25">
      <c r="A2717" s="7">
        <v>44588</v>
      </c>
      <c r="B2717" s="8" t="s">
        <v>3101</v>
      </c>
      <c r="C2717" s="9" t="s">
        <v>647</v>
      </c>
      <c r="D2717" s="10">
        <v>2519</v>
      </c>
      <c r="E2717" s="11">
        <v>44588</v>
      </c>
      <c r="F2717" s="10">
        <v>2519</v>
      </c>
      <c r="G2717" s="12">
        <f>Tabla1[[#This Row],[Importe]]-Tabla1[[#This Row],[Pagado]]</f>
        <v>0</v>
      </c>
      <c r="H2717" s="9" t="s">
        <v>10</v>
      </c>
    </row>
    <row r="2718" spans="1:8" x14ac:dyDescent="0.25">
      <c r="A2718" s="7">
        <v>44588</v>
      </c>
      <c r="B2718" s="8" t="s">
        <v>3102</v>
      </c>
      <c r="C2718" s="9" t="s">
        <v>426</v>
      </c>
      <c r="D2718" s="10">
        <v>157.5</v>
      </c>
      <c r="E2718" s="11">
        <v>44588</v>
      </c>
      <c r="F2718" s="10">
        <v>157.5</v>
      </c>
      <c r="G2718" s="12">
        <f>Tabla1[[#This Row],[Importe]]-Tabla1[[#This Row],[Pagado]]</f>
        <v>0</v>
      </c>
      <c r="H2718" s="9" t="s">
        <v>10</v>
      </c>
    </row>
    <row r="2719" spans="1:8" x14ac:dyDescent="0.25">
      <c r="A2719" s="7">
        <v>44588</v>
      </c>
      <c r="B2719" s="8" t="s">
        <v>3103</v>
      </c>
      <c r="C2719" s="9" t="s">
        <v>473</v>
      </c>
      <c r="D2719" s="10">
        <v>4414</v>
      </c>
      <c r="E2719" s="11">
        <v>44588</v>
      </c>
      <c r="F2719" s="10">
        <v>4414</v>
      </c>
      <c r="G2719" s="12">
        <f>Tabla1[[#This Row],[Importe]]-Tabla1[[#This Row],[Pagado]]</f>
        <v>0</v>
      </c>
      <c r="H2719" s="9" t="s">
        <v>10</v>
      </c>
    </row>
    <row r="2720" spans="1:8" x14ac:dyDescent="0.25">
      <c r="A2720" s="7">
        <v>44588</v>
      </c>
      <c r="B2720" s="8" t="s">
        <v>3104</v>
      </c>
      <c r="C2720" s="9" t="s">
        <v>618</v>
      </c>
      <c r="D2720" s="10">
        <v>12212</v>
      </c>
      <c r="E2720" s="11">
        <v>44588</v>
      </c>
      <c r="F2720" s="10">
        <v>12212</v>
      </c>
      <c r="G2720" s="12">
        <f>Tabla1[[#This Row],[Importe]]-Tabla1[[#This Row],[Pagado]]</f>
        <v>0</v>
      </c>
      <c r="H2720" s="9" t="s">
        <v>10</v>
      </c>
    </row>
    <row r="2721" spans="1:8" x14ac:dyDescent="0.25">
      <c r="A2721" s="7">
        <v>44588</v>
      </c>
      <c r="B2721" s="8" t="s">
        <v>3105</v>
      </c>
      <c r="C2721" s="9" t="s">
        <v>107</v>
      </c>
      <c r="D2721" s="10">
        <v>8636.2999999999993</v>
      </c>
      <c r="E2721" s="11">
        <v>44588</v>
      </c>
      <c r="F2721" s="10">
        <v>8636.2999999999993</v>
      </c>
      <c r="G2721" s="12">
        <f>Tabla1[[#This Row],[Importe]]-Tabla1[[#This Row],[Pagado]]</f>
        <v>0</v>
      </c>
      <c r="H2721" s="9" t="s">
        <v>10</v>
      </c>
    </row>
    <row r="2722" spans="1:8" x14ac:dyDescent="0.25">
      <c r="A2722" s="7">
        <v>44588</v>
      </c>
      <c r="B2722" s="8" t="s">
        <v>3106</v>
      </c>
      <c r="C2722" s="9" t="s">
        <v>53</v>
      </c>
      <c r="D2722" s="10">
        <v>1016.6</v>
      </c>
      <c r="E2722" s="11">
        <v>44588</v>
      </c>
      <c r="F2722" s="10">
        <v>1016.6</v>
      </c>
      <c r="G2722" s="12">
        <f>Tabla1[[#This Row],[Importe]]-Tabla1[[#This Row],[Pagado]]</f>
        <v>0</v>
      </c>
      <c r="H2722" s="9" t="s">
        <v>10</v>
      </c>
    </row>
    <row r="2723" spans="1:8" x14ac:dyDescent="0.25">
      <c r="A2723" s="7">
        <v>44588</v>
      </c>
      <c r="B2723" s="8" t="s">
        <v>3107</v>
      </c>
      <c r="C2723" s="9" t="s">
        <v>85</v>
      </c>
      <c r="D2723" s="10">
        <v>912</v>
      </c>
      <c r="E2723" s="11">
        <v>44588</v>
      </c>
      <c r="F2723" s="10">
        <v>912</v>
      </c>
      <c r="G2723" s="12">
        <f>Tabla1[[#This Row],[Importe]]-Tabla1[[#This Row],[Pagado]]</f>
        <v>0</v>
      </c>
      <c r="H2723" s="9" t="s">
        <v>10</v>
      </c>
    </row>
    <row r="2724" spans="1:8" x14ac:dyDescent="0.25">
      <c r="A2724" s="7">
        <v>44588</v>
      </c>
      <c r="B2724" s="8" t="s">
        <v>3108</v>
      </c>
      <c r="C2724" s="9" t="s">
        <v>29</v>
      </c>
      <c r="D2724" s="10">
        <v>2025</v>
      </c>
      <c r="E2724" s="11">
        <v>44588</v>
      </c>
      <c r="F2724" s="10">
        <v>2025</v>
      </c>
      <c r="G2724" s="12">
        <f>Tabla1[[#This Row],[Importe]]-Tabla1[[#This Row],[Pagado]]</f>
        <v>0</v>
      </c>
      <c r="H2724" s="9" t="s">
        <v>10</v>
      </c>
    </row>
    <row r="2725" spans="1:8" x14ac:dyDescent="0.25">
      <c r="A2725" s="7">
        <v>44588</v>
      </c>
      <c r="B2725" s="8" t="s">
        <v>3109</v>
      </c>
      <c r="C2725" s="9" t="s">
        <v>3110</v>
      </c>
      <c r="D2725" s="10">
        <v>0</v>
      </c>
      <c r="E2725" s="13" t="s">
        <v>189</v>
      </c>
      <c r="F2725" s="10">
        <v>0</v>
      </c>
      <c r="G2725" s="12">
        <f>Tabla1[[#This Row],[Importe]]-Tabla1[[#This Row],[Pagado]]</f>
        <v>0</v>
      </c>
      <c r="H2725" s="17" t="s">
        <v>3111</v>
      </c>
    </row>
    <row r="2726" spans="1:8" x14ac:dyDescent="0.25">
      <c r="A2726" s="7">
        <v>44588</v>
      </c>
      <c r="B2726" s="8" t="s">
        <v>3112</v>
      </c>
      <c r="C2726" s="9" t="s">
        <v>520</v>
      </c>
      <c r="D2726" s="10">
        <v>8714.7999999999993</v>
      </c>
      <c r="E2726" s="11">
        <v>44589</v>
      </c>
      <c r="F2726" s="10">
        <v>8714.7999999999993</v>
      </c>
      <c r="G2726" s="12">
        <f>Tabla1[[#This Row],[Importe]]-Tabla1[[#This Row],[Pagado]]</f>
        <v>0</v>
      </c>
      <c r="H2726" s="9" t="s">
        <v>10</v>
      </c>
    </row>
    <row r="2727" spans="1:8" x14ac:dyDescent="0.25">
      <c r="A2727" s="7">
        <v>44588</v>
      </c>
      <c r="B2727" s="8" t="s">
        <v>3113</v>
      </c>
      <c r="C2727" s="9" t="s">
        <v>146</v>
      </c>
      <c r="D2727" s="10">
        <v>2428.8000000000002</v>
      </c>
      <c r="E2727" s="11">
        <v>44588</v>
      </c>
      <c r="F2727" s="10">
        <v>2428.8000000000002</v>
      </c>
      <c r="G2727" s="12">
        <f>Tabla1[[#This Row],[Importe]]-Tabla1[[#This Row],[Pagado]]</f>
        <v>0</v>
      </c>
      <c r="H2727" s="9" t="s">
        <v>10</v>
      </c>
    </row>
    <row r="2728" spans="1:8" x14ac:dyDescent="0.25">
      <c r="A2728" s="7">
        <v>44588</v>
      </c>
      <c r="B2728" s="8" t="s">
        <v>3114</v>
      </c>
      <c r="C2728" s="9" t="s">
        <v>230</v>
      </c>
      <c r="D2728" s="10">
        <v>2964.4</v>
      </c>
      <c r="E2728" s="11">
        <v>44588</v>
      </c>
      <c r="F2728" s="10">
        <v>2964.4</v>
      </c>
      <c r="G2728" s="12">
        <f>Tabla1[[#This Row],[Importe]]-Tabla1[[#This Row],[Pagado]]</f>
        <v>0</v>
      </c>
      <c r="H2728" s="9" t="s">
        <v>10</v>
      </c>
    </row>
    <row r="2729" spans="1:8" x14ac:dyDescent="0.25">
      <c r="A2729" s="7">
        <v>44588</v>
      </c>
      <c r="B2729" s="8" t="s">
        <v>3115</v>
      </c>
      <c r="C2729" s="9" t="s">
        <v>289</v>
      </c>
      <c r="D2729" s="10">
        <v>7392</v>
      </c>
      <c r="E2729" s="11">
        <v>44588</v>
      </c>
      <c r="F2729" s="10">
        <v>7392</v>
      </c>
      <c r="G2729" s="12">
        <f>Tabla1[[#This Row],[Importe]]-Tabla1[[#This Row],[Pagado]]</f>
        <v>0</v>
      </c>
      <c r="H2729" s="9" t="s">
        <v>10</v>
      </c>
    </row>
    <row r="2730" spans="1:8" x14ac:dyDescent="0.25">
      <c r="A2730" s="7">
        <v>44588</v>
      </c>
      <c r="B2730" s="8" t="s">
        <v>3116</v>
      </c>
      <c r="C2730" s="9" t="s">
        <v>27</v>
      </c>
      <c r="D2730" s="10">
        <v>2322</v>
      </c>
      <c r="E2730" s="11">
        <v>44588</v>
      </c>
      <c r="F2730" s="10">
        <v>2322</v>
      </c>
      <c r="G2730" s="12">
        <f>Tabla1[[#This Row],[Importe]]-Tabla1[[#This Row],[Pagado]]</f>
        <v>0</v>
      </c>
      <c r="H2730" s="9" t="s">
        <v>10</v>
      </c>
    </row>
    <row r="2731" spans="1:8" x14ac:dyDescent="0.25">
      <c r="A2731" s="7">
        <v>44588</v>
      </c>
      <c r="B2731" s="8" t="s">
        <v>3117</v>
      </c>
      <c r="C2731" s="9" t="s">
        <v>161</v>
      </c>
      <c r="D2731" s="10">
        <v>3397.7</v>
      </c>
      <c r="E2731" s="11">
        <v>44588</v>
      </c>
      <c r="F2731" s="10">
        <v>3397.7</v>
      </c>
      <c r="G2731" s="12">
        <f>Tabla1[[#This Row],[Importe]]-Tabla1[[#This Row],[Pagado]]</f>
        <v>0</v>
      </c>
      <c r="H2731" s="9" t="s">
        <v>10</v>
      </c>
    </row>
    <row r="2732" spans="1:8" x14ac:dyDescent="0.25">
      <c r="A2732" s="7">
        <v>44588</v>
      </c>
      <c r="B2732" s="8" t="s">
        <v>3118</v>
      </c>
      <c r="C2732" s="9" t="s">
        <v>31</v>
      </c>
      <c r="D2732" s="10">
        <v>4869</v>
      </c>
      <c r="E2732" s="11">
        <v>44588</v>
      </c>
      <c r="F2732" s="10">
        <v>4869</v>
      </c>
      <c r="G2732" s="12">
        <f>Tabla1[[#This Row],[Importe]]-Tabla1[[#This Row],[Pagado]]</f>
        <v>0</v>
      </c>
      <c r="H2732" s="9" t="s">
        <v>10</v>
      </c>
    </row>
    <row r="2733" spans="1:8" x14ac:dyDescent="0.25">
      <c r="A2733" s="7">
        <v>44588</v>
      </c>
      <c r="B2733" s="8" t="s">
        <v>3119</v>
      </c>
      <c r="C2733" s="9" t="s">
        <v>56</v>
      </c>
      <c r="D2733" s="10">
        <v>8786.7999999999993</v>
      </c>
      <c r="E2733" s="11">
        <v>44588</v>
      </c>
      <c r="F2733" s="10">
        <v>8786.7999999999993</v>
      </c>
      <c r="G2733" s="12">
        <f>Tabla1[[#This Row],[Importe]]-Tabla1[[#This Row],[Pagado]]</f>
        <v>0</v>
      </c>
      <c r="H2733" s="9" t="s">
        <v>10</v>
      </c>
    </row>
    <row r="2734" spans="1:8" x14ac:dyDescent="0.25">
      <c r="A2734" s="7">
        <v>44588</v>
      </c>
      <c r="B2734" s="8" t="s">
        <v>3120</v>
      </c>
      <c r="C2734" s="9" t="s">
        <v>289</v>
      </c>
      <c r="D2734" s="10">
        <v>2279.1999999999998</v>
      </c>
      <c r="E2734" s="11">
        <v>44588</v>
      </c>
      <c r="F2734" s="10">
        <v>2279.1999999999998</v>
      </c>
      <c r="G2734" s="12">
        <f>Tabla1[[#This Row],[Importe]]-Tabla1[[#This Row],[Pagado]]</f>
        <v>0</v>
      </c>
      <c r="H2734" s="9" t="s">
        <v>10</v>
      </c>
    </row>
    <row r="2735" spans="1:8" x14ac:dyDescent="0.25">
      <c r="A2735" s="7">
        <v>44588</v>
      </c>
      <c r="B2735" s="8" t="s">
        <v>3121</v>
      </c>
      <c r="C2735" s="9" t="s">
        <v>214</v>
      </c>
      <c r="D2735" s="10">
        <v>10187.1</v>
      </c>
      <c r="E2735" s="11">
        <v>44590</v>
      </c>
      <c r="F2735" s="10">
        <v>10187.1</v>
      </c>
      <c r="G2735" s="12">
        <f>Tabla1[[#This Row],[Importe]]-Tabla1[[#This Row],[Pagado]]</f>
        <v>0</v>
      </c>
      <c r="H2735" s="9" t="s">
        <v>10</v>
      </c>
    </row>
    <row r="2736" spans="1:8" x14ac:dyDescent="0.25">
      <c r="A2736" s="7">
        <v>44588</v>
      </c>
      <c r="B2736" s="8" t="s">
        <v>3122</v>
      </c>
      <c r="C2736" s="9" t="s">
        <v>144</v>
      </c>
      <c r="D2736" s="10">
        <v>4620.6000000000004</v>
      </c>
      <c r="E2736" s="11">
        <v>44588</v>
      </c>
      <c r="F2736" s="10">
        <v>4620.6000000000004</v>
      </c>
      <c r="G2736" s="12">
        <f>Tabla1[[#This Row],[Importe]]-Tabla1[[#This Row],[Pagado]]</f>
        <v>0</v>
      </c>
      <c r="H2736" s="9" t="s">
        <v>10</v>
      </c>
    </row>
    <row r="2737" spans="1:8" x14ac:dyDescent="0.25">
      <c r="A2737" s="7">
        <v>44588</v>
      </c>
      <c r="B2737" s="8" t="s">
        <v>3123</v>
      </c>
      <c r="C2737" s="9" t="s">
        <v>729</v>
      </c>
      <c r="D2737" s="10">
        <v>17747</v>
      </c>
      <c r="E2737" s="11">
        <v>44588</v>
      </c>
      <c r="F2737" s="10">
        <v>17747</v>
      </c>
      <c r="G2737" s="12">
        <f>Tabla1[[#This Row],[Importe]]-Tabla1[[#This Row],[Pagado]]</f>
        <v>0</v>
      </c>
      <c r="H2737" s="9" t="s">
        <v>10</v>
      </c>
    </row>
    <row r="2738" spans="1:8" x14ac:dyDescent="0.25">
      <c r="A2738" s="7">
        <v>44588</v>
      </c>
      <c r="B2738" s="8" t="s">
        <v>3124</v>
      </c>
      <c r="C2738" s="9" t="s">
        <v>33</v>
      </c>
      <c r="D2738" s="10">
        <v>9810</v>
      </c>
      <c r="E2738" s="11">
        <v>44588</v>
      </c>
      <c r="F2738" s="10">
        <v>9810</v>
      </c>
      <c r="G2738" s="12">
        <f>Tabla1[[#This Row],[Importe]]-Tabla1[[#This Row],[Pagado]]</f>
        <v>0</v>
      </c>
      <c r="H2738" s="9" t="s">
        <v>10</v>
      </c>
    </row>
    <row r="2739" spans="1:8" x14ac:dyDescent="0.25">
      <c r="A2739" s="7">
        <v>44588</v>
      </c>
      <c r="B2739" s="8" t="s">
        <v>3125</v>
      </c>
      <c r="C2739" s="9" t="s">
        <v>49</v>
      </c>
      <c r="D2739" s="10">
        <v>2585.5</v>
      </c>
      <c r="E2739" s="11">
        <v>44588</v>
      </c>
      <c r="F2739" s="10">
        <v>2585.5</v>
      </c>
      <c r="G2739" s="12">
        <f>Tabla1[[#This Row],[Importe]]-Tabla1[[#This Row],[Pagado]]</f>
        <v>0</v>
      </c>
      <c r="H2739" s="9" t="s">
        <v>10</v>
      </c>
    </row>
    <row r="2740" spans="1:8" x14ac:dyDescent="0.25">
      <c r="A2740" s="7">
        <v>44588</v>
      </c>
      <c r="B2740" s="8" t="s">
        <v>3126</v>
      </c>
      <c r="C2740" s="9" t="s">
        <v>159</v>
      </c>
      <c r="D2740" s="10">
        <v>911.2</v>
      </c>
      <c r="E2740" s="11">
        <v>44588</v>
      </c>
      <c r="F2740" s="10">
        <v>911.2</v>
      </c>
      <c r="G2740" s="12">
        <f>Tabla1[[#This Row],[Importe]]-Tabla1[[#This Row],[Pagado]]</f>
        <v>0</v>
      </c>
      <c r="H2740" s="9" t="s">
        <v>10</v>
      </c>
    </row>
    <row r="2741" spans="1:8" x14ac:dyDescent="0.25">
      <c r="A2741" s="7">
        <v>44588</v>
      </c>
      <c r="B2741" s="8" t="s">
        <v>3127</v>
      </c>
      <c r="C2741" s="9" t="s">
        <v>729</v>
      </c>
      <c r="D2741" s="10">
        <v>840</v>
      </c>
      <c r="E2741" s="11">
        <v>44588</v>
      </c>
      <c r="F2741" s="10">
        <v>840</v>
      </c>
      <c r="G2741" s="12">
        <f>Tabla1[[#This Row],[Importe]]-Tabla1[[#This Row],[Pagado]]</f>
        <v>0</v>
      </c>
      <c r="H2741" s="9" t="s">
        <v>10</v>
      </c>
    </row>
    <row r="2742" spans="1:8" x14ac:dyDescent="0.25">
      <c r="A2742" s="7">
        <v>44588</v>
      </c>
      <c r="B2742" s="8" t="s">
        <v>3128</v>
      </c>
      <c r="C2742" s="9" t="s">
        <v>191</v>
      </c>
      <c r="D2742" s="10">
        <v>3513.3</v>
      </c>
      <c r="E2742" s="11">
        <v>44588</v>
      </c>
      <c r="F2742" s="10">
        <v>3513.3</v>
      </c>
      <c r="G2742" s="12">
        <f>Tabla1[[#This Row],[Importe]]-Tabla1[[#This Row],[Pagado]]</f>
        <v>0</v>
      </c>
      <c r="H2742" s="9" t="s">
        <v>10</v>
      </c>
    </row>
    <row r="2743" spans="1:8" x14ac:dyDescent="0.25">
      <c r="A2743" s="7">
        <v>44588</v>
      </c>
      <c r="B2743" s="8" t="s">
        <v>3129</v>
      </c>
      <c r="C2743" s="9" t="s">
        <v>45</v>
      </c>
      <c r="D2743" s="10">
        <v>13508.2</v>
      </c>
      <c r="E2743" s="11">
        <v>44588</v>
      </c>
      <c r="F2743" s="10">
        <v>13508.2</v>
      </c>
      <c r="G2743" s="12">
        <f>Tabla1[[#This Row],[Importe]]-Tabla1[[#This Row],[Pagado]]</f>
        <v>0</v>
      </c>
      <c r="H2743" s="9" t="s">
        <v>10</v>
      </c>
    </row>
    <row r="2744" spans="1:8" x14ac:dyDescent="0.25">
      <c r="A2744" s="7">
        <v>44588</v>
      </c>
      <c r="B2744" s="8" t="s">
        <v>3130</v>
      </c>
      <c r="C2744" s="9" t="s">
        <v>228</v>
      </c>
      <c r="D2744" s="10">
        <v>5875.6</v>
      </c>
      <c r="E2744" s="11">
        <v>44588</v>
      </c>
      <c r="F2744" s="10">
        <v>5875.6</v>
      </c>
      <c r="G2744" s="12">
        <f>Tabla1[[#This Row],[Importe]]-Tabla1[[#This Row],[Pagado]]</f>
        <v>0</v>
      </c>
      <c r="H2744" s="9" t="s">
        <v>10</v>
      </c>
    </row>
    <row r="2745" spans="1:8" x14ac:dyDescent="0.25">
      <c r="A2745" s="7">
        <v>44588</v>
      </c>
      <c r="B2745" s="8" t="s">
        <v>3131</v>
      </c>
      <c r="C2745" s="9" t="s">
        <v>878</v>
      </c>
      <c r="D2745" s="10">
        <v>3388.5</v>
      </c>
      <c r="E2745" s="11">
        <v>44588</v>
      </c>
      <c r="F2745" s="10">
        <v>3388.5</v>
      </c>
      <c r="G2745" s="12">
        <f>Tabla1[[#This Row],[Importe]]-Tabla1[[#This Row],[Pagado]]</f>
        <v>0</v>
      </c>
      <c r="H2745" s="9" t="s">
        <v>10</v>
      </c>
    </row>
    <row r="2746" spans="1:8" x14ac:dyDescent="0.25">
      <c r="A2746" s="7">
        <v>44588</v>
      </c>
      <c r="B2746" s="8" t="s">
        <v>3132</v>
      </c>
      <c r="C2746" s="9" t="s">
        <v>24</v>
      </c>
      <c r="D2746" s="10">
        <v>3784.9</v>
      </c>
      <c r="E2746" s="11">
        <v>44588</v>
      </c>
      <c r="F2746" s="10">
        <v>3784.9</v>
      </c>
      <c r="G2746" s="12">
        <f>Tabla1[[#This Row],[Importe]]-Tabla1[[#This Row],[Pagado]]</f>
        <v>0</v>
      </c>
      <c r="H2746" s="9" t="s">
        <v>10</v>
      </c>
    </row>
    <row r="2747" spans="1:8" x14ac:dyDescent="0.25">
      <c r="A2747" s="7">
        <v>44588</v>
      </c>
      <c r="B2747" s="8" t="s">
        <v>3133</v>
      </c>
      <c r="C2747" s="9" t="s">
        <v>703</v>
      </c>
      <c r="D2747" s="10">
        <v>7317</v>
      </c>
      <c r="E2747" s="11">
        <v>44588</v>
      </c>
      <c r="F2747" s="10">
        <v>7317</v>
      </c>
      <c r="G2747" s="12">
        <f>Tabla1[[#This Row],[Importe]]-Tabla1[[#This Row],[Pagado]]</f>
        <v>0</v>
      </c>
      <c r="H2747" s="9" t="s">
        <v>10</v>
      </c>
    </row>
    <row r="2748" spans="1:8" x14ac:dyDescent="0.25">
      <c r="A2748" s="7">
        <v>44588</v>
      </c>
      <c r="B2748" s="8" t="s">
        <v>3134</v>
      </c>
      <c r="C2748" s="9" t="s">
        <v>934</v>
      </c>
      <c r="D2748" s="10">
        <v>3159.84</v>
      </c>
      <c r="E2748" s="11">
        <v>44588</v>
      </c>
      <c r="F2748" s="10">
        <v>3159.84</v>
      </c>
      <c r="G2748" s="12">
        <f>Tabla1[[#This Row],[Importe]]-Tabla1[[#This Row],[Pagado]]</f>
        <v>0</v>
      </c>
      <c r="H2748" s="9" t="s">
        <v>10</v>
      </c>
    </row>
    <row r="2749" spans="1:8" x14ac:dyDescent="0.25">
      <c r="A2749" s="7">
        <v>44588</v>
      </c>
      <c r="B2749" s="8" t="s">
        <v>3135</v>
      </c>
      <c r="C2749" s="9" t="s">
        <v>159</v>
      </c>
      <c r="D2749" s="10">
        <v>1285.2</v>
      </c>
      <c r="E2749" s="11">
        <v>44588</v>
      </c>
      <c r="F2749" s="10">
        <v>1285.2</v>
      </c>
      <c r="G2749" s="12">
        <f>Tabla1[[#This Row],[Importe]]-Tabla1[[#This Row],[Pagado]]</f>
        <v>0</v>
      </c>
      <c r="H2749" s="9" t="s">
        <v>10</v>
      </c>
    </row>
    <row r="2750" spans="1:8" x14ac:dyDescent="0.25">
      <c r="A2750" s="7">
        <v>44588</v>
      </c>
      <c r="B2750" s="8" t="s">
        <v>3136</v>
      </c>
      <c r="C2750" s="9" t="s">
        <v>79</v>
      </c>
      <c r="D2750" s="10">
        <v>4055</v>
      </c>
      <c r="E2750" s="11" t="s">
        <v>3137</v>
      </c>
      <c r="F2750" s="10">
        <v>4055</v>
      </c>
      <c r="G2750" s="12">
        <f>Tabla1[[#This Row],[Importe]]-Tabla1[[#This Row],[Pagado]]</f>
        <v>0</v>
      </c>
      <c r="H2750" s="9" t="s">
        <v>10</v>
      </c>
    </row>
    <row r="2751" spans="1:8" x14ac:dyDescent="0.25">
      <c r="A2751" s="7">
        <v>44588</v>
      </c>
      <c r="B2751" s="8" t="s">
        <v>3138</v>
      </c>
      <c r="C2751" s="9" t="s">
        <v>142</v>
      </c>
      <c r="D2751" s="10">
        <v>78773.820000000007</v>
      </c>
      <c r="E2751" s="11">
        <v>44617</v>
      </c>
      <c r="F2751" s="10">
        <v>78773.820000000007</v>
      </c>
      <c r="G2751" s="12">
        <f>Tabla1[[#This Row],[Importe]]-Tabla1[[#This Row],[Pagado]]</f>
        <v>0</v>
      </c>
      <c r="H2751" s="9" t="s">
        <v>10</v>
      </c>
    </row>
    <row r="2752" spans="1:8" x14ac:dyDescent="0.25">
      <c r="A2752" s="7">
        <v>44588</v>
      </c>
      <c r="B2752" s="8" t="s">
        <v>3139</v>
      </c>
      <c r="C2752" s="9" t="s">
        <v>382</v>
      </c>
      <c r="D2752" s="10">
        <v>4771.2</v>
      </c>
      <c r="E2752" s="11">
        <v>44588</v>
      </c>
      <c r="F2752" s="10">
        <v>4771.2</v>
      </c>
      <c r="G2752" s="12">
        <f>Tabla1[[#This Row],[Importe]]-Tabla1[[#This Row],[Pagado]]</f>
        <v>0</v>
      </c>
      <c r="H2752" s="9" t="s">
        <v>10</v>
      </c>
    </row>
    <row r="2753" spans="1:8" x14ac:dyDescent="0.25">
      <c r="A2753" s="7">
        <v>44588</v>
      </c>
      <c r="B2753" s="8" t="s">
        <v>3140</v>
      </c>
      <c r="C2753" s="9" t="s">
        <v>275</v>
      </c>
      <c r="D2753" s="10">
        <v>77563.58</v>
      </c>
      <c r="E2753" s="11">
        <v>44597</v>
      </c>
      <c r="F2753" s="10">
        <v>77563.58</v>
      </c>
      <c r="G2753" s="12">
        <f>Tabla1[[#This Row],[Importe]]-Tabla1[[#This Row],[Pagado]]</f>
        <v>0</v>
      </c>
      <c r="H2753" s="9" t="s">
        <v>10</v>
      </c>
    </row>
    <row r="2754" spans="1:8" x14ac:dyDescent="0.25">
      <c r="A2754" s="7">
        <v>44588</v>
      </c>
      <c r="B2754" s="8" t="s">
        <v>3141</v>
      </c>
      <c r="C2754" s="9" t="s">
        <v>67</v>
      </c>
      <c r="D2754" s="10">
        <v>935</v>
      </c>
      <c r="E2754" s="11">
        <v>44588</v>
      </c>
      <c r="F2754" s="10">
        <v>935</v>
      </c>
      <c r="G2754" s="12">
        <f>Tabla1[[#This Row],[Importe]]-Tabla1[[#This Row],[Pagado]]</f>
        <v>0</v>
      </c>
      <c r="H2754" s="9" t="s">
        <v>10</v>
      </c>
    </row>
    <row r="2755" spans="1:8" x14ac:dyDescent="0.25">
      <c r="A2755" s="7">
        <v>44588</v>
      </c>
      <c r="B2755" s="8" t="s">
        <v>3142</v>
      </c>
      <c r="C2755" s="9" t="s">
        <v>62</v>
      </c>
      <c r="D2755" s="10">
        <v>3671.2</v>
      </c>
      <c r="E2755" s="11">
        <v>44588</v>
      </c>
      <c r="F2755" s="10">
        <v>3671.2</v>
      </c>
      <c r="G2755" s="12">
        <f>Tabla1[[#This Row],[Importe]]-Tabla1[[#This Row],[Pagado]]</f>
        <v>0</v>
      </c>
      <c r="H2755" s="9" t="s">
        <v>10</v>
      </c>
    </row>
    <row r="2756" spans="1:8" x14ac:dyDescent="0.25">
      <c r="A2756" s="7">
        <v>44588</v>
      </c>
      <c r="B2756" s="8" t="s">
        <v>3143</v>
      </c>
      <c r="C2756" s="9" t="s">
        <v>222</v>
      </c>
      <c r="D2756" s="10">
        <v>5662.3</v>
      </c>
      <c r="E2756" s="11">
        <v>44588</v>
      </c>
      <c r="F2756" s="10">
        <v>5662.3</v>
      </c>
      <c r="G2756" s="12">
        <f>Tabla1[[#This Row],[Importe]]-Tabla1[[#This Row],[Pagado]]</f>
        <v>0</v>
      </c>
      <c r="H2756" s="9" t="s">
        <v>10</v>
      </c>
    </row>
    <row r="2757" spans="1:8" x14ac:dyDescent="0.25">
      <c r="A2757" s="7">
        <v>44588</v>
      </c>
      <c r="B2757" s="8" t="s">
        <v>3144</v>
      </c>
      <c r="C2757" s="9" t="s">
        <v>1265</v>
      </c>
      <c r="D2757" s="10">
        <v>1105.4000000000001</v>
      </c>
      <c r="E2757" s="11">
        <v>44588</v>
      </c>
      <c r="F2757" s="10">
        <v>1105.4000000000001</v>
      </c>
      <c r="G2757" s="12">
        <f>Tabla1[[#This Row],[Importe]]-Tabla1[[#This Row],[Pagado]]</f>
        <v>0</v>
      </c>
      <c r="H2757" s="9" t="s">
        <v>10</v>
      </c>
    </row>
    <row r="2758" spans="1:8" x14ac:dyDescent="0.25">
      <c r="A2758" s="7">
        <v>44588</v>
      </c>
      <c r="B2758" s="8" t="s">
        <v>3145</v>
      </c>
      <c r="C2758" s="9" t="s">
        <v>31</v>
      </c>
      <c r="D2758" s="10">
        <v>1305</v>
      </c>
      <c r="E2758" s="11">
        <v>44588</v>
      </c>
      <c r="F2758" s="10">
        <v>1305</v>
      </c>
      <c r="G2758" s="12">
        <f>Tabla1[[#This Row],[Importe]]-Tabla1[[#This Row],[Pagado]]</f>
        <v>0</v>
      </c>
      <c r="H2758" s="9" t="s">
        <v>10</v>
      </c>
    </row>
    <row r="2759" spans="1:8" x14ac:dyDescent="0.25">
      <c r="A2759" s="7">
        <v>44588</v>
      </c>
      <c r="B2759" s="8" t="s">
        <v>3146</v>
      </c>
      <c r="C2759" s="9" t="s">
        <v>131</v>
      </c>
      <c r="D2759" s="10">
        <v>12154.2</v>
      </c>
      <c r="E2759" s="11">
        <v>44588</v>
      </c>
      <c r="F2759" s="10">
        <v>12154.2</v>
      </c>
      <c r="G2759" s="12">
        <f>Tabla1[[#This Row],[Importe]]-Tabla1[[#This Row],[Pagado]]</f>
        <v>0</v>
      </c>
      <c r="H2759" s="9" t="s">
        <v>10</v>
      </c>
    </row>
    <row r="2760" spans="1:8" x14ac:dyDescent="0.25">
      <c r="A2760" s="7">
        <v>44588</v>
      </c>
      <c r="B2760" s="8" t="s">
        <v>3147</v>
      </c>
      <c r="C2760" s="9" t="s">
        <v>233</v>
      </c>
      <c r="D2760" s="10">
        <v>6330.9</v>
      </c>
      <c r="E2760" s="11">
        <v>44588</v>
      </c>
      <c r="F2760" s="10">
        <v>6330.9</v>
      </c>
      <c r="G2760" s="12">
        <f>Tabla1[[#This Row],[Importe]]-Tabla1[[#This Row],[Pagado]]</f>
        <v>0</v>
      </c>
      <c r="H2760" s="9" t="s">
        <v>10</v>
      </c>
    </row>
    <row r="2761" spans="1:8" x14ac:dyDescent="0.25">
      <c r="A2761" s="7">
        <v>44588</v>
      </c>
      <c r="B2761" s="8" t="s">
        <v>3148</v>
      </c>
      <c r="C2761" s="9" t="s">
        <v>298</v>
      </c>
      <c r="D2761" s="10">
        <v>10000</v>
      </c>
      <c r="E2761" s="11">
        <v>44588</v>
      </c>
      <c r="F2761" s="10">
        <v>10000</v>
      </c>
      <c r="G2761" s="12">
        <f>Tabla1[[#This Row],[Importe]]-Tabla1[[#This Row],[Pagado]]</f>
        <v>0</v>
      </c>
      <c r="H2761" s="9" t="s">
        <v>10</v>
      </c>
    </row>
    <row r="2762" spans="1:8" x14ac:dyDescent="0.25">
      <c r="A2762" s="7">
        <v>44588</v>
      </c>
      <c r="B2762" s="8" t="s">
        <v>3149</v>
      </c>
      <c r="C2762" s="9" t="s">
        <v>31</v>
      </c>
      <c r="D2762" s="10">
        <v>5940</v>
      </c>
      <c r="E2762" s="11">
        <v>44588</v>
      </c>
      <c r="F2762" s="10">
        <v>5940</v>
      </c>
      <c r="G2762" s="12">
        <f>Tabla1[[#This Row],[Importe]]-Tabla1[[#This Row],[Pagado]]</f>
        <v>0</v>
      </c>
      <c r="H2762" s="9" t="s">
        <v>10</v>
      </c>
    </row>
    <row r="2763" spans="1:8" x14ac:dyDescent="0.25">
      <c r="A2763" s="7">
        <v>44588</v>
      </c>
      <c r="B2763" s="8" t="s">
        <v>3150</v>
      </c>
      <c r="C2763" s="9" t="s">
        <v>409</v>
      </c>
      <c r="D2763" s="10">
        <v>9692.1</v>
      </c>
      <c r="E2763" s="11">
        <v>44616</v>
      </c>
      <c r="F2763" s="10">
        <v>9692.1</v>
      </c>
      <c r="G2763" s="12">
        <f>Tabla1[[#This Row],[Importe]]-Tabla1[[#This Row],[Pagado]]</f>
        <v>0</v>
      </c>
      <c r="H2763" s="9" t="s">
        <v>10</v>
      </c>
    </row>
    <row r="2764" spans="1:8" x14ac:dyDescent="0.25">
      <c r="A2764" s="7">
        <v>44588</v>
      </c>
      <c r="B2764" s="8" t="s">
        <v>3151</v>
      </c>
      <c r="C2764" s="9" t="s">
        <v>715</v>
      </c>
      <c r="D2764" s="10">
        <v>7993.4</v>
      </c>
      <c r="E2764" s="11">
        <v>44588</v>
      </c>
      <c r="F2764" s="10">
        <v>7993.4</v>
      </c>
      <c r="G2764" s="12">
        <f>Tabla1[[#This Row],[Importe]]-Tabla1[[#This Row],[Pagado]]</f>
        <v>0</v>
      </c>
      <c r="H2764" s="9" t="s">
        <v>10</v>
      </c>
    </row>
    <row r="2765" spans="1:8" x14ac:dyDescent="0.25">
      <c r="A2765" s="7">
        <v>44588</v>
      </c>
      <c r="B2765" s="8" t="s">
        <v>3152</v>
      </c>
      <c r="C2765" s="9" t="s">
        <v>1021</v>
      </c>
      <c r="D2765" s="10">
        <v>6825.5</v>
      </c>
      <c r="E2765" s="11">
        <v>44588</v>
      </c>
      <c r="F2765" s="10">
        <v>6825.5</v>
      </c>
      <c r="G2765" s="12">
        <f>Tabla1[[#This Row],[Importe]]-Tabla1[[#This Row],[Pagado]]</f>
        <v>0</v>
      </c>
      <c r="H2765" s="9" t="s">
        <v>10</v>
      </c>
    </row>
    <row r="2766" spans="1:8" x14ac:dyDescent="0.25">
      <c r="A2766" s="7">
        <v>44588</v>
      </c>
      <c r="B2766" s="8" t="s">
        <v>3153</v>
      </c>
      <c r="C2766" s="9" t="s">
        <v>135</v>
      </c>
      <c r="D2766" s="10">
        <v>1220.0999999999999</v>
      </c>
      <c r="E2766" s="11">
        <v>44588</v>
      </c>
      <c r="F2766" s="10">
        <v>1220.0999999999999</v>
      </c>
      <c r="G2766" s="12">
        <f>Tabla1[[#This Row],[Importe]]-Tabla1[[#This Row],[Pagado]]</f>
        <v>0</v>
      </c>
      <c r="H2766" s="9" t="s">
        <v>10</v>
      </c>
    </row>
    <row r="2767" spans="1:8" x14ac:dyDescent="0.25">
      <c r="A2767" s="7">
        <v>44588</v>
      </c>
      <c r="B2767" s="8" t="s">
        <v>3154</v>
      </c>
      <c r="C2767" s="9" t="s">
        <v>1064</v>
      </c>
      <c r="D2767" s="10">
        <v>2854.8</v>
      </c>
      <c r="E2767" s="11">
        <v>44588</v>
      </c>
      <c r="F2767" s="10">
        <v>2854.8</v>
      </c>
      <c r="G2767" s="12">
        <f>Tabla1[[#This Row],[Importe]]-Tabla1[[#This Row],[Pagado]]</f>
        <v>0</v>
      </c>
      <c r="H2767" s="9" t="s">
        <v>10</v>
      </c>
    </row>
    <row r="2768" spans="1:8" x14ac:dyDescent="0.25">
      <c r="A2768" s="7">
        <v>44588</v>
      </c>
      <c r="B2768" s="8" t="s">
        <v>3155</v>
      </c>
      <c r="C2768" s="9" t="s">
        <v>994</v>
      </c>
      <c r="D2768" s="10">
        <v>2084.8000000000002</v>
      </c>
      <c r="E2768" s="11">
        <v>44588</v>
      </c>
      <c r="F2768" s="10">
        <v>2084.8000000000002</v>
      </c>
      <c r="G2768" s="12">
        <f>Tabla1[[#This Row],[Importe]]-Tabla1[[#This Row],[Pagado]]</f>
        <v>0</v>
      </c>
      <c r="H2768" s="9" t="s">
        <v>10</v>
      </c>
    </row>
    <row r="2769" spans="1:8" x14ac:dyDescent="0.25">
      <c r="A2769" s="7">
        <v>44588</v>
      </c>
      <c r="B2769" s="8" t="s">
        <v>3156</v>
      </c>
      <c r="C2769" s="9" t="s">
        <v>419</v>
      </c>
      <c r="D2769" s="10">
        <v>1518</v>
      </c>
      <c r="E2769" s="11">
        <v>44588</v>
      </c>
      <c r="F2769" s="10">
        <v>1518</v>
      </c>
      <c r="G2769" s="12">
        <f>Tabla1[[#This Row],[Importe]]-Tabla1[[#This Row],[Pagado]]</f>
        <v>0</v>
      </c>
      <c r="H2769" s="9" t="s">
        <v>10</v>
      </c>
    </row>
    <row r="2770" spans="1:8" x14ac:dyDescent="0.25">
      <c r="A2770" s="7">
        <v>44588</v>
      </c>
      <c r="B2770" s="8" t="s">
        <v>3157</v>
      </c>
      <c r="C2770" s="9" t="s">
        <v>407</v>
      </c>
      <c r="D2770" s="10">
        <v>12000</v>
      </c>
      <c r="E2770" s="11">
        <v>44607</v>
      </c>
      <c r="F2770" s="10">
        <v>12000</v>
      </c>
      <c r="G2770" s="12">
        <f>Tabla1[[#This Row],[Importe]]-Tabla1[[#This Row],[Pagado]]</f>
        <v>0</v>
      </c>
      <c r="H2770" s="9" t="s">
        <v>10</v>
      </c>
    </row>
    <row r="2771" spans="1:8" x14ac:dyDescent="0.25">
      <c r="A2771" s="7">
        <v>44588</v>
      </c>
      <c r="B2771" s="8" t="s">
        <v>3158</v>
      </c>
      <c r="C2771" s="9" t="s">
        <v>244</v>
      </c>
      <c r="D2771" s="10">
        <v>1913.6</v>
      </c>
      <c r="E2771" s="11">
        <v>44588</v>
      </c>
      <c r="F2771" s="10">
        <v>1913.6</v>
      </c>
      <c r="G2771" s="12">
        <f>Tabla1[[#This Row],[Importe]]-Tabla1[[#This Row],[Pagado]]</f>
        <v>0</v>
      </c>
      <c r="H2771" s="9" t="s">
        <v>10</v>
      </c>
    </row>
    <row r="2772" spans="1:8" x14ac:dyDescent="0.25">
      <c r="A2772" s="7">
        <v>44588</v>
      </c>
      <c r="B2772" s="8" t="s">
        <v>3159</v>
      </c>
      <c r="C2772" s="9" t="s">
        <v>698</v>
      </c>
      <c r="D2772" s="10">
        <v>3056.6</v>
      </c>
      <c r="E2772" s="11">
        <v>44588</v>
      </c>
      <c r="F2772" s="10">
        <v>3056.6</v>
      </c>
      <c r="G2772" s="12">
        <f>Tabla1[[#This Row],[Importe]]-Tabla1[[#This Row],[Pagado]]</f>
        <v>0</v>
      </c>
      <c r="H2772" s="9" t="s">
        <v>10</v>
      </c>
    </row>
    <row r="2773" spans="1:8" x14ac:dyDescent="0.25">
      <c r="A2773" s="7">
        <v>44588</v>
      </c>
      <c r="B2773" s="8" t="s">
        <v>3160</v>
      </c>
      <c r="C2773" s="9" t="s">
        <v>870</v>
      </c>
      <c r="D2773" s="10">
        <v>28320</v>
      </c>
      <c r="E2773" s="11">
        <v>44589</v>
      </c>
      <c r="F2773" s="10">
        <v>28320</v>
      </c>
      <c r="G2773" s="12">
        <f>Tabla1[[#This Row],[Importe]]-Tabla1[[#This Row],[Pagado]]</f>
        <v>0</v>
      </c>
      <c r="H2773" s="9" t="s">
        <v>10</v>
      </c>
    </row>
    <row r="2774" spans="1:8" x14ac:dyDescent="0.25">
      <c r="A2774" s="7">
        <v>44588</v>
      </c>
      <c r="B2774" s="8" t="s">
        <v>3161</v>
      </c>
      <c r="C2774" s="9" t="s">
        <v>647</v>
      </c>
      <c r="D2774" s="10">
        <v>1748.6</v>
      </c>
      <c r="E2774" s="11">
        <v>44588</v>
      </c>
      <c r="F2774" s="10">
        <v>1748.6</v>
      </c>
      <c r="G2774" s="12">
        <f>Tabla1[[#This Row],[Importe]]-Tabla1[[#This Row],[Pagado]]</f>
        <v>0</v>
      </c>
      <c r="H2774" s="9" t="s">
        <v>10</v>
      </c>
    </row>
    <row r="2775" spans="1:8" x14ac:dyDescent="0.25">
      <c r="A2775" s="7">
        <v>44588</v>
      </c>
      <c r="B2775" s="8" t="s">
        <v>3162</v>
      </c>
      <c r="C2775" s="9" t="s">
        <v>67</v>
      </c>
      <c r="D2775" s="10">
        <v>3287.1</v>
      </c>
      <c r="E2775" s="11">
        <v>44588</v>
      </c>
      <c r="F2775" s="10">
        <v>3287.1</v>
      </c>
      <c r="G2775" s="12">
        <f>Tabla1[[#This Row],[Importe]]-Tabla1[[#This Row],[Pagado]]</f>
        <v>0</v>
      </c>
      <c r="H2775" s="9" t="s">
        <v>10</v>
      </c>
    </row>
    <row r="2776" spans="1:8" x14ac:dyDescent="0.25">
      <c r="A2776" s="7">
        <v>44588</v>
      </c>
      <c r="B2776" s="8" t="s">
        <v>3163</v>
      </c>
      <c r="C2776" s="9" t="s">
        <v>16</v>
      </c>
      <c r="D2776" s="10">
        <v>2337.5</v>
      </c>
      <c r="E2776" s="11">
        <v>44588</v>
      </c>
      <c r="F2776" s="10">
        <v>2337.5</v>
      </c>
      <c r="G2776" s="12">
        <f>Tabla1[[#This Row],[Importe]]-Tabla1[[#This Row],[Pagado]]</f>
        <v>0</v>
      </c>
      <c r="H2776" s="9" t="s">
        <v>10</v>
      </c>
    </row>
    <row r="2777" spans="1:8" x14ac:dyDescent="0.25">
      <c r="A2777" s="7">
        <v>44588</v>
      </c>
      <c r="B2777" s="8" t="s">
        <v>3164</v>
      </c>
      <c r="C2777" s="9" t="s">
        <v>151</v>
      </c>
      <c r="D2777" s="10">
        <v>4454</v>
      </c>
      <c r="E2777" s="11">
        <v>44588</v>
      </c>
      <c r="F2777" s="10">
        <v>4454</v>
      </c>
      <c r="G2777" s="12">
        <f>Tabla1[[#This Row],[Importe]]-Tabla1[[#This Row],[Pagado]]</f>
        <v>0</v>
      </c>
      <c r="H2777" s="9" t="s">
        <v>10</v>
      </c>
    </row>
    <row r="2778" spans="1:8" x14ac:dyDescent="0.25">
      <c r="A2778" s="7">
        <v>44588</v>
      </c>
      <c r="B2778" s="8" t="s">
        <v>3165</v>
      </c>
      <c r="C2778" s="9" t="s">
        <v>196</v>
      </c>
      <c r="D2778" s="10">
        <v>5262.6</v>
      </c>
      <c r="E2778" s="11">
        <v>44589</v>
      </c>
      <c r="F2778" s="10">
        <v>5262.6</v>
      </c>
      <c r="G2778" s="12">
        <f>Tabla1[[#This Row],[Importe]]-Tabla1[[#This Row],[Pagado]]</f>
        <v>0</v>
      </c>
      <c r="H2778" s="9" t="s">
        <v>10</v>
      </c>
    </row>
    <row r="2779" spans="1:8" x14ac:dyDescent="0.25">
      <c r="A2779" s="7">
        <v>44588</v>
      </c>
      <c r="B2779" s="8" t="s">
        <v>3166</v>
      </c>
      <c r="C2779" s="9" t="s">
        <v>843</v>
      </c>
      <c r="D2779" s="10">
        <v>13696</v>
      </c>
      <c r="E2779" s="11">
        <v>44588</v>
      </c>
      <c r="F2779" s="10">
        <v>13696</v>
      </c>
      <c r="G2779" s="12">
        <f>Tabla1[[#This Row],[Importe]]-Tabla1[[#This Row],[Pagado]]</f>
        <v>0</v>
      </c>
      <c r="H2779" s="9" t="s">
        <v>10</v>
      </c>
    </row>
    <row r="2780" spans="1:8" x14ac:dyDescent="0.25">
      <c r="A2780" s="7">
        <v>44588</v>
      </c>
      <c r="B2780" s="8" t="s">
        <v>3167</v>
      </c>
      <c r="C2780" s="9" t="s">
        <v>14</v>
      </c>
      <c r="D2780" s="10">
        <v>26428.799999999999</v>
      </c>
      <c r="E2780" s="11">
        <v>44588</v>
      </c>
      <c r="F2780" s="10">
        <v>26428.799999999999</v>
      </c>
      <c r="G2780" s="12">
        <f>Tabla1[[#This Row],[Importe]]-Tabla1[[#This Row],[Pagado]]</f>
        <v>0</v>
      </c>
      <c r="H2780" s="9" t="s">
        <v>10</v>
      </c>
    </row>
    <row r="2781" spans="1:8" x14ac:dyDescent="0.25">
      <c r="A2781" s="7">
        <v>44588</v>
      </c>
      <c r="B2781" s="8" t="s">
        <v>3168</v>
      </c>
      <c r="C2781" s="9" t="s">
        <v>149</v>
      </c>
      <c r="D2781" s="10">
        <v>1168.3</v>
      </c>
      <c r="E2781" s="11">
        <v>44588</v>
      </c>
      <c r="F2781" s="10">
        <v>1168.3</v>
      </c>
      <c r="G2781" s="12">
        <f>Tabla1[[#This Row],[Importe]]-Tabla1[[#This Row],[Pagado]]</f>
        <v>0</v>
      </c>
      <c r="H2781" s="9" t="s">
        <v>10</v>
      </c>
    </row>
    <row r="2782" spans="1:8" x14ac:dyDescent="0.25">
      <c r="A2782" s="7">
        <v>44588</v>
      </c>
      <c r="B2782" s="8" t="s">
        <v>3169</v>
      </c>
      <c r="C2782" s="9" t="s">
        <v>14</v>
      </c>
      <c r="D2782" s="10">
        <v>375</v>
      </c>
      <c r="E2782" s="11">
        <v>44588</v>
      </c>
      <c r="F2782" s="10">
        <v>375</v>
      </c>
      <c r="G2782" s="12">
        <f>Tabla1[[#This Row],[Importe]]-Tabla1[[#This Row],[Pagado]]</f>
        <v>0</v>
      </c>
      <c r="H2782" s="9" t="s">
        <v>10</v>
      </c>
    </row>
    <row r="2783" spans="1:8" x14ac:dyDescent="0.25">
      <c r="A2783" s="7">
        <v>44588</v>
      </c>
      <c r="B2783" s="8" t="s">
        <v>3170</v>
      </c>
      <c r="C2783" s="9" t="s">
        <v>71</v>
      </c>
      <c r="D2783" s="10">
        <v>1260</v>
      </c>
      <c r="E2783" s="11">
        <v>44588</v>
      </c>
      <c r="F2783" s="10">
        <v>1260</v>
      </c>
      <c r="G2783" s="12">
        <f>Tabla1[[#This Row],[Importe]]-Tabla1[[#This Row],[Pagado]]</f>
        <v>0</v>
      </c>
      <c r="H2783" s="9" t="s">
        <v>10</v>
      </c>
    </row>
    <row r="2784" spans="1:8" x14ac:dyDescent="0.25">
      <c r="A2784" s="7">
        <v>44588</v>
      </c>
      <c r="B2784" s="8" t="s">
        <v>3171</v>
      </c>
      <c r="C2784" s="9" t="s">
        <v>269</v>
      </c>
      <c r="D2784" s="10">
        <v>2588</v>
      </c>
      <c r="E2784" s="11">
        <v>44588</v>
      </c>
      <c r="F2784" s="10">
        <v>2588</v>
      </c>
      <c r="G2784" s="12">
        <f>Tabla1[[#This Row],[Importe]]-Tabla1[[#This Row],[Pagado]]</f>
        <v>0</v>
      </c>
      <c r="H2784" s="9" t="s">
        <v>10</v>
      </c>
    </row>
    <row r="2785" spans="1:8" x14ac:dyDescent="0.25">
      <c r="A2785" s="7">
        <v>44588</v>
      </c>
      <c r="B2785" s="8" t="s">
        <v>3172</v>
      </c>
      <c r="C2785" s="9" t="s">
        <v>31</v>
      </c>
      <c r="D2785" s="10">
        <v>54</v>
      </c>
      <c r="E2785" s="11">
        <v>44588</v>
      </c>
      <c r="F2785" s="10">
        <v>54</v>
      </c>
      <c r="G2785" s="12">
        <f>Tabla1[[#This Row],[Importe]]-Tabla1[[#This Row],[Pagado]]</f>
        <v>0</v>
      </c>
      <c r="H2785" s="9" t="s">
        <v>10</v>
      </c>
    </row>
    <row r="2786" spans="1:8" x14ac:dyDescent="0.25">
      <c r="A2786" s="7">
        <v>44588</v>
      </c>
      <c r="B2786" s="8" t="s">
        <v>3173</v>
      </c>
      <c r="C2786" s="9" t="s">
        <v>53</v>
      </c>
      <c r="D2786" s="10">
        <v>1083</v>
      </c>
      <c r="E2786" s="11">
        <v>44588</v>
      </c>
      <c r="F2786" s="10">
        <v>1083</v>
      </c>
      <c r="G2786" s="12">
        <f>Tabla1[[#This Row],[Importe]]-Tabla1[[#This Row],[Pagado]]</f>
        <v>0</v>
      </c>
      <c r="H2786" s="9" t="s">
        <v>10</v>
      </c>
    </row>
    <row r="2787" spans="1:8" x14ac:dyDescent="0.25">
      <c r="A2787" s="7">
        <v>44588</v>
      </c>
      <c r="B2787" s="8" t="s">
        <v>3174</v>
      </c>
      <c r="C2787" s="9" t="s">
        <v>196</v>
      </c>
      <c r="D2787" s="10">
        <v>10932.6</v>
      </c>
      <c r="E2787" s="11">
        <v>44589</v>
      </c>
      <c r="F2787" s="10">
        <v>10932.6</v>
      </c>
      <c r="G2787" s="12">
        <f>Tabla1[[#This Row],[Importe]]-Tabla1[[#This Row],[Pagado]]</f>
        <v>0</v>
      </c>
      <c r="H2787" s="9" t="s">
        <v>10</v>
      </c>
    </row>
    <row r="2788" spans="1:8" x14ac:dyDescent="0.25">
      <c r="A2788" s="7">
        <v>44588</v>
      </c>
      <c r="B2788" s="8" t="s">
        <v>3175</v>
      </c>
      <c r="C2788" s="9" t="s">
        <v>196</v>
      </c>
      <c r="D2788" s="10">
        <v>1306.5</v>
      </c>
      <c r="E2788" s="11">
        <v>44589</v>
      </c>
      <c r="F2788" s="10">
        <v>1306.5</v>
      </c>
      <c r="G2788" s="12">
        <f>Tabla1[[#This Row],[Importe]]-Tabla1[[#This Row],[Pagado]]</f>
        <v>0</v>
      </c>
      <c r="H2788" s="9" t="s">
        <v>10</v>
      </c>
    </row>
    <row r="2789" spans="1:8" x14ac:dyDescent="0.25">
      <c r="A2789" s="7">
        <v>44588</v>
      </c>
      <c r="B2789" s="8" t="s">
        <v>3176</v>
      </c>
      <c r="C2789" s="9" t="s">
        <v>3177</v>
      </c>
      <c r="D2789" s="10">
        <v>3852.8</v>
      </c>
      <c r="E2789" s="11">
        <v>44599</v>
      </c>
      <c r="F2789" s="10">
        <v>3852.8</v>
      </c>
      <c r="G2789" s="12">
        <f>Tabla1[[#This Row],[Importe]]-Tabla1[[#This Row],[Pagado]]</f>
        <v>0</v>
      </c>
      <c r="H2789" s="9" t="s">
        <v>10</v>
      </c>
    </row>
    <row r="2790" spans="1:8" x14ac:dyDescent="0.25">
      <c r="A2790" s="7">
        <v>44588</v>
      </c>
      <c r="B2790" s="8" t="s">
        <v>3178</v>
      </c>
      <c r="C2790" s="9" t="s">
        <v>31</v>
      </c>
      <c r="D2790" s="10">
        <v>549.5</v>
      </c>
      <c r="E2790" s="11">
        <v>44588</v>
      </c>
      <c r="F2790" s="10">
        <v>549.5</v>
      </c>
      <c r="G2790" s="12">
        <f>Tabla1[[#This Row],[Importe]]-Tabla1[[#This Row],[Pagado]]</f>
        <v>0</v>
      </c>
      <c r="H2790" s="9" t="s">
        <v>10</v>
      </c>
    </row>
    <row r="2791" spans="1:8" x14ac:dyDescent="0.25">
      <c r="A2791" s="7">
        <v>44589</v>
      </c>
      <c r="B2791" s="8" t="s">
        <v>3179</v>
      </c>
      <c r="C2791" s="9" t="s">
        <v>887</v>
      </c>
      <c r="D2791" s="10">
        <v>9165</v>
      </c>
      <c r="E2791" s="11">
        <v>44590</v>
      </c>
      <c r="F2791" s="10">
        <v>9165</v>
      </c>
      <c r="G2791" s="12">
        <f>Tabla1[[#This Row],[Importe]]-Tabla1[[#This Row],[Pagado]]</f>
        <v>0</v>
      </c>
      <c r="H2791" s="9" t="s">
        <v>10</v>
      </c>
    </row>
    <row r="2792" spans="1:8" x14ac:dyDescent="0.25">
      <c r="A2792" s="7">
        <v>44589</v>
      </c>
      <c r="B2792" s="8" t="s">
        <v>3180</v>
      </c>
      <c r="C2792" s="9" t="s">
        <v>475</v>
      </c>
      <c r="D2792" s="10">
        <v>72685.600000000006</v>
      </c>
      <c r="E2792" s="11">
        <v>44590</v>
      </c>
      <c r="F2792" s="10">
        <v>72685.600000000006</v>
      </c>
      <c r="G2792" s="12">
        <f>Tabla1[[#This Row],[Importe]]-Tabla1[[#This Row],[Pagado]]</f>
        <v>0</v>
      </c>
      <c r="H2792" s="9" t="s">
        <v>10</v>
      </c>
    </row>
    <row r="2793" spans="1:8" x14ac:dyDescent="0.25">
      <c r="A2793" s="7">
        <v>44589</v>
      </c>
      <c r="B2793" s="8" t="s">
        <v>3181</v>
      </c>
      <c r="C2793" s="9" t="s">
        <v>83</v>
      </c>
      <c r="D2793" s="10">
        <v>4064.5</v>
      </c>
      <c r="E2793" s="11">
        <v>44589</v>
      </c>
      <c r="F2793" s="10">
        <v>4064.5</v>
      </c>
      <c r="G2793" s="12">
        <f>Tabla1[[#This Row],[Importe]]-Tabla1[[#This Row],[Pagado]]</f>
        <v>0</v>
      </c>
      <c r="H2793" s="9" t="s">
        <v>10</v>
      </c>
    </row>
    <row r="2794" spans="1:8" x14ac:dyDescent="0.25">
      <c r="A2794" s="7">
        <v>44589</v>
      </c>
      <c r="B2794" s="8" t="s">
        <v>3182</v>
      </c>
      <c r="C2794" s="9" t="s">
        <v>85</v>
      </c>
      <c r="D2794" s="10">
        <v>1860</v>
      </c>
      <c r="E2794" s="11">
        <v>44589</v>
      </c>
      <c r="F2794" s="10">
        <v>1860</v>
      </c>
      <c r="G2794" s="12">
        <f>Tabla1[[#This Row],[Importe]]-Tabla1[[#This Row],[Pagado]]</f>
        <v>0</v>
      </c>
      <c r="H2794" s="9" t="s">
        <v>10</v>
      </c>
    </row>
    <row r="2795" spans="1:8" x14ac:dyDescent="0.25">
      <c r="A2795" s="7">
        <v>44589</v>
      </c>
      <c r="B2795" s="8" t="s">
        <v>3183</v>
      </c>
      <c r="C2795" s="9" t="s">
        <v>87</v>
      </c>
      <c r="D2795" s="10">
        <v>3513.8</v>
      </c>
      <c r="E2795" s="11">
        <v>44589</v>
      </c>
      <c r="F2795" s="10">
        <v>3513.8</v>
      </c>
      <c r="G2795" s="12">
        <f>Tabla1[[#This Row],[Importe]]-Tabla1[[#This Row],[Pagado]]</f>
        <v>0</v>
      </c>
      <c r="H2795" s="9" t="s">
        <v>10</v>
      </c>
    </row>
    <row r="2796" spans="1:8" x14ac:dyDescent="0.25">
      <c r="A2796" s="7">
        <v>44589</v>
      </c>
      <c r="B2796" s="8" t="s">
        <v>3184</v>
      </c>
      <c r="C2796" s="9" t="s">
        <v>1237</v>
      </c>
      <c r="D2796" s="10">
        <v>61607.7</v>
      </c>
      <c r="E2796" s="11">
        <v>44589</v>
      </c>
      <c r="F2796" s="10">
        <v>61607.7</v>
      </c>
      <c r="G2796" s="12">
        <f>Tabla1[[#This Row],[Importe]]-Tabla1[[#This Row],[Pagado]]</f>
        <v>0</v>
      </c>
      <c r="H2796" s="9" t="s">
        <v>10</v>
      </c>
    </row>
    <row r="2797" spans="1:8" x14ac:dyDescent="0.25">
      <c r="A2797" s="7">
        <v>44589</v>
      </c>
      <c r="B2797" s="8" t="s">
        <v>3185</v>
      </c>
      <c r="C2797" s="9" t="s">
        <v>12</v>
      </c>
      <c r="D2797" s="10">
        <v>33016.050000000003</v>
      </c>
      <c r="E2797" s="11">
        <v>44591</v>
      </c>
      <c r="F2797" s="10">
        <v>33016.050000000003</v>
      </c>
      <c r="G2797" s="12">
        <f>Tabla1[[#This Row],[Importe]]-Tabla1[[#This Row],[Pagado]]</f>
        <v>0</v>
      </c>
      <c r="H2797" s="9" t="s">
        <v>10</v>
      </c>
    </row>
    <row r="2798" spans="1:8" x14ac:dyDescent="0.25">
      <c r="A2798" s="7">
        <v>44589</v>
      </c>
      <c r="B2798" s="8" t="s">
        <v>3186</v>
      </c>
      <c r="C2798" s="9" t="s">
        <v>49</v>
      </c>
      <c r="D2798" s="10">
        <v>2284.8000000000002</v>
      </c>
      <c r="E2798" s="11">
        <v>44589</v>
      </c>
      <c r="F2798" s="10">
        <v>2284.8000000000002</v>
      </c>
      <c r="G2798" s="12">
        <f>Tabla1[[#This Row],[Importe]]-Tabla1[[#This Row],[Pagado]]</f>
        <v>0</v>
      </c>
      <c r="H2798" s="9" t="s">
        <v>10</v>
      </c>
    </row>
    <row r="2799" spans="1:8" x14ac:dyDescent="0.25">
      <c r="A2799" s="7">
        <v>44589</v>
      </c>
      <c r="B2799" s="8" t="s">
        <v>3187</v>
      </c>
      <c r="C2799" s="9" t="s">
        <v>314</v>
      </c>
      <c r="D2799" s="10">
        <v>3710</v>
      </c>
      <c r="E2799" s="11">
        <v>44589</v>
      </c>
      <c r="F2799" s="10">
        <v>3710</v>
      </c>
      <c r="G2799" s="12">
        <f>Tabla1[[#This Row],[Importe]]-Tabla1[[#This Row],[Pagado]]</f>
        <v>0</v>
      </c>
      <c r="H2799" s="9" t="s">
        <v>10</v>
      </c>
    </row>
    <row r="2800" spans="1:8" x14ac:dyDescent="0.25">
      <c r="A2800" s="7">
        <v>44589</v>
      </c>
      <c r="B2800" s="8" t="s">
        <v>3188</v>
      </c>
      <c r="C2800" s="9" t="s">
        <v>105</v>
      </c>
      <c r="D2800" s="10">
        <v>4555</v>
      </c>
      <c r="E2800" s="11">
        <v>44590</v>
      </c>
      <c r="F2800" s="10">
        <v>4555</v>
      </c>
      <c r="G2800" s="12">
        <f>Tabla1[[#This Row],[Importe]]-Tabla1[[#This Row],[Pagado]]</f>
        <v>0</v>
      </c>
      <c r="H2800" s="9" t="s">
        <v>10</v>
      </c>
    </row>
    <row r="2801" spans="1:8" x14ac:dyDescent="0.25">
      <c r="A2801" s="7">
        <v>44589</v>
      </c>
      <c r="B2801" s="8" t="s">
        <v>3189</v>
      </c>
      <c r="C2801" s="9" t="s">
        <v>111</v>
      </c>
      <c r="D2801" s="10">
        <v>4315</v>
      </c>
      <c r="E2801" s="11">
        <v>44590</v>
      </c>
      <c r="F2801" s="10">
        <v>4315</v>
      </c>
      <c r="G2801" s="12">
        <f>Tabla1[[#This Row],[Importe]]-Tabla1[[#This Row],[Pagado]]</f>
        <v>0</v>
      </c>
      <c r="H2801" s="9" t="s">
        <v>10</v>
      </c>
    </row>
    <row r="2802" spans="1:8" x14ac:dyDescent="0.25">
      <c r="A2802" s="7">
        <v>44589</v>
      </c>
      <c r="B2802" s="8" t="s">
        <v>3190</v>
      </c>
      <c r="C2802" s="9" t="s">
        <v>64</v>
      </c>
      <c r="D2802" s="10">
        <v>4480.3999999999996</v>
      </c>
      <c r="E2802" s="11">
        <v>44590</v>
      </c>
      <c r="F2802" s="10">
        <v>4480.3999999999996</v>
      </c>
      <c r="G2802" s="12">
        <f>Tabla1[[#This Row],[Importe]]-Tabla1[[#This Row],[Pagado]]</f>
        <v>0</v>
      </c>
      <c r="H2802" s="9" t="s">
        <v>10</v>
      </c>
    </row>
    <row r="2803" spans="1:8" x14ac:dyDescent="0.25">
      <c r="A2803" s="7">
        <v>44589</v>
      </c>
      <c r="B2803" s="8" t="s">
        <v>3191</v>
      </c>
      <c r="C2803" s="9" t="s">
        <v>345</v>
      </c>
      <c r="D2803" s="10">
        <v>475.2</v>
      </c>
      <c r="E2803" s="11">
        <v>44589</v>
      </c>
      <c r="F2803" s="10">
        <v>475.2</v>
      </c>
      <c r="G2803" s="12">
        <f>Tabla1[[#This Row],[Importe]]-Tabla1[[#This Row],[Pagado]]</f>
        <v>0</v>
      </c>
      <c r="H2803" s="9" t="s">
        <v>10</v>
      </c>
    </row>
    <row r="2804" spans="1:8" x14ac:dyDescent="0.25">
      <c r="A2804" s="7">
        <v>44589</v>
      </c>
      <c r="B2804" s="8" t="s">
        <v>3192</v>
      </c>
      <c r="C2804" s="9" t="s">
        <v>105</v>
      </c>
      <c r="D2804" s="10">
        <v>2251.1999999999998</v>
      </c>
      <c r="E2804" s="11">
        <v>44590</v>
      </c>
      <c r="F2804" s="10">
        <v>2251.1999999999998</v>
      </c>
      <c r="G2804" s="12">
        <f>Tabla1[[#This Row],[Importe]]-Tabla1[[#This Row],[Pagado]]</f>
        <v>0</v>
      </c>
      <c r="H2804" s="9" t="s">
        <v>10</v>
      </c>
    </row>
    <row r="2805" spans="1:8" x14ac:dyDescent="0.25">
      <c r="A2805" s="7">
        <v>44589</v>
      </c>
      <c r="B2805" s="8" t="s">
        <v>3193</v>
      </c>
      <c r="C2805" s="9" t="s">
        <v>60</v>
      </c>
      <c r="D2805" s="10">
        <v>4352.3999999999996</v>
      </c>
      <c r="E2805" s="11">
        <v>44592</v>
      </c>
      <c r="F2805" s="10">
        <v>4352.3999999999996</v>
      </c>
      <c r="G2805" s="12">
        <f>Tabla1[[#This Row],[Importe]]-Tabla1[[#This Row],[Pagado]]</f>
        <v>0</v>
      </c>
      <c r="H2805" s="9" t="s">
        <v>10</v>
      </c>
    </row>
    <row r="2806" spans="1:8" x14ac:dyDescent="0.25">
      <c r="A2806" s="7">
        <v>44589</v>
      </c>
      <c r="B2806" s="8" t="s">
        <v>3194</v>
      </c>
      <c r="C2806" s="9" t="s">
        <v>109</v>
      </c>
      <c r="D2806" s="10">
        <v>4305</v>
      </c>
      <c r="E2806" s="11">
        <v>44590</v>
      </c>
      <c r="F2806" s="10">
        <v>4305</v>
      </c>
      <c r="G2806" s="12">
        <f>Tabla1[[#This Row],[Importe]]-Tabla1[[#This Row],[Pagado]]</f>
        <v>0</v>
      </c>
      <c r="H2806" s="9" t="s">
        <v>10</v>
      </c>
    </row>
    <row r="2807" spans="1:8" x14ac:dyDescent="0.25">
      <c r="A2807" s="7">
        <v>44589</v>
      </c>
      <c r="B2807" s="8" t="s">
        <v>3195</v>
      </c>
      <c r="C2807" s="9" t="s">
        <v>118</v>
      </c>
      <c r="D2807" s="10">
        <v>4294.2</v>
      </c>
      <c r="E2807" s="11">
        <v>44590</v>
      </c>
      <c r="F2807" s="10">
        <v>4294.2</v>
      </c>
      <c r="G2807" s="12">
        <f>Tabla1[[#This Row],[Importe]]-Tabla1[[#This Row],[Pagado]]</f>
        <v>0</v>
      </c>
      <c r="H2807" s="9" t="s">
        <v>10</v>
      </c>
    </row>
    <row r="2808" spans="1:8" x14ac:dyDescent="0.25">
      <c r="A2808" s="7">
        <v>44589</v>
      </c>
      <c r="B2808" s="8" t="s">
        <v>3196</v>
      </c>
      <c r="C2808" s="9" t="s">
        <v>481</v>
      </c>
      <c r="D2808" s="10">
        <v>628.6</v>
      </c>
      <c r="E2808" s="11">
        <v>44589</v>
      </c>
      <c r="F2808" s="10">
        <v>628.6</v>
      </c>
      <c r="G2808" s="12">
        <f>Tabla1[[#This Row],[Importe]]-Tabla1[[#This Row],[Pagado]]</f>
        <v>0</v>
      </c>
      <c r="H2808" s="9" t="s">
        <v>10</v>
      </c>
    </row>
    <row r="2809" spans="1:8" x14ac:dyDescent="0.25">
      <c r="A2809" s="7">
        <v>44589</v>
      </c>
      <c r="B2809" s="8" t="s">
        <v>3197</v>
      </c>
      <c r="C2809" s="9" t="s">
        <v>114</v>
      </c>
      <c r="D2809" s="10">
        <v>8600</v>
      </c>
      <c r="E2809" s="11">
        <v>44590</v>
      </c>
      <c r="F2809" s="10">
        <v>8600</v>
      </c>
      <c r="G2809" s="12">
        <f>Tabla1[[#This Row],[Importe]]-Tabla1[[#This Row],[Pagado]]</f>
        <v>0</v>
      </c>
      <c r="H2809" s="9" t="s">
        <v>10</v>
      </c>
    </row>
    <row r="2810" spans="1:8" x14ac:dyDescent="0.25">
      <c r="A2810" s="7">
        <v>44589</v>
      </c>
      <c r="B2810" s="8" t="s">
        <v>3198</v>
      </c>
      <c r="C2810" s="9" t="s">
        <v>9</v>
      </c>
      <c r="D2810" s="10">
        <v>6473.2</v>
      </c>
      <c r="E2810" s="11">
        <v>44589</v>
      </c>
      <c r="F2810" s="10">
        <v>6473.2</v>
      </c>
      <c r="G2810" s="12">
        <f>Tabla1[[#This Row],[Importe]]-Tabla1[[#This Row],[Pagado]]</f>
        <v>0</v>
      </c>
      <c r="H2810" s="9" t="s">
        <v>10</v>
      </c>
    </row>
    <row r="2811" spans="1:8" x14ac:dyDescent="0.25">
      <c r="A2811" s="7">
        <v>44589</v>
      </c>
      <c r="B2811" s="8" t="s">
        <v>3199</v>
      </c>
      <c r="C2811" s="9" t="s">
        <v>89</v>
      </c>
      <c r="D2811" s="10">
        <v>3991.6</v>
      </c>
      <c r="E2811" s="11">
        <v>44590</v>
      </c>
      <c r="F2811" s="10">
        <v>3991.6</v>
      </c>
      <c r="G2811" s="12">
        <f>Tabla1[[#This Row],[Importe]]-Tabla1[[#This Row],[Pagado]]</f>
        <v>0</v>
      </c>
      <c r="H2811" s="9" t="s">
        <v>10</v>
      </c>
    </row>
    <row r="2812" spans="1:8" x14ac:dyDescent="0.25">
      <c r="A2812" s="7">
        <v>44589</v>
      </c>
      <c r="B2812" s="8" t="s">
        <v>3200</v>
      </c>
      <c r="C2812" s="9" t="s">
        <v>95</v>
      </c>
      <c r="D2812" s="10">
        <v>17363.2</v>
      </c>
      <c r="E2812" s="11">
        <v>44589</v>
      </c>
      <c r="F2812" s="10">
        <v>17363.2</v>
      </c>
      <c r="G2812" s="12">
        <f>Tabla1[[#This Row],[Importe]]-Tabla1[[#This Row],[Pagado]]</f>
        <v>0</v>
      </c>
      <c r="H2812" s="9" t="s">
        <v>10</v>
      </c>
    </row>
    <row r="2813" spans="1:8" x14ac:dyDescent="0.25">
      <c r="A2813" s="7">
        <v>44589</v>
      </c>
      <c r="B2813" s="8" t="s">
        <v>3201</v>
      </c>
      <c r="C2813" s="9" t="s">
        <v>3202</v>
      </c>
      <c r="D2813" s="10">
        <v>0</v>
      </c>
      <c r="E2813" s="13" t="s">
        <v>189</v>
      </c>
      <c r="F2813" s="10">
        <v>0</v>
      </c>
      <c r="G2813" s="12">
        <f>Tabla1[[#This Row],[Importe]]-Tabla1[[#This Row],[Pagado]]</f>
        <v>0</v>
      </c>
      <c r="H2813" s="9" t="s">
        <v>189</v>
      </c>
    </row>
    <row r="2814" spans="1:8" x14ac:dyDescent="0.25">
      <c r="A2814" s="7">
        <v>44589</v>
      </c>
      <c r="B2814" s="8" t="s">
        <v>3203</v>
      </c>
      <c r="C2814" s="9" t="s">
        <v>348</v>
      </c>
      <c r="D2814" s="10">
        <v>2866.2</v>
      </c>
      <c r="E2814" s="11">
        <v>44589</v>
      </c>
      <c r="F2814" s="10">
        <v>2866.2</v>
      </c>
      <c r="G2814" s="12">
        <f>Tabla1[[#This Row],[Importe]]-Tabla1[[#This Row],[Pagado]]</f>
        <v>0</v>
      </c>
      <c r="H2814" s="9" t="s">
        <v>10</v>
      </c>
    </row>
    <row r="2815" spans="1:8" ht="30" x14ac:dyDescent="0.25">
      <c r="A2815" s="7">
        <v>44589</v>
      </c>
      <c r="B2815" s="8" t="s">
        <v>3204</v>
      </c>
      <c r="C2815" s="9" t="s">
        <v>39</v>
      </c>
      <c r="D2815" s="10">
        <v>19892.2</v>
      </c>
      <c r="E2815" s="11" t="s">
        <v>3642</v>
      </c>
      <c r="F2815" s="10">
        <f>4500+15392.2</f>
        <v>19892.2</v>
      </c>
      <c r="G2815" s="12">
        <f>Tabla1[[#This Row],[Importe]]-Tabla1[[#This Row],[Pagado]]</f>
        <v>0</v>
      </c>
      <c r="H2815" s="9" t="s">
        <v>10</v>
      </c>
    </row>
    <row r="2816" spans="1:8" x14ac:dyDescent="0.25">
      <c r="A2816" s="7">
        <v>44589</v>
      </c>
      <c r="B2816" s="8" t="s">
        <v>3205</v>
      </c>
      <c r="C2816" s="9" t="s">
        <v>99</v>
      </c>
      <c r="D2816" s="10">
        <v>3048</v>
      </c>
      <c r="E2816" s="11">
        <v>44592</v>
      </c>
      <c r="F2816" s="10">
        <v>3048</v>
      </c>
      <c r="G2816" s="12">
        <f>Tabla1[[#This Row],[Importe]]-Tabla1[[#This Row],[Pagado]]</f>
        <v>0</v>
      </c>
      <c r="H2816" s="9" t="s">
        <v>10</v>
      </c>
    </row>
    <row r="2817" spans="1:8" x14ac:dyDescent="0.25">
      <c r="A2817" s="7">
        <v>44589</v>
      </c>
      <c r="B2817" s="8" t="s">
        <v>3206</v>
      </c>
      <c r="C2817" s="9" t="s">
        <v>93</v>
      </c>
      <c r="D2817" s="10">
        <v>888</v>
      </c>
      <c r="E2817" s="11">
        <v>44590</v>
      </c>
      <c r="F2817" s="10">
        <v>888</v>
      </c>
      <c r="G2817" s="12">
        <f>Tabla1[[#This Row],[Importe]]-Tabla1[[#This Row],[Pagado]]</f>
        <v>0</v>
      </c>
      <c r="H2817" s="9" t="s">
        <v>10</v>
      </c>
    </row>
    <row r="2818" spans="1:8" x14ac:dyDescent="0.25">
      <c r="A2818" s="7">
        <v>44589</v>
      </c>
      <c r="B2818" s="8" t="s">
        <v>3207</v>
      </c>
      <c r="C2818" s="9" t="s">
        <v>97</v>
      </c>
      <c r="D2818" s="10">
        <v>6811.2</v>
      </c>
      <c r="E2818" s="11">
        <v>44590</v>
      </c>
      <c r="F2818" s="10">
        <v>6811.2</v>
      </c>
      <c r="G2818" s="12">
        <f>Tabla1[[#This Row],[Importe]]-Tabla1[[#This Row],[Pagado]]</f>
        <v>0</v>
      </c>
      <c r="H2818" s="9" t="s">
        <v>10</v>
      </c>
    </row>
    <row r="2819" spans="1:8" x14ac:dyDescent="0.25">
      <c r="A2819" s="7">
        <v>44589</v>
      </c>
      <c r="B2819" s="8" t="s">
        <v>3208</v>
      </c>
      <c r="C2819" s="9" t="s">
        <v>22</v>
      </c>
      <c r="D2819" s="10">
        <v>34312.400000000001</v>
      </c>
      <c r="E2819" s="11">
        <v>44591</v>
      </c>
      <c r="F2819" s="10">
        <v>34312.400000000001</v>
      </c>
      <c r="G2819" s="12">
        <f>Tabla1[[#This Row],[Importe]]-Tabla1[[#This Row],[Pagado]]</f>
        <v>0</v>
      </c>
      <c r="H2819" s="9" t="s">
        <v>10</v>
      </c>
    </row>
    <row r="2820" spans="1:8" x14ac:dyDescent="0.25">
      <c r="A2820" s="7">
        <v>44589</v>
      </c>
      <c r="B2820" s="8" t="s">
        <v>3209</v>
      </c>
      <c r="C2820" s="9" t="s">
        <v>414</v>
      </c>
      <c r="D2820" s="10">
        <v>15260</v>
      </c>
      <c r="E2820" s="11">
        <v>44589</v>
      </c>
      <c r="F2820" s="10">
        <v>15260</v>
      </c>
      <c r="G2820" s="12">
        <f>Tabla1[[#This Row],[Importe]]-Tabla1[[#This Row],[Pagado]]</f>
        <v>0</v>
      </c>
      <c r="H2820" s="9" t="s">
        <v>10</v>
      </c>
    </row>
    <row r="2821" spans="1:8" x14ac:dyDescent="0.25">
      <c r="A2821" s="7">
        <v>44589</v>
      </c>
      <c r="B2821" s="8" t="s">
        <v>3210</v>
      </c>
      <c r="C2821" s="9" t="s">
        <v>131</v>
      </c>
      <c r="D2821" s="10">
        <v>17117.400000000001</v>
      </c>
      <c r="E2821" s="11">
        <v>44589</v>
      </c>
      <c r="F2821" s="10">
        <v>17117.400000000001</v>
      </c>
      <c r="G2821" s="12">
        <f>Tabla1[[#This Row],[Importe]]-Tabla1[[#This Row],[Pagado]]</f>
        <v>0</v>
      </c>
      <c r="H2821" s="9" t="s">
        <v>10</v>
      </c>
    </row>
    <row r="2822" spans="1:8" x14ac:dyDescent="0.25">
      <c r="A2822" s="7">
        <v>44589</v>
      </c>
      <c r="B2822" s="8" t="s">
        <v>3211</v>
      </c>
      <c r="C2822" s="9" t="s">
        <v>196</v>
      </c>
      <c r="D2822" s="10">
        <v>91103.16</v>
      </c>
      <c r="E2822" s="11">
        <v>44589</v>
      </c>
      <c r="F2822" s="10">
        <v>91103.16</v>
      </c>
      <c r="G2822" s="12">
        <f>Tabla1[[#This Row],[Importe]]-Tabla1[[#This Row],[Pagado]]</f>
        <v>0</v>
      </c>
      <c r="H2822" s="9" t="s">
        <v>10</v>
      </c>
    </row>
    <row r="2823" spans="1:8" x14ac:dyDescent="0.25">
      <c r="A2823" s="7">
        <v>44589</v>
      </c>
      <c r="B2823" s="8" t="s">
        <v>3212</v>
      </c>
      <c r="C2823" s="9" t="s">
        <v>135</v>
      </c>
      <c r="D2823" s="10">
        <v>975.1</v>
      </c>
      <c r="E2823" s="11">
        <v>44589</v>
      </c>
      <c r="F2823" s="10">
        <v>975.1</v>
      </c>
      <c r="G2823" s="12">
        <f>Tabla1[[#This Row],[Importe]]-Tabla1[[#This Row],[Pagado]]</f>
        <v>0</v>
      </c>
      <c r="H2823" s="9" t="s">
        <v>10</v>
      </c>
    </row>
    <row r="2824" spans="1:8" x14ac:dyDescent="0.25">
      <c r="A2824" s="7">
        <v>44589</v>
      </c>
      <c r="B2824" s="8" t="s">
        <v>3213</v>
      </c>
      <c r="C2824" s="9" t="s">
        <v>179</v>
      </c>
      <c r="D2824" s="10">
        <v>850</v>
      </c>
      <c r="E2824" s="11">
        <v>44589</v>
      </c>
      <c r="F2824" s="10">
        <v>850</v>
      </c>
      <c r="G2824" s="12">
        <f>Tabla1[[#This Row],[Importe]]-Tabla1[[#This Row],[Pagado]]</f>
        <v>0</v>
      </c>
      <c r="H2824" s="9" t="s">
        <v>10</v>
      </c>
    </row>
    <row r="2825" spans="1:8" x14ac:dyDescent="0.25">
      <c r="A2825" s="7">
        <v>44589</v>
      </c>
      <c r="B2825" s="8" t="s">
        <v>3214</v>
      </c>
      <c r="C2825" s="9" t="s">
        <v>31</v>
      </c>
      <c r="D2825" s="10">
        <v>1298.5</v>
      </c>
      <c r="E2825" s="11">
        <v>44589</v>
      </c>
      <c r="F2825" s="10">
        <v>1298.5</v>
      </c>
      <c r="G2825" s="12">
        <f>Tabla1[[#This Row],[Importe]]-Tabla1[[#This Row],[Pagado]]</f>
        <v>0</v>
      </c>
      <c r="H2825" s="9" t="s">
        <v>10</v>
      </c>
    </row>
    <row r="2826" spans="1:8" x14ac:dyDescent="0.25">
      <c r="A2826" s="7">
        <v>44589</v>
      </c>
      <c r="B2826" s="8" t="s">
        <v>3215</v>
      </c>
      <c r="C2826" s="9" t="s">
        <v>29</v>
      </c>
      <c r="D2826" s="10">
        <v>5695</v>
      </c>
      <c r="E2826" s="11">
        <v>44589</v>
      </c>
      <c r="F2826" s="10">
        <v>5695</v>
      </c>
      <c r="G2826" s="12">
        <f>Tabla1[[#This Row],[Importe]]-Tabla1[[#This Row],[Pagado]]</f>
        <v>0</v>
      </c>
      <c r="H2826" s="9" t="s">
        <v>10</v>
      </c>
    </row>
    <row r="2827" spans="1:8" x14ac:dyDescent="0.25">
      <c r="A2827" s="7">
        <v>44589</v>
      </c>
      <c r="B2827" s="8" t="s">
        <v>3216</v>
      </c>
      <c r="C2827" s="9" t="s">
        <v>79</v>
      </c>
      <c r="D2827" s="10">
        <v>9295</v>
      </c>
      <c r="E2827" s="11">
        <v>44589</v>
      </c>
      <c r="F2827" s="10">
        <v>9295</v>
      </c>
      <c r="G2827" s="12">
        <f>Tabla1[[#This Row],[Importe]]-Tabla1[[#This Row],[Pagado]]</f>
        <v>0</v>
      </c>
      <c r="H2827" s="9" t="s">
        <v>10</v>
      </c>
    </row>
    <row r="2828" spans="1:8" x14ac:dyDescent="0.25">
      <c r="A2828" s="7">
        <v>44589</v>
      </c>
      <c r="B2828" s="8" t="s">
        <v>3217</v>
      </c>
      <c r="C2828" s="9" t="s">
        <v>79</v>
      </c>
      <c r="D2828" s="10">
        <v>5000</v>
      </c>
      <c r="E2828" s="11">
        <v>44589</v>
      </c>
      <c r="F2828" s="10">
        <v>5000</v>
      </c>
      <c r="G2828" s="12">
        <f>Tabla1[[#This Row],[Importe]]-Tabla1[[#This Row],[Pagado]]</f>
        <v>0</v>
      </c>
      <c r="H2828" s="9" t="s">
        <v>10</v>
      </c>
    </row>
    <row r="2829" spans="1:8" x14ac:dyDescent="0.25">
      <c r="A2829" s="7">
        <v>44589</v>
      </c>
      <c r="B2829" s="8" t="s">
        <v>3218</v>
      </c>
      <c r="C2829" s="9" t="s">
        <v>380</v>
      </c>
      <c r="D2829" s="10">
        <v>4073.2</v>
      </c>
      <c r="E2829" s="11">
        <v>44589</v>
      </c>
      <c r="F2829" s="10">
        <v>4073.2</v>
      </c>
      <c r="G2829" s="12">
        <f>Tabla1[[#This Row],[Importe]]-Tabla1[[#This Row],[Pagado]]</f>
        <v>0</v>
      </c>
      <c r="H2829" s="9" t="s">
        <v>10</v>
      </c>
    </row>
    <row r="2830" spans="1:8" x14ac:dyDescent="0.25">
      <c r="A2830" s="7">
        <v>44589</v>
      </c>
      <c r="B2830" s="8" t="s">
        <v>3219</v>
      </c>
      <c r="C2830" s="9" t="s">
        <v>157</v>
      </c>
      <c r="D2830" s="10">
        <v>1912.8</v>
      </c>
      <c r="E2830" s="11">
        <v>44589</v>
      </c>
      <c r="F2830" s="10">
        <v>1912.8</v>
      </c>
      <c r="G2830" s="12">
        <f>Tabla1[[#This Row],[Importe]]-Tabla1[[#This Row],[Pagado]]</f>
        <v>0</v>
      </c>
      <c r="H2830" s="9" t="s">
        <v>10</v>
      </c>
    </row>
    <row r="2831" spans="1:8" x14ac:dyDescent="0.25">
      <c r="A2831" s="7">
        <v>44589</v>
      </c>
      <c r="B2831" s="8" t="s">
        <v>3220</v>
      </c>
      <c r="C2831" s="9" t="s">
        <v>525</v>
      </c>
      <c r="D2831" s="10">
        <v>2845.4</v>
      </c>
      <c r="E2831" s="11">
        <v>44589</v>
      </c>
      <c r="F2831" s="10">
        <v>2845.4</v>
      </c>
      <c r="G2831" s="12">
        <f>Tabla1[[#This Row],[Importe]]-Tabla1[[#This Row],[Pagado]]</f>
        <v>0</v>
      </c>
      <c r="H2831" s="9" t="s">
        <v>10</v>
      </c>
    </row>
    <row r="2832" spans="1:8" x14ac:dyDescent="0.25">
      <c r="A2832" s="7">
        <v>44589</v>
      </c>
      <c r="B2832" s="8" t="s">
        <v>3221</v>
      </c>
      <c r="C2832" s="9" t="s">
        <v>520</v>
      </c>
      <c r="D2832" s="10">
        <v>2213.4</v>
      </c>
      <c r="E2832" s="11">
        <v>44589</v>
      </c>
      <c r="F2832" s="10">
        <v>2213.4</v>
      </c>
      <c r="G2832" s="12">
        <f>Tabla1[[#This Row],[Importe]]-Tabla1[[#This Row],[Pagado]]</f>
        <v>0</v>
      </c>
      <c r="H2832" s="9" t="s">
        <v>10</v>
      </c>
    </row>
    <row r="2833" spans="1:8" x14ac:dyDescent="0.25">
      <c r="A2833" s="7">
        <v>44589</v>
      </c>
      <c r="B2833" s="8" t="s">
        <v>3222</v>
      </c>
      <c r="C2833" s="9" t="s">
        <v>159</v>
      </c>
      <c r="D2833" s="10">
        <v>1723.8</v>
      </c>
      <c r="E2833" s="11">
        <v>44589</v>
      </c>
      <c r="F2833" s="10">
        <v>1723.8</v>
      </c>
      <c r="G2833" s="12">
        <f>Tabla1[[#This Row],[Importe]]-Tabla1[[#This Row],[Pagado]]</f>
        <v>0</v>
      </c>
      <c r="H2833" s="9" t="s">
        <v>10</v>
      </c>
    </row>
    <row r="2834" spans="1:8" x14ac:dyDescent="0.25">
      <c r="A2834" s="7">
        <v>44589</v>
      </c>
      <c r="B2834" s="8" t="s">
        <v>3223</v>
      </c>
      <c r="C2834" s="9" t="s">
        <v>183</v>
      </c>
      <c r="D2834" s="10">
        <v>1579.92</v>
      </c>
      <c r="E2834" s="11">
        <v>44589</v>
      </c>
      <c r="F2834" s="10">
        <v>1579.92</v>
      </c>
      <c r="G2834" s="12">
        <f>Tabla1[[#This Row],[Importe]]-Tabla1[[#This Row],[Pagado]]</f>
        <v>0</v>
      </c>
      <c r="H2834" s="9" t="s">
        <v>10</v>
      </c>
    </row>
    <row r="2835" spans="1:8" x14ac:dyDescent="0.25">
      <c r="A2835" s="7">
        <v>44589</v>
      </c>
      <c r="B2835" s="8" t="s">
        <v>3224</v>
      </c>
      <c r="C2835" s="9" t="s">
        <v>35</v>
      </c>
      <c r="D2835" s="10">
        <v>2373</v>
      </c>
      <c r="E2835" s="11">
        <v>44589</v>
      </c>
      <c r="F2835" s="10">
        <v>2373</v>
      </c>
      <c r="G2835" s="12">
        <f>Tabla1[[#This Row],[Importe]]-Tabla1[[#This Row],[Pagado]]</f>
        <v>0</v>
      </c>
      <c r="H2835" s="9" t="s">
        <v>10</v>
      </c>
    </row>
    <row r="2836" spans="1:8" x14ac:dyDescent="0.25">
      <c r="A2836" s="7">
        <v>44589</v>
      </c>
      <c r="B2836" s="8" t="s">
        <v>3225</v>
      </c>
      <c r="C2836" s="9" t="s">
        <v>56</v>
      </c>
      <c r="D2836" s="10">
        <v>5193.6000000000004</v>
      </c>
      <c r="E2836" s="11">
        <v>44589</v>
      </c>
      <c r="F2836" s="10">
        <v>5193.6000000000004</v>
      </c>
      <c r="G2836" s="12">
        <f>Tabla1[[#This Row],[Importe]]-Tabla1[[#This Row],[Pagado]]</f>
        <v>0</v>
      </c>
      <c r="H2836" s="9" t="s">
        <v>10</v>
      </c>
    </row>
    <row r="2837" spans="1:8" x14ac:dyDescent="0.25">
      <c r="A2837" s="7">
        <v>44589</v>
      </c>
      <c r="B2837" s="8" t="s">
        <v>3226</v>
      </c>
      <c r="C2837" s="9" t="s">
        <v>27</v>
      </c>
      <c r="D2837" s="10">
        <v>2648.8</v>
      </c>
      <c r="E2837" s="11">
        <v>44589</v>
      </c>
      <c r="F2837" s="10">
        <v>2648.8</v>
      </c>
      <c r="G2837" s="12">
        <f>Tabla1[[#This Row],[Importe]]-Tabla1[[#This Row],[Pagado]]</f>
        <v>0</v>
      </c>
      <c r="H2837" s="9" t="s">
        <v>10</v>
      </c>
    </row>
    <row r="2838" spans="1:8" x14ac:dyDescent="0.25">
      <c r="A2838" s="7">
        <v>44589</v>
      </c>
      <c r="B2838" s="8" t="s">
        <v>3227</v>
      </c>
      <c r="C2838" s="9" t="s">
        <v>357</v>
      </c>
      <c r="D2838" s="10">
        <v>1053.5999999999999</v>
      </c>
      <c r="E2838" s="11">
        <v>44589</v>
      </c>
      <c r="F2838" s="10">
        <v>1053.5999999999999</v>
      </c>
      <c r="G2838" s="12">
        <f>Tabla1[[#This Row],[Importe]]-Tabla1[[#This Row],[Pagado]]</f>
        <v>0</v>
      </c>
      <c r="H2838" s="9" t="s">
        <v>10</v>
      </c>
    </row>
    <row r="2839" spans="1:8" x14ac:dyDescent="0.25">
      <c r="A2839" s="7">
        <v>44589</v>
      </c>
      <c r="B2839" s="8" t="s">
        <v>3228</v>
      </c>
      <c r="C2839" s="9" t="s">
        <v>31</v>
      </c>
      <c r="D2839" s="10">
        <v>1094.0999999999999</v>
      </c>
      <c r="E2839" s="11">
        <v>44589</v>
      </c>
      <c r="F2839" s="10">
        <v>1094.0999999999999</v>
      </c>
      <c r="G2839" s="12">
        <f>Tabla1[[#This Row],[Importe]]-Tabla1[[#This Row],[Pagado]]</f>
        <v>0</v>
      </c>
      <c r="H2839" s="9" t="s">
        <v>10</v>
      </c>
    </row>
    <row r="2840" spans="1:8" x14ac:dyDescent="0.25">
      <c r="A2840" s="7">
        <v>44589</v>
      </c>
      <c r="B2840" s="8" t="s">
        <v>3229</v>
      </c>
      <c r="C2840" s="9" t="s">
        <v>31</v>
      </c>
      <c r="D2840" s="10">
        <v>243.2</v>
      </c>
      <c r="E2840" s="11">
        <v>44589</v>
      </c>
      <c r="F2840" s="10">
        <v>243.2</v>
      </c>
      <c r="G2840" s="12">
        <f>Tabla1[[#This Row],[Importe]]-Tabla1[[#This Row],[Pagado]]</f>
        <v>0</v>
      </c>
      <c r="H2840" s="9" t="s">
        <v>10</v>
      </c>
    </row>
    <row r="2841" spans="1:8" x14ac:dyDescent="0.25">
      <c r="A2841" s="7">
        <v>44589</v>
      </c>
      <c r="B2841" s="8" t="s">
        <v>3230</v>
      </c>
      <c r="C2841" s="9" t="s">
        <v>448</v>
      </c>
      <c r="D2841" s="10">
        <v>16656.8</v>
      </c>
      <c r="E2841" s="11">
        <v>44589</v>
      </c>
      <c r="F2841" s="10">
        <v>16656.8</v>
      </c>
      <c r="G2841" s="12">
        <f>Tabla1[[#This Row],[Importe]]-Tabla1[[#This Row],[Pagado]]</f>
        <v>0</v>
      </c>
      <c r="H2841" s="9" t="s">
        <v>10</v>
      </c>
    </row>
    <row r="2842" spans="1:8" x14ac:dyDescent="0.25">
      <c r="A2842" s="7">
        <v>44589</v>
      </c>
      <c r="B2842" s="8" t="s">
        <v>3231</v>
      </c>
      <c r="C2842" s="9" t="s">
        <v>127</v>
      </c>
      <c r="D2842" s="10">
        <v>4043</v>
      </c>
      <c r="E2842" s="11">
        <v>44589</v>
      </c>
      <c r="F2842" s="10">
        <v>4043</v>
      </c>
      <c r="G2842" s="12">
        <f>Tabla1[[#This Row],[Importe]]-Tabla1[[#This Row],[Pagado]]</f>
        <v>0</v>
      </c>
      <c r="H2842" s="9" t="s">
        <v>10</v>
      </c>
    </row>
    <row r="2843" spans="1:8" x14ac:dyDescent="0.25">
      <c r="A2843" s="7">
        <v>44589</v>
      </c>
      <c r="B2843" s="8" t="s">
        <v>3232</v>
      </c>
      <c r="C2843" s="9" t="s">
        <v>129</v>
      </c>
      <c r="D2843" s="10">
        <v>3721</v>
      </c>
      <c r="E2843" s="11">
        <v>44589</v>
      </c>
      <c r="F2843" s="10">
        <v>3721</v>
      </c>
      <c r="G2843" s="12">
        <f>Tabla1[[#This Row],[Importe]]-Tabla1[[#This Row],[Pagado]]</f>
        <v>0</v>
      </c>
      <c r="H2843" s="9" t="s">
        <v>10</v>
      </c>
    </row>
    <row r="2844" spans="1:8" x14ac:dyDescent="0.25">
      <c r="A2844" s="7">
        <v>44589</v>
      </c>
      <c r="B2844" s="8" t="s">
        <v>3233</v>
      </c>
      <c r="C2844" s="9" t="s">
        <v>45</v>
      </c>
      <c r="D2844" s="10">
        <v>10617.4</v>
      </c>
      <c r="E2844" s="11">
        <v>44589</v>
      </c>
      <c r="F2844" s="10">
        <v>10617.4</v>
      </c>
      <c r="G2844" s="12">
        <f>Tabla1[[#This Row],[Importe]]-Tabla1[[#This Row],[Pagado]]</f>
        <v>0</v>
      </c>
      <c r="H2844" s="9" t="s">
        <v>10</v>
      </c>
    </row>
    <row r="2845" spans="1:8" x14ac:dyDescent="0.25">
      <c r="A2845" s="7">
        <v>44589</v>
      </c>
      <c r="B2845" s="8" t="s">
        <v>3234</v>
      </c>
      <c r="C2845" s="9" t="s">
        <v>224</v>
      </c>
      <c r="D2845" s="10">
        <v>11283.6</v>
      </c>
      <c r="E2845" s="11">
        <v>44596</v>
      </c>
      <c r="F2845" s="10">
        <v>11283.6</v>
      </c>
      <c r="G2845" s="12">
        <f>Tabla1[[#This Row],[Importe]]-Tabla1[[#This Row],[Pagado]]</f>
        <v>0</v>
      </c>
      <c r="H2845" s="9" t="s">
        <v>10</v>
      </c>
    </row>
    <row r="2846" spans="1:8" x14ac:dyDescent="0.25">
      <c r="A2846" s="7">
        <v>44589</v>
      </c>
      <c r="B2846" s="8" t="s">
        <v>3235</v>
      </c>
      <c r="C2846" s="9" t="s">
        <v>520</v>
      </c>
      <c r="D2846" s="10">
        <v>375</v>
      </c>
      <c r="E2846" s="11">
        <v>44589</v>
      </c>
      <c r="F2846" s="10">
        <v>375</v>
      </c>
      <c r="G2846" s="12">
        <f>Tabla1[[#This Row],[Importe]]-Tabla1[[#This Row],[Pagado]]</f>
        <v>0</v>
      </c>
      <c r="H2846" s="9" t="s">
        <v>10</v>
      </c>
    </row>
    <row r="2847" spans="1:8" x14ac:dyDescent="0.25">
      <c r="A2847" s="7">
        <v>44589</v>
      </c>
      <c r="B2847" s="8" t="s">
        <v>3236</v>
      </c>
      <c r="C2847" s="9" t="s">
        <v>146</v>
      </c>
      <c r="D2847" s="10">
        <v>2726.4</v>
      </c>
      <c r="E2847" s="11">
        <v>44589</v>
      </c>
      <c r="F2847" s="10">
        <v>2726.4</v>
      </c>
      <c r="G2847" s="12">
        <f>Tabla1[[#This Row],[Importe]]-Tabla1[[#This Row],[Pagado]]</f>
        <v>0</v>
      </c>
      <c r="H2847" s="9" t="s">
        <v>10</v>
      </c>
    </row>
    <row r="2848" spans="1:8" x14ac:dyDescent="0.25">
      <c r="A2848" s="7">
        <v>44589</v>
      </c>
      <c r="B2848" s="8" t="s">
        <v>3237</v>
      </c>
      <c r="C2848" s="9" t="s">
        <v>380</v>
      </c>
      <c r="D2848" s="10">
        <v>374.5</v>
      </c>
      <c r="E2848" s="11">
        <v>44589</v>
      </c>
      <c r="F2848" s="10">
        <v>374.5</v>
      </c>
      <c r="G2848" s="12">
        <f>Tabla1[[#This Row],[Importe]]-Tabla1[[#This Row],[Pagado]]</f>
        <v>0</v>
      </c>
      <c r="H2848" s="9" t="s">
        <v>10</v>
      </c>
    </row>
    <row r="2849" spans="1:8" x14ac:dyDescent="0.25">
      <c r="A2849" s="7">
        <v>44589</v>
      </c>
      <c r="B2849" s="8" t="s">
        <v>3238</v>
      </c>
      <c r="C2849" s="9" t="s">
        <v>183</v>
      </c>
      <c r="D2849" s="10">
        <v>1019.2</v>
      </c>
      <c r="E2849" s="11">
        <v>44589</v>
      </c>
      <c r="F2849" s="10">
        <v>1019.2</v>
      </c>
      <c r="G2849" s="12">
        <f>Tabla1[[#This Row],[Importe]]-Tabla1[[#This Row],[Pagado]]</f>
        <v>0</v>
      </c>
      <c r="H2849" s="9" t="s">
        <v>10</v>
      </c>
    </row>
    <row r="2850" spans="1:8" x14ac:dyDescent="0.25">
      <c r="A2850" s="7">
        <v>44589</v>
      </c>
      <c r="B2850" s="8" t="s">
        <v>3239</v>
      </c>
      <c r="C2850" s="9" t="s">
        <v>37</v>
      </c>
      <c r="D2850" s="10">
        <v>3416</v>
      </c>
      <c r="E2850" s="11">
        <v>44589</v>
      </c>
      <c r="F2850" s="10">
        <v>3416</v>
      </c>
      <c r="G2850" s="12">
        <f>Tabla1[[#This Row],[Importe]]-Tabla1[[#This Row],[Pagado]]</f>
        <v>0</v>
      </c>
      <c r="H2850" s="9" t="s">
        <v>10</v>
      </c>
    </row>
    <row r="2851" spans="1:8" x14ac:dyDescent="0.25">
      <c r="A2851" s="7">
        <v>44589</v>
      </c>
      <c r="B2851" s="8" t="s">
        <v>3240</v>
      </c>
      <c r="C2851" s="9" t="s">
        <v>373</v>
      </c>
      <c r="D2851" s="10">
        <v>1667.8</v>
      </c>
      <c r="E2851" s="11">
        <v>44589</v>
      </c>
      <c r="F2851" s="10">
        <v>1667.8</v>
      </c>
      <c r="G2851" s="12">
        <f>Tabla1[[#This Row],[Importe]]-Tabla1[[#This Row],[Pagado]]</f>
        <v>0</v>
      </c>
      <c r="H2851" s="9" t="s">
        <v>10</v>
      </c>
    </row>
    <row r="2852" spans="1:8" x14ac:dyDescent="0.25">
      <c r="A2852" s="7">
        <v>44589</v>
      </c>
      <c r="B2852" s="8" t="s">
        <v>3241</v>
      </c>
      <c r="C2852" s="9" t="s">
        <v>2114</v>
      </c>
      <c r="D2852" s="10">
        <v>1312</v>
      </c>
      <c r="E2852" s="11">
        <v>44589</v>
      </c>
      <c r="F2852" s="10">
        <v>1312</v>
      </c>
      <c r="G2852" s="12">
        <f>Tabla1[[#This Row],[Importe]]-Tabla1[[#This Row],[Pagado]]</f>
        <v>0</v>
      </c>
      <c r="H2852" s="9" t="s">
        <v>10</v>
      </c>
    </row>
    <row r="2853" spans="1:8" x14ac:dyDescent="0.25">
      <c r="A2853" s="7">
        <v>44589</v>
      </c>
      <c r="B2853" s="8" t="s">
        <v>3242</v>
      </c>
      <c r="C2853" s="9" t="s">
        <v>2114</v>
      </c>
      <c r="D2853" s="10">
        <v>397.6</v>
      </c>
      <c r="E2853" s="11">
        <v>44589</v>
      </c>
      <c r="F2853" s="10">
        <v>397.6</v>
      </c>
      <c r="G2853" s="12">
        <f>Tabla1[[#This Row],[Importe]]-Tabla1[[#This Row],[Pagado]]</f>
        <v>0</v>
      </c>
      <c r="H2853" s="9" t="s">
        <v>10</v>
      </c>
    </row>
    <row r="2854" spans="1:8" x14ac:dyDescent="0.25">
      <c r="A2854" s="7">
        <v>44589</v>
      </c>
      <c r="B2854" s="8" t="s">
        <v>3243</v>
      </c>
      <c r="C2854" s="9" t="s">
        <v>151</v>
      </c>
      <c r="D2854" s="10">
        <v>6895.2</v>
      </c>
      <c r="E2854" s="11">
        <v>44589</v>
      </c>
      <c r="F2854" s="10">
        <v>6895.2</v>
      </c>
      <c r="G2854" s="12">
        <f>Tabla1[[#This Row],[Importe]]-Tabla1[[#This Row],[Pagado]]</f>
        <v>0</v>
      </c>
      <c r="H2854" s="9" t="s">
        <v>10</v>
      </c>
    </row>
    <row r="2855" spans="1:8" x14ac:dyDescent="0.25">
      <c r="A2855" s="7">
        <v>44589</v>
      </c>
      <c r="B2855" s="8" t="s">
        <v>3244</v>
      </c>
      <c r="C2855" s="9" t="s">
        <v>191</v>
      </c>
      <c r="D2855" s="10">
        <v>3203.8</v>
      </c>
      <c r="E2855" s="11">
        <v>44589</v>
      </c>
      <c r="F2855" s="10">
        <v>3203.8</v>
      </c>
      <c r="G2855" s="12">
        <f>Tabla1[[#This Row],[Importe]]-Tabla1[[#This Row],[Pagado]]</f>
        <v>0</v>
      </c>
      <c r="H2855" s="9" t="s">
        <v>10</v>
      </c>
    </row>
    <row r="2856" spans="1:8" x14ac:dyDescent="0.25">
      <c r="A2856" s="7">
        <v>44589</v>
      </c>
      <c r="B2856" s="8" t="s">
        <v>3245</v>
      </c>
      <c r="C2856" s="9" t="s">
        <v>24</v>
      </c>
      <c r="D2856" s="10">
        <v>3528</v>
      </c>
      <c r="E2856" s="11">
        <v>44589</v>
      </c>
      <c r="F2856" s="10">
        <v>3528</v>
      </c>
      <c r="G2856" s="12">
        <f>Tabla1[[#This Row],[Importe]]-Tabla1[[#This Row],[Pagado]]</f>
        <v>0</v>
      </c>
      <c r="H2856" s="9" t="s">
        <v>10</v>
      </c>
    </row>
    <row r="2857" spans="1:8" x14ac:dyDescent="0.25">
      <c r="A2857" s="7">
        <v>44589</v>
      </c>
      <c r="B2857" s="8" t="s">
        <v>3246</v>
      </c>
      <c r="C2857" s="9" t="s">
        <v>555</v>
      </c>
      <c r="D2857" s="10">
        <v>26656.400000000001</v>
      </c>
      <c r="E2857" s="11">
        <v>44589</v>
      </c>
      <c r="F2857" s="10">
        <v>26656.400000000001</v>
      </c>
      <c r="G2857" s="12">
        <f>Tabla1[[#This Row],[Importe]]-Tabla1[[#This Row],[Pagado]]</f>
        <v>0</v>
      </c>
      <c r="H2857" s="9" t="s">
        <v>10</v>
      </c>
    </row>
    <row r="2858" spans="1:8" x14ac:dyDescent="0.25">
      <c r="A2858" s="7">
        <v>44589</v>
      </c>
      <c r="B2858" s="8" t="s">
        <v>3247</v>
      </c>
      <c r="C2858" s="9" t="s">
        <v>24</v>
      </c>
      <c r="D2858" s="10">
        <v>504.4</v>
      </c>
      <c r="E2858" s="11">
        <v>44589</v>
      </c>
      <c r="F2858" s="10">
        <v>504.4</v>
      </c>
      <c r="G2858" s="12">
        <f>Tabla1[[#This Row],[Importe]]-Tabla1[[#This Row],[Pagado]]</f>
        <v>0</v>
      </c>
      <c r="H2858" s="9" t="s">
        <v>10</v>
      </c>
    </row>
    <row r="2859" spans="1:8" x14ac:dyDescent="0.25">
      <c r="A2859" s="7">
        <v>44589</v>
      </c>
      <c r="B2859" s="8" t="s">
        <v>3248</v>
      </c>
      <c r="C2859" s="9" t="s">
        <v>392</v>
      </c>
      <c r="D2859" s="10">
        <v>10880</v>
      </c>
      <c r="E2859" s="11">
        <v>44600</v>
      </c>
      <c r="F2859" s="10">
        <v>10880</v>
      </c>
      <c r="G2859" s="12">
        <f>Tabla1[[#This Row],[Importe]]-Tabla1[[#This Row],[Pagado]]</f>
        <v>0</v>
      </c>
      <c r="H2859" s="9" t="s">
        <v>10</v>
      </c>
    </row>
    <row r="2860" spans="1:8" x14ac:dyDescent="0.25">
      <c r="A2860" s="7">
        <v>44589</v>
      </c>
      <c r="B2860" s="8" t="s">
        <v>3249</v>
      </c>
      <c r="C2860" s="9" t="s">
        <v>142</v>
      </c>
      <c r="D2860" s="10">
        <v>38574.800000000003</v>
      </c>
      <c r="E2860" s="11">
        <v>44617</v>
      </c>
      <c r="F2860" s="10">
        <v>38574.800000000003</v>
      </c>
      <c r="G2860" s="12">
        <f>Tabla1[[#This Row],[Importe]]-Tabla1[[#This Row],[Pagado]]</f>
        <v>0</v>
      </c>
      <c r="H2860" s="9" t="s">
        <v>10</v>
      </c>
    </row>
    <row r="2861" spans="1:8" x14ac:dyDescent="0.25">
      <c r="A2861" s="7">
        <v>44589</v>
      </c>
      <c r="B2861" s="8" t="s">
        <v>3250</v>
      </c>
      <c r="C2861" s="9" t="s">
        <v>62</v>
      </c>
      <c r="D2861" s="10">
        <v>3577.6</v>
      </c>
      <c r="E2861" s="11">
        <v>44589</v>
      </c>
      <c r="F2861" s="10">
        <v>3577.6</v>
      </c>
      <c r="G2861" s="12">
        <f>Tabla1[[#This Row],[Importe]]-Tabla1[[#This Row],[Pagado]]</f>
        <v>0</v>
      </c>
      <c r="H2861" s="9" t="s">
        <v>10</v>
      </c>
    </row>
    <row r="2862" spans="1:8" x14ac:dyDescent="0.25">
      <c r="A2862" s="7">
        <v>44589</v>
      </c>
      <c r="B2862" s="8" t="s">
        <v>3251</v>
      </c>
      <c r="C2862" s="9" t="s">
        <v>31</v>
      </c>
      <c r="D2862" s="10">
        <v>472.5</v>
      </c>
      <c r="E2862" s="11">
        <v>44589</v>
      </c>
      <c r="F2862" s="10">
        <v>472.5</v>
      </c>
      <c r="G2862" s="12">
        <f>Tabla1[[#This Row],[Importe]]-Tabla1[[#This Row],[Pagado]]</f>
        <v>0</v>
      </c>
      <c r="H2862" s="9" t="s">
        <v>10</v>
      </c>
    </row>
    <row r="2863" spans="1:8" x14ac:dyDescent="0.25">
      <c r="A2863" s="7">
        <v>44589</v>
      </c>
      <c r="B2863" s="8" t="s">
        <v>3252</v>
      </c>
      <c r="C2863" s="9" t="s">
        <v>419</v>
      </c>
      <c r="D2863" s="10">
        <v>7182.5</v>
      </c>
      <c r="E2863" s="11">
        <v>44589</v>
      </c>
      <c r="F2863" s="10">
        <v>7182.5</v>
      </c>
      <c r="G2863" s="12">
        <f>Tabla1[[#This Row],[Importe]]-Tabla1[[#This Row],[Pagado]]</f>
        <v>0</v>
      </c>
      <c r="H2863" s="9" t="s">
        <v>10</v>
      </c>
    </row>
    <row r="2864" spans="1:8" x14ac:dyDescent="0.25">
      <c r="A2864" s="7">
        <v>44589</v>
      </c>
      <c r="B2864" s="8" t="s">
        <v>3253</v>
      </c>
      <c r="C2864" s="9" t="s">
        <v>419</v>
      </c>
      <c r="D2864" s="10">
        <v>1564</v>
      </c>
      <c r="E2864" s="11">
        <v>44589</v>
      </c>
      <c r="F2864" s="10">
        <v>1564</v>
      </c>
      <c r="G2864" s="12">
        <f>Tabla1[[#This Row],[Importe]]-Tabla1[[#This Row],[Pagado]]</f>
        <v>0</v>
      </c>
      <c r="H2864" s="9" t="s">
        <v>10</v>
      </c>
    </row>
    <row r="2865" spans="1:8" x14ac:dyDescent="0.25">
      <c r="A2865" s="7">
        <v>44589</v>
      </c>
      <c r="B2865" s="8" t="s">
        <v>3254</v>
      </c>
      <c r="C2865" s="9" t="s">
        <v>670</v>
      </c>
      <c r="D2865" s="10">
        <v>3906</v>
      </c>
      <c r="E2865" s="11">
        <v>44589</v>
      </c>
      <c r="F2865" s="10">
        <v>3906</v>
      </c>
      <c r="G2865" s="12">
        <f>Tabla1[[#This Row],[Importe]]-Tabla1[[#This Row],[Pagado]]</f>
        <v>0</v>
      </c>
      <c r="H2865" s="9" t="s">
        <v>10</v>
      </c>
    </row>
    <row r="2866" spans="1:8" x14ac:dyDescent="0.25">
      <c r="A2866" s="7">
        <v>44589</v>
      </c>
      <c r="B2866" s="8" t="s">
        <v>3255</v>
      </c>
      <c r="C2866" s="9" t="s">
        <v>237</v>
      </c>
      <c r="D2866" s="10">
        <v>2503.1</v>
      </c>
      <c r="E2866" s="11">
        <v>44589</v>
      </c>
      <c r="F2866" s="10">
        <v>2503.1</v>
      </c>
      <c r="G2866" s="12">
        <f>Tabla1[[#This Row],[Importe]]-Tabla1[[#This Row],[Pagado]]</f>
        <v>0</v>
      </c>
      <c r="H2866" s="9" t="s">
        <v>10</v>
      </c>
    </row>
    <row r="2867" spans="1:8" x14ac:dyDescent="0.25">
      <c r="A2867" s="7">
        <v>44589</v>
      </c>
      <c r="B2867" s="8" t="s">
        <v>3256</v>
      </c>
      <c r="C2867" s="9" t="s">
        <v>1064</v>
      </c>
      <c r="D2867" s="10">
        <v>1068.5999999999999</v>
      </c>
      <c r="E2867" s="11">
        <v>44589</v>
      </c>
      <c r="F2867" s="10">
        <v>1068.5999999999999</v>
      </c>
      <c r="G2867" s="12">
        <f>Tabla1[[#This Row],[Importe]]-Tabla1[[#This Row],[Pagado]]</f>
        <v>0</v>
      </c>
      <c r="H2867" s="9" t="s">
        <v>10</v>
      </c>
    </row>
    <row r="2868" spans="1:8" x14ac:dyDescent="0.25">
      <c r="A2868" s="7">
        <v>44589</v>
      </c>
      <c r="B2868" s="8" t="s">
        <v>3257</v>
      </c>
      <c r="C2868" s="9" t="s">
        <v>216</v>
      </c>
      <c r="D2868" s="10">
        <v>1330</v>
      </c>
      <c r="E2868" s="11">
        <v>44589</v>
      </c>
      <c r="F2868" s="10">
        <v>1330</v>
      </c>
      <c r="G2868" s="12">
        <f>Tabla1[[#This Row],[Importe]]-Tabla1[[#This Row],[Pagado]]</f>
        <v>0</v>
      </c>
      <c r="H2868" s="9" t="s">
        <v>10</v>
      </c>
    </row>
    <row r="2869" spans="1:8" x14ac:dyDescent="0.25">
      <c r="A2869" s="7">
        <v>44589</v>
      </c>
      <c r="B2869" s="8" t="s">
        <v>3258</v>
      </c>
      <c r="C2869" s="9" t="s">
        <v>592</v>
      </c>
      <c r="D2869" s="10">
        <v>29648</v>
      </c>
      <c r="E2869" s="11">
        <v>44597</v>
      </c>
      <c r="F2869" s="10">
        <v>29648</v>
      </c>
      <c r="G2869" s="12">
        <f>Tabla1[[#This Row],[Importe]]-Tabla1[[#This Row],[Pagado]]</f>
        <v>0</v>
      </c>
      <c r="H2869" s="9" t="s">
        <v>10</v>
      </c>
    </row>
    <row r="2870" spans="1:8" x14ac:dyDescent="0.25">
      <c r="A2870" s="7">
        <v>44589</v>
      </c>
      <c r="B2870" s="8" t="s">
        <v>3259</v>
      </c>
      <c r="C2870" s="9" t="s">
        <v>1630</v>
      </c>
      <c r="D2870" s="10">
        <v>4886.3999999999996</v>
      </c>
      <c r="E2870" s="11">
        <v>44590</v>
      </c>
      <c r="F2870" s="10">
        <v>4886.3999999999996</v>
      </c>
      <c r="G2870" s="12">
        <f>Tabla1[[#This Row],[Importe]]-Tabla1[[#This Row],[Pagado]]</f>
        <v>0</v>
      </c>
      <c r="H2870" s="9" t="s">
        <v>10</v>
      </c>
    </row>
    <row r="2871" spans="1:8" x14ac:dyDescent="0.25">
      <c r="A2871" s="7">
        <v>44589</v>
      </c>
      <c r="B2871" s="8" t="s">
        <v>3260</v>
      </c>
      <c r="C2871" s="9" t="s">
        <v>31</v>
      </c>
      <c r="D2871" s="10">
        <v>4125.8</v>
      </c>
      <c r="E2871" s="11">
        <v>44590</v>
      </c>
      <c r="F2871" s="10">
        <v>4125.8</v>
      </c>
      <c r="G2871" s="12">
        <f>Tabla1[[#This Row],[Importe]]-Tabla1[[#This Row],[Pagado]]</f>
        <v>0</v>
      </c>
      <c r="H2871" s="9" t="s">
        <v>10</v>
      </c>
    </row>
    <row r="2872" spans="1:8" x14ac:dyDescent="0.25">
      <c r="A2872" s="7">
        <v>44589</v>
      </c>
      <c r="B2872" s="8" t="s">
        <v>3261</v>
      </c>
      <c r="C2872" s="9" t="s">
        <v>541</v>
      </c>
      <c r="D2872" s="10">
        <v>12120</v>
      </c>
      <c r="E2872" s="11">
        <v>44590</v>
      </c>
      <c r="F2872" s="10">
        <v>12120</v>
      </c>
      <c r="G2872" s="12">
        <f>Tabla1[[#This Row],[Importe]]-Tabla1[[#This Row],[Pagado]]</f>
        <v>0</v>
      </c>
      <c r="H2872" s="9" t="s">
        <v>10</v>
      </c>
    </row>
    <row r="2873" spans="1:8" x14ac:dyDescent="0.25">
      <c r="A2873" s="7">
        <v>44589</v>
      </c>
      <c r="B2873" s="8" t="s">
        <v>3262</v>
      </c>
      <c r="C2873" s="9" t="s">
        <v>414</v>
      </c>
      <c r="D2873" s="10">
        <v>3318.4</v>
      </c>
      <c r="E2873" s="11">
        <v>44589</v>
      </c>
      <c r="F2873" s="10">
        <v>3318.4</v>
      </c>
      <c r="G2873" s="12">
        <f>Tabla1[[#This Row],[Importe]]-Tabla1[[#This Row],[Pagado]]</f>
        <v>0</v>
      </c>
      <c r="H2873" s="9" t="s">
        <v>10</v>
      </c>
    </row>
    <row r="2874" spans="1:8" x14ac:dyDescent="0.25">
      <c r="A2874" s="7">
        <v>44589</v>
      </c>
      <c r="B2874" s="8" t="s">
        <v>3263</v>
      </c>
      <c r="C2874" s="9" t="s">
        <v>414</v>
      </c>
      <c r="D2874" s="10">
        <v>92.08</v>
      </c>
      <c r="E2874" s="11">
        <v>44601</v>
      </c>
      <c r="F2874" s="10">
        <v>92.08</v>
      </c>
      <c r="G2874" s="12">
        <f>Tabla1[[#This Row],[Importe]]-Tabla1[[#This Row],[Pagado]]</f>
        <v>0</v>
      </c>
      <c r="H2874" s="9" t="s">
        <v>10</v>
      </c>
    </row>
    <row r="2875" spans="1:8" x14ac:dyDescent="0.25">
      <c r="A2875" s="7">
        <v>44589</v>
      </c>
      <c r="B2875" s="8" t="s">
        <v>3264</v>
      </c>
      <c r="C2875" s="9" t="s">
        <v>51</v>
      </c>
      <c r="D2875" s="10">
        <v>3273.6</v>
      </c>
      <c r="E2875" s="11">
        <v>44589</v>
      </c>
      <c r="F2875" s="10">
        <v>3273.6</v>
      </c>
      <c r="G2875" s="12">
        <f>Tabla1[[#This Row],[Importe]]-Tabla1[[#This Row],[Pagado]]</f>
        <v>0</v>
      </c>
      <c r="H2875" s="9" t="s">
        <v>10</v>
      </c>
    </row>
    <row r="2876" spans="1:8" x14ac:dyDescent="0.25">
      <c r="A2876" s="7">
        <v>44589</v>
      </c>
      <c r="B2876" s="8" t="s">
        <v>3265</v>
      </c>
      <c r="C2876" s="9" t="s">
        <v>1644</v>
      </c>
      <c r="D2876" s="10">
        <v>9187.2000000000007</v>
      </c>
      <c r="E2876" s="11">
        <v>44590</v>
      </c>
      <c r="F2876" s="10">
        <v>9187.2000000000007</v>
      </c>
      <c r="G2876" s="12">
        <f>Tabla1[[#This Row],[Importe]]-Tabla1[[#This Row],[Pagado]]</f>
        <v>0</v>
      </c>
      <c r="H2876" s="9" t="s">
        <v>10</v>
      </c>
    </row>
    <row r="2877" spans="1:8" x14ac:dyDescent="0.25">
      <c r="A2877" s="7">
        <v>44589</v>
      </c>
      <c r="B2877" s="8" t="s">
        <v>3266</v>
      </c>
      <c r="C2877" s="9" t="s">
        <v>244</v>
      </c>
      <c r="D2877" s="10">
        <v>12273.8</v>
      </c>
      <c r="E2877" s="11">
        <v>44589</v>
      </c>
      <c r="F2877" s="10">
        <v>12273.8</v>
      </c>
      <c r="G2877" s="12">
        <f>Tabla1[[#This Row],[Importe]]-Tabla1[[#This Row],[Pagado]]</f>
        <v>0</v>
      </c>
      <c r="H2877" s="9" t="s">
        <v>10</v>
      </c>
    </row>
    <row r="2878" spans="1:8" x14ac:dyDescent="0.25">
      <c r="A2878" s="7">
        <v>44589</v>
      </c>
      <c r="B2878" s="8" t="s">
        <v>3267</v>
      </c>
      <c r="C2878" s="9" t="s">
        <v>31</v>
      </c>
      <c r="D2878" s="10">
        <v>3232</v>
      </c>
      <c r="E2878" s="11">
        <v>44590</v>
      </c>
      <c r="F2878" s="10">
        <v>3232</v>
      </c>
      <c r="G2878" s="12">
        <f>Tabla1[[#This Row],[Importe]]-Tabla1[[#This Row],[Pagado]]</f>
        <v>0</v>
      </c>
      <c r="H2878" s="9" t="s">
        <v>10</v>
      </c>
    </row>
    <row r="2879" spans="1:8" x14ac:dyDescent="0.25">
      <c r="A2879" s="7">
        <v>44589</v>
      </c>
      <c r="B2879" s="8" t="s">
        <v>3268</v>
      </c>
      <c r="C2879" s="9" t="s">
        <v>1630</v>
      </c>
      <c r="D2879" s="10">
        <v>4166.3999999999996</v>
      </c>
      <c r="E2879" s="11">
        <v>44590</v>
      </c>
      <c r="F2879" s="10">
        <v>4166.3999999999996</v>
      </c>
      <c r="G2879" s="12">
        <f>Tabla1[[#This Row],[Importe]]-Tabla1[[#This Row],[Pagado]]</f>
        <v>0</v>
      </c>
      <c r="H2879" s="9" t="s">
        <v>10</v>
      </c>
    </row>
    <row r="2880" spans="1:8" x14ac:dyDescent="0.25">
      <c r="A2880" s="7">
        <v>44589</v>
      </c>
      <c r="B2880" s="8" t="s">
        <v>3269</v>
      </c>
      <c r="C2880" s="9" t="s">
        <v>67</v>
      </c>
      <c r="D2880" s="10">
        <v>10224.4</v>
      </c>
      <c r="E2880" s="11">
        <v>44586</v>
      </c>
      <c r="F2880" s="10">
        <v>10224.4</v>
      </c>
      <c r="G2880" s="12">
        <f>Tabla1[[#This Row],[Importe]]-Tabla1[[#This Row],[Pagado]]</f>
        <v>0</v>
      </c>
      <c r="H2880" s="9" t="s">
        <v>10</v>
      </c>
    </row>
    <row r="2881" spans="1:8" x14ac:dyDescent="0.25">
      <c r="A2881" s="7">
        <v>44589</v>
      </c>
      <c r="B2881" s="8" t="s">
        <v>3270</v>
      </c>
      <c r="C2881" s="9" t="s">
        <v>365</v>
      </c>
      <c r="D2881" s="10">
        <v>763.8</v>
      </c>
      <c r="E2881" s="11">
        <v>44589</v>
      </c>
      <c r="F2881" s="10">
        <v>763.8</v>
      </c>
      <c r="G2881" s="12">
        <f>Tabla1[[#This Row],[Importe]]-Tabla1[[#This Row],[Pagado]]</f>
        <v>0</v>
      </c>
      <c r="H2881" s="9" t="s">
        <v>10</v>
      </c>
    </row>
    <row r="2882" spans="1:8" x14ac:dyDescent="0.25">
      <c r="A2882" s="7">
        <v>44589</v>
      </c>
      <c r="B2882" s="8" t="s">
        <v>3271</v>
      </c>
      <c r="C2882" s="9" t="s">
        <v>31</v>
      </c>
      <c r="D2882" s="10">
        <v>4596.2</v>
      </c>
      <c r="E2882" s="11">
        <v>44592</v>
      </c>
      <c r="F2882" s="10">
        <v>4596.2</v>
      </c>
      <c r="G2882" s="12">
        <f>Tabla1[[#This Row],[Importe]]-Tabla1[[#This Row],[Pagado]]</f>
        <v>0</v>
      </c>
      <c r="H2882" s="9" t="s">
        <v>10</v>
      </c>
    </row>
    <row r="2883" spans="1:8" x14ac:dyDescent="0.25">
      <c r="A2883" s="7">
        <v>44589</v>
      </c>
      <c r="B2883" s="8" t="s">
        <v>3272</v>
      </c>
      <c r="C2883" s="9" t="s">
        <v>365</v>
      </c>
      <c r="D2883" s="10">
        <v>307.8</v>
      </c>
      <c r="E2883" s="11">
        <v>44595</v>
      </c>
      <c r="F2883" s="10">
        <v>307.8</v>
      </c>
      <c r="G2883" s="12">
        <f>Tabla1[[#This Row],[Importe]]-Tabla1[[#This Row],[Pagado]]</f>
        <v>0</v>
      </c>
      <c r="H2883" s="9" t="s">
        <v>10</v>
      </c>
    </row>
    <row r="2884" spans="1:8" x14ac:dyDescent="0.25">
      <c r="A2884" s="7">
        <v>44589</v>
      </c>
      <c r="B2884" s="8" t="s">
        <v>3273</v>
      </c>
      <c r="C2884" s="9" t="s">
        <v>56</v>
      </c>
      <c r="D2884" s="10">
        <v>4966.2</v>
      </c>
      <c r="E2884" s="11">
        <v>44598</v>
      </c>
      <c r="F2884" s="10">
        <v>4966.2</v>
      </c>
      <c r="G2884" s="12">
        <f>Tabla1[[#This Row],[Importe]]-Tabla1[[#This Row],[Pagado]]</f>
        <v>0</v>
      </c>
      <c r="H2884" s="9" t="s">
        <v>10</v>
      </c>
    </row>
    <row r="2885" spans="1:8" x14ac:dyDescent="0.25">
      <c r="A2885" s="7">
        <v>44589</v>
      </c>
      <c r="B2885" s="8" t="s">
        <v>3274</v>
      </c>
      <c r="C2885" s="9" t="s">
        <v>698</v>
      </c>
      <c r="D2885" s="10">
        <v>3437.6</v>
      </c>
      <c r="E2885" s="11">
        <v>44601</v>
      </c>
      <c r="F2885" s="10">
        <v>3437.6</v>
      </c>
      <c r="G2885" s="12">
        <f>Tabla1[[#This Row],[Importe]]-Tabla1[[#This Row],[Pagado]]</f>
        <v>0</v>
      </c>
      <c r="H2885" s="9" t="s">
        <v>10</v>
      </c>
    </row>
    <row r="2886" spans="1:8" x14ac:dyDescent="0.25">
      <c r="A2886" s="7">
        <v>44589</v>
      </c>
      <c r="B2886" s="8" t="s">
        <v>3275</v>
      </c>
      <c r="C2886" s="9" t="s">
        <v>133</v>
      </c>
      <c r="D2886" s="10">
        <v>14448</v>
      </c>
      <c r="E2886" s="11">
        <v>44611</v>
      </c>
      <c r="F2886" s="10">
        <v>14448</v>
      </c>
      <c r="G2886" s="12">
        <f>Tabla1[[#This Row],[Importe]]-Tabla1[[#This Row],[Pagado]]</f>
        <v>0</v>
      </c>
      <c r="H2886" s="9" t="s">
        <v>10</v>
      </c>
    </row>
    <row r="2887" spans="1:8" x14ac:dyDescent="0.25">
      <c r="A2887" s="7">
        <v>44589</v>
      </c>
      <c r="B2887" s="8" t="s">
        <v>3276</v>
      </c>
      <c r="C2887" s="9" t="s">
        <v>56</v>
      </c>
      <c r="D2887" s="10">
        <v>266</v>
      </c>
      <c r="E2887" s="11">
        <v>44589</v>
      </c>
      <c r="F2887" s="10">
        <v>266</v>
      </c>
      <c r="G2887" s="12">
        <f>Tabla1[[#This Row],[Importe]]-Tabla1[[#This Row],[Pagado]]</f>
        <v>0</v>
      </c>
      <c r="H2887" s="9" t="s">
        <v>10</v>
      </c>
    </row>
    <row r="2888" spans="1:8" x14ac:dyDescent="0.25">
      <c r="A2888" s="7">
        <v>44589</v>
      </c>
      <c r="B2888" s="8" t="s">
        <v>3277</v>
      </c>
      <c r="C2888" s="9" t="s">
        <v>2393</v>
      </c>
      <c r="D2888" s="10">
        <v>30146.12</v>
      </c>
      <c r="E2888" s="11">
        <v>44589</v>
      </c>
      <c r="F2888" s="10">
        <v>30146.12</v>
      </c>
      <c r="G2888" s="12">
        <f>Tabla1[[#This Row],[Importe]]-Tabla1[[#This Row],[Pagado]]</f>
        <v>0</v>
      </c>
      <c r="H2888" s="9" t="s">
        <v>10</v>
      </c>
    </row>
    <row r="2889" spans="1:8" x14ac:dyDescent="0.25">
      <c r="A2889" s="7">
        <v>44589</v>
      </c>
      <c r="B2889" s="8" t="s">
        <v>3278</v>
      </c>
      <c r="C2889" s="9" t="s">
        <v>58</v>
      </c>
      <c r="D2889" s="10">
        <v>5868.2</v>
      </c>
      <c r="E2889" s="11">
        <v>44589</v>
      </c>
      <c r="F2889" s="10">
        <v>5868.2</v>
      </c>
      <c r="G2889" s="12">
        <f>Tabla1[[#This Row],[Importe]]-Tabla1[[#This Row],[Pagado]]</f>
        <v>0</v>
      </c>
      <c r="H2889" s="9" t="s">
        <v>10</v>
      </c>
    </row>
    <row r="2890" spans="1:8" x14ac:dyDescent="0.25">
      <c r="A2890" s="7">
        <v>44589</v>
      </c>
      <c r="B2890" s="8" t="s">
        <v>3279</v>
      </c>
      <c r="C2890" s="9" t="s">
        <v>71</v>
      </c>
      <c r="D2890" s="10">
        <v>556.79999999999995</v>
      </c>
      <c r="E2890" s="11">
        <v>44589</v>
      </c>
      <c r="F2890" s="10">
        <v>556.79999999999995</v>
      </c>
      <c r="G2890" s="12">
        <f>Tabla1[[#This Row],[Importe]]-Tabla1[[#This Row],[Pagado]]</f>
        <v>0</v>
      </c>
      <c r="H2890" s="9" t="s">
        <v>10</v>
      </c>
    </row>
    <row r="2891" spans="1:8" x14ac:dyDescent="0.25">
      <c r="A2891" s="7">
        <v>44589</v>
      </c>
      <c r="B2891" s="8" t="s">
        <v>3280</v>
      </c>
      <c r="C2891" s="9" t="s">
        <v>849</v>
      </c>
      <c r="D2891" s="10">
        <v>6055</v>
      </c>
      <c r="E2891" s="11">
        <v>44589</v>
      </c>
      <c r="F2891" s="10">
        <v>6055</v>
      </c>
      <c r="G2891" s="12">
        <f>Tabla1[[#This Row],[Importe]]-Tabla1[[#This Row],[Pagado]]</f>
        <v>0</v>
      </c>
      <c r="H2891" s="9" t="s">
        <v>10</v>
      </c>
    </row>
    <row r="2892" spans="1:8" x14ac:dyDescent="0.25">
      <c r="A2892" s="7">
        <v>44589</v>
      </c>
      <c r="B2892" s="8" t="s">
        <v>3281</v>
      </c>
      <c r="C2892" s="9" t="s">
        <v>154</v>
      </c>
      <c r="D2892" s="10">
        <v>78906</v>
      </c>
      <c r="E2892" s="11">
        <v>44596</v>
      </c>
      <c r="F2892" s="10">
        <v>78906</v>
      </c>
      <c r="G2892" s="12">
        <f>Tabla1[[#This Row],[Importe]]-Tabla1[[#This Row],[Pagado]]</f>
        <v>0</v>
      </c>
      <c r="H2892" s="9" t="s">
        <v>10</v>
      </c>
    </row>
    <row r="2893" spans="1:8" x14ac:dyDescent="0.25">
      <c r="A2893" s="7">
        <v>44589</v>
      </c>
      <c r="B2893" s="8" t="s">
        <v>3282</v>
      </c>
      <c r="C2893" s="9" t="s">
        <v>75</v>
      </c>
      <c r="D2893" s="10">
        <v>4375</v>
      </c>
      <c r="E2893" s="11">
        <v>44589</v>
      </c>
      <c r="F2893" s="10">
        <v>4375</v>
      </c>
      <c r="G2893" s="12">
        <f>Tabla1[[#This Row],[Importe]]-Tabla1[[#This Row],[Pagado]]</f>
        <v>0</v>
      </c>
      <c r="H2893" s="9" t="s">
        <v>10</v>
      </c>
    </row>
    <row r="2894" spans="1:8" x14ac:dyDescent="0.25">
      <c r="A2894" s="7">
        <v>44589</v>
      </c>
      <c r="B2894" s="8" t="s">
        <v>3283</v>
      </c>
      <c r="C2894" s="9" t="s">
        <v>473</v>
      </c>
      <c r="D2894" s="10">
        <v>4462.5</v>
      </c>
      <c r="E2894" s="11">
        <v>44589</v>
      </c>
      <c r="F2894" s="10">
        <v>4462.5</v>
      </c>
      <c r="G2894" s="12">
        <f>Tabla1[[#This Row],[Importe]]-Tabla1[[#This Row],[Pagado]]</f>
        <v>0</v>
      </c>
      <c r="H2894" s="9" t="s">
        <v>10</v>
      </c>
    </row>
    <row r="2895" spans="1:8" x14ac:dyDescent="0.25">
      <c r="A2895" s="7">
        <v>44589</v>
      </c>
      <c r="B2895" s="8" t="s">
        <v>3284</v>
      </c>
      <c r="C2895" s="9" t="s">
        <v>3285</v>
      </c>
      <c r="D2895" s="10">
        <v>0</v>
      </c>
      <c r="E2895" s="13" t="s">
        <v>189</v>
      </c>
      <c r="F2895" s="10">
        <v>0</v>
      </c>
      <c r="G2895" s="12">
        <f>Tabla1[[#This Row],[Importe]]-Tabla1[[#This Row],[Pagado]]</f>
        <v>0</v>
      </c>
      <c r="H2895" s="9" t="s">
        <v>189</v>
      </c>
    </row>
    <row r="2896" spans="1:8" x14ac:dyDescent="0.25">
      <c r="A2896" s="7">
        <v>44589</v>
      </c>
      <c r="B2896" s="8" t="s">
        <v>3286</v>
      </c>
      <c r="C2896" s="9" t="s">
        <v>218</v>
      </c>
      <c r="D2896" s="10">
        <v>25965.599999999999</v>
      </c>
      <c r="E2896" s="11">
        <v>44596</v>
      </c>
      <c r="F2896" s="10">
        <v>25965.599999999999</v>
      </c>
      <c r="G2896" s="12">
        <f>Tabla1[[#This Row],[Importe]]-Tabla1[[#This Row],[Pagado]]</f>
        <v>0</v>
      </c>
      <c r="H2896" s="9" t="s">
        <v>10</v>
      </c>
    </row>
    <row r="2897" spans="1:8" x14ac:dyDescent="0.25">
      <c r="A2897" s="7">
        <v>44589</v>
      </c>
      <c r="B2897" s="8" t="s">
        <v>3287</v>
      </c>
      <c r="C2897" s="9" t="s">
        <v>212</v>
      </c>
      <c r="D2897" s="10">
        <v>47704.4</v>
      </c>
      <c r="E2897" s="11">
        <v>44596</v>
      </c>
      <c r="F2897" s="10">
        <v>47704.4</v>
      </c>
      <c r="G2897" s="12">
        <f>Tabla1[[#This Row],[Importe]]-Tabla1[[#This Row],[Pagado]]</f>
        <v>0</v>
      </c>
      <c r="H2897" s="9" t="s">
        <v>10</v>
      </c>
    </row>
    <row r="2898" spans="1:8" x14ac:dyDescent="0.25">
      <c r="A2898" s="7">
        <v>44589</v>
      </c>
      <c r="B2898" s="8" t="s">
        <v>3288</v>
      </c>
      <c r="C2898" s="9" t="s">
        <v>206</v>
      </c>
      <c r="D2898" s="10">
        <v>35152.800000000003</v>
      </c>
      <c r="E2898" s="11">
        <v>44596</v>
      </c>
      <c r="F2898" s="10">
        <v>35152.800000000003</v>
      </c>
      <c r="G2898" s="12">
        <f>Tabla1[[#This Row],[Importe]]-Tabla1[[#This Row],[Pagado]]</f>
        <v>0</v>
      </c>
      <c r="H2898" s="9" t="s">
        <v>10</v>
      </c>
    </row>
    <row r="2899" spans="1:8" x14ac:dyDescent="0.25">
      <c r="A2899" s="7">
        <v>44589</v>
      </c>
      <c r="B2899" s="8" t="s">
        <v>3289</v>
      </c>
      <c r="C2899" s="9" t="s">
        <v>592</v>
      </c>
      <c r="D2899" s="10">
        <v>7797</v>
      </c>
      <c r="E2899" s="11">
        <v>44597</v>
      </c>
      <c r="F2899" s="10">
        <v>7797</v>
      </c>
      <c r="G2899" s="12">
        <f>Tabla1[[#This Row],[Importe]]-Tabla1[[#This Row],[Pagado]]</f>
        <v>0</v>
      </c>
      <c r="H2899" s="9" t="s">
        <v>10</v>
      </c>
    </row>
    <row r="2900" spans="1:8" x14ac:dyDescent="0.25">
      <c r="A2900" s="7">
        <v>44589</v>
      </c>
      <c r="B2900" s="8" t="s">
        <v>3290</v>
      </c>
      <c r="C2900" s="9" t="s">
        <v>173</v>
      </c>
      <c r="D2900" s="10">
        <v>25815.22</v>
      </c>
      <c r="E2900" s="11">
        <v>44590</v>
      </c>
      <c r="F2900" s="10">
        <v>25815.22</v>
      </c>
      <c r="G2900" s="12">
        <f>Tabla1[[#This Row],[Importe]]-Tabla1[[#This Row],[Pagado]]</f>
        <v>0</v>
      </c>
      <c r="H2900" s="9" t="s">
        <v>10</v>
      </c>
    </row>
    <row r="2901" spans="1:8" x14ac:dyDescent="0.25">
      <c r="A2901" s="7">
        <v>44589</v>
      </c>
      <c r="B2901" s="8" t="s">
        <v>3291</v>
      </c>
      <c r="C2901" s="9" t="s">
        <v>212</v>
      </c>
      <c r="D2901" s="10">
        <v>8649.6</v>
      </c>
      <c r="E2901" s="11">
        <v>44596</v>
      </c>
      <c r="F2901" s="10">
        <v>8649.6</v>
      </c>
      <c r="G2901" s="12">
        <f>Tabla1[[#This Row],[Importe]]-Tabla1[[#This Row],[Pagado]]</f>
        <v>0</v>
      </c>
      <c r="H2901" s="9" t="s">
        <v>10</v>
      </c>
    </row>
    <row r="2902" spans="1:8" x14ac:dyDescent="0.25">
      <c r="A2902" s="7">
        <v>44589</v>
      </c>
      <c r="B2902" s="8" t="s">
        <v>3292</v>
      </c>
      <c r="C2902" s="9" t="s">
        <v>269</v>
      </c>
      <c r="D2902" s="10">
        <v>4220.3999999999996</v>
      </c>
      <c r="E2902" s="11">
        <v>44589</v>
      </c>
      <c r="F2902" s="10">
        <v>4220.3999999999996</v>
      </c>
      <c r="G2902" s="12">
        <f>Tabla1[[#This Row],[Importe]]-Tabla1[[#This Row],[Pagado]]</f>
        <v>0</v>
      </c>
      <c r="H2902" s="9" t="s">
        <v>10</v>
      </c>
    </row>
    <row r="2903" spans="1:8" x14ac:dyDescent="0.25">
      <c r="A2903" s="7">
        <v>44589</v>
      </c>
      <c r="B2903" s="8" t="s">
        <v>3293</v>
      </c>
      <c r="C2903" s="9" t="s">
        <v>133</v>
      </c>
      <c r="D2903" s="10">
        <v>9003.2000000000007</v>
      </c>
      <c r="E2903" s="11">
        <v>44589</v>
      </c>
      <c r="F2903" s="10">
        <v>9003.2000000000007</v>
      </c>
      <c r="G2903" s="12">
        <f>Tabla1[[#This Row],[Importe]]-Tabla1[[#This Row],[Pagado]]</f>
        <v>0</v>
      </c>
      <c r="H2903" s="9" t="s">
        <v>10</v>
      </c>
    </row>
    <row r="2904" spans="1:8" x14ac:dyDescent="0.25">
      <c r="A2904" s="7">
        <v>44589</v>
      </c>
      <c r="B2904" s="8" t="s">
        <v>3294</v>
      </c>
      <c r="C2904" s="9" t="s">
        <v>208</v>
      </c>
      <c r="D2904" s="10">
        <v>25612.799999999999</v>
      </c>
      <c r="E2904" s="11">
        <v>44597</v>
      </c>
      <c r="F2904" s="10">
        <v>25612.799999999999</v>
      </c>
      <c r="G2904" s="12">
        <f>Tabla1[[#This Row],[Importe]]-Tabla1[[#This Row],[Pagado]]</f>
        <v>0</v>
      </c>
      <c r="H2904" s="9" t="s">
        <v>10</v>
      </c>
    </row>
    <row r="2905" spans="1:8" x14ac:dyDescent="0.25">
      <c r="A2905" s="7">
        <v>44589</v>
      </c>
      <c r="B2905" s="8" t="s">
        <v>3295</v>
      </c>
      <c r="C2905" s="9" t="s">
        <v>359</v>
      </c>
      <c r="D2905" s="10">
        <v>1622</v>
      </c>
      <c r="E2905" s="11">
        <v>44590</v>
      </c>
      <c r="F2905" s="10">
        <v>1622</v>
      </c>
      <c r="G2905" s="12">
        <f>Tabla1[[#This Row],[Importe]]-Tabla1[[#This Row],[Pagado]]</f>
        <v>0</v>
      </c>
      <c r="H2905" s="9" t="s">
        <v>10</v>
      </c>
    </row>
    <row r="2906" spans="1:8" x14ac:dyDescent="0.25">
      <c r="A2906" s="7">
        <v>44589</v>
      </c>
      <c r="B2906" s="8" t="s">
        <v>3296</v>
      </c>
      <c r="C2906" s="9" t="s">
        <v>804</v>
      </c>
      <c r="D2906" s="10">
        <v>6786</v>
      </c>
      <c r="E2906" s="11">
        <v>44589</v>
      </c>
      <c r="F2906" s="10">
        <v>6786</v>
      </c>
      <c r="G2906" s="12">
        <f>Tabla1[[#This Row],[Importe]]-Tabla1[[#This Row],[Pagado]]</f>
        <v>0</v>
      </c>
      <c r="H2906" s="9" t="s">
        <v>10</v>
      </c>
    </row>
    <row r="2907" spans="1:8" x14ac:dyDescent="0.25">
      <c r="A2907" s="7">
        <v>44589</v>
      </c>
      <c r="B2907" s="8" t="s">
        <v>3297</v>
      </c>
      <c r="C2907" s="9" t="s">
        <v>198</v>
      </c>
      <c r="D2907" s="10">
        <v>4726.3999999999996</v>
      </c>
      <c r="E2907" s="11">
        <v>44590</v>
      </c>
      <c r="F2907" s="10">
        <v>4726.3999999999996</v>
      </c>
      <c r="G2907" s="12">
        <f>Tabla1[[#This Row],[Importe]]-Tabla1[[#This Row],[Pagado]]</f>
        <v>0</v>
      </c>
      <c r="H2907" s="9" t="s">
        <v>10</v>
      </c>
    </row>
    <row r="2908" spans="1:8" x14ac:dyDescent="0.25">
      <c r="A2908" s="7">
        <v>44589</v>
      </c>
      <c r="B2908" s="8" t="s">
        <v>3298</v>
      </c>
      <c r="C2908" s="9" t="s">
        <v>175</v>
      </c>
      <c r="D2908" s="10">
        <v>12717.4</v>
      </c>
      <c r="E2908" s="11">
        <v>44590</v>
      </c>
      <c r="F2908" s="10">
        <v>12717.4</v>
      </c>
      <c r="G2908" s="12">
        <f>Tabla1[[#This Row],[Importe]]-Tabla1[[#This Row],[Pagado]]</f>
        <v>0</v>
      </c>
      <c r="H2908" s="9" t="s">
        <v>10</v>
      </c>
    </row>
    <row r="2909" spans="1:8" x14ac:dyDescent="0.25">
      <c r="A2909" s="7">
        <v>44589</v>
      </c>
      <c r="B2909" s="8" t="s">
        <v>3299</v>
      </c>
      <c r="C2909" s="9" t="s">
        <v>31</v>
      </c>
      <c r="D2909" s="10">
        <v>2812.6</v>
      </c>
      <c r="E2909" s="11">
        <v>44589</v>
      </c>
      <c r="F2909" s="10">
        <v>2812.6</v>
      </c>
      <c r="G2909" s="12">
        <f>Tabla1[[#This Row],[Importe]]-Tabla1[[#This Row],[Pagado]]</f>
        <v>0</v>
      </c>
      <c r="H2909" s="9" t="s">
        <v>10</v>
      </c>
    </row>
    <row r="2910" spans="1:8" x14ac:dyDescent="0.25">
      <c r="A2910" s="7">
        <v>44589</v>
      </c>
      <c r="B2910" s="8" t="s">
        <v>3300</v>
      </c>
      <c r="C2910" s="9" t="s">
        <v>450</v>
      </c>
      <c r="D2910" s="10">
        <v>4337.1000000000004</v>
      </c>
      <c r="E2910" s="11">
        <v>44589</v>
      </c>
      <c r="F2910" s="10">
        <v>4337.1000000000004</v>
      </c>
      <c r="G2910" s="12">
        <f>Tabla1[[#This Row],[Importe]]-Tabla1[[#This Row],[Pagado]]</f>
        <v>0</v>
      </c>
      <c r="H2910" s="9" t="s">
        <v>10</v>
      </c>
    </row>
    <row r="2911" spans="1:8" x14ac:dyDescent="0.25">
      <c r="A2911" s="7">
        <v>44589</v>
      </c>
      <c r="B2911" s="8" t="s">
        <v>3301</v>
      </c>
      <c r="C2911" s="9" t="s">
        <v>107</v>
      </c>
      <c r="D2911" s="10">
        <v>7945.6</v>
      </c>
      <c r="E2911" s="11">
        <v>44589</v>
      </c>
      <c r="F2911" s="10">
        <v>7945.6</v>
      </c>
      <c r="G2911" s="12">
        <f>Tabla1[[#This Row],[Importe]]-Tabla1[[#This Row],[Pagado]]</f>
        <v>0</v>
      </c>
      <c r="H2911" s="9" t="s">
        <v>10</v>
      </c>
    </row>
    <row r="2912" spans="1:8" x14ac:dyDescent="0.25">
      <c r="A2912" s="7">
        <v>44589</v>
      </c>
      <c r="B2912" s="8" t="s">
        <v>3302</v>
      </c>
      <c r="C2912" s="9" t="s">
        <v>107</v>
      </c>
      <c r="D2912" s="10">
        <v>1026</v>
      </c>
      <c r="E2912" s="11">
        <v>44589</v>
      </c>
      <c r="F2912" s="10">
        <v>1026</v>
      </c>
      <c r="G2912" s="12">
        <f>Tabla1[[#This Row],[Importe]]-Tabla1[[#This Row],[Pagado]]</f>
        <v>0</v>
      </c>
      <c r="H2912" s="9" t="s">
        <v>10</v>
      </c>
    </row>
    <row r="2913" spans="1:8" x14ac:dyDescent="0.25">
      <c r="A2913" s="7">
        <v>44589</v>
      </c>
      <c r="B2913" s="8" t="s">
        <v>3303</v>
      </c>
      <c r="C2913" s="9" t="s">
        <v>3304</v>
      </c>
      <c r="D2913" s="10">
        <v>0</v>
      </c>
      <c r="E2913" s="13" t="s">
        <v>189</v>
      </c>
      <c r="F2913" s="10">
        <v>0</v>
      </c>
      <c r="G2913" s="12">
        <f>Tabla1[[#This Row],[Importe]]-Tabla1[[#This Row],[Pagado]]</f>
        <v>0</v>
      </c>
      <c r="H2913" s="17" t="s">
        <v>3305</v>
      </c>
    </row>
    <row r="2914" spans="1:8" x14ac:dyDescent="0.25">
      <c r="A2914" s="7">
        <v>44589</v>
      </c>
      <c r="B2914" s="8" t="s">
        <v>3306</v>
      </c>
      <c r="C2914" s="9" t="s">
        <v>18</v>
      </c>
      <c r="D2914" s="10">
        <v>1108.8</v>
      </c>
      <c r="E2914" s="11">
        <v>44590</v>
      </c>
      <c r="F2914" s="10">
        <v>1108.8</v>
      </c>
      <c r="G2914" s="12">
        <f>Tabla1[[#This Row],[Importe]]-Tabla1[[#This Row],[Pagado]]</f>
        <v>0</v>
      </c>
      <c r="H2914" s="9" t="s">
        <v>10</v>
      </c>
    </row>
    <row r="2915" spans="1:8" x14ac:dyDescent="0.25">
      <c r="A2915" s="7">
        <v>44589</v>
      </c>
      <c r="B2915" s="8" t="s">
        <v>3307</v>
      </c>
      <c r="C2915" s="9" t="s">
        <v>214</v>
      </c>
      <c r="D2915" s="10">
        <v>1015</v>
      </c>
      <c r="E2915" s="11">
        <v>44589</v>
      </c>
      <c r="F2915" s="10">
        <v>1015</v>
      </c>
      <c r="G2915" s="12">
        <f>Tabla1[[#This Row],[Importe]]-Tabla1[[#This Row],[Pagado]]</f>
        <v>0</v>
      </c>
      <c r="H2915" s="9" t="s">
        <v>10</v>
      </c>
    </row>
    <row r="2916" spans="1:8" x14ac:dyDescent="0.25">
      <c r="A2916" s="7">
        <v>44589</v>
      </c>
      <c r="B2916" s="8" t="s">
        <v>3308</v>
      </c>
      <c r="C2916" s="9" t="s">
        <v>872</v>
      </c>
      <c r="D2916" s="10">
        <v>3622.5</v>
      </c>
      <c r="E2916" s="11">
        <v>44589</v>
      </c>
      <c r="F2916" s="10">
        <v>3622.5</v>
      </c>
      <c r="G2916" s="12">
        <f>Tabla1[[#This Row],[Importe]]-Tabla1[[#This Row],[Pagado]]</f>
        <v>0</v>
      </c>
      <c r="H2916" s="9" t="s">
        <v>10</v>
      </c>
    </row>
    <row r="2917" spans="1:8" x14ac:dyDescent="0.25">
      <c r="A2917" s="7">
        <v>44589</v>
      </c>
      <c r="B2917" s="8" t="s">
        <v>3309</v>
      </c>
      <c r="C2917" s="9" t="s">
        <v>857</v>
      </c>
      <c r="D2917" s="10">
        <v>2062.6</v>
      </c>
      <c r="E2917" s="11">
        <v>44589</v>
      </c>
      <c r="F2917" s="10">
        <v>2062.6</v>
      </c>
      <c r="G2917" s="12">
        <f>Tabla1[[#This Row],[Importe]]-Tabla1[[#This Row],[Pagado]]</f>
        <v>0</v>
      </c>
      <c r="H2917" s="9" t="s">
        <v>10</v>
      </c>
    </row>
    <row r="2918" spans="1:8" x14ac:dyDescent="0.25">
      <c r="A2918" s="7">
        <v>44589</v>
      </c>
      <c r="B2918" s="8" t="s">
        <v>3310</v>
      </c>
      <c r="C2918" s="9" t="s">
        <v>732</v>
      </c>
      <c r="D2918" s="10">
        <v>7987.2</v>
      </c>
      <c r="E2918" s="11">
        <v>44589</v>
      </c>
      <c r="F2918" s="10">
        <v>7987.2</v>
      </c>
      <c r="G2918" s="12">
        <f>Tabla1[[#This Row],[Importe]]-Tabla1[[#This Row],[Pagado]]</f>
        <v>0</v>
      </c>
      <c r="H2918" s="9" t="s">
        <v>10</v>
      </c>
    </row>
    <row r="2919" spans="1:8" x14ac:dyDescent="0.25">
      <c r="A2919" s="7">
        <v>44589</v>
      </c>
      <c r="B2919" s="8" t="s">
        <v>3311</v>
      </c>
      <c r="C2919" s="9" t="s">
        <v>452</v>
      </c>
      <c r="D2919" s="10">
        <v>6745.6</v>
      </c>
      <c r="E2919" s="11">
        <v>44589</v>
      </c>
      <c r="F2919" s="10">
        <v>6745.6</v>
      </c>
      <c r="G2919" s="12">
        <f>Tabla1[[#This Row],[Importe]]-Tabla1[[#This Row],[Pagado]]</f>
        <v>0</v>
      </c>
      <c r="H2919" s="9" t="s">
        <v>10</v>
      </c>
    </row>
    <row r="2920" spans="1:8" x14ac:dyDescent="0.25">
      <c r="A2920" s="7">
        <v>44589</v>
      </c>
      <c r="B2920" s="8" t="s">
        <v>3312</v>
      </c>
      <c r="C2920" s="9" t="s">
        <v>9</v>
      </c>
      <c r="D2920" s="10">
        <v>3629.8</v>
      </c>
      <c r="E2920" s="11">
        <v>44589</v>
      </c>
      <c r="F2920" s="10">
        <v>3629.8</v>
      </c>
      <c r="G2920" s="12">
        <f>Tabla1[[#This Row],[Importe]]-Tabla1[[#This Row],[Pagado]]</f>
        <v>0</v>
      </c>
      <c r="H2920" s="9" t="s">
        <v>10</v>
      </c>
    </row>
    <row r="2921" spans="1:8" x14ac:dyDescent="0.25">
      <c r="A2921" s="7">
        <v>44589</v>
      </c>
      <c r="B2921" s="8" t="s">
        <v>3313</v>
      </c>
      <c r="C2921" s="9" t="s">
        <v>31</v>
      </c>
      <c r="D2921" s="10">
        <v>1925.18</v>
      </c>
      <c r="E2921" s="11">
        <v>44589</v>
      </c>
      <c r="F2921" s="10">
        <v>1925.18</v>
      </c>
      <c r="G2921" s="12">
        <f>Tabla1[[#This Row],[Importe]]-Tabla1[[#This Row],[Pagado]]</f>
        <v>0</v>
      </c>
      <c r="H2921" s="9" t="s">
        <v>10</v>
      </c>
    </row>
    <row r="2922" spans="1:8" x14ac:dyDescent="0.25">
      <c r="A2922" s="7">
        <v>44589</v>
      </c>
      <c r="B2922" s="8" t="s">
        <v>3314</v>
      </c>
      <c r="C2922" s="9" t="s">
        <v>31</v>
      </c>
      <c r="D2922" s="10">
        <v>2506.8000000000002</v>
      </c>
      <c r="E2922" s="11">
        <v>44589</v>
      </c>
      <c r="F2922" s="10">
        <v>2506.8000000000002</v>
      </c>
      <c r="G2922" s="12">
        <f>Tabla1[[#This Row],[Importe]]-Tabla1[[#This Row],[Pagado]]</f>
        <v>0</v>
      </c>
      <c r="H2922" s="9" t="s">
        <v>10</v>
      </c>
    </row>
    <row r="2923" spans="1:8" x14ac:dyDescent="0.25">
      <c r="A2923" s="7">
        <v>44589</v>
      </c>
      <c r="B2923" s="8" t="s">
        <v>3315</v>
      </c>
      <c r="C2923" s="9" t="s">
        <v>31</v>
      </c>
      <c r="D2923" s="10">
        <v>78</v>
      </c>
      <c r="E2923" s="11">
        <v>44589</v>
      </c>
      <c r="F2923" s="10">
        <v>78</v>
      </c>
      <c r="G2923" s="12">
        <f>Tabla1[[#This Row],[Importe]]-Tabla1[[#This Row],[Pagado]]</f>
        <v>0</v>
      </c>
      <c r="H2923" s="9" t="s">
        <v>10</v>
      </c>
    </row>
    <row r="2924" spans="1:8" x14ac:dyDescent="0.25">
      <c r="A2924" s="7">
        <v>44589</v>
      </c>
      <c r="B2924" s="8" t="s">
        <v>3316</v>
      </c>
      <c r="C2924" s="9" t="s">
        <v>31</v>
      </c>
      <c r="D2924" s="10">
        <v>397.8</v>
      </c>
      <c r="E2924" s="11">
        <v>44589</v>
      </c>
      <c r="F2924" s="10">
        <v>397.8</v>
      </c>
      <c r="G2924" s="12">
        <f>Tabla1[[#This Row],[Importe]]-Tabla1[[#This Row],[Pagado]]</f>
        <v>0</v>
      </c>
      <c r="H2924" s="9" t="s">
        <v>10</v>
      </c>
    </row>
    <row r="2925" spans="1:8" x14ac:dyDescent="0.25">
      <c r="A2925" s="7">
        <v>44589</v>
      </c>
      <c r="B2925" s="8" t="s">
        <v>3317</v>
      </c>
      <c r="C2925" s="9" t="s">
        <v>275</v>
      </c>
      <c r="D2925" s="10">
        <v>105418.2</v>
      </c>
      <c r="E2925" s="11">
        <v>44597</v>
      </c>
      <c r="F2925" s="10">
        <v>105418.2</v>
      </c>
      <c r="G2925" s="12">
        <f>Tabla1[[#This Row],[Importe]]-Tabla1[[#This Row],[Pagado]]</f>
        <v>0</v>
      </c>
      <c r="H2925" s="9" t="s">
        <v>10</v>
      </c>
    </row>
    <row r="2926" spans="1:8" x14ac:dyDescent="0.25">
      <c r="A2926" s="7">
        <v>44589</v>
      </c>
      <c r="B2926" s="8" t="s">
        <v>3318</v>
      </c>
      <c r="C2926" s="9" t="s">
        <v>47</v>
      </c>
      <c r="D2926" s="10">
        <v>61909.8</v>
      </c>
      <c r="E2926" s="11">
        <v>44590</v>
      </c>
      <c r="F2926" s="10">
        <v>61909.8</v>
      </c>
      <c r="G2926" s="12">
        <f>Tabla1[[#This Row],[Importe]]-Tabla1[[#This Row],[Pagado]]</f>
        <v>0</v>
      </c>
      <c r="H2926" s="9" t="s">
        <v>10</v>
      </c>
    </row>
    <row r="2927" spans="1:8" x14ac:dyDescent="0.25">
      <c r="A2927" s="7">
        <v>44589</v>
      </c>
      <c r="B2927" s="8" t="s">
        <v>3319</v>
      </c>
      <c r="C2927" s="9" t="s">
        <v>22</v>
      </c>
      <c r="D2927" s="10">
        <v>4128.8</v>
      </c>
      <c r="E2927" s="11">
        <v>44589</v>
      </c>
      <c r="F2927" s="10">
        <v>4128.8</v>
      </c>
      <c r="G2927" s="12">
        <f>Tabla1[[#This Row],[Importe]]-Tabla1[[#This Row],[Pagado]]</f>
        <v>0</v>
      </c>
      <c r="H2927" s="9" t="s">
        <v>10</v>
      </c>
    </row>
    <row r="2928" spans="1:8" x14ac:dyDescent="0.25">
      <c r="A2928" s="7">
        <v>44589</v>
      </c>
      <c r="B2928" s="8" t="s">
        <v>3320</v>
      </c>
      <c r="C2928" s="9" t="s">
        <v>1016</v>
      </c>
      <c r="D2928" s="10">
        <v>4469.3999999999996</v>
      </c>
      <c r="E2928" s="11">
        <v>44590</v>
      </c>
      <c r="F2928" s="10">
        <v>4469.3999999999996</v>
      </c>
      <c r="G2928" s="12">
        <f>Tabla1[[#This Row],[Importe]]-Tabla1[[#This Row],[Pagado]]</f>
        <v>0</v>
      </c>
      <c r="H2928" s="9" t="s">
        <v>10</v>
      </c>
    </row>
    <row r="2929" spans="1:8" x14ac:dyDescent="0.25">
      <c r="A2929" s="7">
        <v>44590</v>
      </c>
      <c r="B2929" s="8" t="s">
        <v>3321</v>
      </c>
      <c r="C2929" s="9" t="s">
        <v>3322</v>
      </c>
      <c r="D2929" s="10">
        <v>16576.2</v>
      </c>
      <c r="E2929" s="11">
        <v>44593</v>
      </c>
      <c r="F2929" s="10">
        <v>16576.2</v>
      </c>
      <c r="G2929" s="12">
        <f>Tabla1[[#This Row],[Importe]]-Tabla1[[#This Row],[Pagado]]</f>
        <v>0</v>
      </c>
      <c r="H2929" s="9" t="s">
        <v>10</v>
      </c>
    </row>
    <row r="2930" spans="1:8" ht="30" x14ac:dyDescent="0.25">
      <c r="A2930" s="7">
        <v>44590</v>
      </c>
      <c r="B2930" s="8" t="s">
        <v>3323</v>
      </c>
      <c r="C2930" s="9" t="s">
        <v>75</v>
      </c>
      <c r="D2930" s="10">
        <v>17990</v>
      </c>
      <c r="E2930" s="11" t="s">
        <v>3324</v>
      </c>
      <c r="F2930" s="10">
        <f>8860+9130</f>
        <v>17990</v>
      </c>
      <c r="G2930" s="12">
        <f>Tabla1[[#This Row],[Importe]]-Tabla1[[#This Row],[Pagado]]</f>
        <v>0</v>
      </c>
      <c r="H2930" s="9" t="s">
        <v>10</v>
      </c>
    </row>
    <row r="2931" spans="1:8" x14ac:dyDescent="0.25">
      <c r="A2931" s="7">
        <v>44590</v>
      </c>
      <c r="B2931" s="8" t="s">
        <v>3325</v>
      </c>
      <c r="C2931" s="9" t="s">
        <v>475</v>
      </c>
      <c r="D2931" s="10">
        <v>69600</v>
      </c>
      <c r="E2931" s="11">
        <v>44592</v>
      </c>
      <c r="F2931" s="10">
        <v>69600</v>
      </c>
      <c r="G2931" s="12">
        <f>Tabla1[[#This Row],[Importe]]-Tabla1[[#This Row],[Pagado]]</f>
        <v>0</v>
      </c>
      <c r="H2931" s="9" t="s">
        <v>10</v>
      </c>
    </row>
    <row r="2932" spans="1:8" x14ac:dyDescent="0.25">
      <c r="A2932" s="7">
        <v>44590</v>
      </c>
      <c r="B2932" s="8" t="s">
        <v>3326</v>
      </c>
      <c r="C2932" s="9" t="s">
        <v>12</v>
      </c>
      <c r="D2932" s="10">
        <v>55928.3</v>
      </c>
      <c r="E2932" s="11">
        <v>44591</v>
      </c>
      <c r="F2932" s="10">
        <v>55928.3</v>
      </c>
      <c r="G2932" s="12">
        <f>Tabla1[[#This Row],[Importe]]-Tabla1[[#This Row],[Pagado]]</f>
        <v>0</v>
      </c>
      <c r="H2932" s="9" t="s">
        <v>10</v>
      </c>
    </row>
    <row r="2933" spans="1:8" x14ac:dyDescent="0.25">
      <c r="A2933" s="7">
        <v>44590</v>
      </c>
      <c r="B2933" s="8" t="s">
        <v>3327</v>
      </c>
      <c r="C2933" s="9" t="s">
        <v>89</v>
      </c>
      <c r="D2933" s="10">
        <v>6310.4</v>
      </c>
      <c r="E2933" s="11">
        <v>44592</v>
      </c>
      <c r="F2933" s="10">
        <v>6310.4</v>
      </c>
      <c r="G2933" s="12">
        <f>Tabla1[[#This Row],[Importe]]-Tabla1[[#This Row],[Pagado]]</f>
        <v>0</v>
      </c>
      <c r="H2933" s="9" t="s">
        <v>10</v>
      </c>
    </row>
    <row r="2934" spans="1:8" x14ac:dyDescent="0.25">
      <c r="A2934" s="7">
        <v>44590</v>
      </c>
      <c r="B2934" s="8" t="s">
        <v>3328</v>
      </c>
      <c r="C2934" s="9" t="s">
        <v>481</v>
      </c>
      <c r="D2934" s="10">
        <v>1759.1</v>
      </c>
      <c r="E2934" s="11">
        <v>44590</v>
      </c>
      <c r="F2934" s="10">
        <v>1759.1</v>
      </c>
      <c r="G2934" s="12">
        <f>Tabla1[[#This Row],[Importe]]-Tabla1[[#This Row],[Pagado]]</f>
        <v>0</v>
      </c>
      <c r="H2934" s="9" t="s">
        <v>10</v>
      </c>
    </row>
    <row r="2935" spans="1:8" x14ac:dyDescent="0.25">
      <c r="A2935" s="7">
        <v>44590</v>
      </c>
      <c r="B2935" s="8" t="s">
        <v>3329</v>
      </c>
      <c r="C2935" s="9" t="s">
        <v>414</v>
      </c>
      <c r="D2935" s="10">
        <v>22560</v>
      </c>
      <c r="E2935" s="11">
        <v>44617</v>
      </c>
      <c r="F2935" s="10">
        <v>22560</v>
      </c>
      <c r="G2935" s="12">
        <f>Tabla1[[#This Row],[Importe]]-Tabla1[[#This Row],[Pagado]]</f>
        <v>0</v>
      </c>
      <c r="H2935" s="9" t="s">
        <v>10</v>
      </c>
    </row>
    <row r="2936" spans="1:8" x14ac:dyDescent="0.25">
      <c r="A2936" s="7">
        <v>44590</v>
      </c>
      <c r="B2936" s="8" t="s">
        <v>3330</v>
      </c>
      <c r="C2936" s="9" t="s">
        <v>60</v>
      </c>
      <c r="D2936" s="10">
        <v>9232</v>
      </c>
      <c r="E2936" s="11">
        <v>44595</v>
      </c>
      <c r="F2936" s="10">
        <v>9232</v>
      </c>
      <c r="G2936" s="12">
        <f>Tabla1[[#This Row],[Importe]]-Tabla1[[#This Row],[Pagado]]</f>
        <v>0</v>
      </c>
      <c r="H2936" s="9" t="s">
        <v>10</v>
      </c>
    </row>
    <row r="2937" spans="1:8" x14ac:dyDescent="0.25">
      <c r="A2937" s="7">
        <v>44590</v>
      </c>
      <c r="B2937" s="8" t="s">
        <v>3331</v>
      </c>
      <c r="C2937" s="9" t="s">
        <v>64</v>
      </c>
      <c r="D2937" s="10">
        <v>9031.6</v>
      </c>
      <c r="E2937" s="11">
        <v>44592</v>
      </c>
      <c r="F2937" s="10">
        <v>9031.6</v>
      </c>
      <c r="G2937" s="12">
        <f>Tabla1[[#This Row],[Importe]]-Tabla1[[#This Row],[Pagado]]</f>
        <v>0</v>
      </c>
      <c r="H2937" s="9" t="s">
        <v>10</v>
      </c>
    </row>
    <row r="2938" spans="1:8" x14ac:dyDescent="0.25">
      <c r="A2938" s="7">
        <v>44590</v>
      </c>
      <c r="B2938" s="8" t="s">
        <v>3332</v>
      </c>
      <c r="C2938" s="9" t="s">
        <v>109</v>
      </c>
      <c r="D2938" s="10">
        <v>8725</v>
      </c>
      <c r="E2938" s="11">
        <v>44592</v>
      </c>
      <c r="F2938" s="10">
        <v>8725</v>
      </c>
      <c r="G2938" s="12">
        <f>Tabla1[[#This Row],[Importe]]-Tabla1[[#This Row],[Pagado]]</f>
        <v>0</v>
      </c>
      <c r="H2938" s="9" t="s">
        <v>10</v>
      </c>
    </row>
    <row r="2939" spans="1:8" x14ac:dyDescent="0.25">
      <c r="A2939" s="7">
        <v>44590</v>
      </c>
      <c r="B2939" s="8" t="s">
        <v>3333</v>
      </c>
      <c r="C2939" s="9" t="s">
        <v>99</v>
      </c>
      <c r="D2939" s="10">
        <v>6576.8</v>
      </c>
      <c r="E2939" s="11">
        <v>44592</v>
      </c>
      <c r="F2939" s="10">
        <v>6576.8</v>
      </c>
      <c r="G2939" s="12">
        <f>Tabla1[[#This Row],[Importe]]-Tabla1[[#This Row],[Pagado]]</f>
        <v>0</v>
      </c>
      <c r="H2939" s="9" t="s">
        <v>10</v>
      </c>
    </row>
    <row r="2940" spans="1:8" x14ac:dyDescent="0.25">
      <c r="A2940" s="7">
        <v>44590</v>
      </c>
      <c r="B2940" s="8" t="s">
        <v>3334</v>
      </c>
      <c r="C2940" s="9" t="s">
        <v>116</v>
      </c>
      <c r="D2940" s="10">
        <v>3936.4</v>
      </c>
      <c r="E2940" s="11">
        <v>44592</v>
      </c>
      <c r="F2940" s="10">
        <v>3936.4</v>
      </c>
      <c r="G2940" s="12">
        <f>Tabla1[[#This Row],[Importe]]-Tabla1[[#This Row],[Pagado]]</f>
        <v>0</v>
      </c>
      <c r="H2940" s="9" t="s">
        <v>10</v>
      </c>
    </row>
    <row r="2941" spans="1:8" x14ac:dyDescent="0.25">
      <c r="A2941" s="7">
        <v>44590</v>
      </c>
      <c r="B2941" s="8" t="s">
        <v>3335</v>
      </c>
      <c r="C2941" s="9" t="s">
        <v>326</v>
      </c>
      <c r="D2941" s="10">
        <v>14420</v>
      </c>
      <c r="E2941" s="11">
        <v>44592</v>
      </c>
      <c r="F2941" s="10">
        <v>14420</v>
      </c>
      <c r="G2941" s="12">
        <f>Tabla1[[#This Row],[Importe]]-Tabla1[[#This Row],[Pagado]]</f>
        <v>0</v>
      </c>
      <c r="H2941" s="9" t="s">
        <v>10</v>
      </c>
    </row>
    <row r="2942" spans="1:8" x14ac:dyDescent="0.25">
      <c r="A2942" s="7">
        <v>44590</v>
      </c>
      <c r="B2942" s="8" t="s">
        <v>3336</v>
      </c>
      <c r="C2942" s="9" t="s">
        <v>79</v>
      </c>
      <c r="D2942" s="10">
        <v>19660</v>
      </c>
      <c r="E2942" s="11">
        <v>44590</v>
      </c>
      <c r="F2942" s="10">
        <v>19660</v>
      </c>
      <c r="G2942" s="12">
        <f>Tabla1[[#This Row],[Importe]]-Tabla1[[#This Row],[Pagado]]</f>
        <v>0</v>
      </c>
      <c r="H2942" s="9" t="s">
        <v>10</v>
      </c>
    </row>
    <row r="2943" spans="1:8" x14ac:dyDescent="0.25">
      <c r="A2943" s="7">
        <v>44590</v>
      </c>
      <c r="B2943" s="8" t="s">
        <v>3337</v>
      </c>
      <c r="C2943" s="9" t="s">
        <v>9</v>
      </c>
      <c r="D2943" s="10">
        <v>6694.3</v>
      </c>
      <c r="E2943" s="11">
        <v>44590</v>
      </c>
      <c r="F2943" s="10">
        <v>6694.3</v>
      </c>
      <c r="G2943" s="12">
        <f>Tabla1[[#This Row],[Importe]]-Tabla1[[#This Row],[Pagado]]</f>
        <v>0</v>
      </c>
      <c r="H2943" s="9" t="s">
        <v>10</v>
      </c>
    </row>
    <row r="2944" spans="1:8" x14ac:dyDescent="0.25">
      <c r="A2944" s="7">
        <v>44590</v>
      </c>
      <c r="B2944" s="8" t="s">
        <v>3338</v>
      </c>
      <c r="C2944" s="9" t="s">
        <v>111</v>
      </c>
      <c r="D2944" s="10">
        <v>8730</v>
      </c>
      <c r="E2944" s="11">
        <v>44592</v>
      </c>
      <c r="F2944" s="10">
        <v>8730</v>
      </c>
      <c r="G2944" s="12">
        <f>Tabla1[[#This Row],[Importe]]-Tabla1[[#This Row],[Pagado]]</f>
        <v>0</v>
      </c>
      <c r="H2944" s="9" t="s">
        <v>10</v>
      </c>
    </row>
    <row r="2945" spans="1:8" x14ac:dyDescent="0.25">
      <c r="A2945" s="7">
        <v>44590</v>
      </c>
      <c r="B2945" s="8" t="s">
        <v>3339</v>
      </c>
      <c r="C2945" s="9" t="s">
        <v>97</v>
      </c>
      <c r="D2945" s="10">
        <v>16638</v>
      </c>
      <c r="E2945" s="11">
        <v>44592</v>
      </c>
      <c r="F2945" s="10">
        <v>16638</v>
      </c>
      <c r="G2945" s="12">
        <f>Tabla1[[#This Row],[Importe]]-Tabla1[[#This Row],[Pagado]]</f>
        <v>0</v>
      </c>
      <c r="H2945" s="9" t="s">
        <v>10</v>
      </c>
    </row>
    <row r="2946" spans="1:8" ht="30" x14ac:dyDescent="0.25">
      <c r="A2946" s="7">
        <v>44590</v>
      </c>
      <c r="B2946" s="8" t="s">
        <v>3340</v>
      </c>
      <c r="C2946" s="9" t="s">
        <v>39</v>
      </c>
      <c r="D2946" s="10">
        <v>35009.599999999999</v>
      </c>
      <c r="E2946" s="11" t="s">
        <v>3643</v>
      </c>
      <c r="F2946" s="10">
        <f>5000+30009.6</f>
        <v>35009.599999999999</v>
      </c>
      <c r="G2946" s="12">
        <f>Tabla1[[#This Row],[Importe]]-Tabla1[[#This Row],[Pagado]]</f>
        <v>0</v>
      </c>
      <c r="H2946" s="9" t="s">
        <v>10</v>
      </c>
    </row>
    <row r="2947" spans="1:8" x14ac:dyDescent="0.25">
      <c r="A2947" s="7">
        <v>44590</v>
      </c>
      <c r="B2947" s="8" t="s">
        <v>3341</v>
      </c>
      <c r="C2947" s="9" t="s">
        <v>105</v>
      </c>
      <c r="D2947" s="10">
        <v>13901.4</v>
      </c>
      <c r="E2947" s="11">
        <v>44593</v>
      </c>
      <c r="F2947" s="10">
        <v>13901.4</v>
      </c>
      <c r="G2947" s="12">
        <f>Tabla1[[#This Row],[Importe]]-Tabla1[[#This Row],[Pagado]]</f>
        <v>0</v>
      </c>
      <c r="H2947" s="9" t="s">
        <v>10</v>
      </c>
    </row>
    <row r="2948" spans="1:8" x14ac:dyDescent="0.25">
      <c r="A2948" s="7">
        <v>44590</v>
      </c>
      <c r="B2948" s="8" t="s">
        <v>3342</v>
      </c>
      <c r="C2948" s="9" t="s">
        <v>12</v>
      </c>
      <c r="D2948" s="10">
        <v>3782</v>
      </c>
      <c r="E2948" s="11">
        <v>44591</v>
      </c>
      <c r="F2948" s="10">
        <v>3782</v>
      </c>
      <c r="G2948" s="12">
        <f>Tabla1[[#This Row],[Importe]]-Tabla1[[#This Row],[Pagado]]</f>
        <v>0</v>
      </c>
      <c r="H2948" s="9" t="s">
        <v>10</v>
      </c>
    </row>
    <row r="2949" spans="1:8" x14ac:dyDescent="0.25">
      <c r="A2949" s="7">
        <v>44590</v>
      </c>
      <c r="B2949" s="8" t="s">
        <v>3343</v>
      </c>
      <c r="C2949" s="9" t="s">
        <v>31</v>
      </c>
      <c r="D2949" s="10">
        <v>4105.5</v>
      </c>
      <c r="E2949" s="11">
        <v>44590</v>
      </c>
      <c r="F2949" s="10">
        <v>4105.5</v>
      </c>
      <c r="G2949" s="12">
        <f>Tabla1[[#This Row],[Importe]]-Tabla1[[#This Row],[Pagado]]</f>
        <v>0</v>
      </c>
      <c r="H2949" s="9" t="s">
        <v>10</v>
      </c>
    </row>
    <row r="2950" spans="1:8" x14ac:dyDescent="0.25">
      <c r="A2950" s="7">
        <v>44590</v>
      </c>
      <c r="B2950" s="8" t="s">
        <v>3344</v>
      </c>
      <c r="C2950" s="9" t="s">
        <v>120</v>
      </c>
      <c r="D2950" s="10">
        <v>4342</v>
      </c>
      <c r="E2950" s="11">
        <v>44592</v>
      </c>
      <c r="F2950" s="10">
        <v>4342</v>
      </c>
      <c r="G2950" s="12">
        <f>Tabla1[[#This Row],[Importe]]-Tabla1[[#This Row],[Pagado]]</f>
        <v>0</v>
      </c>
      <c r="H2950" s="9" t="s">
        <v>10</v>
      </c>
    </row>
    <row r="2951" spans="1:8" x14ac:dyDescent="0.25">
      <c r="A2951" s="7">
        <v>44590</v>
      </c>
      <c r="B2951" s="8" t="s">
        <v>3345</v>
      </c>
      <c r="C2951" s="9" t="s">
        <v>314</v>
      </c>
      <c r="D2951" s="10">
        <v>4290</v>
      </c>
      <c r="E2951" s="11">
        <v>44590</v>
      </c>
      <c r="F2951" s="10">
        <v>4290</v>
      </c>
      <c r="G2951" s="12">
        <f>Tabla1[[#This Row],[Importe]]-Tabla1[[#This Row],[Pagado]]</f>
        <v>0</v>
      </c>
      <c r="H2951" s="9" t="s">
        <v>10</v>
      </c>
    </row>
    <row r="2952" spans="1:8" x14ac:dyDescent="0.25">
      <c r="A2952" s="7">
        <v>44590</v>
      </c>
      <c r="B2952" s="8" t="s">
        <v>3346</v>
      </c>
      <c r="C2952" s="9" t="s">
        <v>114</v>
      </c>
      <c r="D2952" s="10">
        <v>9381</v>
      </c>
      <c r="E2952" s="11">
        <v>44592</v>
      </c>
      <c r="F2952" s="10">
        <v>9381</v>
      </c>
      <c r="G2952" s="12">
        <f>Tabla1[[#This Row],[Importe]]-Tabla1[[#This Row],[Pagado]]</f>
        <v>0</v>
      </c>
      <c r="H2952" s="9" t="s">
        <v>10</v>
      </c>
    </row>
    <row r="2953" spans="1:8" x14ac:dyDescent="0.25">
      <c r="A2953" s="7">
        <v>44590</v>
      </c>
      <c r="B2953" s="8" t="s">
        <v>3347</v>
      </c>
      <c r="C2953" s="9" t="s">
        <v>93</v>
      </c>
      <c r="D2953" s="10">
        <v>12225.8</v>
      </c>
      <c r="E2953" s="11">
        <v>44592</v>
      </c>
      <c r="F2953" s="10">
        <v>12225.8</v>
      </c>
      <c r="G2953" s="12">
        <f>Tabla1[[#This Row],[Importe]]-Tabla1[[#This Row],[Pagado]]</f>
        <v>0</v>
      </c>
      <c r="H2953" s="9" t="s">
        <v>10</v>
      </c>
    </row>
    <row r="2954" spans="1:8" x14ac:dyDescent="0.25">
      <c r="A2954" s="7">
        <v>44590</v>
      </c>
      <c r="B2954" s="8" t="s">
        <v>3348</v>
      </c>
      <c r="C2954" s="9" t="s">
        <v>224</v>
      </c>
      <c r="D2954" s="10">
        <v>1397.8</v>
      </c>
      <c r="E2954" s="11">
        <v>44590</v>
      </c>
      <c r="F2954" s="10">
        <v>1397.8</v>
      </c>
      <c r="G2954" s="12">
        <f>Tabla1[[#This Row],[Importe]]-Tabla1[[#This Row],[Pagado]]</f>
        <v>0</v>
      </c>
      <c r="H2954" s="9" t="s">
        <v>10</v>
      </c>
    </row>
    <row r="2955" spans="1:8" x14ac:dyDescent="0.25">
      <c r="A2955" s="7">
        <v>44590</v>
      </c>
      <c r="B2955" s="8" t="s">
        <v>3349</v>
      </c>
      <c r="C2955" s="9" t="s">
        <v>348</v>
      </c>
      <c r="D2955" s="10">
        <v>4109.2</v>
      </c>
      <c r="E2955" s="11">
        <v>44590</v>
      </c>
      <c r="F2955" s="10">
        <v>4109.2</v>
      </c>
      <c r="G2955" s="12">
        <f>Tabla1[[#This Row],[Importe]]-Tabla1[[#This Row],[Pagado]]</f>
        <v>0</v>
      </c>
      <c r="H2955" s="9" t="s">
        <v>10</v>
      </c>
    </row>
    <row r="2956" spans="1:8" ht="30" x14ac:dyDescent="0.25">
      <c r="A2956" s="7">
        <v>44590</v>
      </c>
      <c r="B2956" s="8" t="s">
        <v>3350</v>
      </c>
      <c r="C2956" s="9" t="s">
        <v>22</v>
      </c>
      <c r="D2956" s="10">
        <v>45902.8</v>
      </c>
      <c r="E2956" s="11" t="s">
        <v>3642</v>
      </c>
      <c r="F2956" s="10">
        <f>40000+5902.8</f>
        <v>45902.8</v>
      </c>
      <c r="G2956" s="12">
        <f>Tabla1[[#This Row],[Importe]]-Tabla1[[#This Row],[Pagado]]</f>
        <v>0</v>
      </c>
      <c r="H2956" s="9" t="s">
        <v>10</v>
      </c>
    </row>
    <row r="2957" spans="1:8" x14ac:dyDescent="0.25">
      <c r="A2957" s="7">
        <v>44590</v>
      </c>
      <c r="B2957" s="8" t="s">
        <v>3351</v>
      </c>
      <c r="C2957" s="9" t="s">
        <v>146</v>
      </c>
      <c r="D2957" s="10">
        <v>2937.6</v>
      </c>
      <c r="E2957" s="11">
        <v>44590</v>
      </c>
      <c r="F2957" s="10">
        <v>2937.6</v>
      </c>
      <c r="G2957" s="12">
        <f>Tabla1[[#This Row],[Importe]]-Tabla1[[#This Row],[Pagado]]</f>
        <v>0</v>
      </c>
      <c r="H2957" s="9" t="s">
        <v>10</v>
      </c>
    </row>
    <row r="2958" spans="1:8" x14ac:dyDescent="0.25">
      <c r="A2958" s="7">
        <v>44590</v>
      </c>
      <c r="B2958" s="8" t="s">
        <v>3352</v>
      </c>
      <c r="C2958" s="9" t="s">
        <v>31</v>
      </c>
      <c r="D2958" s="10">
        <v>450</v>
      </c>
      <c r="E2958" s="11">
        <v>44590</v>
      </c>
      <c r="F2958" s="10">
        <v>450</v>
      </c>
      <c r="G2958" s="12">
        <f>Tabla1[[#This Row],[Importe]]-Tabla1[[#This Row],[Pagado]]</f>
        <v>0</v>
      </c>
      <c r="H2958" s="9" t="s">
        <v>10</v>
      </c>
    </row>
    <row r="2959" spans="1:8" x14ac:dyDescent="0.25">
      <c r="A2959" s="7">
        <v>44590</v>
      </c>
      <c r="B2959" s="8" t="s">
        <v>3353</v>
      </c>
      <c r="C2959" s="9" t="s">
        <v>107</v>
      </c>
      <c r="D2959" s="10">
        <v>27107.200000000001</v>
      </c>
      <c r="E2959" s="11">
        <v>44590</v>
      </c>
      <c r="F2959" s="10">
        <v>27107.200000000001</v>
      </c>
      <c r="G2959" s="12">
        <f>Tabla1[[#This Row],[Importe]]-Tabla1[[#This Row],[Pagado]]</f>
        <v>0</v>
      </c>
      <c r="H2959" s="9" t="s">
        <v>10</v>
      </c>
    </row>
    <row r="2960" spans="1:8" x14ac:dyDescent="0.25">
      <c r="A2960" s="7">
        <v>44590</v>
      </c>
      <c r="B2960" s="8" t="s">
        <v>3354</v>
      </c>
      <c r="C2960" s="9" t="s">
        <v>357</v>
      </c>
      <c r="D2960" s="10">
        <v>3788.1</v>
      </c>
      <c r="E2960" s="11">
        <v>44590</v>
      </c>
      <c r="F2960" s="10">
        <v>3788.1</v>
      </c>
      <c r="G2960" s="12">
        <f>Tabla1[[#This Row],[Importe]]-Tabla1[[#This Row],[Pagado]]</f>
        <v>0</v>
      </c>
      <c r="H2960" s="9" t="s">
        <v>10</v>
      </c>
    </row>
    <row r="2961" spans="1:8" x14ac:dyDescent="0.25">
      <c r="A2961" s="7">
        <v>44590</v>
      </c>
      <c r="B2961" s="8" t="s">
        <v>3355</v>
      </c>
      <c r="C2961" s="9" t="s">
        <v>131</v>
      </c>
      <c r="D2961" s="10">
        <v>11153.1</v>
      </c>
      <c r="E2961" s="11">
        <v>44590</v>
      </c>
      <c r="F2961" s="10">
        <v>11153.1</v>
      </c>
      <c r="G2961" s="12">
        <f>Tabla1[[#This Row],[Importe]]-Tabla1[[#This Row],[Pagado]]</f>
        <v>0</v>
      </c>
      <c r="H2961" s="9" t="s">
        <v>10</v>
      </c>
    </row>
    <row r="2962" spans="1:8" x14ac:dyDescent="0.25">
      <c r="A2962" s="7">
        <v>44590</v>
      </c>
      <c r="B2962" s="8" t="s">
        <v>3356</v>
      </c>
      <c r="C2962" s="9" t="s">
        <v>129</v>
      </c>
      <c r="D2962" s="10">
        <v>5143</v>
      </c>
      <c r="E2962" s="11">
        <v>44590</v>
      </c>
      <c r="F2962" s="10">
        <v>5143</v>
      </c>
      <c r="G2962" s="12">
        <f>Tabla1[[#This Row],[Importe]]-Tabla1[[#This Row],[Pagado]]</f>
        <v>0</v>
      </c>
      <c r="H2962" s="9" t="s">
        <v>10</v>
      </c>
    </row>
    <row r="2963" spans="1:8" x14ac:dyDescent="0.25">
      <c r="A2963" s="7">
        <v>44590</v>
      </c>
      <c r="B2963" s="8" t="s">
        <v>3357</v>
      </c>
      <c r="C2963" s="9" t="s">
        <v>196</v>
      </c>
      <c r="D2963" s="10">
        <v>81224.759999999995</v>
      </c>
      <c r="E2963" s="11">
        <v>44597</v>
      </c>
      <c r="F2963" s="10">
        <v>81224.759999999995</v>
      </c>
      <c r="G2963" s="12">
        <f>Tabla1[[#This Row],[Importe]]-Tabla1[[#This Row],[Pagado]]</f>
        <v>0</v>
      </c>
      <c r="H2963" s="9" t="s">
        <v>10</v>
      </c>
    </row>
    <row r="2964" spans="1:8" x14ac:dyDescent="0.25">
      <c r="A2964" s="7">
        <v>44590</v>
      </c>
      <c r="B2964" s="8" t="s">
        <v>3358</v>
      </c>
      <c r="C2964" s="9" t="s">
        <v>196</v>
      </c>
      <c r="D2964" s="10">
        <v>4089.6</v>
      </c>
      <c r="E2964" s="11">
        <v>44597</v>
      </c>
      <c r="F2964" s="10">
        <v>4089.6</v>
      </c>
      <c r="G2964" s="12">
        <f>Tabla1[[#This Row],[Importe]]-Tabla1[[#This Row],[Pagado]]</f>
        <v>0</v>
      </c>
      <c r="H2964" s="9" t="s">
        <v>10</v>
      </c>
    </row>
    <row r="2965" spans="1:8" x14ac:dyDescent="0.25">
      <c r="A2965" s="7">
        <v>44590</v>
      </c>
      <c r="B2965" s="8" t="s">
        <v>3359</v>
      </c>
      <c r="C2965" s="9" t="s">
        <v>16</v>
      </c>
      <c r="D2965" s="10">
        <v>5959.8</v>
      </c>
      <c r="E2965" s="11">
        <v>44590</v>
      </c>
      <c r="F2965" s="10">
        <v>5959.8</v>
      </c>
      <c r="G2965" s="12">
        <f>Tabla1[[#This Row],[Importe]]-Tabla1[[#This Row],[Pagado]]</f>
        <v>0</v>
      </c>
      <c r="H2965" s="9" t="s">
        <v>10</v>
      </c>
    </row>
    <row r="2966" spans="1:8" x14ac:dyDescent="0.25">
      <c r="A2966" s="7">
        <v>44590</v>
      </c>
      <c r="B2966" s="8" t="s">
        <v>3360</v>
      </c>
      <c r="C2966" s="9" t="s">
        <v>339</v>
      </c>
      <c r="D2966" s="10">
        <v>2841.3</v>
      </c>
      <c r="E2966" s="11">
        <v>44590</v>
      </c>
      <c r="F2966" s="10">
        <v>2841.3</v>
      </c>
      <c r="G2966" s="12">
        <f>Tabla1[[#This Row],[Importe]]-Tabla1[[#This Row],[Pagado]]</f>
        <v>0</v>
      </c>
      <c r="H2966" s="9" t="s">
        <v>10</v>
      </c>
    </row>
    <row r="2967" spans="1:8" x14ac:dyDescent="0.25">
      <c r="A2967" s="7">
        <v>44590</v>
      </c>
      <c r="B2967" s="8" t="s">
        <v>3361</v>
      </c>
      <c r="C2967" s="9" t="s">
        <v>484</v>
      </c>
      <c r="D2967" s="10">
        <v>5753.6</v>
      </c>
      <c r="E2967" s="11">
        <v>44590</v>
      </c>
      <c r="F2967" s="10">
        <v>5753.6</v>
      </c>
      <c r="G2967" s="12">
        <f>Tabla1[[#This Row],[Importe]]-Tabla1[[#This Row],[Pagado]]</f>
        <v>0</v>
      </c>
      <c r="H2967" s="9" t="s">
        <v>10</v>
      </c>
    </row>
    <row r="2968" spans="1:8" x14ac:dyDescent="0.25">
      <c r="A2968" s="7">
        <v>44590</v>
      </c>
      <c r="B2968" s="8" t="s">
        <v>3362</v>
      </c>
      <c r="C2968" s="9" t="s">
        <v>179</v>
      </c>
      <c r="D2968" s="10">
        <v>1285</v>
      </c>
      <c r="E2968" s="11">
        <v>44590</v>
      </c>
      <c r="F2968" s="10">
        <v>1285</v>
      </c>
      <c r="G2968" s="12">
        <f>Tabla1[[#This Row],[Importe]]-Tabla1[[#This Row],[Pagado]]</f>
        <v>0</v>
      </c>
      <c r="H2968" s="9" t="s">
        <v>10</v>
      </c>
    </row>
    <row r="2969" spans="1:8" x14ac:dyDescent="0.25">
      <c r="A2969" s="7">
        <v>44590</v>
      </c>
      <c r="B2969" s="8" t="s">
        <v>3363</v>
      </c>
      <c r="C2969" s="9" t="s">
        <v>484</v>
      </c>
      <c r="D2969" s="10">
        <v>201.6</v>
      </c>
      <c r="E2969" s="11">
        <v>44590</v>
      </c>
      <c r="F2969" s="10">
        <v>201.6</v>
      </c>
      <c r="G2969" s="12">
        <f>Tabla1[[#This Row],[Importe]]-Tabla1[[#This Row],[Pagado]]</f>
        <v>0</v>
      </c>
      <c r="H2969" s="9" t="s">
        <v>10</v>
      </c>
    </row>
    <row r="2970" spans="1:8" x14ac:dyDescent="0.25">
      <c r="A2970" s="7">
        <v>44590</v>
      </c>
      <c r="B2970" s="8" t="s">
        <v>3364</v>
      </c>
      <c r="C2970" s="9" t="s">
        <v>230</v>
      </c>
      <c r="D2970" s="10">
        <v>4452</v>
      </c>
      <c r="E2970" s="11">
        <v>44590</v>
      </c>
      <c r="F2970" s="10">
        <v>4452</v>
      </c>
      <c r="G2970" s="12">
        <f>Tabla1[[#This Row],[Importe]]-Tabla1[[#This Row],[Pagado]]</f>
        <v>0</v>
      </c>
      <c r="H2970" s="9" t="s">
        <v>10</v>
      </c>
    </row>
    <row r="2971" spans="1:8" x14ac:dyDescent="0.25">
      <c r="A2971" s="7">
        <v>44590</v>
      </c>
      <c r="B2971" s="8" t="s">
        <v>3365</v>
      </c>
      <c r="C2971" s="9" t="s">
        <v>140</v>
      </c>
      <c r="D2971" s="10">
        <v>1323</v>
      </c>
      <c r="E2971" s="11">
        <v>44590</v>
      </c>
      <c r="F2971" s="10">
        <v>1323</v>
      </c>
      <c r="G2971" s="12">
        <f>Tabla1[[#This Row],[Importe]]-Tabla1[[#This Row],[Pagado]]</f>
        <v>0</v>
      </c>
      <c r="H2971" s="9" t="s">
        <v>10</v>
      </c>
    </row>
    <row r="2972" spans="1:8" x14ac:dyDescent="0.25">
      <c r="A2972" s="7">
        <v>44590</v>
      </c>
      <c r="B2972" s="8" t="s">
        <v>3366</v>
      </c>
      <c r="C2972" s="9" t="s">
        <v>333</v>
      </c>
      <c r="D2972" s="10">
        <v>2347.3000000000002</v>
      </c>
      <c r="E2972" s="11">
        <v>44590</v>
      </c>
      <c r="F2972" s="10">
        <v>2347.3000000000002</v>
      </c>
      <c r="G2972" s="12">
        <f>Tabla1[[#This Row],[Importe]]-Tabla1[[#This Row],[Pagado]]</f>
        <v>0</v>
      </c>
      <c r="H2972" s="9" t="s">
        <v>10</v>
      </c>
    </row>
    <row r="2973" spans="1:8" x14ac:dyDescent="0.25">
      <c r="A2973" s="7">
        <v>44590</v>
      </c>
      <c r="B2973" s="8" t="s">
        <v>3367</v>
      </c>
      <c r="C2973" s="9" t="s">
        <v>196</v>
      </c>
      <c r="D2973" s="10">
        <v>8445.7999999999993</v>
      </c>
      <c r="E2973" s="11">
        <v>44597</v>
      </c>
      <c r="F2973" s="10">
        <v>8445.7999999999993</v>
      </c>
      <c r="G2973" s="12">
        <f>Tabla1[[#This Row],[Importe]]-Tabla1[[#This Row],[Pagado]]</f>
        <v>0</v>
      </c>
      <c r="H2973" s="9" t="s">
        <v>10</v>
      </c>
    </row>
    <row r="2974" spans="1:8" x14ac:dyDescent="0.25">
      <c r="A2974" s="7">
        <v>44590</v>
      </c>
      <c r="B2974" s="8" t="s">
        <v>3368</v>
      </c>
      <c r="C2974" s="9" t="s">
        <v>135</v>
      </c>
      <c r="D2974" s="10">
        <v>808.5</v>
      </c>
      <c r="E2974" s="11">
        <v>44590</v>
      </c>
      <c r="F2974" s="10">
        <v>808.5</v>
      </c>
      <c r="G2974" s="12">
        <f>Tabla1[[#This Row],[Importe]]-Tabla1[[#This Row],[Pagado]]</f>
        <v>0</v>
      </c>
      <c r="H2974" s="9" t="s">
        <v>10</v>
      </c>
    </row>
    <row r="2975" spans="1:8" x14ac:dyDescent="0.25">
      <c r="A2975" s="7">
        <v>44590</v>
      </c>
      <c r="B2975" s="8" t="s">
        <v>3369</v>
      </c>
      <c r="C2975" s="9" t="s">
        <v>31</v>
      </c>
      <c r="D2975" s="10">
        <v>1388.8</v>
      </c>
      <c r="E2975" s="11">
        <v>44590</v>
      </c>
      <c r="F2975" s="10">
        <v>1388.8</v>
      </c>
      <c r="G2975" s="12">
        <f>Tabla1[[#This Row],[Importe]]-Tabla1[[#This Row],[Pagado]]</f>
        <v>0</v>
      </c>
      <c r="H2975" s="9" t="s">
        <v>10</v>
      </c>
    </row>
    <row r="2976" spans="1:8" x14ac:dyDescent="0.25">
      <c r="A2976" s="7">
        <v>44590</v>
      </c>
      <c r="B2976" s="8" t="s">
        <v>3370</v>
      </c>
      <c r="C2976" s="9" t="s">
        <v>664</v>
      </c>
      <c r="D2976" s="10">
        <v>5664.4</v>
      </c>
      <c r="E2976" s="11">
        <v>44590</v>
      </c>
      <c r="F2976" s="10">
        <v>5664.4</v>
      </c>
      <c r="G2976" s="12">
        <f>Tabla1[[#This Row],[Importe]]-Tabla1[[#This Row],[Pagado]]</f>
        <v>0</v>
      </c>
      <c r="H2976" s="9" t="s">
        <v>10</v>
      </c>
    </row>
    <row r="2977" spans="1:8" x14ac:dyDescent="0.25">
      <c r="A2977" s="7">
        <v>44590</v>
      </c>
      <c r="B2977" s="8" t="s">
        <v>3371</v>
      </c>
      <c r="C2977" s="9" t="s">
        <v>161</v>
      </c>
      <c r="D2977" s="10">
        <v>1053.5</v>
      </c>
      <c r="E2977" s="11">
        <v>44590</v>
      </c>
      <c r="F2977" s="10">
        <v>1053.5</v>
      </c>
      <c r="G2977" s="12">
        <f>Tabla1[[#This Row],[Importe]]-Tabla1[[#This Row],[Pagado]]</f>
        <v>0</v>
      </c>
      <c r="H2977" s="9" t="s">
        <v>10</v>
      </c>
    </row>
    <row r="2978" spans="1:8" x14ac:dyDescent="0.25">
      <c r="A2978" s="7">
        <v>44590</v>
      </c>
      <c r="B2978" s="8" t="s">
        <v>3372</v>
      </c>
      <c r="C2978" s="9" t="s">
        <v>29</v>
      </c>
      <c r="D2978" s="10">
        <v>4825</v>
      </c>
      <c r="E2978" s="11">
        <v>44590</v>
      </c>
      <c r="F2978" s="10">
        <v>4825</v>
      </c>
      <c r="G2978" s="12">
        <f>Tabla1[[#This Row],[Importe]]-Tabla1[[#This Row],[Pagado]]</f>
        <v>0</v>
      </c>
      <c r="H2978" s="9" t="s">
        <v>10</v>
      </c>
    </row>
    <row r="2979" spans="1:8" x14ac:dyDescent="0.25">
      <c r="A2979" s="7">
        <v>44590</v>
      </c>
      <c r="B2979" s="8" t="s">
        <v>3373</v>
      </c>
      <c r="C2979" s="9" t="s">
        <v>1239</v>
      </c>
      <c r="D2979" s="10">
        <v>19201.400000000001</v>
      </c>
      <c r="E2979" s="11">
        <v>44590</v>
      </c>
      <c r="F2979" s="10">
        <v>19201.400000000001</v>
      </c>
      <c r="G2979" s="12">
        <f>Tabla1[[#This Row],[Importe]]-Tabla1[[#This Row],[Pagado]]</f>
        <v>0</v>
      </c>
      <c r="H2979" s="9" t="s">
        <v>10</v>
      </c>
    </row>
    <row r="2980" spans="1:8" x14ac:dyDescent="0.25">
      <c r="A2980" s="7">
        <v>44590</v>
      </c>
      <c r="B2980" s="8" t="s">
        <v>3374</v>
      </c>
      <c r="C2980" s="9" t="s">
        <v>146</v>
      </c>
      <c r="D2980" s="10">
        <v>4310.3999999999996</v>
      </c>
      <c r="E2980" s="11">
        <v>44590</v>
      </c>
      <c r="F2980" s="10">
        <v>4310.3999999999996</v>
      </c>
      <c r="G2980" s="12">
        <f>Tabla1[[#This Row],[Importe]]-Tabla1[[#This Row],[Pagado]]</f>
        <v>0</v>
      </c>
      <c r="H2980" s="9" t="s">
        <v>10</v>
      </c>
    </row>
    <row r="2981" spans="1:8" x14ac:dyDescent="0.25">
      <c r="A2981" s="7">
        <v>44590</v>
      </c>
      <c r="B2981" s="8" t="s">
        <v>3375</v>
      </c>
      <c r="C2981" s="9" t="s">
        <v>414</v>
      </c>
      <c r="D2981" s="10">
        <v>36.81</v>
      </c>
      <c r="E2981" s="11">
        <v>44601</v>
      </c>
      <c r="F2981" s="10">
        <v>36.81</v>
      </c>
      <c r="G2981" s="12">
        <f>Tabla1[[#This Row],[Importe]]-Tabla1[[#This Row],[Pagado]]</f>
        <v>0</v>
      </c>
      <c r="H2981" s="9" t="s">
        <v>10</v>
      </c>
    </row>
    <row r="2982" spans="1:8" x14ac:dyDescent="0.25">
      <c r="A2982" s="7">
        <v>44590</v>
      </c>
      <c r="B2982" s="8" t="s">
        <v>3376</v>
      </c>
      <c r="C2982" s="9" t="s">
        <v>181</v>
      </c>
      <c r="D2982" s="10">
        <v>15842.8</v>
      </c>
      <c r="E2982" s="11">
        <v>44590</v>
      </c>
      <c r="F2982" s="10">
        <v>15842.8</v>
      </c>
      <c r="G2982" s="12">
        <f>Tabla1[[#This Row],[Importe]]-Tabla1[[#This Row],[Pagado]]</f>
        <v>0</v>
      </c>
      <c r="H2982" s="9" t="s">
        <v>10</v>
      </c>
    </row>
    <row r="2983" spans="1:8" x14ac:dyDescent="0.25">
      <c r="A2983" s="7">
        <v>44590</v>
      </c>
      <c r="B2983" s="8" t="s">
        <v>3377</v>
      </c>
      <c r="C2983" s="9" t="s">
        <v>312</v>
      </c>
      <c r="D2983" s="10">
        <v>1726.2</v>
      </c>
      <c r="E2983" s="11">
        <v>44590</v>
      </c>
      <c r="F2983" s="10">
        <v>1726.2</v>
      </c>
      <c r="G2983" s="12">
        <f>Tabla1[[#This Row],[Importe]]-Tabla1[[#This Row],[Pagado]]</f>
        <v>0</v>
      </c>
      <c r="H2983" s="9" t="s">
        <v>10</v>
      </c>
    </row>
    <row r="2984" spans="1:8" x14ac:dyDescent="0.25">
      <c r="A2984" s="7">
        <v>44590</v>
      </c>
      <c r="B2984" s="8" t="s">
        <v>3378</v>
      </c>
      <c r="C2984" s="9" t="s">
        <v>45</v>
      </c>
      <c r="D2984" s="10">
        <v>8238</v>
      </c>
      <c r="E2984" s="11">
        <v>44590</v>
      </c>
      <c r="F2984" s="10">
        <v>8238</v>
      </c>
      <c r="G2984" s="12">
        <f>Tabla1[[#This Row],[Importe]]-Tabla1[[#This Row],[Pagado]]</f>
        <v>0</v>
      </c>
      <c r="H2984" s="9" t="s">
        <v>10</v>
      </c>
    </row>
    <row r="2985" spans="1:8" x14ac:dyDescent="0.25">
      <c r="A2985" s="7">
        <v>44590</v>
      </c>
      <c r="B2985" s="8" t="s">
        <v>3379</v>
      </c>
      <c r="C2985" s="9" t="s">
        <v>49</v>
      </c>
      <c r="D2985" s="10">
        <v>3357</v>
      </c>
      <c r="E2985" s="11">
        <v>44590</v>
      </c>
      <c r="F2985" s="10">
        <v>3357</v>
      </c>
      <c r="G2985" s="12">
        <f>Tabla1[[#This Row],[Importe]]-Tabla1[[#This Row],[Pagado]]</f>
        <v>0</v>
      </c>
      <c r="H2985" s="9" t="s">
        <v>10</v>
      </c>
    </row>
    <row r="2986" spans="1:8" x14ac:dyDescent="0.25">
      <c r="A2986" s="7">
        <v>44590</v>
      </c>
      <c r="B2986" s="8" t="s">
        <v>3380</v>
      </c>
      <c r="C2986" s="9" t="s">
        <v>85</v>
      </c>
      <c r="D2986" s="10">
        <v>2237.1999999999998</v>
      </c>
      <c r="E2986" s="11">
        <v>44590</v>
      </c>
      <c r="F2986" s="10">
        <v>2237.1999999999998</v>
      </c>
      <c r="G2986" s="12">
        <f>Tabla1[[#This Row],[Importe]]-Tabla1[[#This Row],[Pagado]]</f>
        <v>0</v>
      </c>
      <c r="H2986" s="9" t="s">
        <v>10</v>
      </c>
    </row>
    <row r="2987" spans="1:8" x14ac:dyDescent="0.25">
      <c r="A2987" s="7">
        <v>44590</v>
      </c>
      <c r="B2987" s="8" t="s">
        <v>3381</v>
      </c>
      <c r="C2987" s="9" t="s">
        <v>284</v>
      </c>
      <c r="D2987" s="10">
        <v>10380</v>
      </c>
      <c r="E2987" s="11">
        <v>44591</v>
      </c>
      <c r="F2987" s="10">
        <v>10380</v>
      </c>
      <c r="G2987" s="12">
        <f>Tabla1[[#This Row],[Importe]]-Tabla1[[#This Row],[Pagado]]</f>
        <v>0</v>
      </c>
      <c r="H2987" s="9" t="s">
        <v>10</v>
      </c>
    </row>
    <row r="2988" spans="1:8" x14ac:dyDescent="0.25">
      <c r="A2988" s="7">
        <v>44590</v>
      </c>
      <c r="B2988" s="8" t="s">
        <v>3382</v>
      </c>
      <c r="C2988" s="9" t="s">
        <v>58</v>
      </c>
      <c r="D2988" s="10">
        <v>3536</v>
      </c>
      <c r="E2988" s="11">
        <v>44590</v>
      </c>
      <c r="F2988" s="10">
        <v>3536</v>
      </c>
      <c r="G2988" s="12">
        <f>Tabla1[[#This Row],[Importe]]-Tabla1[[#This Row],[Pagado]]</f>
        <v>0</v>
      </c>
      <c r="H2988" s="9" t="s">
        <v>10</v>
      </c>
    </row>
    <row r="2989" spans="1:8" x14ac:dyDescent="0.25">
      <c r="A2989" s="7">
        <v>44590</v>
      </c>
      <c r="B2989" s="8" t="s">
        <v>3383</v>
      </c>
      <c r="C2989" s="9" t="s">
        <v>282</v>
      </c>
      <c r="D2989" s="10">
        <v>5300</v>
      </c>
      <c r="E2989" s="11">
        <v>44591</v>
      </c>
      <c r="F2989" s="10">
        <v>5300</v>
      </c>
      <c r="G2989" s="12">
        <f>Tabla1[[#This Row],[Importe]]-Tabla1[[#This Row],[Pagado]]</f>
        <v>0</v>
      </c>
      <c r="H2989" s="9" t="s">
        <v>10</v>
      </c>
    </row>
    <row r="2990" spans="1:8" x14ac:dyDescent="0.25">
      <c r="A2990" s="7">
        <v>44590</v>
      </c>
      <c r="B2990" s="8" t="s">
        <v>3384</v>
      </c>
      <c r="C2990" s="9" t="s">
        <v>710</v>
      </c>
      <c r="D2990" s="10">
        <v>480.2</v>
      </c>
      <c r="E2990" s="11">
        <v>44590</v>
      </c>
      <c r="F2990" s="10">
        <v>480.2</v>
      </c>
      <c r="G2990" s="12">
        <f>Tabla1[[#This Row],[Importe]]-Tabla1[[#This Row],[Pagado]]</f>
        <v>0</v>
      </c>
      <c r="H2990" s="9" t="s">
        <v>10</v>
      </c>
    </row>
    <row r="2991" spans="1:8" x14ac:dyDescent="0.25">
      <c r="A2991" s="7">
        <v>44590</v>
      </c>
      <c r="B2991" s="8" t="s">
        <v>3385</v>
      </c>
      <c r="C2991" s="9" t="s">
        <v>359</v>
      </c>
      <c r="D2991" s="10">
        <v>2332</v>
      </c>
      <c r="E2991" s="11">
        <v>44590</v>
      </c>
      <c r="F2991" s="10">
        <v>2332</v>
      </c>
      <c r="G2991" s="12">
        <f>Tabla1[[#This Row],[Importe]]-Tabla1[[#This Row],[Pagado]]</f>
        <v>0</v>
      </c>
      <c r="H2991" s="9" t="s">
        <v>10</v>
      </c>
    </row>
    <row r="2992" spans="1:8" x14ac:dyDescent="0.25">
      <c r="A2992" s="7">
        <v>44590</v>
      </c>
      <c r="B2992" s="8" t="s">
        <v>3386</v>
      </c>
      <c r="C2992" s="9" t="s">
        <v>280</v>
      </c>
      <c r="D2992" s="10">
        <v>2640</v>
      </c>
      <c r="E2992" s="11">
        <v>44591</v>
      </c>
      <c r="F2992" s="10">
        <v>2640</v>
      </c>
      <c r="G2992" s="12">
        <f>Tabla1[[#This Row],[Importe]]-Tabla1[[#This Row],[Pagado]]</f>
        <v>0</v>
      </c>
      <c r="H2992" s="9" t="s">
        <v>10</v>
      </c>
    </row>
    <row r="2993" spans="1:8" x14ac:dyDescent="0.25">
      <c r="A2993" s="7">
        <v>44590</v>
      </c>
      <c r="B2993" s="8" t="s">
        <v>3387</v>
      </c>
      <c r="C2993" s="9" t="s">
        <v>431</v>
      </c>
      <c r="D2993" s="10">
        <v>520</v>
      </c>
      <c r="E2993" s="11">
        <v>44591</v>
      </c>
      <c r="F2993" s="10">
        <v>520</v>
      </c>
      <c r="G2993" s="12">
        <f>Tabla1[[#This Row],[Importe]]-Tabla1[[#This Row],[Pagado]]</f>
        <v>0</v>
      </c>
      <c r="H2993" s="9" t="s">
        <v>10</v>
      </c>
    </row>
    <row r="2994" spans="1:8" x14ac:dyDescent="0.25">
      <c r="A2994" s="7">
        <v>44590</v>
      </c>
      <c r="B2994" s="8" t="s">
        <v>3388</v>
      </c>
      <c r="C2994" s="9" t="s">
        <v>56</v>
      </c>
      <c r="D2994" s="10">
        <v>10693</v>
      </c>
      <c r="E2994" s="11">
        <v>44590</v>
      </c>
      <c r="F2994" s="10">
        <v>10693</v>
      </c>
      <c r="G2994" s="12">
        <f>Tabla1[[#This Row],[Importe]]-Tabla1[[#This Row],[Pagado]]</f>
        <v>0</v>
      </c>
      <c r="H2994" s="9" t="s">
        <v>10</v>
      </c>
    </row>
    <row r="2995" spans="1:8" x14ac:dyDescent="0.25">
      <c r="A2995" s="7">
        <v>44590</v>
      </c>
      <c r="B2995" s="8" t="s">
        <v>3389</v>
      </c>
      <c r="C2995" s="9" t="s">
        <v>230</v>
      </c>
      <c r="D2995" s="10">
        <v>1036.8</v>
      </c>
      <c r="E2995" s="11">
        <v>44590</v>
      </c>
      <c r="F2995" s="10">
        <v>1036.8</v>
      </c>
      <c r="G2995" s="12">
        <f>Tabla1[[#This Row],[Importe]]-Tabla1[[#This Row],[Pagado]]</f>
        <v>0</v>
      </c>
      <c r="H2995" s="9" t="s">
        <v>10</v>
      </c>
    </row>
    <row r="2996" spans="1:8" x14ac:dyDescent="0.25">
      <c r="A2996" s="7">
        <v>44590</v>
      </c>
      <c r="B2996" s="8" t="s">
        <v>3390</v>
      </c>
      <c r="C2996" s="9" t="s">
        <v>382</v>
      </c>
      <c r="D2996" s="10">
        <v>5784</v>
      </c>
      <c r="E2996" s="11">
        <v>44590</v>
      </c>
      <c r="F2996" s="10">
        <v>5784</v>
      </c>
      <c r="G2996" s="12">
        <f>Tabla1[[#This Row],[Importe]]-Tabla1[[#This Row],[Pagado]]</f>
        <v>0</v>
      </c>
      <c r="H2996" s="9" t="s">
        <v>10</v>
      </c>
    </row>
    <row r="2997" spans="1:8" x14ac:dyDescent="0.25">
      <c r="A2997" s="7">
        <v>44590</v>
      </c>
      <c r="B2997" s="8" t="s">
        <v>3391</v>
      </c>
      <c r="C2997" s="9" t="s">
        <v>89</v>
      </c>
      <c r="D2997" s="10">
        <v>2950.6</v>
      </c>
      <c r="E2997" s="11">
        <v>44590</v>
      </c>
      <c r="F2997" s="10">
        <v>2950.6</v>
      </c>
      <c r="G2997" s="12">
        <f>Tabla1[[#This Row],[Importe]]-Tabla1[[#This Row],[Pagado]]</f>
        <v>0</v>
      </c>
      <c r="H2997" s="9" t="s">
        <v>10</v>
      </c>
    </row>
    <row r="2998" spans="1:8" x14ac:dyDescent="0.25">
      <c r="A2998" s="7">
        <v>44590</v>
      </c>
      <c r="B2998" s="8" t="s">
        <v>3392</v>
      </c>
      <c r="C2998" s="9" t="s">
        <v>53</v>
      </c>
      <c r="D2998" s="10">
        <v>4498.2</v>
      </c>
      <c r="E2998" s="11">
        <v>44590</v>
      </c>
      <c r="F2998" s="10">
        <v>4498.2</v>
      </c>
      <c r="G2998" s="12">
        <f>Tabla1[[#This Row],[Importe]]-Tabla1[[#This Row],[Pagado]]</f>
        <v>0</v>
      </c>
      <c r="H2998" s="9" t="s">
        <v>10</v>
      </c>
    </row>
    <row r="2999" spans="1:8" x14ac:dyDescent="0.25">
      <c r="A2999" s="7">
        <v>44590</v>
      </c>
      <c r="B2999" s="8" t="s">
        <v>3393</v>
      </c>
      <c r="C2999" s="9" t="s">
        <v>1064</v>
      </c>
      <c r="D2999" s="10">
        <v>811.2</v>
      </c>
      <c r="E2999" s="11">
        <v>44590</v>
      </c>
      <c r="F2999" s="10">
        <v>811.2</v>
      </c>
      <c r="G2999" s="12">
        <f>Tabla1[[#This Row],[Importe]]-Tabla1[[#This Row],[Pagado]]</f>
        <v>0</v>
      </c>
      <c r="H2999" s="9" t="s">
        <v>10</v>
      </c>
    </row>
    <row r="3000" spans="1:8" x14ac:dyDescent="0.25">
      <c r="A3000" s="7">
        <v>44590</v>
      </c>
      <c r="B3000" s="8" t="s">
        <v>3394</v>
      </c>
      <c r="C3000" s="9" t="s">
        <v>216</v>
      </c>
      <c r="D3000" s="10">
        <v>1775</v>
      </c>
      <c r="E3000" s="11">
        <v>44590</v>
      </c>
      <c r="F3000" s="10">
        <v>1775</v>
      </c>
      <c r="G3000" s="12">
        <f>Tabla1[[#This Row],[Importe]]-Tabla1[[#This Row],[Pagado]]</f>
        <v>0</v>
      </c>
      <c r="H3000" s="9" t="s">
        <v>10</v>
      </c>
    </row>
    <row r="3001" spans="1:8" x14ac:dyDescent="0.25">
      <c r="A3001" s="7">
        <v>44590</v>
      </c>
      <c r="B3001" s="8" t="s">
        <v>3395</v>
      </c>
      <c r="C3001" s="9" t="s">
        <v>24</v>
      </c>
      <c r="D3001" s="10">
        <v>3509.1</v>
      </c>
      <c r="E3001" s="11">
        <v>44590</v>
      </c>
      <c r="F3001" s="10">
        <v>3509.1</v>
      </c>
      <c r="G3001" s="12">
        <f>Tabla1[[#This Row],[Importe]]-Tabla1[[#This Row],[Pagado]]</f>
        <v>0</v>
      </c>
      <c r="H3001" s="9" t="s">
        <v>10</v>
      </c>
    </row>
    <row r="3002" spans="1:8" x14ac:dyDescent="0.25">
      <c r="A3002" s="7">
        <v>44590</v>
      </c>
      <c r="B3002" s="8" t="s">
        <v>3396</v>
      </c>
      <c r="C3002" s="9" t="s">
        <v>142</v>
      </c>
      <c r="D3002" s="10">
        <v>53825.279999999999</v>
      </c>
      <c r="E3002" s="11">
        <v>44617</v>
      </c>
      <c r="F3002" s="10">
        <v>53825.279999999999</v>
      </c>
      <c r="G3002" s="12">
        <f>Tabla1[[#This Row],[Importe]]-Tabla1[[#This Row],[Pagado]]</f>
        <v>0</v>
      </c>
      <c r="H3002" s="9" t="s">
        <v>10</v>
      </c>
    </row>
    <row r="3003" spans="1:8" x14ac:dyDescent="0.25">
      <c r="A3003" s="7">
        <v>44590</v>
      </c>
      <c r="B3003" s="8" t="s">
        <v>3397</v>
      </c>
      <c r="C3003" s="9" t="s">
        <v>289</v>
      </c>
      <c r="D3003" s="10">
        <v>8899.2000000000007</v>
      </c>
      <c r="E3003" s="11">
        <v>44590</v>
      </c>
      <c r="F3003" s="10">
        <v>8899.2000000000007</v>
      </c>
      <c r="G3003" s="12">
        <f>Tabla1[[#This Row],[Importe]]-Tabla1[[#This Row],[Pagado]]</f>
        <v>0</v>
      </c>
      <c r="H3003" s="9" t="s">
        <v>10</v>
      </c>
    </row>
    <row r="3004" spans="1:8" x14ac:dyDescent="0.25">
      <c r="A3004" s="7">
        <v>44590</v>
      </c>
      <c r="B3004" s="8" t="s">
        <v>3398</v>
      </c>
      <c r="C3004" s="9" t="s">
        <v>191</v>
      </c>
      <c r="D3004" s="10">
        <v>1392.3</v>
      </c>
      <c r="E3004" s="11">
        <v>44590</v>
      </c>
      <c r="F3004" s="10">
        <v>1392.3</v>
      </c>
      <c r="G3004" s="12">
        <f>Tabla1[[#This Row],[Importe]]-Tabla1[[#This Row],[Pagado]]</f>
        <v>0</v>
      </c>
      <c r="H3004" s="9" t="s">
        <v>10</v>
      </c>
    </row>
    <row r="3005" spans="1:8" x14ac:dyDescent="0.25">
      <c r="A3005" s="7">
        <v>44590</v>
      </c>
      <c r="B3005" s="8" t="s">
        <v>3399</v>
      </c>
      <c r="C3005" s="9" t="s">
        <v>31</v>
      </c>
      <c r="D3005" s="10">
        <v>3933.9</v>
      </c>
      <c r="E3005" s="11">
        <v>44590</v>
      </c>
      <c r="F3005" s="10">
        <v>3933.9</v>
      </c>
      <c r="G3005" s="12">
        <f>Tabla1[[#This Row],[Importe]]-Tabla1[[#This Row],[Pagado]]</f>
        <v>0</v>
      </c>
      <c r="H3005" s="9" t="s">
        <v>10</v>
      </c>
    </row>
    <row r="3006" spans="1:8" x14ac:dyDescent="0.25">
      <c r="A3006" s="7">
        <v>44590</v>
      </c>
      <c r="B3006" s="8" t="s">
        <v>3400</v>
      </c>
      <c r="C3006" s="9" t="s">
        <v>31</v>
      </c>
      <c r="D3006" s="10">
        <v>980</v>
      </c>
      <c r="E3006" s="11">
        <v>44590</v>
      </c>
      <c r="F3006" s="10">
        <v>980</v>
      </c>
      <c r="G3006" s="12">
        <f>Tabla1[[#This Row],[Importe]]-Tabla1[[#This Row],[Pagado]]</f>
        <v>0</v>
      </c>
      <c r="H3006" s="9" t="s">
        <v>10</v>
      </c>
    </row>
    <row r="3007" spans="1:8" x14ac:dyDescent="0.25">
      <c r="A3007" s="7">
        <v>44590</v>
      </c>
      <c r="B3007" s="8" t="s">
        <v>3401</v>
      </c>
      <c r="C3007" s="9" t="s">
        <v>3402</v>
      </c>
      <c r="D3007" s="10">
        <v>837</v>
      </c>
      <c r="E3007" s="11">
        <v>44590</v>
      </c>
      <c r="F3007" s="10">
        <v>837</v>
      </c>
      <c r="G3007" s="12">
        <f>Tabla1[[#This Row],[Importe]]-Tabla1[[#This Row],[Pagado]]</f>
        <v>0</v>
      </c>
      <c r="H3007" s="9" t="s">
        <v>10</v>
      </c>
    </row>
    <row r="3008" spans="1:8" x14ac:dyDescent="0.25">
      <c r="A3008" s="7">
        <v>44590</v>
      </c>
      <c r="B3008" s="8" t="s">
        <v>3403</v>
      </c>
      <c r="C3008" s="9" t="s">
        <v>414</v>
      </c>
      <c r="D3008" s="10">
        <v>16.53</v>
      </c>
      <c r="E3008" s="11">
        <v>44601</v>
      </c>
      <c r="F3008" s="10">
        <v>16.53</v>
      </c>
      <c r="G3008" s="12">
        <f>Tabla1[[#This Row],[Importe]]-Tabla1[[#This Row],[Pagado]]</f>
        <v>0</v>
      </c>
      <c r="H3008" s="9" t="s">
        <v>10</v>
      </c>
    </row>
    <row r="3009" spans="1:8" x14ac:dyDescent="0.25">
      <c r="A3009" s="7">
        <v>44590</v>
      </c>
      <c r="B3009" s="8" t="s">
        <v>3404</v>
      </c>
      <c r="C3009" s="9" t="s">
        <v>67</v>
      </c>
      <c r="D3009" s="10">
        <v>1410</v>
      </c>
      <c r="E3009" s="11">
        <v>44590</v>
      </c>
      <c r="F3009" s="10">
        <v>1410</v>
      </c>
      <c r="G3009" s="12">
        <f>Tabla1[[#This Row],[Importe]]-Tabla1[[#This Row],[Pagado]]</f>
        <v>0</v>
      </c>
      <c r="H3009" s="9" t="s">
        <v>10</v>
      </c>
    </row>
    <row r="3010" spans="1:8" x14ac:dyDescent="0.25">
      <c r="A3010" s="7">
        <v>44590</v>
      </c>
      <c r="B3010" s="8" t="s">
        <v>3405</v>
      </c>
      <c r="C3010" s="9" t="s">
        <v>555</v>
      </c>
      <c r="D3010" s="10">
        <v>34000</v>
      </c>
      <c r="E3010" s="11">
        <v>44590</v>
      </c>
      <c r="F3010" s="10">
        <v>34000</v>
      </c>
      <c r="G3010" s="12">
        <f>Tabla1[[#This Row],[Importe]]-Tabla1[[#This Row],[Pagado]]</f>
        <v>0</v>
      </c>
      <c r="H3010" s="9" t="s">
        <v>10</v>
      </c>
    </row>
    <row r="3011" spans="1:8" x14ac:dyDescent="0.25">
      <c r="A3011" s="7">
        <v>44590</v>
      </c>
      <c r="B3011" s="8" t="s">
        <v>3406</v>
      </c>
      <c r="C3011" s="9" t="s">
        <v>934</v>
      </c>
      <c r="D3011" s="10">
        <v>3159.84</v>
      </c>
      <c r="E3011" s="11">
        <v>44590</v>
      </c>
      <c r="F3011" s="10">
        <v>3159.84</v>
      </c>
      <c r="G3011" s="12">
        <f>Tabla1[[#This Row],[Importe]]-Tabla1[[#This Row],[Pagado]]</f>
        <v>0</v>
      </c>
      <c r="H3011" s="9" t="s">
        <v>10</v>
      </c>
    </row>
    <row r="3012" spans="1:8" x14ac:dyDescent="0.25">
      <c r="A3012" s="7">
        <v>44590</v>
      </c>
      <c r="B3012" s="8" t="s">
        <v>3407</v>
      </c>
      <c r="C3012" s="9" t="s">
        <v>670</v>
      </c>
      <c r="D3012" s="10">
        <v>4286.3999999999996</v>
      </c>
      <c r="E3012" s="11">
        <v>44590</v>
      </c>
      <c r="F3012" s="10">
        <v>4286.3999999999996</v>
      </c>
      <c r="G3012" s="12">
        <f>Tabla1[[#This Row],[Importe]]-Tabla1[[#This Row],[Pagado]]</f>
        <v>0</v>
      </c>
      <c r="H3012" s="9" t="s">
        <v>10</v>
      </c>
    </row>
    <row r="3013" spans="1:8" x14ac:dyDescent="0.25">
      <c r="A3013" s="7">
        <v>44590</v>
      </c>
      <c r="B3013" s="8" t="s">
        <v>3408</v>
      </c>
      <c r="C3013" s="9" t="s">
        <v>368</v>
      </c>
      <c r="D3013" s="10">
        <v>5651.12</v>
      </c>
      <c r="E3013" s="11">
        <v>44590</v>
      </c>
      <c r="F3013" s="10">
        <v>5651.12</v>
      </c>
      <c r="G3013" s="12">
        <f>Tabla1[[#This Row],[Importe]]-Tabla1[[#This Row],[Pagado]]</f>
        <v>0</v>
      </c>
      <c r="H3013" s="9" t="s">
        <v>10</v>
      </c>
    </row>
    <row r="3014" spans="1:8" x14ac:dyDescent="0.25">
      <c r="A3014" s="7">
        <v>44590</v>
      </c>
      <c r="B3014" s="8" t="s">
        <v>3409</v>
      </c>
      <c r="C3014" s="9" t="s">
        <v>368</v>
      </c>
      <c r="D3014" s="10">
        <v>812</v>
      </c>
      <c r="E3014" s="11">
        <v>44590</v>
      </c>
      <c r="F3014" s="10">
        <v>812</v>
      </c>
      <c r="G3014" s="12">
        <f>Tabla1[[#This Row],[Importe]]-Tabla1[[#This Row],[Pagado]]</f>
        <v>0</v>
      </c>
      <c r="H3014" s="9" t="s">
        <v>10</v>
      </c>
    </row>
    <row r="3015" spans="1:8" x14ac:dyDescent="0.25">
      <c r="A3015" s="7">
        <v>44590</v>
      </c>
      <c r="B3015" s="8" t="s">
        <v>3410</v>
      </c>
      <c r="C3015" s="9" t="s">
        <v>365</v>
      </c>
      <c r="D3015" s="10">
        <v>892.5</v>
      </c>
      <c r="E3015" s="11">
        <v>44590</v>
      </c>
      <c r="F3015" s="10">
        <v>892.5</v>
      </c>
      <c r="G3015" s="12">
        <f>Tabla1[[#This Row],[Importe]]-Tabla1[[#This Row],[Pagado]]</f>
        <v>0</v>
      </c>
      <c r="H3015" s="9" t="s">
        <v>10</v>
      </c>
    </row>
    <row r="3016" spans="1:8" x14ac:dyDescent="0.25">
      <c r="A3016" s="7">
        <v>44590</v>
      </c>
      <c r="B3016" s="8" t="s">
        <v>3411</v>
      </c>
      <c r="C3016" s="9" t="s">
        <v>409</v>
      </c>
      <c r="D3016" s="10">
        <v>6851.4</v>
      </c>
      <c r="E3016" s="11">
        <v>44596</v>
      </c>
      <c r="F3016" s="10">
        <v>6851.4</v>
      </c>
      <c r="G3016" s="12">
        <f>Tabla1[[#This Row],[Importe]]-Tabla1[[#This Row],[Pagado]]</f>
        <v>0</v>
      </c>
      <c r="H3016" s="9" t="s">
        <v>10</v>
      </c>
    </row>
    <row r="3017" spans="1:8" x14ac:dyDescent="0.25">
      <c r="A3017" s="7">
        <v>44590</v>
      </c>
      <c r="B3017" s="8" t="s">
        <v>3412</v>
      </c>
      <c r="C3017" s="9" t="s">
        <v>698</v>
      </c>
      <c r="D3017" s="10">
        <v>4315.2</v>
      </c>
      <c r="E3017" s="11">
        <v>44590</v>
      </c>
      <c r="F3017" s="10">
        <v>4315.2</v>
      </c>
      <c r="G3017" s="12">
        <f>Tabla1[[#This Row],[Importe]]-Tabla1[[#This Row],[Pagado]]</f>
        <v>0</v>
      </c>
      <c r="H3017" s="9" t="s">
        <v>10</v>
      </c>
    </row>
    <row r="3018" spans="1:8" x14ac:dyDescent="0.25">
      <c r="A3018" s="7">
        <v>44590</v>
      </c>
      <c r="B3018" s="8" t="s">
        <v>3413</v>
      </c>
      <c r="C3018" s="9" t="s">
        <v>67</v>
      </c>
      <c r="D3018" s="10">
        <v>1040</v>
      </c>
      <c r="E3018" s="11">
        <v>44590</v>
      </c>
      <c r="F3018" s="10">
        <v>1040</v>
      </c>
      <c r="G3018" s="12">
        <f>Tabla1[[#This Row],[Importe]]-Tabla1[[#This Row],[Pagado]]</f>
        <v>0</v>
      </c>
      <c r="H3018" s="9" t="s">
        <v>10</v>
      </c>
    </row>
    <row r="3019" spans="1:8" x14ac:dyDescent="0.25">
      <c r="A3019" s="7">
        <v>44590</v>
      </c>
      <c r="B3019" s="8" t="s">
        <v>3414</v>
      </c>
      <c r="C3019" s="9" t="s">
        <v>319</v>
      </c>
      <c r="D3019" s="10">
        <v>6679</v>
      </c>
      <c r="E3019" s="11">
        <v>44591</v>
      </c>
      <c r="F3019" s="10">
        <v>6679</v>
      </c>
      <c r="G3019" s="12">
        <f>Tabla1[[#This Row],[Importe]]-Tabla1[[#This Row],[Pagado]]</f>
        <v>0</v>
      </c>
      <c r="H3019" s="9" t="s">
        <v>10</v>
      </c>
    </row>
    <row r="3020" spans="1:8" x14ac:dyDescent="0.25">
      <c r="A3020" s="7">
        <v>44590</v>
      </c>
      <c r="B3020" s="8" t="s">
        <v>3415</v>
      </c>
      <c r="C3020" s="9" t="s">
        <v>520</v>
      </c>
      <c r="D3020" s="10">
        <v>8162</v>
      </c>
      <c r="E3020" s="11">
        <v>44590</v>
      </c>
      <c r="F3020" s="10">
        <v>8162</v>
      </c>
      <c r="G3020" s="12">
        <f>Tabla1[[#This Row],[Importe]]-Tabla1[[#This Row],[Pagado]]</f>
        <v>0</v>
      </c>
      <c r="H3020" s="9" t="s">
        <v>10</v>
      </c>
    </row>
    <row r="3021" spans="1:8" x14ac:dyDescent="0.25">
      <c r="A3021" s="7">
        <v>44590</v>
      </c>
      <c r="B3021" s="8" t="s">
        <v>3416</v>
      </c>
      <c r="C3021" s="9" t="s">
        <v>151</v>
      </c>
      <c r="D3021" s="10">
        <v>3876</v>
      </c>
      <c r="E3021" s="11">
        <v>44591</v>
      </c>
      <c r="F3021" s="10">
        <v>3876</v>
      </c>
      <c r="G3021" s="12">
        <f>Tabla1[[#This Row],[Importe]]-Tabla1[[#This Row],[Pagado]]</f>
        <v>0</v>
      </c>
      <c r="H3021" s="9" t="s">
        <v>10</v>
      </c>
    </row>
    <row r="3022" spans="1:8" x14ac:dyDescent="0.25">
      <c r="A3022" s="7">
        <v>44590</v>
      </c>
      <c r="B3022" s="8" t="s">
        <v>3417</v>
      </c>
      <c r="C3022" s="9" t="s">
        <v>380</v>
      </c>
      <c r="D3022" s="10">
        <v>8303.6</v>
      </c>
      <c r="E3022" s="11">
        <v>44591</v>
      </c>
      <c r="F3022" s="10">
        <v>8303.6</v>
      </c>
      <c r="G3022" s="12">
        <f>Tabla1[[#This Row],[Importe]]-Tabla1[[#This Row],[Pagado]]</f>
        <v>0</v>
      </c>
      <c r="H3022" s="9" t="s">
        <v>10</v>
      </c>
    </row>
    <row r="3023" spans="1:8" x14ac:dyDescent="0.25">
      <c r="A3023" s="7">
        <v>44590</v>
      </c>
      <c r="B3023" s="8" t="s">
        <v>3418</v>
      </c>
      <c r="C3023" s="9" t="s">
        <v>159</v>
      </c>
      <c r="D3023" s="10">
        <v>1965.2</v>
      </c>
      <c r="E3023" s="11">
        <v>44591</v>
      </c>
      <c r="F3023" s="10">
        <v>1965.2</v>
      </c>
      <c r="G3023" s="12">
        <f>Tabla1[[#This Row],[Importe]]-Tabla1[[#This Row],[Pagado]]</f>
        <v>0</v>
      </c>
      <c r="H3023" s="9" t="s">
        <v>10</v>
      </c>
    </row>
    <row r="3024" spans="1:8" x14ac:dyDescent="0.25">
      <c r="A3024" s="7">
        <v>44590</v>
      </c>
      <c r="B3024" s="8" t="s">
        <v>3419</v>
      </c>
      <c r="C3024" s="9" t="s">
        <v>525</v>
      </c>
      <c r="D3024" s="10">
        <v>2598.4</v>
      </c>
      <c r="E3024" s="11">
        <v>44591</v>
      </c>
      <c r="F3024" s="10">
        <v>2598.4</v>
      </c>
      <c r="G3024" s="12">
        <f>Tabla1[[#This Row],[Importe]]-Tabla1[[#This Row],[Pagado]]</f>
        <v>0</v>
      </c>
      <c r="H3024" s="9" t="s">
        <v>10</v>
      </c>
    </row>
    <row r="3025" spans="1:8" x14ac:dyDescent="0.25">
      <c r="A3025" s="7">
        <v>44590</v>
      </c>
      <c r="B3025" s="8" t="s">
        <v>3420</v>
      </c>
      <c r="C3025" s="9" t="s">
        <v>518</v>
      </c>
      <c r="D3025" s="10">
        <v>1472.8</v>
      </c>
      <c r="E3025" s="11">
        <v>44591</v>
      </c>
      <c r="F3025" s="10">
        <v>1472.8</v>
      </c>
      <c r="G3025" s="12">
        <f>Tabla1[[#This Row],[Importe]]-Tabla1[[#This Row],[Pagado]]</f>
        <v>0</v>
      </c>
      <c r="H3025" s="9" t="s">
        <v>10</v>
      </c>
    </row>
    <row r="3026" spans="1:8" x14ac:dyDescent="0.25">
      <c r="A3026" s="7">
        <v>44590</v>
      </c>
      <c r="B3026" s="8" t="s">
        <v>3421</v>
      </c>
      <c r="C3026" s="9" t="s">
        <v>157</v>
      </c>
      <c r="D3026" s="10">
        <v>2328.6</v>
      </c>
      <c r="E3026" s="11">
        <v>44591</v>
      </c>
      <c r="F3026" s="10">
        <v>2328.6</v>
      </c>
      <c r="G3026" s="12">
        <f>Tabla1[[#This Row],[Importe]]-Tabla1[[#This Row],[Pagado]]</f>
        <v>0</v>
      </c>
      <c r="H3026" s="9" t="s">
        <v>10</v>
      </c>
    </row>
    <row r="3027" spans="1:8" x14ac:dyDescent="0.25">
      <c r="A3027" s="7">
        <v>44590</v>
      </c>
      <c r="B3027" s="8" t="s">
        <v>3422</v>
      </c>
      <c r="C3027" s="9" t="s">
        <v>426</v>
      </c>
      <c r="D3027" s="10">
        <v>5120.5</v>
      </c>
      <c r="E3027" s="11">
        <v>44591</v>
      </c>
      <c r="F3027" s="10">
        <v>5120.5</v>
      </c>
      <c r="G3027" s="12">
        <f>Tabla1[[#This Row],[Importe]]-Tabla1[[#This Row],[Pagado]]</f>
        <v>0</v>
      </c>
      <c r="H3027" s="9" t="s">
        <v>10</v>
      </c>
    </row>
    <row r="3028" spans="1:8" x14ac:dyDescent="0.25">
      <c r="A3028" s="7">
        <v>44590</v>
      </c>
      <c r="B3028" s="8" t="s">
        <v>3423</v>
      </c>
      <c r="C3028" s="9" t="s">
        <v>261</v>
      </c>
      <c r="D3028" s="10">
        <v>33564.93</v>
      </c>
      <c r="E3028" s="11">
        <v>44591</v>
      </c>
      <c r="F3028" s="10">
        <v>33564.93</v>
      </c>
      <c r="G3028" s="12">
        <f>Tabla1[[#This Row],[Importe]]-Tabla1[[#This Row],[Pagado]]</f>
        <v>0</v>
      </c>
      <c r="H3028" s="9" t="s">
        <v>10</v>
      </c>
    </row>
    <row r="3029" spans="1:8" x14ac:dyDescent="0.25">
      <c r="A3029" s="7">
        <v>44590</v>
      </c>
      <c r="B3029" s="8" t="s">
        <v>3424</v>
      </c>
      <c r="C3029" s="9" t="s">
        <v>319</v>
      </c>
      <c r="D3029" s="10">
        <v>4229</v>
      </c>
      <c r="E3029" s="11">
        <v>44591</v>
      </c>
      <c r="F3029" s="10">
        <v>4229</v>
      </c>
      <c r="G3029" s="12">
        <f>Tabla1[[#This Row],[Importe]]-Tabla1[[#This Row],[Pagado]]</f>
        <v>0</v>
      </c>
      <c r="H3029" s="9" t="s">
        <v>10</v>
      </c>
    </row>
    <row r="3030" spans="1:8" x14ac:dyDescent="0.25">
      <c r="A3030" s="7">
        <v>44590</v>
      </c>
      <c r="B3030" s="8" t="s">
        <v>3425</v>
      </c>
      <c r="C3030" s="9" t="s">
        <v>183</v>
      </c>
      <c r="D3030" s="10">
        <v>439.4</v>
      </c>
      <c r="E3030" s="11">
        <v>44591</v>
      </c>
      <c r="F3030" s="10">
        <v>439.4</v>
      </c>
      <c r="G3030" s="12">
        <f>Tabla1[[#This Row],[Importe]]-Tabla1[[#This Row],[Pagado]]</f>
        <v>0</v>
      </c>
      <c r="H3030" s="9" t="s">
        <v>10</v>
      </c>
    </row>
    <row r="3031" spans="1:8" x14ac:dyDescent="0.25">
      <c r="A3031" s="7">
        <v>44590</v>
      </c>
      <c r="B3031" s="8" t="s">
        <v>3426</v>
      </c>
      <c r="C3031" s="9" t="s">
        <v>169</v>
      </c>
      <c r="D3031" s="10">
        <v>1650.6</v>
      </c>
      <c r="E3031" s="11">
        <v>44591</v>
      </c>
      <c r="F3031" s="10">
        <v>1650.6</v>
      </c>
      <c r="G3031" s="12">
        <f>Tabla1[[#This Row],[Importe]]-Tabla1[[#This Row],[Pagado]]</f>
        <v>0</v>
      </c>
      <c r="H3031" s="9" t="s">
        <v>10</v>
      </c>
    </row>
    <row r="3032" spans="1:8" x14ac:dyDescent="0.25">
      <c r="A3032" s="7">
        <v>44590</v>
      </c>
      <c r="B3032" s="8" t="s">
        <v>3427</v>
      </c>
      <c r="C3032" s="9" t="s">
        <v>459</v>
      </c>
      <c r="D3032" s="10">
        <v>213</v>
      </c>
      <c r="E3032" s="11">
        <v>44590</v>
      </c>
      <c r="F3032" s="10">
        <v>213</v>
      </c>
      <c r="G3032" s="12">
        <f>Tabla1[[#This Row],[Importe]]-Tabla1[[#This Row],[Pagado]]</f>
        <v>0</v>
      </c>
      <c r="H3032" s="9" t="s">
        <v>10</v>
      </c>
    </row>
    <row r="3033" spans="1:8" x14ac:dyDescent="0.25">
      <c r="A3033" s="7">
        <v>44590</v>
      </c>
      <c r="B3033" s="8" t="s">
        <v>3428</v>
      </c>
      <c r="C3033" s="9" t="s">
        <v>461</v>
      </c>
      <c r="D3033" s="10">
        <v>394</v>
      </c>
      <c r="E3033" s="11">
        <v>44591</v>
      </c>
      <c r="F3033" s="10">
        <v>394</v>
      </c>
      <c r="G3033" s="12">
        <f>Tabla1[[#This Row],[Importe]]-Tabla1[[#This Row],[Pagado]]</f>
        <v>0</v>
      </c>
      <c r="H3033" s="9" t="s">
        <v>10</v>
      </c>
    </row>
    <row r="3034" spans="1:8" x14ac:dyDescent="0.25">
      <c r="A3034" s="7">
        <v>44590</v>
      </c>
      <c r="B3034" s="8" t="s">
        <v>3429</v>
      </c>
      <c r="C3034" s="9" t="s">
        <v>457</v>
      </c>
      <c r="D3034" s="10">
        <v>198</v>
      </c>
      <c r="E3034" s="11">
        <v>44590</v>
      </c>
      <c r="F3034" s="10">
        <v>198</v>
      </c>
      <c r="G3034" s="12">
        <f>Tabla1[[#This Row],[Importe]]-Tabla1[[#This Row],[Pagado]]</f>
        <v>0</v>
      </c>
      <c r="H3034" s="9" t="s">
        <v>10</v>
      </c>
    </row>
    <row r="3035" spans="1:8" x14ac:dyDescent="0.25">
      <c r="A3035" s="7">
        <v>44590</v>
      </c>
      <c r="B3035" s="8" t="s">
        <v>3430</v>
      </c>
      <c r="C3035" s="9" t="s">
        <v>151</v>
      </c>
      <c r="D3035" s="10">
        <v>2121.6</v>
      </c>
      <c r="E3035" s="11">
        <v>44591</v>
      </c>
      <c r="F3035" s="10">
        <v>2121.6</v>
      </c>
      <c r="G3035" s="12">
        <f>Tabla1[[#This Row],[Importe]]-Tabla1[[#This Row],[Pagado]]</f>
        <v>0</v>
      </c>
      <c r="H3035" s="9" t="s">
        <v>10</v>
      </c>
    </row>
    <row r="3036" spans="1:8" x14ac:dyDescent="0.25">
      <c r="A3036" s="7">
        <v>44590</v>
      </c>
      <c r="B3036" s="8" t="s">
        <v>3431</v>
      </c>
      <c r="C3036" s="9" t="s">
        <v>183</v>
      </c>
      <c r="D3036" s="10">
        <v>159.6</v>
      </c>
      <c r="E3036" s="11">
        <v>44591</v>
      </c>
      <c r="F3036" s="10">
        <v>159.6</v>
      </c>
      <c r="G3036" s="12">
        <f>Tabla1[[#This Row],[Importe]]-Tabla1[[#This Row],[Pagado]]</f>
        <v>0</v>
      </c>
      <c r="H3036" s="9" t="s">
        <v>10</v>
      </c>
    </row>
    <row r="3037" spans="1:8" x14ac:dyDescent="0.25">
      <c r="A3037" s="7">
        <v>44590</v>
      </c>
      <c r="B3037" s="8" t="s">
        <v>3432</v>
      </c>
      <c r="C3037" s="9" t="s">
        <v>31</v>
      </c>
      <c r="D3037" s="10">
        <v>1911</v>
      </c>
      <c r="E3037" s="11">
        <v>44590</v>
      </c>
      <c r="F3037" s="10">
        <v>1911</v>
      </c>
      <c r="G3037" s="12">
        <f>Tabla1[[#This Row],[Importe]]-Tabla1[[#This Row],[Pagado]]</f>
        <v>0</v>
      </c>
      <c r="H3037" s="9" t="s">
        <v>10</v>
      </c>
    </row>
    <row r="3038" spans="1:8" x14ac:dyDescent="0.25">
      <c r="A3038" s="7">
        <v>44590</v>
      </c>
      <c r="B3038" s="8" t="s">
        <v>3433</v>
      </c>
      <c r="C3038" s="9" t="s">
        <v>51</v>
      </c>
      <c r="D3038" s="10">
        <v>5749.2</v>
      </c>
      <c r="E3038" s="11">
        <v>44590</v>
      </c>
      <c r="F3038" s="10">
        <v>5749.2</v>
      </c>
      <c r="G3038" s="12">
        <f>Tabla1[[#This Row],[Importe]]-Tabla1[[#This Row],[Pagado]]</f>
        <v>0</v>
      </c>
      <c r="H3038" s="9" t="s">
        <v>10</v>
      </c>
    </row>
    <row r="3039" spans="1:8" x14ac:dyDescent="0.25">
      <c r="A3039" s="7">
        <v>44590</v>
      </c>
      <c r="B3039" s="8" t="s">
        <v>3434</v>
      </c>
      <c r="C3039" s="9" t="s">
        <v>237</v>
      </c>
      <c r="D3039" s="10">
        <v>899.5</v>
      </c>
      <c r="E3039" s="11">
        <v>44590</v>
      </c>
      <c r="F3039" s="10">
        <v>899.5</v>
      </c>
      <c r="G3039" s="12">
        <f>Tabla1[[#This Row],[Importe]]-Tabla1[[#This Row],[Pagado]]</f>
        <v>0</v>
      </c>
      <c r="H3039" s="9" t="s">
        <v>10</v>
      </c>
    </row>
    <row r="3040" spans="1:8" x14ac:dyDescent="0.25">
      <c r="A3040" s="7">
        <v>44590</v>
      </c>
      <c r="B3040" s="8" t="s">
        <v>3435</v>
      </c>
      <c r="C3040" s="9" t="s">
        <v>71</v>
      </c>
      <c r="D3040" s="10">
        <v>2175.3000000000002</v>
      </c>
      <c r="E3040" s="11">
        <v>44590</v>
      </c>
      <c r="F3040" s="10">
        <v>2175.3000000000002</v>
      </c>
      <c r="G3040" s="12">
        <f>Tabla1[[#This Row],[Importe]]-Tabla1[[#This Row],[Pagado]]</f>
        <v>0</v>
      </c>
      <c r="H3040" s="9" t="s">
        <v>10</v>
      </c>
    </row>
    <row r="3041" spans="1:8" ht="30" x14ac:dyDescent="0.25">
      <c r="A3041" s="7">
        <v>44590</v>
      </c>
      <c r="B3041" s="8" t="s">
        <v>3436</v>
      </c>
      <c r="C3041" s="9" t="s">
        <v>275</v>
      </c>
      <c r="D3041" s="10">
        <v>95977.24</v>
      </c>
      <c r="E3041" s="11" t="s">
        <v>3650</v>
      </c>
      <c r="F3041" s="10">
        <f>56629.75+39347.49</f>
        <v>95977.239999999991</v>
      </c>
      <c r="G3041" s="12">
        <f>Tabla1[[#This Row],[Importe]]-Tabla1[[#This Row],[Pagado]]</f>
        <v>0</v>
      </c>
      <c r="H3041" s="9" t="s">
        <v>10</v>
      </c>
    </row>
    <row r="3042" spans="1:8" x14ac:dyDescent="0.25">
      <c r="A3042" s="7">
        <v>44590</v>
      </c>
      <c r="B3042" s="8" t="s">
        <v>3437</v>
      </c>
      <c r="C3042" s="9" t="s">
        <v>83</v>
      </c>
      <c r="D3042" s="10">
        <v>10063.6</v>
      </c>
      <c r="E3042" s="11">
        <v>44590</v>
      </c>
      <c r="F3042" s="10">
        <v>10063.6</v>
      </c>
      <c r="G3042" s="12">
        <f>Tabla1[[#This Row],[Importe]]-Tabla1[[#This Row],[Pagado]]</f>
        <v>0</v>
      </c>
      <c r="H3042" s="9" t="s">
        <v>10</v>
      </c>
    </row>
    <row r="3043" spans="1:8" x14ac:dyDescent="0.25">
      <c r="A3043" s="7">
        <v>44590</v>
      </c>
      <c r="B3043" s="8" t="s">
        <v>3438</v>
      </c>
      <c r="C3043" s="9" t="s">
        <v>1174</v>
      </c>
      <c r="D3043" s="10">
        <v>17814</v>
      </c>
      <c r="E3043" s="11">
        <v>44590</v>
      </c>
      <c r="F3043" s="10">
        <v>17814</v>
      </c>
      <c r="G3043" s="12">
        <f>Tabla1[[#This Row],[Importe]]-Tabla1[[#This Row],[Pagado]]</f>
        <v>0</v>
      </c>
      <c r="H3043" s="9" t="s">
        <v>10</v>
      </c>
    </row>
    <row r="3044" spans="1:8" x14ac:dyDescent="0.25">
      <c r="A3044" s="7">
        <v>44590</v>
      </c>
      <c r="B3044" s="8" t="s">
        <v>3439</v>
      </c>
      <c r="C3044" s="9" t="s">
        <v>681</v>
      </c>
      <c r="D3044" s="10">
        <v>5.85</v>
      </c>
      <c r="E3044" s="11">
        <v>44596</v>
      </c>
      <c r="F3044" s="10">
        <v>5.85</v>
      </c>
      <c r="G3044" s="12">
        <f>Tabla1[[#This Row],[Importe]]-Tabla1[[#This Row],[Pagado]]</f>
        <v>0</v>
      </c>
      <c r="H3044" s="9" t="s">
        <v>10</v>
      </c>
    </row>
    <row r="3045" spans="1:8" x14ac:dyDescent="0.25">
      <c r="A3045" s="7">
        <v>44590</v>
      </c>
      <c r="B3045" s="8" t="s">
        <v>3440</v>
      </c>
      <c r="C3045" s="9" t="s">
        <v>3648</v>
      </c>
      <c r="D3045" s="10">
        <v>0</v>
      </c>
      <c r="E3045" s="13" t="s">
        <v>189</v>
      </c>
      <c r="F3045" s="10">
        <v>0</v>
      </c>
      <c r="G3045" s="12">
        <f>Tabla1[[#This Row],[Importe]]-Tabla1[[#This Row],[Pagado]]</f>
        <v>0</v>
      </c>
      <c r="H3045" s="17" t="s">
        <v>3649</v>
      </c>
    </row>
    <row r="3046" spans="1:8" x14ac:dyDescent="0.25">
      <c r="A3046" s="7">
        <v>44590</v>
      </c>
      <c r="B3046" s="8" t="s">
        <v>3441</v>
      </c>
      <c r="C3046" s="9" t="s">
        <v>14</v>
      </c>
      <c r="D3046" s="10">
        <v>27313</v>
      </c>
      <c r="E3046" s="11">
        <v>44590</v>
      </c>
      <c r="F3046" s="10">
        <v>27313</v>
      </c>
      <c r="G3046" s="12">
        <f>Tabla1[[#This Row],[Importe]]-Tabla1[[#This Row],[Pagado]]</f>
        <v>0</v>
      </c>
      <c r="H3046" s="9" t="s">
        <v>10</v>
      </c>
    </row>
    <row r="3047" spans="1:8" x14ac:dyDescent="0.25">
      <c r="A3047" s="7">
        <v>44590</v>
      </c>
      <c r="B3047" s="8" t="s">
        <v>3442</v>
      </c>
      <c r="C3047" s="9" t="s">
        <v>31</v>
      </c>
      <c r="D3047" s="10">
        <v>486.5</v>
      </c>
      <c r="E3047" s="11">
        <v>44590</v>
      </c>
      <c r="F3047" s="10">
        <v>486.5</v>
      </c>
      <c r="G3047" s="12">
        <f>Tabla1[[#This Row],[Importe]]-Tabla1[[#This Row],[Pagado]]</f>
        <v>0</v>
      </c>
      <c r="H3047" s="9" t="s">
        <v>10</v>
      </c>
    </row>
    <row r="3048" spans="1:8" x14ac:dyDescent="0.25">
      <c r="A3048" s="7">
        <v>44590</v>
      </c>
      <c r="B3048" s="8" t="s">
        <v>3443</v>
      </c>
      <c r="C3048" s="9" t="s">
        <v>475</v>
      </c>
      <c r="D3048" s="10">
        <v>22193.200000000001</v>
      </c>
      <c r="E3048" s="11">
        <v>44592</v>
      </c>
      <c r="F3048" s="10">
        <v>22193.200000000001</v>
      </c>
      <c r="G3048" s="12">
        <f>Tabla1[[#This Row],[Importe]]-Tabla1[[#This Row],[Pagado]]</f>
        <v>0</v>
      </c>
      <c r="H3048" s="9" t="s">
        <v>10</v>
      </c>
    </row>
    <row r="3049" spans="1:8" x14ac:dyDescent="0.25">
      <c r="A3049" s="7">
        <v>44590</v>
      </c>
      <c r="B3049" s="8" t="s">
        <v>3444</v>
      </c>
      <c r="C3049" s="9" t="s">
        <v>303</v>
      </c>
      <c r="D3049" s="10">
        <v>201.6</v>
      </c>
      <c r="E3049" s="11">
        <v>44590</v>
      </c>
      <c r="F3049" s="10">
        <v>201.6</v>
      </c>
      <c r="G3049" s="12">
        <f>Tabla1[[#This Row],[Importe]]-Tabla1[[#This Row],[Pagado]]</f>
        <v>0</v>
      </c>
      <c r="H3049" s="9" t="s">
        <v>10</v>
      </c>
    </row>
    <row r="3050" spans="1:8" x14ac:dyDescent="0.25">
      <c r="A3050" s="7">
        <v>44590</v>
      </c>
      <c r="B3050" s="8" t="s">
        <v>3445</v>
      </c>
      <c r="C3050" s="9" t="s">
        <v>857</v>
      </c>
      <c r="D3050" s="10">
        <v>1595.6</v>
      </c>
      <c r="E3050" s="11">
        <v>44590</v>
      </c>
      <c r="F3050" s="10">
        <v>1595.6</v>
      </c>
      <c r="G3050" s="12">
        <f>Tabla1[[#This Row],[Importe]]-Tabla1[[#This Row],[Pagado]]</f>
        <v>0</v>
      </c>
      <c r="H3050" s="9" t="s">
        <v>10</v>
      </c>
    </row>
    <row r="3051" spans="1:8" x14ac:dyDescent="0.25">
      <c r="A3051" s="7">
        <v>44590</v>
      </c>
      <c r="B3051" s="8" t="s">
        <v>3446</v>
      </c>
      <c r="C3051" s="9" t="s">
        <v>27</v>
      </c>
      <c r="D3051" s="10">
        <v>1043.2</v>
      </c>
      <c r="E3051" s="11">
        <v>44590</v>
      </c>
      <c r="F3051" s="10">
        <v>1043.2</v>
      </c>
      <c r="G3051" s="12">
        <f>Tabla1[[#This Row],[Importe]]-Tabla1[[#This Row],[Pagado]]</f>
        <v>0</v>
      </c>
      <c r="H3051" s="9" t="s">
        <v>10</v>
      </c>
    </row>
    <row r="3052" spans="1:8" x14ac:dyDescent="0.25">
      <c r="A3052" s="7">
        <v>44590</v>
      </c>
      <c r="B3052" s="8" t="s">
        <v>3447</v>
      </c>
      <c r="C3052" s="9" t="s">
        <v>605</v>
      </c>
      <c r="D3052" s="10">
        <v>29832</v>
      </c>
      <c r="E3052" s="11">
        <v>44591</v>
      </c>
      <c r="F3052" s="10">
        <v>29832</v>
      </c>
      <c r="G3052" s="12">
        <f>Tabla1[[#This Row],[Importe]]-Tabla1[[#This Row],[Pagado]]</f>
        <v>0</v>
      </c>
      <c r="H3052" s="9" t="s">
        <v>10</v>
      </c>
    </row>
    <row r="3053" spans="1:8" x14ac:dyDescent="0.25">
      <c r="A3053" s="7">
        <v>44590</v>
      </c>
      <c r="B3053" s="8" t="s">
        <v>3448</v>
      </c>
      <c r="C3053" s="9" t="s">
        <v>35</v>
      </c>
      <c r="D3053" s="10">
        <v>2097.9</v>
      </c>
      <c r="E3053" s="11">
        <v>44590</v>
      </c>
      <c r="F3053" s="10">
        <v>2097.9</v>
      </c>
      <c r="G3053" s="12">
        <f>Tabla1[[#This Row],[Importe]]-Tabla1[[#This Row],[Pagado]]</f>
        <v>0</v>
      </c>
      <c r="H3053" s="9" t="s">
        <v>10</v>
      </c>
    </row>
    <row r="3054" spans="1:8" x14ac:dyDescent="0.25">
      <c r="A3054" s="7">
        <v>44590</v>
      </c>
      <c r="B3054" s="8" t="s">
        <v>3449</v>
      </c>
      <c r="C3054" s="9" t="s">
        <v>1003</v>
      </c>
      <c r="D3054" s="10">
        <v>1149.2</v>
      </c>
      <c r="E3054" s="11">
        <v>44591</v>
      </c>
      <c r="F3054" s="10">
        <v>1149.2</v>
      </c>
      <c r="G3054" s="12">
        <f>Tabla1[[#This Row],[Importe]]-Tabla1[[#This Row],[Pagado]]</f>
        <v>0</v>
      </c>
      <c r="H3054" s="9" t="s">
        <v>10</v>
      </c>
    </row>
    <row r="3055" spans="1:8" x14ac:dyDescent="0.25">
      <c r="A3055" s="7">
        <v>44590</v>
      </c>
      <c r="B3055" s="8" t="s">
        <v>3450</v>
      </c>
      <c r="C3055" s="9" t="s">
        <v>450</v>
      </c>
      <c r="D3055" s="10">
        <v>644</v>
      </c>
      <c r="E3055" s="11">
        <v>44590</v>
      </c>
      <c r="F3055" s="10">
        <v>644</v>
      </c>
      <c r="G3055" s="12">
        <f>Tabla1[[#This Row],[Importe]]-Tabla1[[#This Row],[Pagado]]</f>
        <v>0</v>
      </c>
      <c r="H3055" s="9" t="s">
        <v>10</v>
      </c>
    </row>
    <row r="3056" spans="1:8" x14ac:dyDescent="0.25">
      <c r="A3056" s="7">
        <v>44590</v>
      </c>
      <c r="B3056" s="8" t="s">
        <v>3451</v>
      </c>
      <c r="C3056" s="9" t="s">
        <v>605</v>
      </c>
      <c r="D3056" s="10">
        <v>61327.199999999997</v>
      </c>
      <c r="E3056" s="11">
        <v>44591</v>
      </c>
      <c r="F3056" s="10">
        <v>61327.199999999997</v>
      </c>
      <c r="G3056" s="12">
        <f>Tabla1[[#This Row],[Importe]]-Tabla1[[#This Row],[Pagado]]</f>
        <v>0</v>
      </c>
      <c r="H3056" s="9" t="s">
        <v>10</v>
      </c>
    </row>
    <row r="3057" spans="1:8" x14ac:dyDescent="0.25">
      <c r="A3057" s="7">
        <v>44590</v>
      </c>
      <c r="B3057" s="8" t="s">
        <v>3452</v>
      </c>
      <c r="C3057" s="9" t="s">
        <v>583</v>
      </c>
      <c r="D3057" s="10">
        <v>4185</v>
      </c>
      <c r="E3057" s="11">
        <v>44590</v>
      </c>
      <c r="F3057" s="10">
        <v>4185</v>
      </c>
      <c r="G3057" s="12">
        <f>Tabla1[[#This Row],[Importe]]-Tabla1[[#This Row],[Pagado]]</f>
        <v>0</v>
      </c>
      <c r="H3057" s="9" t="s">
        <v>10</v>
      </c>
    </row>
    <row r="3058" spans="1:8" x14ac:dyDescent="0.25">
      <c r="A3058" s="7">
        <v>44590</v>
      </c>
      <c r="B3058" s="8" t="s">
        <v>3453</v>
      </c>
      <c r="C3058" s="9" t="s">
        <v>298</v>
      </c>
      <c r="D3058" s="10">
        <v>2616.6</v>
      </c>
      <c r="E3058" s="11">
        <v>44590</v>
      </c>
      <c r="F3058" s="10">
        <v>2616.6</v>
      </c>
      <c r="G3058" s="12">
        <f>Tabla1[[#This Row],[Importe]]-Tabla1[[#This Row],[Pagado]]</f>
        <v>0</v>
      </c>
      <c r="H3058" s="9" t="s">
        <v>10</v>
      </c>
    </row>
    <row r="3059" spans="1:8" x14ac:dyDescent="0.25">
      <c r="A3059" s="7">
        <v>44590</v>
      </c>
      <c r="B3059" s="8" t="s">
        <v>3454</v>
      </c>
      <c r="C3059" s="9" t="s">
        <v>31</v>
      </c>
      <c r="D3059" s="10">
        <v>188</v>
      </c>
      <c r="E3059" s="11">
        <v>44591</v>
      </c>
      <c r="F3059" s="10">
        <v>188</v>
      </c>
      <c r="G3059" s="12">
        <f>Tabla1[[#This Row],[Importe]]-Tabla1[[#This Row],[Pagado]]</f>
        <v>0</v>
      </c>
      <c r="H3059" s="9" t="s">
        <v>10</v>
      </c>
    </row>
    <row r="3060" spans="1:8" x14ac:dyDescent="0.25">
      <c r="A3060" s="7">
        <v>44590</v>
      </c>
      <c r="B3060" s="8" t="s">
        <v>3455</v>
      </c>
      <c r="C3060" s="9" t="s">
        <v>3456</v>
      </c>
      <c r="D3060" s="10">
        <v>0</v>
      </c>
      <c r="E3060" s="13" t="s">
        <v>189</v>
      </c>
      <c r="F3060" s="10">
        <v>0</v>
      </c>
      <c r="G3060" s="12">
        <f>Tabla1[[#This Row],[Importe]]-Tabla1[[#This Row],[Pagado]]</f>
        <v>0</v>
      </c>
      <c r="H3060" s="9" t="s">
        <v>189</v>
      </c>
    </row>
    <row r="3061" spans="1:8" x14ac:dyDescent="0.25">
      <c r="A3061" s="7">
        <v>44591</v>
      </c>
      <c r="B3061" s="8" t="s">
        <v>3457</v>
      </c>
      <c r="C3061" s="9" t="s">
        <v>314</v>
      </c>
      <c r="D3061" s="10">
        <v>854</v>
      </c>
      <c r="E3061" s="11">
        <v>44591</v>
      </c>
      <c r="F3061" s="10">
        <v>854</v>
      </c>
      <c r="G3061" s="12">
        <f>Tabla1[[#This Row],[Importe]]-Tabla1[[#This Row],[Pagado]]</f>
        <v>0</v>
      </c>
      <c r="H3061" s="9" t="s">
        <v>10</v>
      </c>
    </row>
    <row r="3062" spans="1:8" x14ac:dyDescent="0.25">
      <c r="A3062" s="7">
        <v>44591</v>
      </c>
      <c r="B3062" s="8" t="s">
        <v>3458</v>
      </c>
      <c r="C3062" s="9" t="s">
        <v>9</v>
      </c>
      <c r="D3062" s="10">
        <v>5564.8</v>
      </c>
      <c r="E3062" s="11">
        <v>44591</v>
      </c>
      <c r="F3062" s="10">
        <v>5564.8</v>
      </c>
      <c r="G3062" s="12">
        <f>Tabla1[[#This Row],[Importe]]-Tabla1[[#This Row],[Pagado]]</f>
        <v>0</v>
      </c>
      <c r="H3062" s="9" t="s">
        <v>10</v>
      </c>
    </row>
    <row r="3063" spans="1:8" x14ac:dyDescent="0.25">
      <c r="A3063" s="7">
        <v>44591</v>
      </c>
      <c r="B3063" s="8" t="s">
        <v>3459</v>
      </c>
      <c r="C3063" s="9" t="s">
        <v>924</v>
      </c>
      <c r="D3063" s="10">
        <v>12230.5</v>
      </c>
      <c r="E3063" s="11">
        <v>44591</v>
      </c>
      <c r="F3063" s="10">
        <v>12230.5</v>
      </c>
      <c r="G3063" s="12">
        <f>Tabla1[[#This Row],[Importe]]-Tabla1[[#This Row],[Pagado]]</f>
        <v>0</v>
      </c>
      <c r="H3063" s="9" t="s">
        <v>10</v>
      </c>
    </row>
    <row r="3064" spans="1:8" x14ac:dyDescent="0.25">
      <c r="A3064" s="7">
        <v>44591</v>
      </c>
      <c r="B3064" s="8" t="s">
        <v>3460</v>
      </c>
      <c r="C3064" s="9" t="s">
        <v>12</v>
      </c>
      <c r="D3064" s="10">
        <v>48294.55</v>
      </c>
      <c r="E3064" s="11">
        <v>44592</v>
      </c>
      <c r="F3064" s="10">
        <v>48294.55</v>
      </c>
      <c r="G3064" s="12">
        <f>Tabla1[[#This Row],[Importe]]-Tabla1[[#This Row],[Pagado]]</f>
        <v>0</v>
      </c>
      <c r="H3064" s="9" t="s">
        <v>10</v>
      </c>
    </row>
    <row r="3065" spans="1:8" x14ac:dyDescent="0.25">
      <c r="A3065" s="7">
        <v>44591</v>
      </c>
      <c r="B3065" s="8" t="s">
        <v>3461</v>
      </c>
      <c r="C3065" s="9" t="s">
        <v>31</v>
      </c>
      <c r="D3065" s="10">
        <v>2257.1999999999998</v>
      </c>
      <c r="E3065" s="11">
        <v>44591</v>
      </c>
      <c r="F3065" s="10">
        <v>2257.1999999999998</v>
      </c>
      <c r="G3065" s="12">
        <f>Tabla1[[#This Row],[Importe]]-Tabla1[[#This Row],[Pagado]]</f>
        <v>0</v>
      </c>
      <c r="H3065" s="9" t="s">
        <v>10</v>
      </c>
    </row>
    <row r="3066" spans="1:8" x14ac:dyDescent="0.25">
      <c r="A3066" s="7">
        <v>44591</v>
      </c>
      <c r="B3066" s="8" t="s">
        <v>3462</v>
      </c>
      <c r="C3066" s="9" t="s">
        <v>16</v>
      </c>
      <c r="D3066" s="10">
        <v>8631.7000000000007</v>
      </c>
      <c r="E3066" s="11">
        <v>44591</v>
      </c>
      <c r="F3066" s="10">
        <v>8631.7000000000007</v>
      </c>
      <c r="G3066" s="12">
        <f>Tabla1[[#This Row],[Importe]]-Tabla1[[#This Row],[Pagado]]</f>
        <v>0</v>
      </c>
      <c r="H3066" s="9" t="s">
        <v>10</v>
      </c>
    </row>
    <row r="3067" spans="1:8" x14ac:dyDescent="0.25">
      <c r="A3067" s="7">
        <v>44591</v>
      </c>
      <c r="B3067" s="8" t="s">
        <v>3463</v>
      </c>
      <c r="C3067" s="9" t="s">
        <v>475</v>
      </c>
      <c r="D3067" s="10">
        <v>36915</v>
      </c>
      <c r="E3067" s="11">
        <v>44592</v>
      </c>
      <c r="F3067" s="10">
        <v>36915</v>
      </c>
      <c r="G3067" s="12">
        <f>Tabla1[[#This Row],[Importe]]-Tabla1[[#This Row],[Pagado]]</f>
        <v>0</v>
      </c>
      <c r="H3067" s="9" t="s">
        <v>10</v>
      </c>
    </row>
    <row r="3068" spans="1:8" x14ac:dyDescent="0.25">
      <c r="A3068" s="7">
        <v>44591</v>
      </c>
      <c r="B3068" s="8" t="s">
        <v>3464</v>
      </c>
      <c r="C3068" s="9" t="s">
        <v>149</v>
      </c>
      <c r="D3068" s="10">
        <v>2655.6</v>
      </c>
      <c r="E3068" s="11">
        <v>44591</v>
      </c>
      <c r="F3068" s="10">
        <v>2655.6</v>
      </c>
      <c r="G3068" s="12">
        <f>Tabla1[[#This Row],[Importe]]-Tabla1[[#This Row],[Pagado]]</f>
        <v>0</v>
      </c>
      <c r="H3068" s="9" t="s">
        <v>10</v>
      </c>
    </row>
    <row r="3069" spans="1:8" x14ac:dyDescent="0.25">
      <c r="A3069" s="7">
        <v>44591</v>
      </c>
      <c r="B3069" s="8" t="s">
        <v>3465</v>
      </c>
      <c r="C3069" s="9" t="s">
        <v>224</v>
      </c>
      <c r="D3069" s="10">
        <v>1191.0999999999999</v>
      </c>
      <c r="E3069" s="11">
        <v>44591</v>
      </c>
      <c r="F3069" s="10">
        <v>1191.0999999999999</v>
      </c>
      <c r="G3069" s="12">
        <f>Tabla1[[#This Row],[Importe]]-Tabla1[[#This Row],[Pagado]]</f>
        <v>0</v>
      </c>
      <c r="H3069" s="9" t="s">
        <v>10</v>
      </c>
    </row>
    <row r="3070" spans="1:8" x14ac:dyDescent="0.25">
      <c r="A3070" s="7">
        <v>44591</v>
      </c>
      <c r="B3070" s="8" t="s">
        <v>3466</v>
      </c>
      <c r="C3070" s="9" t="s">
        <v>51</v>
      </c>
      <c r="D3070" s="10">
        <v>377.3</v>
      </c>
      <c r="E3070" s="11">
        <v>44591</v>
      </c>
      <c r="F3070" s="10">
        <v>377.3</v>
      </c>
      <c r="G3070" s="12">
        <f>Tabla1[[#This Row],[Importe]]-Tabla1[[#This Row],[Pagado]]</f>
        <v>0</v>
      </c>
      <c r="H3070" s="9" t="s">
        <v>10</v>
      </c>
    </row>
    <row r="3071" spans="1:8" x14ac:dyDescent="0.25">
      <c r="A3071" s="7">
        <v>44591</v>
      </c>
      <c r="B3071" s="8" t="s">
        <v>3467</v>
      </c>
      <c r="C3071" s="9" t="s">
        <v>804</v>
      </c>
      <c r="D3071" s="10">
        <v>14683.4</v>
      </c>
      <c r="E3071" s="11">
        <v>44591</v>
      </c>
      <c r="F3071" s="10">
        <v>14683.4</v>
      </c>
      <c r="G3071" s="12">
        <f>Tabla1[[#This Row],[Importe]]-Tabla1[[#This Row],[Pagado]]</f>
        <v>0</v>
      </c>
      <c r="H3071" s="9" t="s">
        <v>10</v>
      </c>
    </row>
    <row r="3072" spans="1:8" x14ac:dyDescent="0.25">
      <c r="A3072" s="7">
        <v>44591</v>
      </c>
      <c r="B3072" s="8" t="s">
        <v>3468</v>
      </c>
      <c r="C3072" s="9" t="s">
        <v>22</v>
      </c>
      <c r="D3072" s="10">
        <v>51471.6</v>
      </c>
      <c r="E3072" s="11">
        <v>44593</v>
      </c>
      <c r="F3072" s="10">
        <v>51471.6</v>
      </c>
      <c r="G3072" s="12">
        <f>Tabla1[[#This Row],[Importe]]-Tabla1[[#This Row],[Pagado]]</f>
        <v>0</v>
      </c>
      <c r="H3072" s="9" t="s">
        <v>10</v>
      </c>
    </row>
    <row r="3073" spans="1:8" x14ac:dyDescent="0.25">
      <c r="A3073" s="7">
        <v>44591</v>
      </c>
      <c r="B3073" s="8" t="s">
        <v>3469</v>
      </c>
      <c r="C3073" s="9" t="s">
        <v>29</v>
      </c>
      <c r="D3073" s="10">
        <v>4665</v>
      </c>
      <c r="E3073" s="11">
        <v>44591</v>
      </c>
      <c r="F3073" s="10">
        <v>4665</v>
      </c>
      <c r="G3073" s="12">
        <f>Tabla1[[#This Row],[Importe]]-Tabla1[[#This Row],[Pagado]]</f>
        <v>0</v>
      </c>
      <c r="H3073" s="9" t="s">
        <v>10</v>
      </c>
    </row>
    <row r="3074" spans="1:8" x14ac:dyDescent="0.25">
      <c r="A3074" s="7">
        <v>44591</v>
      </c>
      <c r="B3074" s="8" t="s">
        <v>3470</v>
      </c>
      <c r="C3074" s="9" t="s">
        <v>27</v>
      </c>
      <c r="D3074" s="10">
        <v>2603.1999999999998</v>
      </c>
      <c r="E3074" s="11">
        <v>44591</v>
      </c>
      <c r="F3074" s="10">
        <v>2603.1999999999998</v>
      </c>
      <c r="G3074" s="12">
        <f>Tabla1[[#This Row],[Importe]]-Tabla1[[#This Row],[Pagado]]</f>
        <v>0</v>
      </c>
      <c r="H3074" s="9" t="s">
        <v>10</v>
      </c>
    </row>
    <row r="3075" spans="1:8" x14ac:dyDescent="0.25">
      <c r="A3075" s="7">
        <v>44591</v>
      </c>
      <c r="B3075" s="8" t="s">
        <v>3471</v>
      </c>
      <c r="C3075" s="9" t="s">
        <v>20</v>
      </c>
      <c r="D3075" s="10">
        <v>6220</v>
      </c>
      <c r="E3075" s="11">
        <v>44591</v>
      </c>
      <c r="F3075" s="10">
        <v>6220</v>
      </c>
      <c r="G3075" s="12">
        <f>Tabla1[[#This Row],[Importe]]-Tabla1[[#This Row],[Pagado]]</f>
        <v>0</v>
      </c>
      <c r="H3075" s="9" t="s">
        <v>10</v>
      </c>
    </row>
    <row r="3076" spans="1:8" x14ac:dyDescent="0.25">
      <c r="A3076" s="7">
        <v>44591</v>
      </c>
      <c r="B3076" s="8" t="s">
        <v>3472</v>
      </c>
      <c r="C3076" s="9" t="s">
        <v>27</v>
      </c>
      <c r="D3076" s="10">
        <v>598.4</v>
      </c>
      <c r="E3076" s="11">
        <v>44591</v>
      </c>
      <c r="F3076" s="10">
        <v>598.4</v>
      </c>
      <c r="G3076" s="12">
        <f>Tabla1[[#This Row],[Importe]]-Tabla1[[#This Row],[Pagado]]</f>
        <v>0</v>
      </c>
      <c r="H3076" s="9" t="s">
        <v>10</v>
      </c>
    </row>
    <row r="3077" spans="1:8" x14ac:dyDescent="0.25">
      <c r="A3077" s="7">
        <v>44591</v>
      </c>
      <c r="B3077" s="8" t="s">
        <v>3473</v>
      </c>
      <c r="C3077" s="9" t="s">
        <v>49</v>
      </c>
      <c r="D3077" s="10">
        <v>3094</v>
      </c>
      <c r="E3077" s="11">
        <v>44591</v>
      </c>
      <c r="F3077" s="10">
        <v>3094</v>
      </c>
      <c r="G3077" s="12">
        <f>Tabla1[[#This Row],[Importe]]-Tabla1[[#This Row],[Pagado]]</f>
        <v>0</v>
      </c>
      <c r="H3077" s="9" t="s">
        <v>10</v>
      </c>
    </row>
    <row r="3078" spans="1:8" x14ac:dyDescent="0.25">
      <c r="A3078" s="7">
        <v>44591</v>
      </c>
      <c r="B3078" s="8" t="s">
        <v>3474</v>
      </c>
      <c r="C3078" s="9" t="s">
        <v>969</v>
      </c>
      <c r="D3078" s="10">
        <v>4919.92</v>
      </c>
      <c r="E3078" s="11">
        <v>44591</v>
      </c>
      <c r="F3078" s="10">
        <v>4919.92</v>
      </c>
      <c r="G3078" s="12">
        <f>Tabla1[[#This Row],[Importe]]-Tabla1[[#This Row],[Pagado]]</f>
        <v>0</v>
      </c>
      <c r="H3078" s="9" t="s">
        <v>10</v>
      </c>
    </row>
    <row r="3079" spans="1:8" x14ac:dyDescent="0.25">
      <c r="A3079" s="7">
        <v>44591</v>
      </c>
      <c r="B3079" s="8" t="s">
        <v>3475</v>
      </c>
      <c r="C3079" s="9" t="s">
        <v>47</v>
      </c>
      <c r="D3079" s="10">
        <v>22947.8</v>
      </c>
      <c r="E3079" s="11">
        <v>44591</v>
      </c>
      <c r="F3079" s="10">
        <v>22947.8</v>
      </c>
      <c r="G3079" s="12">
        <f>Tabla1[[#This Row],[Importe]]-Tabla1[[#This Row],[Pagado]]</f>
        <v>0</v>
      </c>
      <c r="H3079" s="9" t="s">
        <v>10</v>
      </c>
    </row>
    <row r="3080" spans="1:8" x14ac:dyDescent="0.25">
      <c r="A3080" s="7">
        <v>44591</v>
      </c>
      <c r="B3080" s="8" t="s">
        <v>3476</v>
      </c>
      <c r="C3080" s="9" t="s">
        <v>481</v>
      </c>
      <c r="D3080" s="10">
        <v>832</v>
      </c>
      <c r="E3080" s="11">
        <v>44591</v>
      </c>
      <c r="F3080" s="10">
        <v>832</v>
      </c>
      <c r="G3080" s="12">
        <f>Tabla1[[#This Row],[Importe]]-Tabla1[[#This Row],[Pagado]]</f>
        <v>0</v>
      </c>
      <c r="H3080" s="9" t="s">
        <v>10</v>
      </c>
    </row>
    <row r="3081" spans="1:8" x14ac:dyDescent="0.25">
      <c r="A3081" s="7">
        <v>44591</v>
      </c>
      <c r="B3081" s="8" t="s">
        <v>3477</v>
      </c>
      <c r="C3081" s="9" t="s">
        <v>216</v>
      </c>
      <c r="D3081" s="10">
        <v>1405</v>
      </c>
      <c r="E3081" s="11">
        <v>44591</v>
      </c>
      <c r="F3081" s="10">
        <v>1405</v>
      </c>
      <c r="G3081" s="12">
        <f>Tabla1[[#This Row],[Importe]]-Tabla1[[#This Row],[Pagado]]</f>
        <v>0</v>
      </c>
      <c r="H3081" s="9" t="s">
        <v>10</v>
      </c>
    </row>
    <row r="3082" spans="1:8" x14ac:dyDescent="0.25">
      <c r="A3082" s="7">
        <v>44591</v>
      </c>
      <c r="B3082" s="8" t="s">
        <v>3478</v>
      </c>
      <c r="C3082" s="9" t="s">
        <v>161</v>
      </c>
      <c r="D3082" s="10">
        <v>3684</v>
      </c>
      <c r="E3082" s="11">
        <v>44591</v>
      </c>
      <c r="F3082" s="10">
        <v>3684</v>
      </c>
      <c r="G3082" s="12">
        <f>Tabla1[[#This Row],[Importe]]-Tabla1[[#This Row],[Pagado]]</f>
        <v>0</v>
      </c>
      <c r="H3082" s="9" t="s">
        <v>10</v>
      </c>
    </row>
    <row r="3083" spans="1:8" x14ac:dyDescent="0.25">
      <c r="A3083" s="7">
        <v>44591</v>
      </c>
      <c r="B3083" s="8" t="s">
        <v>3479</v>
      </c>
      <c r="C3083" s="9" t="s">
        <v>31</v>
      </c>
      <c r="D3083" s="10">
        <v>860.8</v>
      </c>
      <c r="E3083" s="11">
        <v>44591</v>
      </c>
      <c r="F3083" s="10">
        <v>860.8</v>
      </c>
      <c r="G3083" s="12">
        <f>Tabla1[[#This Row],[Importe]]-Tabla1[[#This Row],[Pagado]]</f>
        <v>0</v>
      </c>
      <c r="H3083" s="9" t="s">
        <v>10</v>
      </c>
    </row>
    <row r="3084" spans="1:8" x14ac:dyDescent="0.25">
      <c r="A3084" s="7">
        <v>44591</v>
      </c>
      <c r="B3084" s="8" t="s">
        <v>3480</v>
      </c>
      <c r="C3084" s="9" t="s">
        <v>45</v>
      </c>
      <c r="D3084" s="10">
        <v>6948</v>
      </c>
      <c r="E3084" s="11">
        <v>44591</v>
      </c>
      <c r="F3084" s="10">
        <v>6948</v>
      </c>
      <c r="G3084" s="12">
        <f>Tabla1[[#This Row],[Importe]]-Tabla1[[#This Row],[Pagado]]</f>
        <v>0</v>
      </c>
      <c r="H3084" s="9" t="s">
        <v>10</v>
      </c>
    </row>
    <row r="3085" spans="1:8" x14ac:dyDescent="0.25">
      <c r="A3085" s="7">
        <v>44591</v>
      </c>
      <c r="B3085" s="8" t="s">
        <v>3481</v>
      </c>
      <c r="C3085" s="9" t="s">
        <v>2139</v>
      </c>
      <c r="D3085" s="10">
        <v>6285.6</v>
      </c>
      <c r="E3085" s="11">
        <v>44591</v>
      </c>
      <c r="F3085" s="10">
        <v>6285.6</v>
      </c>
      <c r="G3085" s="12">
        <f>Tabla1[[#This Row],[Importe]]-Tabla1[[#This Row],[Pagado]]</f>
        <v>0</v>
      </c>
      <c r="H3085" s="9" t="s">
        <v>10</v>
      </c>
    </row>
    <row r="3086" spans="1:8" x14ac:dyDescent="0.25">
      <c r="A3086" s="7">
        <v>44591</v>
      </c>
      <c r="B3086" s="8" t="s">
        <v>3482</v>
      </c>
      <c r="C3086" s="9" t="s">
        <v>191</v>
      </c>
      <c r="D3086" s="10">
        <v>1587.6</v>
      </c>
      <c r="E3086" s="11">
        <v>44591</v>
      </c>
      <c r="F3086" s="10">
        <v>1587.6</v>
      </c>
      <c r="G3086" s="12">
        <f>Tabla1[[#This Row],[Importe]]-Tabla1[[#This Row],[Pagado]]</f>
        <v>0</v>
      </c>
      <c r="H3086" s="9" t="s">
        <v>10</v>
      </c>
    </row>
    <row r="3087" spans="1:8" x14ac:dyDescent="0.25">
      <c r="A3087" s="7">
        <v>44591</v>
      </c>
      <c r="B3087" s="8" t="s">
        <v>3483</v>
      </c>
      <c r="C3087" s="9" t="s">
        <v>298</v>
      </c>
      <c r="D3087" s="10">
        <v>2900.8</v>
      </c>
      <c r="E3087" s="11">
        <v>44591</v>
      </c>
      <c r="F3087" s="10">
        <v>2900.8</v>
      </c>
      <c r="G3087" s="12">
        <f>Tabla1[[#This Row],[Importe]]-Tabla1[[#This Row],[Pagado]]</f>
        <v>0</v>
      </c>
      <c r="H3087" s="9" t="s">
        <v>10</v>
      </c>
    </row>
    <row r="3088" spans="1:8" x14ac:dyDescent="0.25">
      <c r="A3088" s="7">
        <v>44591</v>
      </c>
      <c r="B3088" s="8" t="s">
        <v>3484</v>
      </c>
      <c r="C3088" s="9" t="s">
        <v>298</v>
      </c>
      <c r="D3088" s="10">
        <v>2974.3</v>
      </c>
      <c r="E3088" s="11">
        <v>44591</v>
      </c>
      <c r="F3088" s="10">
        <v>2974.3</v>
      </c>
      <c r="G3088" s="12">
        <f>Tabla1[[#This Row],[Importe]]-Tabla1[[#This Row],[Pagado]]</f>
        <v>0</v>
      </c>
      <c r="H3088" s="9" t="s">
        <v>10</v>
      </c>
    </row>
    <row r="3089" spans="1:8" x14ac:dyDescent="0.25">
      <c r="A3089" s="7">
        <v>44591</v>
      </c>
      <c r="B3089" s="8" t="s">
        <v>3485</v>
      </c>
      <c r="C3089" s="9" t="s">
        <v>131</v>
      </c>
      <c r="D3089" s="10">
        <v>634.1</v>
      </c>
      <c r="E3089" s="11">
        <v>44591</v>
      </c>
      <c r="F3089" s="10">
        <v>634.1</v>
      </c>
      <c r="G3089" s="12">
        <f>Tabla1[[#This Row],[Importe]]-Tabla1[[#This Row],[Pagado]]</f>
        <v>0</v>
      </c>
      <c r="H3089" s="9" t="s">
        <v>10</v>
      </c>
    </row>
    <row r="3090" spans="1:8" x14ac:dyDescent="0.25">
      <c r="A3090" s="7">
        <v>44591</v>
      </c>
      <c r="B3090" s="8" t="s">
        <v>3486</v>
      </c>
      <c r="C3090" s="9" t="s">
        <v>373</v>
      </c>
      <c r="D3090" s="10">
        <v>739.2</v>
      </c>
      <c r="E3090" s="11">
        <v>44591</v>
      </c>
      <c r="F3090" s="10">
        <v>739.2</v>
      </c>
      <c r="G3090" s="12">
        <f>Tabla1[[#This Row],[Importe]]-Tabla1[[#This Row],[Pagado]]</f>
        <v>0</v>
      </c>
      <c r="H3090" s="9" t="s">
        <v>10</v>
      </c>
    </row>
    <row r="3091" spans="1:8" x14ac:dyDescent="0.25">
      <c r="A3091" s="7">
        <v>44591</v>
      </c>
      <c r="B3091" s="8" t="s">
        <v>3487</v>
      </c>
      <c r="C3091" s="9" t="s">
        <v>71</v>
      </c>
      <c r="D3091" s="10">
        <v>1554</v>
      </c>
      <c r="E3091" s="11">
        <v>44591</v>
      </c>
      <c r="F3091" s="10">
        <v>1554</v>
      </c>
      <c r="G3091" s="12">
        <f>Tabla1[[#This Row],[Importe]]-Tabla1[[#This Row],[Pagado]]</f>
        <v>0</v>
      </c>
      <c r="H3091" s="9" t="s">
        <v>10</v>
      </c>
    </row>
    <row r="3092" spans="1:8" x14ac:dyDescent="0.25">
      <c r="A3092" s="7">
        <v>44591</v>
      </c>
      <c r="B3092" s="8" t="s">
        <v>3488</v>
      </c>
      <c r="C3092" s="9" t="s">
        <v>214</v>
      </c>
      <c r="D3092" s="10">
        <v>1000</v>
      </c>
      <c r="E3092" s="11">
        <v>44591</v>
      </c>
      <c r="F3092" s="10">
        <v>1000</v>
      </c>
      <c r="G3092" s="12">
        <f>Tabla1[[#This Row],[Importe]]-Tabla1[[#This Row],[Pagado]]</f>
        <v>0</v>
      </c>
      <c r="H3092" s="9" t="s">
        <v>10</v>
      </c>
    </row>
    <row r="3093" spans="1:8" x14ac:dyDescent="0.25">
      <c r="A3093" s="7">
        <v>44591</v>
      </c>
      <c r="B3093" s="8" t="s">
        <v>3489</v>
      </c>
      <c r="C3093" s="9" t="s">
        <v>67</v>
      </c>
      <c r="D3093" s="10">
        <v>3132</v>
      </c>
      <c r="E3093" s="11">
        <v>44591</v>
      </c>
      <c r="F3093" s="10">
        <v>3132</v>
      </c>
      <c r="G3093" s="12">
        <f>Tabla1[[#This Row],[Importe]]-Tabla1[[#This Row],[Pagado]]</f>
        <v>0</v>
      </c>
      <c r="H3093" s="9" t="s">
        <v>10</v>
      </c>
    </row>
    <row r="3094" spans="1:8" x14ac:dyDescent="0.25">
      <c r="A3094" s="7">
        <v>44591</v>
      </c>
      <c r="B3094" s="8" t="s">
        <v>3490</v>
      </c>
      <c r="C3094" s="9" t="s">
        <v>62</v>
      </c>
      <c r="D3094" s="10">
        <v>6680.2</v>
      </c>
      <c r="E3094" s="11">
        <v>44591</v>
      </c>
      <c r="F3094" s="10">
        <v>6680.2</v>
      </c>
      <c r="G3094" s="12">
        <f>Tabla1[[#This Row],[Importe]]-Tabla1[[#This Row],[Pagado]]</f>
        <v>0</v>
      </c>
      <c r="H3094" s="9" t="s">
        <v>10</v>
      </c>
    </row>
    <row r="3095" spans="1:8" x14ac:dyDescent="0.25">
      <c r="A3095" s="7">
        <v>44591</v>
      </c>
      <c r="B3095" s="8" t="s">
        <v>3491</v>
      </c>
      <c r="C3095" s="9" t="s">
        <v>31</v>
      </c>
      <c r="D3095" s="10">
        <v>2993.9</v>
      </c>
      <c r="E3095" s="11">
        <v>44591</v>
      </c>
      <c r="F3095" s="10">
        <v>2993.9</v>
      </c>
      <c r="G3095" s="12">
        <f>Tabla1[[#This Row],[Importe]]-Tabla1[[#This Row],[Pagado]]</f>
        <v>0</v>
      </c>
      <c r="H3095" s="9" t="s">
        <v>10</v>
      </c>
    </row>
    <row r="3096" spans="1:8" x14ac:dyDescent="0.25">
      <c r="A3096" s="7">
        <v>44591</v>
      </c>
      <c r="B3096" s="8" t="s">
        <v>3492</v>
      </c>
      <c r="C3096" s="9" t="s">
        <v>244</v>
      </c>
      <c r="D3096" s="10">
        <v>1570.8</v>
      </c>
      <c r="E3096" s="11">
        <v>44591</v>
      </c>
      <c r="F3096" s="10">
        <v>1570.8</v>
      </c>
      <c r="G3096" s="12">
        <f>Tabla1[[#This Row],[Importe]]-Tabla1[[#This Row],[Pagado]]</f>
        <v>0</v>
      </c>
      <c r="H3096" s="9" t="s">
        <v>10</v>
      </c>
    </row>
    <row r="3097" spans="1:8" x14ac:dyDescent="0.25">
      <c r="A3097" s="7">
        <v>44591</v>
      </c>
      <c r="B3097" s="8" t="s">
        <v>3493</v>
      </c>
      <c r="C3097" s="9" t="s">
        <v>56</v>
      </c>
      <c r="D3097" s="10">
        <v>8019.8</v>
      </c>
      <c r="E3097" s="11">
        <v>44591</v>
      </c>
      <c r="F3097" s="10">
        <v>8019.8</v>
      </c>
      <c r="G3097" s="12">
        <f>Tabla1[[#This Row],[Importe]]-Tabla1[[#This Row],[Pagado]]</f>
        <v>0</v>
      </c>
      <c r="H3097" s="9" t="s">
        <v>10</v>
      </c>
    </row>
    <row r="3098" spans="1:8" x14ac:dyDescent="0.25">
      <c r="A3098" s="7">
        <v>44591</v>
      </c>
      <c r="B3098" s="8" t="s">
        <v>3494</v>
      </c>
      <c r="C3098" s="9" t="s">
        <v>1038</v>
      </c>
      <c r="D3098" s="10">
        <v>1078.0999999999999</v>
      </c>
      <c r="E3098" s="11">
        <v>44591</v>
      </c>
      <c r="F3098" s="10">
        <v>1078.0999999999999</v>
      </c>
      <c r="G3098" s="12">
        <f>Tabla1[[#This Row],[Importe]]-Tabla1[[#This Row],[Pagado]]</f>
        <v>0</v>
      </c>
      <c r="H3098" s="9" t="s">
        <v>10</v>
      </c>
    </row>
    <row r="3099" spans="1:8" x14ac:dyDescent="0.25">
      <c r="A3099" s="7">
        <v>44591</v>
      </c>
      <c r="B3099" s="8" t="s">
        <v>3495</v>
      </c>
      <c r="C3099" s="9" t="s">
        <v>1421</v>
      </c>
      <c r="D3099" s="10">
        <v>34800.400000000001</v>
      </c>
      <c r="E3099" s="11">
        <v>44591</v>
      </c>
      <c r="F3099" s="10">
        <v>34800.400000000001</v>
      </c>
      <c r="G3099" s="12">
        <f>Tabla1[[#This Row],[Importe]]-Tabla1[[#This Row],[Pagado]]</f>
        <v>0</v>
      </c>
      <c r="H3099" s="9" t="s">
        <v>10</v>
      </c>
    </row>
    <row r="3100" spans="1:8" x14ac:dyDescent="0.25">
      <c r="A3100" s="7">
        <v>44591</v>
      </c>
      <c r="B3100" s="8" t="s">
        <v>3496</v>
      </c>
      <c r="C3100" s="9" t="s">
        <v>83</v>
      </c>
      <c r="D3100" s="10">
        <v>5665</v>
      </c>
      <c r="E3100" s="11">
        <v>44591</v>
      </c>
      <c r="F3100" s="10">
        <v>5665</v>
      </c>
      <c r="G3100" s="12">
        <f>Tabla1[[#This Row],[Importe]]-Tabla1[[#This Row],[Pagado]]</f>
        <v>0</v>
      </c>
      <c r="H3100" s="9" t="s">
        <v>10</v>
      </c>
    </row>
    <row r="3101" spans="1:8" x14ac:dyDescent="0.25">
      <c r="A3101" s="7">
        <v>44591</v>
      </c>
      <c r="B3101" s="8" t="s">
        <v>3497</v>
      </c>
      <c r="C3101" s="9" t="s">
        <v>9</v>
      </c>
      <c r="D3101" s="10">
        <v>2012.8</v>
      </c>
      <c r="E3101" s="11">
        <v>44591</v>
      </c>
      <c r="F3101" s="10">
        <v>2012.8</v>
      </c>
      <c r="G3101" s="12">
        <f>Tabla1[[#This Row],[Importe]]-Tabla1[[#This Row],[Pagado]]</f>
        <v>0</v>
      </c>
      <c r="H3101" s="9" t="s">
        <v>10</v>
      </c>
    </row>
    <row r="3102" spans="1:8" x14ac:dyDescent="0.25">
      <c r="A3102" s="7">
        <v>44591</v>
      </c>
      <c r="B3102" s="8" t="s">
        <v>3498</v>
      </c>
      <c r="C3102" s="9" t="s">
        <v>16</v>
      </c>
      <c r="D3102" s="10">
        <v>1770.3</v>
      </c>
      <c r="E3102" s="11">
        <v>44591</v>
      </c>
      <c r="F3102" s="10">
        <v>1770.3</v>
      </c>
      <c r="G3102" s="12">
        <f>Tabla1[[#This Row],[Importe]]-Tabla1[[#This Row],[Pagado]]</f>
        <v>0</v>
      </c>
      <c r="H3102" s="9" t="s">
        <v>10</v>
      </c>
    </row>
    <row r="3103" spans="1:8" x14ac:dyDescent="0.25">
      <c r="A3103" s="7">
        <v>44591</v>
      </c>
      <c r="B3103" s="8" t="s">
        <v>3499</v>
      </c>
      <c r="C3103" s="9" t="s">
        <v>69</v>
      </c>
      <c r="D3103" s="10">
        <v>1925</v>
      </c>
      <c r="E3103" s="11">
        <v>44591</v>
      </c>
      <c r="F3103" s="10">
        <v>1925</v>
      </c>
      <c r="G3103" s="12">
        <f>Tabla1[[#This Row],[Importe]]-Tabla1[[#This Row],[Pagado]]</f>
        <v>0</v>
      </c>
      <c r="H3103" s="9" t="s">
        <v>10</v>
      </c>
    </row>
    <row r="3104" spans="1:8" x14ac:dyDescent="0.25">
      <c r="A3104" s="7">
        <v>44591</v>
      </c>
      <c r="B3104" s="8" t="s">
        <v>3500</v>
      </c>
      <c r="C3104" s="9" t="s">
        <v>67</v>
      </c>
      <c r="D3104" s="10">
        <v>448</v>
      </c>
      <c r="E3104" s="11">
        <v>44591</v>
      </c>
      <c r="F3104" s="10">
        <v>448</v>
      </c>
      <c r="G3104" s="12">
        <f>Tabla1[[#This Row],[Importe]]-Tabla1[[#This Row],[Pagado]]</f>
        <v>0</v>
      </c>
      <c r="H3104" s="9" t="s">
        <v>10</v>
      </c>
    </row>
    <row r="3105" spans="1:8" x14ac:dyDescent="0.25">
      <c r="A3105" s="7">
        <v>44591</v>
      </c>
      <c r="B3105" s="8" t="s">
        <v>3501</v>
      </c>
      <c r="C3105" s="9" t="s">
        <v>53</v>
      </c>
      <c r="D3105" s="10">
        <v>1161.3</v>
      </c>
      <c r="E3105" s="11">
        <v>44591</v>
      </c>
      <c r="F3105" s="10">
        <v>1161.3</v>
      </c>
      <c r="G3105" s="12">
        <f>Tabla1[[#This Row],[Importe]]-Tabla1[[#This Row],[Pagado]]</f>
        <v>0</v>
      </c>
      <c r="H3105" s="9" t="s">
        <v>10</v>
      </c>
    </row>
    <row r="3106" spans="1:8" x14ac:dyDescent="0.25">
      <c r="A3106" s="7">
        <v>44591</v>
      </c>
      <c r="B3106" s="8" t="s">
        <v>3502</v>
      </c>
      <c r="C3106" s="9" t="s">
        <v>31</v>
      </c>
      <c r="D3106" s="10">
        <v>266</v>
      </c>
      <c r="E3106" s="11">
        <v>44591</v>
      </c>
      <c r="F3106" s="10">
        <v>266</v>
      </c>
      <c r="G3106" s="12">
        <f>Tabla1[[#This Row],[Importe]]-Tabla1[[#This Row],[Pagado]]</f>
        <v>0</v>
      </c>
      <c r="H3106" s="9" t="s">
        <v>10</v>
      </c>
    </row>
    <row r="3107" spans="1:8" x14ac:dyDescent="0.25">
      <c r="A3107" s="7">
        <v>44591</v>
      </c>
      <c r="B3107" s="8" t="s">
        <v>3503</v>
      </c>
      <c r="C3107" s="9" t="s">
        <v>35</v>
      </c>
      <c r="D3107" s="10">
        <v>362.6</v>
      </c>
      <c r="E3107" s="11">
        <v>44591</v>
      </c>
      <c r="F3107" s="10">
        <v>362.6</v>
      </c>
      <c r="G3107" s="12">
        <f>Tabla1[[#This Row],[Importe]]-Tabla1[[#This Row],[Pagado]]</f>
        <v>0</v>
      </c>
      <c r="H3107" s="9" t="s">
        <v>10</v>
      </c>
    </row>
    <row r="3108" spans="1:8" x14ac:dyDescent="0.25">
      <c r="A3108" s="7">
        <v>44591</v>
      </c>
      <c r="B3108" s="8" t="s">
        <v>3504</v>
      </c>
      <c r="C3108" s="9" t="s">
        <v>191</v>
      </c>
      <c r="D3108" s="10">
        <v>478.4</v>
      </c>
      <c r="E3108" s="11">
        <v>44592</v>
      </c>
      <c r="F3108" s="10">
        <v>478.4</v>
      </c>
      <c r="G3108" s="12">
        <f>Tabla1[[#This Row],[Importe]]-Tabla1[[#This Row],[Pagado]]</f>
        <v>0</v>
      </c>
      <c r="H3108" s="9" t="s">
        <v>10</v>
      </c>
    </row>
    <row r="3109" spans="1:8" ht="30" x14ac:dyDescent="0.25">
      <c r="A3109" s="7">
        <v>44592</v>
      </c>
      <c r="B3109" s="8" t="s">
        <v>3505</v>
      </c>
      <c r="C3109" s="9" t="s">
        <v>475</v>
      </c>
      <c r="D3109" s="10">
        <v>84458.6</v>
      </c>
      <c r="E3109" s="11" t="s">
        <v>3645</v>
      </c>
      <c r="F3109" s="10">
        <f>83450+1008.6</f>
        <v>84458.6</v>
      </c>
      <c r="G3109" s="12">
        <f>Tabla1[[#This Row],[Importe]]-Tabla1[[#This Row],[Pagado]]</f>
        <v>0</v>
      </c>
      <c r="H3109" s="9" t="s">
        <v>10</v>
      </c>
    </row>
    <row r="3110" spans="1:8" x14ac:dyDescent="0.25">
      <c r="A3110" s="7">
        <v>44592</v>
      </c>
      <c r="B3110" s="8" t="s">
        <v>3506</v>
      </c>
      <c r="C3110" s="9" t="s">
        <v>475</v>
      </c>
      <c r="D3110" s="10">
        <v>17175.599999999999</v>
      </c>
      <c r="E3110" s="11">
        <v>44594</v>
      </c>
      <c r="F3110" s="10">
        <v>17175.599999999999</v>
      </c>
      <c r="G3110" s="12">
        <f>Tabla1[[#This Row],[Importe]]-Tabla1[[#This Row],[Pagado]]</f>
        <v>0</v>
      </c>
      <c r="H3110" s="9" t="s">
        <v>10</v>
      </c>
    </row>
    <row r="3111" spans="1:8" x14ac:dyDescent="0.25">
      <c r="A3111" s="7">
        <v>44592</v>
      </c>
      <c r="B3111" s="8" t="s">
        <v>3507</v>
      </c>
      <c r="C3111" s="9" t="s">
        <v>20</v>
      </c>
      <c r="D3111" s="10">
        <v>1714.2</v>
      </c>
      <c r="E3111" s="11">
        <v>44592</v>
      </c>
      <c r="F3111" s="10">
        <v>1714.2</v>
      </c>
      <c r="G3111" s="12">
        <f>Tabla1[[#This Row],[Importe]]-Tabla1[[#This Row],[Pagado]]</f>
        <v>0</v>
      </c>
      <c r="H3111" s="9" t="s">
        <v>10</v>
      </c>
    </row>
    <row r="3112" spans="1:8" x14ac:dyDescent="0.25">
      <c r="A3112" s="7">
        <v>44592</v>
      </c>
      <c r="B3112" s="8" t="s">
        <v>3508</v>
      </c>
      <c r="C3112" s="9" t="s">
        <v>481</v>
      </c>
      <c r="D3112" s="10">
        <v>2531.4</v>
      </c>
      <c r="E3112" s="11">
        <v>44592</v>
      </c>
      <c r="F3112" s="10">
        <v>2531.4</v>
      </c>
      <c r="G3112" s="12">
        <f>Tabla1[[#This Row],[Importe]]-Tabla1[[#This Row],[Pagado]]</f>
        <v>0</v>
      </c>
      <c r="H3112" s="9" t="s">
        <v>10</v>
      </c>
    </row>
    <row r="3113" spans="1:8" x14ac:dyDescent="0.25">
      <c r="A3113" s="7">
        <v>44592</v>
      </c>
      <c r="B3113" s="8" t="s">
        <v>3509</v>
      </c>
      <c r="C3113" s="9" t="s">
        <v>314</v>
      </c>
      <c r="D3113" s="10">
        <v>1055</v>
      </c>
      <c r="E3113" s="11">
        <v>44593</v>
      </c>
      <c r="F3113" s="10">
        <v>1055</v>
      </c>
      <c r="G3113" s="12">
        <f>Tabla1[[#This Row],[Importe]]-Tabla1[[#This Row],[Pagado]]</f>
        <v>0</v>
      </c>
      <c r="H3113" s="9" t="s">
        <v>10</v>
      </c>
    </row>
    <row r="3114" spans="1:8" x14ac:dyDescent="0.25">
      <c r="A3114" s="7">
        <v>44592</v>
      </c>
      <c r="B3114" s="8" t="s">
        <v>3510</v>
      </c>
      <c r="C3114" s="9" t="s">
        <v>357</v>
      </c>
      <c r="D3114" s="10">
        <v>693.6</v>
      </c>
      <c r="E3114" s="11">
        <v>44593</v>
      </c>
      <c r="F3114" s="10">
        <v>693.6</v>
      </c>
      <c r="G3114" s="12">
        <f>Tabla1[[#This Row],[Importe]]-Tabla1[[#This Row],[Pagado]]</f>
        <v>0</v>
      </c>
      <c r="H3114" s="9" t="s">
        <v>10</v>
      </c>
    </row>
    <row r="3115" spans="1:8" x14ac:dyDescent="0.25">
      <c r="A3115" s="7">
        <v>44592</v>
      </c>
      <c r="B3115" s="8" t="s">
        <v>3511</v>
      </c>
      <c r="C3115" s="9" t="s">
        <v>140</v>
      </c>
      <c r="D3115" s="10">
        <v>4196.6000000000004</v>
      </c>
      <c r="E3115" s="11">
        <v>44593</v>
      </c>
      <c r="F3115" s="10">
        <v>4196.6000000000004</v>
      </c>
      <c r="G3115" s="12">
        <f>Tabla1[[#This Row],[Importe]]-Tabla1[[#This Row],[Pagado]]</f>
        <v>0</v>
      </c>
      <c r="H3115" s="9" t="s">
        <v>10</v>
      </c>
    </row>
    <row r="3116" spans="1:8" x14ac:dyDescent="0.25">
      <c r="A3116" s="7">
        <v>44592</v>
      </c>
      <c r="B3116" s="8" t="s">
        <v>3512</v>
      </c>
      <c r="C3116" s="9" t="s">
        <v>129</v>
      </c>
      <c r="D3116" s="10">
        <v>5296.2</v>
      </c>
      <c r="E3116" s="11">
        <v>44593</v>
      </c>
      <c r="F3116" s="10">
        <v>5296.2</v>
      </c>
      <c r="G3116" s="12">
        <f>Tabla1[[#This Row],[Importe]]-Tabla1[[#This Row],[Pagado]]</f>
        <v>0</v>
      </c>
      <c r="H3116" s="9" t="s">
        <v>10</v>
      </c>
    </row>
    <row r="3117" spans="1:8" x14ac:dyDescent="0.25">
      <c r="A3117" s="7">
        <v>44592</v>
      </c>
      <c r="B3117" s="8" t="s">
        <v>3513</v>
      </c>
      <c r="C3117" s="9" t="s">
        <v>127</v>
      </c>
      <c r="D3117" s="10">
        <v>3745.4</v>
      </c>
      <c r="E3117" s="11">
        <v>44593</v>
      </c>
      <c r="F3117" s="10">
        <v>3745.4</v>
      </c>
      <c r="G3117" s="12">
        <f>Tabla1[[#This Row],[Importe]]-Tabla1[[#This Row],[Pagado]]</f>
        <v>0</v>
      </c>
      <c r="H3117" s="9" t="s">
        <v>10</v>
      </c>
    </row>
    <row r="3118" spans="1:8" x14ac:dyDescent="0.25">
      <c r="A3118" s="7">
        <v>44592</v>
      </c>
      <c r="B3118" s="8" t="s">
        <v>3514</v>
      </c>
      <c r="C3118" s="9" t="s">
        <v>339</v>
      </c>
      <c r="D3118" s="10">
        <v>357.7</v>
      </c>
      <c r="E3118" s="11">
        <v>44593</v>
      </c>
      <c r="F3118" s="10">
        <v>357.7</v>
      </c>
      <c r="G3118" s="12">
        <f>Tabla1[[#This Row],[Importe]]-Tabla1[[#This Row],[Pagado]]</f>
        <v>0</v>
      </c>
      <c r="H3118" s="9" t="s">
        <v>10</v>
      </c>
    </row>
    <row r="3119" spans="1:8" x14ac:dyDescent="0.25">
      <c r="A3119" s="7">
        <v>44592</v>
      </c>
      <c r="B3119" s="8" t="s">
        <v>3515</v>
      </c>
      <c r="C3119" s="9" t="s">
        <v>125</v>
      </c>
      <c r="D3119" s="10">
        <v>1147.2</v>
      </c>
      <c r="E3119" s="11">
        <v>44593</v>
      </c>
      <c r="F3119" s="10">
        <v>1147.2</v>
      </c>
      <c r="G3119" s="12">
        <f>Tabla1[[#This Row],[Importe]]-Tabla1[[#This Row],[Pagado]]</f>
        <v>0</v>
      </c>
      <c r="H3119" s="9" t="s">
        <v>10</v>
      </c>
    </row>
    <row r="3120" spans="1:8" x14ac:dyDescent="0.25">
      <c r="A3120" s="7">
        <v>44592</v>
      </c>
      <c r="B3120" s="8" t="s">
        <v>3516</v>
      </c>
      <c r="C3120" s="9" t="s">
        <v>326</v>
      </c>
      <c r="D3120" s="10">
        <v>4190</v>
      </c>
      <c r="E3120" s="11">
        <v>44593</v>
      </c>
      <c r="F3120" s="10">
        <v>4190</v>
      </c>
      <c r="G3120" s="12">
        <f>Tabla1[[#This Row],[Importe]]-Tabla1[[#This Row],[Pagado]]</f>
        <v>0</v>
      </c>
      <c r="H3120" s="9" t="s">
        <v>10</v>
      </c>
    </row>
    <row r="3121" spans="1:8" x14ac:dyDescent="0.25">
      <c r="A3121" s="7">
        <v>44592</v>
      </c>
      <c r="B3121" s="8" t="s">
        <v>3517</v>
      </c>
      <c r="C3121" s="9" t="s">
        <v>60</v>
      </c>
      <c r="D3121" s="10">
        <v>4123.6000000000004</v>
      </c>
      <c r="E3121" s="11">
        <v>44593</v>
      </c>
      <c r="F3121" s="10">
        <v>4123.6000000000004</v>
      </c>
      <c r="G3121" s="12">
        <f>Tabla1[[#This Row],[Importe]]-Tabla1[[#This Row],[Pagado]]</f>
        <v>0</v>
      </c>
      <c r="H3121" s="9" t="s">
        <v>10</v>
      </c>
    </row>
    <row r="3122" spans="1:8" x14ac:dyDescent="0.25">
      <c r="A3122" s="7">
        <v>44592</v>
      </c>
      <c r="B3122" s="8" t="s">
        <v>3518</v>
      </c>
      <c r="C3122" s="9" t="s">
        <v>120</v>
      </c>
      <c r="D3122" s="10">
        <v>4300.3999999999996</v>
      </c>
      <c r="E3122" s="11">
        <v>44594</v>
      </c>
      <c r="F3122" s="10">
        <v>4300.3999999999996</v>
      </c>
      <c r="G3122" s="12">
        <f>Tabla1[[#This Row],[Importe]]-Tabla1[[#This Row],[Pagado]]</f>
        <v>0</v>
      </c>
      <c r="H3122" s="9" t="s">
        <v>10</v>
      </c>
    </row>
    <row r="3123" spans="1:8" x14ac:dyDescent="0.25">
      <c r="A3123" s="7">
        <v>44592</v>
      </c>
      <c r="B3123" s="8" t="s">
        <v>3519</v>
      </c>
      <c r="C3123" s="9" t="s">
        <v>105</v>
      </c>
      <c r="D3123" s="10">
        <v>4430</v>
      </c>
      <c r="E3123" s="11">
        <v>44594</v>
      </c>
      <c r="F3123" s="10">
        <v>4430</v>
      </c>
      <c r="G3123" s="12">
        <f>Tabla1[[#This Row],[Importe]]-Tabla1[[#This Row],[Pagado]]</f>
        <v>0</v>
      </c>
      <c r="H3123" s="9" t="s">
        <v>10</v>
      </c>
    </row>
    <row r="3124" spans="1:8" x14ac:dyDescent="0.25">
      <c r="A3124" s="7">
        <v>44592</v>
      </c>
      <c r="B3124" s="8" t="s">
        <v>3520</v>
      </c>
      <c r="C3124" s="9" t="s">
        <v>64</v>
      </c>
      <c r="D3124" s="10">
        <v>3759.6</v>
      </c>
      <c r="E3124" s="11">
        <v>44593</v>
      </c>
      <c r="F3124" s="10">
        <v>3759.6</v>
      </c>
      <c r="G3124" s="12">
        <f>Tabla1[[#This Row],[Importe]]-Tabla1[[#This Row],[Pagado]]</f>
        <v>0</v>
      </c>
      <c r="H3124" s="9" t="s">
        <v>10</v>
      </c>
    </row>
    <row r="3125" spans="1:8" x14ac:dyDescent="0.25">
      <c r="A3125" s="7">
        <v>44592</v>
      </c>
      <c r="B3125" s="8" t="s">
        <v>3521</v>
      </c>
      <c r="C3125" s="9" t="s">
        <v>99</v>
      </c>
      <c r="D3125" s="10">
        <v>4320</v>
      </c>
      <c r="E3125" s="11">
        <v>44593</v>
      </c>
      <c r="F3125" s="10">
        <v>4320</v>
      </c>
      <c r="G3125" s="12">
        <f>Tabla1[[#This Row],[Importe]]-Tabla1[[#This Row],[Pagado]]</f>
        <v>0</v>
      </c>
      <c r="H3125" s="9" t="s">
        <v>10</v>
      </c>
    </row>
    <row r="3126" spans="1:8" x14ac:dyDescent="0.25">
      <c r="A3126" s="7">
        <v>44592</v>
      </c>
      <c r="B3126" s="8" t="s">
        <v>3522</v>
      </c>
      <c r="C3126" s="9" t="s">
        <v>12</v>
      </c>
      <c r="D3126" s="10">
        <v>31958.6</v>
      </c>
      <c r="E3126" s="11">
        <v>44593</v>
      </c>
      <c r="F3126" s="10">
        <v>31958.6</v>
      </c>
      <c r="G3126" s="12">
        <f>Tabla1[[#This Row],[Importe]]-Tabla1[[#This Row],[Pagado]]</f>
        <v>0</v>
      </c>
      <c r="H3126" s="9" t="s">
        <v>10</v>
      </c>
    </row>
    <row r="3127" spans="1:8" x14ac:dyDescent="0.25">
      <c r="A3127" s="7">
        <v>44592</v>
      </c>
      <c r="B3127" s="8" t="s">
        <v>3523</v>
      </c>
      <c r="C3127" s="9" t="s">
        <v>111</v>
      </c>
      <c r="D3127" s="10">
        <v>4155</v>
      </c>
      <c r="E3127" s="11">
        <v>44593</v>
      </c>
      <c r="F3127" s="10">
        <v>4155</v>
      </c>
      <c r="G3127" s="12">
        <f>Tabla1[[#This Row],[Importe]]-Tabla1[[#This Row],[Pagado]]</f>
        <v>0</v>
      </c>
      <c r="H3127" s="9" t="s">
        <v>10</v>
      </c>
    </row>
    <row r="3128" spans="1:8" x14ac:dyDescent="0.25">
      <c r="A3128" s="7">
        <v>44592</v>
      </c>
      <c r="B3128" s="8" t="s">
        <v>3524</v>
      </c>
      <c r="C3128" s="9" t="s">
        <v>380</v>
      </c>
      <c r="D3128" s="10">
        <v>17639.8</v>
      </c>
      <c r="E3128" s="11">
        <v>44592</v>
      </c>
      <c r="F3128" s="10">
        <v>17639.8</v>
      </c>
      <c r="G3128" s="12">
        <f>Tabla1[[#This Row],[Importe]]-Tabla1[[#This Row],[Pagado]]</f>
        <v>0</v>
      </c>
      <c r="H3128" s="9" t="s">
        <v>10</v>
      </c>
    </row>
    <row r="3129" spans="1:8" x14ac:dyDescent="0.25">
      <c r="A3129" s="7">
        <v>44592</v>
      </c>
      <c r="B3129" s="8" t="s">
        <v>3525</v>
      </c>
      <c r="C3129" s="9" t="s">
        <v>520</v>
      </c>
      <c r="D3129" s="10">
        <v>3738</v>
      </c>
      <c r="E3129" s="11">
        <v>44594</v>
      </c>
      <c r="F3129" s="10">
        <v>3738</v>
      </c>
      <c r="G3129" s="12">
        <f>Tabla1[[#This Row],[Importe]]-Tabla1[[#This Row],[Pagado]]</f>
        <v>0</v>
      </c>
      <c r="H3129" s="9" t="s">
        <v>10</v>
      </c>
    </row>
    <row r="3130" spans="1:8" x14ac:dyDescent="0.25">
      <c r="A3130" s="7">
        <v>44592</v>
      </c>
      <c r="B3130" s="8" t="s">
        <v>3526</v>
      </c>
      <c r="C3130" s="9" t="s">
        <v>151</v>
      </c>
      <c r="D3130" s="10">
        <v>6589.2</v>
      </c>
      <c r="E3130" s="11">
        <v>44592</v>
      </c>
      <c r="F3130" s="10">
        <v>6589.2</v>
      </c>
      <c r="G3130" s="12">
        <f>Tabla1[[#This Row],[Importe]]-Tabla1[[#This Row],[Pagado]]</f>
        <v>0</v>
      </c>
      <c r="H3130" s="9" t="s">
        <v>10</v>
      </c>
    </row>
    <row r="3131" spans="1:8" x14ac:dyDescent="0.25">
      <c r="A3131" s="7">
        <v>44592</v>
      </c>
      <c r="B3131" s="8" t="s">
        <v>3527</v>
      </c>
      <c r="C3131" s="9" t="s">
        <v>75</v>
      </c>
      <c r="D3131" s="10">
        <v>6060</v>
      </c>
      <c r="E3131" s="11">
        <v>44592</v>
      </c>
      <c r="F3131" s="10">
        <v>6060</v>
      </c>
      <c r="G3131" s="12">
        <f>Tabla1[[#This Row],[Importe]]-Tabla1[[#This Row],[Pagado]]</f>
        <v>0</v>
      </c>
      <c r="H3131" s="9" t="s">
        <v>10</v>
      </c>
    </row>
    <row r="3132" spans="1:8" x14ac:dyDescent="0.25">
      <c r="A3132" s="7">
        <v>44592</v>
      </c>
      <c r="B3132" s="8" t="s">
        <v>3528</v>
      </c>
      <c r="C3132" s="9" t="s">
        <v>97</v>
      </c>
      <c r="D3132" s="10">
        <v>8160</v>
      </c>
      <c r="E3132" s="11">
        <v>44593</v>
      </c>
      <c r="F3132" s="10">
        <v>8160</v>
      </c>
      <c r="G3132" s="12">
        <f>Tabla1[[#This Row],[Importe]]-Tabla1[[#This Row],[Pagado]]</f>
        <v>0</v>
      </c>
      <c r="H3132" s="9" t="s">
        <v>10</v>
      </c>
    </row>
    <row r="3133" spans="1:8" x14ac:dyDescent="0.25">
      <c r="A3133" s="7">
        <v>44592</v>
      </c>
      <c r="B3133" s="8" t="s">
        <v>3529</v>
      </c>
      <c r="C3133" s="9" t="s">
        <v>9</v>
      </c>
      <c r="D3133" s="10">
        <v>5383.6</v>
      </c>
      <c r="E3133" s="11">
        <v>44592</v>
      </c>
      <c r="F3133" s="10">
        <v>5383.6</v>
      </c>
      <c r="G3133" s="12">
        <f>Tabla1[[#This Row],[Importe]]-Tabla1[[#This Row],[Pagado]]</f>
        <v>0</v>
      </c>
      <c r="H3133" s="9" t="s">
        <v>10</v>
      </c>
    </row>
    <row r="3134" spans="1:8" x14ac:dyDescent="0.25">
      <c r="A3134" s="7">
        <v>44592</v>
      </c>
      <c r="B3134" s="8" t="s">
        <v>3530</v>
      </c>
      <c r="C3134" s="9" t="s">
        <v>345</v>
      </c>
      <c r="D3134" s="10">
        <v>412.8</v>
      </c>
      <c r="E3134" s="11">
        <v>44592</v>
      </c>
      <c r="F3134" s="10">
        <v>412.8</v>
      </c>
      <c r="G3134" s="12">
        <f>Tabla1[[#This Row],[Importe]]-Tabla1[[#This Row],[Pagado]]</f>
        <v>0</v>
      </c>
      <c r="H3134" s="9" t="s">
        <v>10</v>
      </c>
    </row>
    <row r="3135" spans="1:8" x14ac:dyDescent="0.25">
      <c r="A3135" s="7">
        <v>44592</v>
      </c>
      <c r="B3135" s="8" t="s">
        <v>3531</v>
      </c>
      <c r="C3135" s="9" t="s">
        <v>114</v>
      </c>
      <c r="D3135" s="10">
        <v>4296.8</v>
      </c>
      <c r="E3135" s="11">
        <v>44593</v>
      </c>
      <c r="F3135" s="10">
        <v>4296.8</v>
      </c>
      <c r="G3135" s="12">
        <f>Tabla1[[#This Row],[Importe]]-Tabla1[[#This Row],[Pagado]]</f>
        <v>0</v>
      </c>
      <c r="H3135" s="9" t="s">
        <v>10</v>
      </c>
    </row>
    <row r="3136" spans="1:8" x14ac:dyDescent="0.25">
      <c r="A3136" s="7">
        <v>44592</v>
      </c>
      <c r="B3136" s="8" t="s">
        <v>3532</v>
      </c>
      <c r="C3136" s="9" t="s">
        <v>93</v>
      </c>
      <c r="D3136" s="10">
        <v>5261.8</v>
      </c>
      <c r="E3136" s="11">
        <v>44593</v>
      </c>
      <c r="F3136" s="10">
        <v>5261.8</v>
      </c>
      <c r="G3136" s="12">
        <f>Tabla1[[#This Row],[Importe]]-Tabla1[[#This Row],[Pagado]]</f>
        <v>0</v>
      </c>
      <c r="H3136" s="9" t="s">
        <v>10</v>
      </c>
    </row>
    <row r="3137" spans="1:8" ht="30" x14ac:dyDescent="0.25">
      <c r="A3137" s="7">
        <v>44592</v>
      </c>
      <c r="B3137" s="8" t="s">
        <v>3533</v>
      </c>
      <c r="C3137" s="9" t="s">
        <v>39</v>
      </c>
      <c r="D3137" s="10">
        <v>17038.8</v>
      </c>
      <c r="E3137" s="11" t="s">
        <v>3646</v>
      </c>
      <c r="F3137" s="10">
        <f>4000+13038.8</f>
        <v>17038.8</v>
      </c>
      <c r="G3137" s="12">
        <f>Tabla1[[#This Row],[Importe]]-Tabla1[[#This Row],[Pagado]]</f>
        <v>0</v>
      </c>
      <c r="H3137" s="9" t="s">
        <v>10</v>
      </c>
    </row>
    <row r="3138" spans="1:8" x14ac:dyDescent="0.25">
      <c r="A3138" s="7">
        <v>44592</v>
      </c>
      <c r="B3138" s="8" t="s">
        <v>3534</v>
      </c>
      <c r="C3138" s="9" t="s">
        <v>181</v>
      </c>
      <c r="D3138" s="10">
        <v>11472.4</v>
      </c>
      <c r="E3138" s="11">
        <v>44592</v>
      </c>
      <c r="F3138" s="10">
        <v>11472.4</v>
      </c>
      <c r="G3138" s="12">
        <f>Tabla1[[#This Row],[Importe]]-Tabla1[[#This Row],[Pagado]]</f>
        <v>0</v>
      </c>
      <c r="H3138" s="9" t="s">
        <v>10</v>
      </c>
    </row>
    <row r="3139" spans="1:8" x14ac:dyDescent="0.25">
      <c r="A3139" s="7">
        <v>44592</v>
      </c>
      <c r="B3139" s="8" t="s">
        <v>3535</v>
      </c>
      <c r="C3139" s="9" t="s">
        <v>368</v>
      </c>
      <c r="D3139" s="10">
        <v>6425.6</v>
      </c>
      <c r="E3139" s="11">
        <v>44592</v>
      </c>
      <c r="F3139" s="10">
        <v>6425.6</v>
      </c>
      <c r="G3139" s="12">
        <f>Tabla1[[#This Row],[Importe]]-Tabla1[[#This Row],[Pagado]]</f>
        <v>0</v>
      </c>
      <c r="H3139" s="9" t="s">
        <v>10</v>
      </c>
    </row>
    <row r="3140" spans="1:8" x14ac:dyDescent="0.25">
      <c r="A3140" s="7">
        <v>44592</v>
      </c>
      <c r="B3140" s="8" t="s">
        <v>3536</v>
      </c>
      <c r="C3140" s="9" t="s">
        <v>22</v>
      </c>
      <c r="D3140" s="10">
        <v>55017.599999999999</v>
      </c>
      <c r="E3140" s="11">
        <v>44593</v>
      </c>
      <c r="F3140" s="10">
        <v>55017.599999999999</v>
      </c>
      <c r="G3140" s="12">
        <f>Tabla1[[#This Row],[Importe]]-Tabla1[[#This Row],[Pagado]]</f>
        <v>0</v>
      </c>
      <c r="H3140" s="9" t="s">
        <v>10</v>
      </c>
    </row>
    <row r="3141" spans="1:8" x14ac:dyDescent="0.25">
      <c r="A3141" s="7">
        <v>44592</v>
      </c>
      <c r="B3141" s="8" t="s">
        <v>3537</v>
      </c>
      <c r="C3141" s="9" t="s">
        <v>89</v>
      </c>
      <c r="D3141" s="10">
        <v>3872.6</v>
      </c>
      <c r="E3141" s="11">
        <v>44593</v>
      </c>
      <c r="F3141" s="10">
        <v>3872.6</v>
      </c>
      <c r="G3141" s="12">
        <f>Tabla1[[#This Row],[Importe]]-Tabla1[[#This Row],[Pagado]]</f>
        <v>0</v>
      </c>
      <c r="H3141" s="9" t="s">
        <v>10</v>
      </c>
    </row>
    <row r="3142" spans="1:8" x14ac:dyDescent="0.25">
      <c r="A3142" s="7">
        <v>44592</v>
      </c>
      <c r="B3142" s="8" t="s">
        <v>3538</v>
      </c>
      <c r="C3142" s="9" t="s">
        <v>83</v>
      </c>
      <c r="D3142" s="10">
        <v>6859.5</v>
      </c>
      <c r="E3142" s="11">
        <v>44593</v>
      </c>
      <c r="F3142" s="10">
        <v>6859.5</v>
      </c>
      <c r="G3142" s="12">
        <f>Tabla1[[#This Row],[Importe]]-Tabla1[[#This Row],[Pagado]]</f>
        <v>0</v>
      </c>
      <c r="H3142" s="9" t="s">
        <v>10</v>
      </c>
    </row>
    <row r="3143" spans="1:8" x14ac:dyDescent="0.25">
      <c r="A3143" s="7">
        <v>44592</v>
      </c>
      <c r="B3143" s="8" t="s">
        <v>3539</v>
      </c>
      <c r="C3143" s="9" t="s">
        <v>131</v>
      </c>
      <c r="D3143" s="10">
        <v>6899.2</v>
      </c>
      <c r="E3143" s="11">
        <v>44592</v>
      </c>
      <c r="F3143" s="10">
        <v>6899.2</v>
      </c>
      <c r="G3143" s="12">
        <f>Tabla1[[#This Row],[Importe]]-Tabla1[[#This Row],[Pagado]]</f>
        <v>0</v>
      </c>
      <c r="H3143" s="9" t="s">
        <v>10</v>
      </c>
    </row>
    <row r="3144" spans="1:8" x14ac:dyDescent="0.25">
      <c r="A3144" s="7">
        <v>44592</v>
      </c>
      <c r="B3144" s="8" t="s">
        <v>3540</v>
      </c>
      <c r="C3144" s="9" t="s">
        <v>348</v>
      </c>
      <c r="D3144" s="10">
        <v>2016.2</v>
      </c>
      <c r="E3144" s="11">
        <v>44593</v>
      </c>
      <c r="F3144" s="10">
        <v>2016.2</v>
      </c>
      <c r="G3144" s="12">
        <f>Tabla1[[#This Row],[Importe]]-Tabla1[[#This Row],[Pagado]]</f>
        <v>0</v>
      </c>
      <c r="H3144" s="9" t="s">
        <v>10</v>
      </c>
    </row>
    <row r="3145" spans="1:8" x14ac:dyDescent="0.25">
      <c r="A3145" s="7">
        <v>44592</v>
      </c>
      <c r="B3145" s="8" t="s">
        <v>3541</v>
      </c>
      <c r="C3145" s="9" t="s">
        <v>319</v>
      </c>
      <c r="D3145" s="10">
        <v>854.4</v>
      </c>
      <c r="E3145" s="11">
        <v>44592</v>
      </c>
      <c r="F3145" s="10">
        <v>854.4</v>
      </c>
      <c r="G3145" s="12">
        <f>Tabla1[[#This Row],[Importe]]-Tabla1[[#This Row],[Pagado]]</f>
        <v>0</v>
      </c>
      <c r="H3145" s="9" t="s">
        <v>10</v>
      </c>
    </row>
    <row r="3146" spans="1:8" x14ac:dyDescent="0.25">
      <c r="A3146" s="7">
        <v>44592</v>
      </c>
      <c r="B3146" s="8" t="s">
        <v>3542</v>
      </c>
      <c r="C3146" s="9" t="s">
        <v>1502</v>
      </c>
      <c r="D3146" s="10">
        <v>0</v>
      </c>
      <c r="E3146" s="13" t="s">
        <v>189</v>
      </c>
      <c r="F3146" s="10">
        <v>0</v>
      </c>
      <c r="G3146" s="12">
        <f>Tabla1[[#This Row],[Importe]]-Tabla1[[#This Row],[Pagado]]</f>
        <v>0</v>
      </c>
      <c r="H3146" s="17" t="s">
        <v>3543</v>
      </c>
    </row>
    <row r="3147" spans="1:8" x14ac:dyDescent="0.25">
      <c r="A3147" s="7">
        <v>44592</v>
      </c>
      <c r="B3147" s="8" t="s">
        <v>3544</v>
      </c>
      <c r="C3147" s="9" t="s">
        <v>518</v>
      </c>
      <c r="D3147" s="10">
        <v>2271.8000000000002</v>
      </c>
      <c r="E3147" s="11">
        <v>44592</v>
      </c>
      <c r="F3147" s="10">
        <v>2271.8000000000002</v>
      </c>
      <c r="G3147" s="12">
        <f>Tabla1[[#This Row],[Importe]]-Tabla1[[#This Row],[Pagado]]</f>
        <v>0</v>
      </c>
      <c r="H3147" s="9" t="s">
        <v>10</v>
      </c>
    </row>
    <row r="3148" spans="1:8" x14ac:dyDescent="0.25">
      <c r="A3148" s="7">
        <v>44592</v>
      </c>
      <c r="B3148" s="8" t="s">
        <v>3545</v>
      </c>
      <c r="C3148" s="9" t="s">
        <v>159</v>
      </c>
      <c r="D3148" s="10">
        <v>2302.6</v>
      </c>
      <c r="E3148" s="11">
        <v>44592</v>
      </c>
      <c r="F3148" s="10">
        <v>2302.6</v>
      </c>
      <c r="G3148" s="12">
        <f>Tabla1[[#This Row],[Importe]]-Tabla1[[#This Row],[Pagado]]</f>
        <v>0</v>
      </c>
      <c r="H3148" s="9" t="s">
        <v>10</v>
      </c>
    </row>
    <row r="3149" spans="1:8" x14ac:dyDescent="0.25">
      <c r="A3149" s="7">
        <v>44592</v>
      </c>
      <c r="B3149" s="8" t="s">
        <v>3546</v>
      </c>
      <c r="C3149" s="9" t="s">
        <v>135</v>
      </c>
      <c r="D3149" s="10">
        <v>867.3</v>
      </c>
      <c r="E3149" s="11">
        <v>44592</v>
      </c>
      <c r="F3149" s="10">
        <v>867.3</v>
      </c>
      <c r="G3149" s="12">
        <f>Tabla1[[#This Row],[Importe]]-Tabla1[[#This Row],[Pagado]]</f>
        <v>0</v>
      </c>
      <c r="H3149" s="9" t="s">
        <v>10</v>
      </c>
    </row>
    <row r="3150" spans="1:8" x14ac:dyDescent="0.25">
      <c r="A3150" s="7">
        <v>44592</v>
      </c>
      <c r="B3150" s="8" t="s">
        <v>3547</v>
      </c>
      <c r="C3150" s="9" t="s">
        <v>179</v>
      </c>
      <c r="D3150" s="10">
        <v>515</v>
      </c>
      <c r="E3150" s="11">
        <v>44592</v>
      </c>
      <c r="F3150" s="10">
        <v>515</v>
      </c>
      <c r="G3150" s="12">
        <f>Tabla1[[#This Row],[Importe]]-Tabla1[[#This Row],[Pagado]]</f>
        <v>0</v>
      </c>
      <c r="H3150" s="9" t="s">
        <v>10</v>
      </c>
    </row>
    <row r="3151" spans="1:8" x14ac:dyDescent="0.25">
      <c r="A3151" s="7">
        <v>44592</v>
      </c>
      <c r="B3151" s="8" t="s">
        <v>3548</v>
      </c>
      <c r="C3151" s="9" t="s">
        <v>1003</v>
      </c>
      <c r="D3151" s="10">
        <v>1403.5</v>
      </c>
      <c r="E3151" s="11">
        <v>44592</v>
      </c>
      <c r="F3151" s="10">
        <v>1403.5</v>
      </c>
      <c r="G3151" s="12">
        <f>Tabla1[[#This Row],[Importe]]-Tabla1[[#This Row],[Pagado]]</f>
        <v>0</v>
      </c>
      <c r="H3151" s="9" t="s">
        <v>10</v>
      </c>
    </row>
    <row r="3152" spans="1:8" x14ac:dyDescent="0.25">
      <c r="A3152" s="7">
        <v>44592</v>
      </c>
      <c r="B3152" s="8" t="s">
        <v>3549</v>
      </c>
      <c r="C3152" s="9" t="s">
        <v>777</v>
      </c>
      <c r="D3152" s="10">
        <v>1666</v>
      </c>
      <c r="E3152" s="11">
        <v>44592</v>
      </c>
      <c r="F3152" s="10">
        <v>1666</v>
      </c>
      <c r="G3152" s="12">
        <f>Tabla1[[#This Row],[Importe]]-Tabla1[[#This Row],[Pagado]]</f>
        <v>0</v>
      </c>
      <c r="H3152" s="9" t="s">
        <v>10</v>
      </c>
    </row>
    <row r="3153" spans="1:8" x14ac:dyDescent="0.25">
      <c r="A3153" s="7">
        <v>44592</v>
      </c>
      <c r="B3153" s="8" t="s">
        <v>3550</v>
      </c>
      <c r="C3153" s="9" t="s">
        <v>3551</v>
      </c>
      <c r="D3153" s="10">
        <v>375</v>
      </c>
      <c r="E3153" s="11">
        <v>44592</v>
      </c>
      <c r="F3153" s="10">
        <v>375</v>
      </c>
      <c r="G3153" s="12">
        <f>Tabla1[[#This Row],[Importe]]-Tabla1[[#This Row],[Pagado]]</f>
        <v>0</v>
      </c>
      <c r="H3153" s="9" t="s">
        <v>10</v>
      </c>
    </row>
    <row r="3154" spans="1:8" x14ac:dyDescent="0.25">
      <c r="A3154" s="7">
        <v>44592</v>
      </c>
      <c r="B3154" s="8" t="s">
        <v>3552</v>
      </c>
      <c r="C3154" s="9" t="s">
        <v>144</v>
      </c>
      <c r="D3154" s="10">
        <v>2306.6</v>
      </c>
      <c r="E3154" s="11">
        <v>44593</v>
      </c>
      <c r="F3154" s="10">
        <v>2306.6</v>
      </c>
      <c r="G3154" s="12">
        <f>Tabla1[[#This Row],[Importe]]-Tabla1[[#This Row],[Pagado]]</f>
        <v>0</v>
      </c>
      <c r="H3154" s="9" t="s">
        <v>10</v>
      </c>
    </row>
    <row r="3155" spans="1:8" x14ac:dyDescent="0.25">
      <c r="A3155" s="7">
        <v>44592</v>
      </c>
      <c r="B3155" s="8" t="s">
        <v>3553</v>
      </c>
      <c r="C3155" s="9" t="s">
        <v>157</v>
      </c>
      <c r="D3155" s="10">
        <v>3489.6</v>
      </c>
      <c r="E3155" s="11">
        <v>44592</v>
      </c>
      <c r="F3155" s="10">
        <v>3489.6</v>
      </c>
      <c r="G3155" s="12">
        <f>Tabla1[[#This Row],[Importe]]-Tabla1[[#This Row],[Pagado]]</f>
        <v>0</v>
      </c>
      <c r="H3155" s="9" t="s">
        <v>10</v>
      </c>
    </row>
    <row r="3156" spans="1:8" x14ac:dyDescent="0.25">
      <c r="A3156" s="7">
        <v>44592</v>
      </c>
      <c r="B3156" s="8" t="s">
        <v>3554</v>
      </c>
      <c r="C3156" s="9" t="s">
        <v>49</v>
      </c>
      <c r="D3156" s="10">
        <v>3365.4</v>
      </c>
      <c r="E3156" s="11">
        <v>44592</v>
      </c>
      <c r="F3156" s="10">
        <v>3365.4</v>
      </c>
      <c r="G3156" s="12">
        <f>Tabla1[[#This Row],[Importe]]-Tabla1[[#This Row],[Pagado]]</f>
        <v>0</v>
      </c>
      <c r="H3156" s="9" t="s">
        <v>10</v>
      </c>
    </row>
    <row r="3157" spans="1:8" x14ac:dyDescent="0.25">
      <c r="A3157" s="7">
        <v>44592</v>
      </c>
      <c r="B3157" s="8" t="s">
        <v>3555</v>
      </c>
      <c r="C3157" s="9" t="s">
        <v>27</v>
      </c>
      <c r="D3157" s="10">
        <v>6755.2</v>
      </c>
      <c r="E3157" s="11">
        <v>44592</v>
      </c>
      <c r="F3157" s="10">
        <v>6755.2</v>
      </c>
      <c r="G3157" s="12">
        <f>Tabla1[[#This Row],[Importe]]-Tabla1[[#This Row],[Pagado]]</f>
        <v>0</v>
      </c>
      <c r="H3157" s="9" t="s">
        <v>10</v>
      </c>
    </row>
    <row r="3158" spans="1:8" x14ac:dyDescent="0.25">
      <c r="A3158" s="7">
        <v>44592</v>
      </c>
      <c r="B3158" s="8" t="s">
        <v>3556</v>
      </c>
      <c r="C3158" s="9" t="s">
        <v>664</v>
      </c>
      <c r="D3158" s="10">
        <v>18342.8</v>
      </c>
      <c r="E3158" s="11">
        <v>44592</v>
      </c>
      <c r="F3158" s="10">
        <v>18342.8</v>
      </c>
      <c r="G3158" s="12">
        <f>Tabla1[[#This Row],[Importe]]-Tabla1[[#This Row],[Pagado]]</f>
        <v>0</v>
      </c>
      <c r="H3158" s="9" t="s">
        <v>10</v>
      </c>
    </row>
    <row r="3159" spans="1:8" x14ac:dyDescent="0.25">
      <c r="A3159" s="7">
        <v>44592</v>
      </c>
      <c r="B3159" s="8" t="s">
        <v>3557</v>
      </c>
      <c r="C3159" s="9" t="s">
        <v>224</v>
      </c>
      <c r="D3159" s="10">
        <v>1391</v>
      </c>
      <c r="E3159" s="11">
        <v>44592</v>
      </c>
      <c r="F3159" s="10">
        <v>1391</v>
      </c>
      <c r="G3159" s="12">
        <f>Tabla1[[#This Row],[Importe]]-Tabla1[[#This Row],[Pagado]]</f>
        <v>0</v>
      </c>
      <c r="H3159" s="9" t="s">
        <v>10</v>
      </c>
    </row>
    <row r="3160" spans="1:8" x14ac:dyDescent="0.25">
      <c r="A3160" s="7">
        <v>44592</v>
      </c>
      <c r="B3160" s="8" t="s">
        <v>3558</v>
      </c>
      <c r="C3160" s="9" t="s">
        <v>3559</v>
      </c>
      <c r="D3160" s="10">
        <v>0</v>
      </c>
      <c r="E3160" s="13" t="s">
        <v>189</v>
      </c>
      <c r="F3160" s="10">
        <v>0</v>
      </c>
      <c r="G3160" s="12">
        <f>Tabla1[[#This Row],[Importe]]-Tabla1[[#This Row],[Pagado]]</f>
        <v>0</v>
      </c>
      <c r="H3160" s="9" t="s">
        <v>189</v>
      </c>
    </row>
    <row r="3161" spans="1:8" x14ac:dyDescent="0.25">
      <c r="A3161" s="7">
        <v>44592</v>
      </c>
      <c r="B3161" s="8" t="s">
        <v>3560</v>
      </c>
      <c r="C3161" s="9" t="s">
        <v>137</v>
      </c>
      <c r="D3161" s="10">
        <v>4111.8</v>
      </c>
      <c r="E3161" s="11">
        <v>44592</v>
      </c>
      <c r="F3161" s="10">
        <v>4111.8</v>
      </c>
      <c r="G3161" s="12">
        <f>Tabla1[[#This Row],[Importe]]-Tabla1[[#This Row],[Pagado]]</f>
        <v>0</v>
      </c>
      <c r="H3161" s="9" t="s">
        <v>10</v>
      </c>
    </row>
    <row r="3162" spans="1:8" x14ac:dyDescent="0.25">
      <c r="A3162" s="7">
        <v>44592</v>
      </c>
      <c r="B3162" s="8" t="s">
        <v>3561</v>
      </c>
      <c r="C3162" s="9" t="s">
        <v>520</v>
      </c>
      <c r="D3162" s="10">
        <v>406</v>
      </c>
      <c r="E3162" s="11">
        <v>44594</v>
      </c>
      <c r="F3162" s="10">
        <v>406</v>
      </c>
      <c r="G3162" s="12">
        <f>Tabla1[[#This Row],[Importe]]-Tabla1[[#This Row],[Pagado]]</f>
        <v>0</v>
      </c>
      <c r="H3162" s="9" t="s">
        <v>10</v>
      </c>
    </row>
    <row r="3163" spans="1:8" x14ac:dyDescent="0.25">
      <c r="A3163" s="7">
        <v>44592</v>
      </c>
      <c r="B3163" s="8" t="s">
        <v>3562</v>
      </c>
      <c r="C3163" s="9" t="s">
        <v>1038</v>
      </c>
      <c r="D3163" s="10">
        <v>5609</v>
      </c>
      <c r="E3163" s="11">
        <v>44592</v>
      </c>
      <c r="F3163" s="10">
        <v>5609</v>
      </c>
      <c r="G3163" s="12">
        <f>Tabla1[[#This Row],[Importe]]-Tabla1[[#This Row],[Pagado]]</f>
        <v>0</v>
      </c>
      <c r="H3163" s="9" t="s">
        <v>10</v>
      </c>
    </row>
    <row r="3164" spans="1:8" x14ac:dyDescent="0.25">
      <c r="A3164" s="7">
        <v>44592</v>
      </c>
      <c r="B3164" s="8" t="s">
        <v>3563</v>
      </c>
      <c r="C3164" s="9" t="s">
        <v>79</v>
      </c>
      <c r="D3164" s="10">
        <v>2450</v>
      </c>
      <c r="E3164" s="11">
        <v>44592</v>
      </c>
      <c r="F3164" s="10">
        <v>2450</v>
      </c>
      <c r="G3164" s="12">
        <f>Tabla1[[#This Row],[Importe]]-Tabla1[[#This Row],[Pagado]]</f>
        <v>0</v>
      </c>
      <c r="H3164" s="9" t="s">
        <v>10</v>
      </c>
    </row>
    <row r="3165" spans="1:8" x14ac:dyDescent="0.25">
      <c r="A3165" s="7">
        <v>44592</v>
      </c>
      <c r="B3165" s="8" t="s">
        <v>3564</v>
      </c>
      <c r="C3165" s="9" t="s">
        <v>175</v>
      </c>
      <c r="D3165" s="10">
        <v>20804</v>
      </c>
      <c r="E3165" s="11">
        <v>44592</v>
      </c>
      <c r="F3165" s="10">
        <v>20804</v>
      </c>
      <c r="G3165" s="12">
        <f>Tabla1[[#This Row],[Importe]]-Tabla1[[#This Row],[Pagado]]</f>
        <v>0</v>
      </c>
      <c r="H3165" s="9" t="s">
        <v>10</v>
      </c>
    </row>
    <row r="3166" spans="1:8" x14ac:dyDescent="0.25">
      <c r="A3166" s="7">
        <v>44592</v>
      </c>
      <c r="B3166" s="8" t="s">
        <v>3565</v>
      </c>
      <c r="C3166" s="9" t="s">
        <v>37</v>
      </c>
      <c r="D3166" s="10">
        <v>2598.4</v>
      </c>
      <c r="E3166" s="11">
        <v>44592</v>
      </c>
      <c r="F3166" s="10">
        <v>2598.4</v>
      </c>
      <c r="G3166" s="12">
        <f>Tabla1[[#This Row],[Importe]]-Tabla1[[#This Row],[Pagado]]</f>
        <v>0</v>
      </c>
      <c r="H3166" s="9" t="s">
        <v>10</v>
      </c>
    </row>
    <row r="3167" spans="1:8" x14ac:dyDescent="0.25">
      <c r="A3167" s="7">
        <v>44592</v>
      </c>
      <c r="B3167" s="8" t="s">
        <v>3566</v>
      </c>
      <c r="C3167" s="9" t="s">
        <v>196</v>
      </c>
      <c r="D3167" s="10">
        <v>121165.94</v>
      </c>
      <c r="E3167" s="11">
        <v>44597</v>
      </c>
      <c r="F3167" s="10">
        <v>121165.94</v>
      </c>
      <c r="G3167" s="12">
        <f>Tabla1[[#This Row],[Importe]]-Tabla1[[#This Row],[Pagado]]</f>
        <v>0</v>
      </c>
      <c r="H3167" s="9" t="s">
        <v>10</v>
      </c>
    </row>
    <row r="3168" spans="1:8" x14ac:dyDescent="0.25">
      <c r="A3168" s="7">
        <v>44592</v>
      </c>
      <c r="B3168" s="8" t="s">
        <v>3567</v>
      </c>
      <c r="C3168" s="9" t="s">
        <v>89</v>
      </c>
      <c r="D3168" s="10">
        <v>384</v>
      </c>
      <c r="E3168" s="11">
        <v>44592</v>
      </c>
      <c r="F3168" s="10">
        <v>384</v>
      </c>
      <c r="G3168" s="12">
        <f>Tabla1[[#This Row],[Importe]]-Tabla1[[#This Row],[Pagado]]</f>
        <v>0</v>
      </c>
      <c r="H3168" s="9" t="s">
        <v>10</v>
      </c>
    </row>
    <row r="3169" spans="1:8" x14ac:dyDescent="0.25">
      <c r="A3169" s="7">
        <v>44592</v>
      </c>
      <c r="B3169" s="8" t="s">
        <v>3568</v>
      </c>
      <c r="C3169" s="9" t="s">
        <v>154</v>
      </c>
      <c r="D3169" s="10">
        <v>21580.799999999999</v>
      </c>
      <c r="E3169" s="11">
        <v>44597</v>
      </c>
      <c r="F3169" s="10">
        <v>21580.799999999999</v>
      </c>
      <c r="G3169" s="12">
        <f>Tabla1[[#This Row],[Importe]]-Tabla1[[#This Row],[Pagado]]</f>
        <v>0</v>
      </c>
      <c r="H3169" s="9" t="s">
        <v>10</v>
      </c>
    </row>
    <row r="3170" spans="1:8" x14ac:dyDescent="0.25">
      <c r="A3170" s="7">
        <v>44592</v>
      </c>
      <c r="B3170" s="8" t="s">
        <v>3569</v>
      </c>
      <c r="C3170" s="9" t="s">
        <v>312</v>
      </c>
      <c r="D3170" s="10">
        <v>3705.2</v>
      </c>
      <c r="E3170" s="11">
        <v>44592</v>
      </c>
      <c r="F3170" s="10">
        <v>3705.2</v>
      </c>
      <c r="G3170" s="12">
        <f>Tabla1[[#This Row],[Importe]]-Tabla1[[#This Row],[Pagado]]</f>
        <v>0</v>
      </c>
      <c r="H3170" s="9" t="s">
        <v>10</v>
      </c>
    </row>
    <row r="3171" spans="1:8" x14ac:dyDescent="0.25">
      <c r="A3171" s="7">
        <v>44592</v>
      </c>
      <c r="B3171" s="8" t="s">
        <v>3570</v>
      </c>
      <c r="C3171" s="9" t="s">
        <v>3571</v>
      </c>
      <c r="D3171" s="10">
        <v>0</v>
      </c>
      <c r="E3171" s="13" t="s">
        <v>189</v>
      </c>
      <c r="F3171" s="10">
        <v>0</v>
      </c>
      <c r="G3171" s="12">
        <f>Tabla1[[#This Row],[Importe]]-Tabla1[[#This Row],[Pagado]]</f>
        <v>0</v>
      </c>
      <c r="H3171" s="9" t="s">
        <v>189</v>
      </c>
    </row>
    <row r="3172" spans="1:8" x14ac:dyDescent="0.25">
      <c r="A3172" s="7">
        <v>44592</v>
      </c>
      <c r="B3172" s="8" t="s">
        <v>3572</v>
      </c>
      <c r="C3172" s="9" t="s">
        <v>45</v>
      </c>
      <c r="D3172" s="10">
        <v>8079.6</v>
      </c>
      <c r="E3172" s="11">
        <v>44592</v>
      </c>
      <c r="F3172" s="10">
        <v>8079.6</v>
      </c>
      <c r="G3172" s="12">
        <f>Tabla1[[#This Row],[Importe]]-Tabla1[[#This Row],[Pagado]]</f>
        <v>0</v>
      </c>
      <c r="H3172" s="9" t="s">
        <v>10</v>
      </c>
    </row>
    <row r="3173" spans="1:8" x14ac:dyDescent="0.25">
      <c r="A3173" s="7">
        <v>44592</v>
      </c>
      <c r="B3173" s="8" t="s">
        <v>3573</v>
      </c>
      <c r="C3173" s="9" t="s">
        <v>142</v>
      </c>
      <c r="D3173" s="10">
        <v>2742.6</v>
      </c>
      <c r="E3173" s="11">
        <v>44617</v>
      </c>
      <c r="F3173" s="10">
        <v>2742.6</v>
      </c>
      <c r="G3173" s="12">
        <f>Tabla1[[#This Row],[Importe]]-Tabla1[[#This Row],[Pagado]]</f>
        <v>0</v>
      </c>
      <c r="H3173" s="9" t="s">
        <v>10</v>
      </c>
    </row>
    <row r="3174" spans="1:8" x14ac:dyDescent="0.25">
      <c r="A3174" s="7">
        <v>44592</v>
      </c>
      <c r="B3174" s="8" t="s">
        <v>3574</v>
      </c>
      <c r="C3174" s="9" t="s">
        <v>312</v>
      </c>
      <c r="D3174" s="10">
        <v>850</v>
      </c>
      <c r="E3174" s="11">
        <v>44592</v>
      </c>
      <c r="F3174" s="10">
        <v>850</v>
      </c>
      <c r="G3174" s="12">
        <f>Tabla1[[#This Row],[Importe]]-Tabla1[[#This Row],[Pagado]]</f>
        <v>0</v>
      </c>
      <c r="H3174" s="9" t="s">
        <v>10</v>
      </c>
    </row>
    <row r="3175" spans="1:8" x14ac:dyDescent="0.25">
      <c r="A3175" s="7">
        <v>44592</v>
      </c>
      <c r="B3175" s="8" t="s">
        <v>3575</v>
      </c>
      <c r="C3175" s="9" t="s">
        <v>414</v>
      </c>
      <c r="D3175" s="10">
        <v>10054.799999999999</v>
      </c>
      <c r="E3175" s="11">
        <v>44593</v>
      </c>
      <c r="F3175" s="10">
        <v>10054.799999999999</v>
      </c>
      <c r="G3175" s="12">
        <f>Tabla1[[#This Row],[Importe]]-Tabla1[[#This Row],[Pagado]]</f>
        <v>0</v>
      </c>
      <c r="H3175" s="9" t="s">
        <v>10</v>
      </c>
    </row>
    <row r="3176" spans="1:8" x14ac:dyDescent="0.25">
      <c r="A3176" s="7">
        <v>44592</v>
      </c>
      <c r="B3176" s="8" t="s">
        <v>3576</v>
      </c>
      <c r="C3176" s="9" t="s">
        <v>16</v>
      </c>
      <c r="D3176" s="10">
        <v>4877.7</v>
      </c>
      <c r="E3176" s="11">
        <v>44592</v>
      </c>
      <c r="F3176" s="10">
        <v>4877.7</v>
      </c>
      <c r="G3176" s="12">
        <f>Tabla1[[#This Row],[Importe]]-Tabla1[[#This Row],[Pagado]]</f>
        <v>0</v>
      </c>
      <c r="H3176" s="9" t="s">
        <v>10</v>
      </c>
    </row>
    <row r="3177" spans="1:8" x14ac:dyDescent="0.25">
      <c r="A3177" s="7">
        <v>44592</v>
      </c>
      <c r="B3177" s="8" t="s">
        <v>3577</v>
      </c>
      <c r="C3177" s="9" t="s">
        <v>230</v>
      </c>
      <c r="D3177" s="10">
        <v>4991.6000000000004</v>
      </c>
      <c r="E3177" s="11">
        <v>44592</v>
      </c>
      <c r="F3177" s="10">
        <v>4991.6000000000004</v>
      </c>
      <c r="G3177" s="12">
        <f>Tabla1[[#This Row],[Importe]]-Tabla1[[#This Row],[Pagado]]</f>
        <v>0</v>
      </c>
      <c r="H3177" s="9" t="s">
        <v>10</v>
      </c>
    </row>
    <row r="3178" spans="1:8" x14ac:dyDescent="0.25">
      <c r="A3178" s="7">
        <v>44592</v>
      </c>
      <c r="B3178" s="8" t="s">
        <v>3578</v>
      </c>
      <c r="C3178" s="9" t="s">
        <v>214</v>
      </c>
      <c r="D3178" s="10">
        <v>4323.1000000000004</v>
      </c>
      <c r="E3178" s="11">
        <v>44594</v>
      </c>
      <c r="F3178" s="10">
        <v>4323.1000000000004</v>
      </c>
      <c r="G3178" s="12">
        <f>Tabla1[[#This Row],[Importe]]-Tabla1[[#This Row],[Pagado]]</f>
        <v>0</v>
      </c>
      <c r="H3178" s="9" t="s">
        <v>10</v>
      </c>
    </row>
    <row r="3179" spans="1:8" x14ac:dyDescent="0.25">
      <c r="A3179" s="7">
        <v>44592</v>
      </c>
      <c r="B3179" s="8" t="s">
        <v>3579</v>
      </c>
      <c r="C3179" s="9" t="s">
        <v>107</v>
      </c>
      <c r="D3179" s="10">
        <v>12522</v>
      </c>
      <c r="E3179" s="11">
        <v>44593</v>
      </c>
      <c r="F3179" s="10">
        <v>12522</v>
      </c>
      <c r="G3179" s="12">
        <f>Tabla1[[#This Row],[Importe]]-Tabla1[[#This Row],[Pagado]]</f>
        <v>0</v>
      </c>
      <c r="H3179" s="9" t="s">
        <v>10</v>
      </c>
    </row>
    <row r="3180" spans="1:8" x14ac:dyDescent="0.25">
      <c r="A3180" s="7">
        <v>44592</v>
      </c>
      <c r="B3180" s="8" t="s">
        <v>3580</v>
      </c>
      <c r="C3180" s="9" t="s">
        <v>289</v>
      </c>
      <c r="D3180" s="10">
        <v>1303.4000000000001</v>
      </c>
      <c r="E3180" s="11">
        <v>44592</v>
      </c>
      <c r="F3180" s="10">
        <v>1303.4000000000001</v>
      </c>
      <c r="G3180" s="12">
        <f>Tabla1[[#This Row],[Importe]]-Tabla1[[#This Row],[Pagado]]</f>
        <v>0</v>
      </c>
      <c r="H3180" s="9" t="s">
        <v>10</v>
      </c>
    </row>
    <row r="3181" spans="1:8" x14ac:dyDescent="0.25">
      <c r="A3181" s="7">
        <v>44592</v>
      </c>
      <c r="B3181" s="8" t="s">
        <v>3581</v>
      </c>
      <c r="C3181" s="9" t="s">
        <v>24</v>
      </c>
      <c r="D3181" s="10">
        <v>613.70000000000005</v>
      </c>
      <c r="E3181" s="11">
        <v>44592</v>
      </c>
      <c r="F3181" s="10">
        <v>613.70000000000005</v>
      </c>
      <c r="G3181" s="12">
        <f>Tabla1[[#This Row],[Importe]]-Tabla1[[#This Row],[Pagado]]</f>
        <v>0</v>
      </c>
      <c r="H3181" s="9" t="s">
        <v>10</v>
      </c>
    </row>
    <row r="3182" spans="1:8" x14ac:dyDescent="0.25">
      <c r="A3182" s="7">
        <v>44592</v>
      </c>
      <c r="B3182" s="8" t="s">
        <v>3582</v>
      </c>
      <c r="C3182" s="9" t="s">
        <v>24</v>
      </c>
      <c r="D3182" s="10">
        <v>2891.4</v>
      </c>
      <c r="E3182" s="11">
        <v>44592</v>
      </c>
      <c r="F3182" s="10">
        <v>2891.4</v>
      </c>
      <c r="G3182" s="12">
        <f>Tabla1[[#This Row],[Importe]]-Tabla1[[#This Row],[Pagado]]</f>
        <v>0</v>
      </c>
      <c r="H3182" s="9" t="s">
        <v>10</v>
      </c>
    </row>
    <row r="3183" spans="1:8" x14ac:dyDescent="0.25">
      <c r="A3183" s="7">
        <v>44592</v>
      </c>
      <c r="B3183" s="8" t="s">
        <v>3583</v>
      </c>
      <c r="C3183" s="9" t="s">
        <v>382</v>
      </c>
      <c r="D3183" s="10">
        <v>7574.4</v>
      </c>
      <c r="E3183" s="11">
        <v>44592</v>
      </c>
      <c r="F3183" s="10">
        <v>7574.4</v>
      </c>
      <c r="G3183" s="12">
        <f>Tabla1[[#This Row],[Importe]]-Tabla1[[#This Row],[Pagado]]</f>
        <v>0</v>
      </c>
      <c r="H3183" s="9" t="s">
        <v>10</v>
      </c>
    </row>
    <row r="3184" spans="1:8" x14ac:dyDescent="0.25">
      <c r="A3184" s="7">
        <v>44592</v>
      </c>
      <c r="B3184" s="8" t="s">
        <v>3584</v>
      </c>
      <c r="C3184" s="9" t="s">
        <v>382</v>
      </c>
      <c r="D3184" s="10">
        <v>353.6</v>
      </c>
      <c r="E3184" s="11">
        <v>44592</v>
      </c>
      <c r="F3184" s="10">
        <v>353.6</v>
      </c>
      <c r="G3184" s="12">
        <f>Tabla1[[#This Row],[Importe]]-Tabla1[[#This Row],[Pagado]]</f>
        <v>0</v>
      </c>
      <c r="H3184" s="9" t="s">
        <v>10</v>
      </c>
    </row>
    <row r="3185" spans="1:8" x14ac:dyDescent="0.25">
      <c r="A3185" s="7">
        <v>44592</v>
      </c>
      <c r="B3185" s="8" t="s">
        <v>3585</v>
      </c>
      <c r="C3185" s="9" t="s">
        <v>1965</v>
      </c>
      <c r="D3185" s="10">
        <v>6542</v>
      </c>
      <c r="E3185" s="11">
        <v>44592</v>
      </c>
      <c r="F3185" s="10">
        <v>6542</v>
      </c>
      <c r="G3185" s="12">
        <f>Tabla1[[#This Row],[Importe]]-Tabla1[[#This Row],[Pagado]]</f>
        <v>0</v>
      </c>
      <c r="H3185" s="9" t="s">
        <v>10</v>
      </c>
    </row>
    <row r="3186" spans="1:8" x14ac:dyDescent="0.25">
      <c r="A3186" s="7">
        <v>44592</v>
      </c>
      <c r="B3186" s="8" t="s">
        <v>3586</v>
      </c>
      <c r="C3186" s="9" t="s">
        <v>216</v>
      </c>
      <c r="D3186" s="10">
        <v>1340</v>
      </c>
      <c r="E3186" s="11">
        <v>44592</v>
      </c>
      <c r="F3186" s="10">
        <v>1340</v>
      </c>
      <c r="G3186" s="12">
        <f>Tabla1[[#This Row],[Importe]]-Tabla1[[#This Row],[Pagado]]</f>
        <v>0</v>
      </c>
      <c r="H3186" s="9" t="s">
        <v>10</v>
      </c>
    </row>
    <row r="3187" spans="1:8" x14ac:dyDescent="0.25">
      <c r="A3187" s="7">
        <v>44592</v>
      </c>
      <c r="B3187" s="8" t="s">
        <v>3587</v>
      </c>
      <c r="C3187" s="9" t="s">
        <v>291</v>
      </c>
      <c r="D3187" s="10">
        <v>2768</v>
      </c>
      <c r="E3187" s="11">
        <v>44593</v>
      </c>
      <c r="F3187" s="10">
        <v>2768</v>
      </c>
      <c r="G3187" s="12">
        <f>Tabla1[[#This Row],[Importe]]-Tabla1[[#This Row],[Pagado]]</f>
        <v>0</v>
      </c>
      <c r="H3187" s="9" t="s">
        <v>10</v>
      </c>
    </row>
    <row r="3188" spans="1:8" x14ac:dyDescent="0.25">
      <c r="A3188" s="7">
        <v>44592</v>
      </c>
      <c r="B3188" s="8" t="s">
        <v>3588</v>
      </c>
      <c r="C3188" s="9" t="s">
        <v>419</v>
      </c>
      <c r="D3188" s="10">
        <v>7453.2</v>
      </c>
      <c r="E3188" s="11">
        <v>44592</v>
      </c>
      <c r="F3188" s="10">
        <v>7453.2</v>
      </c>
      <c r="G3188" s="12">
        <f>Tabla1[[#This Row],[Importe]]-Tabla1[[#This Row],[Pagado]]</f>
        <v>0</v>
      </c>
      <c r="H3188" s="9" t="s">
        <v>10</v>
      </c>
    </row>
    <row r="3189" spans="1:8" x14ac:dyDescent="0.25">
      <c r="A3189" s="7">
        <v>44592</v>
      </c>
      <c r="B3189" s="8" t="s">
        <v>3589</v>
      </c>
      <c r="C3189" s="9" t="s">
        <v>62</v>
      </c>
      <c r="D3189" s="10">
        <v>3540.2</v>
      </c>
      <c r="E3189" s="11">
        <v>44592</v>
      </c>
      <c r="F3189" s="10">
        <v>3540.2</v>
      </c>
      <c r="G3189" s="12">
        <f>Tabla1[[#This Row],[Importe]]-Tabla1[[#This Row],[Pagado]]</f>
        <v>0</v>
      </c>
      <c r="H3189" s="9" t="s">
        <v>10</v>
      </c>
    </row>
    <row r="3190" spans="1:8" x14ac:dyDescent="0.25">
      <c r="A3190" s="7">
        <v>44592</v>
      </c>
      <c r="B3190" s="8" t="s">
        <v>3590</v>
      </c>
      <c r="C3190" s="9" t="s">
        <v>222</v>
      </c>
      <c r="D3190" s="10">
        <v>8052.1</v>
      </c>
      <c r="E3190" s="11">
        <v>44592</v>
      </c>
      <c r="F3190" s="10">
        <v>8052.1</v>
      </c>
      <c r="G3190" s="12">
        <f>Tabla1[[#This Row],[Importe]]-Tabla1[[#This Row],[Pagado]]</f>
        <v>0</v>
      </c>
      <c r="H3190" s="9" t="s">
        <v>10</v>
      </c>
    </row>
    <row r="3191" spans="1:8" x14ac:dyDescent="0.25">
      <c r="A3191" s="7">
        <v>44592</v>
      </c>
      <c r="B3191" s="8" t="s">
        <v>3591</v>
      </c>
      <c r="C3191" s="9" t="s">
        <v>218</v>
      </c>
      <c r="D3191" s="10">
        <v>6876</v>
      </c>
      <c r="E3191" s="11">
        <v>44596</v>
      </c>
      <c r="F3191" s="10">
        <v>6876</v>
      </c>
      <c r="G3191" s="12">
        <f>Tabla1[[#This Row],[Importe]]-Tabla1[[#This Row],[Pagado]]</f>
        <v>0</v>
      </c>
      <c r="H3191" s="9" t="s">
        <v>10</v>
      </c>
    </row>
    <row r="3192" spans="1:8" x14ac:dyDescent="0.25">
      <c r="A3192" s="7">
        <v>44592</v>
      </c>
      <c r="B3192" s="8" t="s">
        <v>3592</v>
      </c>
      <c r="C3192" s="9" t="s">
        <v>206</v>
      </c>
      <c r="D3192" s="10">
        <v>44429.4</v>
      </c>
      <c r="E3192" s="11">
        <v>44596</v>
      </c>
      <c r="F3192" s="10">
        <v>44429.4</v>
      </c>
      <c r="G3192" s="12">
        <f>Tabla1[[#This Row],[Importe]]-Tabla1[[#This Row],[Pagado]]</f>
        <v>0</v>
      </c>
      <c r="H3192" s="9" t="s">
        <v>10</v>
      </c>
    </row>
    <row r="3193" spans="1:8" x14ac:dyDescent="0.25">
      <c r="A3193" s="7">
        <v>44592</v>
      </c>
      <c r="B3193" s="8" t="s">
        <v>3593</v>
      </c>
      <c r="C3193" s="9" t="s">
        <v>233</v>
      </c>
      <c r="D3193" s="10">
        <v>4145.3999999999996</v>
      </c>
      <c r="E3193" s="11">
        <v>44592</v>
      </c>
      <c r="F3193" s="10">
        <v>4145.3999999999996</v>
      </c>
      <c r="G3193" s="12">
        <f>Tabla1[[#This Row],[Importe]]-Tabla1[[#This Row],[Pagado]]</f>
        <v>0</v>
      </c>
      <c r="H3193" s="9" t="s">
        <v>10</v>
      </c>
    </row>
    <row r="3194" spans="1:8" x14ac:dyDescent="0.25">
      <c r="A3194" s="7">
        <v>44592</v>
      </c>
      <c r="B3194" s="8" t="s">
        <v>3594</v>
      </c>
      <c r="C3194" s="9" t="s">
        <v>212</v>
      </c>
      <c r="D3194" s="10">
        <v>59085.4</v>
      </c>
      <c r="E3194" s="11">
        <v>44597</v>
      </c>
      <c r="F3194" s="10">
        <v>59085.4</v>
      </c>
      <c r="G3194" s="12">
        <f>Tabla1[[#This Row],[Importe]]-Tabla1[[#This Row],[Pagado]]</f>
        <v>0</v>
      </c>
      <c r="H3194" s="9" t="s">
        <v>10</v>
      </c>
    </row>
    <row r="3195" spans="1:8" x14ac:dyDescent="0.25">
      <c r="A3195" s="7">
        <v>44592</v>
      </c>
      <c r="B3195" s="8" t="s">
        <v>3595</v>
      </c>
      <c r="C3195" s="9" t="s">
        <v>208</v>
      </c>
      <c r="D3195" s="10">
        <v>14428.8</v>
      </c>
      <c r="E3195" s="11">
        <v>44603</v>
      </c>
      <c r="F3195" s="10">
        <v>14428.8</v>
      </c>
      <c r="G3195" s="12">
        <f>Tabla1[[#This Row],[Importe]]-Tabla1[[#This Row],[Pagado]]</f>
        <v>0</v>
      </c>
      <c r="H3195" s="9" t="s">
        <v>10</v>
      </c>
    </row>
    <row r="3196" spans="1:8" x14ac:dyDescent="0.25">
      <c r="A3196" s="7">
        <v>44592</v>
      </c>
      <c r="B3196" s="8" t="s">
        <v>3596</v>
      </c>
      <c r="C3196" s="9" t="s">
        <v>191</v>
      </c>
      <c r="D3196" s="10">
        <v>1455.3</v>
      </c>
      <c r="E3196" s="11">
        <v>44592</v>
      </c>
      <c r="F3196" s="10">
        <v>1455.3</v>
      </c>
      <c r="G3196" s="12">
        <f>Tabla1[[#This Row],[Importe]]-Tabla1[[#This Row],[Pagado]]</f>
        <v>0</v>
      </c>
      <c r="H3196" s="9" t="s">
        <v>10</v>
      </c>
    </row>
    <row r="3197" spans="1:8" x14ac:dyDescent="0.25">
      <c r="A3197" s="7">
        <v>44592</v>
      </c>
      <c r="B3197" s="8" t="s">
        <v>3597</v>
      </c>
      <c r="C3197" s="9" t="s">
        <v>173</v>
      </c>
      <c r="D3197" s="10">
        <v>30807.919999999998</v>
      </c>
      <c r="E3197" s="11">
        <v>44593</v>
      </c>
      <c r="F3197" s="10">
        <v>30807.919999999998</v>
      </c>
      <c r="G3197" s="12">
        <f>Tabla1[[#This Row],[Importe]]-Tabla1[[#This Row],[Pagado]]</f>
        <v>0</v>
      </c>
      <c r="H3197" s="9" t="s">
        <v>10</v>
      </c>
    </row>
    <row r="3198" spans="1:8" x14ac:dyDescent="0.25">
      <c r="A3198" s="7">
        <v>44592</v>
      </c>
      <c r="B3198" s="8" t="s">
        <v>3598</v>
      </c>
      <c r="C3198" s="9" t="s">
        <v>200</v>
      </c>
      <c r="D3198" s="10">
        <v>550</v>
      </c>
      <c r="E3198" s="11">
        <v>44593</v>
      </c>
      <c r="F3198" s="10">
        <v>550</v>
      </c>
      <c r="G3198" s="12">
        <f>Tabla1[[#This Row],[Importe]]-Tabla1[[#This Row],[Pagado]]</f>
        <v>0</v>
      </c>
      <c r="H3198" s="9" t="s">
        <v>10</v>
      </c>
    </row>
    <row r="3199" spans="1:8" x14ac:dyDescent="0.25">
      <c r="A3199" s="7">
        <v>44592</v>
      </c>
      <c r="B3199" s="8" t="s">
        <v>3599</v>
      </c>
      <c r="C3199" s="9" t="s">
        <v>1265</v>
      </c>
      <c r="D3199" s="10">
        <v>671.6</v>
      </c>
      <c r="E3199" s="11">
        <v>44592</v>
      </c>
      <c r="F3199" s="10">
        <v>671.6</v>
      </c>
      <c r="G3199" s="12">
        <f>Tabla1[[#This Row],[Importe]]-Tabla1[[#This Row],[Pagado]]</f>
        <v>0</v>
      </c>
      <c r="H3199" s="9" t="s">
        <v>10</v>
      </c>
    </row>
    <row r="3200" spans="1:8" x14ac:dyDescent="0.25">
      <c r="A3200" s="7">
        <v>44592</v>
      </c>
      <c r="B3200" s="8" t="s">
        <v>3600</v>
      </c>
      <c r="C3200" s="9" t="s">
        <v>261</v>
      </c>
      <c r="D3200" s="10">
        <v>30864.9</v>
      </c>
      <c r="E3200" s="11">
        <v>44593</v>
      </c>
      <c r="F3200" s="10">
        <v>30864.9</v>
      </c>
      <c r="G3200" s="12">
        <f>Tabla1[[#This Row],[Importe]]-Tabla1[[#This Row],[Pagado]]</f>
        <v>0</v>
      </c>
      <c r="H3200" s="9" t="s">
        <v>10</v>
      </c>
    </row>
    <row r="3201" spans="1:8" x14ac:dyDescent="0.25">
      <c r="A3201" s="7">
        <v>44592</v>
      </c>
      <c r="B3201" s="8" t="s">
        <v>3601</v>
      </c>
      <c r="C3201" s="9" t="s">
        <v>133</v>
      </c>
      <c r="D3201" s="10">
        <v>11932.8</v>
      </c>
      <c r="E3201" s="11">
        <v>44593</v>
      </c>
      <c r="F3201" s="10">
        <v>11932.8</v>
      </c>
      <c r="G3201" s="12">
        <f>Tabla1[[#This Row],[Importe]]-Tabla1[[#This Row],[Pagado]]</f>
        <v>0</v>
      </c>
      <c r="H3201" s="9" t="s">
        <v>10</v>
      </c>
    </row>
    <row r="3202" spans="1:8" x14ac:dyDescent="0.25">
      <c r="A3202" s="7">
        <v>44592</v>
      </c>
      <c r="B3202" s="8" t="s">
        <v>3602</v>
      </c>
      <c r="C3202" s="9" t="s">
        <v>1644</v>
      </c>
      <c r="D3202" s="10">
        <v>9480</v>
      </c>
      <c r="E3202" s="11">
        <v>44593</v>
      </c>
      <c r="F3202" s="10">
        <v>9480</v>
      </c>
      <c r="G3202" s="12">
        <f>Tabla1[[#This Row],[Importe]]-Tabla1[[#This Row],[Pagado]]</f>
        <v>0</v>
      </c>
      <c r="H3202" s="9" t="s">
        <v>10</v>
      </c>
    </row>
    <row r="3203" spans="1:8" x14ac:dyDescent="0.25">
      <c r="A3203" s="7">
        <v>44592</v>
      </c>
      <c r="B3203" s="8" t="s">
        <v>3603</v>
      </c>
      <c r="C3203" s="9" t="s">
        <v>188</v>
      </c>
      <c r="D3203" s="10">
        <v>0</v>
      </c>
      <c r="E3203" s="13" t="s">
        <v>189</v>
      </c>
      <c r="F3203" s="10">
        <v>0</v>
      </c>
      <c r="G3203" s="12">
        <f>Tabla1[[#This Row],[Importe]]-Tabla1[[#This Row],[Pagado]]</f>
        <v>0</v>
      </c>
      <c r="H3203" s="9" t="s">
        <v>189</v>
      </c>
    </row>
    <row r="3204" spans="1:8" x14ac:dyDescent="0.25">
      <c r="A3204" s="7">
        <v>44592</v>
      </c>
      <c r="B3204" s="8" t="s">
        <v>3604</v>
      </c>
      <c r="C3204" s="9" t="s">
        <v>240</v>
      </c>
      <c r="D3204" s="10">
        <v>11116.8</v>
      </c>
      <c r="E3204" s="11">
        <v>44592</v>
      </c>
      <c r="F3204" s="10">
        <v>11116.8</v>
      </c>
      <c r="G3204" s="12">
        <f>Tabla1[[#This Row],[Importe]]-Tabla1[[#This Row],[Pagado]]</f>
        <v>0</v>
      </c>
      <c r="H3204" s="9" t="s">
        <v>10</v>
      </c>
    </row>
    <row r="3205" spans="1:8" x14ac:dyDescent="0.25">
      <c r="A3205" s="7">
        <v>44592</v>
      </c>
      <c r="B3205" s="8" t="s">
        <v>3605</v>
      </c>
      <c r="C3205" s="9" t="s">
        <v>1630</v>
      </c>
      <c r="D3205" s="10">
        <v>7487.2</v>
      </c>
      <c r="E3205" s="11">
        <v>44593</v>
      </c>
      <c r="F3205" s="10">
        <v>7487.2</v>
      </c>
      <c r="G3205" s="12">
        <f>Tabla1[[#This Row],[Importe]]-Tabla1[[#This Row],[Pagado]]</f>
        <v>0</v>
      </c>
      <c r="H3205" s="9" t="s">
        <v>10</v>
      </c>
    </row>
    <row r="3206" spans="1:8" x14ac:dyDescent="0.25">
      <c r="A3206" s="7">
        <v>44592</v>
      </c>
      <c r="B3206" s="8" t="s">
        <v>3606</v>
      </c>
      <c r="C3206" s="9" t="s">
        <v>31</v>
      </c>
      <c r="D3206" s="10">
        <v>6139.7</v>
      </c>
      <c r="E3206" s="11">
        <v>44593</v>
      </c>
      <c r="F3206" s="10">
        <v>6139.7</v>
      </c>
      <c r="G3206" s="12">
        <f>Tabla1[[#This Row],[Importe]]-Tabla1[[#This Row],[Pagado]]</f>
        <v>0</v>
      </c>
      <c r="H3206" s="9" t="s">
        <v>10</v>
      </c>
    </row>
    <row r="3207" spans="1:8" x14ac:dyDescent="0.25">
      <c r="A3207" s="7">
        <v>44592</v>
      </c>
      <c r="B3207" s="8" t="s">
        <v>3607</v>
      </c>
      <c r="C3207" s="9" t="s">
        <v>58</v>
      </c>
      <c r="D3207" s="10">
        <v>3174.4</v>
      </c>
      <c r="E3207" s="11">
        <v>44592</v>
      </c>
      <c r="F3207" s="10">
        <v>3174.4</v>
      </c>
      <c r="G3207" s="12">
        <f>Tabla1[[#This Row],[Importe]]-Tabla1[[#This Row],[Pagado]]</f>
        <v>0</v>
      </c>
      <c r="H3207" s="9" t="s">
        <v>10</v>
      </c>
    </row>
    <row r="3208" spans="1:8" x14ac:dyDescent="0.25">
      <c r="A3208" s="7">
        <v>44592</v>
      </c>
      <c r="B3208" s="8" t="s">
        <v>3608</v>
      </c>
      <c r="C3208" s="9" t="s">
        <v>58</v>
      </c>
      <c r="D3208" s="10">
        <v>2352.8000000000002</v>
      </c>
      <c r="E3208" s="11">
        <v>44592</v>
      </c>
      <c r="F3208" s="10">
        <v>2352.8000000000002</v>
      </c>
      <c r="G3208" s="12">
        <f>Tabla1[[#This Row],[Importe]]-Tabla1[[#This Row],[Pagado]]</f>
        <v>0</v>
      </c>
      <c r="H3208" s="9" t="s">
        <v>10</v>
      </c>
    </row>
    <row r="3209" spans="1:8" x14ac:dyDescent="0.25">
      <c r="A3209" s="7">
        <v>44592</v>
      </c>
      <c r="B3209" s="8" t="s">
        <v>3609</v>
      </c>
      <c r="C3209" s="9" t="s">
        <v>3610</v>
      </c>
      <c r="D3209" s="10">
        <v>0</v>
      </c>
      <c r="E3209" s="13" t="s">
        <v>189</v>
      </c>
      <c r="F3209" s="10">
        <v>0</v>
      </c>
      <c r="G3209" s="12">
        <f>Tabla1[[#This Row],[Importe]]-Tabla1[[#This Row],[Pagado]]</f>
        <v>0</v>
      </c>
      <c r="H3209" s="9" t="s">
        <v>189</v>
      </c>
    </row>
    <row r="3210" spans="1:8" x14ac:dyDescent="0.25">
      <c r="A3210" s="7">
        <v>44592</v>
      </c>
      <c r="B3210" s="8" t="s">
        <v>3611</v>
      </c>
      <c r="C3210" s="9" t="s">
        <v>191</v>
      </c>
      <c r="D3210" s="10">
        <v>15014.4</v>
      </c>
      <c r="E3210" s="11">
        <v>44592</v>
      </c>
      <c r="F3210" s="10">
        <v>15014.4</v>
      </c>
      <c r="G3210" s="12">
        <f>Tabla1[[#This Row],[Importe]]-Tabla1[[#This Row],[Pagado]]</f>
        <v>0</v>
      </c>
      <c r="H3210" s="9" t="s">
        <v>10</v>
      </c>
    </row>
    <row r="3211" spans="1:8" x14ac:dyDescent="0.25">
      <c r="A3211" s="7">
        <v>44592</v>
      </c>
      <c r="B3211" s="8" t="s">
        <v>3612</v>
      </c>
      <c r="C3211" s="9" t="s">
        <v>191</v>
      </c>
      <c r="D3211" s="10">
        <v>3077.9</v>
      </c>
      <c r="E3211" s="11">
        <v>44592</v>
      </c>
      <c r="F3211" s="10">
        <v>3077.9</v>
      </c>
      <c r="G3211" s="12">
        <f>Tabla1[[#This Row],[Importe]]-Tabla1[[#This Row],[Pagado]]</f>
        <v>0</v>
      </c>
      <c r="H3211" s="9" t="s">
        <v>10</v>
      </c>
    </row>
    <row r="3212" spans="1:8" x14ac:dyDescent="0.25">
      <c r="A3212" s="7">
        <v>44592</v>
      </c>
      <c r="B3212" s="8" t="s">
        <v>3613</v>
      </c>
      <c r="C3212" s="9" t="s">
        <v>3614</v>
      </c>
      <c r="D3212" s="10">
        <v>0</v>
      </c>
      <c r="E3212" s="13" t="s">
        <v>189</v>
      </c>
      <c r="F3212" s="10">
        <v>0</v>
      </c>
      <c r="G3212" s="12">
        <f>Tabla1[[#This Row],[Importe]]-Tabla1[[#This Row],[Pagado]]</f>
        <v>0</v>
      </c>
      <c r="H3212" s="9" t="s">
        <v>189</v>
      </c>
    </row>
    <row r="3213" spans="1:8" x14ac:dyDescent="0.25">
      <c r="A3213" s="7">
        <v>44592</v>
      </c>
      <c r="B3213" s="8" t="s">
        <v>3615</v>
      </c>
      <c r="C3213" s="9" t="s">
        <v>698</v>
      </c>
      <c r="D3213" s="10">
        <v>7861.6</v>
      </c>
      <c r="E3213" s="11">
        <v>44592</v>
      </c>
      <c r="F3213" s="10">
        <v>7861.6</v>
      </c>
      <c r="G3213" s="12">
        <f>Tabla1[[#This Row],[Importe]]-Tabla1[[#This Row],[Pagado]]</f>
        <v>0</v>
      </c>
      <c r="H3213" s="9" t="s">
        <v>10</v>
      </c>
    </row>
    <row r="3214" spans="1:8" x14ac:dyDescent="0.25">
      <c r="A3214" s="7">
        <v>44592</v>
      </c>
      <c r="B3214" s="8" t="s">
        <v>3616</v>
      </c>
      <c r="C3214" s="9" t="s">
        <v>301</v>
      </c>
      <c r="D3214" s="10">
        <v>688.5</v>
      </c>
      <c r="E3214" s="11">
        <v>44592</v>
      </c>
      <c r="F3214" s="10">
        <v>688.5</v>
      </c>
      <c r="G3214" s="12">
        <f>Tabla1[[#This Row],[Importe]]-Tabla1[[#This Row],[Pagado]]</f>
        <v>0</v>
      </c>
      <c r="H3214" s="9" t="s">
        <v>10</v>
      </c>
    </row>
    <row r="3215" spans="1:8" x14ac:dyDescent="0.25">
      <c r="A3215" s="7">
        <v>44592</v>
      </c>
      <c r="B3215" s="8" t="s">
        <v>3617</v>
      </c>
      <c r="C3215" s="9" t="s">
        <v>249</v>
      </c>
      <c r="D3215" s="10">
        <v>5463.5</v>
      </c>
      <c r="E3215" s="11">
        <v>44592</v>
      </c>
      <c r="F3215" s="10">
        <v>5463.5</v>
      </c>
      <c r="G3215" s="12">
        <f>Tabla1[[#This Row],[Importe]]-Tabla1[[#This Row],[Pagado]]</f>
        <v>0</v>
      </c>
      <c r="H3215" s="9" t="s">
        <v>10</v>
      </c>
    </row>
    <row r="3216" spans="1:8" x14ac:dyDescent="0.25">
      <c r="A3216" s="7">
        <v>44592</v>
      </c>
      <c r="B3216" s="8" t="s">
        <v>3618</v>
      </c>
      <c r="C3216" s="9" t="s">
        <v>421</v>
      </c>
      <c r="D3216" s="10">
        <v>5020.8</v>
      </c>
      <c r="E3216" s="11">
        <v>44592</v>
      </c>
      <c r="F3216" s="10">
        <v>5020.8</v>
      </c>
      <c r="G3216" s="12">
        <f>Tabla1[[#This Row],[Importe]]-Tabla1[[#This Row],[Pagado]]</f>
        <v>0</v>
      </c>
      <c r="H3216" s="9" t="s">
        <v>10</v>
      </c>
    </row>
    <row r="3217" spans="1:8" x14ac:dyDescent="0.25">
      <c r="A3217" s="7">
        <v>44592</v>
      </c>
      <c r="B3217" s="8" t="s">
        <v>3619</v>
      </c>
      <c r="C3217" s="9" t="s">
        <v>14</v>
      </c>
      <c r="D3217" s="10">
        <v>19418</v>
      </c>
      <c r="E3217" s="11">
        <v>44592</v>
      </c>
      <c r="F3217" s="10">
        <v>19418</v>
      </c>
      <c r="G3217" s="12">
        <f>Tabla1[[#This Row],[Importe]]-Tabla1[[#This Row],[Pagado]]</f>
        <v>0</v>
      </c>
      <c r="H3217" s="9" t="s">
        <v>10</v>
      </c>
    </row>
    <row r="3218" spans="1:8" x14ac:dyDescent="0.25">
      <c r="A3218" s="7">
        <v>44592</v>
      </c>
      <c r="B3218" s="8" t="s">
        <v>3620</v>
      </c>
      <c r="C3218" s="9" t="s">
        <v>440</v>
      </c>
      <c r="D3218" s="10">
        <v>10211.74</v>
      </c>
      <c r="E3218" s="11">
        <v>44606</v>
      </c>
      <c r="F3218" s="10">
        <v>10211.74</v>
      </c>
      <c r="G3218" s="12">
        <f>Tabla1[[#This Row],[Importe]]-Tabla1[[#This Row],[Pagado]]</f>
        <v>0</v>
      </c>
      <c r="H3218" s="9" t="s">
        <v>10</v>
      </c>
    </row>
    <row r="3219" spans="1:8" x14ac:dyDescent="0.25">
      <c r="A3219" s="7">
        <v>44592</v>
      </c>
      <c r="B3219" s="8" t="s">
        <v>3621</v>
      </c>
      <c r="C3219" s="9" t="s">
        <v>127</v>
      </c>
      <c r="D3219" s="10">
        <v>1540</v>
      </c>
      <c r="E3219" s="11">
        <v>44593</v>
      </c>
      <c r="F3219" s="10">
        <v>1540</v>
      </c>
      <c r="G3219" s="12">
        <f>Tabla1[[#This Row],[Importe]]-Tabla1[[#This Row],[Pagado]]</f>
        <v>0</v>
      </c>
      <c r="H3219" s="9" t="s">
        <v>10</v>
      </c>
    </row>
    <row r="3220" spans="1:8" x14ac:dyDescent="0.25">
      <c r="A3220" s="7">
        <v>44592</v>
      </c>
      <c r="B3220" s="8" t="s">
        <v>3622</v>
      </c>
      <c r="C3220" s="9" t="s">
        <v>3623</v>
      </c>
      <c r="D3220" s="10">
        <v>0</v>
      </c>
      <c r="E3220" s="13" t="s">
        <v>189</v>
      </c>
      <c r="F3220" s="10">
        <v>0</v>
      </c>
      <c r="G3220" s="12">
        <f>Tabla1[[#This Row],[Importe]]-Tabla1[[#This Row],[Pagado]]</f>
        <v>0</v>
      </c>
      <c r="H3220" s="9" t="s">
        <v>189</v>
      </c>
    </row>
    <row r="3221" spans="1:8" x14ac:dyDescent="0.25">
      <c r="A3221" s="7">
        <v>44592</v>
      </c>
      <c r="B3221" s="8" t="s">
        <v>3624</v>
      </c>
      <c r="C3221" s="9" t="s">
        <v>16</v>
      </c>
      <c r="D3221" s="10">
        <v>388.5</v>
      </c>
      <c r="E3221" s="11">
        <v>44592</v>
      </c>
      <c r="F3221" s="10">
        <v>388.5</v>
      </c>
      <c r="G3221" s="12">
        <f>Tabla1[[#This Row],[Importe]]-Tabla1[[#This Row],[Pagado]]</f>
        <v>0</v>
      </c>
      <c r="H3221" s="9" t="s">
        <v>10</v>
      </c>
    </row>
    <row r="3222" spans="1:8" x14ac:dyDescent="0.25">
      <c r="A3222" s="7">
        <v>44592</v>
      </c>
      <c r="B3222" s="8" t="s">
        <v>3625</v>
      </c>
      <c r="C3222" s="9" t="s">
        <v>33</v>
      </c>
      <c r="D3222" s="10">
        <v>8123.6</v>
      </c>
      <c r="E3222" s="11">
        <v>44592</v>
      </c>
      <c r="F3222" s="10">
        <v>8123.6</v>
      </c>
      <c r="G3222" s="12">
        <f>Tabla1[[#This Row],[Importe]]-Tabla1[[#This Row],[Pagado]]</f>
        <v>0</v>
      </c>
      <c r="H3222" s="9" t="s">
        <v>10</v>
      </c>
    </row>
    <row r="3223" spans="1:8" x14ac:dyDescent="0.25">
      <c r="A3223" s="7">
        <v>44592</v>
      </c>
      <c r="B3223" s="8" t="s">
        <v>3626</v>
      </c>
      <c r="C3223" s="9" t="s">
        <v>275</v>
      </c>
      <c r="D3223" s="10">
        <v>2308.8000000000002</v>
      </c>
      <c r="E3223" s="11">
        <v>44603</v>
      </c>
      <c r="F3223" s="10">
        <v>2308.8000000000002</v>
      </c>
      <c r="G3223" s="12">
        <f>Tabla1[[#This Row],[Importe]]-Tabla1[[#This Row],[Pagado]]</f>
        <v>0</v>
      </c>
      <c r="H3223" s="9" t="s">
        <v>10</v>
      </c>
    </row>
    <row r="3224" spans="1:8" x14ac:dyDescent="0.25">
      <c r="A3224" s="7">
        <v>44592</v>
      </c>
      <c r="B3224" s="8" t="s">
        <v>3627</v>
      </c>
      <c r="C3224" s="9" t="s">
        <v>2961</v>
      </c>
      <c r="D3224" s="10">
        <v>51638.400000000001</v>
      </c>
      <c r="E3224" s="11">
        <v>44594</v>
      </c>
      <c r="F3224" s="10">
        <v>51638.400000000001</v>
      </c>
      <c r="G3224" s="12">
        <f>Tabla1[[#This Row],[Importe]]-Tabla1[[#This Row],[Pagado]]</f>
        <v>0</v>
      </c>
      <c r="H3224" s="9" t="s">
        <v>10</v>
      </c>
    </row>
    <row r="3225" spans="1:8" x14ac:dyDescent="0.25">
      <c r="A3225" s="7">
        <v>44592</v>
      </c>
      <c r="B3225" s="8" t="s">
        <v>3628</v>
      </c>
      <c r="C3225" s="9" t="s">
        <v>191</v>
      </c>
      <c r="D3225" s="10">
        <v>570.4</v>
      </c>
      <c r="E3225" s="11">
        <v>44592</v>
      </c>
      <c r="F3225" s="10">
        <v>570.4</v>
      </c>
      <c r="G3225" s="12">
        <f>Tabla1[[#This Row],[Importe]]-Tabla1[[#This Row],[Pagado]]</f>
        <v>0</v>
      </c>
      <c r="H3225" s="9" t="s">
        <v>10</v>
      </c>
    </row>
    <row r="3226" spans="1:8" x14ac:dyDescent="0.25">
      <c r="A3226" s="7">
        <v>44592</v>
      </c>
      <c r="B3226" s="8" t="s">
        <v>3629</v>
      </c>
      <c r="C3226" s="9" t="s">
        <v>2961</v>
      </c>
      <c r="D3226" s="10">
        <v>58669.2</v>
      </c>
      <c r="E3226" s="11">
        <v>44594</v>
      </c>
      <c r="F3226" s="10">
        <v>58669.2</v>
      </c>
      <c r="G3226" s="12">
        <f>Tabla1[[#This Row],[Importe]]-Tabla1[[#This Row],[Pagado]]</f>
        <v>0</v>
      </c>
      <c r="H3226" s="9" t="s">
        <v>10</v>
      </c>
    </row>
    <row r="3227" spans="1:8" x14ac:dyDescent="0.25">
      <c r="A3227" s="7">
        <v>44592</v>
      </c>
      <c r="B3227" s="8" t="s">
        <v>3630</v>
      </c>
      <c r="C3227" s="9" t="s">
        <v>2393</v>
      </c>
      <c r="D3227" s="10">
        <v>48199.76</v>
      </c>
      <c r="E3227" s="11">
        <v>44592</v>
      </c>
      <c r="F3227" s="10">
        <v>48199.76</v>
      </c>
      <c r="G3227" s="12">
        <f>Tabla1[[#This Row],[Importe]]-Tabla1[[#This Row],[Pagado]]</f>
        <v>0</v>
      </c>
      <c r="H3227" s="9" t="s">
        <v>10</v>
      </c>
    </row>
    <row r="3228" spans="1:8" x14ac:dyDescent="0.25">
      <c r="A3228" s="7">
        <v>44592</v>
      </c>
      <c r="B3228" s="8" t="s">
        <v>3631</v>
      </c>
      <c r="C3228" s="9" t="s">
        <v>284</v>
      </c>
      <c r="D3228" s="10">
        <v>6165</v>
      </c>
      <c r="E3228" s="11">
        <v>44593</v>
      </c>
      <c r="F3228" s="10">
        <v>6165</v>
      </c>
      <c r="G3228" s="12">
        <f>Tabla1[[#This Row],[Importe]]-Tabla1[[#This Row],[Pagado]]</f>
        <v>0</v>
      </c>
      <c r="H3228" s="9" t="s">
        <v>10</v>
      </c>
    </row>
    <row r="3229" spans="1:8" x14ac:dyDescent="0.25">
      <c r="A3229" s="7">
        <v>44592</v>
      </c>
      <c r="B3229" s="8" t="s">
        <v>3632</v>
      </c>
      <c r="C3229" s="9" t="s">
        <v>282</v>
      </c>
      <c r="D3229" s="10">
        <v>1910</v>
      </c>
      <c r="E3229" s="11">
        <v>44593</v>
      </c>
      <c r="F3229" s="10">
        <v>1910</v>
      </c>
      <c r="G3229" s="12">
        <f>Tabla1[[#This Row],[Importe]]-Tabla1[[#This Row],[Pagado]]</f>
        <v>0</v>
      </c>
      <c r="H3229" s="9" t="s">
        <v>10</v>
      </c>
    </row>
    <row r="3230" spans="1:8" x14ac:dyDescent="0.25">
      <c r="A3230" s="7">
        <v>44592</v>
      </c>
      <c r="B3230" s="8" t="s">
        <v>3633</v>
      </c>
      <c r="C3230" s="9" t="s">
        <v>280</v>
      </c>
      <c r="D3230" s="10">
        <v>525</v>
      </c>
      <c r="E3230" s="11">
        <v>44593</v>
      </c>
      <c r="F3230" s="10">
        <v>525</v>
      </c>
      <c r="G3230" s="12">
        <f>Tabla1[[#This Row],[Importe]]-Tabla1[[#This Row],[Pagado]]</f>
        <v>0</v>
      </c>
      <c r="H3230" s="9" t="s">
        <v>10</v>
      </c>
    </row>
    <row r="3231" spans="1:8" x14ac:dyDescent="0.25">
      <c r="A3231" s="7">
        <v>44592</v>
      </c>
      <c r="B3231" s="8" t="s">
        <v>3634</v>
      </c>
      <c r="C3231" s="9" t="s">
        <v>31</v>
      </c>
      <c r="D3231" s="10">
        <v>2121.6999999999998</v>
      </c>
      <c r="E3231" s="11">
        <v>44592</v>
      </c>
      <c r="F3231" s="10">
        <v>2121.6999999999998</v>
      </c>
      <c r="G3231" s="12">
        <f>Tabla1[[#This Row],[Importe]]-Tabla1[[#This Row],[Pagado]]</f>
        <v>0</v>
      </c>
      <c r="H3231" s="9" t="s">
        <v>10</v>
      </c>
    </row>
    <row r="3232" spans="1:8" x14ac:dyDescent="0.25">
      <c r="A3232" s="7">
        <v>44592</v>
      </c>
      <c r="B3232" s="8" t="s">
        <v>3635</v>
      </c>
      <c r="C3232" s="9" t="s">
        <v>53</v>
      </c>
      <c r="D3232" s="10">
        <v>1930.6</v>
      </c>
      <c r="E3232" s="11">
        <v>44592</v>
      </c>
      <c r="F3232" s="10">
        <v>1930.6</v>
      </c>
      <c r="G3232" s="12">
        <f>Tabla1[[#This Row],[Importe]]-Tabla1[[#This Row],[Pagado]]</f>
        <v>0</v>
      </c>
      <c r="H3232" s="9" t="s">
        <v>10</v>
      </c>
    </row>
    <row r="3233" spans="1:8" x14ac:dyDescent="0.25">
      <c r="A3233" s="7">
        <v>44592</v>
      </c>
      <c r="B3233" s="8" t="s">
        <v>3636</v>
      </c>
      <c r="C3233" s="9" t="s">
        <v>475</v>
      </c>
      <c r="D3233" s="10">
        <v>26486</v>
      </c>
      <c r="E3233" s="11">
        <v>44594</v>
      </c>
      <c r="F3233" s="10">
        <v>26486</v>
      </c>
      <c r="G3233" s="12">
        <f>Tabla1[[#This Row],[Importe]]-Tabla1[[#This Row],[Pagado]]</f>
        <v>0</v>
      </c>
      <c r="H3233" s="9" t="s">
        <v>10</v>
      </c>
    </row>
    <row r="3234" spans="1:8" x14ac:dyDescent="0.25">
      <c r="A3234" s="7">
        <v>44592</v>
      </c>
      <c r="B3234" s="8" t="s">
        <v>3637</v>
      </c>
      <c r="C3234" s="9" t="s">
        <v>1313</v>
      </c>
      <c r="D3234" s="10">
        <v>5909</v>
      </c>
      <c r="E3234" s="11">
        <v>44593</v>
      </c>
      <c r="F3234" s="10">
        <v>5909</v>
      </c>
      <c r="G3234" s="12">
        <f>Tabla1[[#This Row],[Importe]]-Tabla1[[#This Row],[Pagado]]</f>
        <v>0</v>
      </c>
      <c r="H3234" s="9" t="s">
        <v>10</v>
      </c>
    </row>
    <row r="3235" spans="1:8" x14ac:dyDescent="0.25">
      <c r="A3235" s="7">
        <v>44592</v>
      </c>
      <c r="B3235" s="8" t="s">
        <v>3638</v>
      </c>
      <c r="C3235" s="9" t="s">
        <v>1313</v>
      </c>
      <c r="D3235" s="10">
        <v>661.2</v>
      </c>
      <c r="E3235" s="11">
        <v>44593</v>
      </c>
      <c r="F3235" s="10">
        <v>661.2</v>
      </c>
      <c r="G3235" s="12">
        <f>Tabla1[[#This Row],[Importe]]-Tabla1[[#This Row],[Pagado]]</f>
        <v>0</v>
      </c>
      <c r="H3235" s="9" t="s">
        <v>10</v>
      </c>
    </row>
    <row r="3236" spans="1:8" x14ac:dyDescent="0.25">
      <c r="A3236" s="7">
        <v>44592</v>
      </c>
      <c r="B3236" s="8" t="s">
        <v>3639</v>
      </c>
      <c r="C3236" s="9" t="s">
        <v>618</v>
      </c>
      <c r="D3236" s="10">
        <v>30367.599999999999</v>
      </c>
      <c r="E3236" s="11">
        <v>44599</v>
      </c>
      <c r="F3236" s="10">
        <v>30367.599999999999</v>
      </c>
      <c r="G3236" s="12">
        <f>Tabla1[[#This Row],[Importe]]-Tabla1[[#This Row],[Pagado]]</f>
        <v>0</v>
      </c>
      <c r="H3236" s="9" t="s">
        <v>10</v>
      </c>
    </row>
    <row r="3237" spans="1:8" x14ac:dyDescent="0.25">
      <c r="A3237" s="7">
        <v>44592</v>
      </c>
      <c r="B3237" s="8" t="s">
        <v>3640</v>
      </c>
      <c r="C3237" s="9" t="s">
        <v>31</v>
      </c>
      <c r="D3237" s="10">
        <v>387</v>
      </c>
      <c r="E3237" s="11">
        <v>44593</v>
      </c>
      <c r="F3237" s="10">
        <v>387</v>
      </c>
      <c r="G3237" s="12">
        <f>Tabla1[[#This Row],[Importe]]-Tabla1[[#This Row],[Pagado]]</f>
        <v>0</v>
      </c>
      <c r="H3237" s="9" t="s">
        <v>10</v>
      </c>
    </row>
    <row r="3238" spans="1:8" ht="15.75" thickBot="1" x14ac:dyDescent="0.3">
      <c r="A3238" s="7">
        <v>44592</v>
      </c>
      <c r="B3238" s="8" t="s">
        <v>3641</v>
      </c>
      <c r="C3238" s="9" t="s">
        <v>402</v>
      </c>
      <c r="D3238" s="22">
        <v>10199.6</v>
      </c>
      <c r="E3238" s="23">
        <v>44602</v>
      </c>
      <c r="F3238" s="22">
        <v>10199.6</v>
      </c>
      <c r="G3238" s="24">
        <f>Tabla1[[#This Row],[Importe]]-Tabla1[[#This Row],[Pagado]]</f>
        <v>0</v>
      </c>
      <c r="H3238" s="9" t="s">
        <v>10</v>
      </c>
    </row>
    <row r="3239" spans="1:8" ht="31.5" customHeight="1" thickTop="1" thickBot="1" x14ac:dyDescent="0.3">
      <c r="A3239" s="19"/>
      <c r="B3239" s="20"/>
      <c r="C3239" s="21"/>
      <c r="D3239" s="29">
        <f>SUBTOTAL(109,D2:D3238)</f>
        <v>28523304.060000032</v>
      </c>
      <c r="E3239" s="28"/>
      <c r="F3239" s="29">
        <f>SUBTOTAL(109,F2:F3238)</f>
        <v>28521304.060000032</v>
      </c>
      <c r="G3239" s="30">
        <f>SUBTOTAL(109,G2:G3238)</f>
        <v>2000</v>
      </c>
      <c r="H3239" s="21"/>
    </row>
    <row r="3240" spans="1:8" ht="15.75" thickTop="1" x14ac:dyDescent="0.25">
      <c r="D3240" s="25"/>
      <c r="E3240" s="26"/>
      <c r="F3240" s="25"/>
      <c r="G3240" s="27"/>
    </row>
    <row r="3244" spans="1:8" ht="16.5" thickBot="1" x14ac:dyDescent="0.3">
      <c r="F3244" s="43" t="s">
        <v>6983</v>
      </c>
    </row>
    <row r="3245" spans="1:8" x14ac:dyDescent="0.25">
      <c r="E3245" s="188">
        <f>D3239-F3239</f>
        <v>2000</v>
      </c>
      <c r="F3245" s="189"/>
    </row>
    <row r="3246" spans="1:8" ht="15.75" thickBot="1" x14ac:dyDescent="0.3">
      <c r="E3246" s="190"/>
      <c r="F3246" s="191"/>
    </row>
  </sheetData>
  <mergeCells count="1">
    <mergeCell ref="E3245:F3246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S3178"/>
  <sheetViews>
    <sheetView zoomScale="115" zoomScaleNormal="115" workbookViewId="0">
      <pane xSplit="2" ySplit="1" topLeftCell="D3154" activePane="bottomRight" state="frozen"/>
      <selection pane="topRight" activeCell="C1" sqref="C1"/>
      <selection pane="bottomLeft" activeCell="A2" sqref="A2"/>
      <selection pane="bottomRight" activeCell="B3173" sqref="B3173"/>
    </sheetView>
  </sheetViews>
  <sheetFormatPr baseColWidth="10" defaultRowHeight="15.75" x14ac:dyDescent="0.25"/>
  <cols>
    <col min="1" max="1" width="15.28515625" style="31" customWidth="1"/>
    <col min="2" max="2" width="16.140625" style="32" customWidth="1"/>
    <col min="3" max="3" width="50.140625" style="33" bestFit="1" customWidth="1"/>
    <col min="4" max="4" width="21" style="34" customWidth="1"/>
    <col min="5" max="5" width="17.5703125" style="35" customWidth="1"/>
    <col min="6" max="6" width="18.42578125" style="34" customWidth="1"/>
    <col min="7" max="7" width="17.5703125" style="36" customWidth="1"/>
    <col min="8" max="8" width="23.5703125" style="33" bestFit="1" customWidth="1"/>
    <col min="9" max="15" width="11.42578125" style="33"/>
    <col min="16" max="16" width="38.7109375" style="33" bestFit="1" customWidth="1"/>
    <col min="17" max="17" width="12.85546875" style="34" bestFit="1" customWidth="1"/>
    <col min="18" max="18" width="14.140625" style="33" customWidth="1"/>
    <col min="19" max="19" width="13.85546875" style="32" customWidth="1"/>
    <col min="20" max="16384" width="11.42578125" style="33"/>
  </cols>
  <sheetData>
    <row r="1" spans="1:9" x14ac:dyDescent="0.25">
      <c r="A1" s="31" t="s">
        <v>0</v>
      </c>
      <c r="B1" s="32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36" t="s">
        <v>6</v>
      </c>
      <c r="H1" s="33" t="s">
        <v>7</v>
      </c>
      <c r="I1" s="33" t="s">
        <v>10568</v>
      </c>
    </row>
    <row r="2" spans="1:9" x14ac:dyDescent="0.25">
      <c r="A2" s="31">
        <v>44593</v>
      </c>
      <c r="B2" s="37" t="s">
        <v>3651</v>
      </c>
      <c r="C2" s="38" t="s">
        <v>3322</v>
      </c>
      <c r="D2" s="34">
        <v>9532</v>
      </c>
      <c r="E2" s="35">
        <v>44594</v>
      </c>
      <c r="F2" s="34">
        <v>9532</v>
      </c>
      <c r="G2" s="36">
        <f>Tabla13[[#This Row],[Importe]]-Tabla13[[#This Row],[Pagado]]</f>
        <v>0</v>
      </c>
      <c r="H2" s="38" t="s">
        <v>10</v>
      </c>
    </row>
    <row r="3" spans="1:9" x14ac:dyDescent="0.25">
      <c r="A3" s="31">
        <v>44593</v>
      </c>
      <c r="B3" s="37" t="s">
        <v>3652</v>
      </c>
      <c r="C3" s="38" t="s">
        <v>85</v>
      </c>
      <c r="D3" s="34">
        <v>927</v>
      </c>
      <c r="E3" s="35">
        <v>44593</v>
      </c>
      <c r="F3" s="34">
        <v>927</v>
      </c>
      <c r="G3" s="36">
        <f>Tabla13[[#This Row],[Importe]]-Tabla13[[#This Row],[Pagado]]</f>
        <v>0</v>
      </c>
      <c r="H3" s="38" t="s">
        <v>10</v>
      </c>
    </row>
    <row r="4" spans="1:9" x14ac:dyDescent="0.25">
      <c r="A4" s="31">
        <v>44593</v>
      </c>
      <c r="B4" s="37" t="s">
        <v>3653</v>
      </c>
      <c r="C4" s="38" t="s">
        <v>473</v>
      </c>
      <c r="D4" s="34">
        <v>8376.2000000000007</v>
      </c>
      <c r="E4" s="35">
        <v>44593</v>
      </c>
      <c r="F4" s="34">
        <v>8376.2000000000007</v>
      </c>
      <c r="G4" s="36">
        <f>Tabla13[[#This Row],[Importe]]-Tabla13[[#This Row],[Pagado]]</f>
        <v>0</v>
      </c>
      <c r="H4" s="38" t="s">
        <v>10</v>
      </c>
    </row>
    <row r="5" spans="1:9" x14ac:dyDescent="0.25">
      <c r="A5" s="31">
        <v>44593</v>
      </c>
      <c r="B5" s="37" t="s">
        <v>3654</v>
      </c>
      <c r="C5" s="38" t="s">
        <v>75</v>
      </c>
      <c r="D5" s="34">
        <v>6025</v>
      </c>
      <c r="E5" s="35">
        <v>44593</v>
      </c>
      <c r="F5" s="34">
        <v>6025</v>
      </c>
      <c r="G5" s="36">
        <f>Tabla13[[#This Row],[Importe]]-Tabla13[[#This Row],[Pagado]]</f>
        <v>0</v>
      </c>
      <c r="H5" s="38" t="s">
        <v>10</v>
      </c>
    </row>
    <row r="6" spans="1:9" x14ac:dyDescent="0.25">
      <c r="A6" s="31">
        <v>44593</v>
      </c>
      <c r="B6" s="37" t="s">
        <v>3655</v>
      </c>
      <c r="C6" s="38" t="s">
        <v>3656</v>
      </c>
      <c r="D6" s="34">
        <v>0</v>
      </c>
      <c r="E6" s="39" t="s">
        <v>189</v>
      </c>
      <c r="F6" s="34">
        <v>0</v>
      </c>
      <c r="G6" s="36">
        <f>Tabla13[[#This Row],[Importe]]-Tabla13[[#This Row],[Pagado]]</f>
        <v>0</v>
      </c>
      <c r="H6" s="38" t="s">
        <v>189</v>
      </c>
    </row>
    <row r="7" spans="1:9" x14ac:dyDescent="0.25">
      <c r="A7" s="31">
        <v>44593</v>
      </c>
      <c r="B7" s="37" t="s">
        <v>3657</v>
      </c>
      <c r="C7" s="38" t="s">
        <v>878</v>
      </c>
      <c r="D7" s="34">
        <v>4734</v>
      </c>
      <c r="E7" s="35">
        <v>44593</v>
      </c>
      <c r="F7" s="34">
        <v>4734</v>
      </c>
      <c r="G7" s="36">
        <f>Tabla13[[#This Row],[Importe]]-Tabla13[[#This Row],[Pagado]]</f>
        <v>0</v>
      </c>
      <c r="H7" s="38" t="s">
        <v>10</v>
      </c>
    </row>
    <row r="8" spans="1:9" x14ac:dyDescent="0.25">
      <c r="A8" s="31">
        <v>44593</v>
      </c>
      <c r="B8" s="37" t="s">
        <v>3658</v>
      </c>
      <c r="C8" s="38" t="s">
        <v>481</v>
      </c>
      <c r="D8" s="34">
        <v>474.6</v>
      </c>
      <c r="E8" s="35">
        <v>44593</v>
      </c>
      <c r="F8" s="34">
        <v>474.6</v>
      </c>
      <c r="G8" s="36">
        <f>Tabla13[[#This Row],[Importe]]-Tabla13[[#This Row],[Pagado]]</f>
        <v>0</v>
      </c>
      <c r="H8" s="38" t="s">
        <v>10</v>
      </c>
    </row>
    <row r="9" spans="1:9" x14ac:dyDescent="0.25">
      <c r="A9" s="31">
        <v>44593</v>
      </c>
      <c r="B9" s="37" t="s">
        <v>3659</v>
      </c>
      <c r="C9" s="38" t="s">
        <v>64</v>
      </c>
      <c r="D9" s="34">
        <v>3707.6</v>
      </c>
      <c r="E9" s="35">
        <v>44594</v>
      </c>
      <c r="F9" s="34">
        <v>3707.6</v>
      </c>
      <c r="G9" s="36">
        <f>Tabla13[[#This Row],[Importe]]-Tabla13[[#This Row],[Pagado]]</f>
        <v>0</v>
      </c>
      <c r="H9" s="38" t="s">
        <v>10</v>
      </c>
    </row>
    <row r="10" spans="1:9" x14ac:dyDescent="0.25">
      <c r="A10" s="31">
        <v>44593</v>
      </c>
      <c r="B10" s="37" t="s">
        <v>3660</v>
      </c>
      <c r="C10" s="38" t="s">
        <v>114</v>
      </c>
      <c r="D10" s="34">
        <v>8005</v>
      </c>
      <c r="E10" s="35">
        <v>44594</v>
      </c>
      <c r="F10" s="34">
        <v>8005</v>
      </c>
      <c r="G10" s="36">
        <f>Tabla13[[#This Row],[Importe]]-Tabla13[[#This Row],[Pagado]]</f>
        <v>0</v>
      </c>
      <c r="H10" s="38" t="s">
        <v>10</v>
      </c>
    </row>
    <row r="11" spans="1:9" x14ac:dyDescent="0.25">
      <c r="A11" s="31">
        <v>44593</v>
      </c>
      <c r="B11" s="37" t="s">
        <v>3661</v>
      </c>
      <c r="C11" s="38" t="s">
        <v>97</v>
      </c>
      <c r="D11" s="34">
        <v>4310</v>
      </c>
      <c r="E11" s="35">
        <v>44594</v>
      </c>
      <c r="F11" s="34">
        <v>4310</v>
      </c>
      <c r="G11" s="36">
        <f>Tabla13[[#This Row],[Importe]]-Tabla13[[#This Row],[Pagado]]</f>
        <v>0</v>
      </c>
      <c r="H11" s="38" t="s">
        <v>10</v>
      </c>
    </row>
    <row r="12" spans="1:9" x14ac:dyDescent="0.25">
      <c r="A12" s="31">
        <v>44593</v>
      </c>
      <c r="B12" s="37" t="s">
        <v>3662</v>
      </c>
      <c r="C12" s="38" t="s">
        <v>326</v>
      </c>
      <c r="D12" s="34">
        <v>4155</v>
      </c>
      <c r="E12" s="35">
        <v>44595</v>
      </c>
      <c r="F12" s="34">
        <v>4155</v>
      </c>
      <c r="G12" s="36">
        <f>Tabla13[[#This Row],[Importe]]-Tabla13[[#This Row],[Pagado]]</f>
        <v>0</v>
      </c>
      <c r="H12" s="38" t="s">
        <v>10</v>
      </c>
    </row>
    <row r="13" spans="1:9" x14ac:dyDescent="0.25">
      <c r="A13" s="31">
        <v>44593</v>
      </c>
      <c r="B13" s="37" t="s">
        <v>3663</v>
      </c>
      <c r="C13" s="38" t="s">
        <v>111</v>
      </c>
      <c r="D13" s="34">
        <v>3800</v>
      </c>
      <c r="E13" s="35">
        <v>44594</v>
      </c>
      <c r="F13" s="34">
        <v>3800</v>
      </c>
      <c r="G13" s="36">
        <f>Tabla13[[#This Row],[Importe]]-Tabla13[[#This Row],[Pagado]]</f>
        <v>0</v>
      </c>
      <c r="H13" s="38" t="s">
        <v>10</v>
      </c>
    </row>
    <row r="14" spans="1:9" x14ac:dyDescent="0.25">
      <c r="A14" s="31">
        <v>44593</v>
      </c>
      <c r="B14" s="37" t="s">
        <v>3664</v>
      </c>
      <c r="C14" s="38" t="s">
        <v>345</v>
      </c>
      <c r="D14" s="34">
        <v>403.2</v>
      </c>
      <c r="E14" s="35">
        <v>44593</v>
      </c>
      <c r="F14" s="34">
        <v>403.2</v>
      </c>
      <c r="G14" s="36">
        <f>Tabla13[[#This Row],[Importe]]-Tabla13[[#This Row],[Pagado]]</f>
        <v>0</v>
      </c>
      <c r="H14" s="38" t="s">
        <v>10</v>
      </c>
    </row>
    <row r="15" spans="1:9" x14ac:dyDescent="0.25">
      <c r="A15" s="31">
        <v>44593</v>
      </c>
      <c r="B15" s="37" t="s">
        <v>3665</v>
      </c>
      <c r="C15" s="38" t="s">
        <v>39</v>
      </c>
      <c r="D15" s="34">
        <v>9195.2000000000007</v>
      </c>
      <c r="E15" s="35">
        <v>44596</v>
      </c>
      <c r="F15" s="34">
        <f>6000+3195.2</f>
        <v>9195.2000000000007</v>
      </c>
      <c r="G15" s="36">
        <f>Tabla13[[#This Row],[Importe]]-Tabla13[[#This Row],[Pagado]]</f>
        <v>0</v>
      </c>
      <c r="H15" s="38" t="s">
        <v>10</v>
      </c>
    </row>
    <row r="16" spans="1:9" x14ac:dyDescent="0.25">
      <c r="A16" s="31">
        <v>44593</v>
      </c>
      <c r="B16" s="37" t="s">
        <v>3666</v>
      </c>
      <c r="C16" s="38" t="s">
        <v>89</v>
      </c>
      <c r="D16" s="34">
        <v>6606.2</v>
      </c>
      <c r="E16" s="35">
        <v>44594</v>
      </c>
      <c r="F16" s="34">
        <v>6606.2</v>
      </c>
      <c r="G16" s="36">
        <f>Tabla13[[#This Row],[Importe]]-Tabla13[[#This Row],[Pagado]]</f>
        <v>0</v>
      </c>
      <c r="H16" s="38" t="s">
        <v>10</v>
      </c>
    </row>
    <row r="17" spans="1:8" x14ac:dyDescent="0.25">
      <c r="A17" s="31">
        <v>44593</v>
      </c>
      <c r="B17" s="37" t="s">
        <v>3667</v>
      </c>
      <c r="C17" s="38" t="s">
        <v>22</v>
      </c>
      <c r="D17" s="34">
        <v>35820</v>
      </c>
      <c r="E17" s="35">
        <v>44596</v>
      </c>
      <c r="F17" s="34">
        <v>35820</v>
      </c>
      <c r="G17" s="36">
        <f>Tabla13[[#This Row],[Importe]]-Tabla13[[#This Row],[Pagado]]</f>
        <v>0</v>
      </c>
      <c r="H17" s="38" t="s">
        <v>10</v>
      </c>
    </row>
    <row r="18" spans="1:8" x14ac:dyDescent="0.25">
      <c r="A18" s="31">
        <v>44593</v>
      </c>
      <c r="B18" s="37" t="s">
        <v>3668</v>
      </c>
      <c r="C18" s="38" t="s">
        <v>116</v>
      </c>
      <c r="D18" s="34">
        <v>891</v>
      </c>
      <c r="E18" s="35">
        <v>44594</v>
      </c>
      <c r="F18" s="34">
        <v>891</v>
      </c>
      <c r="G18" s="36">
        <f>Tabla13[[#This Row],[Importe]]-Tabla13[[#This Row],[Pagado]]</f>
        <v>0</v>
      </c>
      <c r="H18" s="38" t="s">
        <v>10</v>
      </c>
    </row>
    <row r="19" spans="1:8" x14ac:dyDescent="0.25">
      <c r="A19" s="31">
        <v>44593</v>
      </c>
      <c r="B19" s="37" t="s">
        <v>3669</v>
      </c>
      <c r="C19" s="38" t="s">
        <v>93</v>
      </c>
      <c r="D19" s="34">
        <v>5305</v>
      </c>
      <c r="E19" s="35">
        <v>44594</v>
      </c>
      <c r="F19" s="34">
        <v>5305</v>
      </c>
      <c r="G19" s="36">
        <f>Tabla13[[#This Row],[Importe]]-Tabla13[[#This Row],[Pagado]]</f>
        <v>0</v>
      </c>
      <c r="H19" s="38" t="s">
        <v>10</v>
      </c>
    </row>
    <row r="20" spans="1:8" x14ac:dyDescent="0.25">
      <c r="A20" s="31">
        <v>44593</v>
      </c>
      <c r="B20" s="37" t="s">
        <v>3670</v>
      </c>
      <c r="C20" s="38" t="s">
        <v>9</v>
      </c>
      <c r="D20" s="34">
        <v>5666.3</v>
      </c>
      <c r="E20" s="35">
        <v>44593</v>
      </c>
      <c r="F20" s="34">
        <v>5666.3</v>
      </c>
      <c r="G20" s="36">
        <f>Tabla13[[#This Row],[Importe]]-Tabla13[[#This Row],[Pagado]]</f>
        <v>0</v>
      </c>
      <c r="H20" s="38" t="s">
        <v>10</v>
      </c>
    </row>
    <row r="21" spans="1:8" x14ac:dyDescent="0.25">
      <c r="A21" s="31">
        <v>44593</v>
      </c>
      <c r="B21" s="37" t="s">
        <v>3671</v>
      </c>
      <c r="C21" s="38" t="s">
        <v>18</v>
      </c>
      <c r="D21" s="34">
        <v>1776.6</v>
      </c>
      <c r="E21" s="35">
        <v>44593</v>
      </c>
      <c r="F21" s="34">
        <v>1776.6</v>
      </c>
      <c r="G21" s="36">
        <f>Tabla13[[#This Row],[Importe]]-Tabla13[[#This Row],[Pagado]]</f>
        <v>0</v>
      </c>
      <c r="H21" s="38" t="s">
        <v>10</v>
      </c>
    </row>
    <row r="22" spans="1:8" x14ac:dyDescent="0.25">
      <c r="A22" s="31">
        <v>44593</v>
      </c>
      <c r="B22" s="37" t="s">
        <v>3672</v>
      </c>
      <c r="C22" s="38" t="s">
        <v>484</v>
      </c>
      <c r="D22" s="34">
        <v>4524.8</v>
      </c>
      <c r="E22" s="35">
        <v>44593</v>
      </c>
      <c r="F22" s="34">
        <v>4524.8</v>
      </c>
      <c r="G22" s="36">
        <f>Tabla13[[#This Row],[Importe]]-Tabla13[[#This Row],[Pagado]]</f>
        <v>0</v>
      </c>
      <c r="H22" s="38" t="s">
        <v>10</v>
      </c>
    </row>
    <row r="23" spans="1:8" x14ac:dyDescent="0.25">
      <c r="A23" s="31">
        <v>44593</v>
      </c>
      <c r="B23" s="37" t="s">
        <v>3673</v>
      </c>
      <c r="C23" s="38" t="s">
        <v>157</v>
      </c>
      <c r="D23" s="34">
        <v>1753.6</v>
      </c>
      <c r="E23" s="35">
        <v>44594</v>
      </c>
      <c r="F23" s="34">
        <v>1753.6</v>
      </c>
      <c r="G23" s="36">
        <f>Tabla13[[#This Row],[Importe]]-Tabla13[[#This Row],[Pagado]]</f>
        <v>0</v>
      </c>
      <c r="H23" s="38" t="s">
        <v>10</v>
      </c>
    </row>
    <row r="24" spans="1:8" x14ac:dyDescent="0.25">
      <c r="A24" s="31">
        <v>44593</v>
      </c>
      <c r="B24" s="37" t="s">
        <v>3674</v>
      </c>
      <c r="C24" s="38" t="s">
        <v>60</v>
      </c>
      <c r="D24" s="34">
        <v>3770</v>
      </c>
      <c r="E24" s="35">
        <v>44596</v>
      </c>
      <c r="F24" s="34">
        <v>3770</v>
      </c>
      <c r="G24" s="36">
        <f>Tabla13[[#This Row],[Importe]]-Tabla13[[#This Row],[Pagado]]</f>
        <v>0</v>
      </c>
      <c r="H24" s="38" t="s">
        <v>10</v>
      </c>
    </row>
    <row r="25" spans="1:8" x14ac:dyDescent="0.25">
      <c r="A25" s="31">
        <v>44593</v>
      </c>
      <c r="B25" s="37" t="s">
        <v>3675</v>
      </c>
      <c r="C25" s="38" t="s">
        <v>12</v>
      </c>
      <c r="D25" s="34">
        <v>55487.35</v>
      </c>
      <c r="E25" s="35">
        <v>44593</v>
      </c>
      <c r="F25" s="34">
        <v>55487.35</v>
      </c>
      <c r="G25" s="36">
        <f>Tabla13[[#This Row],[Importe]]-Tabla13[[#This Row],[Pagado]]</f>
        <v>0</v>
      </c>
      <c r="H25" s="38" t="s">
        <v>10</v>
      </c>
    </row>
    <row r="26" spans="1:8" x14ac:dyDescent="0.25">
      <c r="A26" s="31">
        <v>44593</v>
      </c>
      <c r="B26" s="37" t="s">
        <v>3676</v>
      </c>
      <c r="C26" s="38" t="s">
        <v>484</v>
      </c>
      <c r="D26" s="34">
        <v>1788</v>
      </c>
      <c r="E26" s="35">
        <v>44593</v>
      </c>
      <c r="F26" s="34">
        <v>1788</v>
      </c>
      <c r="G26" s="36">
        <f>Tabla13[[#This Row],[Importe]]-Tabla13[[#This Row],[Pagado]]</f>
        <v>0</v>
      </c>
      <c r="H26" s="38" t="s">
        <v>10</v>
      </c>
    </row>
    <row r="27" spans="1:8" x14ac:dyDescent="0.25">
      <c r="A27" s="31">
        <v>44593</v>
      </c>
      <c r="B27" s="37" t="s">
        <v>3677</v>
      </c>
      <c r="C27" s="38" t="s">
        <v>12</v>
      </c>
      <c r="D27" s="34">
        <v>690</v>
      </c>
      <c r="E27" s="35">
        <v>44594</v>
      </c>
      <c r="F27" s="34">
        <v>690</v>
      </c>
      <c r="G27" s="36">
        <f>Tabla13[[#This Row],[Importe]]-Tabla13[[#This Row],[Pagado]]</f>
        <v>0</v>
      </c>
      <c r="H27" s="38" t="s">
        <v>10</v>
      </c>
    </row>
    <row r="28" spans="1:8" x14ac:dyDescent="0.25">
      <c r="A28" s="31">
        <v>44593</v>
      </c>
      <c r="B28" s="37" t="s">
        <v>3678</v>
      </c>
      <c r="C28" s="38" t="s">
        <v>131</v>
      </c>
      <c r="D28" s="34">
        <v>7896</v>
      </c>
      <c r="E28" s="35">
        <v>44593</v>
      </c>
      <c r="F28" s="34">
        <v>7896</v>
      </c>
      <c r="G28" s="36">
        <f>Tabla13[[#This Row],[Importe]]-Tabla13[[#This Row],[Pagado]]</f>
        <v>0</v>
      </c>
      <c r="H28" s="38" t="s">
        <v>10</v>
      </c>
    </row>
    <row r="29" spans="1:8" x14ac:dyDescent="0.25">
      <c r="A29" s="31">
        <v>44593</v>
      </c>
      <c r="B29" s="37" t="s">
        <v>3679</v>
      </c>
      <c r="C29" s="38" t="s">
        <v>179</v>
      </c>
      <c r="D29" s="34">
        <v>520</v>
      </c>
      <c r="E29" s="35">
        <v>44593</v>
      </c>
      <c r="F29" s="34">
        <v>520</v>
      </c>
      <c r="G29" s="36">
        <f>Tabla13[[#This Row],[Importe]]-Tabla13[[#This Row],[Pagado]]</f>
        <v>0</v>
      </c>
      <c r="H29" s="38" t="s">
        <v>10</v>
      </c>
    </row>
    <row r="30" spans="1:8" x14ac:dyDescent="0.25">
      <c r="A30" s="31">
        <v>44593</v>
      </c>
      <c r="B30" s="37" t="s">
        <v>3680</v>
      </c>
      <c r="C30" s="38" t="s">
        <v>135</v>
      </c>
      <c r="D30" s="34">
        <v>1651.4</v>
      </c>
      <c r="E30" s="35">
        <v>44593</v>
      </c>
      <c r="F30" s="34">
        <v>1651.4</v>
      </c>
      <c r="G30" s="36">
        <f>Tabla13[[#This Row],[Importe]]-Tabla13[[#This Row],[Pagado]]</f>
        <v>0</v>
      </c>
      <c r="H30" s="38" t="s">
        <v>10</v>
      </c>
    </row>
    <row r="31" spans="1:8" x14ac:dyDescent="0.25">
      <c r="A31" s="31">
        <v>44593</v>
      </c>
      <c r="B31" s="37" t="s">
        <v>3681</v>
      </c>
      <c r="C31" s="38" t="s">
        <v>144</v>
      </c>
      <c r="D31" s="34">
        <v>4335</v>
      </c>
      <c r="E31" s="35">
        <v>44594</v>
      </c>
      <c r="F31" s="34">
        <v>4335</v>
      </c>
      <c r="G31" s="36">
        <f>Tabla13[[#This Row],[Importe]]-Tabla13[[#This Row],[Pagado]]</f>
        <v>0</v>
      </c>
      <c r="H31" s="38" t="s">
        <v>10</v>
      </c>
    </row>
    <row r="32" spans="1:8" x14ac:dyDescent="0.25">
      <c r="A32" s="31">
        <v>44593</v>
      </c>
      <c r="B32" s="37" t="s">
        <v>3682</v>
      </c>
      <c r="C32" s="38" t="s">
        <v>3683</v>
      </c>
      <c r="D32" s="34">
        <v>0</v>
      </c>
      <c r="E32" s="39" t="s">
        <v>189</v>
      </c>
      <c r="F32" s="34">
        <v>0</v>
      </c>
      <c r="G32" s="36">
        <f>Tabla13[[#This Row],[Importe]]-Tabla13[[#This Row],[Pagado]]</f>
        <v>0</v>
      </c>
      <c r="H32" s="38" t="s">
        <v>189</v>
      </c>
    </row>
    <row r="33" spans="1:8" x14ac:dyDescent="0.25">
      <c r="A33" s="31">
        <v>44593</v>
      </c>
      <c r="B33" s="37" t="s">
        <v>3684</v>
      </c>
      <c r="C33" s="38" t="s">
        <v>125</v>
      </c>
      <c r="D33" s="34">
        <v>4488</v>
      </c>
      <c r="E33" s="35">
        <v>44594</v>
      </c>
      <c r="F33" s="34">
        <v>4488</v>
      </c>
      <c r="G33" s="36">
        <f>Tabla13[[#This Row],[Importe]]-Tabla13[[#This Row],[Pagado]]</f>
        <v>0</v>
      </c>
      <c r="H33" s="38" t="s">
        <v>10</v>
      </c>
    </row>
    <row r="34" spans="1:8" x14ac:dyDescent="0.25">
      <c r="A34" s="31">
        <v>44593</v>
      </c>
      <c r="B34" s="37" t="s">
        <v>3685</v>
      </c>
      <c r="C34" s="38" t="s">
        <v>339</v>
      </c>
      <c r="D34" s="34">
        <v>3617.3</v>
      </c>
      <c r="E34" s="35">
        <v>44594</v>
      </c>
      <c r="F34" s="34">
        <v>3617.3</v>
      </c>
      <c r="G34" s="36">
        <f>Tabla13[[#This Row],[Importe]]-Tabla13[[#This Row],[Pagado]]</f>
        <v>0</v>
      </c>
      <c r="H34" s="38" t="s">
        <v>10</v>
      </c>
    </row>
    <row r="35" spans="1:8" x14ac:dyDescent="0.25">
      <c r="A35" s="31">
        <v>44593</v>
      </c>
      <c r="B35" s="37" t="s">
        <v>3686</v>
      </c>
      <c r="C35" s="38" t="s">
        <v>3687</v>
      </c>
      <c r="D35" s="34">
        <v>0</v>
      </c>
      <c r="E35" s="39" t="s">
        <v>189</v>
      </c>
      <c r="F35" s="34">
        <v>0</v>
      </c>
      <c r="G35" s="36">
        <f>Tabla13[[#This Row],[Importe]]-Tabla13[[#This Row],[Pagado]]</f>
        <v>0</v>
      </c>
      <c r="H35" s="40" t="s">
        <v>3688</v>
      </c>
    </row>
    <row r="36" spans="1:8" x14ac:dyDescent="0.25">
      <c r="A36" s="31">
        <v>44593</v>
      </c>
      <c r="B36" s="37" t="s">
        <v>3689</v>
      </c>
      <c r="C36" s="38" t="s">
        <v>357</v>
      </c>
      <c r="D36" s="34">
        <v>1934.4</v>
      </c>
      <c r="E36" s="35">
        <v>44594</v>
      </c>
      <c r="F36" s="34">
        <v>1934.4</v>
      </c>
      <c r="G36" s="36">
        <f>Tabla13[[#This Row],[Importe]]-Tabla13[[#This Row],[Pagado]]</f>
        <v>0</v>
      </c>
      <c r="H36" s="38" t="s">
        <v>10</v>
      </c>
    </row>
    <row r="37" spans="1:8" x14ac:dyDescent="0.25">
      <c r="A37" s="31">
        <v>44593</v>
      </c>
      <c r="B37" s="37" t="s">
        <v>3690</v>
      </c>
      <c r="C37" s="38" t="s">
        <v>3691</v>
      </c>
      <c r="D37" s="34">
        <v>0</v>
      </c>
      <c r="E37" s="39" t="s">
        <v>189</v>
      </c>
      <c r="F37" s="34">
        <v>0</v>
      </c>
      <c r="G37" s="36">
        <f>Tabla13[[#This Row],[Importe]]-Tabla13[[#This Row],[Pagado]]</f>
        <v>0</v>
      </c>
      <c r="H37" s="40" t="s">
        <v>3692</v>
      </c>
    </row>
    <row r="38" spans="1:8" x14ac:dyDescent="0.25">
      <c r="A38" s="31">
        <v>44593</v>
      </c>
      <c r="B38" s="37" t="s">
        <v>3693</v>
      </c>
      <c r="C38" s="38" t="s">
        <v>107</v>
      </c>
      <c r="D38" s="34">
        <v>19521.2</v>
      </c>
      <c r="E38" s="35">
        <v>44594</v>
      </c>
      <c r="F38" s="34">
        <v>19521.2</v>
      </c>
      <c r="G38" s="36">
        <f>Tabla13[[#This Row],[Importe]]-Tabla13[[#This Row],[Pagado]]</f>
        <v>0</v>
      </c>
      <c r="H38" s="38" t="s">
        <v>10</v>
      </c>
    </row>
    <row r="39" spans="1:8" x14ac:dyDescent="0.25">
      <c r="A39" s="31">
        <v>44593</v>
      </c>
      <c r="B39" s="37" t="s">
        <v>3694</v>
      </c>
      <c r="C39" s="38" t="s">
        <v>339</v>
      </c>
      <c r="D39" s="34">
        <v>193.8</v>
      </c>
      <c r="E39" s="35">
        <v>44594</v>
      </c>
      <c r="F39" s="34">
        <v>193.8</v>
      </c>
      <c r="G39" s="36">
        <f>Tabla13[[#This Row],[Importe]]-Tabla13[[#This Row],[Pagado]]</f>
        <v>0</v>
      </c>
      <c r="H39" s="38" t="s">
        <v>10</v>
      </c>
    </row>
    <row r="40" spans="1:8" x14ac:dyDescent="0.25">
      <c r="A40" s="31">
        <v>44593</v>
      </c>
      <c r="B40" s="37" t="s">
        <v>3695</v>
      </c>
      <c r="C40" s="38" t="s">
        <v>314</v>
      </c>
      <c r="D40" s="34">
        <v>1650</v>
      </c>
      <c r="E40" s="35">
        <v>44594</v>
      </c>
      <c r="F40" s="34">
        <v>1650</v>
      </c>
      <c r="G40" s="36">
        <f>Tabla13[[#This Row],[Importe]]-Tabla13[[#This Row],[Pagado]]</f>
        <v>0</v>
      </c>
      <c r="H40" s="38" t="s">
        <v>10</v>
      </c>
    </row>
    <row r="41" spans="1:8" x14ac:dyDescent="0.25">
      <c r="A41" s="31">
        <v>44593</v>
      </c>
      <c r="B41" s="37" t="s">
        <v>3696</v>
      </c>
      <c r="C41" s="38" t="s">
        <v>87</v>
      </c>
      <c r="D41" s="34">
        <v>1070</v>
      </c>
      <c r="E41" s="35">
        <v>44594</v>
      </c>
      <c r="F41" s="34">
        <v>1070</v>
      </c>
      <c r="G41" s="36">
        <f>Tabla13[[#This Row],[Importe]]-Tabla13[[#This Row],[Pagado]]</f>
        <v>0</v>
      </c>
      <c r="H41" s="38" t="s">
        <v>10</v>
      </c>
    </row>
    <row r="42" spans="1:8" x14ac:dyDescent="0.25">
      <c r="A42" s="31">
        <v>44593</v>
      </c>
      <c r="B42" s="37" t="s">
        <v>3697</v>
      </c>
      <c r="C42" s="38" t="s">
        <v>339</v>
      </c>
      <c r="D42" s="34">
        <v>52</v>
      </c>
      <c r="E42" s="35">
        <v>44594</v>
      </c>
      <c r="F42" s="34">
        <v>52</v>
      </c>
      <c r="G42" s="36">
        <f>Tabla13[[#This Row],[Importe]]-Tabla13[[#This Row],[Pagado]]</f>
        <v>0</v>
      </c>
      <c r="H42" s="38" t="s">
        <v>10</v>
      </c>
    </row>
    <row r="43" spans="1:8" x14ac:dyDescent="0.25">
      <c r="A43" s="31">
        <v>44593</v>
      </c>
      <c r="B43" s="37" t="s">
        <v>3698</v>
      </c>
      <c r="C43" s="38" t="s">
        <v>27</v>
      </c>
      <c r="D43" s="34">
        <v>3329.4</v>
      </c>
      <c r="E43" s="35">
        <v>44593</v>
      </c>
      <c r="F43" s="34">
        <v>3329.4</v>
      </c>
      <c r="G43" s="36">
        <f>Tabla13[[#This Row],[Importe]]-Tabla13[[#This Row],[Pagado]]</f>
        <v>0</v>
      </c>
      <c r="H43" s="38" t="s">
        <v>10</v>
      </c>
    </row>
    <row r="44" spans="1:8" x14ac:dyDescent="0.25">
      <c r="A44" s="31">
        <v>44593</v>
      </c>
      <c r="B44" s="37" t="s">
        <v>3699</v>
      </c>
      <c r="C44" s="38" t="s">
        <v>142</v>
      </c>
      <c r="D44" s="34">
        <v>139150.76</v>
      </c>
      <c r="E44" s="35">
        <v>44617</v>
      </c>
      <c r="F44" s="34">
        <v>139150.76</v>
      </c>
      <c r="G44" s="36">
        <f>Tabla13[[#This Row],[Importe]]-Tabla13[[#This Row],[Pagado]]</f>
        <v>0</v>
      </c>
      <c r="H44" s="38" t="s">
        <v>10</v>
      </c>
    </row>
    <row r="45" spans="1:8" x14ac:dyDescent="0.25">
      <c r="A45" s="31">
        <v>44593</v>
      </c>
      <c r="B45" s="37" t="s">
        <v>3700</v>
      </c>
      <c r="C45" s="38" t="s">
        <v>175</v>
      </c>
      <c r="D45" s="34">
        <v>4789.2</v>
      </c>
      <c r="E45" s="35">
        <v>44593</v>
      </c>
      <c r="F45" s="34">
        <v>4789.2</v>
      </c>
      <c r="G45" s="36">
        <f>Tabla13[[#This Row],[Importe]]-Tabla13[[#This Row],[Pagado]]</f>
        <v>0</v>
      </c>
      <c r="H45" s="38" t="s">
        <v>10</v>
      </c>
    </row>
    <row r="46" spans="1:8" x14ac:dyDescent="0.25">
      <c r="A46" s="31">
        <v>44593</v>
      </c>
      <c r="B46" s="37" t="s">
        <v>3701</v>
      </c>
      <c r="C46" s="38" t="s">
        <v>79</v>
      </c>
      <c r="D46" s="34">
        <v>6394.2</v>
      </c>
      <c r="E46" s="35">
        <v>44594</v>
      </c>
      <c r="F46" s="34">
        <v>6394.2</v>
      </c>
      <c r="G46" s="36">
        <f>Tabla13[[#This Row],[Importe]]-Tabla13[[#This Row],[Pagado]]</f>
        <v>0</v>
      </c>
      <c r="H46" s="38" t="s">
        <v>10</v>
      </c>
    </row>
    <row r="47" spans="1:8" x14ac:dyDescent="0.25">
      <c r="A47" s="31">
        <v>44593</v>
      </c>
      <c r="B47" s="37" t="s">
        <v>3702</v>
      </c>
      <c r="C47" s="38" t="s">
        <v>371</v>
      </c>
      <c r="D47" s="34">
        <v>7857</v>
      </c>
      <c r="E47" s="35">
        <v>44594</v>
      </c>
      <c r="F47" s="34">
        <v>7857</v>
      </c>
      <c r="G47" s="36">
        <f>Tabla13[[#This Row],[Importe]]-Tabla13[[#This Row],[Pagado]]</f>
        <v>0</v>
      </c>
      <c r="H47" s="38" t="s">
        <v>10</v>
      </c>
    </row>
    <row r="48" spans="1:8" x14ac:dyDescent="0.25">
      <c r="A48" s="31">
        <v>44593</v>
      </c>
      <c r="B48" s="37" t="s">
        <v>3703</v>
      </c>
      <c r="C48" s="38" t="s">
        <v>151</v>
      </c>
      <c r="D48" s="34">
        <v>6993.8</v>
      </c>
      <c r="E48" s="35">
        <v>44594</v>
      </c>
      <c r="F48" s="34">
        <v>6993.8</v>
      </c>
      <c r="G48" s="36">
        <f>Tabla13[[#This Row],[Importe]]-Tabla13[[#This Row],[Pagado]]</f>
        <v>0</v>
      </c>
      <c r="H48" s="38" t="s">
        <v>10</v>
      </c>
    </row>
    <row r="49" spans="1:8" x14ac:dyDescent="0.25">
      <c r="A49" s="31">
        <v>44593</v>
      </c>
      <c r="B49" s="37" t="s">
        <v>3704</v>
      </c>
      <c r="C49" s="38" t="s">
        <v>520</v>
      </c>
      <c r="D49" s="34">
        <v>4751.2</v>
      </c>
      <c r="E49" s="35">
        <v>44594</v>
      </c>
      <c r="F49" s="34">
        <v>4751.2</v>
      </c>
      <c r="G49" s="36">
        <f>Tabla13[[#This Row],[Importe]]-Tabla13[[#This Row],[Pagado]]</f>
        <v>0</v>
      </c>
      <c r="H49" s="38" t="s">
        <v>10</v>
      </c>
    </row>
    <row r="50" spans="1:8" x14ac:dyDescent="0.25">
      <c r="A50" s="31">
        <v>44593</v>
      </c>
      <c r="B50" s="37" t="s">
        <v>3705</v>
      </c>
      <c r="C50" s="38" t="s">
        <v>16</v>
      </c>
      <c r="D50" s="34">
        <v>2104.1999999999998</v>
      </c>
      <c r="E50" s="35">
        <v>44593</v>
      </c>
      <c r="F50" s="34">
        <v>2104.1999999999998</v>
      </c>
      <c r="G50" s="36">
        <f>Tabla13[[#This Row],[Importe]]-Tabla13[[#This Row],[Pagado]]</f>
        <v>0</v>
      </c>
      <c r="H50" s="38" t="s">
        <v>10</v>
      </c>
    </row>
    <row r="51" spans="1:8" x14ac:dyDescent="0.25">
      <c r="A51" s="31">
        <v>44593</v>
      </c>
      <c r="B51" s="37" t="s">
        <v>3706</v>
      </c>
      <c r="C51" s="38" t="s">
        <v>49</v>
      </c>
      <c r="D51" s="34">
        <v>2682.8</v>
      </c>
      <c r="E51" s="35">
        <v>44593</v>
      </c>
      <c r="F51" s="34">
        <v>2682.8</v>
      </c>
      <c r="G51" s="36">
        <f>Tabla13[[#This Row],[Importe]]-Tabla13[[#This Row],[Pagado]]</f>
        <v>0</v>
      </c>
      <c r="H51" s="38" t="s">
        <v>10</v>
      </c>
    </row>
    <row r="52" spans="1:8" x14ac:dyDescent="0.25">
      <c r="A52" s="31">
        <v>44593</v>
      </c>
      <c r="B52" s="37" t="s">
        <v>3707</v>
      </c>
      <c r="C52" s="38" t="s">
        <v>198</v>
      </c>
      <c r="D52" s="34">
        <v>1096.5</v>
      </c>
      <c r="E52" s="35">
        <v>44593</v>
      </c>
      <c r="F52" s="34">
        <v>1096.5</v>
      </c>
      <c r="G52" s="36">
        <f>Tabla13[[#This Row],[Importe]]-Tabla13[[#This Row],[Pagado]]</f>
        <v>0</v>
      </c>
      <c r="H52" s="38" t="s">
        <v>10</v>
      </c>
    </row>
    <row r="53" spans="1:8" x14ac:dyDescent="0.25">
      <c r="A53" s="31">
        <v>44593</v>
      </c>
      <c r="B53" s="37" t="s">
        <v>3708</v>
      </c>
      <c r="C53" s="38" t="s">
        <v>45</v>
      </c>
      <c r="D53" s="34">
        <v>7162</v>
      </c>
      <c r="E53" s="35">
        <v>44593</v>
      </c>
      <c r="F53" s="34">
        <v>7162</v>
      </c>
      <c r="G53" s="36">
        <f>Tabla13[[#This Row],[Importe]]-Tabla13[[#This Row],[Pagado]]</f>
        <v>0</v>
      </c>
      <c r="H53" s="38" t="s">
        <v>10</v>
      </c>
    </row>
    <row r="54" spans="1:8" x14ac:dyDescent="0.25">
      <c r="A54" s="31">
        <v>44593</v>
      </c>
      <c r="B54" s="37" t="s">
        <v>3709</v>
      </c>
      <c r="C54" s="38" t="s">
        <v>16</v>
      </c>
      <c r="D54" s="34">
        <v>3080.7</v>
      </c>
      <c r="E54" s="35">
        <v>44593</v>
      </c>
      <c r="F54" s="34">
        <v>3080.7</v>
      </c>
      <c r="G54" s="36">
        <f>Tabla13[[#This Row],[Importe]]-Tabla13[[#This Row],[Pagado]]</f>
        <v>0</v>
      </c>
      <c r="H54" s="38" t="s">
        <v>10</v>
      </c>
    </row>
    <row r="55" spans="1:8" x14ac:dyDescent="0.25">
      <c r="A55" s="31">
        <v>44593</v>
      </c>
      <c r="B55" s="37" t="s">
        <v>3710</v>
      </c>
      <c r="C55" s="38" t="s">
        <v>426</v>
      </c>
      <c r="D55" s="34">
        <v>5768.2</v>
      </c>
      <c r="E55" s="35">
        <v>44593</v>
      </c>
      <c r="F55" s="34">
        <v>5768.2</v>
      </c>
      <c r="G55" s="36">
        <f>Tabla13[[#This Row],[Importe]]-Tabla13[[#This Row],[Pagado]]</f>
        <v>0</v>
      </c>
      <c r="H55" s="38" t="s">
        <v>10</v>
      </c>
    </row>
    <row r="56" spans="1:8" x14ac:dyDescent="0.25">
      <c r="A56" s="31">
        <v>44593</v>
      </c>
      <c r="B56" s="37" t="s">
        <v>3711</v>
      </c>
      <c r="C56" s="38" t="s">
        <v>368</v>
      </c>
      <c r="D56" s="34">
        <v>1446.4</v>
      </c>
      <c r="E56" s="35">
        <v>44593</v>
      </c>
      <c r="F56" s="34">
        <v>1446.4</v>
      </c>
      <c r="G56" s="36">
        <f>Tabla13[[#This Row],[Importe]]-Tabla13[[#This Row],[Pagado]]</f>
        <v>0</v>
      </c>
      <c r="H56" s="38" t="s">
        <v>10</v>
      </c>
    </row>
    <row r="57" spans="1:8" x14ac:dyDescent="0.25">
      <c r="A57" s="31">
        <v>44593</v>
      </c>
      <c r="B57" s="37" t="s">
        <v>3712</v>
      </c>
      <c r="C57" s="38" t="s">
        <v>373</v>
      </c>
      <c r="D57" s="34">
        <v>1430.1</v>
      </c>
      <c r="E57" s="35">
        <v>44593</v>
      </c>
      <c r="F57" s="34">
        <v>1430.1</v>
      </c>
      <c r="G57" s="36">
        <f>Tabla13[[#This Row],[Importe]]-Tabla13[[#This Row],[Pagado]]</f>
        <v>0</v>
      </c>
      <c r="H57" s="38" t="s">
        <v>10</v>
      </c>
    </row>
    <row r="58" spans="1:8" x14ac:dyDescent="0.25">
      <c r="A58" s="31">
        <v>44593</v>
      </c>
      <c r="B58" s="37" t="s">
        <v>3713</v>
      </c>
      <c r="C58" s="38" t="s">
        <v>359</v>
      </c>
      <c r="D58" s="34">
        <v>2274.8000000000002</v>
      </c>
      <c r="E58" s="35">
        <v>44593</v>
      </c>
      <c r="F58" s="34">
        <v>2274.8000000000002</v>
      </c>
      <c r="G58" s="36">
        <f>Tabla13[[#This Row],[Importe]]-Tabla13[[#This Row],[Pagado]]</f>
        <v>0</v>
      </c>
      <c r="H58" s="38" t="s">
        <v>10</v>
      </c>
    </row>
    <row r="59" spans="1:8" x14ac:dyDescent="0.25">
      <c r="A59" s="31">
        <v>44593</v>
      </c>
      <c r="B59" s="37" t="s">
        <v>3714</v>
      </c>
      <c r="C59" s="38" t="s">
        <v>83</v>
      </c>
      <c r="D59" s="34">
        <v>6828.5</v>
      </c>
      <c r="E59" s="35">
        <v>44594</v>
      </c>
      <c r="F59" s="34">
        <v>6828.5</v>
      </c>
      <c r="G59" s="36">
        <f>Tabla13[[#This Row],[Importe]]-Tabla13[[#This Row],[Pagado]]</f>
        <v>0</v>
      </c>
      <c r="H59" s="38" t="s">
        <v>10</v>
      </c>
    </row>
    <row r="60" spans="1:8" x14ac:dyDescent="0.25">
      <c r="A60" s="31">
        <v>44593</v>
      </c>
      <c r="B60" s="37" t="s">
        <v>3715</v>
      </c>
      <c r="C60" s="38" t="s">
        <v>146</v>
      </c>
      <c r="D60" s="34">
        <v>1882.4</v>
      </c>
      <c r="E60" s="35">
        <v>44594</v>
      </c>
      <c r="F60" s="34">
        <v>1882.4</v>
      </c>
      <c r="G60" s="36">
        <f>Tabla13[[#This Row],[Importe]]-Tabla13[[#This Row],[Pagado]]</f>
        <v>0</v>
      </c>
      <c r="H60" s="38" t="s">
        <v>10</v>
      </c>
    </row>
    <row r="61" spans="1:8" x14ac:dyDescent="0.25">
      <c r="A61" s="31">
        <v>44593</v>
      </c>
      <c r="B61" s="37" t="s">
        <v>3716</v>
      </c>
      <c r="C61" s="38" t="s">
        <v>47</v>
      </c>
      <c r="D61" s="34">
        <v>66602.7</v>
      </c>
      <c r="E61" s="35">
        <v>44593</v>
      </c>
      <c r="F61" s="34">
        <v>66602.7</v>
      </c>
      <c r="G61" s="36">
        <f>Tabla13[[#This Row],[Importe]]-Tabla13[[#This Row],[Pagado]]</f>
        <v>0</v>
      </c>
      <c r="H61" s="38" t="s">
        <v>10</v>
      </c>
    </row>
    <row r="62" spans="1:8" x14ac:dyDescent="0.25">
      <c r="A62" s="31">
        <v>44593</v>
      </c>
      <c r="B62" s="37" t="s">
        <v>3717</v>
      </c>
      <c r="C62" s="38" t="s">
        <v>396</v>
      </c>
      <c r="D62" s="34">
        <v>6331.9</v>
      </c>
      <c r="E62" s="35">
        <v>44602</v>
      </c>
      <c r="F62" s="34">
        <v>6331.9</v>
      </c>
      <c r="G62" s="36">
        <f>Tabla13[[#This Row],[Importe]]-Tabla13[[#This Row],[Pagado]]</f>
        <v>0</v>
      </c>
      <c r="H62" s="38" t="s">
        <v>10</v>
      </c>
    </row>
    <row r="63" spans="1:8" x14ac:dyDescent="0.25">
      <c r="A63" s="31">
        <v>44593</v>
      </c>
      <c r="B63" s="37" t="s">
        <v>3718</v>
      </c>
      <c r="C63" s="38" t="s">
        <v>56</v>
      </c>
      <c r="D63" s="34">
        <v>7520.6</v>
      </c>
      <c r="E63" s="35">
        <v>44593</v>
      </c>
      <c r="F63" s="34">
        <v>7520.6</v>
      </c>
      <c r="G63" s="36">
        <f>Tabla13[[#This Row],[Importe]]-Tabla13[[#This Row],[Pagado]]</f>
        <v>0</v>
      </c>
      <c r="H63" s="38" t="s">
        <v>10</v>
      </c>
    </row>
    <row r="64" spans="1:8" x14ac:dyDescent="0.25">
      <c r="A64" s="31">
        <v>44593</v>
      </c>
      <c r="B64" s="37" t="s">
        <v>3719</v>
      </c>
      <c r="C64" s="38" t="s">
        <v>56</v>
      </c>
      <c r="D64" s="34">
        <v>1857.6</v>
      </c>
      <c r="E64" s="35">
        <v>44593</v>
      </c>
      <c r="F64" s="34">
        <v>1857.6</v>
      </c>
      <c r="G64" s="36">
        <f>Tabla13[[#This Row],[Importe]]-Tabla13[[#This Row],[Pagado]]</f>
        <v>0</v>
      </c>
      <c r="H64" s="38" t="s">
        <v>10</v>
      </c>
    </row>
    <row r="65" spans="1:8" x14ac:dyDescent="0.25">
      <c r="A65" s="31">
        <v>44593</v>
      </c>
      <c r="B65" s="37" t="s">
        <v>3720</v>
      </c>
      <c r="C65" s="38" t="s">
        <v>31</v>
      </c>
      <c r="D65" s="34">
        <v>3018.4</v>
      </c>
      <c r="E65" s="35">
        <v>44593</v>
      </c>
      <c r="F65" s="34">
        <v>3018.4</v>
      </c>
      <c r="G65" s="36">
        <f>Tabla13[[#This Row],[Importe]]-Tabla13[[#This Row],[Pagado]]</f>
        <v>0</v>
      </c>
      <c r="H65" s="38" t="s">
        <v>10</v>
      </c>
    </row>
    <row r="66" spans="1:8" x14ac:dyDescent="0.25">
      <c r="A66" s="31">
        <v>44593</v>
      </c>
      <c r="B66" s="37" t="s">
        <v>3721</v>
      </c>
      <c r="C66" s="38" t="s">
        <v>24</v>
      </c>
      <c r="D66" s="34">
        <v>3460.4</v>
      </c>
      <c r="E66" s="35">
        <v>44593</v>
      </c>
      <c r="F66" s="34">
        <v>3460.4</v>
      </c>
      <c r="G66" s="36">
        <f>Tabla13[[#This Row],[Importe]]-Tabla13[[#This Row],[Pagado]]</f>
        <v>0</v>
      </c>
      <c r="H66" s="38" t="s">
        <v>10</v>
      </c>
    </row>
    <row r="67" spans="1:8" x14ac:dyDescent="0.25">
      <c r="A67" s="31">
        <v>44593</v>
      </c>
      <c r="B67" s="37" t="s">
        <v>3722</v>
      </c>
      <c r="C67" s="38" t="s">
        <v>291</v>
      </c>
      <c r="D67" s="34">
        <v>4820.2</v>
      </c>
      <c r="E67" s="35">
        <v>44594</v>
      </c>
      <c r="F67" s="34">
        <v>4820.2</v>
      </c>
      <c r="G67" s="36">
        <f>Tabla13[[#This Row],[Importe]]-Tabla13[[#This Row],[Pagado]]</f>
        <v>0</v>
      </c>
      <c r="H67" s="38" t="s">
        <v>10</v>
      </c>
    </row>
    <row r="68" spans="1:8" x14ac:dyDescent="0.25">
      <c r="A68" s="31">
        <v>44593</v>
      </c>
      <c r="B68" s="37" t="s">
        <v>3723</v>
      </c>
      <c r="C68" s="38" t="s">
        <v>466</v>
      </c>
      <c r="D68" s="34">
        <v>15345</v>
      </c>
      <c r="E68" s="35">
        <v>44593</v>
      </c>
      <c r="F68" s="34">
        <v>15345</v>
      </c>
      <c r="G68" s="36">
        <f>Tabla13[[#This Row],[Importe]]-Tabla13[[#This Row],[Pagado]]</f>
        <v>0</v>
      </c>
      <c r="H68" s="38" t="s">
        <v>10</v>
      </c>
    </row>
    <row r="69" spans="1:8" x14ac:dyDescent="0.25">
      <c r="A69" s="31">
        <v>44593</v>
      </c>
      <c r="B69" s="37" t="s">
        <v>3724</v>
      </c>
      <c r="C69" s="38" t="s">
        <v>202</v>
      </c>
      <c r="D69" s="34">
        <v>3401.3</v>
      </c>
      <c r="E69" s="35">
        <v>44593</v>
      </c>
      <c r="F69" s="34">
        <v>3401.3</v>
      </c>
      <c r="G69" s="36">
        <f>Tabla13[[#This Row],[Importe]]-Tabla13[[#This Row],[Pagado]]</f>
        <v>0</v>
      </c>
      <c r="H69" s="38" t="s">
        <v>10</v>
      </c>
    </row>
    <row r="70" spans="1:8" x14ac:dyDescent="0.25">
      <c r="A70" s="31">
        <v>44593</v>
      </c>
      <c r="B70" s="37" t="s">
        <v>3725</v>
      </c>
      <c r="C70" s="38" t="s">
        <v>142</v>
      </c>
      <c r="D70" s="34">
        <v>4949</v>
      </c>
      <c r="E70" s="35">
        <v>44617</v>
      </c>
      <c r="F70" s="34">
        <v>4949</v>
      </c>
      <c r="G70" s="36">
        <f>Tabla13[[#This Row],[Importe]]-Tabla13[[#This Row],[Pagado]]</f>
        <v>0</v>
      </c>
      <c r="H70" s="38" t="s">
        <v>10</v>
      </c>
    </row>
    <row r="71" spans="1:8" x14ac:dyDescent="0.25">
      <c r="A71" s="31">
        <v>44593</v>
      </c>
      <c r="B71" s="37" t="s">
        <v>3726</v>
      </c>
      <c r="C71" s="38" t="s">
        <v>31</v>
      </c>
      <c r="D71" s="34">
        <v>788.9</v>
      </c>
      <c r="E71" s="35">
        <v>44593</v>
      </c>
      <c r="F71" s="34">
        <v>788.9</v>
      </c>
      <c r="G71" s="36">
        <f>Tabla13[[#This Row],[Importe]]-Tabla13[[#This Row],[Pagado]]</f>
        <v>0</v>
      </c>
      <c r="H71" s="38" t="s">
        <v>10</v>
      </c>
    </row>
    <row r="72" spans="1:8" x14ac:dyDescent="0.25">
      <c r="A72" s="31">
        <v>44593</v>
      </c>
      <c r="B72" s="37" t="s">
        <v>3727</v>
      </c>
      <c r="C72" s="38" t="s">
        <v>380</v>
      </c>
      <c r="D72" s="34">
        <v>13704.3</v>
      </c>
      <c r="E72" s="35">
        <v>44594</v>
      </c>
      <c r="F72" s="34">
        <v>13704.3</v>
      </c>
      <c r="G72" s="36">
        <f>Tabla13[[#This Row],[Importe]]-Tabla13[[#This Row],[Pagado]]</f>
        <v>0</v>
      </c>
      <c r="H72" s="38" t="s">
        <v>10</v>
      </c>
    </row>
    <row r="73" spans="1:8" x14ac:dyDescent="0.25">
      <c r="A73" s="31">
        <v>44593</v>
      </c>
      <c r="B73" s="37" t="s">
        <v>3728</v>
      </c>
      <c r="C73" s="38" t="s">
        <v>518</v>
      </c>
      <c r="D73" s="34">
        <v>414.4</v>
      </c>
      <c r="E73" s="35">
        <v>44594</v>
      </c>
      <c r="F73" s="34">
        <v>414.4</v>
      </c>
      <c r="G73" s="36">
        <f>Tabla13[[#This Row],[Importe]]-Tabla13[[#This Row],[Pagado]]</f>
        <v>0</v>
      </c>
      <c r="H73" s="38" t="s">
        <v>10</v>
      </c>
    </row>
    <row r="74" spans="1:8" x14ac:dyDescent="0.25">
      <c r="A74" s="31">
        <v>44593</v>
      </c>
      <c r="B74" s="37" t="s">
        <v>3729</v>
      </c>
      <c r="C74" s="38" t="s">
        <v>525</v>
      </c>
      <c r="D74" s="34">
        <v>2537.5</v>
      </c>
      <c r="E74" s="35">
        <v>44594</v>
      </c>
      <c r="F74" s="34">
        <v>2537.5</v>
      </c>
      <c r="G74" s="36">
        <f>Tabla13[[#This Row],[Importe]]-Tabla13[[#This Row],[Pagado]]</f>
        <v>0</v>
      </c>
      <c r="H74" s="38" t="s">
        <v>10</v>
      </c>
    </row>
    <row r="75" spans="1:8" x14ac:dyDescent="0.25">
      <c r="A75" s="31">
        <v>44593</v>
      </c>
      <c r="B75" s="37" t="s">
        <v>3730</v>
      </c>
      <c r="C75" s="38" t="s">
        <v>75</v>
      </c>
      <c r="D75" s="34">
        <v>1607.16</v>
      </c>
      <c r="E75" s="35">
        <v>44594</v>
      </c>
      <c r="F75" s="34">
        <v>1607.16</v>
      </c>
      <c r="G75" s="36">
        <f>Tabla13[[#This Row],[Importe]]-Tabla13[[#This Row],[Pagado]]</f>
        <v>0</v>
      </c>
      <c r="H75" s="38" t="s">
        <v>10</v>
      </c>
    </row>
    <row r="76" spans="1:8" x14ac:dyDescent="0.25">
      <c r="A76" s="31">
        <v>44593</v>
      </c>
      <c r="B76" s="37" t="s">
        <v>3731</v>
      </c>
      <c r="C76" s="38" t="s">
        <v>670</v>
      </c>
      <c r="D76" s="34">
        <v>564.4</v>
      </c>
      <c r="E76" s="35">
        <v>44593</v>
      </c>
      <c r="F76" s="34">
        <v>564.4</v>
      </c>
      <c r="G76" s="36">
        <f>Tabla13[[#This Row],[Importe]]-Tabla13[[#This Row],[Pagado]]</f>
        <v>0</v>
      </c>
      <c r="H76" s="38" t="s">
        <v>10</v>
      </c>
    </row>
    <row r="77" spans="1:8" x14ac:dyDescent="0.25">
      <c r="A77" s="31">
        <v>44593</v>
      </c>
      <c r="B77" s="37" t="s">
        <v>3732</v>
      </c>
      <c r="C77" s="38" t="s">
        <v>670</v>
      </c>
      <c r="D77" s="34">
        <v>3954</v>
      </c>
      <c r="E77" s="35">
        <v>44593</v>
      </c>
      <c r="F77" s="34">
        <v>3954</v>
      </c>
      <c r="G77" s="36">
        <f>Tabla13[[#This Row],[Importe]]-Tabla13[[#This Row],[Pagado]]</f>
        <v>0</v>
      </c>
      <c r="H77" s="38" t="s">
        <v>10</v>
      </c>
    </row>
    <row r="78" spans="1:8" x14ac:dyDescent="0.25">
      <c r="A78" s="31">
        <v>44593</v>
      </c>
      <c r="B78" s="37" t="s">
        <v>3733</v>
      </c>
      <c r="C78" s="38" t="s">
        <v>196</v>
      </c>
      <c r="D78" s="34">
        <v>5368.44</v>
      </c>
      <c r="E78" s="35">
        <v>44597</v>
      </c>
      <c r="F78" s="34">
        <v>5368.44</v>
      </c>
      <c r="G78" s="36">
        <f>Tabla13[[#This Row],[Importe]]-Tabla13[[#This Row],[Pagado]]</f>
        <v>0</v>
      </c>
      <c r="H78" s="38" t="s">
        <v>10</v>
      </c>
    </row>
    <row r="79" spans="1:8" x14ac:dyDescent="0.25">
      <c r="A79" s="31">
        <v>44593</v>
      </c>
      <c r="B79" s="37" t="s">
        <v>3734</v>
      </c>
      <c r="C79" s="38" t="s">
        <v>191</v>
      </c>
      <c r="D79" s="34">
        <v>1512</v>
      </c>
      <c r="E79" s="35">
        <v>44593</v>
      </c>
      <c r="F79" s="34">
        <v>1512</v>
      </c>
      <c r="G79" s="36">
        <f>Tabla13[[#This Row],[Importe]]-Tabla13[[#This Row],[Pagado]]</f>
        <v>0</v>
      </c>
      <c r="H79" s="38" t="s">
        <v>10</v>
      </c>
    </row>
    <row r="80" spans="1:8" x14ac:dyDescent="0.25">
      <c r="A80" s="31">
        <v>44593</v>
      </c>
      <c r="B80" s="37" t="s">
        <v>3735</v>
      </c>
      <c r="C80" s="38" t="s">
        <v>67</v>
      </c>
      <c r="D80" s="34">
        <v>925</v>
      </c>
      <c r="E80" s="35">
        <v>44593</v>
      </c>
      <c r="F80" s="34">
        <v>925</v>
      </c>
      <c r="G80" s="36">
        <f>Tabla13[[#This Row],[Importe]]-Tabla13[[#This Row],[Pagado]]</f>
        <v>0</v>
      </c>
      <c r="H80" s="38" t="s">
        <v>10</v>
      </c>
    </row>
    <row r="81" spans="1:8" x14ac:dyDescent="0.25">
      <c r="A81" s="31">
        <v>44593</v>
      </c>
      <c r="B81" s="37" t="s">
        <v>3736</v>
      </c>
      <c r="C81" s="38" t="s">
        <v>216</v>
      </c>
      <c r="D81" s="34">
        <v>935</v>
      </c>
      <c r="E81" s="35">
        <v>44593</v>
      </c>
      <c r="F81" s="34">
        <v>935</v>
      </c>
      <c r="G81" s="36">
        <f>Tabla13[[#This Row],[Importe]]-Tabla13[[#This Row],[Pagado]]</f>
        <v>0</v>
      </c>
      <c r="H81" s="38" t="s">
        <v>10</v>
      </c>
    </row>
    <row r="82" spans="1:8" x14ac:dyDescent="0.25">
      <c r="A82" s="31">
        <v>44593</v>
      </c>
      <c r="B82" s="37" t="s">
        <v>3737</v>
      </c>
      <c r="C82" s="38" t="s">
        <v>698</v>
      </c>
      <c r="D82" s="34">
        <v>6162.8</v>
      </c>
      <c r="E82" s="35">
        <v>44593</v>
      </c>
      <c r="F82" s="34">
        <v>6162.8</v>
      </c>
      <c r="G82" s="36">
        <f>Tabla13[[#This Row],[Importe]]-Tabla13[[#This Row],[Pagado]]</f>
        <v>0</v>
      </c>
      <c r="H82" s="38" t="s">
        <v>10</v>
      </c>
    </row>
    <row r="83" spans="1:8" x14ac:dyDescent="0.25">
      <c r="A83" s="31">
        <v>44593</v>
      </c>
      <c r="B83" s="37" t="s">
        <v>3738</v>
      </c>
      <c r="C83" s="38" t="s">
        <v>31</v>
      </c>
      <c r="D83" s="34">
        <v>835</v>
      </c>
      <c r="E83" s="35">
        <v>44593</v>
      </c>
      <c r="F83" s="34">
        <v>835</v>
      </c>
      <c r="G83" s="36">
        <f>Tabla13[[#This Row],[Importe]]-Tabla13[[#This Row],[Pagado]]</f>
        <v>0</v>
      </c>
      <c r="H83" s="38" t="s">
        <v>10</v>
      </c>
    </row>
    <row r="84" spans="1:8" x14ac:dyDescent="0.25">
      <c r="A84" s="31">
        <v>44593</v>
      </c>
      <c r="B84" s="37" t="s">
        <v>3739</v>
      </c>
      <c r="C84" s="38" t="s">
        <v>71</v>
      </c>
      <c r="D84" s="34">
        <v>4257.8</v>
      </c>
      <c r="E84" s="35">
        <v>44593</v>
      </c>
      <c r="F84" s="34">
        <v>4257.8</v>
      </c>
      <c r="G84" s="36">
        <f>Tabla13[[#This Row],[Importe]]-Tabla13[[#This Row],[Pagado]]</f>
        <v>0</v>
      </c>
      <c r="H84" s="38" t="s">
        <v>10</v>
      </c>
    </row>
    <row r="85" spans="1:8" x14ac:dyDescent="0.25">
      <c r="A85" s="31">
        <v>44593</v>
      </c>
      <c r="B85" s="37" t="s">
        <v>3740</v>
      </c>
      <c r="C85" s="38" t="s">
        <v>419</v>
      </c>
      <c r="D85" s="34">
        <v>2510.6</v>
      </c>
      <c r="E85" s="35">
        <v>44593</v>
      </c>
      <c r="F85" s="34">
        <v>2510.6</v>
      </c>
      <c r="G85" s="36">
        <f>Tabla13[[#This Row],[Importe]]-Tabla13[[#This Row],[Pagado]]</f>
        <v>0</v>
      </c>
      <c r="H85" s="38" t="s">
        <v>10</v>
      </c>
    </row>
    <row r="86" spans="1:8" x14ac:dyDescent="0.25">
      <c r="A86" s="31">
        <v>44593</v>
      </c>
      <c r="B86" s="37" t="s">
        <v>3741</v>
      </c>
      <c r="C86" s="38" t="s">
        <v>419</v>
      </c>
      <c r="D86" s="34">
        <v>3243.8</v>
      </c>
      <c r="E86" s="35">
        <v>44593</v>
      </c>
      <c r="F86" s="34">
        <v>3243.8</v>
      </c>
      <c r="G86" s="36">
        <f>Tabla13[[#This Row],[Importe]]-Tabla13[[#This Row],[Pagado]]</f>
        <v>0</v>
      </c>
      <c r="H86" s="38" t="s">
        <v>10</v>
      </c>
    </row>
    <row r="87" spans="1:8" x14ac:dyDescent="0.25">
      <c r="A87" s="31">
        <v>44593</v>
      </c>
      <c r="B87" s="37" t="s">
        <v>3742</v>
      </c>
      <c r="C87" s="38" t="s">
        <v>71</v>
      </c>
      <c r="D87" s="34">
        <v>3257.1</v>
      </c>
      <c r="E87" s="35">
        <v>44593</v>
      </c>
      <c r="F87" s="34">
        <v>3257.1</v>
      </c>
      <c r="G87" s="36">
        <f>Tabla13[[#This Row],[Importe]]-Tabla13[[#This Row],[Pagado]]</f>
        <v>0</v>
      </c>
      <c r="H87" s="38" t="s">
        <v>10</v>
      </c>
    </row>
    <row r="88" spans="1:8" x14ac:dyDescent="0.25">
      <c r="A88" s="31">
        <v>44593</v>
      </c>
      <c r="B88" s="37" t="s">
        <v>3743</v>
      </c>
      <c r="C88" s="38" t="s">
        <v>67</v>
      </c>
      <c r="D88" s="34">
        <v>1336.8</v>
      </c>
      <c r="E88" s="35">
        <v>44593</v>
      </c>
      <c r="F88" s="34">
        <v>1336.8</v>
      </c>
      <c r="G88" s="36">
        <f>Tabla13[[#This Row],[Importe]]-Tabla13[[#This Row],[Pagado]]</f>
        <v>0</v>
      </c>
      <c r="H88" s="38" t="s">
        <v>10</v>
      </c>
    </row>
    <row r="89" spans="1:8" x14ac:dyDescent="0.25">
      <c r="A89" s="31">
        <v>44593</v>
      </c>
      <c r="B89" s="37" t="s">
        <v>3744</v>
      </c>
      <c r="C89" s="38" t="s">
        <v>142</v>
      </c>
      <c r="D89" s="34">
        <v>1080</v>
      </c>
      <c r="E89" s="35">
        <v>44617</v>
      </c>
      <c r="F89" s="34">
        <v>1080</v>
      </c>
      <c r="G89" s="36">
        <f>Tabla13[[#This Row],[Importe]]-Tabla13[[#This Row],[Pagado]]</f>
        <v>0</v>
      </c>
      <c r="H89" s="38" t="s">
        <v>10</v>
      </c>
    </row>
    <row r="90" spans="1:8" x14ac:dyDescent="0.25">
      <c r="A90" s="31">
        <v>44593</v>
      </c>
      <c r="B90" s="37" t="s">
        <v>3745</v>
      </c>
      <c r="C90" s="38" t="s">
        <v>191</v>
      </c>
      <c r="D90" s="34">
        <v>542.79999999999995</v>
      </c>
      <c r="E90" s="35">
        <v>44593</v>
      </c>
      <c r="F90" s="34">
        <v>542.79999999999995</v>
      </c>
      <c r="G90" s="36">
        <f>Tabla13[[#This Row],[Importe]]-Tabla13[[#This Row],[Pagado]]</f>
        <v>0</v>
      </c>
      <c r="H90" s="38" t="s">
        <v>10</v>
      </c>
    </row>
    <row r="91" spans="1:8" x14ac:dyDescent="0.25">
      <c r="A91" s="31">
        <v>44593</v>
      </c>
      <c r="B91" s="37" t="s">
        <v>3746</v>
      </c>
      <c r="C91" s="38" t="s">
        <v>3747</v>
      </c>
      <c r="D91" s="34">
        <v>20839.2</v>
      </c>
      <c r="E91" s="35">
        <v>44593</v>
      </c>
      <c r="F91" s="34">
        <v>20839.2</v>
      </c>
      <c r="G91" s="36">
        <f>Tabla13[[#This Row],[Importe]]-Tabla13[[#This Row],[Pagado]]</f>
        <v>0</v>
      </c>
      <c r="H91" s="38" t="s">
        <v>10</v>
      </c>
    </row>
    <row r="92" spans="1:8" x14ac:dyDescent="0.25">
      <c r="A92" s="31">
        <v>44593</v>
      </c>
      <c r="B92" s="37" t="s">
        <v>3748</v>
      </c>
      <c r="C92" s="38" t="s">
        <v>3747</v>
      </c>
      <c r="D92" s="34">
        <v>187.2</v>
      </c>
      <c r="E92" s="35">
        <v>44593</v>
      </c>
      <c r="F92" s="34">
        <v>187.2</v>
      </c>
      <c r="G92" s="36">
        <f>Tabla13[[#This Row],[Importe]]-Tabla13[[#This Row],[Pagado]]</f>
        <v>0</v>
      </c>
      <c r="H92" s="38" t="s">
        <v>10</v>
      </c>
    </row>
    <row r="93" spans="1:8" x14ac:dyDescent="0.25">
      <c r="A93" s="31">
        <v>44593</v>
      </c>
      <c r="B93" s="37" t="s">
        <v>3749</v>
      </c>
      <c r="C93" s="38" t="s">
        <v>414</v>
      </c>
      <c r="D93" s="34">
        <v>54019.85</v>
      </c>
      <c r="E93" s="35">
        <v>44593</v>
      </c>
      <c r="F93" s="34">
        <v>54019.85</v>
      </c>
      <c r="G93" s="36">
        <f>Tabla13[[#This Row],[Importe]]-Tabla13[[#This Row],[Pagado]]</f>
        <v>0</v>
      </c>
      <c r="H93" s="38" t="s">
        <v>10</v>
      </c>
    </row>
    <row r="94" spans="1:8" x14ac:dyDescent="0.25">
      <c r="A94" s="31">
        <v>44593</v>
      </c>
      <c r="B94" s="37" t="s">
        <v>3750</v>
      </c>
      <c r="C94" s="38" t="s">
        <v>161</v>
      </c>
      <c r="D94" s="34">
        <v>4424</v>
      </c>
      <c r="E94" s="35">
        <v>44593</v>
      </c>
      <c r="F94" s="34">
        <v>4424</v>
      </c>
      <c r="G94" s="36">
        <f>Tabla13[[#This Row],[Importe]]-Tabla13[[#This Row],[Pagado]]</f>
        <v>0</v>
      </c>
      <c r="H94" s="38" t="s">
        <v>10</v>
      </c>
    </row>
    <row r="95" spans="1:8" x14ac:dyDescent="0.25">
      <c r="A95" s="31">
        <v>44593</v>
      </c>
      <c r="B95" s="37" t="s">
        <v>3751</v>
      </c>
      <c r="C95" s="38" t="s">
        <v>433</v>
      </c>
      <c r="D95" s="34">
        <v>26300</v>
      </c>
      <c r="E95" s="35">
        <v>44593</v>
      </c>
      <c r="F95" s="34">
        <v>26300</v>
      </c>
      <c r="G95" s="36">
        <f>Tabla13[[#This Row],[Importe]]-Tabla13[[#This Row],[Pagado]]</f>
        <v>0</v>
      </c>
      <c r="H95" s="38" t="s">
        <v>10</v>
      </c>
    </row>
    <row r="96" spans="1:8" x14ac:dyDescent="0.25">
      <c r="A96" s="31">
        <v>44593</v>
      </c>
      <c r="B96" s="37" t="s">
        <v>3752</v>
      </c>
      <c r="C96" s="38" t="s">
        <v>142</v>
      </c>
      <c r="D96" s="34">
        <v>29260.799999999999</v>
      </c>
      <c r="E96" s="35">
        <v>44617</v>
      </c>
      <c r="F96" s="34">
        <v>29260.799999999999</v>
      </c>
      <c r="G96" s="36">
        <f>Tabla13[[#This Row],[Importe]]-Tabla13[[#This Row],[Pagado]]</f>
        <v>0</v>
      </c>
      <c r="H96" s="38" t="s">
        <v>10</v>
      </c>
    </row>
    <row r="97" spans="1:8" x14ac:dyDescent="0.25">
      <c r="A97" s="31">
        <v>44593</v>
      </c>
      <c r="B97" s="37" t="s">
        <v>3753</v>
      </c>
      <c r="C97" s="38" t="s">
        <v>2961</v>
      </c>
      <c r="D97" s="34">
        <v>48060</v>
      </c>
      <c r="E97" s="35">
        <v>44599</v>
      </c>
      <c r="F97" s="34">
        <v>48060</v>
      </c>
      <c r="G97" s="36">
        <f>Tabla13[[#This Row],[Importe]]-Tabla13[[#This Row],[Pagado]]</f>
        <v>0</v>
      </c>
      <c r="H97" s="38" t="s">
        <v>10</v>
      </c>
    </row>
    <row r="98" spans="1:8" x14ac:dyDescent="0.25">
      <c r="A98" s="31">
        <v>44593</v>
      </c>
      <c r="B98" s="37" t="s">
        <v>3754</v>
      </c>
      <c r="C98" s="38" t="s">
        <v>31</v>
      </c>
      <c r="D98" s="34">
        <v>3805.2</v>
      </c>
      <c r="E98" s="35">
        <v>44593</v>
      </c>
      <c r="F98" s="34">
        <v>3805.2</v>
      </c>
      <c r="G98" s="36">
        <f>Tabla13[[#This Row],[Importe]]-Tabla13[[#This Row],[Pagado]]</f>
        <v>0</v>
      </c>
      <c r="H98" s="38" t="s">
        <v>10</v>
      </c>
    </row>
    <row r="99" spans="1:8" x14ac:dyDescent="0.25">
      <c r="A99" s="31">
        <v>44593</v>
      </c>
      <c r="B99" s="37" t="s">
        <v>3755</v>
      </c>
      <c r="C99" s="38" t="s">
        <v>69</v>
      </c>
      <c r="D99" s="34">
        <v>2515</v>
      </c>
      <c r="E99" s="35">
        <v>44593</v>
      </c>
      <c r="F99" s="34">
        <v>2515</v>
      </c>
      <c r="G99" s="36">
        <f>Tabla13[[#This Row],[Importe]]-Tabla13[[#This Row],[Pagado]]</f>
        <v>0</v>
      </c>
      <c r="H99" s="38" t="s">
        <v>10</v>
      </c>
    </row>
    <row r="100" spans="1:8" x14ac:dyDescent="0.25">
      <c r="A100" s="31">
        <v>44593</v>
      </c>
      <c r="B100" s="37" t="s">
        <v>3756</v>
      </c>
      <c r="C100" s="38" t="s">
        <v>872</v>
      </c>
      <c r="D100" s="34">
        <v>448</v>
      </c>
      <c r="E100" s="35">
        <v>44593</v>
      </c>
      <c r="F100" s="34">
        <v>448</v>
      </c>
      <c r="G100" s="36">
        <f>Tabla13[[#This Row],[Importe]]-Tabla13[[#This Row],[Pagado]]</f>
        <v>0</v>
      </c>
      <c r="H100" s="38" t="s">
        <v>10</v>
      </c>
    </row>
    <row r="101" spans="1:8" x14ac:dyDescent="0.25">
      <c r="A101" s="31">
        <v>44593</v>
      </c>
      <c r="B101" s="37" t="s">
        <v>3757</v>
      </c>
      <c r="C101" s="38" t="s">
        <v>872</v>
      </c>
      <c r="D101" s="34">
        <v>680</v>
      </c>
      <c r="E101" s="35">
        <v>44593</v>
      </c>
      <c r="F101" s="34">
        <v>680</v>
      </c>
      <c r="G101" s="36">
        <f>Tabla13[[#This Row],[Importe]]-Tabla13[[#This Row],[Pagado]]</f>
        <v>0</v>
      </c>
      <c r="H101" s="38" t="s">
        <v>10</v>
      </c>
    </row>
    <row r="102" spans="1:8" x14ac:dyDescent="0.25">
      <c r="A102" s="31">
        <v>44593</v>
      </c>
      <c r="B102" s="37" t="s">
        <v>3758</v>
      </c>
      <c r="C102" s="38" t="s">
        <v>275</v>
      </c>
      <c r="D102" s="34">
        <v>60095.1</v>
      </c>
      <c r="E102" s="35">
        <v>44603</v>
      </c>
      <c r="F102" s="34">
        <v>60095.1</v>
      </c>
      <c r="G102" s="36">
        <f>Tabla13[[#This Row],[Importe]]-Tabla13[[#This Row],[Pagado]]</f>
        <v>0</v>
      </c>
      <c r="H102" s="38" t="s">
        <v>10</v>
      </c>
    </row>
    <row r="103" spans="1:8" x14ac:dyDescent="0.25">
      <c r="A103" s="31">
        <v>44593</v>
      </c>
      <c r="B103" s="37" t="s">
        <v>3759</v>
      </c>
      <c r="C103" s="38" t="s">
        <v>9</v>
      </c>
      <c r="D103" s="34">
        <v>2535</v>
      </c>
      <c r="E103" s="35">
        <v>44593</v>
      </c>
      <c r="F103" s="34">
        <v>2535</v>
      </c>
      <c r="G103" s="36">
        <f>Tabla13[[#This Row],[Importe]]-Tabla13[[#This Row],[Pagado]]</f>
        <v>0</v>
      </c>
      <c r="H103" s="38" t="s">
        <v>10</v>
      </c>
    </row>
    <row r="104" spans="1:8" x14ac:dyDescent="0.25">
      <c r="A104" s="31">
        <v>44593</v>
      </c>
      <c r="B104" s="37" t="s">
        <v>3760</v>
      </c>
      <c r="C104" s="38" t="s">
        <v>470</v>
      </c>
      <c r="D104" s="34">
        <v>35056.720000000001</v>
      </c>
      <c r="E104" s="35">
        <v>44594</v>
      </c>
      <c r="F104" s="34">
        <v>35056.720000000001</v>
      </c>
      <c r="G104" s="36">
        <f>Tabla13[[#This Row],[Importe]]-Tabla13[[#This Row],[Pagado]]</f>
        <v>0</v>
      </c>
      <c r="H104" s="38" t="s">
        <v>10</v>
      </c>
    </row>
    <row r="105" spans="1:8" x14ac:dyDescent="0.25">
      <c r="A105" s="31">
        <v>44593</v>
      </c>
      <c r="B105" s="37" t="s">
        <v>3761</v>
      </c>
      <c r="C105" s="38" t="s">
        <v>191</v>
      </c>
      <c r="D105" s="34">
        <v>1530.9</v>
      </c>
      <c r="E105" s="35">
        <v>44593</v>
      </c>
      <c r="F105" s="34">
        <v>1530.9</v>
      </c>
      <c r="G105" s="36">
        <f>Tabla13[[#This Row],[Importe]]-Tabla13[[#This Row],[Pagado]]</f>
        <v>0</v>
      </c>
      <c r="H105" s="38" t="s">
        <v>10</v>
      </c>
    </row>
    <row r="106" spans="1:8" x14ac:dyDescent="0.25">
      <c r="A106" s="31">
        <v>44593</v>
      </c>
      <c r="B106" s="37" t="s">
        <v>3762</v>
      </c>
      <c r="C106" s="38" t="s">
        <v>261</v>
      </c>
      <c r="D106" s="34">
        <v>6587.2</v>
      </c>
      <c r="E106" s="35">
        <v>44594</v>
      </c>
      <c r="F106" s="34">
        <v>6587.2</v>
      </c>
      <c r="G106" s="36">
        <f>Tabla13[[#This Row],[Importe]]-Tabla13[[#This Row],[Pagado]]</f>
        <v>0</v>
      </c>
      <c r="H106" s="38" t="s">
        <v>10</v>
      </c>
    </row>
    <row r="107" spans="1:8" x14ac:dyDescent="0.25">
      <c r="A107" s="31">
        <v>44593</v>
      </c>
      <c r="B107" s="37" t="s">
        <v>3763</v>
      </c>
      <c r="C107" s="38" t="s">
        <v>280</v>
      </c>
      <c r="D107" s="34">
        <v>500</v>
      </c>
      <c r="E107" s="35">
        <v>44594</v>
      </c>
      <c r="F107" s="34">
        <v>500</v>
      </c>
      <c r="G107" s="36">
        <f>Tabla13[[#This Row],[Importe]]-Tabla13[[#This Row],[Pagado]]</f>
        <v>0</v>
      </c>
      <c r="H107" s="38" t="s">
        <v>10</v>
      </c>
    </row>
    <row r="108" spans="1:8" x14ac:dyDescent="0.25">
      <c r="A108" s="31">
        <v>44593</v>
      </c>
      <c r="B108" s="37" t="s">
        <v>3764</v>
      </c>
      <c r="C108" s="38" t="s">
        <v>282</v>
      </c>
      <c r="D108" s="34">
        <v>2020</v>
      </c>
      <c r="E108" s="35">
        <v>44594</v>
      </c>
      <c r="F108" s="34">
        <v>2020</v>
      </c>
      <c r="G108" s="36">
        <f>Tabla13[[#This Row],[Importe]]-Tabla13[[#This Row],[Pagado]]</f>
        <v>0</v>
      </c>
      <c r="H108" s="38" t="s">
        <v>10</v>
      </c>
    </row>
    <row r="109" spans="1:8" x14ac:dyDescent="0.25">
      <c r="A109" s="31">
        <v>44593</v>
      </c>
      <c r="B109" s="37" t="s">
        <v>3765</v>
      </c>
      <c r="C109" s="38" t="s">
        <v>284</v>
      </c>
      <c r="D109" s="34">
        <v>5150</v>
      </c>
      <c r="E109" s="35">
        <v>44594</v>
      </c>
      <c r="F109" s="34">
        <v>5150</v>
      </c>
      <c r="G109" s="36">
        <f>Tabla13[[#This Row],[Importe]]-Tabla13[[#This Row],[Pagado]]</f>
        <v>0</v>
      </c>
      <c r="H109" s="38" t="s">
        <v>10</v>
      </c>
    </row>
    <row r="110" spans="1:8" x14ac:dyDescent="0.25">
      <c r="A110" s="31">
        <v>44593</v>
      </c>
      <c r="B110" s="37" t="s">
        <v>3766</v>
      </c>
      <c r="C110" s="38" t="s">
        <v>214</v>
      </c>
      <c r="D110" s="34">
        <v>1580.5</v>
      </c>
      <c r="E110" s="35">
        <v>44594</v>
      </c>
      <c r="F110" s="34">
        <v>1580.5</v>
      </c>
      <c r="G110" s="36">
        <f>Tabla13[[#This Row],[Importe]]-Tabla13[[#This Row],[Pagado]]</f>
        <v>0</v>
      </c>
      <c r="H110" s="38" t="s">
        <v>10</v>
      </c>
    </row>
    <row r="111" spans="1:8" x14ac:dyDescent="0.25">
      <c r="A111" s="31">
        <v>44593</v>
      </c>
      <c r="B111" s="37" t="s">
        <v>3767</v>
      </c>
      <c r="C111" s="38" t="s">
        <v>275</v>
      </c>
      <c r="D111" s="34">
        <v>73395</v>
      </c>
      <c r="E111" s="35">
        <v>44603</v>
      </c>
      <c r="F111" s="34">
        <v>73395</v>
      </c>
      <c r="G111" s="36">
        <f>Tabla13[[#This Row],[Importe]]-Tabla13[[#This Row],[Pagado]]</f>
        <v>0</v>
      </c>
      <c r="H111" s="38" t="s">
        <v>10</v>
      </c>
    </row>
    <row r="112" spans="1:8" x14ac:dyDescent="0.25">
      <c r="A112" s="31">
        <v>44593</v>
      </c>
      <c r="B112" s="37" t="s">
        <v>3768</v>
      </c>
      <c r="C112" s="38" t="s">
        <v>53</v>
      </c>
      <c r="D112" s="34">
        <v>2392.1</v>
      </c>
      <c r="E112" s="35">
        <v>44593</v>
      </c>
      <c r="F112" s="34">
        <v>2392.1</v>
      </c>
      <c r="G112" s="36">
        <f>Tabla13[[#This Row],[Importe]]-Tabla13[[#This Row],[Pagado]]</f>
        <v>0</v>
      </c>
      <c r="H112" s="38" t="s">
        <v>10</v>
      </c>
    </row>
    <row r="113" spans="1:8" x14ac:dyDescent="0.25">
      <c r="A113" s="31">
        <v>44593</v>
      </c>
      <c r="B113" s="37" t="s">
        <v>3769</v>
      </c>
      <c r="C113" s="38" t="s">
        <v>2961</v>
      </c>
      <c r="D113" s="34">
        <v>51062.400000000001</v>
      </c>
      <c r="E113" s="35">
        <v>44599</v>
      </c>
      <c r="F113" s="34">
        <v>51062.400000000001</v>
      </c>
      <c r="G113" s="36">
        <f>Tabla13[[#This Row],[Importe]]-Tabla13[[#This Row],[Pagado]]</f>
        <v>0</v>
      </c>
      <c r="H113" s="38" t="s">
        <v>10</v>
      </c>
    </row>
    <row r="114" spans="1:8" x14ac:dyDescent="0.25">
      <c r="A114" s="31">
        <v>44593</v>
      </c>
      <c r="B114" s="37" t="s">
        <v>3770</v>
      </c>
      <c r="C114" s="38" t="s">
        <v>298</v>
      </c>
      <c r="D114" s="34">
        <v>3960</v>
      </c>
      <c r="E114" s="35">
        <v>44593</v>
      </c>
      <c r="F114" s="34">
        <v>3960</v>
      </c>
      <c r="G114" s="36">
        <f>Tabla13[[#This Row],[Importe]]-Tabla13[[#This Row],[Pagado]]</f>
        <v>0</v>
      </c>
      <c r="H114" s="38" t="s">
        <v>10</v>
      </c>
    </row>
    <row r="115" spans="1:8" x14ac:dyDescent="0.25">
      <c r="A115" s="31">
        <v>44593</v>
      </c>
      <c r="B115" s="37" t="s">
        <v>3771</v>
      </c>
      <c r="C115" s="38" t="s">
        <v>51</v>
      </c>
      <c r="D115" s="34">
        <v>2325.1999999999998</v>
      </c>
      <c r="E115" s="35">
        <v>44593</v>
      </c>
      <c r="F115" s="34">
        <v>2325.1999999999998</v>
      </c>
      <c r="G115" s="36">
        <f>Tabla13[[#This Row],[Importe]]-Tabla13[[#This Row],[Pagado]]</f>
        <v>0</v>
      </c>
      <c r="H115" s="38" t="s">
        <v>10</v>
      </c>
    </row>
    <row r="116" spans="1:8" x14ac:dyDescent="0.25">
      <c r="A116" s="31">
        <v>44593</v>
      </c>
      <c r="B116" s="37" t="s">
        <v>3772</v>
      </c>
      <c r="C116" s="38" t="s">
        <v>1021</v>
      </c>
      <c r="D116" s="34">
        <v>8233.6</v>
      </c>
      <c r="E116" s="35">
        <v>44593</v>
      </c>
      <c r="F116" s="34">
        <v>8233.6</v>
      </c>
      <c r="G116" s="36">
        <f>Tabla13[[#This Row],[Importe]]-Tabla13[[#This Row],[Pagado]]</f>
        <v>0</v>
      </c>
      <c r="H116" s="38" t="s">
        <v>10</v>
      </c>
    </row>
    <row r="117" spans="1:8" x14ac:dyDescent="0.25">
      <c r="A117" s="31">
        <v>44593</v>
      </c>
      <c r="B117" s="37" t="s">
        <v>3773</v>
      </c>
      <c r="C117" s="38" t="s">
        <v>191</v>
      </c>
      <c r="D117" s="34">
        <v>496.8</v>
      </c>
      <c r="E117" s="35">
        <v>44593</v>
      </c>
      <c r="F117" s="34">
        <v>496.8</v>
      </c>
      <c r="G117" s="36">
        <f>Tabla13[[#This Row],[Importe]]-Tabla13[[#This Row],[Pagado]]</f>
        <v>0</v>
      </c>
      <c r="H117" s="38" t="s">
        <v>10</v>
      </c>
    </row>
    <row r="118" spans="1:8" x14ac:dyDescent="0.25">
      <c r="A118" s="31">
        <v>44593</v>
      </c>
      <c r="B118" s="37" t="s">
        <v>3774</v>
      </c>
      <c r="C118" s="38" t="s">
        <v>409</v>
      </c>
      <c r="D118" s="34">
        <v>3492.9</v>
      </c>
      <c r="E118" s="35">
        <v>44596</v>
      </c>
      <c r="F118" s="34">
        <v>3492.9</v>
      </c>
      <c r="G118" s="36">
        <f>Tabla13[[#This Row],[Importe]]-Tabla13[[#This Row],[Pagado]]</f>
        <v>0</v>
      </c>
      <c r="H118" s="38" t="s">
        <v>10</v>
      </c>
    </row>
    <row r="119" spans="1:8" x14ac:dyDescent="0.25">
      <c r="A119" s="31">
        <v>44593</v>
      </c>
      <c r="B119" s="37" t="s">
        <v>3775</v>
      </c>
      <c r="C119" s="38" t="s">
        <v>22</v>
      </c>
      <c r="D119" s="34">
        <v>306</v>
      </c>
      <c r="E119" s="35">
        <v>44593</v>
      </c>
      <c r="F119" s="34">
        <v>306</v>
      </c>
      <c r="G119" s="36">
        <f>Tabla13[[#This Row],[Importe]]-Tabla13[[#This Row],[Pagado]]</f>
        <v>0</v>
      </c>
      <c r="H119" s="38" t="s">
        <v>10</v>
      </c>
    </row>
    <row r="120" spans="1:8" x14ac:dyDescent="0.25">
      <c r="A120" s="31">
        <v>44593</v>
      </c>
      <c r="B120" s="37" t="s">
        <v>3776</v>
      </c>
      <c r="C120" s="38" t="s">
        <v>62</v>
      </c>
      <c r="D120" s="34">
        <v>2938.8</v>
      </c>
      <c r="E120" s="35">
        <v>44593</v>
      </c>
      <c r="F120" s="34">
        <v>2938.8</v>
      </c>
      <c r="G120" s="36">
        <f>Tabla13[[#This Row],[Importe]]-Tabla13[[#This Row],[Pagado]]</f>
        <v>0</v>
      </c>
      <c r="H120" s="38" t="s">
        <v>10</v>
      </c>
    </row>
    <row r="121" spans="1:8" x14ac:dyDescent="0.25">
      <c r="A121" s="31">
        <v>44593</v>
      </c>
      <c r="B121" s="37" t="s">
        <v>3777</v>
      </c>
      <c r="C121" s="38" t="s">
        <v>269</v>
      </c>
      <c r="D121" s="34">
        <v>693.6</v>
      </c>
      <c r="E121" s="35">
        <v>44593</v>
      </c>
      <c r="F121" s="34">
        <v>693.6</v>
      </c>
      <c r="G121" s="36">
        <f>Tabla13[[#This Row],[Importe]]-Tabla13[[#This Row],[Pagado]]</f>
        <v>0</v>
      </c>
      <c r="H121" s="38" t="s">
        <v>10</v>
      </c>
    </row>
    <row r="122" spans="1:8" x14ac:dyDescent="0.25">
      <c r="A122" s="31">
        <v>44593</v>
      </c>
      <c r="B122" s="37" t="s">
        <v>3778</v>
      </c>
      <c r="C122" s="38" t="s">
        <v>1706</v>
      </c>
      <c r="D122" s="34">
        <v>2395.1999999999998</v>
      </c>
      <c r="E122" s="35">
        <v>44593</v>
      </c>
      <c r="F122" s="34">
        <v>2395.1999999999998</v>
      </c>
      <c r="G122" s="36">
        <f>Tabla13[[#This Row],[Importe]]-Tabla13[[#This Row],[Pagado]]</f>
        <v>0</v>
      </c>
      <c r="H122" s="38" t="s">
        <v>10</v>
      </c>
    </row>
    <row r="123" spans="1:8" x14ac:dyDescent="0.25">
      <c r="A123" s="31">
        <v>44593</v>
      </c>
      <c r="B123" s="37" t="s">
        <v>3779</v>
      </c>
      <c r="C123" s="38" t="s">
        <v>129</v>
      </c>
      <c r="D123" s="34">
        <v>1494.5</v>
      </c>
      <c r="E123" s="35">
        <v>44594</v>
      </c>
      <c r="F123" s="34">
        <v>1494.5</v>
      </c>
      <c r="G123" s="36">
        <f>Tabla13[[#This Row],[Importe]]-Tabla13[[#This Row],[Pagado]]</f>
        <v>0</v>
      </c>
      <c r="H123" s="38" t="s">
        <v>10</v>
      </c>
    </row>
    <row r="124" spans="1:8" x14ac:dyDescent="0.25">
      <c r="A124" s="31">
        <v>44593</v>
      </c>
      <c r="B124" s="37" t="s">
        <v>3780</v>
      </c>
      <c r="C124" s="38" t="s">
        <v>140</v>
      </c>
      <c r="D124" s="34">
        <v>1310.9</v>
      </c>
      <c r="E124" s="35">
        <v>44594</v>
      </c>
      <c r="F124" s="34">
        <v>1310.9</v>
      </c>
      <c r="G124" s="36">
        <f>Tabla13[[#This Row],[Importe]]-Tabla13[[#This Row],[Pagado]]</f>
        <v>0</v>
      </c>
      <c r="H124" s="38" t="s">
        <v>10</v>
      </c>
    </row>
    <row r="125" spans="1:8" x14ac:dyDescent="0.25">
      <c r="A125" s="31">
        <v>44593</v>
      </c>
      <c r="B125" s="37" t="s">
        <v>3781</v>
      </c>
      <c r="C125" s="38" t="s">
        <v>127</v>
      </c>
      <c r="D125" s="34">
        <v>4630.1000000000004</v>
      </c>
      <c r="E125" s="35">
        <v>44594</v>
      </c>
      <c r="F125" s="34">
        <v>4630.1000000000004</v>
      </c>
      <c r="G125" s="36">
        <f>Tabla13[[#This Row],[Importe]]-Tabla13[[#This Row],[Pagado]]</f>
        <v>0</v>
      </c>
      <c r="H125" s="38" t="s">
        <v>10</v>
      </c>
    </row>
    <row r="126" spans="1:8" x14ac:dyDescent="0.25">
      <c r="A126" s="31">
        <v>44593</v>
      </c>
      <c r="B126" s="37" t="s">
        <v>3782</v>
      </c>
      <c r="C126" s="38" t="s">
        <v>14</v>
      </c>
      <c r="D126" s="34">
        <v>16530.7</v>
      </c>
      <c r="E126" s="35">
        <v>44594</v>
      </c>
      <c r="F126" s="34">
        <v>16530.7</v>
      </c>
      <c r="G126" s="36">
        <f>Tabla13[[#This Row],[Importe]]-Tabla13[[#This Row],[Pagado]]</f>
        <v>0</v>
      </c>
      <c r="H126" s="38" t="s">
        <v>10</v>
      </c>
    </row>
    <row r="127" spans="1:8" x14ac:dyDescent="0.25">
      <c r="A127" s="31">
        <v>44593</v>
      </c>
      <c r="B127" s="37" t="s">
        <v>3783</v>
      </c>
      <c r="C127" s="38" t="s">
        <v>31</v>
      </c>
      <c r="D127" s="34">
        <v>208.4</v>
      </c>
      <c r="E127" s="35">
        <v>44594</v>
      </c>
      <c r="F127" s="34">
        <v>208.4</v>
      </c>
      <c r="G127" s="36">
        <f>Tabla13[[#This Row],[Importe]]-Tabla13[[#This Row],[Pagado]]</f>
        <v>0</v>
      </c>
      <c r="H127" s="38" t="s">
        <v>10</v>
      </c>
    </row>
    <row r="128" spans="1:8" ht="31.5" x14ac:dyDescent="0.25">
      <c r="A128" s="31">
        <v>44594</v>
      </c>
      <c r="B128" s="37" t="s">
        <v>3784</v>
      </c>
      <c r="C128" s="38" t="s">
        <v>887</v>
      </c>
      <c r="D128" s="34">
        <v>11385</v>
      </c>
      <c r="E128" s="35" t="s">
        <v>3785</v>
      </c>
      <c r="F128" s="34">
        <f>7000+4385</f>
        <v>11385</v>
      </c>
      <c r="G128" s="36">
        <f>Tabla13[[#This Row],[Importe]]-Tabla13[[#This Row],[Pagado]]</f>
        <v>0</v>
      </c>
      <c r="H128" s="38" t="s">
        <v>10</v>
      </c>
    </row>
    <row r="129" spans="1:8" x14ac:dyDescent="0.25">
      <c r="A129" s="31">
        <v>44594</v>
      </c>
      <c r="B129" s="37" t="s">
        <v>3786</v>
      </c>
      <c r="C129" s="38" t="s">
        <v>85</v>
      </c>
      <c r="D129" s="34">
        <v>1015</v>
      </c>
      <c r="E129" s="35">
        <v>44594</v>
      </c>
      <c r="F129" s="34">
        <v>1015</v>
      </c>
      <c r="G129" s="36">
        <f>Tabla13[[#This Row],[Importe]]-Tabla13[[#This Row],[Pagado]]</f>
        <v>0</v>
      </c>
      <c r="H129" s="38" t="s">
        <v>10</v>
      </c>
    </row>
    <row r="130" spans="1:8" x14ac:dyDescent="0.25">
      <c r="A130" s="31">
        <v>44594</v>
      </c>
      <c r="B130" s="37" t="s">
        <v>3787</v>
      </c>
      <c r="C130" s="38" t="s">
        <v>83</v>
      </c>
      <c r="D130" s="34">
        <v>4226.8</v>
      </c>
      <c r="E130" s="35">
        <v>44594</v>
      </c>
      <c r="F130" s="34">
        <v>4226.8</v>
      </c>
      <c r="G130" s="36">
        <f>Tabla13[[#This Row],[Importe]]-Tabla13[[#This Row],[Pagado]]</f>
        <v>0</v>
      </c>
      <c r="H130" s="38" t="s">
        <v>10</v>
      </c>
    </row>
    <row r="131" spans="1:8" x14ac:dyDescent="0.25">
      <c r="A131" s="31">
        <v>44594</v>
      </c>
      <c r="B131" s="37" t="s">
        <v>3788</v>
      </c>
      <c r="C131" s="38" t="s">
        <v>12</v>
      </c>
      <c r="D131" s="34">
        <v>4246.3999999999996</v>
      </c>
      <c r="E131" s="35">
        <v>44595</v>
      </c>
      <c r="F131" s="34">
        <v>4246.3999999999996</v>
      </c>
      <c r="G131" s="36">
        <f>Tabla13[[#This Row],[Importe]]-Tabla13[[#This Row],[Pagado]]</f>
        <v>0</v>
      </c>
      <c r="H131" s="38" t="s">
        <v>10</v>
      </c>
    </row>
    <row r="132" spans="1:8" x14ac:dyDescent="0.25">
      <c r="A132" s="31">
        <v>44594</v>
      </c>
      <c r="B132" s="37" t="s">
        <v>3789</v>
      </c>
      <c r="C132" s="38" t="s">
        <v>31</v>
      </c>
      <c r="D132" s="34">
        <v>5105</v>
      </c>
      <c r="E132" s="35">
        <v>44594</v>
      </c>
      <c r="F132" s="34">
        <v>5105</v>
      </c>
      <c r="G132" s="36">
        <f>Tabla13[[#This Row],[Importe]]-Tabla13[[#This Row],[Pagado]]</f>
        <v>0</v>
      </c>
      <c r="H132" s="38" t="s">
        <v>10</v>
      </c>
    </row>
    <row r="133" spans="1:8" x14ac:dyDescent="0.25">
      <c r="A133" s="31">
        <v>44594</v>
      </c>
      <c r="B133" s="37" t="s">
        <v>3790</v>
      </c>
      <c r="C133" s="38" t="s">
        <v>87</v>
      </c>
      <c r="D133" s="34">
        <v>1554</v>
      </c>
      <c r="E133" s="35">
        <v>44594</v>
      </c>
      <c r="F133" s="34">
        <v>1554</v>
      </c>
      <c r="G133" s="36">
        <f>Tabla13[[#This Row],[Importe]]-Tabla13[[#This Row],[Pagado]]</f>
        <v>0</v>
      </c>
      <c r="H133" s="38" t="s">
        <v>10</v>
      </c>
    </row>
    <row r="134" spans="1:8" x14ac:dyDescent="0.25">
      <c r="A134" s="31">
        <v>44594</v>
      </c>
      <c r="B134" s="37" t="s">
        <v>3791</v>
      </c>
      <c r="C134" s="38" t="s">
        <v>475</v>
      </c>
      <c r="D134" s="34">
        <v>52753.4</v>
      </c>
      <c r="E134" s="35">
        <v>44595</v>
      </c>
      <c r="F134" s="34">
        <v>52753.4</v>
      </c>
      <c r="G134" s="36">
        <f>Tabla13[[#This Row],[Importe]]-Tabla13[[#This Row],[Pagado]]</f>
        <v>0</v>
      </c>
      <c r="H134" s="38" t="s">
        <v>10</v>
      </c>
    </row>
    <row r="135" spans="1:8" x14ac:dyDescent="0.25">
      <c r="A135" s="31">
        <v>44594</v>
      </c>
      <c r="B135" s="37" t="s">
        <v>3792</v>
      </c>
      <c r="C135" s="38" t="s">
        <v>31</v>
      </c>
      <c r="D135" s="34">
        <v>4166.7</v>
      </c>
      <c r="E135" s="35">
        <v>44594</v>
      </c>
      <c r="F135" s="34">
        <v>4166.7</v>
      </c>
      <c r="G135" s="36">
        <f>Tabla13[[#This Row],[Importe]]-Tabla13[[#This Row],[Pagado]]</f>
        <v>0</v>
      </c>
      <c r="H135" s="38" t="s">
        <v>10</v>
      </c>
    </row>
    <row r="136" spans="1:8" x14ac:dyDescent="0.25">
      <c r="A136" s="31">
        <v>44594</v>
      </c>
      <c r="B136" s="37" t="s">
        <v>3793</v>
      </c>
      <c r="C136" s="38" t="s">
        <v>481</v>
      </c>
      <c r="D136" s="34">
        <v>462</v>
      </c>
      <c r="E136" s="35">
        <v>44594</v>
      </c>
      <c r="F136" s="34">
        <v>462</v>
      </c>
      <c r="G136" s="36">
        <f>Tabla13[[#This Row],[Importe]]-Tabla13[[#This Row],[Pagado]]</f>
        <v>0</v>
      </c>
      <c r="H136" s="38" t="s">
        <v>10</v>
      </c>
    </row>
    <row r="137" spans="1:8" x14ac:dyDescent="0.25">
      <c r="A137" s="31">
        <v>44594</v>
      </c>
      <c r="B137" s="37" t="s">
        <v>3794</v>
      </c>
      <c r="C137" s="38" t="s">
        <v>2563</v>
      </c>
      <c r="D137" s="34">
        <v>4461.6000000000004</v>
      </c>
      <c r="E137" s="35">
        <v>44594</v>
      </c>
      <c r="F137" s="34">
        <v>4461.6000000000004</v>
      </c>
      <c r="G137" s="36">
        <f>Tabla13[[#This Row],[Importe]]-Tabla13[[#This Row],[Pagado]]</f>
        <v>0</v>
      </c>
      <c r="H137" s="38" t="s">
        <v>10</v>
      </c>
    </row>
    <row r="138" spans="1:8" x14ac:dyDescent="0.25">
      <c r="A138" s="31">
        <v>44594</v>
      </c>
      <c r="B138" s="37" t="s">
        <v>3795</v>
      </c>
      <c r="C138" s="38" t="s">
        <v>169</v>
      </c>
      <c r="D138" s="34">
        <v>1514.1</v>
      </c>
      <c r="E138" s="35">
        <v>44594</v>
      </c>
      <c r="F138" s="34">
        <v>1514.1</v>
      </c>
      <c r="G138" s="36">
        <f>Tabla13[[#This Row],[Importe]]-Tabla13[[#This Row],[Pagado]]</f>
        <v>0</v>
      </c>
      <c r="H138" s="38" t="s">
        <v>10</v>
      </c>
    </row>
    <row r="139" spans="1:8" x14ac:dyDescent="0.25">
      <c r="A139" s="31">
        <v>44594</v>
      </c>
      <c r="B139" s="37" t="s">
        <v>3796</v>
      </c>
      <c r="C139" s="38" t="s">
        <v>116</v>
      </c>
      <c r="D139" s="34">
        <v>3770</v>
      </c>
      <c r="E139" s="35">
        <v>44595</v>
      </c>
      <c r="F139" s="34">
        <v>3770</v>
      </c>
      <c r="G139" s="36">
        <f>Tabla13[[#This Row],[Importe]]-Tabla13[[#This Row],[Pagado]]</f>
        <v>0</v>
      </c>
      <c r="H139" s="38" t="s">
        <v>10</v>
      </c>
    </row>
    <row r="140" spans="1:8" x14ac:dyDescent="0.25">
      <c r="A140" s="31">
        <v>44594</v>
      </c>
      <c r="B140" s="37" t="s">
        <v>3797</v>
      </c>
      <c r="C140" s="38" t="s">
        <v>109</v>
      </c>
      <c r="D140" s="34">
        <v>4960</v>
      </c>
      <c r="E140" s="35">
        <v>44595</v>
      </c>
      <c r="F140" s="34">
        <v>4960</v>
      </c>
      <c r="G140" s="36">
        <f>Tabla13[[#This Row],[Importe]]-Tabla13[[#This Row],[Pagado]]</f>
        <v>0</v>
      </c>
      <c r="H140" s="38" t="s">
        <v>10</v>
      </c>
    </row>
    <row r="141" spans="1:8" x14ac:dyDescent="0.25">
      <c r="A141" s="31">
        <v>44594</v>
      </c>
      <c r="B141" s="37" t="s">
        <v>3798</v>
      </c>
      <c r="C141" s="38" t="s">
        <v>93</v>
      </c>
      <c r="D141" s="34">
        <v>5786.4</v>
      </c>
      <c r="E141" s="35">
        <v>44595</v>
      </c>
      <c r="F141" s="34">
        <v>5786.4</v>
      </c>
      <c r="G141" s="36">
        <f>Tabla13[[#This Row],[Importe]]-Tabla13[[#This Row],[Pagado]]</f>
        <v>0</v>
      </c>
      <c r="H141" s="38" t="s">
        <v>10</v>
      </c>
    </row>
    <row r="142" spans="1:8" x14ac:dyDescent="0.25">
      <c r="A142" s="31">
        <v>44594</v>
      </c>
      <c r="B142" s="37" t="s">
        <v>3799</v>
      </c>
      <c r="C142" s="38" t="s">
        <v>64</v>
      </c>
      <c r="D142" s="34">
        <v>8412.7999999999993</v>
      </c>
      <c r="E142" s="35">
        <v>44596</v>
      </c>
      <c r="F142" s="34">
        <v>8412.7999999999993</v>
      </c>
      <c r="G142" s="36">
        <f>Tabla13[[#This Row],[Importe]]-Tabla13[[#This Row],[Pagado]]</f>
        <v>0</v>
      </c>
      <c r="H142" s="38" t="s">
        <v>10</v>
      </c>
    </row>
    <row r="143" spans="1:8" ht="31.5" x14ac:dyDescent="0.25">
      <c r="A143" s="31">
        <v>44594</v>
      </c>
      <c r="B143" s="37" t="s">
        <v>3800</v>
      </c>
      <c r="C143" s="38" t="s">
        <v>39</v>
      </c>
      <c r="D143" s="34">
        <v>17704</v>
      </c>
      <c r="E143" s="35" t="s">
        <v>3801</v>
      </c>
      <c r="F143" s="34">
        <f>6000+11704</f>
        <v>17704</v>
      </c>
      <c r="G143" s="36">
        <f>Tabla13[[#This Row],[Importe]]-Tabla13[[#This Row],[Pagado]]</f>
        <v>0</v>
      </c>
      <c r="H143" s="38" t="s">
        <v>10</v>
      </c>
    </row>
    <row r="144" spans="1:8" x14ac:dyDescent="0.25">
      <c r="A144" s="31">
        <v>44594</v>
      </c>
      <c r="B144" s="37" t="s">
        <v>3802</v>
      </c>
      <c r="C144" s="38" t="s">
        <v>144</v>
      </c>
      <c r="D144" s="34">
        <v>4574.7</v>
      </c>
      <c r="E144" s="35">
        <v>44594</v>
      </c>
      <c r="F144" s="34">
        <v>4574.7</v>
      </c>
      <c r="G144" s="36">
        <f>Tabla13[[#This Row],[Importe]]-Tabla13[[#This Row],[Pagado]]</f>
        <v>0</v>
      </c>
      <c r="H144" s="38" t="s">
        <v>10</v>
      </c>
    </row>
    <row r="145" spans="1:8" x14ac:dyDescent="0.25">
      <c r="A145" s="31">
        <v>44594</v>
      </c>
      <c r="B145" s="37" t="s">
        <v>3803</v>
      </c>
      <c r="C145" s="38" t="s">
        <v>22</v>
      </c>
      <c r="D145" s="34">
        <v>44665.599999999999</v>
      </c>
      <c r="E145" s="35">
        <v>44596</v>
      </c>
      <c r="F145" s="34">
        <v>44665.599999999999</v>
      </c>
      <c r="G145" s="36">
        <f>Tabla13[[#This Row],[Importe]]-Tabla13[[#This Row],[Pagado]]</f>
        <v>0</v>
      </c>
      <c r="H145" s="38" t="s">
        <v>10</v>
      </c>
    </row>
    <row r="146" spans="1:8" x14ac:dyDescent="0.25">
      <c r="A146" s="31">
        <v>44594</v>
      </c>
      <c r="B146" s="37" t="s">
        <v>3804</v>
      </c>
      <c r="C146" s="38" t="s">
        <v>1362</v>
      </c>
      <c r="D146" s="34">
        <v>3910</v>
      </c>
      <c r="E146" s="35">
        <v>44594</v>
      </c>
      <c r="F146" s="34">
        <v>3910</v>
      </c>
      <c r="G146" s="36">
        <f>Tabla13[[#This Row],[Importe]]-Tabla13[[#This Row],[Pagado]]</f>
        <v>0</v>
      </c>
      <c r="H146" s="38" t="s">
        <v>10</v>
      </c>
    </row>
    <row r="147" spans="1:8" x14ac:dyDescent="0.25">
      <c r="A147" s="31">
        <v>44594</v>
      </c>
      <c r="B147" s="37" t="s">
        <v>3805</v>
      </c>
      <c r="C147" s="38" t="s">
        <v>89</v>
      </c>
      <c r="D147" s="34">
        <v>4532.2</v>
      </c>
      <c r="E147" s="35">
        <v>44595</v>
      </c>
      <c r="F147" s="34">
        <v>4532.2</v>
      </c>
      <c r="G147" s="36">
        <f>Tabla13[[#This Row],[Importe]]-Tabla13[[#This Row],[Pagado]]</f>
        <v>0</v>
      </c>
      <c r="H147" s="38" t="s">
        <v>10</v>
      </c>
    </row>
    <row r="148" spans="1:8" x14ac:dyDescent="0.25">
      <c r="A148" s="31">
        <v>44594</v>
      </c>
      <c r="B148" s="37" t="s">
        <v>3806</v>
      </c>
      <c r="C148" s="38" t="s">
        <v>348</v>
      </c>
      <c r="D148" s="34">
        <v>1346.4</v>
      </c>
      <c r="E148" s="35">
        <v>44594</v>
      </c>
      <c r="F148" s="34">
        <v>1346.4</v>
      </c>
      <c r="G148" s="36">
        <f>Tabla13[[#This Row],[Importe]]-Tabla13[[#This Row],[Pagado]]</f>
        <v>0</v>
      </c>
      <c r="H148" s="38" t="s">
        <v>10</v>
      </c>
    </row>
    <row r="149" spans="1:8" x14ac:dyDescent="0.25">
      <c r="A149" s="31">
        <v>44594</v>
      </c>
      <c r="B149" s="37" t="s">
        <v>3807</v>
      </c>
      <c r="C149" s="38" t="s">
        <v>9</v>
      </c>
      <c r="D149" s="34">
        <v>5837.6</v>
      </c>
      <c r="E149" s="35">
        <v>44594</v>
      </c>
      <c r="F149" s="34">
        <v>5837.6</v>
      </c>
      <c r="G149" s="36">
        <f>Tabla13[[#This Row],[Importe]]-Tabla13[[#This Row],[Pagado]]</f>
        <v>0</v>
      </c>
      <c r="H149" s="38" t="s">
        <v>10</v>
      </c>
    </row>
    <row r="150" spans="1:8" x14ac:dyDescent="0.25">
      <c r="A150" s="31">
        <v>44594</v>
      </c>
      <c r="B150" s="37" t="s">
        <v>3808</v>
      </c>
      <c r="C150" s="38" t="s">
        <v>118</v>
      </c>
      <c r="D150" s="34">
        <v>4462.5</v>
      </c>
      <c r="E150" s="35">
        <v>44594</v>
      </c>
      <c r="F150" s="34">
        <v>4462.5</v>
      </c>
      <c r="G150" s="36">
        <f>Tabla13[[#This Row],[Importe]]-Tabla13[[#This Row],[Pagado]]</f>
        <v>0</v>
      </c>
      <c r="H150" s="38" t="s">
        <v>10</v>
      </c>
    </row>
    <row r="151" spans="1:8" x14ac:dyDescent="0.25">
      <c r="A151" s="31">
        <v>44594</v>
      </c>
      <c r="B151" s="37" t="s">
        <v>3809</v>
      </c>
      <c r="C151" s="38" t="s">
        <v>111</v>
      </c>
      <c r="D151" s="34">
        <v>4855</v>
      </c>
      <c r="E151" s="35">
        <v>44595</v>
      </c>
      <c r="F151" s="34">
        <v>4855</v>
      </c>
      <c r="G151" s="36">
        <f>Tabla13[[#This Row],[Importe]]-Tabla13[[#This Row],[Pagado]]</f>
        <v>0</v>
      </c>
      <c r="H151" s="38" t="s">
        <v>10</v>
      </c>
    </row>
    <row r="152" spans="1:8" x14ac:dyDescent="0.25">
      <c r="A152" s="31">
        <v>44594</v>
      </c>
      <c r="B152" s="37" t="s">
        <v>3810</v>
      </c>
      <c r="C152" s="38" t="s">
        <v>114</v>
      </c>
      <c r="D152" s="34">
        <v>4220</v>
      </c>
      <c r="E152" s="35">
        <v>44595</v>
      </c>
      <c r="F152" s="34">
        <v>4220</v>
      </c>
      <c r="G152" s="36">
        <f>Tabla13[[#This Row],[Importe]]-Tabla13[[#This Row],[Pagado]]</f>
        <v>0</v>
      </c>
      <c r="H152" s="38" t="s">
        <v>10</v>
      </c>
    </row>
    <row r="153" spans="1:8" x14ac:dyDescent="0.25">
      <c r="A153" s="31">
        <v>44594</v>
      </c>
      <c r="B153" s="37" t="s">
        <v>3811</v>
      </c>
      <c r="C153" s="38" t="s">
        <v>97</v>
      </c>
      <c r="D153" s="34">
        <v>8590</v>
      </c>
      <c r="E153" s="35">
        <v>44595</v>
      </c>
      <c r="F153" s="34">
        <v>8590</v>
      </c>
      <c r="G153" s="36">
        <f>Tabla13[[#This Row],[Importe]]-Tabla13[[#This Row],[Pagado]]</f>
        <v>0</v>
      </c>
      <c r="H153" s="38" t="s">
        <v>10</v>
      </c>
    </row>
    <row r="154" spans="1:8" x14ac:dyDescent="0.25">
      <c r="A154" s="31">
        <v>44594</v>
      </c>
      <c r="B154" s="37" t="s">
        <v>3812</v>
      </c>
      <c r="C154" s="38" t="s">
        <v>1650</v>
      </c>
      <c r="D154" s="34">
        <v>4753.2</v>
      </c>
      <c r="E154" s="35">
        <v>44595</v>
      </c>
      <c r="F154" s="34">
        <v>4753.2</v>
      </c>
      <c r="G154" s="36">
        <f>Tabla13[[#This Row],[Importe]]-Tabla13[[#This Row],[Pagado]]</f>
        <v>0</v>
      </c>
      <c r="H154" s="38" t="s">
        <v>10</v>
      </c>
    </row>
    <row r="155" spans="1:8" x14ac:dyDescent="0.25">
      <c r="A155" s="31">
        <v>44594</v>
      </c>
      <c r="B155" s="37" t="s">
        <v>3813</v>
      </c>
      <c r="C155" s="38" t="s">
        <v>95</v>
      </c>
      <c r="D155" s="34">
        <v>11637.2</v>
      </c>
      <c r="E155" s="35">
        <v>44594</v>
      </c>
      <c r="F155" s="34">
        <v>11637.2</v>
      </c>
      <c r="G155" s="36">
        <f>Tabla13[[#This Row],[Importe]]-Tabla13[[#This Row],[Pagado]]</f>
        <v>0</v>
      </c>
      <c r="H155" s="38" t="s">
        <v>10</v>
      </c>
    </row>
    <row r="156" spans="1:8" x14ac:dyDescent="0.25">
      <c r="A156" s="31">
        <v>44594</v>
      </c>
      <c r="B156" s="37" t="s">
        <v>3814</v>
      </c>
      <c r="C156" s="38" t="s">
        <v>275</v>
      </c>
      <c r="D156" s="34">
        <v>42885.5</v>
      </c>
      <c r="E156" s="35">
        <v>44603</v>
      </c>
      <c r="F156" s="34">
        <v>42885.5</v>
      </c>
      <c r="G156" s="36">
        <f>Tabla13[[#This Row],[Importe]]-Tabla13[[#This Row],[Pagado]]</f>
        <v>0</v>
      </c>
      <c r="H156" s="38" t="s">
        <v>10</v>
      </c>
    </row>
    <row r="157" spans="1:8" x14ac:dyDescent="0.25">
      <c r="A157" s="31">
        <v>44594</v>
      </c>
      <c r="B157" s="37" t="s">
        <v>3815</v>
      </c>
      <c r="C157" s="38" t="s">
        <v>105</v>
      </c>
      <c r="D157" s="34">
        <v>8668.7999999999993</v>
      </c>
      <c r="E157" s="35">
        <v>44595</v>
      </c>
      <c r="F157" s="34">
        <v>8668.7999999999993</v>
      </c>
      <c r="G157" s="36">
        <f>Tabla13[[#This Row],[Importe]]-Tabla13[[#This Row],[Pagado]]</f>
        <v>0</v>
      </c>
      <c r="H157" s="38" t="s">
        <v>10</v>
      </c>
    </row>
    <row r="158" spans="1:8" x14ac:dyDescent="0.25">
      <c r="A158" s="31">
        <v>44594</v>
      </c>
      <c r="B158" s="37" t="s">
        <v>3816</v>
      </c>
      <c r="C158" s="38" t="s">
        <v>127</v>
      </c>
      <c r="D158" s="34">
        <v>823.2</v>
      </c>
      <c r="E158" s="35">
        <v>44594</v>
      </c>
      <c r="F158" s="34">
        <v>823.2</v>
      </c>
      <c r="G158" s="36">
        <f>Tabla13[[#This Row],[Importe]]-Tabla13[[#This Row],[Pagado]]</f>
        <v>0</v>
      </c>
      <c r="H158" s="38" t="s">
        <v>10</v>
      </c>
    </row>
    <row r="159" spans="1:8" x14ac:dyDescent="0.25">
      <c r="A159" s="31">
        <v>44594</v>
      </c>
      <c r="B159" s="37" t="s">
        <v>3817</v>
      </c>
      <c r="C159" s="38" t="s">
        <v>31</v>
      </c>
      <c r="D159" s="34">
        <v>156</v>
      </c>
      <c r="E159" s="35">
        <v>44594</v>
      </c>
      <c r="F159" s="34">
        <v>156</v>
      </c>
      <c r="G159" s="36">
        <f>Tabla13[[#This Row],[Importe]]-Tabla13[[#This Row],[Pagado]]</f>
        <v>0</v>
      </c>
      <c r="H159" s="38" t="s">
        <v>10</v>
      </c>
    </row>
    <row r="160" spans="1:8" x14ac:dyDescent="0.25">
      <c r="A160" s="31">
        <v>44594</v>
      </c>
      <c r="B160" s="37" t="s">
        <v>3818</v>
      </c>
      <c r="C160" s="38" t="s">
        <v>140</v>
      </c>
      <c r="D160" s="34">
        <v>3844.4</v>
      </c>
      <c r="E160" s="35">
        <v>44594</v>
      </c>
      <c r="F160" s="34">
        <v>3844.4</v>
      </c>
      <c r="G160" s="36">
        <f>Tabla13[[#This Row],[Importe]]-Tabla13[[#This Row],[Pagado]]</f>
        <v>0</v>
      </c>
      <c r="H160" s="38" t="s">
        <v>10</v>
      </c>
    </row>
    <row r="161" spans="1:8" x14ac:dyDescent="0.25">
      <c r="A161" s="31">
        <v>44594</v>
      </c>
      <c r="B161" s="37" t="s">
        <v>3819</v>
      </c>
      <c r="C161" s="38" t="s">
        <v>129</v>
      </c>
      <c r="D161" s="34">
        <v>3965</v>
      </c>
      <c r="E161" s="35">
        <v>44594</v>
      </c>
      <c r="F161" s="34">
        <v>3965</v>
      </c>
      <c r="G161" s="36">
        <f>Tabla13[[#This Row],[Importe]]-Tabla13[[#This Row],[Pagado]]</f>
        <v>0</v>
      </c>
      <c r="H161" s="38" t="s">
        <v>10</v>
      </c>
    </row>
    <row r="162" spans="1:8" x14ac:dyDescent="0.25">
      <c r="A162" s="31">
        <v>44594</v>
      </c>
      <c r="B162" s="37" t="s">
        <v>3820</v>
      </c>
      <c r="C162" s="38" t="s">
        <v>357</v>
      </c>
      <c r="D162" s="34">
        <v>1205.4000000000001</v>
      </c>
      <c r="E162" s="35">
        <v>44594</v>
      </c>
      <c r="F162" s="34">
        <v>1205.4000000000001</v>
      </c>
      <c r="G162" s="36">
        <f>Tabla13[[#This Row],[Importe]]-Tabla13[[#This Row],[Pagado]]</f>
        <v>0</v>
      </c>
      <c r="H162" s="38" t="s">
        <v>10</v>
      </c>
    </row>
    <row r="163" spans="1:8" x14ac:dyDescent="0.25">
      <c r="A163" s="31">
        <v>44594</v>
      </c>
      <c r="B163" s="37" t="s">
        <v>3821</v>
      </c>
      <c r="C163" s="38" t="s">
        <v>146</v>
      </c>
      <c r="D163" s="34">
        <v>2833.6</v>
      </c>
      <c r="E163" s="35">
        <v>44594</v>
      </c>
      <c r="F163" s="34">
        <v>2833.6</v>
      </c>
      <c r="G163" s="36">
        <f>Tabla13[[#This Row],[Importe]]-Tabla13[[#This Row],[Pagado]]</f>
        <v>0</v>
      </c>
      <c r="H163" s="38" t="s">
        <v>10</v>
      </c>
    </row>
    <row r="164" spans="1:8" x14ac:dyDescent="0.25">
      <c r="A164" s="31">
        <v>44594</v>
      </c>
      <c r="B164" s="37" t="s">
        <v>3822</v>
      </c>
      <c r="C164" s="38" t="s">
        <v>3823</v>
      </c>
      <c r="D164" s="34">
        <v>0</v>
      </c>
      <c r="E164" s="39" t="s">
        <v>189</v>
      </c>
      <c r="F164" s="34">
        <v>0</v>
      </c>
      <c r="G164" s="36">
        <f>Tabla13[[#This Row],[Importe]]-Tabla13[[#This Row],[Pagado]]</f>
        <v>0</v>
      </c>
      <c r="H164" s="38" t="s">
        <v>189</v>
      </c>
    </row>
    <row r="165" spans="1:8" x14ac:dyDescent="0.25">
      <c r="A165" s="31">
        <v>44594</v>
      </c>
      <c r="B165" s="37" t="s">
        <v>3824</v>
      </c>
      <c r="C165" s="38" t="s">
        <v>31</v>
      </c>
      <c r="D165" s="34">
        <v>322</v>
      </c>
      <c r="E165" s="35">
        <v>44594</v>
      </c>
      <c r="F165" s="34">
        <v>322</v>
      </c>
      <c r="G165" s="36">
        <f>Tabla13[[#This Row],[Importe]]-Tabla13[[#This Row],[Pagado]]</f>
        <v>0</v>
      </c>
      <c r="H165" s="38" t="s">
        <v>10</v>
      </c>
    </row>
    <row r="166" spans="1:8" x14ac:dyDescent="0.25">
      <c r="A166" s="31">
        <v>44594</v>
      </c>
      <c r="B166" s="37" t="s">
        <v>3825</v>
      </c>
      <c r="C166" s="38" t="s">
        <v>670</v>
      </c>
      <c r="D166" s="34">
        <v>4582.8</v>
      </c>
      <c r="E166" s="35">
        <v>44594</v>
      </c>
      <c r="F166" s="34">
        <v>4582.8</v>
      </c>
      <c r="G166" s="36">
        <f>Tabla13[[#This Row],[Importe]]-Tabla13[[#This Row],[Pagado]]</f>
        <v>0</v>
      </c>
      <c r="H166" s="38" t="s">
        <v>10</v>
      </c>
    </row>
    <row r="167" spans="1:8" x14ac:dyDescent="0.25">
      <c r="A167" s="31">
        <v>44594</v>
      </c>
      <c r="B167" s="37" t="s">
        <v>3826</v>
      </c>
      <c r="C167" s="38" t="s">
        <v>51</v>
      </c>
      <c r="D167" s="34">
        <v>1784.8</v>
      </c>
      <c r="E167" s="35">
        <v>44594</v>
      </c>
      <c r="F167" s="34">
        <v>1784.8</v>
      </c>
      <c r="G167" s="36">
        <f>Tabla13[[#This Row],[Importe]]-Tabla13[[#This Row],[Pagado]]</f>
        <v>0</v>
      </c>
      <c r="H167" s="38" t="s">
        <v>10</v>
      </c>
    </row>
    <row r="168" spans="1:8" x14ac:dyDescent="0.25">
      <c r="A168" s="31">
        <v>44594</v>
      </c>
      <c r="B168" s="37" t="s">
        <v>3827</v>
      </c>
      <c r="C168" s="38" t="s">
        <v>51</v>
      </c>
      <c r="D168" s="34">
        <v>354</v>
      </c>
      <c r="E168" s="35">
        <v>44594</v>
      </c>
      <c r="F168" s="34">
        <v>354</v>
      </c>
      <c r="G168" s="36">
        <f>Tabla13[[#This Row],[Importe]]-Tabla13[[#This Row],[Pagado]]</f>
        <v>0</v>
      </c>
      <c r="H168" s="38" t="s">
        <v>10</v>
      </c>
    </row>
    <row r="169" spans="1:8" x14ac:dyDescent="0.25">
      <c r="A169" s="31">
        <v>44594</v>
      </c>
      <c r="B169" s="37" t="s">
        <v>3828</v>
      </c>
      <c r="C169" s="38" t="s">
        <v>924</v>
      </c>
      <c r="D169" s="34">
        <v>8583.1</v>
      </c>
      <c r="E169" s="35">
        <v>44594</v>
      </c>
      <c r="F169" s="34">
        <v>8583.1</v>
      </c>
      <c r="G169" s="36">
        <f>Tabla13[[#This Row],[Importe]]-Tabla13[[#This Row],[Pagado]]</f>
        <v>0</v>
      </c>
      <c r="H169" s="38" t="s">
        <v>10</v>
      </c>
    </row>
    <row r="170" spans="1:8" x14ac:dyDescent="0.25">
      <c r="A170" s="31">
        <v>44594</v>
      </c>
      <c r="B170" s="37" t="s">
        <v>3829</v>
      </c>
      <c r="C170" s="38" t="s">
        <v>53</v>
      </c>
      <c r="D170" s="34">
        <v>1386.7</v>
      </c>
      <c r="E170" s="35">
        <v>44594</v>
      </c>
      <c r="F170" s="34">
        <v>1386.7</v>
      </c>
      <c r="G170" s="36">
        <f>Tabla13[[#This Row],[Importe]]-Tabla13[[#This Row],[Pagado]]</f>
        <v>0</v>
      </c>
      <c r="H170" s="38" t="s">
        <v>10</v>
      </c>
    </row>
    <row r="171" spans="1:8" x14ac:dyDescent="0.25">
      <c r="A171" s="31">
        <v>44594</v>
      </c>
      <c r="B171" s="37" t="s">
        <v>3830</v>
      </c>
      <c r="C171" s="38" t="s">
        <v>196</v>
      </c>
      <c r="D171" s="34">
        <v>67800.3</v>
      </c>
      <c r="E171" s="35">
        <v>44597</v>
      </c>
      <c r="F171" s="34">
        <v>67800.3</v>
      </c>
      <c r="G171" s="36">
        <f>Tabla13[[#This Row],[Importe]]-Tabla13[[#This Row],[Pagado]]</f>
        <v>0</v>
      </c>
      <c r="H171" s="38" t="s">
        <v>10</v>
      </c>
    </row>
    <row r="172" spans="1:8" x14ac:dyDescent="0.25">
      <c r="A172" s="31">
        <v>44594</v>
      </c>
      <c r="B172" s="37" t="s">
        <v>3831</v>
      </c>
      <c r="C172" s="38" t="s">
        <v>24</v>
      </c>
      <c r="D172" s="34">
        <v>4292.8</v>
      </c>
      <c r="E172" s="35">
        <v>44594</v>
      </c>
      <c r="F172" s="34">
        <v>4292.8</v>
      </c>
      <c r="G172" s="36">
        <f>Tabla13[[#This Row],[Importe]]-Tabla13[[#This Row],[Pagado]]</f>
        <v>0</v>
      </c>
      <c r="H172" s="38" t="s">
        <v>10</v>
      </c>
    </row>
    <row r="173" spans="1:8" x14ac:dyDescent="0.25">
      <c r="A173" s="31">
        <v>44594</v>
      </c>
      <c r="B173" s="37" t="s">
        <v>3832</v>
      </c>
      <c r="C173" s="38" t="s">
        <v>56</v>
      </c>
      <c r="D173" s="34">
        <v>377.6</v>
      </c>
      <c r="E173" s="35">
        <v>44594</v>
      </c>
      <c r="F173" s="34">
        <v>377.6</v>
      </c>
      <c r="G173" s="36">
        <f>Tabla13[[#This Row],[Importe]]-Tabla13[[#This Row],[Pagado]]</f>
        <v>0</v>
      </c>
      <c r="H173" s="38" t="s">
        <v>10</v>
      </c>
    </row>
    <row r="174" spans="1:8" x14ac:dyDescent="0.25">
      <c r="A174" s="31">
        <v>44594</v>
      </c>
      <c r="B174" s="37" t="s">
        <v>3833</v>
      </c>
      <c r="C174" s="38" t="s">
        <v>16</v>
      </c>
      <c r="D174" s="34">
        <v>4359.2</v>
      </c>
      <c r="E174" s="35">
        <v>44594</v>
      </c>
      <c r="F174" s="34">
        <v>4359.2</v>
      </c>
      <c r="G174" s="36">
        <f>Tabla13[[#This Row],[Importe]]-Tabla13[[#This Row],[Pagado]]</f>
        <v>0</v>
      </c>
      <c r="H174" s="38" t="s">
        <v>10</v>
      </c>
    </row>
    <row r="175" spans="1:8" x14ac:dyDescent="0.25">
      <c r="A175" s="31">
        <v>44594</v>
      </c>
      <c r="B175" s="37" t="s">
        <v>3834</v>
      </c>
      <c r="C175" s="38" t="s">
        <v>230</v>
      </c>
      <c r="D175" s="34">
        <v>1402.8</v>
      </c>
      <c r="E175" s="35">
        <v>44594</v>
      </c>
      <c r="F175" s="34">
        <v>1402.8</v>
      </c>
      <c r="G175" s="36">
        <f>Tabla13[[#This Row],[Importe]]-Tabla13[[#This Row],[Pagado]]</f>
        <v>0</v>
      </c>
      <c r="H175" s="38" t="s">
        <v>10</v>
      </c>
    </row>
    <row r="176" spans="1:8" x14ac:dyDescent="0.25">
      <c r="A176" s="31">
        <v>44594</v>
      </c>
      <c r="B176" s="37" t="s">
        <v>3835</v>
      </c>
      <c r="C176" s="38" t="s">
        <v>230</v>
      </c>
      <c r="D176" s="34">
        <v>4440.8</v>
      </c>
      <c r="E176" s="35">
        <v>44594</v>
      </c>
      <c r="F176" s="34">
        <v>4440.8</v>
      </c>
      <c r="G176" s="36">
        <f>Tabla13[[#This Row],[Importe]]-Tabla13[[#This Row],[Pagado]]</f>
        <v>0</v>
      </c>
      <c r="H176" s="38" t="s">
        <v>10</v>
      </c>
    </row>
    <row r="177" spans="1:8" x14ac:dyDescent="0.25">
      <c r="A177" s="31">
        <v>44594</v>
      </c>
      <c r="B177" s="37" t="s">
        <v>3836</v>
      </c>
      <c r="C177" s="38" t="s">
        <v>53</v>
      </c>
      <c r="D177" s="34">
        <v>80</v>
      </c>
      <c r="E177" s="35">
        <v>44594</v>
      </c>
      <c r="F177" s="34">
        <v>80</v>
      </c>
      <c r="G177" s="36">
        <f>Tabla13[[#This Row],[Importe]]-Tabla13[[#This Row],[Pagado]]</f>
        <v>0</v>
      </c>
      <c r="H177" s="38" t="s">
        <v>10</v>
      </c>
    </row>
    <row r="178" spans="1:8" x14ac:dyDescent="0.25">
      <c r="A178" s="31">
        <v>44594</v>
      </c>
      <c r="B178" s="37" t="s">
        <v>3837</v>
      </c>
      <c r="C178" s="38" t="s">
        <v>154</v>
      </c>
      <c r="D178" s="34">
        <v>38883.9</v>
      </c>
      <c r="E178" s="35">
        <v>44603</v>
      </c>
      <c r="F178" s="34">
        <v>38883.9</v>
      </c>
      <c r="G178" s="36">
        <f>Tabla13[[#This Row],[Importe]]-Tabla13[[#This Row],[Pagado]]</f>
        <v>0</v>
      </c>
      <c r="H178" s="38" t="s">
        <v>10</v>
      </c>
    </row>
    <row r="179" spans="1:8" x14ac:dyDescent="0.25">
      <c r="A179" s="31">
        <v>44594</v>
      </c>
      <c r="B179" s="37" t="s">
        <v>3838</v>
      </c>
      <c r="C179" s="38" t="s">
        <v>49</v>
      </c>
      <c r="D179" s="34">
        <v>2636.5</v>
      </c>
      <c r="E179" s="35">
        <v>44594</v>
      </c>
      <c r="F179" s="34">
        <v>2636.5</v>
      </c>
      <c r="G179" s="36">
        <f>Tabla13[[#This Row],[Importe]]-Tabla13[[#This Row],[Pagado]]</f>
        <v>0</v>
      </c>
      <c r="H179" s="38" t="s">
        <v>10</v>
      </c>
    </row>
    <row r="180" spans="1:8" x14ac:dyDescent="0.25">
      <c r="A180" s="31">
        <v>44594</v>
      </c>
      <c r="B180" s="37" t="s">
        <v>3839</v>
      </c>
      <c r="C180" s="38" t="s">
        <v>131</v>
      </c>
      <c r="D180" s="34">
        <v>7426</v>
      </c>
      <c r="E180" s="35">
        <v>44594</v>
      </c>
      <c r="F180" s="34">
        <v>7426</v>
      </c>
      <c r="G180" s="36">
        <f>Tabla13[[#This Row],[Importe]]-Tabla13[[#This Row],[Pagado]]</f>
        <v>0</v>
      </c>
      <c r="H180" s="38" t="s">
        <v>10</v>
      </c>
    </row>
    <row r="181" spans="1:8" x14ac:dyDescent="0.25">
      <c r="A181" s="31">
        <v>44594</v>
      </c>
      <c r="B181" s="37" t="s">
        <v>3840</v>
      </c>
      <c r="C181" s="38" t="s">
        <v>27</v>
      </c>
      <c r="D181" s="34">
        <v>4229.8</v>
      </c>
      <c r="E181" s="35">
        <v>44594</v>
      </c>
      <c r="F181" s="34">
        <v>4229.8</v>
      </c>
      <c r="G181" s="36">
        <f>Tabla13[[#This Row],[Importe]]-Tabla13[[#This Row],[Pagado]]</f>
        <v>0</v>
      </c>
      <c r="H181" s="38" t="s">
        <v>10</v>
      </c>
    </row>
    <row r="182" spans="1:8" x14ac:dyDescent="0.25">
      <c r="A182" s="31">
        <v>44594</v>
      </c>
      <c r="B182" s="37" t="s">
        <v>3841</v>
      </c>
      <c r="C182" s="38" t="s">
        <v>212</v>
      </c>
      <c r="D182" s="34">
        <v>30963.9</v>
      </c>
      <c r="E182" s="35">
        <v>44597</v>
      </c>
      <c r="F182" s="34">
        <v>30963.9</v>
      </c>
      <c r="G182" s="36">
        <f>Tabla13[[#This Row],[Importe]]-Tabla13[[#This Row],[Pagado]]</f>
        <v>0</v>
      </c>
      <c r="H182" s="38" t="s">
        <v>10</v>
      </c>
    </row>
    <row r="183" spans="1:8" x14ac:dyDescent="0.25">
      <c r="A183" s="31">
        <v>44594</v>
      </c>
      <c r="B183" s="37" t="s">
        <v>3842</v>
      </c>
      <c r="C183" s="38" t="s">
        <v>206</v>
      </c>
      <c r="D183" s="34">
        <v>24066</v>
      </c>
      <c r="E183" s="35">
        <v>44597</v>
      </c>
      <c r="F183" s="34">
        <v>24066</v>
      </c>
      <c r="G183" s="36">
        <f>Tabla13[[#This Row],[Importe]]-Tabla13[[#This Row],[Pagado]]</f>
        <v>0</v>
      </c>
      <c r="H183" s="38" t="s">
        <v>10</v>
      </c>
    </row>
    <row r="184" spans="1:8" x14ac:dyDescent="0.25">
      <c r="A184" s="31">
        <v>44594</v>
      </c>
      <c r="B184" s="37" t="s">
        <v>3843</v>
      </c>
      <c r="C184" s="38" t="s">
        <v>45</v>
      </c>
      <c r="D184" s="34">
        <v>10711.4</v>
      </c>
      <c r="E184" s="35">
        <v>44594</v>
      </c>
      <c r="F184" s="34">
        <v>10711.4</v>
      </c>
      <c r="G184" s="36">
        <f>Tabla13[[#This Row],[Importe]]-Tabla13[[#This Row],[Pagado]]</f>
        <v>0</v>
      </c>
      <c r="H184" s="38" t="s">
        <v>10</v>
      </c>
    </row>
    <row r="185" spans="1:8" x14ac:dyDescent="0.25">
      <c r="A185" s="31">
        <v>44594</v>
      </c>
      <c r="B185" s="37" t="s">
        <v>3844</v>
      </c>
      <c r="C185" s="38" t="s">
        <v>218</v>
      </c>
      <c r="D185" s="34">
        <v>17479.599999999999</v>
      </c>
      <c r="E185" s="35">
        <v>44597</v>
      </c>
      <c r="F185" s="34">
        <v>17479.599999999999</v>
      </c>
      <c r="G185" s="36">
        <f>Tabla13[[#This Row],[Importe]]-Tabla13[[#This Row],[Pagado]]</f>
        <v>0</v>
      </c>
      <c r="H185" s="38" t="s">
        <v>10</v>
      </c>
    </row>
    <row r="186" spans="1:8" x14ac:dyDescent="0.25">
      <c r="A186" s="31">
        <v>44594</v>
      </c>
      <c r="B186" s="37" t="s">
        <v>3845</v>
      </c>
      <c r="C186" s="38" t="s">
        <v>135</v>
      </c>
      <c r="D186" s="34">
        <v>813.4</v>
      </c>
      <c r="E186" s="35">
        <v>44594</v>
      </c>
      <c r="F186" s="34">
        <v>813.4</v>
      </c>
      <c r="G186" s="36">
        <f>Tabla13[[#This Row],[Importe]]-Tabla13[[#This Row],[Pagado]]</f>
        <v>0</v>
      </c>
      <c r="H186" s="38" t="s">
        <v>10</v>
      </c>
    </row>
    <row r="187" spans="1:8" x14ac:dyDescent="0.25">
      <c r="A187" s="31">
        <v>44594</v>
      </c>
      <c r="B187" s="37" t="s">
        <v>3846</v>
      </c>
      <c r="C187" s="38" t="s">
        <v>151</v>
      </c>
      <c r="D187" s="34">
        <v>6609.6</v>
      </c>
      <c r="E187" s="35">
        <v>44595</v>
      </c>
      <c r="F187" s="34">
        <v>6609.6</v>
      </c>
      <c r="G187" s="36">
        <f>Tabla13[[#This Row],[Importe]]-Tabla13[[#This Row],[Pagado]]</f>
        <v>0</v>
      </c>
      <c r="H187" s="38" t="s">
        <v>10</v>
      </c>
    </row>
    <row r="188" spans="1:8" x14ac:dyDescent="0.25">
      <c r="A188" s="31">
        <v>44594</v>
      </c>
      <c r="B188" s="37" t="s">
        <v>3847</v>
      </c>
      <c r="C188" s="38" t="s">
        <v>373</v>
      </c>
      <c r="D188" s="34">
        <v>2746.6</v>
      </c>
      <c r="E188" s="35">
        <v>44594</v>
      </c>
      <c r="F188" s="34">
        <v>2746.6</v>
      </c>
      <c r="G188" s="36">
        <f>Tabla13[[#This Row],[Importe]]-Tabla13[[#This Row],[Pagado]]</f>
        <v>0</v>
      </c>
      <c r="H188" s="38" t="s">
        <v>10</v>
      </c>
    </row>
    <row r="189" spans="1:8" x14ac:dyDescent="0.25">
      <c r="A189" s="31">
        <v>44594</v>
      </c>
      <c r="B189" s="37" t="s">
        <v>3848</v>
      </c>
      <c r="C189" s="38" t="s">
        <v>520</v>
      </c>
      <c r="D189" s="34">
        <v>2581.6</v>
      </c>
      <c r="E189" s="35">
        <v>44595</v>
      </c>
      <c r="F189" s="34">
        <v>2581.6</v>
      </c>
      <c r="G189" s="36">
        <f>Tabla13[[#This Row],[Importe]]-Tabla13[[#This Row],[Pagado]]</f>
        <v>0</v>
      </c>
      <c r="H189" s="38" t="s">
        <v>10</v>
      </c>
    </row>
    <row r="190" spans="1:8" x14ac:dyDescent="0.25">
      <c r="A190" s="31">
        <v>44594</v>
      </c>
      <c r="B190" s="37" t="s">
        <v>3849</v>
      </c>
      <c r="C190" s="38" t="s">
        <v>173</v>
      </c>
      <c r="D190" s="34">
        <v>21064.3</v>
      </c>
      <c r="E190" s="35">
        <v>44596</v>
      </c>
      <c r="F190" s="34">
        <v>21064.3</v>
      </c>
      <c r="G190" s="36">
        <f>Tabla13[[#This Row],[Importe]]-Tabla13[[#This Row],[Pagado]]</f>
        <v>0</v>
      </c>
      <c r="H190" s="38" t="s">
        <v>10</v>
      </c>
    </row>
    <row r="191" spans="1:8" x14ac:dyDescent="0.25">
      <c r="A191" s="31">
        <v>44594</v>
      </c>
      <c r="B191" s="37" t="s">
        <v>3850</v>
      </c>
      <c r="C191" s="38" t="s">
        <v>319</v>
      </c>
      <c r="D191" s="34">
        <v>5082</v>
      </c>
      <c r="E191" s="35">
        <v>44595</v>
      </c>
      <c r="F191" s="34">
        <v>5082</v>
      </c>
      <c r="G191" s="36">
        <f>Tabla13[[#This Row],[Importe]]-Tabla13[[#This Row],[Pagado]]</f>
        <v>0</v>
      </c>
      <c r="H191" s="38" t="s">
        <v>10</v>
      </c>
    </row>
    <row r="192" spans="1:8" x14ac:dyDescent="0.25">
      <c r="A192" s="31">
        <v>44594</v>
      </c>
      <c r="B192" s="37" t="s">
        <v>3851</v>
      </c>
      <c r="C192" s="38" t="s">
        <v>159</v>
      </c>
      <c r="D192" s="34">
        <v>1921</v>
      </c>
      <c r="E192" s="35">
        <v>44595</v>
      </c>
      <c r="F192" s="34">
        <v>1921</v>
      </c>
      <c r="G192" s="36">
        <f>Tabla13[[#This Row],[Importe]]-Tabla13[[#This Row],[Pagado]]</f>
        <v>0</v>
      </c>
      <c r="H192" s="38" t="s">
        <v>10</v>
      </c>
    </row>
    <row r="193" spans="1:8" x14ac:dyDescent="0.25">
      <c r="A193" s="31">
        <v>44594</v>
      </c>
      <c r="B193" s="37" t="s">
        <v>3852</v>
      </c>
      <c r="C193" s="38" t="s">
        <v>777</v>
      </c>
      <c r="D193" s="34">
        <v>5783.76</v>
      </c>
      <c r="E193" s="35">
        <v>44594</v>
      </c>
      <c r="F193" s="34">
        <v>5783.76</v>
      </c>
      <c r="G193" s="36">
        <f>Tabla13[[#This Row],[Importe]]-Tabla13[[#This Row],[Pagado]]</f>
        <v>0</v>
      </c>
      <c r="H193" s="38" t="s">
        <v>10</v>
      </c>
    </row>
    <row r="194" spans="1:8" x14ac:dyDescent="0.25">
      <c r="A194" s="31">
        <v>44594</v>
      </c>
      <c r="B194" s="37" t="s">
        <v>3853</v>
      </c>
      <c r="C194" s="38" t="s">
        <v>79</v>
      </c>
      <c r="D194" s="34">
        <v>2535</v>
      </c>
      <c r="E194" s="35">
        <v>44595</v>
      </c>
      <c r="F194" s="34">
        <v>2535</v>
      </c>
      <c r="G194" s="36">
        <f>Tabla13[[#This Row],[Importe]]-Tabla13[[#This Row],[Pagado]]</f>
        <v>0</v>
      </c>
      <c r="H194" s="38" t="s">
        <v>10</v>
      </c>
    </row>
    <row r="195" spans="1:8" x14ac:dyDescent="0.25">
      <c r="A195" s="31">
        <v>44594</v>
      </c>
      <c r="B195" s="37" t="s">
        <v>3854</v>
      </c>
      <c r="C195" s="38" t="s">
        <v>804</v>
      </c>
      <c r="D195" s="34">
        <v>8003.6</v>
      </c>
      <c r="E195" s="35">
        <v>44594</v>
      </c>
      <c r="F195" s="34">
        <v>8003.6</v>
      </c>
      <c r="G195" s="36">
        <f>Tabla13[[#This Row],[Importe]]-Tabla13[[#This Row],[Pagado]]</f>
        <v>0</v>
      </c>
      <c r="H195" s="38" t="s">
        <v>10</v>
      </c>
    </row>
    <row r="196" spans="1:8" x14ac:dyDescent="0.25">
      <c r="A196" s="31">
        <v>44594</v>
      </c>
      <c r="B196" s="37" t="s">
        <v>3855</v>
      </c>
      <c r="C196" s="38" t="s">
        <v>289</v>
      </c>
      <c r="D196" s="34">
        <v>7574.4</v>
      </c>
      <c r="E196" s="35">
        <v>44594</v>
      </c>
      <c r="F196" s="34">
        <v>7574.4</v>
      </c>
      <c r="G196" s="36">
        <f>Tabla13[[#This Row],[Importe]]-Tabla13[[#This Row],[Pagado]]</f>
        <v>0</v>
      </c>
      <c r="H196" s="38" t="s">
        <v>10</v>
      </c>
    </row>
    <row r="197" spans="1:8" x14ac:dyDescent="0.25">
      <c r="A197" s="31">
        <v>44594</v>
      </c>
      <c r="B197" s="37" t="s">
        <v>3856</v>
      </c>
      <c r="C197" s="38" t="s">
        <v>555</v>
      </c>
      <c r="D197" s="34">
        <v>34947.160000000003</v>
      </c>
      <c r="E197" s="35">
        <v>44594</v>
      </c>
      <c r="F197" s="34">
        <v>34947.160000000003</v>
      </c>
      <c r="G197" s="36">
        <f>Tabla13[[#This Row],[Importe]]-Tabla13[[#This Row],[Pagado]]</f>
        <v>0</v>
      </c>
      <c r="H197" s="38" t="s">
        <v>10</v>
      </c>
    </row>
    <row r="198" spans="1:8" x14ac:dyDescent="0.25">
      <c r="A198" s="31">
        <v>44594</v>
      </c>
      <c r="B198" s="37" t="s">
        <v>3857</v>
      </c>
      <c r="C198" s="38" t="s">
        <v>804</v>
      </c>
      <c r="D198" s="34">
        <v>5875.8</v>
      </c>
      <c r="E198" s="35">
        <v>44594</v>
      </c>
      <c r="F198" s="34">
        <v>5875.8</v>
      </c>
      <c r="G198" s="36">
        <f>Tabla13[[#This Row],[Importe]]-Tabla13[[#This Row],[Pagado]]</f>
        <v>0</v>
      </c>
      <c r="H198" s="38" t="s">
        <v>10</v>
      </c>
    </row>
    <row r="199" spans="1:8" x14ac:dyDescent="0.25">
      <c r="A199" s="31">
        <v>44594</v>
      </c>
      <c r="B199" s="37" t="s">
        <v>3858</v>
      </c>
      <c r="C199" s="38" t="s">
        <v>224</v>
      </c>
      <c r="D199" s="34">
        <v>2340.1999999999998</v>
      </c>
      <c r="E199" s="35">
        <v>44594</v>
      </c>
      <c r="F199" s="34">
        <v>2340.1999999999998</v>
      </c>
      <c r="G199" s="36">
        <f>Tabla13[[#This Row],[Importe]]-Tabla13[[#This Row],[Pagado]]</f>
        <v>0</v>
      </c>
      <c r="H199" s="38" t="s">
        <v>10</v>
      </c>
    </row>
    <row r="200" spans="1:8" x14ac:dyDescent="0.25">
      <c r="A200" s="31">
        <v>44594</v>
      </c>
      <c r="B200" s="37" t="s">
        <v>3859</v>
      </c>
      <c r="C200" s="38" t="s">
        <v>157</v>
      </c>
      <c r="D200" s="34">
        <v>2523.8000000000002</v>
      </c>
      <c r="E200" s="35">
        <v>44595</v>
      </c>
      <c r="F200" s="34">
        <v>2523.8000000000002</v>
      </c>
      <c r="G200" s="36">
        <f>Tabla13[[#This Row],[Importe]]-Tabla13[[#This Row],[Pagado]]</f>
        <v>0</v>
      </c>
      <c r="H200" s="38" t="s">
        <v>10</v>
      </c>
    </row>
    <row r="201" spans="1:8" x14ac:dyDescent="0.25">
      <c r="A201" s="31">
        <v>44594</v>
      </c>
      <c r="B201" s="37" t="s">
        <v>3860</v>
      </c>
      <c r="C201" s="38" t="s">
        <v>31</v>
      </c>
      <c r="D201" s="34">
        <v>1666</v>
      </c>
      <c r="E201" s="35">
        <v>44594</v>
      </c>
      <c r="F201" s="34">
        <v>1666</v>
      </c>
      <c r="G201" s="36">
        <f>Tabla13[[#This Row],[Importe]]-Tabla13[[#This Row],[Pagado]]</f>
        <v>0</v>
      </c>
      <c r="H201" s="38" t="s">
        <v>10</v>
      </c>
    </row>
    <row r="202" spans="1:8" x14ac:dyDescent="0.25">
      <c r="A202" s="31">
        <v>44594</v>
      </c>
      <c r="B202" s="37" t="s">
        <v>3861</v>
      </c>
      <c r="C202" s="38" t="s">
        <v>79</v>
      </c>
      <c r="D202" s="34">
        <v>3260</v>
      </c>
      <c r="E202" s="35">
        <v>44595</v>
      </c>
      <c r="F202" s="34">
        <v>3260</v>
      </c>
      <c r="G202" s="36">
        <f>Tabla13[[#This Row],[Importe]]-Tabla13[[#This Row],[Pagado]]</f>
        <v>0</v>
      </c>
      <c r="H202" s="38" t="s">
        <v>10</v>
      </c>
    </row>
    <row r="203" spans="1:8" x14ac:dyDescent="0.25">
      <c r="A203" s="31">
        <v>44594</v>
      </c>
      <c r="B203" s="37" t="s">
        <v>3862</v>
      </c>
      <c r="C203" s="38" t="s">
        <v>407</v>
      </c>
      <c r="D203" s="34">
        <v>6800</v>
      </c>
      <c r="E203" s="35">
        <v>44596</v>
      </c>
      <c r="F203" s="34">
        <v>6800</v>
      </c>
      <c r="G203" s="36">
        <f>Tabla13[[#This Row],[Importe]]-Tabla13[[#This Row],[Pagado]]</f>
        <v>0</v>
      </c>
      <c r="H203" s="38" t="s">
        <v>10</v>
      </c>
    </row>
    <row r="204" spans="1:8" x14ac:dyDescent="0.25">
      <c r="A204" s="31">
        <v>44594</v>
      </c>
      <c r="B204" s="37" t="s">
        <v>3863</v>
      </c>
      <c r="C204" s="38" t="s">
        <v>179</v>
      </c>
      <c r="D204" s="34">
        <v>840</v>
      </c>
      <c r="E204" s="35">
        <v>44594</v>
      </c>
      <c r="F204" s="34">
        <v>840</v>
      </c>
      <c r="G204" s="36">
        <f>Tabla13[[#This Row],[Importe]]-Tabla13[[#This Row],[Pagado]]</f>
        <v>0</v>
      </c>
      <c r="H204" s="38" t="s">
        <v>10</v>
      </c>
    </row>
    <row r="205" spans="1:8" x14ac:dyDescent="0.25">
      <c r="A205" s="31">
        <v>44594</v>
      </c>
      <c r="B205" s="37" t="s">
        <v>3864</v>
      </c>
      <c r="C205" s="38" t="s">
        <v>216</v>
      </c>
      <c r="D205" s="34">
        <v>1940</v>
      </c>
      <c r="E205" s="35">
        <v>44594</v>
      </c>
      <c r="F205" s="34">
        <v>1940</v>
      </c>
      <c r="G205" s="36">
        <f>Tabla13[[#This Row],[Importe]]-Tabla13[[#This Row],[Pagado]]</f>
        <v>0</v>
      </c>
      <c r="H205" s="38" t="s">
        <v>10</v>
      </c>
    </row>
    <row r="206" spans="1:8" x14ac:dyDescent="0.25">
      <c r="A206" s="31">
        <v>44594</v>
      </c>
      <c r="B206" s="37" t="s">
        <v>3865</v>
      </c>
      <c r="C206" s="38" t="s">
        <v>198</v>
      </c>
      <c r="D206" s="34">
        <v>3897.9</v>
      </c>
      <c r="E206" s="35">
        <v>44594</v>
      </c>
      <c r="F206" s="34">
        <v>3897.9</v>
      </c>
      <c r="G206" s="36">
        <f>Tabla13[[#This Row],[Importe]]-Tabla13[[#This Row],[Pagado]]</f>
        <v>0</v>
      </c>
      <c r="H206" s="38" t="s">
        <v>10</v>
      </c>
    </row>
    <row r="207" spans="1:8" x14ac:dyDescent="0.25">
      <c r="A207" s="31">
        <v>44594</v>
      </c>
      <c r="B207" s="37" t="s">
        <v>3866</v>
      </c>
      <c r="C207" s="38" t="s">
        <v>525</v>
      </c>
      <c r="D207" s="34">
        <v>3206</v>
      </c>
      <c r="E207" s="35">
        <v>44595</v>
      </c>
      <c r="F207" s="34">
        <v>3206</v>
      </c>
      <c r="G207" s="36">
        <f>Tabla13[[#This Row],[Importe]]-Tabla13[[#This Row],[Pagado]]</f>
        <v>0</v>
      </c>
      <c r="H207" s="38" t="s">
        <v>10</v>
      </c>
    </row>
    <row r="208" spans="1:8" x14ac:dyDescent="0.25">
      <c r="A208" s="31">
        <v>44594</v>
      </c>
      <c r="B208" s="37" t="s">
        <v>3867</v>
      </c>
      <c r="C208" s="38" t="s">
        <v>414</v>
      </c>
      <c r="D208" s="34">
        <v>10290</v>
      </c>
      <c r="E208" s="35">
        <v>44594</v>
      </c>
      <c r="F208" s="34">
        <v>10290</v>
      </c>
      <c r="G208" s="36">
        <f>Tabla13[[#This Row],[Importe]]-Tabla13[[#This Row],[Pagado]]</f>
        <v>0</v>
      </c>
      <c r="H208" s="38" t="s">
        <v>10</v>
      </c>
    </row>
    <row r="209" spans="1:8" x14ac:dyDescent="0.25">
      <c r="A209" s="31">
        <v>44594</v>
      </c>
      <c r="B209" s="37" t="s">
        <v>3868</v>
      </c>
      <c r="C209" s="38" t="s">
        <v>142</v>
      </c>
      <c r="D209" s="34">
        <v>4790.8</v>
      </c>
      <c r="E209" s="35">
        <v>44617</v>
      </c>
      <c r="F209" s="34">
        <v>4790.8</v>
      </c>
      <c r="G209" s="36">
        <f>Tabla13[[#This Row],[Importe]]-Tabla13[[#This Row],[Pagado]]</f>
        <v>0</v>
      </c>
      <c r="H209" s="38" t="s">
        <v>10</v>
      </c>
    </row>
    <row r="210" spans="1:8" x14ac:dyDescent="0.25">
      <c r="A210" s="31">
        <v>44594</v>
      </c>
      <c r="B210" s="37" t="s">
        <v>3869</v>
      </c>
      <c r="C210" s="38" t="s">
        <v>216</v>
      </c>
      <c r="D210" s="34">
        <v>9052.2000000000007</v>
      </c>
      <c r="E210" s="35">
        <v>44607</v>
      </c>
      <c r="F210" s="34">
        <v>9052.2000000000007</v>
      </c>
      <c r="G210" s="36">
        <f>Tabla13[[#This Row],[Importe]]-Tabla13[[#This Row],[Pagado]]</f>
        <v>0</v>
      </c>
      <c r="H210" s="38" t="s">
        <v>10</v>
      </c>
    </row>
    <row r="211" spans="1:8" x14ac:dyDescent="0.25">
      <c r="A211" s="31">
        <v>44594</v>
      </c>
      <c r="B211" s="37" t="s">
        <v>3870</v>
      </c>
      <c r="C211" s="38" t="s">
        <v>541</v>
      </c>
      <c r="D211" s="34">
        <v>14674.4</v>
      </c>
      <c r="E211" s="35">
        <v>44595</v>
      </c>
      <c r="F211" s="34">
        <v>14674.4</v>
      </c>
      <c r="G211" s="36">
        <f>Tabla13[[#This Row],[Importe]]-Tabla13[[#This Row],[Pagado]]</f>
        <v>0</v>
      </c>
      <c r="H211" s="38" t="s">
        <v>10</v>
      </c>
    </row>
    <row r="212" spans="1:8" x14ac:dyDescent="0.25">
      <c r="A212" s="31">
        <v>44594</v>
      </c>
      <c r="B212" s="37" t="s">
        <v>3871</v>
      </c>
      <c r="C212" s="38" t="s">
        <v>592</v>
      </c>
      <c r="D212" s="34">
        <v>9108</v>
      </c>
      <c r="E212" s="35">
        <v>44595</v>
      </c>
      <c r="F212" s="34">
        <v>9108</v>
      </c>
      <c r="G212" s="36">
        <f>Tabla13[[#This Row],[Importe]]-Tabla13[[#This Row],[Pagado]]</f>
        <v>0</v>
      </c>
      <c r="H212" s="38" t="s">
        <v>10</v>
      </c>
    </row>
    <row r="213" spans="1:8" x14ac:dyDescent="0.25">
      <c r="A213" s="31">
        <v>44594</v>
      </c>
      <c r="B213" s="37" t="s">
        <v>3872</v>
      </c>
      <c r="C213" s="38" t="s">
        <v>133</v>
      </c>
      <c r="D213" s="34">
        <v>9585.6</v>
      </c>
      <c r="E213" s="35">
        <v>44595</v>
      </c>
      <c r="F213" s="34">
        <v>9585.6</v>
      </c>
      <c r="G213" s="36">
        <f>Tabla13[[#This Row],[Importe]]-Tabla13[[#This Row],[Pagado]]</f>
        <v>0</v>
      </c>
      <c r="H213" s="38" t="s">
        <v>10</v>
      </c>
    </row>
    <row r="214" spans="1:8" x14ac:dyDescent="0.25">
      <c r="A214" s="31">
        <v>44594</v>
      </c>
      <c r="B214" s="37" t="s">
        <v>3873</v>
      </c>
      <c r="C214" s="38" t="s">
        <v>31</v>
      </c>
      <c r="D214" s="34">
        <v>5292</v>
      </c>
      <c r="E214" s="35">
        <v>44595</v>
      </c>
      <c r="F214" s="34">
        <v>5292</v>
      </c>
      <c r="G214" s="36">
        <f>Tabla13[[#This Row],[Importe]]-Tabla13[[#This Row],[Pagado]]</f>
        <v>0</v>
      </c>
      <c r="H214" s="38" t="s">
        <v>10</v>
      </c>
    </row>
    <row r="215" spans="1:8" x14ac:dyDescent="0.25">
      <c r="A215" s="31">
        <v>44594</v>
      </c>
      <c r="B215" s="37" t="s">
        <v>3874</v>
      </c>
      <c r="C215" s="38" t="s">
        <v>58</v>
      </c>
      <c r="D215" s="34">
        <v>3250.4</v>
      </c>
      <c r="E215" s="35">
        <v>44594</v>
      </c>
      <c r="F215" s="34">
        <v>3250.4</v>
      </c>
      <c r="G215" s="36">
        <f>Tabla13[[#This Row],[Importe]]-Tabla13[[#This Row],[Pagado]]</f>
        <v>0</v>
      </c>
      <c r="H215" s="38" t="s">
        <v>10</v>
      </c>
    </row>
    <row r="216" spans="1:8" x14ac:dyDescent="0.25">
      <c r="A216" s="31">
        <v>44594</v>
      </c>
      <c r="B216" s="37" t="s">
        <v>3875</v>
      </c>
      <c r="C216" s="38" t="s">
        <v>75</v>
      </c>
      <c r="D216" s="34">
        <v>3000</v>
      </c>
      <c r="E216" s="35">
        <v>44594</v>
      </c>
      <c r="F216" s="34">
        <v>3000</v>
      </c>
      <c r="G216" s="36">
        <f>Tabla13[[#This Row],[Importe]]-Tabla13[[#This Row],[Pagado]]</f>
        <v>0</v>
      </c>
      <c r="H216" s="38" t="s">
        <v>10</v>
      </c>
    </row>
    <row r="217" spans="1:8" x14ac:dyDescent="0.25">
      <c r="A217" s="31">
        <v>44594</v>
      </c>
      <c r="B217" s="37" t="s">
        <v>3876</v>
      </c>
      <c r="C217" s="38" t="s">
        <v>31</v>
      </c>
      <c r="D217" s="34">
        <v>4473.7</v>
      </c>
      <c r="E217" s="35">
        <v>44595</v>
      </c>
      <c r="F217" s="34">
        <v>4473.7</v>
      </c>
      <c r="G217" s="36">
        <f>Tabla13[[#This Row],[Importe]]-Tabla13[[#This Row],[Pagado]]</f>
        <v>0</v>
      </c>
      <c r="H217" s="38" t="s">
        <v>10</v>
      </c>
    </row>
    <row r="218" spans="1:8" x14ac:dyDescent="0.25">
      <c r="A218" s="31">
        <v>44594</v>
      </c>
      <c r="B218" s="37" t="s">
        <v>3877</v>
      </c>
      <c r="C218" s="38" t="s">
        <v>97</v>
      </c>
      <c r="D218" s="34">
        <v>3592.4</v>
      </c>
      <c r="E218" s="35">
        <v>44594</v>
      </c>
      <c r="F218" s="34">
        <v>3592.4</v>
      </c>
      <c r="G218" s="36">
        <f>Tabla13[[#This Row],[Importe]]-Tabla13[[#This Row],[Pagado]]</f>
        <v>0</v>
      </c>
      <c r="H218" s="38" t="s">
        <v>10</v>
      </c>
    </row>
    <row r="219" spans="1:8" x14ac:dyDescent="0.25">
      <c r="A219" s="31">
        <v>44594</v>
      </c>
      <c r="B219" s="37" t="s">
        <v>3878</v>
      </c>
      <c r="C219" s="38" t="s">
        <v>426</v>
      </c>
      <c r="D219" s="34">
        <v>1754.2</v>
      </c>
      <c r="E219" s="35">
        <v>44594</v>
      </c>
      <c r="F219" s="34">
        <v>1754.2</v>
      </c>
      <c r="G219" s="36">
        <f>Tabla13[[#This Row],[Importe]]-Tabla13[[#This Row],[Pagado]]</f>
        <v>0</v>
      </c>
      <c r="H219" s="38" t="s">
        <v>10</v>
      </c>
    </row>
    <row r="220" spans="1:8" x14ac:dyDescent="0.25">
      <c r="A220" s="31">
        <v>44594</v>
      </c>
      <c r="B220" s="37" t="s">
        <v>3879</v>
      </c>
      <c r="C220" s="38" t="s">
        <v>31</v>
      </c>
      <c r="D220" s="34">
        <v>1315</v>
      </c>
      <c r="E220" s="35">
        <v>44594</v>
      </c>
      <c r="F220" s="34">
        <v>1315</v>
      </c>
      <c r="G220" s="36">
        <f>Tabla13[[#This Row],[Importe]]-Tabla13[[#This Row],[Pagado]]</f>
        <v>0</v>
      </c>
      <c r="H220" s="38" t="s">
        <v>10</v>
      </c>
    </row>
    <row r="221" spans="1:8" x14ac:dyDescent="0.25">
      <c r="A221" s="31">
        <v>44594</v>
      </c>
      <c r="B221" s="37" t="s">
        <v>3880</v>
      </c>
      <c r="C221" s="38" t="s">
        <v>1644</v>
      </c>
      <c r="D221" s="34">
        <v>8870.4</v>
      </c>
      <c r="E221" s="35">
        <v>44595</v>
      </c>
      <c r="F221" s="34">
        <v>8870.4</v>
      </c>
      <c r="G221" s="36">
        <f>Tabla13[[#This Row],[Importe]]-Tabla13[[#This Row],[Pagado]]</f>
        <v>0</v>
      </c>
      <c r="H221" s="38" t="s">
        <v>10</v>
      </c>
    </row>
    <row r="222" spans="1:8" x14ac:dyDescent="0.25">
      <c r="A222" s="31">
        <v>44594</v>
      </c>
      <c r="B222" s="37" t="s">
        <v>3881</v>
      </c>
      <c r="C222" s="38" t="s">
        <v>1630</v>
      </c>
      <c r="D222" s="34">
        <v>6569</v>
      </c>
      <c r="E222" s="35">
        <v>44595</v>
      </c>
      <c r="F222" s="34">
        <v>6569</v>
      </c>
      <c r="G222" s="36">
        <f>Tabla13[[#This Row],[Importe]]-Tabla13[[#This Row],[Pagado]]</f>
        <v>0</v>
      </c>
      <c r="H222" s="38" t="s">
        <v>10</v>
      </c>
    </row>
    <row r="223" spans="1:8" x14ac:dyDescent="0.25">
      <c r="A223" s="31">
        <v>44594</v>
      </c>
      <c r="B223" s="37" t="s">
        <v>3882</v>
      </c>
      <c r="C223" s="38" t="s">
        <v>56</v>
      </c>
      <c r="D223" s="34">
        <v>6685.6</v>
      </c>
      <c r="E223" s="35">
        <v>44594</v>
      </c>
      <c r="F223" s="34">
        <v>6685.6</v>
      </c>
      <c r="G223" s="36">
        <f>Tabla13[[#This Row],[Importe]]-Tabla13[[#This Row],[Pagado]]</f>
        <v>0</v>
      </c>
      <c r="H223" s="38" t="s">
        <v>10</v>
      </c>
    </row>
    <row r="224" spans="1:8" x14ac:dyDescent="0.25">
      <c r="A224" s="31">
        <v>44594</v>
      </c>
      <c r="B224" s="37" t="s">
        <v>3883</v>
      </c>
      <c r="C224" s="38" t="s">
        <v>142</v>
      </c>
      <c r="D224" s="34">
        <v>31559.200000000001</v>
      </c>
      <c r="E224" s="35">
        <v>44617</v>
      </c>
      <c r="F224" s="34">
        <v>31559.200000000001</v>
      </c>
      <c r="G224" s="36">
        <f>Tabla13[[#This Row],[Importe]]-Tabla13[[#This Row],[Pagado]]</f>
        <v>0</v>
      </c>
      <c r="H224" s="38" t="s">
        <v>10</v>
      </c>
    </row>
    <row r="225" spans="1:8" x14ac:dyDescent="0.25">
      <c r="A225" s="31">
        <v>44594</v>
      </c>
      <c r="B225" s="37" t="s">
        <v>3884</v>
      </c>
      <c r="C225" s="38" t="s">
        <v>3885</v>
      </c>
      <c r="D225" s="34">
        <v>0</v>
      </c>
      <c r="E225" s="39" t="s">
        <v>189</v>
      </c>
      <c r="F225" s="34">
        <v>0</v>
      </c>
      <c r="G225" s="36">
        <f>Tabla13[[#This Row],[Importe]]-Tabla13[[#This Row],[Pagado]]</f>
        <v>0</v>
      </c>
      <c r="H225" s="38" t="s">
        <v>189</v>
      </c>
    </row>
    <row r="226" spans="1:8" x14ac:dyDescent="0.25">
      <c r="A226" s="31">
        <v>44594</v>
      </c>
      <c r="B226" s="37" t="s">
        <v>3886</v>
      </c>
      <c r="C226" s="38" t="s">
        <v>261</v>
      </c>
      <c r="D226" s="34">
        <v>29383.200000000001</v>
      </c>
      <c r="E226" s="35">
        <v>44594</v>
      </c>
      <c r="F226" s="34">
        <v>29383.200000000001</v>
      </c>
      <c r="G226" s="36">
        <f>Tabla13[[#This Row],[Importe]]-Tabla13[[#This Row],[Pagado]]</f>
        <v>0</v>
      </c>
      <c r="H226" s="38" t="s">
        <v>10</v>
      </c>
    </row>
    <row r="227" spans="1:8" x14ac:dyDescent="0.25">
      <c r="A227" s="31">
        <v>44594</v>
      </c>
      <c r="B227" s="37" t="s">
        <v>3887</v>
      </c>
      <c r="C227" s="38" t="s">
        <v>16</v>
      </c>
      <c r="D227" s="34">
        <v>570.4</v>
      </c>
      <c r="E227" s="35">
        <v>44594</v>
      </c>
      <c r="F227" s="34">
        <v>570.4</v>
      </c>
      <c r="G227" s="36">
        <f>Tabla13[[#This Row],[Importe]]-Tabla13[[#This Row],[Pagado]]</f>
        <v>0</v>
      </c>
      <c r="H227" s="38" t="s">
        <v>10</v>
      </c>
    </row>
    <row r="228" spans="1:8" x14ac:dyDescent="0.25">
      <c r="A228" s="31">
        <v>44594</v>
      </c>
      <c r="B228" s="37" t="s">
        <v>3888</v>
      </c>
      <c r="C228" s="38" t="s">
        <v>857</v>
      </c>
      <c r="D228" s="34">
        <v>845.5</v>
      </c>
      <c r="E228" s="35">
        <v>44594</v>
      </c>
      <c r="F228" s="34">
        <v>845.5</v>
      </c>
      <c r="G228" s="36">
        <f>Tabla13[[#This Row],[Importe]]-Tabla13[[#This Row],[Pagado]]</f>
        <v>0</v>
      </c>
      <c r="H228" s="38" t="s">
        <v>10</v>
      </c>
    </row>
    <row r="229" spans="1:8" x14ac:dyDescent="0.25">
      <c r="A229" s="31">
        <v>44594</v>
      </c>
      <c r="B229" s="37" t="s">
        <v>3889</v>
      </c>
      <c r="C229" s="38" t="s">
        <v>107</v>
      </c>
      <c r="D229" s="34">
        <v>14197.4</v>
      </c>
      <c r="E229" s="35">
        <v>44595</v>
      </c>
      <c r="F229" s="34">
        <v>14197.4</v>
      </c>
      <c r="G229" s="36">
        <f>Tabla13[[#This Row],[Importe]]-Tabla13[[#This Row],[Pagado]]</f>
        <v>0</v>
      </c>
      <c r="H229" s="38" t="s">
        <v>10</v>
      </c>
    </row>
    <row r="230" spans="1:8" x14ac:dyDescent="0.25">
      <c r="A230" s="31">
        <v>44594</v>
      </c>
      <c r="B230" s="37" t="s">
        <v>3890</v>
      </c>
      <c r="C230" s="38" t="s">
        <v>291</v>
      </c>
      <c r="D230" s="34">
        <v>1009.4</v>
      </c>
      <c r="E230" s="35">
        <v>44595</v>
      </c>
      <c r="F230" s="34">
        <v>1009.4</v>
      </c>
      <c r="G230" s="36">
        <f>Tabla13[[#This Row],[Importe]]-Tabla13[[#This Row],[Pagado]]</f>
        <v>0</v>
      </c>
      <c r="H230" s="38" t="s">
        <v>10</v>
      </c>
    </row>
    <row r="231" spans="1:8" x14ac:dyDescent="0.25">
      <c r="A231" s="31">
        <v>44594</v>
      </c>
      <c r="B231" s="37" t="s">
        <v>3891</v>
      </c>
      <c r="C231" s="38" t="s">
        <v>31</v>
      </c>
      <c r="D231" s="34">
        <v>840</v>
      </c>
      <c r="E231" s="35">
        <v>44594</v>
      </c>
      <c r="F231" s="34">
        <v>840</v>
      </c>
      <c r="G231" s="36">
        <f>Tabla13[[#This Row],[Importe]]-Tabla13[[#This Row],[Pagado]]</f>
        <v>0</v>
      </c>
      <c r="H231" s="38" t="s">
        <v>10</v>
      </c>
    </row>
    <row r="232" spans="1:8" x14ac:dyDescent="0.25">
      <c r="A232" s="31">
        <v>44594</v>
      </c>
      <c r="B232" s="37" t="s">
        <v>3892</v>
      </c>
      <c r="C232" s="38" t="s">
        <v>284</v>
      </c>
      <c r="D232" s="34">
        <v>7845</v>
      </c>
      <c r="E232" s="35">
        <v>44595</v>
      </c>
      <c r="F232" s="34">
        <v>7845</v>
      </c>
      <c r="G232" s="36">
        <f>Tabla13[[#This Row],[Importe]]-Tabla13[[#This Row],[Pagado]]</f>
        <v>0</v>
      </c>
      <c r="H232" s="38" t="s">
        <v>10</v>
      </c>
    </row>
    <row r="233" spans="1:8" x14ac:dyDescent="0.25">
      <c r="A233" s="31">
        <v>44594</v>
      </c>
      <c r="B233" s="37" t="s">
        <v>3893</v>
      </c>
      <c r="C233" s="38" t="s">
        <v>280</v>
      </c>
      <c r="D233" s="34">
        <v>565</v>
      </c>
      <c r="E233" s="35">
        <v>44595</v>
      </c>
      <c r="F233" s="34">
        <v>565</v>
      </c>
      <c r="G233" s="36">
        <f>Tabla13[[#This Row],[Importe]]-Tabla13[[#This Row],[Pagado]]</f>
        <v>0</v>
      </c>
      <c r="H233" s="38" t="s">
        <v>10</v>
      </c>
    </row>
    <row r="234" spans="1:8" x14ac:dyDescent="0.25">
      <c r="A234" s="31">
        <v>44594</v>
      </c>
      <c r="B234" s="37" t="s">
        <v>3894</v>
      </c>
      <c r="C234" s="38" t="s">
        <v>3747</v>
      </c>
      <c r="D234" s="34">
        <v>21115.8</v>
      </c>
      <c r="E234" s="35">
        <v>44594</v>
      </c>
      <c r="F234" s="34">
        <v>21115.8</v>
      </c>
      <c r="G234" s="36">
        <f>Tabla13[[#This Row],[Importe]]-Tabla13[[#This Row],[Pagado]]</f>
        <v>0</v>
      </c>
      <c r="H234" s="38" t="s">
        <v>10</v>
      </c>
    </row>
    <row r="235" spans="1:8" x14ac:dyDescent="0.25">
      <c r="A235" s="31">
        <v>44594</v>
      </c>
      <c r="B235" s="37" t="s">
        <v>3895</v>
      </c>
      <c r="C235" s="38" t="s">
        <v>698</v>
      </c>
      <c r="D235" s="34">
        <v>3944.9</v>
      </c>
      <c r="E235" s="35">
        <v>44594</v>
      </c>
      <c r="F235" s="34">
        <v>3944.9</v>
      </c>
      <c r="G235" s="36">
        <f>Tabla13[[#This Row],[Importe]]-Tabla13[[#This Row],[Pagado]]</f>
        <v>0</v>
      </c>
      <c r="H235" s="38" t="s">
        <v>10</v>
      </c>
    </row>
    <row r="236" spans="1:8" x14ac:dyDescent="0.25">
      <c r="A236" s="31">
        <v>44594</v>
      </c>
      <c r="B236" s="37" t="s">
        <v>3896</v>
      </c>
      <c r="C236" s="38" t="s">
        <v>875</v>
      </c>
      <c r="D236" s="34">
        <v>31725.42</v>
      </c>
      <c r="E236" s="35">
        <v>44595</v>
      </c>
      <c r="F236" s="34">
        <v>31725.42</v>
      </c>
      <c r="G236" s="36">
        <f>Tabla13[[#This Row],[Importe]]-Tabla13[[#This Row],[Pagado]]</f>
        <v>0</v>
      </c>
      <c r="H236" s="38" t="s">
        <v>10</v>
      </c>
    </row>
    <row r="237" spans="1:8" x14ac:dyDescent="0.25">
      <c r="A237" s="31">
        <v>44594</v>
      </c>
      <c r="B237" s="37" t="s">
        <v>3897</v>
      </c>
      <c r="C237" s="38" t="s">
        <v>452</v>
      </c>
      <c r="D237" s="34">
        <v>2886.4</v>
      </c>
      <c r="E237" s="35">
        <v>44594</v>
      </c>
      <c r="F237" s="34">
        <v>2886.4</v>
      </c>
      <c r="G237" s="36">
        <f>Tabla13[[#This Row],[Importe]]-Tabla13[[#This Row],[Pagado]]</f>
        <v>0</v>
      </c>
      <c r="H237" s="38" t="s">
        <v>10</v>
      </c>
    </row>
    <row r="238" spans="1:8" x14ac:dyDescent="0.25">
      <c r="A238" s="31">
        <v>44594</v>
      </c>
      <c r="B238" s="37" t="s">
        <v>3898</v>
      </c>
      <c r="C238" s="38" t="s">
        <v>435</v>
      </c>
      <c r="D238" s="34">
        <v>1072</v>
      </c>
      <c r="E238" s="35">
        <v>44594</v>
      </c>
      <c r="F238" s="34">
        <v>1072</v>
      </c>
      <c r="G238" s="36">
        <f>Tabla13[[#This Row],[Importe]]-Tabla13[[#This Row],[Pagado]]</f>
        <v>0</v>
      </c>
      <c r="H238" s="38" t="s">
        <v>10</v>
      </c>
    </row>
    <row r="239" spans="1:8" x14ac:dyDescent="0.25">
      <c r="A239" s="31">
        <v>44594</v>
      </c>
      <c r="B239" s="37" t="s">
        <v>3899</v>
      </c>
      <c r="C239" s="38" t="s">
        <v>3900</v>
      </c>
      <c r="D239" s="34">
        <v>1225.5999999999999</v>
      </c>
      <c r="E239" s="35">
        <v>44594</v>
      </c>
      <c r="F239" s="34">
        <v>1225.5999999999999</v>
      </c>
      <c r="G239" s="36">
        <f>Tabla13[[#This Row],[Importe]]-Tabla13[[#This Row],[Pagado]]</f>
        <v>0</v>
      </c>
      <c r="H239" s="38" t="s">
        <v>10</v>
      </c>
    </row>
    <row r="240" spans="1:8" x14ac:dyDescent="0.25">
      <c r="A240" s="31">
        <v>44594</v>
      </c>
      <c r="B240" s="37" t="s">
        <v>3901</v>
      </c>
      <c r="C240" s="38" t="s">
        <v>71</v>
      </c>
      <c r="D240" s="34">
        <v>10146</v>
      </c>
      <c r="E240" s="35">
        <v>44594</v>
      </c>
      <c r="F240" s="34">
        <v>10146</v>
      </c>
      <c r="G240" s="36">
        <f>Tabla13[[#This Row],[Importe]]-Tabla13[[#This Row],[Pagado]]</f>
        <v>0</v>
      </c>
      <c r="H240" s="38" t="s">
        <v>10</v>
      </c>
    </row>
    <row r="241" spans="1:8" x14ac:dyDescent="0.25">
      <c r="A241" s="31">
        <v>44594</v>
      </c>
      <c r="B241" s="37" t="s">
        <v>3902</v>
      </c>
      <c r="C241" s="38" t="s">
        <v>400</v>
      </c>
      <c r="D241" s="34">
        <v>5679.8</v>
      </c>
      <c r="E241" s="35">
        <v>44602</v>
      </c>
      <c r="F241" s="34">
        <v>5679.8</v>
      </c>
      <c r="G241" s="36">
        <f>Tabla13[[#This Row],[Importe]]-Tabla13[[#This Row],[Pagado]]</f>
        <v>0</v>
      </c>
      <c r="H241" s="38" t="s">
        <v>10</v>
      </c>
    </row>
    <row r="242" spans="1:8" x14ac:dyDescent="0.25">
      <c r="A242" s="31">
        <v>44594</v>
      </c>
      <c r="B242" s="37" t="s">
        <v>3903</v>
      </c>
      <c r="C242" s="38" t="s">
        <v>365</v>
      </c>
      <c r="D242" s="34">
        <v>1591.5</v>
      </c>
      <c r="E242" s="35">
        <v>44594</v>
      </c>
      <c r="F242" s="34">
        <v>1591.5</v>
      </c>
      <c r="G242" s="36">
        <f>Tabla13[[#This Row],[Importe]]-Tabla13[[#This Row],[Pagado]]</f>
        <v>0</v>
      </c>
      <c r="H242" s="38" t="s">
        <v>10</v>
      </c>
    </row>
    <row r="243" spans="1:8" x14ac:dyDescent="0.25">
      <c r="A243" s="31">
        <v>44594</v>
      </c>
      <c r="B243" s="37" t="s">
        <v>3904</v>
      </c>
      <c r="C243" s="38" t="s">
        <v>610</v>
      </c>
      <c r="D243" s="34">
        <v>19554</v>
      </c>
      <c r="E243" s="35">
        <v>44594</v>
      </c>
      <c r="F243" s="34">
        <v>19554</v>
      </c>
      <c r="G243" s="36">
        <f>Tabla13[[#This Row],[Importe]]-Tabla13[[#This Row],[Pagado]]</f>
        <v>0</v>
      </c>
      <c r="H243" s="38" t="s">
        <v>10</v>
      </c>
    </row>
    <row r="244" spans="1:8" x14ac:dyDescent="0.25">
      <c r="A244" s="31">
        <v>44594</v>
      </c>
      <c r="B244" s="37" t="s">
        <v>3905</v>
      </c>
      <c r="C244" s="38" t="s">
        <v>31</v>
      </c>
      <c r="D244" s="34">
        <v>455.7</v>
      </c>
      <c r="E244" s="35">
        <v>44594</v>
      </c>
      <c r="F244" s="34">
        <v>455.7</v>
      </c>
      <c r="G244" s="36">
        <f>Tabla13[[#This Row],[Importe]]-Tabla13[[#This Row],[Pagado]]</f>
        <v>0</v>
      </c>
      <c r="H244" s="38" t="s">
        <v>10</v>
      </c>
    </row>
    <row r="245" spans="1:8" x14ac:dyDescent="0.25">
      <c r="A245" s="31">
        <v>44594</v>
      </c>
      <c r="B245" s="37" t="s">
        <v>3906</v>
      </c>
      <c r="C245" s="38" t="s">
        <v>1008</v>
      </c>
      <c r="D245" s="34">
        <v>3811.4</v>
      </c>
      <c r="E245" s="35">
        <v>44594</v>
      </c>
      <c r="F245" s="34">
        <v>3811.4</v>
      </c>
      <c r="G245" s="36">
        <f>Tabla13[[#This Row],[Importe]]-Tabla13[[#This Row],[Pagado]]</f>
        <v>0</v>
      </c>
      <c r="H245" s="38" t="s">
        <v>10</v>
      </c>
    </row>
    <row r="246" spans="1:8" x14ac:dyDescent="0.25">
      <c r="A246" s="31">
        <v>44594</v>
      </c>
      <c r="B246" s="37" t="s">
        <v>3907</v>
      </c>
      <c r="C246" s="38" t="s">
        <v>298</v>
      </c>
      <c r="D246" s="34">
        <v>2400</v>
      </c>
      <c r="E246" s="35">
        <v>44595</v>
      </c>
      <c r="F246" s="34">
        <v>2400</v>
      </c>
      <c r="G246" s="36">
        <f>Tabla13[[#This Row],[Importe]]-Tabla13[[#This Row],[Pagado]]</f>
        <v>0</v>
      </c>
      <c r="H246" s="38" t="s">
        <v>10</v>
      </c>
    </row>
    <row r="247" spans="1:8" x14ac:dyDescent="0.25">
      <c r="A247" s="31">
        <v>44594</v>
      </c>
      <c r="B247" s="37" t="s">
        <v>3908</v>
      </c>
      <c r="C247" s="38" t="s">
        <v>612</v>
      </c>
      <c r="D247" s="34">
        <v>604.79999999999995</v>
      </c>
      <c r="E247" s="35">
        <v>44595</v>
      </c>
      <c r="F247" s="34">
        <v>604.79999999999995</v>
      </c>
      <c r="G247" s="36">
        <f>Tabla13[[#This Row],[Importe]]-Tabla13[[#This Row],[Pagado]]</f>
        <v>0</v>
      </c>
      <c r="H247" s="38" t="s">
        <v>10</v>
      </c>
    </row>
    <row r="248" spans="1:8" x14ac:dyDescent="0.25">
      <c r="A248" s="31">
        <v>44594</v>
      </c>
      <c r="B248" s="37" t="s">
        <v>3909</v>
      </c>
      <c r="C248" s="38" t="s">
        <v>454</v>
      </c>
      <c r="D248" s="34">
        <v>5168</v>
      </c>
      <c r="E248" s="35">
        <v>44595</v>
      </c>
      <c r="F248" s="34">
        <v>5168</v>
      </c>
      <c r="G248" s="36">
        <f>Tabla13[[#This Row],[Importe]]-Tabla13[[#This Row],[Pagado]]</f>
        <v>0</v>
      </c>
      <c r="H248" s="38" t="s">
        <v>10</v>
      </c>
    </row>
    <row r="249" spans="1:8" x14ac:dyDescent="0.25">
      <c r="A249" s="31">
        <v>44595</v>
      </c>
      <c r="B249" s="37" t="s">
        <v>3910</v>
      </c>
      <c r="C249" s="38" t="s">
        <v>20</v>
      </c>
      <c r="D249" s="34">
        <v>1755</v>
      </c>
      <c r="E249" s="35">
        <v>44595</v>
      </c>
      <c r="F249" s="34">
        <v>1755</v>
      </c>
      <c r="G249" s="36">
        <f>Tabla13[[#This Row],[Importe]]-Tabla13[[#This Row],[Pagado]]</f>
        <v>0</v>
      </c>
      <c r="H249" s="38" t="s">
        <v>10</v>
      </c>
    </row>
    <row r="250" spans="1:8" ht="31.5" x14ac:dyDescent="0.25">
      <c r="A250" s="31">
        <v>44595</v>
      </c>
      <c r="B250" s="37" t="s">
        <v>3911</v>
      </c>
      <c r="C250" s="38" t="s">
        <v>887</v>
      </c>
      <c r="D250" s="34">
        <v>11526</v>
      </c>
      <c r="E250" s="35" t="s">
        <v>3912</v>
      </c>
      <c r="F250" s="34">
        <f>9526+2000</f>
        <v>11526</v>
      </c>
      <c r="G250" s="36">
        <f>Tabla13[[#This Row],[Importe]]-Tabla13[[#This Row],[Pagado]]</f>
        <v>0</v>
      </c>
      <c r="H250" s="38" t="s">
        <v>10</v>
      </c>
    </row>
    <row r="251" spans="1:8" ht="31.5" x14ac:dyDescent="0.25">
      <c r="A251" s="31">
        <v>44595</v>
      </c>
      <c r="B251" s="37" t="s">
        <v>3913</v>
      </c>
      <c r="C251" s="38" t="s">
        <v>475</v>
      </c>
      <c r="D251" s="34">
        <v>83109.600000000006</v>
      </c>
      <c r="E251" s="35" t="s">
        <v>3912</v>
      </c>
      <c r="F251" s="34">
        <f>82000+1109.6</f>
        <v>83109.600000000006</v>
      </c>
      <c r="G251" s="36">
        <f>Tabla13[[#This Row],[Importe]]-Tabla13[[#This Row],[Pagado]]</f>
        <v>0</v>
      </c>
      <c r="H251" s="38" t="s">
        <v>10</v>
      </c>
    </row>
    <row r="252" spans="1:8" x14ac:dyDescent="0.25">
      <c r="A252" s="31">
        <v>44595</v>
      </c>
      <c r="B252" s="37" t="s">
        <v>3914</v>
      </c>
      <c r="C252" s="38" t="s">
        <v>31</v>
      </c>
      <c r="D252" s="34">
        <v>4009.2</v>
      </c>
      <c r="E252" s="35">
        <v>44595</v>
      </c>
      <c r="F252" s="34">
        <v>4009.2</v>
      </c>
      <c r="G252" s="36">
        <f>Tabla13[[#This Row],[Importe]]-Tabla13[[#This Row],[Pagado]]</f>
        <v>0</v>
      </c>
      <c r="H252" s="38" t="s">
        <v>10</v>
      </c>
    </row>
    <row r="253" spans="1:8" x14ac:dyDescent="0.25">
      <c r="A253" s="31">
        <v>44595</v>
      </c>
      <c r="B253" s="37" t="s">
        <v>3915</v>
      </c>
      <c r="C253" s="38" t="s">
        <v>31</v>
      </c>
      <c r="D253" s="34">
        <v>26709.9</v>
      </c>
      <c r="E253" s="35">
        <v>44595</v>
      </c>
      <c r="F253" s="34">
        <v>26709.9</v>
      </c>
      <c r="G253" s="36">
        <f>Tabla13[[#This Row],[Importe]]-Tabla13[[#This Row],[Pagado]]</f>
        <v>0</v>
      </c>
      <c r="H253" s="38" t="s">
        <v>10</v>
      </c>
    </row>
    <row r="254" spans="1:8" x14ac:dyDescent="0.25">
      <c r="A254" s="31">
        <v>44595</v>
      </c>
      <c r="B254" s="37" t="s">
        <v>3916</v>
      </c>
      <c r="C254" s="38" t="s">
        <v>481</v>
      </c>
      <c r="D254" s="34">
        <v>3433.6</v>
      </c>
      <c r="E254" s="35">
        <v>44595</v>
      </c>
      <c r="F254" s="34">
        <v>3433.6</v>
      </c>
      <c r="G254" s="36">
        <f>Tabla13[[#This Row],[Importe]]-Tabla13[[#This Row],[Pagado]]</f>
        <v>0</v>
      </c>
      <c r="H254" s="38" t="s">
        <v>10</v>
      </c>
    </row>
    <row r="255" spans="1:8" x14ac:dyDescent="0.25">
      <c r="A255" s="31">
        <v>44595</v>
      </c>
      <c r="B255" s="37" t="s">
        <v>3917</v>
      </c>
      <c r="C255" s="38" t="s">
        <v>12</v>
      </c>
      <c r="D255" s="34">
        <v>41759.300000000003</v>
      </c>
      <c r="E255" s="35">
        <v>44596</v>
      </c>
      <c r="F255" s="34">
        <v>41759.300000000003</v>
      </c>
      <c r="G255" s="36">
        <f>Tabla13[[#This Row],[Importe]]-Tabla13[[#This Row],[Pagado]]</f>
        <v>0</v>
      </c>
      <c r="H255" s="38" t="s">
        <v>10</v>
      </c>
    </row>
    <row r="256" spans="1:8" x14ac:dyDescent="0.25">
      <c r="A256" s="31">
        <v>44595</v>
      </c>
      <c r="B256" s="37" t="s">
        <v>3918</v>
      </c>
      <c r="C256" s="38" t="s">
        <v>60</v>
      </c>
      <c r="D256" s="34">
        <v>3768.9</v>
      </c>
      <c r="E256" s="35">
        <v>44598</v>
      </c>
      <c r="F256" s="34">
        <v>3768.9</v>
      </c>
      <c r="G256" s="36">
        <f>Tabla13[[#This Row],[Importe]]-Tabla13[[#This Row],[Pagado]]</f>
        <v>0</v>
      </c>
      <c r="H256" s="38" t="s">
        <v>10</v>
      </c>
    </row>
    <row r="257" spans="1:8" x14ac:dyDescent="0.25">
      <c r="A257" s="31">
        <v>44595</v>
      </c>
      <c r="B257" s="37" t="s">
        <v>3919</v>
      </c>
      <c r="C257" s="38" t="s">
        <v>114</v>
      </c>
      <c r="D257" s="34">
        <v>8668.1</v>
      </c>
      <c r="E257" s="35">
        <v>44599</v>
      </c>
      <c r="F257" s="34">
        <v>8668.1</v>
      </c>
      <c r="G257" s="36">
        <f>Tabla13[[#This Row],[Importe]]-Tabla13[[#This Row],[Pagado]]</f>
        <v>0</v>
      </c>
      <c r="H257" s="38" t="s">
        <v>10</v>
      </c>
    </row>
    <row r="258" spans="1:8" x14ac:dyDescent="0.25">
      <c r="A258" s="31">
        <v>44595</v>
      </c>
      <c r="B258" s="37" t="s">
        <v>3920</v>
      </c>
      <c r="C258" s="38" t="s">
        <v>326</v>
      </c>
      <c r="D258" s="34">
        <v>4601.1000000000004</v>
      </c>
      <c r="E258" s="35">
        <v>44596</v>
      </c>
      <c r="F258" s="34">
        <v>4601.1000000000004</v>
      </c>
      <c r="G258" s="36">
        <f>Tabla13[[#This Row],[Importe]]-Tabla13[[#This Row],[Pagado]]</f>
        <v>0</v>
      </c>
      <c r="H258" s="38" t="s">
        <v>10</v>
      </c>
    </row>
    <row r="259" spans="1:8" ht="31.5" x14ac:dyDescent="0.25">
      <c r="A259" s="31">
        <v>44595</v>
      </c>
      <c r="B259" s="37" t="s">
        <v>3921</v>
      </c>
      <c r="C259" s="38" t="s">
        <v>39</v>
      </c>
      <c r="D259" s="34">
        <v>20290.900000000001</v>
      </c>
      <c r="E259" s="35" t="s">
        <v>3922</v>
      </c>
      <c r="F259" s="34">
        <f>10000+10290.9</f>
        <v>20290.900000000001</v>
      </c>
      <c r="G259" s="36">
        <f>Tabla13[[#This Row],[Importe]]-Tabla13[[#This Row],[Pagado]]</f>
        <v>0</v>
      </c>
      <c r="H259" s="38" t="s">
        <v>10</v>
      </c>
    </row>
    <row r="260" spans="1:8" x14ac:dyDescent="0.25">
      <c r="A260" s="31">
        <v>44595</v>
      </c>
      <c r="B260" s="37" t="s">
        <v>3923</v>
      </c>
      <c r="C260" s="38" t="s">
        <v>89</v>
      </c>
      <c r="D260" s="34">
        <v>2019.6</v>
      </c>
      <c r="E260" s="35">
        <v>44596</v>
      </c>
      <c r="F260" s="34">
        <v>2019.6</v>
      </c>
      <c r="G260" s="36">
        <f>Tabla13[[#This Row],[Importe]]-Tabla13[[#This Row],[Pagado]]</f>
        <v>0</v>
      </c>
      <c r="H260" s="38" t="s">
        <v>10</v>
      </c>
    </row>
    <row r="261" spans="1:8" x14ac:dyDescent="0.25">
      <c r="A261" s="31">
        <v>44595</v>
      </c>
      <c r="B261" s="37" t="s">
        <v>3924</v>
      </c>
      <c r="C261" s="38" t="s">
        <v>348</v>
      </c>
      <c r="D261" s="34">
        <v>2672.4</v>
      </c>
      <c r="E261" s="35">
        <v>44595</v>
      </c>
      <c r="F261" s="34">
        <v>2672.4</v>
      </c>
      <c r="G261" s="36">
        <f>Tabla13[[#This Row],[Importe]]-Tabla13[[#This Row],[Pagado]]</f>
        <v>0</v>
      </c>
      <c r="H261" s="38" t="s">
        <v>10</v>
      </c>
    </row>
    <row r="262" spans="1:8" x14ac:dyDescent="0.25">
      <c r="A262" s="31">
        <v>44595</v>
      </c>
      <c r="B262" s="37" t="s">
        <v>3925</v>
      </c>
      <c r="C262" s="38" t="s">
        <v>111</v>
      </c>
      <c r="D262" s="34">
        <v>4013.1</v>
      </c>
      <c r="E262" s="35">
        <v>44596</v>
      </c>
      <c r="F262" s="34">
        <v>4013.1</v>
      </c>
      <c r="G262" s="36">
        <f>Tabla13[[#This Row],[Importe]]-Tabla13[[#This Row],[Pagado]]</f>
        <v>0</v>
      </c>
      <c r="H262" s="38" t="s">
        <v>10</v>
      </c>
    </row>
    <row r="263" spans="1:8" x14ac:dyDescent="0.25">
      <c r="A263" s="31">
        <v>44595</v>
      </c>
      <c r="B263" s="37" t="s">
        <v>3926</v>
      </c>
      <c r="C263" s="38" t="s">
        <v>18</v>
      </c>
      <c r="D263" s="34">
        <v>1395</v>
      </c>
      <c r="E263" s="35">
        <v>44595</v>
      </c>
      <c r="F263" s="34">
        <v>1395</v>
      </c>
      <c r="G263" s="36">
        <f>Tabla13[[#This Row],[Importe]]-Tabla13[[#This Row],[Pagado]]</f>
        <v>0</v>
      </c>
      <c r="H263" s="38" t="s">
        <v>10</v>
      </c>
    </row>
    <row r="264" spans="1:8" x14ac:dyDescent="0.25">
      <c r="A264" s="31">
        <v>44595</v>
      </c>
      <c r="B264" s="37" t="s">
        <v>3927</v>
      </c>
      <c r="C264" s="38" t="s">
        <v>64</v>
      </c>
      <c r="D264" s="34">
        <v>3753.6</v>
      </c>
      <c r="E264" s="35">
        <v>44596</v>
      </c>
      <c r="F264" s="34">
        <v>3753.6</v>
      </c>
      <c r="G264" s="36">
        <f>Tabla13[[#This Row],[Importe]]-Tabla13[[#This Row],[Pagado]]</f>
        <v>0</v>
      </c>
      <c r="H264" s="38" t="s">
        <v>10</v>
      </c>
    </row>
    <row r="265" spans="1:8" x14ac:dyDescent="0.25">
      <c r="A265" s="31">
        <v>44595</v>
      </c>
      <c r="B265" s="37" t="s">
        <v>3928</v>
      </c>
      <c r="C265" s="38" t="s">
        <v>97</v>
      </c>
      <c r="D265" s="34">
        <v>4096.3999999999996</v>
      </c>
      <c r="E265" s="35">
        <v>44597</v>
      </c>
      <c r="F265" s="34">
        <v>4096.3999999999996</v>
      </c>
      <c r="G265" s="36">
        <f>Tabla13[[#This Row],[Importe]]-Tabla13[[#This Row],[Pagado]]</f>
        <v>0</v>
      </c>
      <c r="H265" s="38" t="s">
        <v>10</v>
      </c>
    </row>
    <row r="266" spans="1:8" x14ac:dyDescent="0.25">
      <c r="A266" s="31">
        <v>44595</v>
      </c>
      <c r="B266" s="37" t="s">
        <v>3929</v>
      </c>
      <c r="C266" s="38" t="s">
        <v>99</v>
      </c>
      <c r="D266" s="34">
        <v>5646.3</v>
      </c>
      <c r="E266" s="35">
        <v>44597</v>
      </c>
      <c r="F266" s="34">
        <v>5646.3</v>
      </c>
      <c r="G266" s="36">
        <f>Tabla13[[#This Row],[Importe]]-Tabla13[[#This Row],[Pagado]]</f>
        <v>0</v>
      </c>
      <c r="H266" s="38" t="s">
        <v>10</v>
      </c>
    </row>
    <row r="267" spans="1:8" x14ac:dyDescent="0.25">
      <c r="A267" s="31">
        <v>44595</v>
      </c>
      <c r="B267" s="37" t="s">
        <v>3930</v>
      </c>
      <c r="C267" s="38" t="s">
        <v>18</v>
      </c>
      <c r="D267" s="34">
        <v>87.5</v>
      </c>
      <c r="E267" s="35">
        <v>44595</v>
      </c>
      <c r="F267" s="34">
        <v>87.5</v>
      </c>
      <c r="G267" s="36">
        <f>Tabla13[[#This Row],[Importe]]-Tabla13[[#This Row],[Pagado]]</f>
        <v>0</v>
      </c>
      <c r="H267" s="38" t="s">
        <v>10</v>
      </c>
    </row>
    <row r="268" spans="1:8" x14ac:dyDescent="0.25">
      <c r="A268" s="31">
        <v>44595</v>
      </c>
      <c r="B268" s="37" t="s">
        <v>3931</v>
      </c>
      <c r="C268" s="38" t="s">
        <v>120</v>
      </c>
      <c r="D268" s="34">
        <v>4192.2</v>
      </c>
      <c r="E268" s="35">
        <v>44597</v>
      </c>
      <c r="F268" s="34">
        <v>4192.2</v>
      </c>
      <c r="G268" s="36">
        <f>Tabla13[[#This Row],[Importe]]-Tabla13[[#This Row],[Pagado]]</f>
        <v>0</v>
      </c>
      <c r="H268" s="38" t="s">
        <v>10</v>
      </c>
    </row>
    <row r="269" spans="1:8" x14ac:dyDescent="0.25">
      <c r="A269" s="31">
        <v>44595</v>
      </c>
      <c r="B269" s="37" t="s">
        <v>3932</v>
      </c>
      <c r="C269" s="38" t="s">
        <v>93</v>
      </c>
      <c r="D269" s="34">
        <v>3954.3</v>
      </c>
      <c r="E269" s="35">
        <v>44596</v>
      </c>
      <c r="F269" s="34">
        <v>3954.3</v>
      </c>
      <c r="G269" s="36">
        <f>Tabla13[[#This Row],[Importe]]-Tabla13[[#This Row],[Pagado]]</f>
        <v>0</v>
      </c>
      <c r="H269" s="38" t="s">
        <v>10</v>
      </c>
    </row>
    <row r="270" spans="1:8" x14ac:dyDescent="0.25">
      <c r="A270" s="31">
        <v>44595</v>
      </c>
      <c r="B270" s="37" t="s">
        <v>3933</v>
      </c>
      <c r="C270" s="38" t="s">
        <v>105</v>
      </c>
      <c r="D270" s="34">
        <v>3822</v>
      </c>
      <c r="E270" s="35">
        <v>44596</v>
      </c>
      <c r="F270" s="34">
        <v>3822</v>
      </c>
      <c r="G270" s="36">
        <f>Tabla13[[#This Row],[Importe]]-Tabla13[[#This Row],[Pagado]]</f>
        <v>0</v>
      </c>
      <c r="H270" s="38" t="s">
        <v>10</v>
      </c>
    </row>
    <row r="271" spans="1:8" ht="31.5" x14ac:dyDescent="0.25">
      <c r="A271" s="31">
        <v>44595</v>
      </c>
      <c r="B271" s="37" t="s">
        <v>3934</v>
      </c>
      <c r="C271" s="38" t="s">
        <v>22</v>
      </c>
      <c r="D271" s="34">
        <v>40639.199999999997</v>
      </c>
      <c r="E271" s="35" t="s">
        <v>3912</v>
      </c>
      <c r="F271" s="34">
        <f>26000+14639.2</f>
        <v>40639.199999999997</v>
      </c>
      <c r="G271" s="36">
        <f>Tabla13[[#This Row],[Importe]]-Tabla13[[#This Row],[Pagado]]</f>
        <v>0</v>
      </c>
      <c r="H271" s="38" t="s">
        <v>10</v>
      </c>
    </row>
    <row r="272" spans="1:8" x14ac:dyDescent="0.25">
      <c r="A272" s="31">
        <v>44595</v>
      </c>
      <c r="B272" s="37" t="s">
        <v>3935</v>
      </c>
      <c r="C272" s="38" t="s">
        <v>9</v>
      </c>
      <c r="D272" s="34">
        <v>7270.4</v>
      </c>
      <c r="E272" s="35">
        <v>44595</v>
      </c>
      <c r="F272" s="34">
        <v>7270.4</v>
      </c>
      <c r="G272" s="36">
        <f>Tabla13[[#This Row],[Importe]]-Tabla13[[#This Row],[Pagado]]</f>
        <v>0</v>
      </c>
      <c r="H272" s="38" t="s">
        <v>10</v>
      </c>
    </row>
    <row r="273" spans="1:8" x14ac:dyDescent="0.25">
      <c r="A273" s="31">
        <v>44595</v>
      </c>
      <c r="B273" s="37" t="s">
        <v>3936</v>
      </c>
      <c r="C273" s="38" t="s">
        <v>79</v>
      </c>
      <c r="D273" s="34">
        <v>5220</v>
      </c>
      <c r="E273" s="35">
        <v>44595</v>
      </c>
      <c r="F273" s="34">
        <v>5220</v>
      </c>
      <c r="G273" s="36">
        <f>Tabla13[[#This Row],[Importe]]-Tabla13[[#This Row],[Pagado]]</f>
        <v>0</v>
      </c>
      <c r="H273" s="38" t="s">
        <v>10</v>
      </c>
    </row>
    <row r="274" spans="1:8" x14ac:dyDescent="0.25">
      <c r="A274" s="31">
        <v>44595</v>
      </c>
      <c r="B274" s="37" t="s">
        <v>3937</v>
      </c>
      <c r="C274" s="38" t="s">
        <v>125</v>
      </c>
      <c r="D274" s="34">
        <v>5214.2</v>
      </c>
      <c r="E274" s="35">
        <v>44595</v>
      </c>
      <c r="F274" s="34">
        <v>5214.2</v>
      </c>
      <c r="G274" s="36">
        <f>Tabla13[[#This Row],[Importe]]-Tabla13[[#This Row],[Pagado]]</f>
        <v>0</v>
      </c>
      <c r="H274" s="38" t="s">
        <v>10</v>
      </c>
    </row>
    <row r="275" spans="1:8" x14ac:dyDescent="0.25">
      <c r="A275" s="31">
        <v>44595</v>
      </c>
      <c r="B275" s="37" t="s">
        <v>3938</v>
      </c>
      <c r="C275" s="38" t="s">
        <v>83</v>
      </c>
      <c r="D275" s="34">
        <v>7711.4</v>
      </c>
      <c r="E275" s="35">
        <v>44595</v>
      </c>
      <c r="F275" s="34">
        <v>7711.4</v>
      </c>
      <c r="G275" s="36">
        <f>Tabla13[[#This Row],[Importe]]-Tabla13[[#This Row],[Pagado]]</f>
        <v>0</v>
      </c>
      <c r="H275" s="38" t="s">
        <v>10</v>
      </c>
    </row>
    <row r="276" spans="1:8" x14ac:dyDescent="0.25">
      <c r="A276" s="31">
        <v>44595</v>
      </c>
      <c r="B276" s="37" t="s">
        <v>3939</v>
      </c>
      <c r="C276" s="38" t="s">
        <v>664</v>
      </c>
      <c r="D276" s="34">
        <v>5236.3999999999996</v>
      </c>
      <c r="E276" s="35">
        <v>44595</v>
      </c>
      <c r="F276" s="34">
        <v>5236.3999999999996</v>
      </c>
      <c r="G276" s="36">
        <f>Tabla13[[#This Row],[Importe]]-Tabla13[[#This Row],[Pagado]]</f>
        <v>0</v>
      </c>
      <c r="H276" s="38" t="s">
        <v>10</v>
      </c>
    </row>
    <row r="277" spans="1:8" x14ac:dyDescent="0.25">
      <c r="A277" s="31">
        <v>44595</v>
      </c>
      <c r="B277" s="37" t="s">
        <v>3940</v>
      </c>
      <c r="C277" s="38" t="s">
        <v>312</v>
      </c>
      <c r="D277" s="34">
        <v>4454</v>
      </c>
      <c r="E277" s="35">
        <v>44595</v>
      </c>
      <c r="F277" s="34">
        <v>4454</v>
      </c>
      <c r="G277" s="36">
        <f>Tabla13[[#This Row],[Importe]]-Tabla13[[#This Row],[Pagado]]</f>
        <v>0</v>
      </c>
      <c r="H277" s="38" t="s">
        <v>10</v>
      </c>
    </row>
    <row r="278" spans="1:8" x14ac:dyDescent="0.25">
      <c r="A278" s="31">
        <v>44595</v>
      </c>
      <c r="B278" s="37" t="s">
        <v>3941</v>
      </c>
      <c r="C278" s="38" t="s">
        <v>75</v>
      </c>
      <c r="D278" s="34">
        <v>5910</v>
      </c>
      <c r="E278" s="35">
        <v>44595</v>
      </c>
      <c r="F278" s="34">
        <v>5910</v>
      </c>
      <c r="G278" s="36">
        <f>Tabla13[[#This Row],[Importe]]-Tabla13[[#This Row],[Pagado]]</f>
        <v>0</v>
      </c>
      <c r="H278" s="38" t="s">
        <v>10</v>
      </c>
    </row>
    <row r="279" spans="1:8" x14ac:dyDescent="0.25">
      <c r="A279" s="31">
        <v>44595</v>
      </c>
      <c r="B279" s="37" t="s">
        <v>3942</v>
      </c>
      <c r="C279" s="38" t="s">
        <v>131</v>
      </c>
      <c r="D279" s="34">
        <v>10462.200000000001</v>
      </c>
      <c r="E279" s="35">
        <v>44595</v>
      </c>
      <c r="F279" s="34">
        <v>10462.200000000001</v>
      </c>
      <c r="G279" s="36">
        <f>Tabla13[[#This Row],[Importe]]-Tabla13[[#This Row],[Pagado]]</f>
        <v>0</v>
      </c>
      <c r="H279" s="38" t="s">
        <v>10</v>
      </c>
    </row>
    <row r="280" spans="1:8" x14ac:dyDescent="0.25">
      <c r="A280" s="31">
        <v>44595</v>
      </c>
      <c r="B280" s="37" t="s">
        <v>3943</v>
      </c>
      <c r="C280" s="38" t="s">
        <v>29</v>
      </c>
      <c r="D280" s="34">
        <v>4205</v>
      </c>
      <c r="E280" s="35">
        <v>44595</v>
      </c>
      <c r="F280" s="34">
        <v>4205</v>
      </c>
      <c r="G280" s="36">
        <f>Tabla13[[#This Row],[Importe]]-Tabla13[[#This Row],[Pagado]]</f>
        <v>0</v>
      </c>
      <c r="H280" s="38" t="s">
        <v>10</v>
      </c>
    </row>
    <row r="281" spans="1:8" x14ac:dyDescent="0.25">
      <c r="A281" s="31">
        <v>44595</v>
      </c>
      <c r="B281" s="37" t="s">
        <v>3944</v>
      </c>
      <c r="C281" s="38" t="s">
        <v>618</v>
      </c>
      <c r="D281" s="34">
        <v>10297.4</v>
      </c>
      <c r="E281" s="35">
        <v>44595</v>
      </c>
      <c r="F281" s="34">
        <v>10297.4</v>
      </c>
      <c r="G281" s="36">
        <f>Tabla13[[#This Row],[Importe]]-Tabla13[[#This Row],[Pagado]]</f>
        <v>0</v>
      </c>
      <c r="H281" s="38" t="s">
        <v>10</v>
      </c>
    </row>
    <row r="282" spans="1:8" x14ac:dyDescent="0.25">
      <c r="A282" s="31">
        <v>44595</v>
      </c>
      <c r="B282" s="37" t="s">
        <v>3945</v>
      </c>
      <c r="C282" s="38" t="s">
        <v>49</v>
      </c>
      <c r="D282" s="34">
        <v>2855.8</v>
      </c>
      <c r="E282" s="35">
        <v>44595</v>
      </c>
      <c r="F282" s="34">
        <v>2855.8</v>
      </c>
      <c r="G282" s="36">
        <f>Tabla13[[#This Row],[Importe]]-Tabla13[[#This Row],[Pagado]]</f>
        <v>0</v>
      </c>
      <c r="H282" s="38" t="s">
        <v>10</v>
      </c>
    </row>
    <row r="283" spans="1:8" x14ac:dyDescent="0.25">
      <c r="A283" s="31">
        <v>44595</v>
      </c>
      <c r="B283" s="37" t="s">
        <v>3946</v>
      </c>
      <c r="C283" s="38" t="s">
        <v>27</v>
      </c>
      <c r="D283" s="34">
        <v>1306.5</v>
      </c>
      <c r="E283" s="35">
        <v>44595</v>
      </c>
      <c r="F283" s="34">
        <v>1306.5</v>
      </c>
      <c r="G283" s="36">
        <f>Tabla13[[#This Row],[Importe]]-Tabla13[[#This Row],[Pagado]]</f>
        <v>0</v>
      </c>
      <c r="H283" s="38" t="s">
        <v>10</v>
      </c>
    </row>
    <row r="284" spans="1:8" x14ac:dyDescent="0.25">
      <c r="A284" s="31">
        <v>44595</v>
      </c>
      <c r="B284" s="37" t="s">
        <v>3947</v>
      </c>
      <c r="C284" s="38" t="s">
        <v>45</v>
      </c>
      <c r="D284" s="34">
        <v>10048.1</v>
      </c>
      <c r="E284" s="35">
        <v>44595</v>
      </c>
      <c r="F284" s="34">
        <v>10048.1</v>
      </c>
      <c r="G284" s="36">
        <f>Tabla13[[#This Row],[Importe]]-Tabla13[[#This Row],[Pagado]]</f>
        <v>0</v>
      </c>
      <c r="H284" s="38" t="s">
        <v>10</v>
      </c>
    </row>
    <row r="285" spans="1:8" x14ac:dyDescent="0.25">
      <c r="A285" s="31">
        <v>44595</v>
      </c>
      <c r="B285" s="37" t="s">
        <v>3948</v>
      </c>
      <c r="C285" s="38" t="s">
        <v>146</v>
      </c>
      <c r="D285" s="34">
        <v>3758.4</v>
      </c>
      <c r="E285" s="35">
        <v>44595</v>
      </c>
      <c r="F285" s="34">
        <v>3758.4</v>
      </c>
      <c r="G285" s="36">
        <f>Tabla13[[#This Row],[Importe]]-Tabla13[[#This Row],[Pagado]]</f>
        <v>0</v>
      </c>
      <c r="H285" s="38" t="s">
        <v>10</v>
      </c>
    </row>
    <row r="286" spans="1:8" x14ac:dyDescent="0.25">
      <c r="A286" s="31">
        <v>44595</v>
      </c>
      <c r="B286" s="37" t="s">
        <v>3949</v>
      </c>
      <c r="C286" s="38" t="s">
        <v>647</v>
      </c>
      <c r="D286" s="34">
        <v>5989.3</v>
      </c>
      <c r="E286" s="35">
        <v>44595</v>
      </c>
      <c r="F286" s="34">
        <v>5989.3</v>
      </c>
      <c r="G286" s="36">
        <f>Tabla13[[#This Row],[Importe]]-Tabla13[[#This Row],[Pagado]]</f>
        <v>0</v>
      </c>
      <c r="H286" s="38" t="s">
        <v>10</v>
      </c>
    </row>
    <row r="287" spans="1:8" x14ac:dyDescent="0.25">
      <c r="A287" s="31">
        <v>44595</v>
      </c>
      <c r="B287" s="37" t="s">
        <v>3950</v>
      </c>
      <c r="C287" s="38" t="s">
        <v>161</v>
      </c>
      <c r="D287" s="34">
        <v>4000.2</v>
      </c>
      <c r="E287" s="35">
        <v>44595</v>
      </c>
      <c r="F287" s="34">
        <v>4000.2</v>
      </c>
      <c r="G287" s="36">
        <f>Tabla13[[#This Row],[Importe]]-Tabla13[[#This Row],[Pagado]]</f>
        <v>0</v>
      </c>
      <c r="H287" s="38" t="s">
        <v>10</v>
      </c>
    </row>
    <row r="288" spans="1:8" x14ac:dyDescent="0.25">
      <c r="A288" s="31">
        <v>44595</v>
      </c>
      <c r="B288" s="37" t="s">
        <v>3951</v>
      </c>
      <c r="C288" s="38" t="s">
        <v>777</v>
      </c>
      <c r="D288" s="34">
        <v>1985.6</v>
      </c>
      <c r="E288" s="35">
        <v>44595</v>
      </c>
      <c r="F288" s="34">
        <v>1985.6</v>
      </c>
      <c r="G288" s="36">
        <f>Tabla13[[#This Row],[Importe]]-Tabla13[[#This Row],[Pagado]]</f>
        <v>0</v>
      </c>
      <c r="H288" s="38" t="s">
        <v>10</v>
      </c>
    </row>
    <row r="289" spans="1:8" x14ac:dyDescent="0.25">
      <c r="A289" s="31">
        <v>44595</v>
      </c>
      <c r="B289" s="37" t="s">
        <v>3952</v>
      </c>
      <c r="C289" s="38" t="s">
        <v>129</v>
      </c>
      <c r="D289" s="34">
        <v>872.2</v>
      </c>
      <c r="E289" s="35">
        <v>44595</v>
      </c>
      <c r="F289" s="34">
        <v>872.2</v>
      </c>
      <c r="G289" s="36">
        <f>Tabla13[[#This Row],[Importe]]-Tabla13[[#This Row],[Pagado]]</f>
        <v>0</v>
      </c>
      <c r="H289" s="38" t="s">
        <v>10</v>
      </c>
    </row>
    <row r="290" spans="1:8" x14ac:dyDescent="0.25">
      <c r="A290" s="31">
        <v>44595</v>
      </c>
      <c r="B290" s="37" t="s">
        <v>3953</v>
      </c>
      <c r="C290" s="38" t="s">
        <v>339</v>
      </c>
      <c r="D290" s="34">
        <v>406.7</v>
      </c>
      <c r="E290" s="35">
        <v>44595</v>
      </c>
      <c r="F290" s="34">
        <v>406.7</v>
      </c>
      <c r="G290" s="36">
        <f>Tabla13[[#This Row],[Importe]]-Tabla13[[#This Row],[Pagado]]</f>
        <v>0</v>
      </c>
      <c r="H290" s="38" t="s">
        <v>10</v>
      </c>
    </row>
    <row r="291" spans="1:8" x14ac:dyDescent="0.25">
      <c r="A291" s="31">
        <v>44595</v>
      </c>
      <c r="B291" s="37" t="s">
        <v>3954</v>
      </c>
      <c r="C291" s="38" t="s">
        <v>127</v>
      </c>
      <c r="D291" s="34">
        <v>4730.8999999999996</v>
      </c>
      <c r="E291" s="35">
        <v>44595</v>
      </c>
      <c r="F291" s="34">
        <v>4730.8999999999996</v>
      </c>
      <c r="G291" s="36">
        <f>Tabla13[[#This Row],[Importe]]-Tabla13[[#This Row],[Pagado]]</f>
        <v>0</v>
      </c>
      <c r="H291" s="38" t="s">
        <v>10</v>
      </c>
    </row>
    <row r="292" spans="1:8" x14ac:dyDescent="0.25">
      <c r="A292" s="31">
        <v>44595</v>
      </c>
      <c r="B292" s="37" t="s">
        <v>3955</v>
      </c>
      <c r="C292" s="38" t="s">
        <v>357</v>
      </c>
      <c r="D292" s="34">
        <v>3720</v>
      </c>
      <c r="E292" s="35">
        <v>44595</v>
      </c>
      <c r="F292" s="34">
        <v>3720</v>
      </c>
      <c r="G292" s="36">
        <f>Tabla13[[#This Row],[Importe]]-Tabla13[[#This Row],[Pagado]]</f>
        <v>0</v>
      </c>
      <c r="H292" s="38" t="s">
        <v>10</v>
      </c>
    </row>
    <row r="293" spans="1:8" x14ac:dyDescent="0.25">
      <c r="A293" s="31">
        <v>44595</v>
      </c>
      <c r="B293" s="37" t="s">
        <v>3956</v>
      </c>
      <c r="C293" s="38" t="s">
        <v>140</v>
      </c>
      <c r="D293" s="34">
        <v>599</v>
      </c>
      <c r="E293" s="35">
        <v>44595</v>
      </c>
      <c r="F293" s="34">
        <v>599</v>
      </c>
      <c r="G293" s="36">
        <f>Tabla13[[#This Row],[Importe]]-Tabla13[[#This Row],[Pagado]]</f>
        <v>0</v>
      </c>
      <c r="H293" s="38" t="s">
        <v>10</v>
      </c>
    </row>
    <row r="294" spans="1:8" x14ac:dyDescent="0.25">
      <c r="A294" s="31">
        <v>44595</v>
      </c>
      <c r="B294" s="37" t="s">
        <v>3957</v>
      </c>
      <c r="C294" s="38" t="s">
        <v>53</v>
      </c>
      <c r="D294" s="34">
        <v>1338.5</v>
      </c>
      <c r="E294" s="35">
        <v>44595</v>
      </c>
      <c r="F294" s="34">
        <v>1338.5</v>
      </c>
      <c r="G294" s="36">
        <f>Tabla13[[#This Row],[Importe]]-Tabla13[[#This Row],[Pagado]]</f>
        <v>0</v>
      </c>
      <c r="H294" s="38" t="s">
        <v>10</v>
      </c>
    </row>
    <row r="295" spans="1:8" x14ac:dyDescent="0.25">
      <c r="A295" s="31">
        <v>44595</v>
      </c>
      <c r="B295" s="37" t="s">
        <v>3958</v>
      </c>
      <c r="C295" s="38" t="s">
        <v>333</v>
      </c>
      <c r="D295" s="34">
        <v>779.1</v>
      </c>
      <c r="E295" s="35">
        <v>44595</v>
      </c>
      <c r="F295" s="34">
        <v>779.1</v>
      </c>
      <c r="G295" s="36">
        <f>Tabla13[[#This Row],[Importe]]-Tabla13[[#This Row],[Pagado]]</f>
        <v>0</v>
      </c>
      <c r="H295" s="38" t="s">
        <v>10</v>
      </c>
    </row>
    <row r="296" spans="1:8" x14ac:dyDescent="0.25">
      <c r="A296" s="31">
        <v>44595</v>
      </c>
      <c r="B296" s="37" t="s">
        <v>3959</v>
      </c>
      <c r="C296" s="38" t="s">
        <v>373</v>
      </c>
      <c r="D296" s="34">
        <v>374.4</v>
      </c>
      <c r="E296" s="35">
        <v>44595</v>
      </c>
      <c r="F296" s="34">
        <v>374.4</v>
      </c>
      <c r="G296" s="36">
        <f>Tabla13[[#This Row],[Importe]]-Tabla13[[#This Row],[Pagado]]</f>
        <v>0</v>
      </c>
      <c r="H296" s="38" t="s">
        <v>10</v>
      </c>
    </row>
    <row r="297" spans="1:8" ht="31.5" x14ac:dyDescent="0.25">
      <c r="A297" s="31">
        <v>44595</v>
      </c>
      <c r="B297" s="37" t="s">
        <v>3960</v>
      </c>
      <c r="C297" s="38" t="s">
        <v>275</v>
      </c>
      <c r="D297" s="34">
        <v>52209.48</v>
      </c>
      <c r="E297" s="35" t="s">
        <v>3961</v>
      </c>
      <c r="F297" s="34">
        <f>4639.11+47570.37</f>
        <v>52209.48</v>
      </c>
      <c r="G297" s="36">
        <f>Tabla13[[#This Row],[Importe]]-Tabla13[[#This Row],[Pagado]]</f>
        <v>0</v>
      </c>
      <c r="H297" s="38" t="s">
        <v>10</v>
      </c>
    </row>
    <row r="298" spans="1:8" x14ac:dyDescent="0.25">
      <c r="A298" s="31">
        <v>44595</v>
      </c>
      <c r="B298" s="37" t="s">
        <v>3962</v>
      </c>
      <c r="C298" s="38" t="s">
        <v>1239</v>
      </c>
      <c r="D298" s="34">
        <v>12350</v>
      </c>
      <c r="E298" s="35">
        <v>44595</v>
      </c>
      <c r="F298" s="34">
        <v>12350</v>
      </c>
      <c r="G298" s="36">
        <f>Tabla13[[#This Row],[Importe]]-Tabla13[[#This Row],[Pagado]]</f>
        <v>0</v>
      </c>
      <c r="H298" s="38" t="s">
        <v>10</v>
      </c>
    </row>
    <row r="299" spans="1:8" x14ac:dyDescent="0.25">
      <c r="A299" s="31">
        <v>44595</v>
      </c>
      <c r="B299" s="37" t="s">
        <v>3963</v>
      </c>
      <c r="C299" s="38" t="s">
        <v>45</v>
      </c>
      <c r="D299" s="34">
        <v>160</v>
      </c>
      <c r="E299" s="35">
        <v>44595</v>
      </c>
      <c r="F299" s="34">
        <v>160</v>
      </c>
      <c r="G299" s="36">
        <f>Tabla13[[#This Row],[Importe]]-Tabla13[[#This Row],[Pagado]]</f>
        <v>0</v>
      </c>
      <c r="H299" s="38" t="s">
        <v>10</v>
      </c>
    </row>
    <row r="300" spans="1:8" x14ac:dyDescent="0.25">
      <c r="A300" s="31">
        <v>44595</v>
      </c>
      <c r="B300" s="37" t="s">
        <v>3964</v>
      </c>
      <c r="C300" s="38" t="s">
        <v>230</v>
      </c>
      <c r="D300" s="34">
        <v>4102.7</v>
      </c>
      <c r="E300" s="35">
        <v>44595</v>
      </c>
      <c r="F300" s="34">
        <v>4102.7</v>
      </c>
      <c r="G300" s="36">
        <f>Tabla13[[#This Row],[Importe]]-Tabla13[[#This Row],[Pagado]]</f>
        <v>0</v>
      </c>
      <c r="H300" s="38" t="s">
        <v>10</v>
      </c>
    </row>
    <row r="301" spans="1:8" x14ac:dyDescent="0.25">
      <c r="A301" s="31">
        <v>44595</v>
      </c>
      <c r="B301" s="37" t="s">
        <v>3965</v>
      </c>
      <c r="C301" s="38" t="s">
        <v>31</v>
      </c>
      <c r="D301" s="34">
        <v>390.4</v>
      </c>
      <c r="E301" s="35">
        <v>44595</v>
      </c>
      <c r="F301" s="34">
        <v>390.4</v>
      </c>
      <c r="G301" s="36">
        <f>Tabla13[[#This Row],[Importe]]-Tabla13[[#This Row],[Pagado]]</f>
        <v>0</v>
      </c>
      <c r="H301" s="38" t="s">
        <v>10</v>
      </c>
    </row>
    <row r="302" spans="1:8" x14ac:dyDescent="0.25">
      <c r="A302" s="31">
        <v>44595</v>
      </c>
      <c r="B302" s="37" t="s">
        <v>3966</v>
      </c>
      <c r="C302" s="38" t="s">
        <v>382</v>
      </c>
      <c r="D302" s="34">
        <v>5932.8</v>
      </c>
      <c r="E302" s="35">
        <v>44595</v>
      </c>
      <c r="F302" s="34">
        <v>5932.8</v>
      </c>
      <c r="G302" s="36">
        <f>Tabla13[[#This Row],[Importe]]-Tabla13[[#This Row],[Pagado]]</f>
        <v>0</v>
      </c>
      <c r="H302" s="38" t="s">
        <v>10</v>
      </c>
    </row>
    <row r="303" spans="1:8" x14ac:dyDescent="0.25">
      <c r="A303" s="31">
        <v>44595</v>
      </c>
      <c r="B303" s="37" t="s">
        <v>3967</v>
      </c>
      <c r="C303" s="38" t="s">
        <v>56</v>
      </c>
      <c r="D303" s="34">
        <v>6398.9</v>
      </c>
      <c r="E303" s="35">
        <v>44595</v>
      </c>
      <c r="F303" s="34">
        <v>6398.9</v>
      </c>
      <c r="G303" s="36">
        <f>Tabla13[[#This Row],[Importe]]-Tabla13[[#This Row],[Pagado]]</f>
        <v>0</v>
      </c>
      <c r="H303" s="38" t="s">
        <v>10</v>
      </c>
    </row>
    <row r="304" spans="1:8" x14ac:dyDescent="0.25">
      <c r="A304" s="31">
        <v>44595</v>
      </c>
      <c r="B304" s="37" t="s">
        <v>3968</v>
      </c>
      <c r="C304" s="38" t="s">
        <v>1505</v>
      </c>
      <c r="D304" s="34">
        <v>9999.2000000000007</v>
      </c>
      <c r="E304" s="35">
        <v>44595</v>
      </c>
      <c r="F304" s="34">
        <v>9999.2000000000007</v>
      </c>
      <c r="G304" s="36">
        <f>Tabla13[[#This Row],[Importe]]-Tabla13[[#This Row],[Pagado]]</f>
        <v>0</v>
      </c>
      <c r="H304" s="38" t="s">
        <v>10</v>
      </c>
    </row>
    <row r="305" spans="1:8" x14ac:dyDescent="0.25">
      <c r="A305" s="31">
        <v>44595</v>
      </c>
      <c r="B305" s="37" t="s">
        <v>3969</v>
      </c>
      <c r="C305" s="38" t="s">
        <v>414</v>
      </c>
      <c r="D305" s="34">
        <v>33500</v>
      </c>
      <c r="E305" s="35">
        <v>44595</v>
      </c>
      <c r="F305" s="34">
        <v>33500</v>
      </c>
      <c r="G305" s="36">
        <f>Tabla13[[#This Row],[Importe]]-Tabla13[[#This Row],[Pagado]]</f>
        <v>0</v>
      </c>
      <c r="H305" s="38" t="s">
        <v>10</v>
      </c>
    </row>
    <row r="306" spans="1:8" x14ac:dyDescent="0.25">
      <c r="A306" s="31">
        <v>44595</v>
      </c>
      <c r="B306" s="37" t="s">
        <v>3970</v>
      </c>
      <c r="C306" s="38" t="s">
        <v>3971</v>
      </c>
      <c r="D306" s="34">
        <v>1191.3</v>
      </c>
      <c r="E306" s="35">
        <v>44595</v>
      </c>
      <c r="F306" s="34">
        <v>1191.3</v>
      </c>
      <c r="G306" s="36">
        <f>Tabla13[[#This Row],[Importe]]-Tabla13[[#This Row],[Pagado]]</f>
        <v>0</v>
      </c>
      <c r="H306" s="38" t="s">
        <v>10</v>
      </c>
    </row>
    <row r="307" spans="1:8" x14ac:dyDescent="0.25">
      <c r="A307" s="31">
        <v>44595</v>
      </c>
      <c r="B307" s="37" t="s">
        <v>3972</v>
      </c>
      <c r="C307" s="38" t="s">
        <v>228</v>
      </c>
      <c r="D307" s="34">
        <v>5334.8</v>
      </c>
      <c r="E307" s="35">
        <v>44595</v>
      </c>
      <c r="F307" s="34">
        <v>5334.8</v>
      </c>
      <c r="G307" s="36">
        <f>Tabla13[[#This Row],[Importe]]-Tabla13[[#This Row],[Pagado]]</f>
        <v>0</v>
      </c>
      <c r="H307" s="38" t="s">
        <v>10</v>
      </c>
    </row>
    <row r="308" spans="1:8" x14ac:dyDescent="0.25">
      <c r="A308" s="31">
        <v>44595</v>
      </c>
      <c r="B308" s="37" t="s">
        <v>3973</v>
      </c>
      <c r="C308" s="38" t="s">
        <v>31</v>
      </c>
      <c r="D308" s="34">
        <v>350</v>
      </c>
      <c r="E308" s="35">
        <v>44595</v>
      </c>
      <c r="F308" s="34">
        <v>350</v>
      </c>
      <c r="G308" s="36">
        <f>Tabla13[[#This Row],[Importe]]-Tabla13[[#This Row],[Pagado]]</f>
        <v>0</v>
      </c>
      <c r="H308" s="38" t="s">
        <v>10</v>
      </c>
    </row>
    <row r="309" spans="1:8" x14ac:dyDescent="0.25">
      <c r="A309" s="31">
        <v>44595</v>
      </c>
      <c r="B309" s="37" t="s">
        <v>3974</v>
      </c>
      <c r="C309" s="38" t="s">
        <v>24</v>
      </c>
      <c r="D309" s="34">
        <v>3552</v>
      </c>
      <c r="E309" s="35">
        <v>44595</v>
      </c>
      <c r="F309" s="34">
        <v>3552</v>
      </c>
      <c r="G309" s="36">
        <f>Tabla13[[#This Row],[Importe]]-Tabla13[[#This Row],[Pagado]]</f>
        <v>0</v>
      </c>
      <c r="H309" s="38" t="s">
        <v>10</v>
      </c>
    </row>
    <row r="310" spans="1:8" x14ac:dyDescent="0.25">
      <c r="A310" s="31">
        <v>44595</v>
      </c>
      <c r="B310" s="37" t="s">
        <v>3975</v>
      </c>
      <c r="C310" s="38" t="s">
        <v>216</v>
      </c>
      <c r="D310" s="34">
        <v>1265</v>
      </c>
      <c r="E310" s="35">
        <v>44595</v>
      </c>
      <c r="F310" s="34">
        <v>1265</v>
      </c>
      <c r="G310" s="36">
        <f>Tabla13[[#This Row],[Importe]]-Tabla13[[#This Row],[Pagado]]</f>
        <v>0</v>
      </c>
      <c r="H310" s="38" t="s">
        <v>10</v>
      </c>
    </row>
    <row r="311" spans="1:8" x14ac:dyDescent="0.25">
      <c r="A311" s="31">
        <v>44595</v>
      </c>
      <c r="B311" s="37" t="s">
        <v>3976</v>
      </c>
      <c r="C311" s="38" t="s">
        <v>24</v>
      </c>
      <c r="D311" s="34">
        <v>649.6</v>
      </c>
      <c r="E311" s="35">
        <v>44595</v>
      </c>
      <c r="F311" s="34">
        <v>649.6</v>
      </c>
      <c r="G311" s="36">
        <f>Tabla13[[#This Row],[Importe]]-Tabla13[[#This Row],[Pagado]]</f>
        <v>0</v>
      </c>
      <c r="H311" s="38" t="s">
        <v>10</v>
      </c>
    </row>
    <row r="312" spans="1:8" x14ac:dyDescent="0.25">
      <c r="A312" s="31">
        <v>44595</v>
      </c>
      <c r="B312" s="37" t="s">
        <v>3977</v>
      </c>
      <c r="C312" s="38" t="s">
        <v>142</v>
      </c>
      <c r="D312" s="34">
        <v>43550.76</v>
      </c>
      <c r="E312" s="35">
        <v>44617</v>
      </c>
      <c r="F312" s="34">
        <v>43550.76</v>
      </c>
      <c r="G312" s="36">
        <f>Tabla13[[#This Row],[Importe]]-Tabla13[[#This Row],[Pagado]]</f>
        <v>0</v>
      </c>
      <c r="H312" s="38" t="s">
        <v>10</v>
      </c>
    </row>
    <row r="313" spans="1:8" x14ac:dyDescent="0.25">
      <c r="A313" s="31">
        <v>44595</v>
      </c>
      <c r="B313" s="37" t="s">
        <v>3978</v>
      </c>
      <c r="C313" s="38" t="s">
        <v>175</v>
      </c>
      <c r="D313" s="34">
        <v>17861.3</v>
      </c>
      <c r="E313" s="35">
        <v>44595</v>
      </c>
      <c r="F313" s="34">
        <v>17861.3</v>
      </c>
      <c r="G313" s="36">
        <f>Tabla13[[#This Row],[Importe]]-Tabla13[[#This Row],[Pagado]]</f>
        <v>0</v>
      </c>
      <c r="H313" s="38" t="s">
        <v>10</v>
      </c>
    </row>
    <row r="314" spans="1:8" x14ac:dyDescent="0.25">
      <c r="A314" s="31">
        <v>44595</v>
      </c>
      <c r="B314" s="37" t="s">
        <v>3979</v>
      </c>
      <c r="C314" s="38" t="s">
        <v>67</v>
      </c>
      <c r="D314" s="34">
        <v>810</v>
      </c>
      <c r="E314" s="35">
        <v>44595</v>
      </c>
      <c r="F314" s="34">
        <v>810</v>
      </c>
      <c r="G314" s="36">
        <f>Tabla13[[#This Row],[Importe]]-Tabla13[[#This Row],[Pagado]]</f>
        <v>0</v>
      </c>
      <c r="H314" s="38" t="s">
        <v>10</v>
      </c>
    </row>
    <row r="315" spans="1:8" x14ac:dyDescent="0.25">
      <c r="A315" s="31">
        <v>44595</v>
      </c>
      <c r="B315" s="37" t="s">
        <v>3980</v>
      </c>
      <c r="C315" s="38" t="s">
        <v>562</v>
      </c>
      <c r="D315" s="34">
        <v>2926</v>
      </c>
      <c r="E315" s="35">
        <v>44595</v>
      </c>
      <c r="F315" s="34">
        <v>2926</v>
      </c>
      <c r="G315" s="36">
        <f>Tabla13[[#This Row],[Importe]]-Tabla13[[#This Row],[Pagado]]</f>
        <v>0</v>
      </c>
      <c r="H315" s="38" t="s">
        <v>10</v>
      </c>
    </row>
    <row r="316" spans="1:8" x14ac:dyDescent="0.25">
      <c r="A316" s="31">
        <v>44595</v>
      </c>
      <c r="B316" s="37" t="s">
        <v>3981</v>
      </c>
      <c r="C316" s="38" t="s">
        <v>3982</v>
      </c>
      <c r="D316" s="34">
        <v>0</v>
      </c>
      <c r="E316" s="39" t="s">
        <v>189</v>
      </c>
      <c r="F316" s="34">
        <v>0</v>
      </c>
      <c r="G316" s="36">
        <f>Tabla13[[#This Row],[Importe]]-Tabla13[[#This Row],[Pagado]]</f>
        <v>0</v>
      </c>
      <c r="H316" s="40" t="s">
        <v>3983</v>
      </c>
    </row>
    <row r="317" spans="1:8" x14ac:dyDescent="0.25">
      <c r="A317" s="31">
        <v>44595</v>
      </c>
      <c r="B317" s="37" t="s">
        <v>3984</v>
      </c>
      <c r="C317" s="38" t="s">
        <v>47</v>
      </c>
      <c r="D317" s="34">
        <v>33283.4</v>
      </c>
      <c r="E317" s="35">
        <v>44595</v>
      </c>
      <c r="F317" s="34">
        <v>33283.4</v>
      </c>
      <c r="G317" s="36">
        <f>Tabla13[[#This Row],[Importe]]-Tabla13[[#This Row],[Pagado]]</f>
        <v>0</v>
      </c>
      <c r="H317" s="38" t="s">
        <v>10</v>
      </c>
    </row>
    <row r="318" spans="1:8" x14ac:dyDescent="0.25">
      <c r="A318" s="31">
        <v>44595</v>
      </c>
      <c r="B318" s="37" t="s">
        <v>3985</v>
      </c>
      <c r="C318" s="38" t="s">
        <v>12</v>
      </c>
      <c r="D318" s="34">
        <v>1610</v>
      </c>
      <c r="E318" s="35">
        <v>44596</v>
      </c>
      <c r="F318" s="34">
        <v>1610</v>
      </c>
      <c r="G318" s="36">
        <f>Tabla13[[#This Row],[Importe]]-Tabla13[[#This Row],[Pagado]]</f>
        <v>0</v>
      </c>
      <c r="H318" s="38" t="s">
        <v>10</v>
      </c>
    </row>
    <row r="319" spans="1:8" x14ac:dyDescent="0.25">
      <c r="A319" s="31">
        <v>44595</v>
      </c>
      <c r="B319" s="37" t="s">
        <v>3986</v>
      </c>
      <c r="C319" s="38" t="s">
        <v>181</v>
      </c>
      <c r="D319" s="34">
        <v>12253.2</v>
      </c>
      <c r="E319" s="35">
        <v>44595</v>
      </c>
      <c r="F319" s="34">
        <v>12253.2</v>
      </c>
      <c r="G319" s="36">
        <f>Tabla13[[#This Row],[Importe]]-Tabla13[[#This Row],[Pagado]]</f>
        <v>0</v>
      </c>
      <c r="H319" s="38" t="s">
        <v>10</v>
      </c>
    </row>
    <row r="320" spans="1:8" x14ac:dyDescent="0.25">
      <c r="A320" s="31">
        <v>44595</v>
      </c>
      <c r="B320" s="37" t="s">
        <v>3987</v>
      </c>
      <c r="C320" s="38" t="s">
        <v>1064</v>
      </c>
      <c r="D320" s="34">
        <v>9874.7000000000007</v>
      </c>
      <c r="E320" s="35">
        <v>44595</v>
      </c>
      <c r="F320" s="34">
        <v>9874.7000000000007</v>
      </c>
      <c r="G320" s="36">
        <f>Tabla13[[#This Row],[Importe]]-Tabla13[[#This Row],[Pagado]]</f>
        <v>0</v>
      </c>
      <c r="H320" s="38" t="s">
        <v>10</v>
      </c>
    </row>
    <row r="321" spans="1:8" x14ac:dyDescent="0.25">
      <c r="A321" s="31">
        <v>44595</v>
      </c>
      <c r="B321" s="37" t="s">
        <v>3988</v>
      </c>
      <c r="C321" s="38" t="s">
        <v>222</v>
      </c>
      <c r="D321" s="34">
        <v>6337.9</v>
      </c>
      <c r="E321" s="35">
        <v>44595</v>
      </c>
      <c r="F321" s="34">
        <v>6337.9</v>
      </c>
      <c r="G321" s="36">
        <f>Tabla13[[#This Row],[Importe]]-Tabla13[[#This Row],[Pagado]]</f>
        <v>0</v>
      </c>
      <c r="H321" s="38" t="s">
        <v>10</v>
      </c>
    </row>
    <row r="322" spans="1:8" x14ac:dyDescent="0.25">
      <c r="A322" s="31">
        <v>44595</v>
      </c>
      <c r="B322" s="37" t="s">
        <v>3989</v>
      </c>
      <c r="C322" s="38" t="s">
        <v>2139</v>
      </c>
      <c r="D322" s="34">
        <v>4909.5</v>
      </c>
      <c r="E322" s="35">
        <v>44595</v>
      </c>
      <c r="F322" s="34">
        <v>4909.5</v>
      </c>
      <c r="G322" s="36">
        <f>Tabla13[[#This Row],[Importe]]-Tabla13[[#This Row],[Pagado]]</f>
        <v>0</v>
      </c>
      <c r="H322" s="38" t="s">
        <v>10</v>
      </c>
    </row>
    <row r="323" spans="1:8" x14ac:dyDescent="0.25">
      <c r="A323" s="31">
        <v>44595</v>
      </c>
      <c r="B323" s="37" t="s">
        <v>3990</v>
      </c>
      <c r="C323" s="38" t="s">
        <v>698</v>
      </c>
      <c r="D323" s="34">
        <v>6380.6</v>
      </c>
      <c r="E323" s="35">
        <v>44595</v>
      </c>
      <c r="F323" s="34">
        <v>6380.6</v>
      </c>
      <c r="G323" s="36">
        <f>Tabla13[[#This Row],[Importe]]-Tabla13[[#This Row],[Pagado]]</f>
        <v>0</v>
      </c>
      <c r="H323" s="38" t="s">
        <v>10</v>
      </c>
    </row>
    <row r="324" spans="1:8" x14ac:dyDescent="0.25">
      <c r="A324" s="31">
        <v>44595</v>
      </c>
      <c r="B324" s="37" t="s">
        <v>3991</v>
      </c>
      <c r="C324" s="38" t="s">
        <v>2114</v>
      </c>
      <c r="D324" s="34">
        <v>1260</v>
      </c>
      <c r="E324" s="35">
        <v>44595</v>
      </c>
      <c r="F324" s="34">
        <v>1260</v>
      </c>
      <c r="G324" s="36">
        <f>Tabla13[[#This Row],[Importe]]-Tabla13[[#This Row],[Pagado]]</f>
        <v>0</v>
      </c>
      <c r="H324" s="38" t="s">
        <v>10</v>
      </c>
    </row>
    <row r="325" spans="1:8" x14ac:dyDescent="0.25">
      <c r="A325" s="31">
        <v>44595</v>
      </c>
      <c r="B325" s="37" t="s">
        <v>3992</v>
      </c>
      <c r="C325" s="38" t="s">
        <v>3402</v>
      </c>
      <c r="D325" s="34">
        <v>987</v>
      </c>
      <c r="E325" s="35">
        <v>44595</v>
      </c>
      <c r="F325" s="34">
        <v>987</v>
      </c>
      <c r="G325" s="36">
        <f>Tabla13[[#This Row],[Importe]]-Tabla13[[#This Row],[Pagado]]</f>
        <v>0</v>
      </c>
      <c r="H325" s="38" t="s">
        <v>10</v>
      </c>
    </row>
    <row r="326" spans="1:8" x14ac:dyDescent="0.25">
      <c r="A326" s="31">
        <v>44595</v>
      </c>
      <c r="B326" s="37" t="s">
        <v>3993</v>
      </c>
      <c r="C326" s="38" t="s">
        <v>715</v>
      </c>
      <c r="D326" s="34">
        <v>7925.8</v>
      </c>
      <c r="E326" s="35">
        <v>44595</v>
      </c>
      <c r="F326" s="34">
        <v>7925.8</v>
      </c>
      <c r="G326" s="36">
        <f>Tabla13[[#This Row],[Importe]]-Tabla13[[#This Row],[Pagado]]</f>
        <v>0</v>
      </c>
      <c r="H326" s="38" t="s">
        <v>10</v>
      </c>
    </row>
    <row r="327" spans="1:8" x14ac:dyDescent="0.25">
      <c r="A327" s="31">
        <v>44595</v>
      </c>
      <c r="B327" s="37" t="s">
        <v>3994</v>
      </c>
      <c r="C327" s="38" t="s">
        <v>62</v>
      </c>
      <c r="D327" s="34">
        <v>3687.7</v>
      </c>
      <c r="E327" s="35">
        <v>44595</v>
      </c>
      <c r="F327" s="34">
        <v>3687.7</v>
      </c>
      <c r="G327" s="36">
        <f>Tabla13[[#This Row],[Importe]]-Tabla13[[#This Row],[Pagado]]</f>
        <v>0</v>
      </c>
      <c r="H327" s="38" t="s">
        <v>10</v>
      </c>
    </row>
    <row r="328" spans="1:8" x14ac:dyDescent="0.25">
      <c r="A328" s="31">
        <v>44595</v>
      </c>
      <c r="B328" s="37" t="s">
        <v>3995</v>
      </c>
      <c r="C328" s="38" t="s">
        <v>142</v>
      </c>
      <c r="D328" s="34">
        <v>9720</v>
      </c>
      <c r="E328" s="35">
        <v>44617</v>
      </c>
      <c r="F328" s="34">
        <v>9720</v>
      </c>
      <c r="G328" s="36">
        <f>Tabla13[[#This Row],[Importe]]-Tabla13[[#This Row],[Pagado]]</f>
        <v>0</v>
      </c>
      <c r="H328" s="38" t="s">
        <v>10</v>
      </c>
    </row>
    <row r="329" spans="1:8" x14ac:dyDescent="0.25">
      <c r="A329" s="31">
        <v>44595</v>
      </c>
      <c r="B329" s="37" t="s">
        <v>3996</v>
      </c>
      <c r="C329" s="38" t="s">
        <v>843</v>
      </c>
      <c r="D329" s="34">
        <v>11772</v>
      </c>
      <c r="E329" s="35">
        <v>44595</v>
      </c>
      <c r="F329" s="34">
        <v>11772</v>
      </c>
      <c r="G329" s="36">
        <f>Tabla13[[#This Row],[Importe]]-Tabla13[[#This Row],[Pagado]]</f>
        <v>0</v>
      </c>
      <c r="H329" s="38" t="s">
        <v>10</v>
      </c>
    </row>
    <row r="330" spans="1:8" x14ac:dyDescent="0.25">
      <c r="A330" s="31">
        <v>44595</v>
      </c>
      <c r="B330" s="37" t="s">
        <v>3997</v>
      </c>
      <c r="C330" s="38" t="s">
        <v>204</v>
      </c>
      <c r="D330" s="34">
        <v>1014</v>
      </c>
      <c r="E330" s="35">
        <v>44595</v>
      </c>
      <c r="F330" s="34">
        <v>1014</v>
      </c>
      <c r="G330" s="36">
        <f>Tabla13[[#This Row],[Importe]]-Tabla13[[#This Row],[Pagado]]</f>
        <v>0</v>
      </c>
      <c r="H330" s="38" t="s">
        <v>10</v>
      </c>
    </row>
    <row r="331" spans="1:8" x14ac:dyDescent="0.25">
      <c r="A331" s="31">
        <v>44595</v>
      </c>
      <c r="B331" s="37" t="s">
        <v>3998</v>
      </c>
      <c r="C331" s="38" t="s">
        <v>3999</v>
      </c>
      <c r="D331" s="34">
        <v>1762.8</v>
      </c>
      <c r="E331" s="35">
        <v>44595</v>
      </c>
      <c r="F331" s="34">
        <v>1762.8</v>
      </c>
      <c r="G331" s="36">
        <f>Tabla13[[#This Row],[Importe]]-Tabla13[[#This Row],[Pagado]]</f>
        <v>0</v>
      </c>
      <c r="H331" s="38" t="s">
        <v>10</v>
      </c>
    </row>
    <row r="332" spans="1:8" x14ac:dyDescent="0.25">
      <c r="A332" s="31">
        <v>44595</v>
      </c>
      <c r="B332" s="37" t="s">
        <v>4000</v>
      </c>
      <c r="C332" s="38" t="s">
        <v>16</v>
      </c>
      <c r="D332" s="34">
        <v>2394.1</v>
      </c>
      <c r="E332" s="35">
        <v>44595</v>
      </c>
      <c r="F332" s="34">
        <v>2394.1</v>
      </c>
      <c r="G332" s="36">
        <f>Tabla13[[#This Row],[Importe]]-Tabla13[[#This Row],[Pagado]]</f>
        <v>0</v>
      </c>
      <c r="H332" s="38" t="s">
        <v>10</v>
      </c>
    </row>
    <row r="333" spans="1:8" x14ac:dyDescent="0.25">
      <c r="A333" s="31">
        <v>44595</v>
      </c>
      <c r="B333" s="37" t="s">
        <v>4001</v>
      </c>
      <c r="C333" s="38" t="s">
        <v>142</v>
      </c>
      <c r="D333" s="34">
        <v>2646</v>
      </c>
      <c r="E333" s="35">
        <v>44617</v>
      </c>
      <c r="F333" s="34">
        <v>2646</v>
      </c>
      <c r="G333" s="36">
        <f>Tabla13[[#This Row],[Importe]]-Tabla13[[#This Row],[Pagado]]</f>
        <v>0</v>
      </c>
      <c r="H333" s="38" t="s">
        <v>10</v>
      </c>
    </row>
    <row r="334" spans="1:8" x14ac:dyDescent="0.25">
      <c r="A334" s="31">
        <v>44595</v>
      </c>
      <c r="B334" s="37" t="s">
        <v>4002</v>
      </c>
      <c r="C334" s="38" t="s">
        <v>263</v>
      </c>
      <c r="D334" s="34">
        <v>15001.2</v>
      </c>
      <c r="E334" s="35">
        <v>44607</v>
      </c>
      <c r="F334" s="34">
        <v>15001.2</v>
      </c>
      <c r="G334" s="36">
        <f>Tabla13[[#This Row],[Importe]]-Tabla13[[#This Row],[Pagado]]</f>
        <v>0</v>
      </c>
      <c r="H334" s="38" t="s">
        <v>10</v>
      </c>
    </row>
    <row r="335" spans="1:8" x14ac:dyDescent="0.25">
      <c r="A335" s="31">
        <v>44595</v>
      </c>
      <c r="B335" s="37" t="s">
        <v>4003</v>
      </c>
      <c r="C335" s="38" t="s">
        <v>520</v>
      </c>
      <c r="D335" s="34">
        <v>5669.5</v>
      </c>
      <c r="E335" s="35">
        <v>44596</v>
      </c>
      <c r="F335" s="34">
        <v>5669.5</v>
      </c>
      <c r="G335" s="36">
        <f>Tabla13[[#This Row],[Importe]]-Tabla13[[#This Row],[Pagado]]</f>
        <v>0</v>
      </c>
      <c r="H335" s="38" t="s">
        <v>10</v>
      </c>
    </row>
    <row r="336" spans="1:8" x14ac:dyDescent="0.25">
      <c r="A336" s="31">
        <v>44595</v>
      </c>
      <c r="B336" s="37" t="s">
        <v>4004</v>
      </c>
      <c r="C336" s="38" t="s">
        <v>151</v>
      </c>
      <c r="D336" s="34">
        <v>4501.6000000000004</v>
      </c>
      <c r="E336" s="35">
        <v>44596</v>
      </c>
      <c r="F336" s="34">
        <v>4501.6000000000004</v>
      </c>
      <c r="G336" s="36">
        <f>Tabla13[[#This Row],[Importe]]-Tabla13[[#This Row],[Pagado]]</f>
        <v>0</v>
      </c>
      <c r="H336" s="38" t="s">
        <v>10</v>
      </c>
    </row>
    <row r="337" spans="1:8" x14ac:dyDescent="0.25">
      <c r="A337" s="31">
        <v>44595</v>
      </c>
      <c r="B337" s="37" t="s">
        <v>4005</v>
      </c>
      <c r="C337" s="38" t="s">
        <v>319</v>
      </c>
      <c r="D337" s="34">
        <v>5108.5</v>
      </c>
      <c r="E337" s="35">
        <v>44596</v>
      </c>
      <c r="F337" s="34">
        <v>5108.5</v>
      </c>
      <c r="G337" s="36">
        <f>Tabla13[[#This Row],[Importe]]-Tabla13[[#This Row],[Pagado]]</f>
        <v>0</v>
      </c>
      <c r="H337" s="38" t="s">
        <v>10</v>
      </c>
    </row>
    <row r="338" spans="1:8" x14ac:dyDescent="0.25">
      <c r="A338" s="31">
        <v>44595</v>
      </c>
      <c r="B338" s="37" t="s">
        <v>4006</v>
      </c>
      <c r="C338" s="38" t="s">
        <v>518</v>
      </c>
      <c r="D338" s="34">
        <v>1605.4</v>
      </c>
      <c r="E338" s="35">
        <v>44596</v>
      </c>
      <c r="F338" s="34">
        <v>1605.4</v>
      </c>
      <c r="G338" s="36">
        <f>Tabla13[[#This Row],[Importe]]-Tabla13[[#This Row],[Pagado]]</f>
        <v>0</v>
      </c>
      <c r="H338" s="38" t="s">
        <v>10</v>
      </c>
    </row>
    <row r="339" spans="1:8" x14ac:dyDescent="0.25">
      <c r="A339" s="31">
        <v>44595</v>
      </c>
      <c r="B339" s="37" t="s">
        <v>4007</v>
      </c>
      <c r="C339" s="38" t="s">
        <v>157</v>
      </c>
      <c r="D339" s="34">
        <v>1313.6</v>
      </c>
      <c r="E339" s="35">
        <v>44596</v>
      </c>
      <c r="F339" s="34">
        <v>1313.6</v>
      </c>
      <c r="G339" s="36">
        <f>Tabla13[[#This Row],[Importe]]-Tabla13[[#This Row],[Pagado]]</f>
        <v>0</v>
      </c>
      <c r="H339" s="38" t="s">
        <v>10</v>
      </c>
    </row>
    <row r="340" spans="1:8" x14ac:dyDescent="0.25">
      <c r="A340" s="31">
        <v>44595</v>
      </c>
      <c r="B340" s="37" t="s">
        <v>4008</v>
      </c>
      <c r="C340" s="38" t="s">
        <v>159</v>
      </c>
      <c r="D340" s="34">
        <v>1922.8</v>
      </c>
      <c r="E340" s="35">
        <v>44596</v>
      </c>
      <c r="F340" s="34">
        <v>1922.8</v>
      </c>
      <c r="G340" s="36">
        <f>Tabla13[[#This Row],[Importe]]-Tabla13[[#This Row],[Pagado]]</f>
        <v>0</v>
      </c>
      <c r="H340" s="38" t="s">
        <v>10</v>
      </c>
    </row>
    <row r="341" spans="1:8" ht="47.25" x14ac:dyDescent="0.25">
      <c r="A341" s="31">
        <v>44595</v>
      </c>
      <c r="B341" s="37" t="s">
        <v>4009</v>
      </c>
      <c r="C341" s="38" t="s">
        <v>421</v>
      </c>
      <c r="D341" s="34">
        <v>14785.9</v>
      </c>
      <c r="E341" s="35" t="s">
        <v>4010</v>
      </c>
      <c r="F341" s="34">
        <f>3600+2500+8685.9</f>
        <v>14785.9</v>
      </c>
      <c r="G341" s="36">
        <f>Tabla13[[#This Row],[Importe]]-Tabla13[[#This Row],[Pagado]]</f>
        <v>0</v>
      </c>
      <c r="H341" s="38" t="s">
        <v>10</v>
      </c>
    </row>
    <row r="342" spans="1:8" x14ac:dyDescent="0.25">
      <c r="A342" s="31">
        <v>44595</v>
      </c>
      <c r="B342" s="37" t="s">
        <v>4011</v>
      </c>
      <c r="C342" s="38" t="s">
        <v>135</v>
      </c>
      <c r="D342" s="34">
        <v>813.4</v>
      </c>
      <c r="E342" s="35">
        <v>44595</v>
      </c>
      <c r="F342" s="34">
        <v>813.4</v>
      </c>
      <c r="G342" s="36">
        <f>Tabla13[[#This Row],[Importe]]-Tabla13[[#This Row],[Pagado]]</f>
        <v>0</v>
      </c>
      <c r="H342" s="38" t="s">
        <v>10</v>
      </c>
    </row>
    <row r="343" spans="1:8" x14ac:dyDescent="0.25">
      <c r="A343" s="31">
        <v>44595</v>
      </c>
      <c r="B343" s="37" t="s">
        <v>4012</v>
      </c>
      <c r="C343" s="38" t="s">
        <v>2961</v>
      </c>
      <c r="D343" s="34">
        <v>53215.199999999997</v>
      </c>
      <c r="E343" s="35">
        <v>44597</v>
      </c>
      <c r="F343" s="34">
        <v>53215.199999999997</v>
      </c>
      <c r="G343" s="36">
        <f>Tabla13[[#This Row],[Importe]]-Tabla13[[#This Row],[Pagado]]</f>
        <v>0</v>
      </c>
      <c r="H343" s="38" t="s">
        <v>10</v>
      </c>
    </row>
    <row r="344" spans="1:8" x14ac:dyDescent="0.25">
      <c r="A344" s="31">
        <v>44595</v>
      </c>
      <c r="B344" s="37" t="s">
        <v>4013</v>
      </c>
      <c r="C344" s="38" t="s">
        <v>282</v>
      </c>
      <c r="D344" s="34">
        <v>2720</v>
      </c>
      <c r="E344" s="35">
        <v>44596</v>
      </c>
      <c r="F344" s="34">
        <v>2720</v>
      </c>
      <c r="G344" s="36">
        <f>Tabla13[[#This Row],[Importe]]-Tabla13[[#This Row],[Pagado]]</f>
        <v>0</v>
      </c>
      <c r="H344" s="38" t="s">
        <v>10</v>
      </c>
    </row>
    <row r="345" spans="1:8" x14ac:dyDescent="0.25">
      <c r="A345" s="31">
        <v>44595</v>
      </c>
      <c r="B345" s="37" t="s">
        <v>4014</v>
      </c>
      <c r="C345" s="38" t="s">
        <v>284</v>
      </c>
      <c r="D345" s="34">
        <v>6245</v>
      </c>
      <c r="E345" s="35">
        <v>44596</v>
      </c>
      <c r="F345" s="34">
        <v>6245</v>
      </c>
      <c r="G345" s="36">
        <f>Tabla13[[#This Row],[Importe]]-Tabla13[[#This Row],[Pagado]]</f>
        <v>0</v>
      </c>
      <c r="H345" s="38" t="s">
        <v>10</v>
      </c>
    </row>
    <row r="346" spans="1:8" x14ac:dyDescent="0.25">
      <c r="A346" s="31">
        <v>44595</v>
      </c>
      <c r="B346" s="37" t="s">
        <v>4015</v>
      </c>
      <c r="C346" s="38" t="s">
        <v>729</v>
      </c>
      <c r="D346" s="34">
        <v>15195.4</v>
      </c>
      <c r="E346" s="35">
        <v>44596</v>
      </c>
      <c r="F346" s="34">
        <v>15195.4</v>
      </c>
      <c r="G346" s="36">
        <f>Tabla13[[#This Row],[Importe]]-Tabla13[[#This Row],[Pagado]]</f>
        <v>0</v>
      </c>
      <c r="H346" s="38" t="s">
        <v>10</v>
      </c>
    </row>
    <row r="347" spans="1:8" x14ac:dyDescent="0.25">
      <c r="A347" s="31">
        <v>44595</v>
      </c>
      <c r="B347" s="37" t="s">
        <v>4016</v>
      </c>
      <c r="C347" s="38" t="s">
        <v>69</v>
      </c>
      <c r="D347" s="34">
        <v>875</v>
      </c>
      <c r="E347" s="35">
        <v>44595</v>
      </c>
      <c r="F347" s="34">
        <v>875</v>
      </c>
      <c r="G347" s="36">
        <f>Tabla13[[#This Row],[Importe]]-Tabla13[[#This Row],[Pagado]]</f>
        <v>0</v>
      </c>
      <c r="H347" s="38" t="s">
        <v>10</v>
      </c>
    </row>
    <row r="348" spans="1:8" x14ac:dyDescent="0.25">
      <c r="A348" s="31">
        <v>44595</v>
      </c>
      <c r="B348" s="37" t="s">
        <v>4017</v>
      </c>
      <c r="C348" s="38" t="s">
        <v>729</v>
      </c>
      <c r="D348" s="34">
        <v>3359.2</v>
      </c>
      <c r="E348" s="35">
        <v>44596</v>
      </c>
      <c r="F348" s="34">
        <v>3359.2</v>
      </c>
      <c r="G348" s="36">
        <f>Tabla13[[#This Row],[Importe]]-Tabla13[[#This Row],[Pagado]]</f>
        <v>0</v>
      </c>
      <c r="H348" s="38" t="s">
        <v>10</v>
      </c>
    </row>
    <row r="349" spans="1:8" x14ac:dyDescent="0.25">
      <c r="A349" s="31">
        <v>44595</v>
      </c>
      <c r="B349" s="37" t="s">
        <v>4018</v>
      </c>
      <c r="C349" s="38" t="s">
        <v>58</v>
      </c>
      <c r="D349" s="34">
        <v>2915.8</v>
      </c>
      <c r="E349" s="35">
        <v>44595</v>
      </c>
      <c r="F349" s="34">
        <v>2915.8</v>
      </c>
      <c r="G349" s="36">
        <f>Tabla13[[#This Row],[Importe]]-Tabla13[[#This Row],[Pagado]]</f>
        <v>0</v>
      </c>
      <c r="H349" s="38" t="s">
        <v>10</v>
      </c>
    </row>
    <row r="350" spans="1:8" x14ac:dyDescent="0.25">
      <c r="A350" s="31">
        <v>44595</v>
      </c>
      <c r="B350" s="37" t="s">
        <v>4019</v>
      </c>
      <c r="C350" s="38" t="s">
        <v>142</v>
      </c>
      <c r="D350" s="34">
        <v>3166.5</v>
      </c>
      <c r="E350" s="35">
        <v>44617</v>
      </c>
      <c r="F350" s="34">
        <v>3166.5</v>
      </c>
      <c r="G350" s="36">
        <f>Tabla13[[#This Row],[Importe]]-Tabla13[[#This Row],[Pagado]]</f>
        <v>0</v>
      </c>
      <c r="H350" s="38" t="s">
        <v>10</v>
      </c>
    </row>
    <row r="351" spans="1:8" x14ac:dyDescent="0.25">
      <c r="A351" s="31">
        <v>44595</v>
      </c>
      <c r="B351" s="37" t="s">
        <v>4020</v>
      </c>
      <c r="C351" s="38" t="s">
        <v>31</v>
      </c>
      <c r="D351" s="34">
        <v>750</v>
      </c>
      <c r="E351" s="35">
        <v>44596</v>
      </c>
      <c r="F351" s="34">
        <v>750</v>
      </c>
      <c r="G351" s="36">
        <f>Tabla13[[#This Row],[Importe]]-Tabla13[[#This Row],[Pagado]]</f>
        <v>0</v>
      </c>
      <c r="H351" s="38" t="s">
        <v>10</v>
      </c>
    </row>
    <row r="352" spans="1:8" x14ac:dyDescent="0.25">
      <c r="A352" s="31">
        <v>44595</v>
      </c>
      <c r="B352" s="37" t="s">
        <v>4021</v>
      </c>
      <c r="C352" s="38" t="s">
        <v>31</v>
      </c>
      <c r="D352" s="34">
        <v>572.4</v>
      </c>
      <c r="E352" s="35">
        <v>44595</v>
      </c>
      <c r="F352" s="34">
        <v>572.4</v>
      </c>
      <c r="G352" s="36">
        <f>Tabla13[[#This Row],[Importe]]-Tabla13[[#This Row],[Pagado]]</f>
        <v>0</v>
      </c>
      <c r="H352" s="38" t="s">
        <v>10</v>
      </c>
    </row>
    <row r="353" spans="1:8" x14ac:dyDescent="0.25">
      <c r="A353" s="31">
        <v>44595</v>
      </c>
      <c r="B353" s="37" t="s">
        <v>4022</v>
      </c>
      <c r="C353" s="38" t="s">
        <v>56</v>
      </c>
      <c r="D353" s="34">
        <v>201.6</v>
      </c>
      <c r="E353" s="35">
        <v>44595</v>
      </c>
      <c r="F353" s="34">
        <v>201.6</v>
      </c>
      <c r="G353" s="36">
        <f>Tabla13[[#This Row],[Importe]]-Tabla13[[#This Row],[Pagado]]</f>
        <v>0</v>
      </c>
      <c r="H353" s="38" t="s">
        <v>10</v>
      </c>
    </row>
    <row r="354" spans="1:8" x14ac:dyDescent="0.25">
      <c r="A354" s="31">
        <v>44595</v>
      </c>
      <c r="B354" s="37" t="s">
        <v>4023</v>
      </c>
      <c r="C354" s="38" t="s">
        <v>179</v>
      </c>
      <c r="D354" s="34">
        <v>815</v>
      </c>
      <c r="E354" s="35">
        <v>44596</v>
      </c>
      <c r="F354" s="34">
        <v>815</v>
      </c>
      <c r="G354" s="36">
        <f>Tabla13[[#This Row],[Importe]]-Tabla13[[#This Row],[Pagado]]</f>
        <v>0</v>
      </c>
      <c r="H354" s="38" t="s">
        <v>10</v>
      </c>
    </row>
    <row r="355" spans="1:8" x14ac:dyDescent="0.25">
      <c r="A355" s="31">
        <v>44595</v>
      </c>
      <c r="B355" s="37" t="s">
        <v>4024</v>
      </c>
      <c r="C355" s="38" t="s">
        <v>4025</v>
      </c>
      <c r="D355" s="34">
        <v>479.4</v>
      </c>
      <c r="E355" s="35">
        <v>44595</v>
      </c>
      <c r="F355" s="34">
        <v>479.4</v>
      </c>
      <c r="G355" s="36">
        <f>Tabla13[[#This Row],[Importe]]-Tabla13[[#This Row],[Pagado]]</f>
        <v>0</v>
      </c>
      <c r="H355" s="38" t="s">
        <v>10</v>
      </c>
    </row>
    <row r="356" spans="1:8" x14ac:dyDescent="0.25">
      <c r="A356" s="31">
        <v>44595</v>
      </c>
      <c r="B356" s="37" t="s">
        <v>4026</v>
      </c>
      <c r="C356" s="38" t="s">
        <v>4027</v>
      </c>
      <c r="D356" s="34">
        <v>50</v>
      </c>
      <c r="E356" s="35">
        <v>44596</v>
      </c>
      <c r="F356" s="34">
        <v>50</v>
      </c>
      <c r="G356" s="36">
        <f>Tabla13[[#This Row],[Importe]]-Tabla13[[#This Row],[Pagado]]</f>
        <v>0</v>
      </c>
      <c r="H356" s="38" t="s">
        <v>10</v>
      </c>
    </row>
    <row r="357" spans="1:8" x14ac:dyDescent="0.25">
      <c r="A357" s="31">
        <v>44596</v>
      </c>
      <c r="B357" s="37" t="s">
        <v>4028</v>
      </c>
      <c r="C357" s="38" t="s">
        <v>887</v>
      </c>
      <c r="D357" s="34">
        <v>12965.4</v>
      </c>
      <c r="E357" s="35">
        <v>44597</v>
      </c>
      <c r="F357" s="34">
        <v>12965.4</v>
      </c>
      <c r="G357" s="36">
        <f>Tabla13[[#This Row],[Importe]]-Tabla13[[#This Row],[Pagado]]</f>
        <v>0</v>
      </c>
      <c r="H357" s="38" t="s">
        <v>10</v>
      </c>
    </row>
    <row r="358" spans="1:8" x14ac:dyDescent="0.25">
      <c r="A358" s="31">
        <v>44596</v>
      </c>
      <c r="B358" s="37" t="s">
        <v>4029</v>
      </c>
      <c r="C358" s="38" t="s">
        <v>475</v>
      </c>
      <c r="D358" s="34">
        <v>70043.399999999994</v>
      </c>
      <c r="E358" s="35">
        <v>44597</v>
      </c>
      <c r="F358" s="34">
        <v>70043.399999999994</v>
      </c>
      <c r="G358" s="36">
        <f>Tabla13[[#This Row],[Importe]]-Tabla13[[#This Row],[Pagado]]</f>
        <v>0</v>
      </c>
      <c r="H358" s="38" t="s">
        <v>10</v>
      </c>
    </row>
    <row r="359" spans="1:8" x14ac:dyDescent="0.25">
      <c r="A359" s="31">
        <v>44596</v>
      </c>
      <c r="B359" s="37" t="s">
        <v>4030</v>
      </c>
      <c r="C359" s="38" t="s">
        <v>31</v>
      </c>
      <c r="D359" s="34">
        <v>3861.2</v>
      </c>
      <c r="E359" s="35">
        <v>44596</v>
      </c>
      <c r="F359" s="34">
        <v>3861.2</v>
      </c>
      <c r="G359" s="36">
        <f>Tabla13[[#This Row],[Importe]]-Tabla13[[#This Row],[Pagado]]</f>
        <v>0</v>
      </c>
      <c r="H359" s="38" t="s">
        <v>10</v>
      </c>
    </row>
    <row r="360" spans="1:8" x14ac:dyDescent="0.25">
      <c r="A360" s="31">
        <v>44596</v>
      </c>
      <c r="B360" s="37" t="s">
        <v>4031</v>
      </c>
      <c r="C360" s="38" t="s">
        <v>12</v>
      </c>
      <c r="D360" s="34">
        <v>18880.349999999999</v>
      </c>
      <c r="E360" s="35">
        <v>44597</v>
      </c>
      <c r="F360" s="34">
        <v>18880.349999999999</v>
      </c>
      <c r="G360" s="36">
        <f>Tabla13[[#This Row],[Importe]]-Tabla13[[#This Row],[Pagado]]</f>
        <v>0</v>
      </c>
      <c r="H360" s="38" t="s">
        <v>10</v>
      </c>
    </row>
    <row r="361" spans="1:8" x14ac:dyDescent="0.25">
      <c r="A361" s="31">
        <v>44596</v>
      </c>
      <c r="B361" s="37" t="s">
        <v>4032</v>
      </c>
      <c r="C361" s="38" t="s">
        <v>314</v>
      </c>
      <c r="D361" s="34">
        <v>2744</v>
      </c>
      <c r="E361" s="35">
        <v>44596</v>
      </c>
      <c r="F361" s="34">
        <v>2744</v>
      </c>
      <c r="G361" s="36">
        <f>Tabla13[[#This Row],[Importe]]-Tabla13[[#This Row],[Pagado]]</f>
        <v>0</v>
      </c>
      <c r="H361" s="38" t="s">
        <v>10</v>
      </c>
    </row>
    <row r="362" spans="1:8" x14ac:dyDescent="0.25">
      <c r="A362" s="31">
        <v>44596</v>
      </c>
      <c r="B362" s="37" t="s">
        <v>4033</v>
      </c>
      <c r="C362" s="38" t="s">
        <v>79</v>
      </c>
      <c r="D362" s="34">
        <v>10192</v>
      </c>
      <c r="E362" s="35">
        <v>44596</v>
      </c>
      <c r="F362" s="34">
        <v>10192</v>
      </c>
      <c r="G362" s="36">
        <f>Tabla13[[#This Row],[Importe]]-Tabla13[[#This Row],[Pagado]]</f>
        <v>0</v>
      </c>
      <c r="H362" s="38" t="s">
        <v>10</v>
      </c>
    </row>
    <row r="363" spans="1:8" x14ac:dyDescent="0.25">
      <c r="A363" s="31">
        <v>44596</v>
      </c>
      <c r="B363" s="37" t="s">
        <v>4034</v>
      </c>
      <c r="C363" s="38" t="s">
        <v>79</v>
      </c>
      <c r="D363" s="34">
        <v>5081.3</v>
      </c>
      <c r="E363" s="35">
        <v>44596</v>
      </c>
      <c r="F363" s="34">
        <v>5081.3</v>
      </c>
      <c r="G363" s="36">
        <f>Tabla13[[#This Row],[Importe]]-Tabla13[[#This Row],[Pagado]]</f>
        <v>0</v>
      </c>
      <c r="H363" s="38" t="s">
        <v>10</v>
      </c>
    </row>
    <row r="364" spans="1:8" x14ac:dyDescent="0.25">
      <c r="A364" s="31">
        <v>44596</v>
      </c>
      <c r="B364" s="37" t="s">
        <v>4035</v>
      </c>
      <c r="C364" s="38" t="s">
        <v>154</v>
      </c>
      <c r="D364" s="34">
        <v>64405.4</v>
      </c>
      <c r="E364" s="35">
        <v>44603</v>
      </c>
      <c r="F364" s="34">
        <v>64405.4</v>
      </c>
      <c r="G364" s="36">
        <f>Tabla13[[#This Row],[Importe]]-Tabla13[[#This Row],[Pagado]]</f>
        <v>0</v>
      </c>
      <c r="H364" s="38" t="s">
        <v>10</v>
      </c>
    </row>
    <row r="365" spans="1:8" x14ac:dyDescent="0.25">
      <c r="A365" s="31">
        <v>44596</v>
      </c>
      <c r="B365" s="37" t="s">
        <v>4036</v>
      </c>
      <c r="C365" s="38" t="s">
        <v>109</v>
      </c>
      <c r="D365" s="34">
        <v>4027.8</v>
      </c>
      <c r="E365" s="35">
        <v>44596</v>
      </c>
      <c r="F365" s="34">
        <v>4027.8</v>
      </c>
      <c r="G365" s="36">
        <f>Tabla13[[#This Row],[Importe]]-Tabla13[[#This Row],[Pagado]]</f>
        <v>0</v>
      </c>
      <c r="H365" s="38" t="s">
        <v>10</v>
      </c>
    </row>
    <row r="366" spans="1:8" x14ac:dyDescent="0.25">
      <c r="A366" s="31">
        <v>44596</v>
      </c>
      <c r="B366" s="37" t="s">
        <v>4037</v>
      </c>
      <c r="C366" s="38" t="s">
        <v>60</v>
      </c>
      <c r="D366" s="34">
        <v>3753.6</v>
      </c>
      <c r="E366" s="35">
        <v>44598</v>
      </c>
      <c r="F366" s="34">
        <v>3753.6</v>
      </c>
      <c r="G366" s="36">
        <f>Tabla13[[#This Row],[Importe]]-Tabla13[[#This Row],[Pagado]]</f>
        <v>0</v>
      </c>
      <c r="H366" s="38" t="s">
        <v>10</v>
      </c>
    </row>
    <row r="367" spans="1:8" x14ac:dyDescent="0.25">
      <c r="A367" s="31">
        <v>44596</v>
      </c>
      <c r="B367" s="37" t="s">
        <v>4038</v>
      </c>
      <c r="C367" s="38" t="s">
        <v>31</v>
      </c>
      <c r="D367" s="34">
        <v>1316</v>
      </c>
      <c r="E367" s="35">
        <v>44596</v>
      </c>
      <c r="F367" s="34">
        <v>1316</v>
      </c>
      <c r="G367" s="36">
        <f>Tabla13[[#This Row],[Importe]]-Tabla13[[#This Row],[Pagado]]</f>
        <v>0</v>
      </c>
      <c r="H367" s="38" t="s">
        <v>10</v>
      </c>
    </row>
    <row r="368" spans="1:8" x14ac:dyDescent="0.25">
      <c r="A368" s="31">
        <v>44596</v>
      </c>
      <c r="B368" s="37" t="s">
        <v>4039</v>
      </c>
      <c r="C368" s="38" t="s">
        <v>31</v>
      </c>
      <c r="D368" s="34">
        <v>1269.0999999999999</v>
      </c>
      <c r="E368" s="35">
        <v>44596</v>
      </c>
      <c r="F368" s="34">
        <v>1269.0999999999999</v>
      </c>
      <c r="G368" s="36">
        <f>Tabla13[[#This Row],[Importe]]-Tabla13[[#This Row],[Pagado]]</f>
        <v>0</v>
      </c>
      <c r="H368" s="38" t="s">
        <v>10</v>
      </c>
    </row>
    <row r="369" spans="1:8" x14ac:dyDescent="0.25">
      <c r="A369" s="31">
        <v>44596</v>
      </c>
      <c r="B369" s="37" t="s">
        <v>4040</v>
      </c>
      <c r="C369" s="38" t="s">
        <v>83</v>
      </c>
      <c r="D369" s="34">
        <v>7109</v>
      </c>
      <c r="E369" s="35">
        <v>44596</v>
      </c>
      <c r="F369" s="34">
        <v>7109</v>
      </c>
      <c r="G369" s="36">
        <f>Tabla13[[#This Row],[Importe]]-Tabla13[[#This Row],[Pagado]]</f>
        <v>0</v>
      </c>
      <c r="H369" s="38" t="s">
        <v>10</v>
      </c>
    </row>
    <row r="370" spans="1:8" x14ac:dyDescent="0.25">
      <c r="A370" s="31">
        <v>44596</v>
      </c>
      <c r="B370" s="37" t="s">
        <v>4041</v>
      </c>
      <c r="C370" s="38" t="s">
        <v>9</v>
      </c>
      <c r="D370" s="34">
        <v>6117.5</v>
      </c>
      <c r="E370" s="35">
        <v>44596</v>
      </c>
      <c r="F370" s="34">
        <v>6117.5</v>
      </c>
      <c r="G370" s="36">
        <f>Tabla13[[#This Row],[Importe]]-Tabla13[[#This Row],[Pagado]]</f>
        <v>0</v>
      </c>
      <c r="H370" s="38" t="s">
        <v>10</v>
      </c>
    </row>
    <row r="371" spans="1:8" x14ac:dyDescent="0.25">
      <c r="A371" s="31">
        <v>44596</v>
      </c>
      <c r="B371" s="37" t="s">
        <v>4042</v>
      </c>
      <c r="C371" s="38" t="s">
        <v>95</v>
      </c>
      <c r="D371" s="34">
        <v>12064</v>
      </c>
      <c r="E371" s="35">
        <v>44596</v>
      </c>
      <c r="F371" s="34">
        <v>12064</v>
      </c>
      <c r="G371" s="36">
        <f>Tabla13[[#This Row],[Importe]]-Tabla13[[#This Row],[Pagado]]</f>
        <v>0</v>
      </c>
      <c r="H371" s="38" t="s">
        <v>10</v>
      </c>
    </row>
    <row r="372" spans="1:8" x14ac:dyDescent="0.25">
      <c r="A372" s="31">
        <v>44596</v>
      </c>
      <c r="B372" s="37" t="s">
        <v>4043</v>
      </c>
      <c r="C372" s="38" t="s">
        <v>31</v>
      </c>
      <c r="D372" s="34">
        <v>84</v>
      </c>
      <c r="E372" s="35">
        <v>44596</v>
      </c>
      <c r="F372" s="34">
        <v>84</v>
      </c>
      <c r="G372" s="36">
        <f>Tabla13[[#This Row],[Importe]]-Tabla13[[#This Row],[Pagado]]</f>
        <v>0</v>
      </c>
      <c r="H372" s="38" t="s">
        <v>10</v>
      </c>
    </row>
    <row r="373" spans="1:8" x14ac:dyDescent="0.25">
      <c r="A373" s="31">
        <v>44596</v>
      </c>
      <c r="B373" s="37" t="s">
        <v>4044</v>
      </c>
      <c r="C373" s="38" t="s">
        <v>212</v>
      </c>
      <c r="D373" s="34">
        <v>51590.2</v>
      </c>
      <c r="E373" s="35">
        <v>44604</v>
      </c>
      <c r="F373" s="34">
        <v>51590.2</v>
      </c>
      <c r="G373" s="36">
        <f>Tabla13[[#This Row],[Importe]]-Tabla13[[#This Row],[Pagado]]</f>
        <v>0</v>
      </c>
      <c r="H373" s="38" t="s">
        <v>10</v>
      </c>
    </row>
    <row r="374" spans="1:8" x14ac:dyDescent="0.25">
      <c r="A374" s="31">
        <v>44596</v>
      </c>
      <c r="B374" s="37" t="s">
        <v>4045</v>
      </c>
      <c r="C374" s="38" t="s">
        <v>18</v>
      </c>
      <c r="D374" s="34">
        <v>1401.2</v>
      </c>
      <c r="E374" s="35">
        <v>44596</v>
      </c>
      <c r="F374" s="34">
        <v>1401.2</v>
      </c>
      <c r="G374" s="36">
        <f>Tabla13[[#This Row],[Importe]]-Tabla13[[#This Row],[Pagado]]</f>
        <v>0</v>
      </c>
      <c r="H374" s="38" t="s">
        <v>10</v>
      </c>
    </row>
    <row r="375" spans="1:8" x14ac:dyDescent="0.25">
      <c r="A375" s="31">
        <v>44596</v>
      </c>
      <c r="B375" s="37" t="s">
        <v>4046</v>
      </c>
      <c r="C375" s="38" t="s">
        <v>125</v>
      </c>
      <c r="D375" s="34">
        <v>5097.6000000000004</v>
      </c>
      <c r="E375" s="35">
        <v>44596</v>
      </c>
      <c r="F375" s="34">
        <v>5097.6000000000004</v>
      </c>
      <c r="G375" s="36">
        <f>Tabla13[[#This Row],[Importe]]-Tabla13[[#This Row],[Pagado]]</f>
        <v>0</v>
      </c>
      <c r="H375" s="38" t="s">
        <v>10</v>
      </c>
    </row>
    <row r="376" spans="1:8" x14ac:dyDescent="0.25">
      <c r="A376" s="31">
        <v>44596</v>
      </c>
      <c r="B376" s="37" t="s">
        <v>4047</v>
      </c>
      <c r="C376" s="38" t="s">
        <v>85</v>
      </c>
      <c r="D376" s="34">
        <v>2048.9</v>
      </c>
      <c r="E376" s="35">
        <v>44596</v>
      </c>
      <c r="F376" s="34">
        <v>2048.9</v>
      </c>
      <c r="G376" s="36">
        <f>Tabla13[[#This Row],[Importe]]-Tabla13[[#This Row],[Pagado]]</f>
        <v>0</v>
      </c>
      <c r="H376" s="38" t="s">
        <v>10</v>
      </c>
    </row>
    <row r="377" spans="1:8" x14ac:dyDescent="0.25">
      <c r="A377" s="31">
        <v>44596</v>
      </c>
      <c r="B377" s="37" t="s">
        <v>4048</v>
      </c>
      <c r="C377" s="38" t="s">
        <v>31</v>
      </c>
      <c r="D377" s="34">
        <v>2483.8000000000002</v>
      </c>
      <c r="E377" s="35">
        <v>44596</v>
      </c>
      <c r="F377" s="34">
        <v>2483.8000000000002</v>
      </c>
      <c r="G377" s="36">
        <f>Tabla13[[#This Row],[Importe]]-Tabla13[[#This Row],[Pagado]]</f>
        <v>0</v>
      </c>
      <c r="H377" s="38" t="s">
        <v>10</v>
      </c>
    </row>
    <row r="378" spans="1:8" x14ac:dyDescent="0.25">
      <c r="A378" s="31">
        <v>44596</v>
      </c>
      <c r="B378" s="37" t="s">
        <v>4049</v>
      </c>
      <c r="C378" s="38" t="s">
        <v>89</v>
      </c>
      <c r="D378" s="34">
        <v>2342.6</v>
      </c>
      <c r="E378" s="35">
        <v>44597</v>
      </c>
      <c r="F378" s="34">
        <v>2342.6</v>
      </c>
      <c r="G378" s="36">
        <f>Tabla13[[#This Row],[Importe]]-Tabla13[[#This Row],[Pagado]]</f>
        <v>0</v>
      </c>
      <c r="H378" s="38" t="s">
        <v>10</v>
      </c>
    </row>
    <row r="379" spans="1:8" x14ac:dyDescent="0.25">
      <c r="A379" s="31">
        <v>44596</v>
      </c>
      <c r="B379" s="37" t="s">
        <v>4050</v>
      </c>
      <c r="C379" s="38" t="s">
        <v>326</v>
      </c>
      <c r="D379" s="34">
        <v>5733</v>
      </c>
      <c r="E379" s="35">
        <v>44597</v>
      </c>
      <c r="F379" s="34">
        <v>5733</v>
      </c>
      <c r="G379" s="36">
        <f>Tabla13[[#This Row],[Importe]]-Tabla13[[#This Row],[Pagado]]</f>
        <v>0</v>
      </c>
      <c r="H379" s="38" t="s">
        <v>10</v>
      </c>
    </row>
    <row r="380" spans="1:8" x14ac:dyDescent="0.25">
      <c r="A380" s="31">
        <v>44596</v>
      </c>
      <c r="B380" s="37" t="s">
        <v>4051</v>
      </c>
      <c r="C380" s="38" t="s">
        <v>345</v>
      </c>
      <c r="D380" s="34">
        <v>364.8</v>
      </c>
      <c r="E380" s="35">
        <v>44596</v>
      </c>
      <c r="F380" s="34">
        <v>364.8</v>
      </c>
      <c r="G380" s="36">
        <f>Tabla13[[#This Row],[Importe]]-Tabla13[[#This Row],[Pagado]]</f>
        <v>0</v>
      </c>
      <c r="H380" s="38" t="s">
        <v>10</v>
      </c>
    </row>
    <row r="381" spans="1:8" x14ac:dyDescent="0.25">
      <c r="A381" s="31">
        <v>44596</v>
      </c>
      <c r="B381" s="37" t="s">
        <v>4052</v>
      </c>
      <c r="C381" s="38" t="s">
        <v>64</v>
      </c>
      <c r="D381" s="34">
        <v>9008.7999999999993</v>
      </c>
      <c r="E381" s="35">
        <v>44597</v>
      </c>
      <c r="F381" s="34">
        <v>9008.7999999999993</v>
      </c>
      <c r="G381" s="36">
        <f>Tabla13[[#This Row],[Importe]]-Tabla13[[#This Row],[Pagado]]</f>
        <v>0</v>
      </c>
      <c r="H381" s="38" t="s">
        <v>10</v>
      </c>
    </row>
    <row r="382" spans="1:8" x14ac:dyDescent="0.25">
      <c r="A382" s="31">
        <v>44596</v>
      </c>
      <c r="B382" s="37" t="s">
        <v>4053</v>
      </c>
      <c r="C382" s="38" t="s">
        <v>105</v>
      </c>
      <c r="D382" s="34">
        <v>7211.8</v>
      </c>
      <c r="E382" s="35">
        <v>44597</v>
      </c>
      <c r="F382" s="34">
        <v>7211.8</v>
      </c>
      <c r="G382" s="36">
        <f>Tabla13[[#This Row],[Importe]]-Tabla13[[#This Row],[Pagado]]</f>
        <v>0</v>
      </c>
      <c r="H382" s="38" t="s">
        <v>10</v>
      </c>
    </row>
    <row r="383" spans="1:8" x14ac:dyDescent="0.25">
      <c r="A383" s="31">
        <v>44596</v>
      </c>
      <c r="B383" s="37" t="s">
        <v>4054</v>
      </c>
      <c r="C383" s="38" t="s">
        <v>93</v>
      </c>
      <c r="D383" s="34">
        <v>5249.2</v>
      </c>
      <c r="E383" s="35">
        <v>44597</v>
      </c>
      <c r="F383" s="34">
        <v>5249.2</v>
      </c>
      <c r="G383" s="36">
        <f>Tabla13[[#This Row],[Importe]]-Tabla13[[#This Row],[Pagado]]</f>
        <v>0</v>
      </c>
      <c r="H383" s="38" t="s">
        <v>10</v>
      </c>
    </row>
    <row r="384" spans="1:8" ht="31.5" x14ac:dyDescent="0.25">
      <c r="A384" s="31">
        <v>44596</v>
      </c>
      <c r="B384" s="37" t="s">
        <v>4055</v>
      </c>
      <c r="C384" s="38" t="s">
        <v>39</v>
      </c>
      <c r="D384" s="34">
        <v>19855</v>
      </c>
      <c r="E384" s="35" t="s">
        <v>4056</v>
      </c>
      <c r="F384" s="34">
        <f>5000+14855</f>
        <v>19855</v>
      </c>
      <c r="G384" s="36">
        <f>Tabla13[[#This Row],[Importe]]-Tabla13[[#This Row],[Pagado]]</f>
        <v>0</v>
      </c>
      <c r="H384" s="38" t="s">
        <v>10</v>
      </c>
    </row>
    <row r="385" spans="1:8" x14ac:dyDescent="0.25">
      <c r="A385" s="31">
        <v>44596</v>
      </c>
      <c r="B385" s="37" t="s">
        <v>4057</v>
      </c>
      <c r="C385" s="38" t="s">
        <v>348</v>
      </c>
      <c r="D385" s="34">
        <v>1900.6</v>
      </c>
      <c r="E385" s="35">
        <v>44596</v>
      </c>
      <c r="F385" s="34">
        <v>1900.6</v>
      </c>
      <c r="G385" s="36">
        <f>Tabla13[[#This Row],[Importe]]-Tabla13[[#This Row],[Pagado]]</f>
        <v>0</v>
      </c>
      <c r="H385" s="38" t="s">
        <v>10</v>
      </c>
    </row>
    <row r="386" spans="1:8" x14ac:dyDescent="0.25">
      <c r="A386" s="31">
        <v>44596</v>
      </c>
      <c r="B386" s="37" t="s">
        <v>4058</v>
      </c>
      <c r="C386" s="38" t="s">
        <v>169</v>
      </c>
      <c r="D386" s="34">
        <v>1608.6</v>
      </c>
      <c r="E386" s="35">
        <v>44596</v>
      </c>
      <c r="F386" s="34">
        <v>1608.6</v>
      </c>
      <c r="G386" s="36">
        <f>Tabla13[[#This Row],[Importe]]-Tabla13[[#This Row],[Pagado]]</f>
        <v>0</v>
      </c>
      <c r="H386" s="38" t="s">
        <v>10</v>
      </c>
    </row>
    <row r="387" spans="1:8" x14ac:dyDescent="0.25">
      <c r="A387" s="31">
        <v>44596</v>
      </c>
      <c r="B387" s="37" t="s">
        <v>4059</v>
      </c>
      <c r="C387" s="38" t="s">
        <v>111</v>
      </c>
      <c r="D387" s="34">
        <v>4395.3</v>
      </c>
      <c r="E387" s="35">
        <v>44597</v>
      </c>
      <c r="F387" s="34">
        <v>4395.3</v>
      </c>
      <c r="G387" s="36">
        <f>Tabla13[[#This Row],[Importe]]-Tabla13[[#This Row],[Pagado]]</f>
        <v>0</v>
      </c>
      <c r="H387" s="38" t="s">
        <v>10</v>
      </c>
    </row>
    <row r="388" spans="1:8" ht="31.5" x14ac:dyDescent="0.25">
      <c r="A388" s="31">
        <v>44596</v>
      </c>
      <c r="B388" s="37" t="s">
        <v>4060</v>
      </c>
      <c r="C388" s="38" t="s">
        <v>22</v>
      </c>
      <c r="D388" s="34">
        <v>50052.5</v>
      </c>
      <c r="E388" s="35" t="s">
        <v>4061</v>
      </c>
      <c r="F388" s="34">
        <f>40000+10052.5</f>
        <v>50052.5</v>
      </c>
      <c r="G388" s="36">
        <f>Tabla13[[#This Row],[Importe]]-Tabla13[[#This Row],[Pagado]]</f>
        <v>0</v>
      </c>
      <c r="H388" s="38" t="s">
        <v>10</v>
      </c>
    </row>
    <row r="389" spans="1:8" x14ac:dyDescent="0.25">
      <c r="A389" s="31">
        <v>44596</v>
      </c>
      <c r="B389" s="37" t="s">
        <v>4062</v>
      </c>
      <c r="C389" s="38" t="s">
        <v>131</v>
      </c>
      <c r="D389" s="34">
        <v>14842.6</v>
      </c>
      <c r="E389" s="35">
        <v>44596</v>
      </c>
      <c r="F389" s="34">
        <v>14842.6</v>
      </c>
      <c r="G389" s="36">
        <f>Tabla13[[#This Row],[Importe]]-Tabla13[[#This Row],[Pagado]]</f>
        <v>0</v>
      </c>
      <c r="H389" s="38" t="s">
        <v>10</v>
      </c>
    </row>
    <row r="390" spans="1:8" x14ac:dyDescent="0.25">
      <c r="A390" s="31">
        <v>44596</v>
      </c>
      <c r="B390" s="37" t="s">
        <v>4063</v>
      </c>
      <c r="C390" s="38" t="s">
        <v>275</v>
      </c>
      <c r="D390" s="34">
        <v>90522.38</v>
      </c>
      <c r="E390" s="35">
        <v>44610</v>
      </c>
      <c r="F390" s="34">
        <v>90522.38</v>
      </c>
      <c r="G390" s="36">
        <f>Tabla13[[#This Row],[Importe]]-Tabla13[[#This Row],[Pagado]]</f>
        <v>0</v>
      </c>
      <c r="H390" s="38" t="s">
        <v>10</v>
      </c>
    </row>
    <row r="391" spans="1:8" x14ac:dyDescent="0.25">
      <c r="A391" s="31">
        <v>44596</v>
      </c>
      <c r="B391" s="37" t="s">
        <v>4064</v>
      </c>
      <c r="C391" s="38" t="s">
        <v>173</v>
      </c>
      <c r="D391" s="34">
        <v>24388.560000000001</v>
      </c>
      <c r="E391" s="35">
        <v>44597</v>
      </c>
      <c r="F391" s="34">
        <v>24388.560000000001</v>
      </c>
      <c r="G391" s="36">
        <f>Tabla13[[#This Row],[Importe]]-Tabla13[[#This Row],[Pagado]]</f>
        <v>0</v>
      </c>
      <c r="H391" s="38" t="s">
        <v>10</v>
      </c>
    </row>
    <row r="392" spans="1:8" x14ac:dyDescent="0.25">
      <c r="A392" s="31">
        <v>44596</v>
      </c>
      <c r="B392" s="37" t="s">
        <v>4065</v>
      </c>
      <c r="C392" s="38" t="s">
        <v>208</v>
      </c>
      <c r="D392" s="34">
        <v>3917.6</v>
      </c>
      <c r="E392" s="35">
        <v>44603</v>
      </c>
      <c r="F392" s="34">
        <v>3917.6</v>
      </c>
      <c r="G392" s="36">
        <f>Tabla13[[#This Row],[Importe]]-Tabla13[[#This Row],[Pagado]]</f>
        <v>0</v>
      </c>
      <c r="H392" s="38" t="s">
        <v>10</v>
      </c>
    </row>
    <row r="393" spans="1:8" x14ac:dyDescent="0.25">
      <c r="A393" s="31">
        <v>44596</v>
      </c>
      <c r="B393" s="37" t="s">
        <v>4066</v>
      </c>
      <c r="C393" s="38" t="s">
        <v>218</v>
      </c>
      <c r="D393" s="34">
        <v>30258</v>
      </c>
      <c r="E393" s="35">
        <v>44603</v>
      </c>
      <c r="F393" s="34">
        <v>30258</v>
      </c>
      <c r="G393" s="36">
        <f>Tabla13[[#This Row],[Importe]]-Tabla13[[#This Row],[Pagado]]</f>
        <v>0</v>
      </c>
      <c r="H393" s="38" t="s">
        <v>10</v>
      </c>
    </row>
    <row r="394" spans="1:8" x14ac:dyDescent="0.25">
      <c r="A394" s="31">
        <v>44596</v>
      </c>
      <c r="B394" s="37" t="s">
        <v>4067</v>
      </c>
      <c r="C394" s="38" t="s">
        <v>206</v>
      </c>
      <c r="D394" s="34">
        <v>21938.7</v>
      </c>
      <c r="E394" s="35">
        <v>44603</v>
      </c>
      <c r="F394" s="34">
        <v>21938.7</v>
      </c>
      <c r="G394" s="36">
        <f>Tabla13[[#This Row],[Importe]]-Tabla13[[#This Row],[Pagado]]</f>
        <v>0</v>
      </c>
      <c r="H394" s="38" t="s">
        <v>10</v>
      </c>
    </row>
    <row r="395" spans="1:8" x14ac:dyDescent="0.25">
      <c r="A395" s="31">
        <v>44596</v>
      </c>
      <c r="B395" s="37" t="s">
        <v>4068</v>
      </c>
      <c r="C395" s="38" t="s">
        <v>275</v>
      </c>
      <c r="D395" s="34">
        <v>1763</v>
      </c>
      <c r="E395" s="35">
        <v>44610</v>
      </c>
      <c r="F395" s="34">
        <v>1763</v>
      </c>
      <c r="G395" s="36">
        <f>Tabla13[[#This Row],[Importe]]-Tabla13[[#This Row],[Pagado]]</f>
        <v>0</v>
      </c>
      <c r="H395" s="38" t="s">
        <v>10</v>
      </c>
    </row>
    <row r="396" spans="1:8" x14ac:dyDescent="0.25">
      <c r="A396" s="31">
        <v>44596</v>
      </c>
      <c r="B396" s="37" t="s">
        <v>4069</v>
      </c>
      <c r="C396" s="38" t="s">
        <v>75</v>
      </c>
      <c r="D396" s="34">
        <v>5997.6</v>
      </c>
      <c r="E396" s="35">
        <v>44596</v>
      </c>
      <c r="F396" s="34">
        <v>5997.6</v>
      </c>
      <c r="G396" s="36">
        <f>Tabla13[[#This Row],[Importe]]-Tabla13[[#This Row],[Pagado]]</f>
        <v>0</v>
      </c>
      <c r="H396" s="38" t="s">
        <v>10</v>
      </c>
    </row>
    <row r="397" spans="1:8" x14ac:dyDescent="0.25">
      <c r="A397" s="31">
        <v>44596</v>
      </c>
      <c r="B397" s="37" t="s">
        <v>4070</v>
      </c>
      <c r="C397" s="38" t="s">
        <v>198</v>
      </c>
      <c r="D397" s="34">
        <v>310.39999999999998</v>
      </c>
      <c r="E397" s="35">
        <v>44596</v>
      </c>
      <c r="F397" s="34">
        <v>310.39999999999998</v>
      </c>
      <c r="G397" s="36">
        <f>Tabla13[[#This Row],[Importe]]-Tabla13[[#This Row],[Pagado]]</f>
        <v>0</v>
      </c>
      <c r="H397" s="38" t="s">
        <v>10</v>
      </c>
    </row>
    <row r="398" spans="1:8" x14ac:dyDescent="0.25">
      <c r="A398" s="31">
        <v>44596</v>
      </c>
      <c r="B398" s="37" t="s">
        <v>4071</v>
      </c>
      <c r="C398" s="38" t="s">
        <v>924</v>
      </c>
      <c r="D398" s="34">
        <v>11466.36</v>
      </c>
      <c r="E398" s="35">
        <v>44596</v>
      </c>
      <c r="F398" s="34">
        <v>11466.36</v>
      </c>
      <c r="G398" s="36">
        <f>Tabla13[[#This Row],[Importe]]-Tabla13[[#This Row],[Pagado]]</f>
        <v>0</v>
      </c>
      <c r="H398" s="38" t="s">
        <v>10</v>
      </c>
    </row>
    <row r="399" spans="1:8" x14ac:dyDescent="0.25">
      <c r="A399" s="31">
        <v>44596</v>
      </c>
      <c r="B399" s="37" t="s">
        <v>4072</v>
      </c>
      <c r="C399" s="38" t="s">
        <v>289</v>
      </c>
      <c r="D399" s="34">
        <v>6971.4</v>
      </c>
      <c r="E399" s="35">
        <v>44596</v>
      </c>
      <c r="F399" s="34">
        <v>6971.4</v>
      </c>
      <c r="G399" s="36">
        <f>Tabla13[[#This Row],[Importe]]-Tabla13[[#This Row],[Pagado]]</f>
        <v>0</v>
      </c>
      <c r="H399" s="38" t="s">
        <v>10</v>
      </c>
    </row>
    <row r="400" spans="1:8" x14ac:dyDescent="0.25">
      <c r="A400" s="31">
        <v>44596</v>
      </c>
      <c r="B400" s="37" t="s">
        <v>4073</v>
      </c>
      <c r="C400" s="38" t="s">
        <v>49</v>
      </c>
      <c r="D400" s="34">
        <v>3185</v>
      </c>
      <c r="E400" s="35">
        <v>44596</v>
      </c>
      <c r="F400" s="34">
        <v>3185</v>
      </c>
      <c r="G400" s="36">
        <f>Tabla13[[#This Row],[Importe]]-Tabla13[[#This Row],[Pagado]]</f>
        <v>0</v>
      </c>
      <c r="H400" s="38" t="s">
        <v>10</v>
      </c>
    </row>
    <row r="401" spans="1:8" x14ac:dyDescent="0.25">
      <c r="A401" s="31">
        <v>44596</v>
      </c>
      <c r="B401" s="37" t="s">
        <v>4074</v>
      </c>
      <c r="C401" s="38" t="s">
        <v>484</v>
      </c>
      <c r="D401" s="34">
        <v>3366</v>
      </c>
      <c r="E401" s="35">
        <v>44596</v>
      </c>
      <c r="F401" s="34">
        <v>3366</v>
      </c>
      <c r="G401" s="36">
        <f>Tabla13[[#This Row],[Importe]]-Tabla13[[#This Row],[Pagado]]</f>
        <v>0</v>
      </c>
      <c r="H401" s="38" t="s">
        <v>10</v>
      </c>
    </row>
    <row r="402" spans="1:8" x14ac:dyDescent="0.25">
      <c r="A402" s="31">
        <v>44596</v>
      </c>
      <c r="B402" s="37" t="s">
        <v>4075</v>
      </c>
      <c r="C402" s="38" t="s">
        <v>196</v>
      </c>
      <c r="D402" s="34">
        <v>82150.22</v>
      </c>
      <c r="E402" s="35">
        <v>44597</v>
      </c>
      <c r="F402" s="34">
        <v>82150.22</v>
      </c>
      <c r="G402" s="36">
        <f>Tabla13[[#This Row],[Importe]]-Tabla13[[#This Row],[Pagado]]</f>
        <v>0</v>
      </c>
      <c r="H402" s="38" t="s">
        <v>10</v>
      </c>
    </row>
    <row r="403" spans="1:8" x14ac:dyDescent="0.25">
      <c r="A403" s="31">
        <v>44596</v>
      </c>
      <c r="B403" s="37" t="s">
        <v>4076</v>
      </c>
      <c r="C403" s="38" t="s">
        <v>27</v>
      </c>
      <c r="D403" s="34">
        <v>2375.4</v>
      </c>
      <c r="E403" s="35">
        <v>44596</v>
      </c>
      <c r="F403" s="34">
        <v>2375.4</v>
      </c>
      <c r="G403" s="36">
        <f>Tabla13[[#This Row],[Importe]]-Tabla13[[#This Row],[Pagado]]</f>
        <v>0</v>
      </c>
      <c r="H403" s="38" t="s">
        <v>10</v>
      </c>
    </row>
    <row r="404" spans="1:8" x14ac:dyDescent="0.25">
      <c r="A404" s="31">
        <v>44596</v>
      </c>
      <c r="B404" s="37" t="s">
        <v>4077</v>
      </c>
      <c r="C404" s="38" t="s">
        <v>12</v>
      </c>
      <c r="D404" s="34">
        <v>2008.4</v>
      </c>
      <c r="E404" s="35">
        <v>44597</v>
      </c>
      <c r="F404" s="34">
        <v>2008.4</v>
      </c>
      <c r="G404" s="36">
        <f>Tabla13[[#This Row],[Importe]]-Tabla13[[#This Row],[Pagado]]</f>
        <v>0</v>
      </c>
      <c r="H404" s="38" t="s">
        <v>10</v>
      </c>
    </row>
    <row r="405" spans="1:8" x14ac:dyDescent="0.25">
      <c r="A405" s="31">
        <v>44596</v>
      </c>
      <c r="B405" s="37" t="s">
        <v>4078</v>
      </c>
      <c r="C405" s="38" t="s">
        <v>29</v>
      </c>
      <c r="D405" s="34">
        <v>3518.2</v>
      </c>
      <c r="E405" s="35">
        <v>44596</v>
      </c>
      <c r="F405" s="34">
        <v>3518.2</v>
      </c>
      <c r="G405" s="36">
        <f>Tabla13[[#This Row],[Importe]]-Tabla13[[#This Row],[Pagado]]</f>
        <v>0</v>
      </c>
      <c r="H405" s="38" t="s">
        <v>10</v>
      </c>
    </row>
    <row r="406" spans="1:8" x14ac:dyDescent="0.25">
      <c r="A406" s="31">
        <v>44596</v>
      </c>
      <c r="B406" s="37" t="s">
        <v>4079</v>
      </c>
      <c r="C406" s="38" t="s">
        <v>518</v>
      </c>
      <c r="D406" s="34">
        <v>2112</v>
      </c>
      <c r="E406" s="35">
        <v>44596</v>
      </c>
      <c r="F406" s="34">
        <v>2112</v>
      </c>
      <c r="G406" s="36">
        <f>Tabla13[[#This Row],[Importe]]-Tabla13[[#This Row],[Pagado]]</f>
        <v>0</v>
      </c>
      <c r="H406" s="38" t="s">
        <v>10</v>
      </c>
    </row>
    <row r="407" spans="1:8" x14ac:dyDescent="0.25">
      <c r="A407" s="31">
        <v>44596</v>
      </c>
      <c r="B407" s="37" t="s">
        <v>4080</v>
      </c>
      <c r="C407" s="38" t="s">
        <v>647</v>
      </c>
      <c r="D407" s="34">
        <v>2396.8000000000002</v>
      </c>
      <c r="E407" s="35">
        <v>44596</v>
      </c>
      <c r="F407" s="34">
        <v>2396.8000000000002</v>
      </c>
      <c r="G407" s="36">
        <f>Tabla13[[#This Row],[Importe]]-Tabla13[[#This Row],[Pagado]]</f>
        <v>0</v>
      </c>
      <c r="H407" s="38" t="s">
        <v>10</v>
      </c>
    </row>
    <row r="408" spans="1:8" x14ac:dyDescent="0.25">
      <c r="A408" s="31">
        <v>44596</v>
      </c>
      <c r="B408" s="37" t="s">
        <v>4081</v>
      </c>
      <c r="C408" s="38" t="s">
        <v>64</v>
      </c>
      <c r="D408" s="34">
        <v>3392.5</v>
      </c>
      <c r="E408" s="35">
        <v>44596</v>
      </c>
      <c r="F408" s="34">
        <v>3392.5</v>
      </c>
      <c r="G408" s="36">
        <f>Tabla13[[#This Row],[Importe]]-Tabla13[[#This Row],[Pagado]]</f>
        <v>0</v>
      </c>
      <c r="H408" s="38" t="s">
        <v>10</v>
      </c>
    </row>
    <row r="409" spans="1:8" x14ac:dyDescent="0.25">
      <c r="A409" s="31">
        <v>44596</v>
      </c>
      <c r="B409" s="37" t="s">
        <v>4082</v>
      </c>
      <c r="C409" s="38" t="s">
        <v>969</v>
      </c>
      <c r="D409" s="34">
        <v>7227.2</v>
      </c>
      <c r="E409" s="35">
        <v>44596</v>
      </c>
      <c r="F409" s="34">
        <v>7227.2</v>
      </c>
      <c r="G409" s="36">
        <f>Tabla13[[#This Row],[Importe]]-Tabla13[[#This Row],[Pagado]]</f>
        <v>0</v>
      </c>
      <c r="H409" s="38" t="s">
        <v>10</v>
      </c>
    </row>
    <row r="410" spans="1:8" x14ac:dyDescent="0.25">
      <c r="A410" s="31">
        <v>44596</v>
      </c>
      <c r="B410" s="37" t="s">
        <v>4083</v>
      </c>
      <c r="C410" s="38" t="s">
        <v>804</v>
      </c>
      <c r="D410" s="34">
        <v>10624.2</v>
      </c>
      <c r="E410" s="35">
        <v>44596</v>
      </c>
      <c r="F410" s="34">
        <v>10624.2</v>
      </c>
      <c r="G410" s="36">
        <f>Tabla13[[#This Row],[Importe]]-Tabla13[[#This Row],[Pagado]]</f>
        <v>0</v>
      </c>
      <c r="H410" s="38" t="s">
        <v>10</v>
      </c>
    </row>
    <row r="411" spans="1:8" x14ac:dyDescent="0.25">
      <c r="A411" s="31">
        <v>44596</v>
      </c>
      <c r="B411" s="37" t="s">
        <v>4084</v>
      </c>
      <c r="C411" s="38" t="s">
        <v>37</v>
      </c>
      <c r="D411" s="34">
        <v>3517.5</v>
      </c>
      <c r="E411" s="35">
        <v>44596</v>
      </c>
      <c r="F411" s="34">
        <v>3517.5</v>
      </c>
      <c r="G411" s="36">
        <f>Tabla13[[#This Row],[Importe]]-Tabla13[[#This Row],[Pagado]]</f>
        <v>0</v>
      </c>
      <c r="H411" s="38" t="s">
        <v>10</v>
      </c>
    </row>
    <row r="412" spans="1:8" x14ac:dyDescent="0.25">
      <c r="A412" s="31">
        <v>44596</v>
      </c>
      <c r="B412" s="37" t="s">
        <v>4085</v>
      </c>
      <c r="C412" s="38" t="s">
        <v>64</v>
      </c>
      <c r="D412" s="34">
        <v>401.2</v>
      </c>
      <c r="E412" s="35">
        <v>44596</v>
      </c>
      <c r="F412" s="34">
        <v>401.2</v>
      </c>
      <c r="G412" s="36">
        <f>Tabla13[[#This Row],[Importe]]-Tabla13[[#This Row],[Pagado]]</f>
        <v>0</v>
      </c>
      <c r="H412" s="38" t="s">
        <v>10</v>
      </c>
    </row>
    <row r="413" spans="1:8" x14ac:dyDescent="0.25">
      <c r="A413" s="31">
        <v>44596</v>
      </c>
      <c r="B413" s="37" t="s">
        <v>4086</v>
      </c>
      <c r="C413" s="38" t="s">
        <v>454</v>
      </c>
      <c r="D413" s="34">
        <v>3481.6</v>
      </c>
      <c r="E413" s="35">
        <v>44596</v>
      </c>
      <c r="F413" s="34">
        <v>3481.6</v>
      </c>
      <c r="G413" s="36">
        <f>Tabla13[[#This Row],[Importe]]-Tabla13[[#This Row],[Pagado]]</f>
        <v>0</v>
      </c>
      <c r="H413" s="38" t="s">
        <v>10</v>
      </c>
    </row>
    <row r="414" spans="1:8" x14ac:dyDescent="0.25">
      <c r="A414" s="31">
        <v>44596</v>
      </c>
      <c r="B414" s="37" t="s">
        <v>4087</v>
      </c>
      <c r="C414" s="38" t="s">
        <v>2114</v>
      </c>
      <c r="D414" s="34">
        <v>966.4</v>
      </c>
      <c r="E414" s="35">
        <v>44596</v>
      </c>
      <c r="F414" s="34">
        <v>966.4</v>
      </c>
      <c r="G414" s="36">
        <f>Tabla13[[#This Row],[Importe]]-Tabla13[[#This Row],[Pagado]]</f>
        <v>0</v>
      </c>
      <c r="H414" s="38" t="s">
        <v>10</v>
      </c>
    </row>
    <row r="415" spans="1:8" x14ac:dyDescent="0.25">
      <c r="A415" s="31">
        <v>44596</v>
      </c>
      <c r="B415" s="37" t="s">
        <v>4088</v>
      </c>
      <c r="C415" s="38" t="s">
        <v>2114</v>
      </c>
      <c r="D415" s="34">
        <v>280</v>
      </c>
      <c r="E415" s="35">
        <v>44596</v>
      </c>
      <c r="F415" s="34">
        <v>280</v>
      </c>
      <c r="G415" s="36">
        <f>Tabla13[[#This Row],[Importe]]-Tabla13[[#This Row],[Pagado]]</f>
        <v>0</v>
      </c>
      <c r="H415" s="38" t="s">
        <v>10</v>
      </c>
    </row>
    <row r="416" spans="1:8" x14ac:dyDescent="0.25">
      <c r="A416" s="31">
        <v>44596</v>
      </c>
      <c r="B416" s="37" t="s">
        <v>4089</v>
      </c>
      <c r="C416" s="38" t="s">
        <v>51</v>
      </c>
      <c r="D416" s="34">
        <v>3040</v>
      </c>
      <c r="E416" s="35">
        <v>44596</v>
      </c>
      <c r="F416" s="34">
        <v>3040</v>
      </c>
      <c r="G416" s="36">
        <f>Tabla13[[#This Row],[Importe]]-Tabla13[[#This Row],[Pagado]]</f>
        <v>0</v>
      </c>
      <c r="H416" s="38" t="s">
        <v>10</v>
      </c>
    </row>
    <row r="417" spans="1:8" x14ac:dyDescent="0.25">
      <c r="A417" s="31">
        <v>44596</v>
      </c>
      <c r="B417" s="37" t="s">
        <v>4090</v>
      </c>
      <c r="C417" s="38" t="s">
        <v>45</v>
      </c>
      <c r="D417" s="34">
        <v>12816.6</v>
      </c>
      <c r="E417" s="35">
        <v>44596</v>
      </c>
      <c r="F417" s="34">
        <v>12816.6</v>
      </c>
      <c r="G417" s="36">
        <f>Tabla13[[#This Row],[Importe]]-Tabla13[[#This Row],[Pagado]]</f>
        <v>0</v>
      </c>
      <c r="H417" s="38" t="s">
        <v>10</v>
      </c>
    </row>
    <row r="418" spans="1:8" x14ac:dyDescent="0.25">
      <c r="A418" s="31">
        <v>44596</v>
      </c>
      <c r="B418" s="37" t="s">
        <v>4091</v>
      </c>
      <c r="C418" s="38" t="s">
        <v>230</v>
      </c>
      <c r="D418" s="34">
        <v>4289.3</v>
      </c>
      <c r="E418" s="35">
        <v>44596</v>
      </c>
      <c r="F418" s="34">
        <v>4289.3</v>
      </c>
      <c r="G418" s="36">
        <f>Tabla13[[#This Row],[Importe]]-Tabla13[[#This Row],[Pagado]]</f>
        <v>0</v>
      </c>
      <c r="H418" s="38" t="s">
        <v>10</v>
      </c>
    </row>
    <row r="419" spans="1:8" x14ac:dyDescent="0.25">
      <c r="A419" s="31">
        <v>44596</v>
      </c>
      <c r="B419" s="37" t="s">
        <v>4092</v>
      </c>
      <c r="C419" s="38" t="s">
        <v>729</v>
      </c>
      <c r="D419" s="34">
        <v>11246.4</v>
      </c>
      <c r="E419" s="35">
        <v>44596</v>
      </c>
      <c r="F419" s="34">
        <v>11246.4</v>
      </c>
      <c r="G419" s="36">
        <f>Tabla13[[#This Row],[Importe]]-Tabla13[[#This Row],[Pagado]]</f>
        <v>0</v>
      </c>
      <c r="H419" s="38" t="s">
        <v>10</v>
      </c>
    </row>
    <row r="420" spans="1:8" x14ac:dyDescent="0.25">
      <c r="A420" s="31">
        <v>44596</v>
      </c>
      <c r="B420" s="37" t="s">
        <v>4093</v>
      </c>
      <c r="C420" s="38" t="s">
        <v>31</v>
      </c>
      <c r="D420" s="34">
        <v>555</v>
      </c>
      <c r="E420" s="35">
        <v>44596</v>
      </c>
      <c r="F420" s="34">
        <v>555</v>
      </c>
      <c r="G420" s="36">
        <f>Tabla13[[#This Row],[Importe]]-Tabla13[[#This Row],[Pagado]]</f>
        <v>0</v>
      </c>
      <c r="H420" s="38" t="s">
        <v>10</v>
      </c>
    </row>
    <row r="421" spans="1:8" x14ac:dyDescent="0.25">
      <c r="A421" s="31">
        <v>44596</v>
      </c>
      <c r="B421" s="37" t="s">
        <v>4094</v>
      </c>
      <c r="C421" s="38" t="s">
        <v>1275</v>
      </c>
      <c r="D421" s="34">
        <v>25660</v>
      </c>
      <c r="E421" s="35">
        <v>44596</v>
      </c>
      <c r="F421" s="34">
        <v>25660</v>
      </c>
      <c r="G421" s="36">
        <f>Tabla13[[#This Row],[Importe]]-Tabla13[[#This Row],[Pagado]]</f>
        <v>0</v>
      </c>
      <c r="H421" s="38" t="s">
        <v>10</v>
      </c>
    </row>
    <row r="422" spans="1:8" x14ac:dyDescent="0.25">
      <c r="A422" s="31">
        <v>44596</v>
      </c>
      <c r="B422" s="37" t="s">
        <v>4095</v>
      </c>
      <c r="C422" s="38" t="s">
        <v>373</v>
      </c>
      <c r="D422" s="34">
        <v>1396.9</v>
      </c>
      <c r="E422" s="35">
        <v>44596</v>
      </c>
      <c r="F422" s="34">
        <v>1396.9</v>
      </c>
      <c r="G422" s="36">
        <f>Tabla13[[#This Row],[Importe]]-Tabla13[[#This Row],[Pagado]]</f>
        <v>0</v>
      </c>
      <c r="H422" s="38" t="s">
        <v>10</v>
      </c>
    </row>
    <row r="423" spans="1:8" x14ac:dyDescent="0.25">
      <c r="A423" s="31">
        <v>44596</v>
      </c>
      <c r="B423" s="37" t="s">
        <v>4096</v>
      </c>
      <c r="C423" s="38" t="s">
        <v>24</v>
      </c>
      <c r="D423" s="34">
        <v>3840</v>
      </c>
      <c r="E423" s="35">
        <v>44596</v>
      </c>
      <c r="F423" s="34">
        <v>3840</v>
      </c>
      <c r="G423" s="36">
        <f>Tabla13[[#This Row],[Importe]]-Tabla13[[#This Row],[Pagado]]</f>
        <v>0</v>
      </c>
      <c r="H423" s="38" t="s">
        <v>10</v>
      </c>
    </row>
    <row r="424" spans="1:8" x14ac:dyDescent="0.25">
      <c r="A424" s="31">
        <v>44596</v>
      </c>
      <c r="B424" s="37" t="s">
        <v>4097</v>
      </c>
      <c r="C424" s="38" t="s">
        <v>24</v>
      </c>
      <c r="D424" s="34">
        <v>326.8</v>
      </c>
      <c r="E424" s="35">
        <v>44596</v>
      </c>
      <c r="F424" s="34">
        <v>326.8</v>
      </c>
      <c r="G424" s="36">
        <f>Tabla13[[#This Row],[Importe]]-Tabla13[[#This Row],[Pagado]]</f>
        <v>0</v>
      </c>
      <c r="H424" s="38" t="s">
        <v>10</v>
      </c>
    </row>
    <row r="425" spans="1:8" x14ac:dyDescent="0.25">
      <c r="A425" s="31">
        <v>44596</v>
      </c>
      <c r="B425" s="37" t="s">
        <v>4098</v>
      </c>
      <c r="C425" s="38" t="s">
        <v>380</v>
      </c>
      <c r="D425" s="34">
        <v>14782.5</v>
      </c>
      <c r="E425" s="35">
        <v>44597</v>
      </c>
      <c r="F425" s="34">
        <v>14782.5</v>
      </c>
      <c r="G425" s="36">
        <f>Tabla13[[#This Row],[Importe]]-Tabla13[[#This Row],[Pagado]]</f>
        <v>0</v>
      </c>
      <c r="H425" s="38" t="s">
        <v>10</v>
      </c>
    </row>
    <row r="426" spans="1:8" x14ac:dyDescent="0.25">
      <c r="A426" s="31">
        <v>44596</v>
      </c>
      <c r="B426" s="37" t="s">
        <v>4099</v>
      </c>
      <c r="C426" s="38" t="s">
        <v>520</v>
      </c>
      <c r="D426" s="34">
        <v>6500.6</v>
      </c>
      <c r="E426" s="35">
        <v>44597</v>
      </c>
      <c r="F426" s="34">
        <v>6500.6</v>
      </c>
      <c r="G426" s="36">
        <f>Tabla13[[#This Row],[Importe]]-Tabla13[[#This Row],[Pagado]]</f>
        <v>0</v>
      </c>
      <c r="H426" s="38" t="s">
        <v>10</v>
      </c>
    </row>
    <row r="427" spans="1:8" x14ac:dyDescent="0.25">
      <c r="A427" s="31">
        <v>44596</v>
      </c>
      <c r="B427" s="37" t="s">
        <v>4100</v>
      </c>
      <c r="C427" s="38" t="s">
        <v>357</v>
      </c>
      <c r="D427" s="34">
        <v>416.5</v>
      </c>
      <c r="E427" s="35">
        <v>44596</v>
      </c>
      <c r="F427" s="34">
        <v>416.5</v>
      </c>
      <c r="G427" s="36">
        <f>Tabla13[[#This Row],[Importe]]-Tabla13[[#This Row],[Pagado]]</f>
        <v>0</v>
      </c>
      <c r="H427" s="38" t="s">
        <v>10</v>
      </c>
    </row>
    <row r="428" spans="1:8" x14ac:dyDescent="0.25">
      <c r="A428" s="31">
        <v>44596</v>
      </c>
      <c r="B428" s="37" t="s">
        <v>4101</v>
      </c>
      <c r="C428" s="38" t="s">
        <v>140</v>
      </c>
      <c r="D428" s="34">
        <v>808.5</v>
      </c>
      <c r="E428" s="35">
        <v>44596</v>
      </c>
      <c r="F428" s="34">
        <v>808.5</v>
      </c>
      <c r="G428" s="36">
        <f>Tabla13[[#This Row],[Importe]]-Tabla13[[#This Row],[Pagado]]</f>
        <v>0</v>
      </c>
      <c r="H428" s="38" t="s">
        <v>10</v>
      </c>
    </row>
    <row r="429" spans="1:8" x14ac:dyDescent="0.25">
      <c r="A429" s="31">
        <v>44596</v>
      </c>
      <c r="B429" s="37" t="s">
        <v>4102</v>
      </c>
      <c r="C429" s="38" t="s">
        <v>129</v>
      </c>
      <c r="D429" s="34">
        <v>3576</v>
      </c>
      <c r="E429" s="35">
        <v>44596</v>
      </c>
      <c r="F429" s="34">
        <v>3576</v>
      </c>
      <c r="G429" s="36">
        <f>Tabla13[[#This Row],[Importe]]-Tabla13[[#This Row],[Pagado]]</f>
        <v>0</v>
      </c>
      <c r="H429" s="38" t="s">
        <v>10</v>
      </c>
    </row>
    <row r="430" spans="1:8" x14ac:dyDescent="0.25">
      <c r="A430" s="31">
        <v>44596</v>
      </c>
      <c r="B430" s="37" t="s">
        <v>4103</v>
      </c>
      <c r="C430" s="38" t="s">
        <v>127</v>
      </c>
      <c r="D430" s="34">
        <v>4436.2</v>
      </c>
      <c r="E430" s="35">
        <v>44596</v>
      </c>
      <c r="F430" s="34">
        <v>4436.2</v>
      </c>
      <c r="G430" s="36">
        <f>Tabla13[[#This Row],[Importe]]-Tabla13[[#This Row],[Pagado]]</f>
        <v>0</v>
      </c>
      <c r="H430" s="38" t="s">
        <v>10</v>
      </c>
    </row>
    <row r="431" spans="1:8" x14ac:dyDescent="0.25">
      <c r="A431" s="31">
        <v>44596</v>
      </c>
      <c r="B431" s="37" t="s">
        <v>4104</v>
      </c>
      <c r="C431" s="38" t="s">
        <v>339</v>
      </c>
      <c r="D431" s="34">
        <v>735</v>
      </c>
      <c r="E431" s="35">
        <v>44596</v>
      </c>
      <c r="F431" s="34">
        <v>735</v>
      </c>
      <c r="G431" s="36">
        <f>Tabla13[[#This Row],[Importe]]-Tabla13[[#This Row],[Pagado]]</f>
        <v>0</v>
      </c>
      <c r="H431" s="38" t="s">
        <v>10</v>
      </c>
    </row>
    <row r="432" spans="1:8" x14ac:dyDescent="0.25">
      <c r="A432" s="31">
        <v>44596</v>
      </c>
      <c r="B432" s="37" t="s">
        <v>4105</v>
      </c>
      <c r="C432" s="38" t="s">
        <v>518</v>
      </c>
      <c r="D432" s="34">
        <v>1435.2</v>
      </c>
      <c r="E432" s="35">
        <v>44597</v>
      </c>
      <c r="F432" s="34">
        <v>1435.2</v>
      </c>
      <c r="G432" s="36">
        <f>Tabla13[[#This Row],[Importe]]-Tabla13[[#This Row],[Pagado]]</f>
        <v>0</v>
      </c>
      <c r="H432" s="38" t="s">
        <v>10</v>
      </c>
    </row>
    <row r="433" spans="1:8" x14ac:dyDescent="0.25">
      <c r="A433" s="31">
        <v>44596</v>
      </c>
      <c r="B433" s="37" t="s">
        <v>4106</v>
      </c>
      <c r="C433" s="38" t="s">
        <v>151</v>
      </c>
      <c r="D433" s="34">
        <v>3886.2</v>
      </c>
      <c r="E433" s="35">
        <v>44597</v>
      </c>
      <c r="F433" s="34">
        <v>3886.2</v>
      </c>
      <c r="G433" s="36">
        <f>Tabla13[[#This Row],[Importe]]-Tabla13[[#This Row],[Pagado]]</f>
        <v>0</v>
      </c>
      <c r="H433" s="38" t="s">
        <v>10</v>
      </c>
    </row>
    <row r="434" spans="1:8" x14ac:dyDescent="0.25">
      <c r="A434" s="31">
        <v>44596</v>
      </c>
      <c r="B434" s="37" t="s">
        <v>4107</v>
      </c>
      <c r="C434" s="38" t="s">
        <v>216</v>
      </c>
      <c r="D434" s="34">
        <v>955.5</v>
      </c>
      <c r="E434" s="35">
        <v>44596</v>
      </c>
      <c r="F434" s="34">
        <v>955.5</v>
      </c>
      <c r="G434" s="36">
        <f>Tabla13[[#This Row],[Importe]]-Tabla13[[#This Row],[Pagado]]</f>
        <v>0</v>
      </c>
      <c r="H434" s="38" t="s">
        <v>10</v>
      </c>
    </row>
    <row r="435" spans="1:8" x14ac:dyDescent="0.25">
      <c r="A435" s="31">
        <v>44596</v>
      </c>
      <c r="B435" s="37" t="s">
        <v>4108</v>
      </c>
      <c r="C435" s="38" t="s">
        <v>157</v>
      </c>
      <c r="D435" s="34">
        <v>2076.4</v>
      </c>
      <c r="E435" s="35">
        <v>44597</v>
      </c>
      <c r="F435" s="34">
        <v>2076.4</v>
      </c>
      <c r="G435" s="36">
        <f>Tabla13[[#This Row],[Importe]]-Tabla13[[#This Row],[Pagado]]</f>
        <v>0</v>
      </c>
      <c r="H435" s="38" t="s">
        <v>10</v>
      </c>
    </row>
    <row r="436" spans="1:8" x14ac:dyDescent="0.25">
      <c r="A436" s="31">
        <v>44596</v>
      </c>
      <c r="B436" s="37" t="s">
        <v>4109</v>
      </c>
      <c r="C436" s="38" t="s">
        <v>183</v>
      </c>
      <c r="D436" s="34">
        <v>1113.5999999999999</v>
      </c>
      <c r="E436" s="35">
        <v>44597</v>
      </c>
      <c r="F436" s="34">
        <v>1113.5999999999999</v>
      </c>
      <c r="G436" s="36">
        <f>Tabla13[[#This Row],[Importe]]-Tabla13[[#This Row],[Pagado]]</f>
        <v>0</v>
      </c>
      <c r="H436" s="38" t="s">
        <v>10</v>
      </c>
    </row>
    <row r="437" spans="1:8" x14ac:dyDescent="0.25">
      <c r="A437" s="31">
        <v>44596</v>
      </c>
      <c r="B437" s="37" t="s">
        <v>4110</v>
      </c>
      <c r="C437" s="38" t="s">
        <v>56</v>
      </c>
      <c r="D437" s="34">
        <v>2376.6</v>
      </c>
      <c r="E437" s="35">
        <v>44596</v>
      </c>
      <c r="F437" s="34">
        <v>2376.6</v>
      </c>
      <c r="G437" s="36">
        <f>Tabla13[[#This Row],[Importe]]-Tabla13[[#This Row],[Pagado]]</f>
        <v>0</v>
      </c>
      <c r="H437" s="38" t="s">
        <v>10</v>
      </c>
    </row>
    <row r="438" spans="1:8" x14ac:dyDescent="0.25">
      <c r="A438" s="31">
        <v>44596</v>
      </c>
      <c r="B438" s="37" t="s">
        <v>4111</v>
      </c>
      <c r="C438" s="38" t="s">
        <v>142</v>
      </c>
      <c r="D438" s="34">
        <v>47607.24</v>
      </c>
      <c r="E438" s="35">
        <v>44617</v>
      </c>
      <c r="F438" s="34">
        <v>47607.24</v>
      </c>
      <c r="G438" s="36">
        <f>Tabla13[[#This Row],[Importe]]-Tabla13[[#This Row],[Pagado]]</f>
        <v>0</v>
      </c>
      <c r="H438" s="38" t="s">
        <v>10</v>
      </c>
    </row>
    <row r="439" spans="1:8" x14ac:dyDescent="0.25">
      <c r="A439" s="31">
        <v>44596</v>
      </c>
      <c r="B439" s="37" t="s">
        <v>4112</v>
      </c>
      <c r="C439" s="38" t="s">
        <v>224</v>
      </c>
      <c r="D439" s="34">
        <v>11347.4</v>
      </c>
      <c r="E439" s="35">
        <v>44603</v>
      </c>
      <c r="F439" s="34">
        <v>11347.4</v>
      </c>
      <c r="G439" s="36">
        <f>Tabla13[[#This Row],[Importe]]-Tabla13[[#This Row],[Pagado]]</f>
        <v>0</v>
      </c>
      <c r="H439" s="38" t="s">
        <v>10</v>
      </c>
    </row>
    <row r="440" spans="1:8" x14ac:dyDescent="0.25">
      <c r="A440" s="31">
        <v>44596</v>
      </c>
      <c r="B440" s="37" t="s">
        <v>4113</v>
      </c>
      <c r="C440" s="38" t="s">
        <v>31</v>
      </c>
      <c r="D440" s="34">
        <v>192</v>
      </c>
      <c r="E440" s="35">
        <v>44596</v>
      </c>
      <c r="F440" s="34">
        <v>192</v>
      </c>
      <c r="G440" s="36">
        <f>Tabla13[[#This Row],[Importe]]-Tabla13[[#This Row],[Pagado]]</f>
        <v>0</v>
      </c>
      <c r="H440" s="38" t="s">
        <v>10</v>
      </c>
    </row>
    <row r="441" spans="1:8" x14ac:dyDescent="0.25">
      <c r="A441" s="31">
        <v>44596</v>
      </c>
      <c r="B441" s="37" t="s">
        <v>4114</v>
      </c>
      <c r="C441" s="38" t="s">
        <v>525</v>
      </c>
      <c r="D441" s="34">
        <v>2229</v>
      </c>
      <c r="E441" s="35">
        <v>44597</v>
      </c>
      <c r="F441" s="34">
        <v>2229</v>
      </c>
      <c r="G441" s="36">
        <f>Tabla13[[#This Row],[Importe]]-Tabla13[[#This Row],[Pagado]]</f>
        <v>0</v>
      </c>
      <c r="H441" s="38" t="s">
        <v>10</v>
      </c>
    </row>
    <row r="442" spans="1:8" x14ac:dyDescent="0.25">
      <c r="A442" s="31">
        <v>44596</v>
      </c>
      <c r="B442" s="37" t="s">
        <v>4115</v>
      </c>
      <c r="C442" s="38" t="s">
        <v>319</v>
      </c>
      <c r="D442" s="34">
        <v>3736.8</v>
      </c>
      <c r="E442" s="35">
        <v>44597</v>
      </c>
      <c r="F442" s="34">
        <v>3736.8</v>
      </c>
      <c r="G442" s="36">
        <f>Tabla13[[#This Row],[Importe]]-Tabla13[[#This Row],[Pagado]]</f>
        <v>0</v>
      </c>
      <c r="H442" s="38" t="s">
        <v>10</v>
      </c>
    </row>
    <row r="443" spans="1:8" x14ac:dyDescent="0.25">
      <c r="A443" s="31">
        <v>44596</v>
      </c>
      <c r="B443" s="37" t="s">
        <v>4116</v>
      </c>
      <c r="C443" s="38" t="s">
        <v>159</v>
      </c>
      <c r="D443" s="34">
        <v>1560.6</v>
      </c>
      <c r="E443" s="35">
        <v>44597</v>
      </c>
      <c r="F443" s="34">
        <v>1560.6</v>
      </c>
      <c r="G443" s="36">
        <f>Tabla13[[#This Row],[Importe]]-Tabla13[[#This Row],[Pagado]]</f>
        <v>0</v>
      </c>
      <c r="H443" s="38" t="s">
        <v>10</v>
      </c>
    </row>
    <row r="444" spans="1:8" x14ac:dyDescent="0.25">
      <c r="A444" s="31">
        <v>44596</v>
      </c>
      <c r="B444" s="37" t="s">
        <v>4117</v>
      </c>
      <c r="C444" s="38" t="s">
        <v>518</v>
      </c>
      <c r="D444" s="34">
        <v>221.2</v>
      </c>
      <c r="E444" s="35">
        <v>44597</v>
      </c>
      <c r="F444" s="34">
        <v>221.2</v>
      </c>
      <c r="G444" s="36">
        <f>Tabla13[[#This Row],[Importe]]-Tabla13[[#This Row],[Pagado]]</f>
        <v>0</v>
      </c>
      <c r="H444" s="38" t="s">
        <v>10</v>
      </c>
    </row>
    <row r="445" spans="1:8" x14ac:dyDescent="0.25">
      <c r="A445" s="31">
        <v>44596</v>
      </c>
      <c r="B445" s="37" t="s">
        <v>4118</v>
      </c>
      <c r="C445" s="38" t="s">
        <v>31</v>
      </c>
      <c r="D445" s="34">
        <v>950.6</v>
      </c>
      <c r="E445" s="35">
        <v>44596</v>
      </c>
      <c r="F445" s="34">
        <v>950.6</v>
      </c>
      <c r="G445" s="36">
        <f>Tabla13[[#This Row],[Importe]]-Tabla13[[#This Row],[Pagado]]</f>
        <v>0</v>
      </c>
      <c r="H445" s="38" t="s">
        <v>10</v>
      </c>
    </row>
    <row r="446" spans="1:8" x14ac:dyDescent="0.25">
      <c r="A446" s="31">
        <v>44596</v>
      </c>
      <c r="B446" s="37" t="s">
        <v>4119</v>
      </c>
      <c r="C446" s="38" t="s">
        <v>541</v>
      </c>
      <c r="D446" s="34">
        <v>6030</v>
      </c>
      <c r="E446" s="35">
        <v>44597</v>
      </c>
      <c r="F446" s="34">
        <v>6030</v>
      </c>
      <c r="G446" s="36">
        <f>Tabla13[[#This Row],[Importe]]-Tabla13[[#This Row],[Pagado]]</f>
        <v>0</v>
      </c>
      <c r="H446" s="38" t="s">
        <v>10</v>
      </c>
    </row>
    <row r="447" spans="1:8" x14ac:dyDescent="0.25">
      <c r="A447" s="31">
        <v>44596</v>
      </c>
      <c r="B447" s="37" t="s">
        <v>4120</v>
      </c>
      <c r="C447" s="38" t="s">
        <v>133</v>
      </c>
      <c r="D447" s="34">
        <v>14400</v>
      </c>
      <c r="E447" s="35">
        <v>44597</v>
      </c>
      <c r="F447" s="34">
        <v>14400</v>
      </c>
      <c r="G447" s="36">
        <f>Tabla13[[#This Row],[Importe]]-Tabla13[[#This Row],[Pagado]]</f>
        <v>0</v>
      </c>
      <c r="H447" s="38" t="s">
        <v>10</v>
      </c>
    </row>
    <row r="448" spans="1:8" x14ac:dyDescent="0.25">
      <c r="A448" s="31">
        <v>44596</v>
      </c>
      <c r="B448" s="37" t="s">
        <v>4121</v>
      </c>
      <c r="C448" s="38" t="s">
        <v>592</v>
      </c>
      <c r="D448" s="34">
        <v>34977.599999999999</v>
      </c>
      <c r="E448" s="35">
        <v>44600</v>
      </c>
      <c r="F448" s="34">
        <v>34977.599999999999</v>
      </c>
      <c r="G448" s="36">
        <f>Tabla13[[#This Row],[Importe]]-Tabla13[[#This Row],[Pagado]]</f>
        <v>0</v>
      </c>
      <c r="H448" s="38" t="s">
        <v>10</v>
      </c>
    </row>
    <row r="449" spans="1:8" x14ac:dyDescent="0.25">
      <c r="A449" s="31">
        <v>44596</v>
      </c>
      <c r="B449" s="37" t="s">
        <v>4122</v>
      </c>
      <c r="C449" s="38" t="s">
        <v>31</v>
      </c>
      <c r="D449" s="34">
        <v>5403.4</v>
      </c>
      <c r="E449" s="35">
        <v>44597</v>
      </c>
      <c r="F449" s="34">
        <v>5403.4</v>
      </c>
      <c r="G449" s="36">
        <f>Tabla13[[#This Row],[Importe]]-Tabla13[[#This Row],[Pagado]]</f>
        <v>0</v>
      </c>
      <c r="H449" s="38" t="s">
        <v>10</v>
      </c>
    </row>
    <row r="450" spans="1:8" x14ac:dyDescent="0.25">
      <c r="A450" s="31">
        <v>44596</v>
      </c>
      <c r="B450" s="37" t="s">
        <v>4123</v>
      </c>
      <c r="C450" s="38" t="s">
        <v>1644</v>
      </c>
      <c r="D450" s="34">
        <v>8160</v>
      </c>
      <c r="E450" s="35">
        <v>44597</v>
      </c>
      <c r="F450" s="34">
        <v>8160</v>
      </c>
      <c r="G450" s="36">
        <f>Tabla13[[#This Row],[Importe]]-Tabla13[[#This Row],[Pagado]]</f>
        <v>0</v>
      </c>
      <c r="H450" s="38" t="s">
        <v>10</v>
      </c>
    </row>
    <row r="451" spans="1:8" x14ac:dyDescent="0.25">
      <c r="A451" s="31">
        <v>44596</v>
      </c>
      <c r="B451" s="37" t="s">
        <v>4124</v>
      </c>
      <c r="C451" s="38" t="s">
        <v>419</v>
      </c>
      <c r="D451" s="34">
        <v>7527.7</v>
      </c>
      <c r="E451" s="35">
        <v>44596</v>
      </c>
      <c r="F451" s="34">
        <v>7527.7</v>
      </c>
      <c r="G451" s="36">
        <f>Tabla13[[#This Row],[Importe]]-Tabla13[[#This Row],[Pagado]]</f>
        <v>0</v>
      </c>
      <c r="H451" s="38" t="s">
        <v>10</v>
      </c>
    </row>
    <row r="452" spans="1:8" x14ac:dyDescent="0.25">
      <c r="A452" s="31">
        <v>44596</v>
      </c>
      <c r="B452" s="37" t="s">
        <v>4125</v>
      </c>
      <c r="C452" s="38" t="s">
        <v>1630</v>
      </c>
      <c r="D452" s="34">
        <v>4806.8999999999996</v>
      </c>
      <c r="E452" s="35">
        <v>44597</v>
      </c>
      <c r="F452" s="34">
        <v>4806.8999999999996</v>
      </c>
      <c r="G452" s="36">
        <f>Tabla13[[#This Row],[Importe]]-Tabla13[[#This Row],[Pagado]]</f>
        <v>0</v>
      </c>
      <c r="H452" s="38" t="s">
        <v>10</v>
      </c>
    </row>
    <row r="453" spans="1:8" x14ac:dyDescent="0.25">
      <c r="A453" s="31">
        <v>44596</v>
      </c>
      <c r="B453" s="37" t="s">
        <v>4126</v>
      </c>
      <c r="C453" s="38" t="s">
        <v>14</v>
      </c>
      <c r="D453" s="34">
        <v>24393.8</v>
      </c>
      <c r="E453" s="35">
        <v>44596</v>
      </c>
      <c r="F453" s="34">
        <v>24393.8</v>
      </c>
      <c r="G453" s="36">
        <f>Tabla13[[#This Row],[Importe]]-Tabla13[[#This Row],[Pagado]]</f>
        <v>0</v>
      </c>
      <c r="H453" s="38" t="s">
        <v>10</v>
      </c>
    </row>
    <row r="454" spans="1:8" x14ac:dyDescent="0.25">
      <c r="A454" s="31">
        <v>44596</v>
      </c>
      <c r="B454" s="37" t="s">
        <v>4127</v>
      </c>
      <c r="C454" s="38" t="s">
        <v>14</v>
      </c>
      <c r="D454" s="34">
        <v>1310</v>
      </c>
      <c r="E454" s="35">
        <v>44596</v>
      </c>
      <c r="F454" s="34">
        <v>1310</v>
      </c>
      <c r="G454" s="36">
        <f>Tabla13[[#This Row],[Importe]]-Tabla13[[#This Row],[Pagado]]</f>
        <v>0</v>
      </c>
      <c r="H454" s="38" t="s">
        <v>10</v>
      </c>
    </row>
    <row r="455" spans="1:8" x14ac:dyDescent="0.25">
      <c r="A455" s="31">
        <v>44596</v>
      </c>
      <c r="B455" s="37" t="s">
        <v>4128</v>
      </c>
      <c r="C455" s="38" t="s">
        <v>4129</v>
      </c>
      <c r="D455" s="34">
        <v>5953.5</v>
      </c>
      <c r="E455" s="35">
        <v>44597</v>
      </c>
      <c r="F455" s="34">
        <v>5953.5</v>
      </c>
      <c r="G455" s="36">
        <f>Tabla13[[#This Row],[Importe]]-Tabla13[[#This Row],[Pagado]]</f>
        <v>0</v>
      </c>
      <c r="H455" s="38" t="s">
        <v>10</v>
      </c>
    </row>
    <row r="456" spans="1:8" x14ac:dyDescent="0.25">
      <c r="A456" s="31">
        <v>44596</v>
      </c>
      <c r="B456" s="37" t="s">
        <v>4130</v>
      </c>
      <c r="C456" s="38" t="s">
        <v>371</v>
      </c>
      <c r="D456" s="34">
        <v>7181.4</v>
      </c>
      <c r="E456" s="35">
        <v>44596</v>
      </c>
      <c r="F456" s="34">
        <v>7181.4</v>
      </c>
      <c r="G456" s="36">
        <f>Tabla13[[#This Row],[Importe]]-Tabla13[[#This Row],[Pagado]]</f>
        <v>0</v>
      </c>
      <c r="H456" s="38" t="s">
        <v>10</v>
      </c>
    </row>
    <row r="457" spans="1:8" x14ac:dyDescent="0.25">
      <c r="A457" s="31">
        <v>44596</v>
      </c>
      <c r="B457" s="37" t="s">
        <v>4131</v>
      </c>
      <c r="C457" s="38" t="s">
        <v>555</v>
      </c>
      <c r="D457" s="34">
        <v>24525.200000000001</v>
      </c>
      <c r="E457" s="35">
        <v>44596</v>
      </c>
      <c r="F457" s="34">
        <v>24525.200000000001</v>
      </c>
      <c r="G457" s="36">
        <f>Tabla13[[#This Row],[Importe]]-Tabla13[[#This Row],[Pagado]]</f>
        <v>0</v>
      </c>
      <c r="H457" s="38" t="s">
        <v>10</v>
      </c>
    </row>
    <row r="458" spans="1:8" x14ac:dyDescent="0.25">
      <c r="A458" s="31">
        <v>44596</v>
      </c>
      <c r="B458" s="37" t="s">
        <v>4132</v>
      </c>
      <c r="C458" s="38" t="s">
        <v>31</v>
      </c>
      <c r="D458" s="34">
        <v>2268.4</v>
      </c>
      <c r="E458" s="35">
        <v>44596</v>
      </c>
      <c r="F458" s="34">
        <v>2268.4</v>
      </c>
      <c r="G458" s="36">
        <f>Tabla13[[#This Row],[Importe]]-Tabla13[[#This Row],[Pagado]]</f>
        <v>0</v>
      </c>
      <c r="H458" s="38" t="s">
        <v>10</v>
      </c>
    </row>
    <row r="459" spans="1:8" x14ac:dyDescent="0.25">
      <c r="A459" s="31">
        <v>44596</v>
      </c>
      <c r="B459" s="37" t="s">
        <v>4133</v>
      </c>
      <c r="C459" s="38" t="s">
        <v>67</v>
      </c>
      <c r="D459" s="34">
        <v>2168.6</v>
      </c>
      <c r="E459" s="35">
        <v>44596</v>
      </c>
      <c r="F459" s="34">
        <v>2168.6</v>
      </c>
      <c r="G459" s="36">
        <f>Tabla13[[#This Row],[Importe]]-Tabla13[[#This Row],[Pagado]]</f>
        <v>0</v>
      </c>
      <c r="H459" s="38" t="s">
        <v>10</v>
      </c>
    </row>
    <row r="460" spans="1:8" x14ac:dyDescent="0.25">
      <c r="A460" s="31">
        <v>44596</v>
      </c>
      <c r="B460" s="37" t="s">
        <v>4134</v>
      </c>
      <c r="C460" s="38" t="s">
        <v>261</v>
      </c>
      <c r="D460" s="34">
        <v>33093.97</v>
      </c>
      <c r="E460" s="35">
        <v>44596</v>
      </c>
      <c r="F460" s="34">
        <v>33093.97</v>
      </c>
      <c r="G460" s="36">
        <f>Tabla13[[#This Row],[Importe]]-Tabla13[[#This Row],[Pagado]]</f>
        <v>0</v>
      </c>
      <c r="H460" s="38" t="s">
        <v>10</v>
      </c>
    </row>
    <row r="461" spans="1:8" x14ac:dyDescent="0.25">
      <c r="A461" s="31">
        <v>44596</v>
      </c>
      <c r="B461" s="37" t="s">
        <v>4135</v>
      </c>
      <c r="C461" s="38" t="s">
        <v>4136</v>
      </c>
      <c r="D461" s="34">
        <v>2236.1</v>
      </c>
      <c r="E461" s="35">
        <v>44596</v>
      </c>
      <c r="F461" s="34">
        <v>2236.1</v>
      </c>
      <c r="G461" s="36">
        <f>Tabla13[[#This Row],[Importe]]-Tabla13[[#This Row],[Pagado]]</f>
        <v>0</v>
      </c>
      <c r="H461" s="38" t="s">
        <v>10</v>
      </c>
    </row>
    <row r="462" spans="1:8" x14ac:dyDescent="0.25">
      <c r="A462" s="31">
        <v>44596</v>
      </c>
      <c r="B462" s="37" t="s">
        <v>4137</v>
      </c>
      <c r="C462" s="38" t="s">
        <v>849</v>
      </c>
      <c r="D462" s="34">
        <v>4491.2</v>
      </c>
      <c r="E462" s="35">
        <v>44596</v>
      </c>
      <c r="F462" s="34">
        <v>4491.2</v>
      </c>
      <c r="G462" s="36">
        <f>Tabla13[[#This Row],[Importe]]-Tabla13[[#This Row],[Pagado]]</f>
        <v>0</v>
      </c>
      <c r="H462" s="38" t="s">
        <v>10</v>
      </c>
    </row>
    <row r="463" spans="1:8" x14ac:dyDescent="0.25">
      <c r="A463" s="31">
        <v>44596</v>
      </c>
      <c r="B463" s="37" t="s">
        <v>4138</v>
      </c>
      <c r="C463" s="38" t="s">
        <v>849</v>
      </c>
      <c r="D463" s="34">
        <v>574.6</v>
      </c>
      <c r="E463" s="35">
        <v>44596</v>
      </c>
      <c r="F463" s="34">
        <v>574.6</v>
      </c>
      <c r="G463" s="36">
        <f>Tabla13[[#This Row],[Importe]]-Tabla13[[#This Row],[Pagado]]</f>
        <v>0</v>
      </c>
      <c r="H463" s="38" t="s">
        <v>10</v>
      </c>
    </row>
    <row r="464" spans="1:8" x14ac:dyDescent="0.25">
      <c r="A464" s="31">
        <v>44596</v>
      </c>
      <c r="B464" s="37" t="s">
        <v>4139</v>
      </c>
      <c r="C464" s="38" t="s">
        <v>142</v>
      </c>
      <c r="D464" s="34">
        <v>65351.82</v>
      </c>
      <c r="E464" s="35">
        <v>44617</v>
      </c>
      <c r="F464" s="34">
        <v>65351.82</v>
      </c>
      <c r="G464" s="36">
        <f>Tabla13[[#This Row],[Importe]]-Tabla13[[#This Row],[Pagado]]</f>
        <v>0</v>
      </c>
      <c r="H464" s="38" t="s">
        <v>10</v>
      </c>
    </row>
    <row r="465" spans="1:8" x14ac:dyDescent="0.25">
      <c r="A465" s="31">
        <v>44596</v>
      </c>
      <c r="B465" s="37" t="s">
        <v>4140</v>
      </c>
      <c r="C465" s="38" t="s">
        <v>31</v>
      </c>
      <c r="D465" s="34">
        <v>774.3</v>
      </c>
      <c r="E465" s="35">
        <v>44597</v>
      </c>
      <c r="F465" s="34">
        <v>774.3</v>
      </c>
      <c r="G465" s="36">
        <f>Tabla13[[#This Row],[Importe]]-Tabla13[[#This Row],[Pagado]]</f>
        <v>0</v>
      </c>
      <c r="H465" s="38" t="s">
        <v>10</v>
      </c>
    </row>
    <row r="466" spans="1:8" x14ac:dyDescent="0.25">
      <c r="A466" s="31">
        <v>44596</v>
      </c>
      <c r="B466" s="37" t="s">
        <v>4141</v>
      </c>
      <c r="C466" s="38" t="s">
        <v>179</v>
      </c>
      <c r="D466" s="34">
        <v>779.1</v>
      </c>
      <c r="E466" s="35">
        <v>44597</v>
      </c>
      <c r="F466" s="34">
        <v>779.1</v>
      </c>
      <c r="G466" s="36">
        <f>Tabla13[[#This Row],[Importe]]-Tabla13[[#This Row],[Pagado]]</f>
        <v>0</v>
      </c>
      <c r="H466" s="38" t="s">
        <v>10</v>
      </c>
    </row>
    <row r="467" spans="1:8" x14ac:dyDescent="0.25">
      <c r="A467" s="31">
        <v>44596</v>
      </c>
      <c r="B467" s="37" t="s">
        <v>4142</v>
      </c>
      <c r="C467" s="38" t="s">
        <v>135</v>
      </c>
      <c r="D467" s="34">
        <v>725.2</v>
      </c>
      <c r="E467" s="35">
        <v>44597</v>
      </c>
      <c r="F467" s="34">
        <v>725.2</v>
      </c>
      <c r="G467" s="36">
        <f>Tabla13[[#This Row],[Importe]]-Tabla13[[#This Row],[Pagado]]</f>
        <v>0</v>
      </c>
      <c r="H467" s="38" t="s">
        <v>10</v>
      </c>
    </row>
    <row r="468" spans="1:8" x14ac:dyDescent="0.25">
      <c r="A468" s="31">
        <v>44596</v>
      </c>
      <c r="B468" s="37" t="s">
        <v>4143</v>
      </c>
      <c r="C468" s="38" t="s">
        <v>135</v>
      </c>
      <c r="D468" s="34">
        <v>240</v>
      </c>
      <c r="E468" s="35">
        <v>44597</v>
      </c>
      <c r="F468" s="34">
        <v>240</v>
      </c>
      <c r="G468" s="36">
        <f>Tabla13[[#This Row],[Importe]]-Tabla13[[#This Row],[Pagado]]</f>
        <v>0</v>
      </c>
      <c r="H468" s="38" t="s">
        <v>10</v>
      </c>
    </row>
    <row r="469" spans="1:8" x14ac:dyDescent="0.25">
      <c r="A469" s="31">
        <v>44596</v>
      </c>
      <c r="B469" s="37" t="s">
        <v>4144</v>
      </c>
      <c r="C469" s="38" t="s">
        <v>67</v>
      </c>
      <c r="D469" s="34">
        <v>2308.8000000000002</v>
      </c>
      <c r="E469" s="35">
        <v>44596</v>
      </c>
      <c r="F469" s="34">
        <v>2308.8000000000002</v>
      </c>
      <c r="G469" s="36">
        <f>Tabla13[[#This Row],[Importe]]-Tabla13[[#This Row],[Pagado]]</f>
        <v>0</v>
      </c>
      <c r="H469" s="38" t="s">
        <v>10</v>
      </c>
    </row>
    <row r="470" spans="1:8" x14ac:dyDescent="0.25">
      <c r="A470" s="31">
        <v>44596</v>
      </c>
      <c r="B470" s="37" t="s">
        <v>4145</v>
      </c>
      <c r="C470" s="38" t="s">
        <v>4146</v>
      </c>
      <c r="D470" s="34">
        <v>0</v>
      </c>
      <c r="E470" s="39" t="s">
        <v>189</v>
      </c>
      <c r="F470" s="34">
        <v>0</v>
      </c>
      <c r="G470" s="36">
        <f>Tabla13[[#This Row],[Importe]]-Tabla13[[#This Row],[Pagado]]</f>
        <v>0</v>
      </c>
      <c r="H470" s="38" t="s">
        <v>189</v>
      </c>
    </row>
    <row r="471" spans="1:8" x14ac:dyDescent="0.25">
      <c r="A471" s="31">
        <v>44596</v>
      </c>
      <c r="B471" s="37" t="s">
        <v>4147</v>
      </c>
      <c r="C471" s="38" t="s">
        <v>71</v>
      </c>
      <c r="D471" s="34">
        <v>3288</v>
      </c>
      <c r="E471" s="35">
        <v>44596</v>
      </c>
      <c r="F471" s="34">
        <v>3288</v>
      </c>
      <c r="G471" s="36">
        <f>Tabla13[[#This Row],[Importe]]-Tabla13[[#This Row],[Pagado]]</f>
        <v>0</v>
      </c>
      <c r="H471" s="38" t="s">
        <v>10</v>
      </c>
    </row>
    <row r="472" spans="1:8" x14ac:dyDescent="0.25">
      <c r="A472" s="31">
        <v>44596</v>
      </c>
      <c r="B472" s="37" t="s">
        <v>4148</v>
      </c>
      <c r="C472" s="38" t="s">
        <v>244</v>
      </c>
      <c r="D472" s="34">
        <v>4799.6000000000004</v>
      </c>
      <c r="E472" s="35">
        <v>44596</v>
      </c>
      <c r="F472" s="34">
        <v>4799.6000000000004</v>
      </c>
      <c r="G472" s="36">
        <f>Tabla13[[#This Row],[Importe]]-Tabla13[[#This Row],[Pagado]]</f>
        <v>0</v>
      </c>
      <c r="H472" s="38" t="s">
        <v>10</v>
      </c>
    </row>
    <row r="473" spans="1:8" x14ac:dyDescent="0.25">
      <c r="A473" s="31">
        <v>44596</v>
      </c>
      <c r="B473" s="37" t="s">
        <v>4149</v>
      </c>
      <c r="C473" s="38" t="s">
        <v>298</v>
      </c>
      <c r="D473" s="34">
        <v>2601.6</v>
      </c>
      <c r="E473" s="35">
        <v>44596</v>
      </c>
      <c r="F473" s="34">
        <v>2601.6</v>
      </c>
      <c r="G473" s="36">
        <f>Tabla13[[#This Row],[Importe]]-Tabla13[[#This Row],[Pagado]]</f>
        <v>0</v>
      </c>
      <c r="H473" s="38" t="s">
        <v>10</v>
      </c>
    </row>
    <row r="474" spans="1:8" x14ac:dyDescent="0.25">
      <c r="A474" s="31">
        <v>44596</v>
      </c>
      <c r="B474" s="37" t="s">
        <v>4150</v>
      </c>
      <c r="C474" s="38" t="s">
        <v>407</v>
      </c>
      <c r="D474" s="34">
        <v>6800</v>
      </c>
      <c r="E474" s="35">
        <v>44596</v>
      </c>
      <c r="F474" s="34">
        <v>6800</v>
      </c>
      <c r="G474" s="36">
        <f>Tabla13[[#This Row],[Importe]]-Tabla13[[#This Row],[Pagado]]</f>
        <v>0</v>
      </c>
      <c r="H474" s="38" t="s">
        <v>10</v>
      </c>
    </row>
    <row r="475" spans="1:8" x14ac:dyDescent="0.25">
      <c r="A475" s="31">
        <v>44596</v>
      </c>
      <c r="B475" s="37" t="s">
        <v>4151</v>
      </c>
      <c r="C475" s="38" t="s">
        <v>1313</v>
      </c>
      <c r="D475" s="34">
        <v>3269.9</v>
      </c>
      <c r="E475" s="35">
        <v>44596</v>
      </c>
      <c r="F475" s="34">
        <v>3269.9</v>
      </c>
      <c r="G475" s="36">
        <f>Tabla13[[#This Row],[Importe]]-Tabla13[[#This Row],[Pagado]]</f>
        <v>0</v>
      </c>
      <c r="H475" s="38" t="s">
        <v>10</v>
      </c>
    </row>
    <row r="476" spans="1:8" x14ac:dyDescent="0.25">
      <c r="A476" s="31">
        <v>44596</v>
      </c>
      <c r="B476" s="37" t="s">
        <v>4152</v>
      </c>
      <c r="C476" s="38" t="s">
        <v>414</v>
      </c>
      <c r="D476" s="34">
        <v>15395.8</v>
      </c>
      <c r="E476" s="35">
        <v>44596</v>
      </c>
      <c r="F476" s="34">
        <v>15395.8</v>
      </c>
      <c r="G476" s="36">
        <f>Tabla13[[#This Row],[Importe]]-Tabla13[[#This Row],[Pagado]]</f>
        <v>0</v>
      </c>
      <c r="H476" s="38" t="s">
        <v>10</v>
      </c>
    </row>
    <row r="477" spans="1:8" x14ac:dyDescent="0.25">
      <c r="A477" s="31">
        <v>44596</v>
      </c>
      <c r="B477" s="37" t="s">
        <v>4153</v>
      </c>
      <c r="C477" s="38" t="s">
        <v>62</v>
      </c>
      <c r="D477" s="34">
        <v>4611.6000000000004</v>
      </c>
      <c r="E477" s="35">
        <v>44596</v>
      </c>
      <c r="F477" s="34">
        <v>4611.6000000000004</v>
      </c>
      <c r="G477" s="36">
        <f>Tabla13[[#This Row],[Importe]]-Tabla13[[#This Row],[Pagado]]</f>
        <v>0</v>
      </c>
      <c r="H477" s="38" t="s">
        <v>10</v>
      </c>
    </row>
    <row r="478" spans="1:8" x14ac:dyDescent="0.25">
      <c r="A478" s="31">
        <v>44596</v>
      </c>
      <c r="B478" s="37" t="s">
        <v>4154</v>
      </c>
      <c r="C478" s="38" t="s">
        <v>31</v>
      </c>
      <c r="D478" s="34">
        <v>150.5</v>
      </c>
      <c r="E478" s="35">
        <v>44596</v>
      </c>
      <c r="F478" s="34">
        <v>150.5</v>
      </c>
      <c r="G478" s="36">
        <f>Tabla13[[#This Row],[Importe]]-Tabla13[[#This Row],[Pagado]]</f>
        <v>0</v>
      </c>
      <c r="H478" s="38" t="s">
        <v>10</v>
      </c>
    </row>
    <row r="479" spans="1:8" x14ac:dyDescent="0.25">
      <c r="A479" s="31">
        <v>44596</v>
      </c>
      <c r="B479" s="37" t="s">
        <v>4155</v>
      </c>
      <c r="C479" s="38" t="s">
        <v>107</v>
      </c>
      <c r="D479" s="34">
        <v>12917.3</v>
      </c>
      <c r="E479" s="35">
        <v>44597</v>
      </c>
      <c r="F479" s="34">
        <v>12917.3</v>
      </c>
      <c r="G479" s="36">
        <f>Tabla13[[#This Row],[Importe]]-Tabla13[[#This Row],[Pagado]]</f>
        <v>0</v>
      </c>
      <c r="H479" s="38" t="s">
        <v>10</v>
      </c>
    </row>
    <row r="480" spans="1:8" x14ac:dyDescent="0.25">
      <c r="A480" s="31">
        <v>44596</v>
      </c>
      <c r="B480" s="37" t="s">
        <v>4156</v>
      </c>
      <c r="C480" s="38" t="s">
        <v>664</v>
      </c>
      <c r="D480" s="34">
        <v>4889.2</v>
      </c>
      <c r="E480" s="35">
        <v>44597</v>
      </c>
      <c r="F480" s="34">
        <v>4889.2</v>
      </c>
      <c r="G480" s="36">
        <f>Tabla13[[#This Row],[Importe]]-Tabla13[[#This Row],[Pagado]]</f>
        <v>0</v>
      </c>
      <c r="H480" s="38" t="s">
        <v>10</v>
      </c>
    </row>
    <row r="481" spans="1:8" x14ac:dyDescent="0.25">
      <c r="A481" s="31">
        <v>44596</v>
      </c>
      <c r="B481" s="37" t="s">
        <v>4157</v>
      </c>
      <c r="C481" s="38" t="s">
        <v>2393</v>
      </c>
      <c r="D481" s="34">
        <v>40632.120000000003</v>
      </c>
      <c r="E481" s="35">
        <v>44596</v>
      </c>
      <c r="F481" s="34">
        <v>40632.120000000003</v>
      </c>
      <c r="G481" s="36">
        <f>Tabla13[[#This Row],[Importe]]-Tabla13[[#This Row],[Pagado]]</f>
        <v>0</v>
      </c>
      <c r="H481" s="38" t="s">
        <v>10</v>
      </c>
    </row>
    <row r="482" spans="1:8" x14ac:dyDescent="0.25">
      <c r="A482" s="31">
        <v>44596</v>
      </c>
      <c r="B482" s="37" t="s">
        <v>4158</v>
      </c>
      <c r="C482" s="38" t="s">
        <v>69</v>
      </c>
      <c r="D482" s="34">
        <v>5352.8</v>
      </c>
      <c r="E482" s="35">
        <v>44596</v>
      </c>
      <c r="F482" s="34">
        <v>5352.8</v>
      </c>
      <c r="G482" s="36">
        <f>Tabla13[[#This Row],[Importe]]-Tabla13[[#This Row],[Pagado]]</f>
        <v>0</v>
      </c>
      <c r="H482" s="38" t="s">
        <v>10</v>
      </c>
    </row>
    <row r="483" spans="1:8" x14ac:dyDescent="0.25">
      <c r="A483" s="31">
        <v>44596</v>
      </c>
      <c r="B483" s="37" t="s">
        <v>4159</v>
      </c>
      <c r="C483" s="38" t="s">
        <v>698</v>
      </c>
      <c r="D483" s="34">
        <v>5700.7</v>
      </c>
      <c r="E483" s="35">
        <v>44596</v>
      </c>
      <c r="F483" s="34">
        <v>5700.7</v>
      </c>
      <c r="G483" s="36">
        <f>Tabla13[[#This Row],[Importe]]-Tabla13[[#This Row],[Pagado]]</f>
        <v>0</v>
      </c>
      <c r="H483" s="38" t="s">
        <v>10</v>
      </c>
    </row>
    <row r="484" spans="1:8" x14ac:dyDescent="0.25">
      <c r="A484" s="31">
        <v>44596</v>
      </c>
      <c r="B484" s="37" t="s">
        <v>4160</v>
      </c>
      <c r="C484" s="38" t="s">
        <v>681</v>
      </c>
      <c r="D484" s="34">
        <v>5.26</v>
      </c>
      <c r="E484" s="35">
        <v>44606</v>
      </c>
      <c r="F484" s="34">
        <v>5.26</v>
      </c>
      <c r="G484" s="36">
        <f>Tabla13[[#This Row],[Importe]]-Tabla13[[#This Row],[Pagado]]</f>
        <v>0</v>
      </c>
      <c r="H484" s="38" t="s">
        <v>10</v>
      </c>
    </row>
    <row r="485" spans="1:8" x14ac:dyDescent="0.25">
      <c r="A485" s="31">
        <v>44596</v>
      </c>
      <c r="B485" s="37" t="s">
        <v>4161</v>
      </c>
      <c r="C485" s="38" t="s">
        <v>4162</v>
      </c>
      <c r="D485" s="34">
        <v>0</v>
      </c>
      <c r="E485" s="39" t="s">
        <v>189</v>
      </c>
      <c r="F485" s="34">
        <v>0</v>
      </c>
      <c r="G485" s="36">
        <f>Tabla13[[#This Row],[Importe]]-Tabla13[[#This Row],[Pagado]]</f>
        <v>0</v>
      </c>
      <c r="H485" s="38" t="s">
        <v>189</v>
      </c>
    </row>
    <row r="486" spans="1:8" x14ac:dyDescent="0.25">
      <c r="A486" s="31">
        <v>44596</v>
      </c>
      <c r="B486" s="37" t="s">
        <v>4163</v>
      </c>
      <c r="C486" s="38" t="s">
        <v>284</v>
      </c>
      <c r="D486" s="34">
        <v>7394.1</v>
      </c>
      <c r="E486" s="35">
        <v>44597</v>
      </c>
      <c r="F486" s="34">
        <v>7394.1</v>
      </c>
      <c r="G486" s="36">
        <f>Tabla13[[#This Row],[Importe]]-Tabla13[[#This Row],[Pagado]]</f>
        <v>0</v>
      </c>
      <c r="H486" s="38" t="s">
        <v>10</v>
      </c>
    </row>
    <row r="487" spans="1:8" x14ac:dyDescent="0.25">
      <c r="A487" s="31">
        <v>44596</v>
      </c>
      <c r="B487" s="37" t="s">
        <v>4164</v>
      </c>
      <c r="C487" s="38" t="s">
        <v>282</v>
      </c>
      <c r="D487" s="34">
        <v>2033.5</v>
      </c>
      <c r="E487" s="35">
        <v>44597</v>
      </c>
      <c r="F487" s="34">
        <v>2033.5</v>
      </c>
      <c r="G487" s="36">
        <f>Tabla13[[#This Row],[Importe]]-Tabla13[[#This Row],[Pagado]]</f>
        <v>0</v>
      </c>
      <c r="H487" s="38" t="s">
        <v>10</v>
      </c>
    </row>
    <row r="488" spans="1:8" x14ac:dyDescent="0.25">
      <c r="A488" s="31">
        <v>44596</v>
      </c>
      <c r="B488" s="37" t="s">
        <v>4165</v>
      </c>
      <c r="C488" s="38" t="s">
        <v>280</v>
      </c>
      <c r="D488" s="34">
        <v>877.1</v>
      </c>
      <c r="E488" s="35">
        <v>44597</v>
      </c>
      <c r="F488" s="34">
        <v>877.1</v>
      </c>
      <c r="G488" s="36">
        <f>Tabla13[[#This Row],[Importe]]-Tabla13[[#This Row],[Pagado]]</f>
        <v>0</v>
      </c>
      <c r="H488" s="38" t="s">
        <v>10</v>
      </c>
    </row>
    <row r="489" spans="1:8" x14ac:dyDescent="0.25">
      <c r="A489" s="31">
        <v>44596</v>
      </c>
      <c r="B489" s="37" t="s">
        <v>4166</v>
      </c>
      <c r="C489" s="38" t="s">
        <v>200</v>
      </c>
      <c r="D489" s="34">
        <v>901.6</v>
      </c>
      <c r="E489" s="35">
        <v>44597</v>
      </c>
      <c r="F489" s="34">
        <v>901.6</v>
      </c>
      <c r="G489" s="36">
        <f>Tabla13[[#This Row],[Importe]]-Tabla13[[#This Row],[Pagado]]</f>
        <v>0</v>
      </c>
      <c r="H489" s="38" t="s">
        <v>10</v>
      </c>
    </row>
    <row r="490" spans="1:8" x14ac:dyDescent="0.25">
      <c r="A490" s="31">
        <v>44596</v>
      </c>
      <c r="B490" s="37" t="s">
        <v>4167</v>
      </c>
      <c r="C490" s="38" t="s">
        <v>426</v>
      </c>
      <c r="D490" s="34">
        <v>5167.3</v>
      </c>
      <c r="E490" s="35">
        <v>44597</v>
      </c>
      <c r="F490" s="34">
        <v>5167.3</v>
      </c>
      <c r="G490" s="36">
        <f>Tabla13[[#This Row],[Importe]]-Tabla13[[#This Row],[Pagado]]</f>
        <v>0</v>
      </c>
      <c r="H490" s="38" t="s">
        <v>10</v>
      </c>
    </row>
    <row r="491" spans="1:8" x14ac:dyDescent="0.25">
      <c r="A491" s="31">
        <v>44596</v>
      </c>
      <c r="B491" s="37" t="s">
        <v>4168</v>
      </c>
      <c r="C491" s="38" t="s">
        <v>175</v>
      </c>
      <c r="D491" s="34">
        <v>11896</v>
      </c>
      <c r="E491" s="35">
        <v>44597</v>
      </c>
      <c r="F491" s="34">
        <v>11896</v>
      </c>
      <c r="G491" s="36">
        <f>Tabla13[[#This Row],[Importe]]-Tabla13[[#This Row],[Pagado]]</f>
        <v>0</v>
      </c>
      <c r="H491" s="38" t="s">
        <v>10</v>
      </c>
    </row>
    <row r="492" spans="1:8" x14ac:dyDescent="0.25">
      <c r="A492" s="31">
        <v>44596</v>
      </c>
      <c r="B492" s="37" t="s">
        <v>4169</v>
      </c>
      <c r="C492" s="38" t="s">
        <v>142</v>
      </c>
      <c r="D492" s="34">
        <v>175.2</v>
      </c>
      <c r="E492" s="35">
        <v>44617</v>
      </c>
      <c r="F492" s="34">
        <v>175.2</v>
      </c>
      <c r="G492" s="36">
        <f>Tabla13[[#This Row],[Importe]]-Tabla13[[#This Row],[Pagado]]</f>
        <v>0</v>
      </c>
      <c r="H492" s="38" t="s">
        <v>10</v>
      </c>
    </row>
    <row r="493" spans="1:8" x14ac:dyDescent="0.25">
      <c r="A493" s="31">
        <v>44596</v>
      </c>
      <c r="B493" s="37" t="s">
        <v>4170</v>
      </c>
      <c r="C493" s="38" t="s">
        <v>31</v>
      </c>
      <c r="D493" s="34">
        <v>988.4</v>
      </c>
      <c r="E493" s="35">
        <v>44596</v>
      </c>
      <c r="F493" s="34">
        <v>988.4</v>
      </c>
      <c r="G493" s="36">
        <f>Tabla13[[#This Row],[Importe]]-Tabla13[[#This Row],[Pagado]]</f>
        <v>0</v>
      </c>
      <c r="H493" s="38" t="s">
        <v>10</v>
      </c>
    </row>
    <row r="494" spans="1:8" x14ac:dyDescent="0.25">
      <c r="A494" s="31">
        <v>44596</v>
      </c>
      <c r="B494" s="37" t="s">
        <v>4171</v>
      </c>
      <c r="C494" s="38" t="s">
        <v>664</v>
      </c>
      <c r="D494" s="34">
        <v>10854</v>
      </c>
      <c r="E494" s="35">
        <v>44597</v>
      </c>
      <c r="F494" s="34">
        <v>10854</v>
      </c>
      <c r="G494" s="36">
        <f>Tabla13[[#This Row],[Importe]]-Tabla13[[#This Row],[Pagado]]</f>
        <v>0</v>
      </c>
      <c r="H494" s="38" t="s">
        <v>10</v>
      </c>
    </row>
    <row r="495" spans="1:8" x14ac:dyDescent="0.25">
      <c r="A495" s="31">
        <v>44596</v>
      </c>
      <c r="B495" s="37" t="s">
        <v>4172</v>
      </c>
      <c r="C495" s="38" t="s">
        <v>448</v>
      </c>
      <c r="D495" s="34">
        <v>16450</v>
      </c>
      <c r="E495" s="35">
        <v>44596</v>
      </c>
      <c r="F495" s="34">
        <v>16450</v>
      </c>
      <c r="G495" s="36">
        <f>Tabla13[[#This Row],[Importe]]-Tabla13[[#This Row],[Pagado]]</f>
        <v>0</v>
      </c>
      <c r="H495" s="38" t="s">
        <v>10</v>
      </c>
    </row>
    <row r="496" spans="1:8" x14ac:dyDescent="0.25">
      <c r="A496" s="31">
        <v>44596</v>
      </c>
      <c r="B496" s="37" t="s">
        <v>4173</v>
      </c>
      <c r="C496" s="38" t="s">
        <v>9</v>
      </c>
      <c r="D496" s="34">
        <v>2254.4</v>
      </c>
      <c r="E496" s="35">
        <v>44596</v>
      </c>
      <c r="F496" s="34">
        <v>2254.4</v>
      </c>
      <c r="G496" s="36">
        <f>Tabla13[[#This Row],[Importe]]-Tabla13[[#This Row],[Pagado]]</f>
        <v>0</v>
      </c>
      <c r="H496" s="38" t="s">
        <v>10</v>
      </c>
    </row>
    <row r="497" spans="1:8" x14ac:dyDescent="0.25">
      <c r="A497" s="31">
        <v>44596</v>
      </c>
      <c r="B497" s="37" t="s">
        <v>4174</v>
      </c>
      <c r="C497" s="38" t="s">
        <v>58</v>
      </c>
      <c r="D497" s="34">
        <v>3831.8</v>
      </c>
      <c r="E497" s="35">
        <v>44596</v>
      </c>
      <c r="F497" s="34">
        <v>3831.8</v>
      </c>
      <c r="G497" s="36">
        <f>Tabla13[[#This Row],[Importe]]-Tabla13[[#This Row],[Pagado]]</f>
        <v>0</v>
      </c>
      <c r="H497" s="38" t="s">
        <v>10</v>
      </c>
    </row>
    <row r="498" spans="1:8" x14ac:dyDescent="0.25">
      <c r="A498" s="31">
        <v>44596</v>
      </c>
      <c r="B498" s="37" t="s">
        <v>4175</v>
      </c>
      <c r="C498" s="38" t="s">
        <v>1003</v>
      </c>
      <c r="D498" s="34">
        <v>819.4</v>
      </c>
      <c r="E498" s="35">
        <v>44596</v>
      </c>
      <c r="F498" s="34">
        <v>819.4</v>
      </c>
      <c r="G498" s="36">
        <f>Tabla13[[#This Row],[Importe]]-Tabla13[[#This Row],[Pagado]]</f>
        <v>0</v>
      </c>
      <c r="H498" s="38" t="s">
        <v>10</v>
      </c>
    </row>
    <row r="499" spans="1:8" x14ac:dyDescent="0.25">
      <c r="A499" s="31">
        <v>44596</v>
      </c>
      <c r="B499" s="37" t="s">
        <v>4176</v>
      </c>
      <c r="C499" s="38" t="s">
        <v>452</v>
      </c>
      <c r="D499" s="34">
        <v>6000</v>
      </c>
      <c r="E499" s="35">
        <v>44596</v>
      </c>
      <c r="F499" s="34">
        <v>6000</v>
      </c>
      <c r="G499" s="36">
        <f>Tabla13[[#This Row],[Importe]]-Tabla13[[#This Row],[Pagado]]</f>
        <v>0</v>
      </c>
      <c r="H499" s="38" t="s">
        <v>10</v>
      </c>
    </row>
    <row r="500" spans="1:8" x14ac:dyDescent="0.25">
      <c r="A500" s="31">
        <v>44596</v>
      </c>
      <c r="B500" s="37" t="s">
        <v>4177</v>
      </c>
      <c r="C500" s="38" t="s">
        <v>269</v>
      </c>
      <c r="D500" s="34">
        <v>3599.8</v>
      </c>
      <c r="E500" s="35">
        <v>44596</v>
      </c>
      <c r="F500" s="34">
        <v>3599.8</v>
      </c>
      <c r="G500" s="36">
        <f>Tabla13[[#This Row],[Importe]]-Tabla13[[#This Row],[Pagado]]</f>
        <v>0</v>
      </c>
      <c r="H500" s="38" t="s">
        <v>10</v>
      </c>
    </row>
    <row r="501" spans="1:8" x14ac:dyDescent="0.25">
      <c r="A501" s="31">
        <v>44596</v>
      </c>
      <c r="B501" s="37" t="s">
        <v>4178</v>
      </c>
      <c r="C501" s="38" t="s">
        <v>269</v>
      </c>
      <c r="D501" s="34">
        <v>80</v>
      </c>
      <c r="E501" s="35">
        <v>44596</v>
      </c>
      <c r="F501" s="34">
        <v>80</v>
      </c>
      <c r="G501" s="36">
        <f>Tabla13[[#This Row],[Importe]]-Tabla13[[#This Row],[Pagado]]</f>
        <v>0</v>
      </c>
      <c r="H501" s="38" t="s">
        <v>10</v>
      </c>
    </row>
    <row r="502" spans="1:8" x14ac:dyDescent="0.25">
      <c r="A502" s="31">
        <v>44596</v>
      </c>
      <c r="B502" s="37" t="s">
        <v>4179</v>
      </c>
      <c r="C502" s="38" t="s">
        <v>857</v>
      </c>
      <c r="D502" s="34">
        <v>1093.7</v>
      </c>
      <c r="E502" s="35">
        <v>44596</v>
      </c>
      <c r="F502" s="34">
        <v>1093.7</v>
      </c>
      <c r="G502" s="36">
        <f>Tabla13[[#This Row],[Importe]]-Tabla13[[#This Row],[Pagado]]</f>
        <v>0</v>
      </c>
      <c r="H502" s="38" t="s">
        <v>10</v>
      </c>
    </row>
    <row r="503" spans="1:8" x14ac:dyDescent="0.25">
      <c r="A503" s="31">
        <v>44596</v>
      </c>
      <c r="B503" s="37" t="s">
        <v>4180</v>
      </c>
      <c r="C503" s="38" t="s">
        <v>53</v>
      </c>
      <c r="D503" s="34">
        <v>1144.4000000000001</v>
      </c>
      <c r="E503" s="35">
        <v>44596</v>
      </c>
      <c r="F503" s="34">
        <v>1144.4000000000001</v>
      </c>
      <c r="G503" s="36">
        <f>Tabla13[[#This Row],[Importe]]-Tabla13[[#This Row],[Pagado]]</f>
        <v>0</v>
      </c>
      <c r="H503" s="38" t="s">
        <v>10</v>
      </c>
    </row>
    <row r="504" spans="1:8" x14ac:dyDescent="0.25">
      <c r="A504" s="31">
        <v>44596</v>
      </c>
      <c r="B504" s="37" t="s">
        <v>4181</v>
      </c>
      <c r="C504" s="38" t="s">
        <v>365</v>
      </c>
      <c r="D504" s="34">
        <v>853.1</v>
      </c>
      <c r="E504" s="35">
        <v>44596</v>
      </c>
      <c r="F504" s="34">
        <v>853.1</v>
      </c>
      <c r="G504" s="36">
        <f>Tabla13[[#This Row],[Importe]]-Tabla13[[#This Row],[Pagado]]</f>
        <v>0</v>
      </c>
      <c r="H504" s="38" t="s">
        <v>10</v>
      </c>
    </row>
    <row r="505" spans="1:8" x14ac:dyDescent="0.25">
      <c r="A505" s="31">
        <v>44596</v>
      </c>
      <c r="B505" s="37" t="s">
        <v>4182</v>
      </c>
      <c r="C505" s="38" t="s">
        <v>261</v>
      </c>
      <c r="D505" s="34">
        <v>31000.2</v>
      </c>
      <c r="E505" s="35">
        <v>44597</v>
      </c>
      <c r="F505" s="34">
        <v>31000.2</v>
      </c>
      <c r="G505" s="36">
        <f>Tabla13[[#This Row],[Importe]]-Tabla13[[#This Row],[Pagado]]</f>
        <v>0</v>
      </c>
      <c r="H505" s="38" t="s">
        <v>10</v>
      </c>
    </row>
    <row r="506" spans="1:8" x14ac:dyDescent="0.25">
      <c r="A506" s="31">
        <v>44596</v>
      </c>
      <c r="B506" s="37" t="s">
        <v>4183</v>
      </c>
      <c r="C506" s="38" t="s">
        <v>1021</v>
      </c>
      <c r="D506" s="34">
        <v>1836</v>
      </c>
      <c r="E506" s="35">
        <v>44596</v>
      </c>
      <c r="F506" s="34">
        <v>1836</v>
      </c>
      <c r="G506" s="36">
        <f>Tabla13[[#This Row],[Importe]]-Tabla13[[#This Row],[Pagado]]</f>
        <v>0</v>
      </c>
      <c r="H506" s="38" t="s">
        <v>10</v>
      </c>
    </row>
    <row r="507" spans="1:8" x14ac:dyDescent="0.25">
      <c r="A507" s="31">
        <v>44596</v>
      </c>
      <c r="B507" s="37" t="s">
        <v>4184</v>
      </c>
      <c r="C507" s="38" t="s">
        <v>31</v>
      </c>
      <c r="D507" s="34">
        <v>705.6</v>
      </c>
      <c r="E507" s="35">
        <v>44596</v>
      </c>
      <c r="F507" s="34">
        <v>705.6</v>
      </c>
      <c r="G507" s="36">
        <f>Tabla13[[#This Row],[Importe]]-Tabla13[[#This Row],[Pagado]]</f>
        <v>0</v>
      </c>
      <c r="H507" s="38" t="s">
        <v>10</v>
      </c>
    </row>
    <row r="508" spans="1:8" x14ac:dyDescent="0.25">
      <c r="A508" s="31">
        <v>44596</v>
      </c>
      <c r="B508" s="37" t="s">
        <v>4185</v>
      </c>
      <c r="C508" s="38" t="s">
        <v>872</v>
      </c>
      <c r="D508" s="34">
        <v>5982.56</v>
      </c>
      <c r="E508" s="35">
        <v>44596</v>
      </c>
      <c r="F508" s="34">
        <v>5982.56</v>
      </c>
      <c r="G508" s="36">
        <f>Tabla13[[#This Row],[Importe]]-Tabla13[[#This Row],[Pagado]]</f>
        <v>0</v>
      </c>
      <c r="H508" s="38" t="s">
        <v>10</v>
      </c>
    </row>
    <row r="509" spans="1:8" x14ac:dyDescent="0.25">
      <c r="A509" s="31">
        <v>44596</v>
      </c>
      <c r="B509" s="37" t="s">
        <v>4186</v>
      </c>
      <c r="C509" s="38" t="s">
        <v>409</v>
      </c>
      <c r="D509" s="34">
        <v>6644.7</v>
      </c>
      <c r="E509" s="35">
        <v>44608</v>
      </c>
      <c r="F509" s="34">
        <v>6644.7</v>
      </c>
      <c r="G509" s="36">
        <f>Tabla13[[#This Row],[Importe]]-Tabla13[[#This Row],[Pagado]]</f>
        <v>0</v>
      </c>
      <c r="H509" s="38" t="s">
        <v>10</v>
      </c>
    </row>
    <row r="510" spans="1:8" x14ac:dyDescent="0.25">
      <c r="A510" s="31">
        <v>44596</v>
      </c>
      <c r="B510" s="37" t="s">
        <v>4187</v>
      </c>
      <c r="C510" s="38" t="s">
        <v>840</v>
      </c>
      <c r="D510" s="34">
        <v>6743</v>
      </c>
      <c r="E510" s="35">
        <v>44596</v>
      </c>
      <c r="F510" s="34">
        <v>6743</v>
      </c>
      <c r="G510" s="36">
        <f>Tabla13[[#This Row],[Importe]]-Tabla13[[#This Row],[Pagado]]</f>
        <v>0</v>
      </c>
      <c r="H510" s="38" t="s">
        <v>10</v>
      </c>
    </row>
    <row r="511" spans="1:8" x14ac:dyDescent="0.25">
      <c r="A511" s="31">
        <v>44596</v>
      </c>
      <c r="B511" s="37" t="s">
        <v>4188</v>
      </c>
      <c r="C511" s="38" t="s">
        <v>51</v>
      </c>
      <c r="D511" s="34">
        <v>840</v>
      </c>
      <c r="E511" s="35">
        <v>44596</v>
      </c>
      <c r="F511" s="34">
        <v>840</v>
      </c>
      <c r="G511" s="36">
        <f>Tabla13[[#This Row],[Importe]]-Tabla13[[#This Row],[Pagado]]</f>
        <v>0</v>
      </c>
      <c r="H511" s="38" t="s">
        <v>10</v>
      </c>
    </row>
    <row r="512" spans="1:8" x14ac:dyDescent="0.25">
      <c r="A512" s="31">
        <v>44596</v>
      </c>
      <c r="B512" s="37" t="s">
        <v>4189</v>
      </c>
      <c r="C512" s="38" t="s">
        <v>454</v>
      </c>
      <c r="D512" s="34">
        <v>2866.2</v>
      </c>
      <c r="E512" s="35">
        <v>44596</v>
      </c>
      <c r="F512" s="34">
        <v>2866.2</v>
      </c>
      <c r="G512" s="36">
        <f>Tabla13[[#This Row],[Importe]]-Tabla13[[#This Row],[Pagado]]</f>
        <v>0</v>
      </c>
      <c r="H512" s="38" t="s">
        <v>10</v>
      </c>
    </row>
    <row r="513" spans="1:8" x14ac:dyDescent="0.25">
      <c r="A513" s="31">
        <v>44596</v>
      </c>
      <c r="B513" s="37" t="s">
        <v>4190</v>
      </c>
      <c r="C513" s="38" t="s">
        <v>1016</v>
      </c>
      <c r="D513" s="34">
        <v>4443.5</v>
      </c>
      <c r="E513" s="35">
        <v>44596</v>
      </c>
      <c r="F513" s="34">
        <v>4443.5</v>
      </c>
      <c r="G513" s="36">
        <f>Tabla13[[#This Row],[Importe]]-Tabla13[[#This Row],[Pagado]]</f>
        <v>0</v>
      </c>
      <c r="H513" s="38" t="s">
        <v>10</v>
      </c>
    </row>
    <row r="514" spans="1:8" x14ac:dyDescent="0.25">
      <c r="A514" s="31">
        <v>44596</v>
      </c>
      <c r="B514" s="37" t="s">
        <v>4191</v>
      </c>
      <c r="C514" s="38" t="s">
        <v>31</v>
      </c>
      <c r="D514" s="34">
        <v>2038.4</v>
      </c>
      <c r="E514" s="35">
        <v>44596</v>
      </c>
      <c r="F514" s="34">
        <v>2038.4</v>
      </c>
      <c r="G514" s="36">
        <f>Tabla13[[#This Row],[Importe]]-Tabla13[[#This Row],[Pagado]]</f>
        <v>0</v>
      </c>
      <c r="H514" s="38" t="s">
        <v>10</v>
      </c>
    </row>
    <row r="515" spans="1:8" x14ac:dyDescent="0.25">
      <c r="A515" s="31">
        <v>44596</v>
      </c>
      <c r="B515" s="37" t="s">
        <v>4192</v>
      </c>
      <c r="C515" s="38" t="s">
        <v>214</v>
      </c>
      <c r="D515" s="34">
        <v>8433.2000000000007</v>
      </c>
      <c r="E515" s="35">
        <v>44597</v>
      </c>
      <c r="F515" s="34">
        <v>8433.2000000000007</v>
      </c>
      <c r="G515" s="36">
        <f>Tabla13[[#This Row],[Importe]]-Tabla13[[#This Row],[Pagado]]</f>
        <v>0</v>
      </c>
      <c r="H515" s="38" t="s">
        <v>10</v>
      </c>
    </row>
    <row r="516" spans="1:8" x14ac:dyDescent="0.25">
      <c r="A516" s="31">
        <v>44597</v>
      </c>
      <c r="B516" s="37" t="s">
        <v>4193</v>
      </c>
      <c r="C516" s="38" t="s">
        <v>887</v>
      </c>
      <c r="D516" s="34">
        <v>20467.3</v>
      </c>
      <c r="E516" s="35">
        <v>44599</v>
      </c>
      <c r="F516" s="34">
        <v>20467.3</v>
      </c>
      <c r="G516" s="36">
        <f>Tabla13[[#This Row],[Importe]]-Tabla13[[#This Row],[Pagado]]</f>
        <v>0</v>
      </c>
      <c r="H516" s="38" t="s">
        <v>10</v>
      </c>
    </row>
    <row r="517" spans="1:8" ht="31.5" x14ac:dyDescent="0.25">
      <c r="A517" s="31">
        <v>44597</v>
      </c>
      <c r="B517" s="37" t="s">
        <v>4194</v>
      </c>
      <c r="C517" s="38" t="s">
        <v>475</v>
      </c>
      <c r="D517" s="34">
        <v>57695.5</v>
      </c>
      <c r="E517" s="35" t="s">
        <v>3922</v>
      </c>
      <c r="F517" s="34">
        <f>52900+4795.5</f>
        <v>57695.5</v>
      </c>
      <c r="G517" s="36">
        <f>Tabla13[[#This Row],[Importe]]-Tabla13[[#This Row],[Pagado]]</f>
        <v>0</v>
      </c>
      <c r="H517" s="38" t="s">
        <v>10</v>
      </c>
    </row>
    <row r="518" spans="1:8" x14ac:dyDescent="0.25">
      <c r="A518" s="31">
        <v>44597</v>
      </c>
      <c r="B518" s="37" t="s">
        <v>4195</v>
      </c>
      <c r="C518" s="38" t="s">
        <v>12</v>
      </c>
      <c r="D518" s="34">
        <v>44623.3</v>
      </c>
      <c r="E518" s="35">
        <v>44598</v>
      </c>
      <c r="F518" s="34">
        <v>44623.3</v>
      </c>
      <c r="G518" s="36">
        <f>Tabla13[[#This Row],[Importe]]-Tabla13[[#This Row],[Pagado]]</f>
        <v>0</v>
      </c>
      <c r="H518" s="38" t="s">
        <v>10</v>
      </c>
    </row>
    <row r="519" spans="1:8" x14ac:dyDescent="0.25">
      <c r="A519" s="31">
        <v>44597</v>
      </c>
      <c r="B519" s="37" t="s">
        <v>4196</v>
      </c>
      <c r="C519" s="38" t="s">
        <v>481</v>
      </c>
      <c r="D519" s="34">
        <v>1240.8</v>
      </c>
      <c r="E519" s="35">
        <v>44597</v>
      </c>
      <c r="F519" s="34">
        <v>1240.8</v>
      </c>
      <c r="G519" s="36">
        <f>Tabla13[[#This Row],[Importe]]-Tabla13[[#This Row],[Pagado]]</f>
        <v>0</v>
      </c>
      <c r="H519" s="38" t="s">
        <v>10</v>
      </c>
    </row>
    <row r="520" spans="1:8" x14ac:dyDescent="0.25">
      <c r="A520" s="31">
        <v>44597</v>
      </c>
      <c r="B520" s="37" t="s">
        <v>4197</v>
      </c>
      <c r="C520" s="38" t="s">
        <v>31</v>
      </c>
      <c r="D520" s="34">
        <v>4370</v>
      </c>
      <c r="E520" s="35">
        <v>44597</v>
      </c>
      <c r="F520" s="34">
        <v>4370</v>
      </c>
      <c r="G520" s="36">
        <f>Tabla13[[#This Row],[Importe]]-Tabla13[[#This Row],[Pagado]]</f>
        <v>0</v>
      </c>
      <c r="H520" s="38" t="s">
        <v>10</v>
      </c>
    </row>
    <row r="521" spans="1:8" x14ac:dyDescent="0.25">
      <c r="A521" s="31">
        <v>44597</v>
      </c>
      <c r="B521" s="37" t="s">
        <v>4198</v>
      </c>
      <c r="C521" s="38" t="s">
        <v>105</v>
      </c>
      <c r="D521" s="34">
        <v>13580.5</v>
      </c>
      <c r="E521" s="35">
        <v>44599</v>
      </c>
      <c r="F521" s="34">
        <v>13580.5</v>
      </c>
      <c r="G521" s="36">
        <f>Tabla13[[#This Row],[Importe]]-Tabla13[[#This Row],[Pagado]]</f>
        <v>0</v>
      </c>
      <c r="H521" s="38" t="s">
        <v>10</v>
      </c>
    </row>
    <row r="522" spans="1:8" ht="31.5" x14ac:dyDescent="0.25">
      <c r="A522" s="31">
        <v>44597</v>
      </c>
      <c r="B522" s="37" t="s">
        <v>4199</v>
      </c>
      <c r="C522" s="38" t="s">
        <v>22</v>
      </c>
      <c r="D522" s="34">
        <v>74762.899999999994</v>
      </c>
      <c r="E522" s="35" t="s">
        <v>4200</v>
      </c>
      <c r="F522" s="34">
        <f>61000+13762.9</f>
        <v>74762.899999999994</v>
      </c>
      <c r="G522" s="36">
        <f>Tabla13[[#This Row],[Importe]]-Tabla13[[#This Row],[Pagado]]</f>
        <v>0</v>
      </c>
      <c r="H522" s="38" t="s">
        <v>10</v>
      </c>
    </row>
    <row r="523" spans="1:8" x14ac:dyDescent="0.25">
      <c r="A523" s="31">
        <v>44597</v>
      </c>
      <c r="B523" s="37" t="s">
        <v>4201</v>
      </c>
      <c r="C523" s="38" t="s">
        <v>196</v>
      </c>
      <c r="D523" s="34">
        <v>1276.5</v>
      </c>
      <c r="E523" s="35">
        <v>44603</v>
      </c>
      <c r="F523" s="34">
        <v>1276.5</v>
      </c>
      <c r="G523" s="36">
        <f>Tabla13[[#This Row],[Importe]]-Tabla13[[#This Row],[Pagado]]</f>
        <v>0</v>
      </c>
      <c r="H523" s="38" t="s">
        <v>10</v>
      </c>
    </row>
    <row r="524" spans="1:8" x14ac:dyDescent="0.25">
      <c r="A524" s="31">
        <v>44597</v>
      </c>
      <c r="B524" s="37" t="s">
        <v>4202</v>
      </c>
      <c r="C524" s="38" t="s">
        <v>4203</v>
      </c>
      <c r="D524" s="34">
        <v>0</v>
      </c>
      <c r="E524" s="39" t="s">
        <v>189</v>
      </c>
      <c r="F524" s="34">
        <v>0</v>
      </c>
      <c r="G524" s="36">
        <f>Tabla13[[#This Row],[Importe]]-Tabla13[[#This Row],[Pagado]]</f>
        <v>0</v>
      </c>
      <c r="H524" s="38" t="s">
        <v>189</v>
      </c>
    </row>
    <row r="525" spans="1:8" x14ac:dyDescent="0.25">
      <c r="A525" s="31">
        <v>44597</v>
      </c>
      <c r="B525" s="37" t="s">
        <v>4204</v>
      </c>
      <c r="C525" s="38" t="s">
        <v>9</v>
      </c>
      <c r="D525" s="34">
        <v>5933</v>
      </c>
      <c r="E525" s="35">
        <v>44597</v>
      </c>
      <c r="F525" s="34">
        <v>5933</v>
      </c>
      <c r="G525" s="36">
        <f>Tabla13[[#This Row],[Importe]]-Tabla13[[#This Row],[Pagado]]</f>
        <v>0</v>
      </c>
      <c r="H525" s="38" t="s">
        <v>10</v>
      </c>
    </row>
    <row r="526" spans="1:8" x14ac:dyDescent="0.25">
      <c r="A526" s="31">
        <v>44597</v>
      </c>
      <c r="B526" s="37" t="s">
        <v>4205</v>
      </c>
      <c r="C526" s="38" t="s">
        <v>79</v>
      </c>
      <c r="D526" s="34">
        <v>17042.2</v>
      </c>
      <c r="E526" s="35">
        <v>44597</v>
      </c>
      <c r="F526" s="34">
        <v>17042.2</v>
      </c>
      <c r="G526" s="36">
        <f>Tabla13[[#This Row],[Importe]]-Tabla13[[#This Row],[Pagado]]</f>
        <v>0</v>
      </c>
      <c r="H526" s="38" t="s">
        <v>10</v>
      </c>
    </row>
    <row r="527" spans="1:8" x14ac:dyDescent="0.25">
      <c r="A527" s="31">
        <v>44597</v>
      </c>
      <c r="B527" s="37" t="s">
        <v>4206</v>
      </c>
      <c r="C527" s="38" t="s">
        <v>111</v>
      </c>
      <c r="D527" s="34">
        <v>13048.7</v>
      </c>
      <c r="E527" s="35">
        <v>44599</v>
      </c>
      <c r="F527" s="34">
        <v>13048.7</v>
      </c>
      <c r="G527" s="36">
        <f>Tabla13[[#This Row],[Importe]]-Tabla13[[#This Row],[Pagado]]</f>
        <v>0</v>
      </c>
      <c r="H527" s="38" t="s">
        <v>10</v>
      </c>
    </row>
    <row r="528" spans="1:8" x14ac:dyDescent="0.25">
      <c r="A528" s="31">
        <v>44597</v>
      </c>
      <c r="B528" s="37" t="s">
        <v>4207</v>
      </c>
      <c r="C528" s="38" t="s">
        <v>109</v>
      </c>
      <c r="D528" s="34">
        <v>8369.2000000000007</v>
      </c>
      <c r="E528" s="35">
        <v>44599</v>
      </c>
      <c r="F528" s="34">
        <v>8369.2000000000007</v>
      </c>
      <c r="G528" s="36">
        <f>Tabla13[[#This Row],[Importe]]-Tabla13[[#This Row],[Pagado]]</f>
        <v>0</v>
      </c>
      <c r="H528" s="38" t="s">
        <v>10</v>
      </c>
    </row>
    <row r="529" spans="1:8" x14ac:dyDescent="0.25">
      <c r="A529" s="31">
        <v>44597</v>
      </c>
      <c r="B529" s="37" t="s">
        <v>4208</v>
      </c>
      <c r="C529" s="38" t="s">
        <v>89</v>
      </c>
      <c r="D529" s="34">
        <v>12103.9</v>
      </c>
      <c r="E529" s="35">
        <v>44599</v>
      </c>
      <c r="F529" s="34">
        <v>12103.9</v>
      </c>
      <c r="G529" s="36">
        <f>Tabla13[[#This Row],[Importe]]-Tabla13[[#This Row],[Pagado]]</f>
        <v>0</v>
      </c>
      <c r="H529" s="38" t="s">
        <v>10</v>
      </c>
    </row>
    <row r="530" spans="1:8" x14ac:dyDescent="0.25">
      <c r="A530" s="31">
        <v>44597</v>
      </c>
      <c r="B530" s="37" t="s">
        <v>4209</v>
      </c>
      <c r="C530" s="38" t="s">
        <v>47</v>
      </c>
      <c r="D530" s="34">
        <v>35233</v>
      </c>
      <c r="E530" s="35">
        <v>44597</v>
      </c>
      <c r="F530" s="34">
        <v>35233</v>
      </c>
      <c r="G530" s="36">
        <f>Tabla13[[#This Row],[Importe]]-Tabla13[[#This Row],[Pagado]]</f>
        <v>0</v>
      </c>
      <c r="H530" s="38" t="s">
        <v>10</v>
      </c>
    </row>
    <row r="531" spans="1:8" x14ac:dyDescent="0.25">
      <c r="A531" s="31">
        <v>44597</v>
      </c>
      <c r="B531" s="37" t="s">
        <v>4210</v>
      </c>
      <c r="C531" s="38" t="s">
        <v>2563</v>
      </c>
      <c r="D531" s="34">
        <v>3865.8</v>
      </c>
      <c r="E531" s="35">
        <v>44597</v>
      </c>
      <c r="F531" s="34">
        <v>3865.8</v>
      </c>
      <c r="G531" s="36">
        <f>Tabla13[[#This Row],[Importe]]-Tabla13[[#This Row],[Pagado]]</f>
        <v>0</v>
      </c>
      <c r="H531" s="38" t="s">
        <v>10</v>
      </c>
    </row>
    <row r="532" spans="1:8" x14ac:dyDescent="0.25">
      <c r="A532" s="31">
        <v>44597</v>
      </c>
      <c r="B532" s="37" t="s">
        <v>4211</v>
      </c>
      <c r="C532" s="38" t="s">
        <v>120</v>
      </c>
      <c r="D532" s="34">
        <v>4049.4</v>
      </c>
      <c r="E532" s="35">
        <v>44599</v>
      </c>
      <c r="F532" s="34">
        <v>4049.4</v>
      </c>
      <c r="G532" s="36">
        <f>Tabla13[[#This Row],[Importe]]-Tabla13[[#This Row],[Pagado]]</f>
        <v>0</v>
      </c>
      <c r="H532" s="38" t="s">
        <v>10</v>
      </c>
    </row>
    <row r="533" spans="1:8" x14ac:dyDescent="0.25">
      <c r="A533" s="31">
        <v>44597</v>
      </c>
      <c r="B533" s="37" t="s">
        <v>4212</v>
      </c>
      <c r="C533" s="38" t="s">
        <v>116</v>
      </c>
      <c r="D533" s="34">
        <v>4179.7</v>
      </c>
      <c r="E533" s="35">
        <v>44599</v>
      </c>
      <c r="F533" s="34">
        <v>4179.7</v>
      </c>
      <c r="G533" s="36">
        <f>Tabla13[[#This Row],[Importe]]-Tabla13[[#This Row],[Pagado]]</f>
        <v>0</v>
      </c>
      <c r="H533" s="38" t="s">
        <v>10</v>
      </c>
    </row>
    <row r="534" spans="1:8" x14ac:dyDescent="0.25">
      <c r="A534" s="31">
        <v>44597</v>
      </c>
      <c r="B534" s="37" t="s">
        <v>4213</v>
      </c>
      <c r="C534" s="38" t="s">
        <v>60</v>
      </c>
      <c r="D534" s="34">
        <v>3794.4</v>
      </c>
      <c r="E534" s="35">
        <v>44600</v>
      </c>
      <c r="F534" s="34">
        <v>3794.4</v>
      </c>
      <c r="G534" s="36">
        <f>Tabla13[[#This Row],[Importe]]-Tabla13[[#This Row],[Pagado]]</f>
        <v>0</v>
      </c>
      <c r="H534" s="38" t="s">
        <v>10</v>
      </c>
    </row>
    <row r="535" spans="1:8" x14ac:dyDescent="0.25">
      <c r="A535" s="31">
        <v>44597</v>
      </c>
      <c r="B535" s="37" t="s">
        <v>4214</v>
      </c>
      <c r="C535" s="38" t="s">
        <v>64</v>
      </c>
      <c r="D535" s="34">
        <v>11322</v>
      </c>
      <c r="E535" s="35">
        <v>44599</v>
      </c>
      <c r="F535" s="34">
        <v>11322</v>
      </c>
      <c r="G535" s="36">
        <f>Tabla13[[#This Row],[Importe]]-Tabla13[[#This Row],[Pagado]]</f>
        <v>0</v>
      </c>
      <c r="H535" s="38" t="s">
        <v>10</v>
      </c>
    </row>
    <row r="536" spans="1:8" x14ac:dyDescent="0.25">
      <c r="A536" s="31">
        <v>44597</v>
      </c>
      <c r="B536" s="37" t="s">
        <v>4215</v>
      </c>
      <c r="C536" s="38" t="s">
        <v>58</v>
      </c>
      <c r="D536" s="34">
        <v>12372.5</v>
      </c>
      <c r="E536" s="35">
        <v>44600</v>
      </c>
      <c r="F536" s="34">
        <v>12372.5</v>
      </c>
      <c r="G536" s="36">
        <f>Tabla13[[#This Row],[Importe]]-Tabla13[[#This Row],[Pagado]]</f>
        <v>0</v>
      </c>
      <c r="H536" s="38" t="s">
        <v>10</v>
      </c>
    </row>
    <row r="537" spans="1:8" x14ac:dyDescent="0.25">
      <c r="A537" s="31">
        <v>44597</v>
      </c>
      <c r="B537" s="37" t="s">
        <v>4216</v>
      </c>
      <c r="C537" s="38" t="s">
        <v>326</v>
      </c>
      <c r="D537" s="34">
        <v>13337.8</v>
      </c>
      <c r="E537" s="35">
        <v>44599</v>
      </c>
      <c r="F537" s="34">
        <v>13337.8</v>
      </c>
      <c r="G537" s="36">
        <f>Tabla13[[#This Row],[Importe]]-Tabla13[[#This Row],[Pagado]]</f>
        <v>0</v>
      </c>
      <c r="H537" s="38" t="s">
        <v>10</v>
      </c>
    </row>
    <row r="538" spans="1:8" x14ac:dyDescent="0.25">
      <c r="A538" s="31">
        <v>44597</v>
      </c>
      <c r="B538" s="37" t="s">
        <v>4217</v>
      </c>
      <c r="C538" s="38" t="s">
        <v>93</v>
      </c>
      <c r="D538" s="34">
        <v>6865.4</v>
      </c>
      <c r="E538" s="35">
        <v>44599</v>
      </c>
      <c r="F538" s="34">
        <v>6865.4</v>
      </c>
      <c r="G538" s="36">
        <f>Tabla13[[#This Row],[Importe]]-Tabla13[[#This Row],[Pagado]]</f>
        <v>0</v>
      </c>
      <c r="H538" s="38" t="s">
        <v>10</v>
      </c>
    </row>
    <row r="539" spans="1:8" x14ac:dyDescent="0.25">
      <c r="A539" s="31">
        <v>44597</v>
      </c>
      <c r="B539" s="37" t="s">
        <v>4218</v>
      </c>
      <c r="C539" s="38" t="s">
        <v>114</v>
      </c>
      <c r="D539" s="34">
        <v>8075.2</v>
      </c>
      <c r="E539" s="35">
        <v>44599</v>
      </c>
      <c r="F539" s="34">
        <v>8075.2</v>
      </c>
      <c r="G539" s="36">
        <f>Tabla13[[#This Row],[Importe]]-Tabla13[[#This Row],[Pagado]]</f>
        <v>0</v>
      </c>
      <c r="H539" s="38" t="s">
        <v>10</v>
      </c>
    </row>
    <row r="540" spans="1:8" ht="31.5" x14ac:dyDescent="0.25">
      <c r="A540" s="31">
        <v>44597</v>
      </c>
      <c r="B540" s="37" t="s">
        <v>4219</v>
      </c>
      <c r="C540" s="38" t="s">
        <v>75</v>
      </c>
      <c r="D540" s="34">
        <v>19056.099999999999</v>
      </c>
      <c r="E540" s="35" t="s">
        <v>4061</v>
      </c>
      <c r="F540" s="34">
        <f>9479+100.5+9476.6</f>
        <v>19056.099999999999</v>
      </c>
      <c r="G540" s="36">
        <f>Tabla13[[#This Row],[Importe]]-Tabla13[[#This Row],[Pagado]]</f>
        <v>0</v>
      </c>
      <c r="H540" s="38" t="s">
        <v>10</v>
      </c>
    </row>
    <row r="541" spans="1:8" x14ac:dyDescent="0.25">
      <c r="A541" s="31">
        <v>44597</v>
      </c>
      <c r="B541" s="37" t="s">
        <v>4220</v>
      </c>
      <c r="C541" s="38" t="s">
        <v>4221</v>
      </c>
      <c r="D541" s="34">
        <v>0</v>
      </c>
      <c r="E541" s="39" t="s">
        <v>189</v>
      </c>
      <c r="F541" s="34">
        <v>0</v>
      </c>
      <c r="G541" s="36">
        <f>Tabla13[[#This Row],[Importe]]-Tabla13[[#This Row],[Pagado]]</f>
        <v>0</v>
      </c>
      <c r="H541" s="40" t="s">
        <v>4222</v>
      </c>
    </row>
    <row r="542" spans="1:8" x14ac:dyDescent="0.25">
      <c r="A542" s="31">
        <v>44597</v>
      </c>
      <c r="B542" s="37" t="s">
        <v>4223</v>
      </c>
      <c r="C542" s="38" t="s">
        <v>348</v>
      </c>
      <c r="D542" s="34">
        <v>3162</v>
      </c>
      <c r="E542" s="35">
        <v>44597</v>
      </c>
      <c r="F542" s="34">
        <v>3162</v>
      </c>
      <c r="G542" s="36">
        <f>Tabla13[[#This Row],[Importe]]-Tabla13[[#This Row],[Pagado]]</f>
        <v>0</v>
      </c>
      <c r="H542" s="38" t="s">
        <v>10</v>
      </c>
    </row>
    <row r="543" spans="1:8" ht="31.5" x14ac:dyDescent="0.25">
      <c r="A543" s="31">
        <v>44597</v>
      </c>
      <c r="B543" s="37" t="s">
        <v>4224</v>
      </c>
      <c r="C543" s="38" t="s">
        <v>39</v>
      </c>
      <c r="D543" s="34">
        <v>30288.7</v>
      </c>
      <c r="E543" s="35" t="s">
        <v>4225</v>
      </c>
      <c r="F543" s="34">
        <f>6000+24288.7</f>
        <v>30288.7</v>
      </c>
      <c r="G543" s="36">
        <f>Tabla13[[#This Row],[Importe]]-Tabla13[[#This Row],[Pagado]]</f>
        <v>0</v>
      </c>
      <c r="H543" s="38" t="s">
        <v>10</v>
      </c>
    </row>
    <row r="544" spans="1:8" x14ac:dyDescent="0.25">
      <c r="A544" s="31">
        <v>44597</v>
      </c>
      <c r="B544" s="37" t="s">
        <v>4226</v>
      </c>
      <c r="C544" s="38" t="s">
        <v>16</v>
      </c>
      <c r="D544" s="34">
        <v>4813.6000000000004</v>
      </c>
      <c r="E544" s="35">
        <v>44597</v>
      </c>
      <c r="F544" s="34">
        <v>4813.6000000000004</v>
      </c>
      <c r="G544" s="36">
        <f>Tabla13[[#This Row],[Importe]]-Tabla13[[#This Row],[Pagado]]</f>
        <v>0</v>
      </c>
      <c r="H544" s="38" t="s">
        <v>10</v>
      </c>
    </row>
    <row r="545" spans="1:8" x14ac:dyDescent="0.25">
      <c r="A545" s="31">
        <v>44597</v>
      </c>
      <c r="B545" s="37" t="s">
        <v>4227</v>
      </c>
      <c r="C545" s="38" t="s">
        <v>85</v>
      </c>
      <c r="D545" s="34">
        <v>2329.3000000000002</v>
      </c>
      <c r="E545" s="35">
        <v>44597</v>
      </c>
      <c r="F545" s="34">
        <v>2329.3000000000002</v>
      </c>
      <c r="G545" s="36">
        <f>Tabla13[[#This Row],[Importe]]-Tabla13[[#This Row],[Pagado]]</f>
        <v>0</v>
      </c>
      <c r="H545" s="38" t="s">
        <v>10</v>
      </c>
    </row>
    <row r="546" spans="1:8" x14ac:dyDescent="0.25">
      <c r="A546" s="31">
        <v>44597</v>
      </c>
      <c r="B546" s="37" t="s">
        <v>4228</v>
      </c>
      <c r="C546" s="38" t="s">
        <v>144</v>
      </c>
      <c r="D546" s="34">
        <v>4633</v>
      </c>
      <c r="E546" s="35">
        <v>44597</v>
      </c>
      <c r="F546" s="34">
        <v>4633</v>
      </c>
      <c r="G546" s="36">
        <f>Tabla13[[#This Row],[Importe]]-Tabla13[[#This Row],[Pagado]]</f>
        <v>0</v>
      </c>
      <c r="H546" s="38" t="s">
        <v>10</v>
      </c>
    </row>
    <row r="547" spans="1:8" x14ac:dyDescent="0.25">
      <c r="A547" s="31">
        <v>44597</v>
      </c>
      <c r="B547" s="37" t="s">
        <v>4229</v>
      </c>
      <c r="C547" s="38" t="s">
        <v>125</v>
      </c>
      <c r="D547" s="34">
        <v>3634.4</v>
      </c>
      <c r="E547" s="35">
        <v>44597</v>
      </c>
      <c r="F547" s="34">
        <v>3634.4</v>
      </c>
      <c r="G547" s="36">
        <f>Tabla13[[#This Row],[Importe]]-Tabla13[[#This Row],[Pagado]]</f>
        <v>0</v>
      </c>
      <c r="H547" s="38" t="s">
        <v>10</v>
      </c>
    </row>
    <row r="548" spans="1:8" x14ac:dyDescent="0.25">
      <c r="A548" s="31">
        <v>44597</v>
      </c>
      <c r="B548" s="37" t="s">
        <v>4230</v>
      </c>
      <c r="C548" s="38" t="s">
        <v>169</v>
      </c>
      <c r="D548" s="34">
        <v>2300.1999999999998</v>
      </c>
      <c r="E548" s="35">
        <v>44599</v>
      </c>
      <c r="F548" s="34">
        <v>2300.1999999999998</v>
      </c>
      <c r="G548" s="36">
        <f>Tabla13[[#This Row],[Importe]]-Tabla13[[#This Row],[Pagado]]</f>
        <v>0</v>
      </c>
      <c r="H548" s="38" t="s">
        <v>10</v>
      </c>
    </row>
    <row r="549" spans="1:8" x14ac:dyDescent="0.25">
      <c r="A549" s="31">
        <v>44597</v>
      </c>
      <c r="B549" s="37" t="s">
        <v>4231</v>
      </c>
      <c r="C549" s="38" t="s">
        <v>664</v>
      </c>
      <c r="D549" s="34">
        <v>4708.8</v>
      </c>
      <c r="E549" s="35">
        <v>44597</v>
      </c>
      <c r="F549" s="34">
        <v>4708.8</v>
      </c>
      <c r="G549" s="36">
        <f>Tabla13[[#This Row],[Importe]]-Tabla13[[#This Row],[Pagado]]</f>
        <v>0</v>
      </c>
      <c r="H549" s="38" t="s">
        <v>10</v>
      </c>
    </row>
    <row r="550" spans="1:8" x14ac:dyDescent="0.25">
      <c r="A550" s="31">
        <v>44597</v>
      </c>
      <c r="B550" s="37" t="s">
        <v>4232</v>
      </c>
      <c r="C550" s="38" t="s">
        <v>31</v>
      </c>
      <c r="D550" s="34">
        <v>11750.4</v>
      </c>
      <c r="E550" s="35">
        <v>44597</v>
      </c>
      <c r="F550" s="34">
        <v>11750.4</v>
      </c>
      <c r="G550" s="36">
        <f>Tabla13[[#This Row],[Importe]]-Tabla13[[#This Row],[Pagado]]</f>
        <v>0</v>
      </c>
      <c r="H550" s="38" t="s">
        <v>10</v>
      </c>
    </row>
    <row r="551" spans="1:8" x14ac:dyDescent="0.25">
      <c r="A551" s="31">
        <v>44597</v>
      </c>
      <c r="B551" s="37" t="s">
        <v>4233</v>
      </c>
      <c r="C551" s="38" t="s">
        <v>146</v>
      </c>
      <c r="D551" s="34">
        <v>8866.7999999999993</v>
      </c>
      <c r="E551" s="35">
        <v>44597</v>
      </c>
      <c r="F551" s="34">
        <v>8866.7999999999993</v>
      </c>
      <c r="G551" s="36">
        <f>Tabla13[[#This Row],[Importe]]-Tabla13[[#This Row],[Pagado]]</f>
        <v>0</v>
      </c>
      <c r="H551" s="38" t="s">
        <v>10</v>
      </c>
    </row>
    <row r="552" spans="1:8" x14ac:dyDescent="0.25">
      <c r="A552" s="31">
        <v>44597</v>
      </c>
      <c r="B552" s="37" t="s">
        <v>4234</v>
      </c>
      <c r="C552" s="38" t="s">
        <v>107</v>
      </c>
      <c r="D552" s="34">
        <v>27871.4</v>
      </c>
      <c r="E552" s="35">
        <v>44599</v>
      </c>
      <c r="F552" s="34">
        <v>27871.4</v>
      </c>
      <c r="G552" s="36">
        <f>Tabla13[[#This Row],[Importe]]-Tabla13[[#This Row],[Pagado]]</f>
        <v>0</v>
      </c>
      <c r="H552" s="38" t="s">
        <v>10</v>
      </c>
    </row>
    <row r="553" spans="1:8" x14ac:dyDescent="0.25">
      <c r="A553" s="31">
        <v>44597</v>
      </c>
      <c r="B553" s="37" t="s">
        <v>4235</v>
      </c>
      <c r="C553" s="38" t="s">
        <v>56</v>
      </c>
      <c r="D553" s="34">
        <v>9888.1</v>
      </c>
      <c r="E553" s="35">
        <v>44597</v>
      </c>
      <c r="F553" s="34">
        <v>9888.1</v>
      </c>
      <c r="G553" s="36">
        <f>Tabla13[[#This Row],[Importe]]-Tabla13[[#This Row],[Pagado]]</f>
        <v>0</v>
      </c>
      <c r="H553" s="38" t="s">
        <v>10</v>
      </c>
    </row>
    <row r="554" spans="1:8" x14ac:dyDescent="0.25">
      <c r="A554" s="31">
        <v>44597</v>
      </c>
      <c r="B554" s="37" t="s">
        <v>4236</v>
      </c>
      <c r="C554" s="38" t="s">
        <v>29</v>
      </c>
      <c r="D554" s="34">
        <v>4689.3</v>
      </c>
      <c r="E554" s="35">
        <v>44597</v>
      </c>
      <c r="F554" s="34">
        <v>4689.3</v>
      </c>
      <c r="G554" s="36">
        <f>Tabla13[[#This Row],[Importe]]-Tabla13[[#This Row],[Pagado]]</f>
        <v>0</v>
      </c>
      <c r="H554" s="38" t="s">
        <v>10</v>
      </c>
    </row>
    <row r="555" spans="1:8" x14ac:dyDescent="0.25">
      <c r="A555" s="31">
        <v>44597</v>
      </c>
      <c r="B555" s="37" t="s">
        <v>4237</v>
      </c>
      <c r="C555" s="38" t="s">
        <v>27</v>
      </c>
      <c r="D555" s="34">
        <v>1868.9</v>
      </c>
      <c r="E555" s="35">
        <v>44597</v>
      </c>
      <c r="F555" s="34">
        <v>1868.9</v>
      </c>
      <c r="G555" s="36">
        <f>Tabla13[[#This Row],[Importe]]-Tabla13[[#This Row],[Pagado]]</f>
        <v>0</v>
      </c>
      <c r="H555" s="38" t="s">
        <v>10</v>
      </c>
    </row>
    <row r="556" spans="1:8" x14ac:dyDescent="0.25">
      <c r="A556" s="31">
        <v>44597</v>
      </c>
      <c r="B556" s="37" t="s">
        <v>4238</v>
      </c>
      <c r="C556" s="38" t="s">
        <v>131</v>
      </c>
      <c r="D556" s="34">
        <v>16431.2</v>
      </c>
      <c r="E556" s="35">
        <v>44597</v>
      </c>
      <c r="F556" s="34">
        <v>16431.2</v>
      </c>
      <c r="G556" s="36">
        <f>Tabla13[[#This Row],[Importe]]-Tabla13[[#This Row],[Pagado]]</f>
        <v>0</v>
      </c>
      <c r="H556" s="38" t="s">
        <v>10</v>
      </c>
    </row>
    <row r="557" spans="1:8" x14ac:dyDescent="0.25">
      <c r="A557" s="31">
        <v>44597</v>
      </c>
      <c r="B557" s="37" t="s">
        <v>4239</v>
      </c>
      <c r="C557" s="38" t="s">
        <v>373</v>
      </c>
      <c r="D557" s="34">
        <v>3183.4</v>
      </c>
      <c r="E557" s="35">
        <v>44597</v>
      </c>
      <c r="F557" s="34">
        <v>3183.4</v>
      </c>
      <c r="G557" s="36">
        <f>Tabla13[[#This Row],[Importe]]-Tabla13[[#This Row],[Pagado]]</f>
        <v>0</v>
      </c>
      <c r="H557" s="38" t="s">
        <v>10</v>
      </c>
    </row>
    <row r="558" spans="1:8" x14ac:dyDescent="0.25">
      <c r="A558" s="31">
        <v>44597</v>
      </c>
      <c r="B558" s="37" t="s">
        <v>4240</v>
      </c>
      <c r="C558" s="38" t="s">
        <v>45</v>
      </c>
      <c r="D558" s="34">
        <v>10796.2</v>
      </c>
      <c r="E558" s="35">
        <v>44597</v>
      </c>
      <c r="F558" s="34">
        <v>10796.2</v>
      </c>
      <c r="G558" s="36">
        <f>Tabla13[[#This Row],[Importe]]-Tabla13[[#This Row],[Pagado]]</f>
        <v>0</v>
      </c>
      <c r="H558" s="38" t="s">
        <v>10</v>
      </c>
    </row>
    <row r="559" spans="1:8" x14ac:dyDescent="0.25">
      <c r="A559" s="31">
        <v>44597</v>
      </c>
      <c r="B559" s="37" t="s">
        <v>4241</v>
      </c>
      <c r="C559" s="38" t="s">
        <v>129</v>
      </c>
      <c r="D559" s="34">
        <v>5349.1</v>
      </c>
      <c r="E559" s="35">
        <v>44597</v>
      </c>
      <c r="F559" s="34">
        <v>5349.1</v>
      </c>
      <c r="G559" s="36">
        <f>Tabla13[[#This Row],[Importe]]-Tabla13[[#This Row],[Pagado]]</f>
        <v>0</v>
      </c>
      <c r="H559" s="38" t="s">
        <v>10</v>
      </c>
    </row>
    <row r="560" spans="1:8" x14ac:dyDescent="0.25">
      <c r="A560" s="31">
        <v>44597</v>
      </c>
      <c r="B560" s="37" t="s">
        <v>4242</v>
      </c>
      <c r="C560" s="38" t="s">
        <v>127</v>
      </c>
      <c r="D560" s="34">
        <v>1548.4</v>
      </c>
      <c r="E560" s="35">
        <v>44597</v>
      </c>
      <c r="F560" s="34">
        <v>1548.4</v>
      </c>
      <c r="G560" s="36">
        <f>Tabla13[[#This Row],[Importe]]-Tabla13[[#This Row],[Pagado]]</f>
        <v>0</v>
      </c>
      <c r="H560" s="38" t="s">
        <v>10</v>
      </c>
    </row>
    <row r="561" spans="1:8" x14ac:dyDescent="0.25">
      <c r="A561" s="31">
        <v>44597</v>
      </c>
      <c r="B561" s="37" t="s">
        <v>4243</v>
      </c>
      <c r="C561" s="38" t="s">
        <v>357</v>
      </c>
      <c r="D561" s="34">
        <v>445.9</v>
      </c>
      <c r="E561" s="35">
        <v>44597</v>
      </c>
      <c r="F561" s="34">
        <v>445.9</v>
      </c>
      <c r="G561" s="36">
        <f>Tabla13[[#This Row],[Importe]]-Tabla13[[#This Row],[Pagado]]</f>
        <v>0</v>
      </c>
      <c r="H561" s="38" t="s">
        <v>10</v>
      </c>
    </row>
    <row r="562" spans="1:8" x14ac:dyDescent="0.25">
      <c r="A562" s="31">
        <v>44597</v>
      </c>
      <c r="B562" s="37" t="s">
        <v>4244</v>
      </c>
      <c r="C562" s="38" t="s">
        <v>339</v>
      </c>
      <c r="D562" s="34">
        <v>421.4</v>
      </c>
      <c r="E562" s="35">
        <v>44597</v>
      </c>
      <c r="F562" s="34">
        <v>421.4</v>
      </c>
      <c r="G562" s="36">
        <f>Tabla13[[#This Row],[Importe]]-Tabla13[[#This Row],[Pagado]]</f>
        <v>0</v>
      </c>
      <c r="H562" s="38" t="s">
        <v>10</v>
      </c>
    </row>
    <row r="563" spans="1:8" x14ac:dyDescent="0.25">
      <c r="A563" s="31">
        <v>44597</v>
      </c>
      <c r="B563" s="37" t="s">
        <v>4245</v>
      </c>
      <c r="C563" s="38" t="s">
        <v>140</v>
      </c>
      <c r="D563" s="34">
        <v>445.9</v>
      </c>
      <c r="E563" s="35">
        <v>44597</v>
      </c>
      <c r="F563" s="34">
        <v>445.9</v>
      </c>
      <c r="G563" s="36">
        <f>Tabla13[[#This Row],[Importe]]-Tabla13[[#This Row],[Pagado]]</f>
        <v>0</v>
      </c>
      <c r="H563" s="38" t="s">
        <v>10</v>
      </c>
    </row>
    <row r="564" spans="1:8" x14ac:dyDescent="0.25">
      <c r="A564" s="31">
        <v>44597</v>
      </c>
      <c r="B564" s="37" t="s">
        <v>4246</v>
      </c>
      <c r="C564" s="38" t="s">
        <v>161</v>
      </c>
      <c r="D564" s="34">
        <v>3563.6</v>
      </c>
      <c r="E564" s="35">
        <v>44597</v>
      </c>
      <c r="F564" s="34">
        <v>3563.6</v>
      </c>
      <c r="G564" s="36">
        <f>Tabla13[[#This Row],[Importe]]-Tabla13[[#This Row],[Pagado]]</f>
        <v>0</v>
      </c>
      <c r="H564" s="38" t="s">
        <v>10</v>
      </c>
    </row>
    <row r="565" spans="1:8" x14ac:dyDescent="0.25">
      <c r="A565" s="31">
        <v>44597</v>
      </c>
      <c r="B565" s="37" t="s">
        <v>4247</v>
      </c>
      <c r="C565" s="38" t="s">
        <v>314</v>
      </c>
      <c r="D565" s="34">
        <v>4204.2</v>
      </c>
      <c r="E565" s="35">
        <v>44597</v>
      </c>
      <c r="F565" s="34">
        <v>4204.2</v>
      </c>
      <c r="G565" s="36">
        <f>Tabla13[[#This Row],[Importe]]-Tabla13[[#This Row],[Pagado]]</f>
        <v>0</v>
      </c>
      <c r="H565" s="38" t="s">
        <v>10</v>
      </c>
    </row>
    <row r="566" spans="1:8" x14ac:dyDescent="0.25">
      <c r="A566" s="31">
        <v>44597</v>
      </c>
      <c r="B566" s="37" t="s">
        <v>4248</v>
      </c>
      <c r="C566" s="38" t="s">
        <v>230</v>
      </c>
      <c r="D566" s="34">
        <v>4391.8999999999996</v>
      </c>
      <c r="E566" s="35">
        <v>44597</v>
      </c>
      <c r="F566" s="34">
        <v>4391.8999999999996</v>
      </c>
      <c r="G566" s="36">
        <f>Tabla13[[#This Row],[Importe]]-Tabla13[[#This Row],[Pagado]]</f>
        <v>0</v>
      </c>
      <c r="H566" s="38" t="s">
        <v>10</v>
      </c>
    </row>
    <row r="567" spans="1:8" x14ac:dyDescent="0.25">
      <c r="A567" s="31">
        <v>44597</v>
      </c>
      <c r="B567" s="37" t="s">
        <v>4249</v>
      </c>
      <c r="C567" s="38" t="s">
        <v>230</v>
      </c>
      <c r="D567" s="34">
        <v>884</v>
      </c>
      <c r="E567" s="35">
        <v>44597</v>
      </c>
      <c r="F567" s="34">
        <v>884</v>
      </c>
      <c r="G567" s="36">
        <f>Tabla13[[#This Row],[Importe]]-Tabla13[[#This Row],[Pagado]]</f>
        <v>0</v>
      </c>
      <c r="H567" s="38" t="s">
        <v>10</v>
      </c>
    </row>
    <row r="568" spans="1:8" x14ac:dyDescent="0.25">
      <c r="A568" s="31">
        <v>44597</v>
      </c>
      <c r="B568" s="37" t="s">
        <v>4250</v>
      </c>
      <c r="C568" s="38" t="s">
        <v>1362</v>
      </c>
      <c r="D568" s="34">
        <v>3033.6</v>
      </c>
      <c r="E568" s="35">
        <v>44597</v>
      </c>
      <c r="F568" s="34">
        <v>3033.6</v>
      </c>
      <c r="G568" s="36">
        <f>Tabla13[[#This Row],[Importe]]-Tabla13[[#This Row],[Pagado]]</f>
        <v>0</v>
      </c>
      <c r="H568" s="38" t="s">
        <v>10</v>
      </c>
    </row>
    <row r="569" spans="1:8" x14ac:dyDescent="0.25">
      <c r="A569" s="31">
        <v>44597</v>
      </c>
      <c r="B569" s="37" t="s">
        <v>4251</v>
      </c>
      <c r="C569" s="38" t="s">
        <v>24</v>
      </c>
      <c r="D569" s="34">
        <v>3972</v>
      </c>
      <c r="E569" s="35">
        <v>44597</v>
      </c>
      <c r="F569" s="34">
        <v>3972</v>
      </c>
      <c r="G569" s="36">
        <f>Tabla13[[#This Row],[Importe]]-Tabla13[[#This Row],[Pagado]]</f>
        <v>0</v>
      </c>
      <c r="H569" s="38" t="s">
        <v>10</v>
      </c>
    </row>
    <row r="570" spans="1:8" x14ac:dyDescent="0.25">
      <c r="A570" s="31">
        <v>44597</v>
      </c>
      <c r="B570" s="37" t="s">
        <v>4252</v>
      </c>
      <c r="C570" s="38" t="s">
        <v>2114</v>
      </c>
      <c r="D570" s="34">
        <v>1344</v>
      </c>
      <c r="E570" s="35">
        <v>44597</v>
      </c>
      <c r="F570" s="34">
        <v>1344</v>
      </c>
      <c r="G570" s="36">
        <f>Tabla13[[#This Row],[Importe]]-Tabla13[[#This Row],[Pagado]]</f>
        <v>0</v>
      </c>
      <c r="H570" s="38" t="s">
        <v>10</v>
      </c>
    </row>
    <row r="571" spans="1:8" x14ac:dyDescent="0.25">
      <c r="A571" s="31">
        <v>44597</v>
      </c>
      <c r="B571" s="37" t="s">
        <v>4253</v>
      </c>
      <c r="C571" s="38" t="s">
        <v>298</v>
      </c>
      <c r="D571" s="34">
        <v>8860</v>
      </c>
      <c r="E571" s="35">
        <v>44597</v>
      </c>
      <c r="F571" s="34">
        <v>8860</v>
      </c>
      <c r="G571" s="36">
        <f>Tabla13[[#This Row],[Importe]]-Tabla13[[#This Row],[Pagado]]</f>
        <v>0</v>
      </c>
      <c r="H571" s="38" t="s">
        <v>10</v>
      </c>
    </row>
    <row r="572" spans="1:8" x14ac:dyDescent="0.25">
      <c r="A572" s="31">
        <v>44597</v>
      </c>
      <c r="B572" s="37" t="s">
        <v>4254</v>
      </c>
      <c r="C572" s="38" t="s">
        <v>146</v>
      </c>
      <c r="D572" s="34">
        <v>136.5</v>
      </c>
      <c r="E572" s="35">
        <v>44598</v>
      </c>
      <c r="F572" s="34">
        <v>136.5</v>
      </c>
      <c r="G572" s="36">
        <f>Tabla13[[#This Row],[Importe]]-Tabla13[[#This Row],[Pagado]]</f>
        <v>0</v>
      </c>
      <c r="H572" s="38" t="s">
        <v>10</v>
      </c>
    </row>
    <row r="573" spans="1:8" x14ac:dyDescent="0.25">
      <c r="A573" s="31">
        <v>44597</v>
      </c>
      <c r="B573" s="37" t="s">
        <v>4255</v>
      </c>
      <c r="C573" s="38" t="s">
        <v>275</v>
      </c>
      <c r="D573" s="34">
        <v>67473.86</v>
      </c>
      <c r="E573" s="35">
        <v>44610</v>
      </c>
      <c r="F573" s="34">
        <v>67473.86</v>
      </c>
      <c r="G573" s="36">
        <f>Tabla13[[#This Row],[Importe]]-Tabla13[[#This Row],[Pagado]]</f>
        <v>0</v>
      </c>
      <c r="H573" s="38" t="s">
        <v>10</v>
      </c>
    </row>
    <row r="574" spans="1:8" x14ac:dyDescent="0.25">
      <c r="A574" s="31">
        <v>44597</v>
      </c>
      <c r="B574" s="37" t="s">
        <v>4256</v>
      </c>
      <c r="C574" s="38" t="s">
        <v>31</v>
      </c>
      <c r="D574" s="34">
        <v>1513.6</v>
      </c>
      <c r="E574" s="35">
        <v>44597</v>
      </c>
      <c r="F574" s="34">
        <v>1513.6</v>
      </c>
      <c r="G574" s="36">
        <f>Tabla13[[#This Row],[Importe]]-Tabla13[[#This Row],[Pagado]]</f>
        <v>0</v>
      </c>
      <c r="H574" s="38" t="s">
        <v>10</v>
      </c>
    </row>
    <row r="575" spans="1:8" x14ac:dyDescent="0.25">
      <c r="A575" s="31">
        <v>44597</v>
      </c>
      <c r="B575" s="37" t="s">
        <v>4257</v>
      </c>
      <c r="C575" s="38" t="s">
        <v>142</v>
      </c>
      <c r="D575" s="34">
        <v>62468.800000000003</v>
      </c>
      <c r="E575" s="35">
        <v>44617</v>
      </c>
      <c r="F575" s="34">
        <v>62468.800000000003</v>
      </c>
      <c r="G575" s="36">
        <f>Tabla13[[#This Row],[Importe]]-Tabla13[[#This Row],[Pagado]]</f>
        <v>0</v>
      </c>
      <c r="H575" s="38" t="s">
        <v>10</v>
      </c>
    </row>
    <row r="576" spans="1:8" x14ac:dyDescent="0.25">
      <c r="A576" s="31">
        <v>44597</v>
      </c>
      <c r="B576" s="37" t="s">
        <v>4258</v>
      </c>
      <c r="C576" s="38" t="s">
        <v>380</v>
      </c>
      <c r="D576" s="34">
        <v>12179.8</v>
      </c>
      <c r="E576" s="35">
        <v>44597</v>
      </c>
      <c r="F576" s="34">
        <v>12179.8</v>
      </c>
      <c r="G576" s="36">
        <f>Tabla13[[#This Row],[Importe]]-Tabla13[[#This Row],[Pagado]]</f>
        <v>0</v>
      </c>
      <c r="H576" s="38" t="s">
        <v>10</v>
      </c>
    </row>
    <row r="577" spans="1:8" x14ac:dyDescent="0.25">
      <c r="A577" s="31">
        <v>44597</v>
      </c>
      <c r="B577" s="37" t="s">
        <v>4259</v>
      </c>
      <c r="C577" s="38" t="s">
        <v>151</v>
      </c>
      <c r="D577" s="34">
        <v>5882</v>
      </c>
      <c r="E577" s="35">
        <v>44597</v>
      </c>
      <c r="F577" s="34">
        <v>5882</v>
      </c>
      <c r="G577" s="36">
        <f>Tabla13[[#This Row],[Importe]]-Tabla13[[#This Row],[Pagado]]</f>
        <v>0</v>
      </c>
      <c r="H577" s="38" t="s">
        <v>10</v>
      </c>
    </row>
    <row r="578" spans="1:8" x14ac:dyDescent="0.25">
      <c r="A578" s="31">
        <v>44597</v>
      </c>
      <c r="B578" s="37" t="s">
        <v>4260</v>
      </c>
      <c r="C578" s="38" t="s">
        <v>159</v>
      </c>
      <c r="D578" s="34">
        <v>1645.6</v>
      </c>
      <c r="E578" s="35">
        <v>44597</v>
      </c>
      <c r="F578" s="34">
        <v>1645.6</v>
      </c>
      <c r="G578" s="36">
        <f>Tabla13[[#This Row],[Importe]]-Tabla13[[#This Row],[Pagado]]</f>
        <v>0</v>
      </c>
      <c r="H578" s="38" t="s">
        <v>10</v>
      </c>
    </row>
    <row r="579" spans="1:8" x14ac:dyDescent="0.25">
      <c r="A579" s="31">
        <v>44597</v>
      </c>
      <c r="B579" s="37" t="s">
        <v>4261</v>
      </c>
      <c r="C579" s="38" t="s">
        <v>275</v>
      </c>
      <c r="D579" s="34">
        <v>85056</v>
      </c>
      <c r="E579" s="35">
        <v>44610</v>
      </c>
      <c r="F579" s="34">
        <v>85056</v>
      </c>
      <c r="G579" s="36">
        <f>Tabla13[[#This Row],[Importe]]-Tabla13[[#This Row],[Pagado]]</f>
        <v>0</v>
      </c>
      <c r="H579" s="38" t="s">
        <v>10</v>
      </c>
    </row>
    <row r="580" spans="1:8" x14ac:dyDescent="0.25">
      <c r="A580" s="31">
        <v>44597</v>
      </c>
      <c r="B580" s="37" t="s">
        <v>4262</v>
      </c>
      <c r="C580" s="38" t="s">
        <v>179</v>
      </c>
      <c r="D580" s="34">
        <v>612.5</v>
      </c>
      <c r="E580" s="35">
        <v>44597</v>
      </c>
      <c r="F580" s="34">
        <v>612.5</v>
      </c>
      <c r="G580" s="36">
        <f>Tabla13[[#This Row],[Importe]]-Tabla13[[#This Row],[Pagado]]</f>
        <v>0</v>
      </c>
      <c r="H580" s="38" t="s">
        <v>10</v>
      </c>
    </row>
    <row r="581" spans="1:8" x14ac:dyDescent="0.25">
      <c r="A581" s="31">
        <v>44597</v>
      </c>
      <c r="B581" s="37" t="s">
        <v>4263</v>
      </c>
      <c r="C581" s="38" t="s">
        <v>179</v>
      </c>
      <c r="D581" s="34">
        <v>1092.7</v>
      </c>
      <c r="E581" s="35">
        <v>44597</v>
      </c>
      <c r="F581" s="34">
        <v>1092.7</v>
      </c>
      <c r="G581" s="36">
        <f>Tabla13[[#This Row],[Importe]]-Tabla13[[#This Row],[Pagado]]</f>
        <v>0</v>
      </c>
      <c r="H581" s="38" t="s">
        <v>10</v>
      </c>
    </row>
    <row r="582" spans="1:8" x14ac:dyDescent="0.25">
      <c r="A582" s="31">
        <v>44597</v>
      </c>
      <c r="B582" s="37" t="s">
        <v>4264</v>
      </c>
      <c r="C582" s="38" t="s">
        <v>31</v>
      </c>
      <c r="D582" s="34">
        <v>504.7</v>
      </c>
      <c r="E582" s="35">
        <v>44597</v>
      </c>
      <c r="F582" s="34">
        <v>504.7</v>
      </c>
      <c r="G582" s="36">
        <f>Tabla13[[#This Row],[Importe]]-Tabla13[[#This Row],[Pagado]]</f>
        <v>0</v>
      </c>
      <c r="H582" s="38" t="s">
        <v>10</v>
      </c>
    </row>
    <row r="583" spans="1:8" x14ac:dyDescent="0.25">
      <c r="A583" s="31">
        <v>44597</v>
      </c>
      <c r="B583" s="37" t="s">
        <v>4265</v>
      </c>
      <c r="C583" s="38" t="s">
        <v>518</v>
      </c>
      <c r="D583" s="34">
        <v>902</v>
      </c>
      <c r="E583" s="35">
        <v>44597</v>
      </c>
      <c r="F583" s="34">
        <v>902</v>
      </c>
      <c r="G583" s="36">
        <f>Tabla13[[#This Row],[Importe]]-Tabla13[[#This Row],[Pagado]]</f>
        <v>0</v>
      </c>
      <c r="H583" s="38" t="s">
        <v>10</v>
      </c>
    </row>
    <row r="584" spans="1:8" x14ac:dyDescent="0.25">
      <c r="A584" s="31">
        <v>44597</v>
      </c>
      <c r="B584" s="37" t="s">
        <v>4266</v>
      </c>
      <c r="C584" s="38" t="s">
        <v>157</v>
      </c>
      <c r="D584" s="34">
        <v>3798</v>
      </c>
      <c r="E584" s="35">
        <v>44597</v>
      </c>
      <c r="F584" s="34">
        <v>3798</v>
      </c>
      <c r="G584" s="36">
        <f>Tabla13[[#This Row],[Importe]]-Tabla13[[#This Row],[Pagado]]</f>
        <v>0</v>
      </c>
      <c r="H584" s="38" t="s">
        <v>10</v>
      </c>
    </row>
    <row r="585" spans="1:8" x14ac:dyDescent="0.25">
      <c r="A585" s="31">
        <v>44597</v>
      </c>
      <c r="B585" s="37" t="s">
        <v>4267</v>
      </c>
      <c r="C585" s="38" t="s">
        <v>473</v>
      </c>
      <c r="D585" s="34">
        <v>3920.5</v>
      </c>
      <c r="E585" s="35">
        <v>44597</v>
      </c>
      <c r="F585" s="34">
        <v>3920.5</v>
      </c>
      <c r="G585" s="36">
        <f>Tabla13[[#This Row],[Importe]]-Tabla13[[#This Row],[Pagado]]</f>
        <v>0</v>
      </c>
      <c r="H585" s="38" t="s">
        <v>10</v>
      </c>
    </row>
    <row r="586" spans="1:8" x14ac:dyDescent="0.25">
      <c r="A586" s="31">
        <v>44597</v>
      </c>
      <c r="B586" s="37" t="s">
        <v>4268</v>
      </c>
      <c r="C586" s="38" t="s">
        <v>181</v>
      </c>
      <c r="D586" s="34">
        <v>16670</v>
      </c>
      <c r="E586" s="35">
        <v>44597</v>
      </c>
      <c r="F586" s="34">
        <v>16670</v>
      </c>
      <c r="G586" s="36">
        <f>Tabla13[[#This Row],[Importe]]-Tabla13[[#This Row],[Pagado]]</f>
        <v>0</v>
      </c>
      <c r="H586" s="38" t="s">
        <v>10</v>
      </c>
    </row>
    <row r="587" spans="1:8" x14ac:dyDescent="0.25">
      <c r="A587" s="31">
        <v>44597</v>
      </c>
      <c r="B587" s="37" t="s">
        <v>4269</v>
      </c>
      <c r="C587" s="38" t="s">
        <v>200</v>
      </c>
      <c r="D587" s="34">
        <v>960.4</v>
      </c>
      <c r="E587" s="35">
        <v>44597</v>
      </c>
      <c r="F587" s="34">
        <v>960.4</v>
      </c>
      <c r="G587" s="36">
        <f>Tabla13[[#This Row],[Importe]]-Tabla13[[#This Row],[Pagado]]</f>
        <v>0</v>
      </c>
      <c r="H587" s="38" t="s">
        <v>10</v>
      </c>
    </row>
    <row r="588" spans="1:8" x14ac:dyDescent="0.25">
      <c r="A588" s="31">
        <v>44597</v>
      </c>
      <c r="B588" s="37" t="s">
        <v>4270</v>
      </c>
      <c r="C588" s="38" t="s">
        <v>12</v>
      </c>
      <c r="D588" s="34">
        <v>2199</v>
      </c>
      <c r="E588" s="35">
        <v>44598</v>
      </c>
      <c r="F588" s="34">
        <v>2199</v>
      </c>
      <c r="G588" s="36">
        <f>Tabla13[[#This Row],[Importe]]-Tabla13[[#This Row],[Pagado]]</f>
        <v>0</v>
      </c>
      <c r="H588" s="38" t="s">
        <v>10</v>
      </c>
    </row>
    <row r="589" spans="1:8" x14ac:dyDescent="0.25">
      <c r="A589" s="31">
        <v>44597</v>
      </c>
      <c r="B589" s="37" t="s">
        <v>4271</v>
      </c>
      <c r="C589" s="38" t="s">
        <v>198</v>
      </c>
      <c r="D589" s="34">
        <v>2697.6</v>
      </c>
      <c r="E589" s="35">
        <v>44597</v>
      </c>
      <c r="F589" s="34">
        <v>2697.6</v>
      </c>
      <c r="G589" s="36">
        <f>Tabla13[[#This Row],[Importe]]-Tabla13[[#This Row],[Pagado]]</f>
        <v>0</v>
      </c>
      <c r="H589" s="38" t="s">
        <v>10</v>
      </c>
    </row>
    <row r="590" spans="1:8" x14ac:dyDescent="0.25">
      <c r="A590" s="31">
        <v>44597</v>
      </c>
      <c r="B590" s="37" t="s">
        <v>4272</v>
      </c>
      <c r="C590" s="38" t="s">
        <v>4273</v>
      </c>
      <c r="D590" s="34">
        <v>26500</v>
      </c>
      <c r="E590" s="35">
        <v>44597</v>
      </c>
      <c r="F590" s="34">
        <v>26500</v>
      </c>
      <c r="G590" s="36">
        <f>Tabla13[[#This Row],[Importe]]-Tabla13[[#This Row],[Pagado]]</f>
        <v>0</v>
      </c>
      <c r="H590" s="38" t="s">
        <v>10</v>
      </c>
    </row>
    <row r="591" spans="1:8" x14ac:dyDescent="0.25">
      <c r="A591" s="31">
        <v>44597</v>
      </c>
      <c r="B591" s="37" t="s">
        <v>4274</v>
      </c>
      <c r="C591" s="38" t="s">
        <v>3402</v>
      </c>
      <c r="D591" s="34">
        <v>1654.4</v>
      </c>
      <c r="E591" s="35">
        <v>44597</v>
      </c>
      <c r="F591" s="34">
        <v>1654.4</v>
      </c>
      <c r="G591" s="36">
        <f>Tabla13[[#This Row],[Importe]]-Tabla13[[#This Row],[Pagado]]</f>
        <v>0</v>
      </c>
      <c r="H591" s="38" t="s">
        <v>10</v>
      </c>
    </row>
    <row r="592" spans="1:8" x14ac:dyDescent="0.25">
      <c r="A592" s="31">
        <v>44597</v>
      </c>
      <c r="B592" s="37" t="s">
        <v>4275</v>
      </c>
      <c r="C592" s="38" t="s">
        <v>698</v>
      </c>
      <c r="D592" s="34">
        <v>3952.6</v>
      </c>
      <c r="E592" s="35">
        <v>44597</v>
      </c>
      <c r="F592" s="34">
        <v>3952.6</v>
      </c>
      <c r="G592" s="36">
        <f>Tabla13[[#This Row],[Importe]]-Tabla13[[#This Row],[Pagado]]</f>
        <v>0</v>
      </c>
      <c r="H592" s="38" t="s">
        <v>10</v>
      </c>
    </row>
    <row r="593" spans="1:8" x14ac:dyDescent="0.25">
      <c r="A593" s="31">
        <v>44597</v>
      </c>
      <c r="B593" s="37" t="s">
        <v>4276</v>
      </c>
      <c r="C593" s="38" t="s">
        <v>175</v>
      </c>
      <c r="D593" s="34">
        <v>16936.2</v>
      </c>
      <c r="E593" s="35">
        <v>44597</v>
      </c>
      <c r="F593" s="34">
        <v>16936.2</v>
      </c>
      <c r="G593" s="36">
        <f>Tabla13[[#This Row],[Importe]]-Tabla13[[#This Row],[Pagado]]</f>
        <v>0</v>
      </c>
      <c r="H593" s="38" t="s">
        <v>10</v>
      </c>
    </row>
    <row r="594" spans="1:8" x14ac:dyDescent="0.25">
      <c r="A594" s="31">
        <v>44597</v>
      </c>
      <c r="B594" s="37" t="s">
        <v>4277</v>
      </c>
      <c r="C594" s="38" t="s">
        <v>51</v>
      </c>
      <c r="D594" s="34">
        <v>4895.2</v>
      </c>
      <c r="E594" s="35">
        <v>44597</v>
      </c>
      <c r="F594" s="34">
        <v>4895.2</v>
      </c>
      <c r="G594" s="36">
        <f>Tabla13[[#This Row],[Importe]]-Tabla13[[#This Row],[Pagado]]</f>
        <v>0</v>
      </c>
      <c r="H594" s="38" t="s">
        <v>10</v>
      </c>
    </row>
    <row r="595" spans="1:8" x14ac:dyDescent="0.25">
      <c r="A595" s="31">
        <v>44597</v>
      </c>
      <c r="B595" s="37" t="s">
        <v>4278</v>
      </c>
      <c r="C595" s="38" t="s">
        <v>191</v>
      </c>
      <c r="D595" s="34">
        <v>12560.4</v>
      </c>
      <c r="E595" s="35">
        <v>44599</v>
      </c>
      <c r="F595" s="34">
        <v>12560.4</v>
      </c>
      <c r="G595" s="36">
        <f>Tabla13[[#This Row],[Importe]]-Tabla13[[#This Row],[Pagado]]</f>
        <v>0</v>
      </c>
      <c r="H595" s="38" t="s">
        <v>10</v>
      </c>
    </row>
    <row r="596" spans="1:8" x14ac:dyDescent="0.25">
      <c r="A596" s="31">
        <v>44597</v>
      </c>
      <c r="B596" s="37" t="s">
        <v>4279</v>
      </c>
      <c r="C596" s="38" t="s">
        <v>67</v>
      </c>
      <c r="D596" s="34">
        <v>1249.5</v>
      </c>
      <c r="E596" s="35">
        <v>44597</v>
      </c>
      <c r="F596" s="34">
        <v>1249.5</v>
      </c>
      <c r="G596" s="36">
        <f>Tabla13[[#This Row],[Importe]]-Tabla13[[#This Row],[Pagado]]</f>
        <v>0</v>
      </c>
      <c r="H596" s="38" t="s">
        <v>10</v>
      </c>
    </row>
    <row r="597" spans="1:8" x14ac:dyDescent="0.25">
      <c r="A597" s="31">
        <v>44597</v>
      </c>
      <c r="B597" s="37" t="s">
        <v>4280</v>
      </c>
      <c r="C597" s="38" t="s">
        <v>31</v>
      </c>
      <c r="D597" s="34">
        <v>1337.7</v>
      </c>
      <c r="E597" s="35">
        <v>44597</v>
      </c>
      <c r="F597" s="34">
        <v>1337.7</v>
      </c>
      <c r="G597" s="36">
        <f>Tabla13[[#This Row],[Importe]]-Tabla13[[#This Row],[Pagado]]</f>
        <v>0</v>
      </c>
      <c r="H597" s="38" t="s">
        <v>10</v>
      </c>
    </row>
    <row r="598" spans="1:8" x14ac:dyDescent="0.25">
      <c r="A598" s="31">
        <v>44597</v>
      </c>
      <c r="B598" s="37" t="s">
        <v>4281</v>
      </c>
      <c r="C598" s="38" t="s">
        <v>244</v>
      </c>
      <c r="D598" s="34">
        <v>1565.7</v>
      </c>
      <c r="E598" s="35">
        <v>44597</v>
      </c>
      <c r="F598" s="34">
        <v>1565.7</v>
      </c>
      <c r="G598" s="36">
        <f>Tabla13[[#This Row],[Importe]]-Tabla13[[#This Row],[Pagado]]</f>
        <v>0</v>
      </c>
      <c r="H598" s="38" t="s">
        <v>10</v>
      </c>
    </row>
    <row r="599" spans="1:8" x14ac:dyDescent="0.25">
      <c r="A599" s="31">
        <v>44597</v>
      </c>
      <c r="B599" s="37" t="s">
        <v>4282</v>
      </c>
      <c r="C599" s="38" t="s">
        <v>67</v>
      </c>
      <c r="D599" s="34">
        <v>1391.6</v>
      </c>
      <c r="E599" s="35">
        <v>44597</v>
      </c>
      <c r="F599" s="34">
        <v>1391.6</v>
      </c>
      <c r="G599" s="36">
        <f>Tabla13[[#This Row],[Importe]]-Tabla13[[#This Row],[Pagado]]</f>
        <v>0</v>
      </c>
      <c r="H599" s="38" t="s">
        <v>10</v>
      </c>
    </row>
    <row r="600" spans="1:8" x14ac:dyDescent="0.25">
      <c r="A600" s="31">
        <v>44597</v>
      </c>
      <c r="B600" s="37" t="s">
        <v>4283</v>
      </c>
      <c r="C600" s="38" t="s">
        <v>62</v>
      </c>
      <c r="D600" s="34">
        <v>3321.6</v>
      </c>
      <c r="E600" s="35">
        <v>44597</v>
      </c>
      <c r="F600" s="34">
        <v>3321.6</v>
      </c>
      <c r="G600" s="36">
        <f>Tabla13[[#This Row],[Importe]]-Tabla13[[#This Row],[Pagado]]</f>
        <v>0</v>
      </c>
      <c r="H600" s="38" t="s">
        <v>10</v>
      </c>
    </row>
    <row r="601" spans="1:8" x14ac:dyDescent="0.25">
      <c r="A601" s="31">
        <v>44597</v>
      </c>
      <c r="B601" s="37" t="s">
        <v>4284</v>
      </c>
      <c r="C601" s="38" t="s">
        <v>16</v>
      </c>
      <c r="D601" s="34">
        <v>1515.9</v>
      </c>
      <c r="E601" s="35">
        <v>44597</v>
      </c>
      <c r="F601" s="34">
        <v>1515.9</v>
      </c>
      <c r="G601" s="36">
        <f>Tabla13[[#This Row],[Importe]]-Tabla13[[#This Row],[Pagado]]</f>
        <v>0</v>
      </c>
      <c r="H601" s="38" t="s">
        <v>10</v>
      </c>
    </row>
    <row r="602" spans="1:8" x14ac:dyDescent="0.25">
      <c r="A602" s="31">
        <v>44597</v>
      </c>
      <c r="B602" s="37" t="s">
        <v>4285</v>
      </c>
      <c r="C602" s="38" t="s">
        <v>62</v>
      </c>
      <c r="D602" s="34">
        <v>907.2</v>
      </c>
      <c r="E602" s="35">
        <v>44597</v>
      </c>
      <c r="F602" s="34">
        <v>907.2</v>
      </c>
      <c r="G602" s="36">
        <f>Tabla13[[#This Row],[Importe]]-Tabla13[[#This Row],[Pagado]]</f>
        <v>0</v>
      </c>
      <c r="H602" s="38" t="s">
        <v>10</v>
      </c>
    </row>
    <row r="603" spans="1:8" x14ac:dyDescent="0.25">
      <c r="A603" s="31">
        <v>44597</v>
      </c>
      <c r="B603" s="37" t="s">
        <v>4286</v>
      </c>
      <c r="C603" s="38" t="s">
        <v>62</v>
      </c>
      <c r="D603" s="34">
        <v>947.6</v>
      </c>
      <c r="E603" s="35">
        <v>44597</v>
      </c>
      <c r="F603" s="34">
        <v>947.6</v>
      </c>
      <c r="G603" s="36">
        <f>Tabla13[[#This Row],[Importe]]-Tabla13[[#This Row],[Pagado]]</f>
        <v>0</v>
      </c>
      <c r="H603" s="38" t="s">
        <v>10</v>
      </c>
    </row>
    <row r="604" spans="1:8" x14ac:dyDescent="0.25">
      <c r="A604" s="31">
        <v>44597</v>
      </c>
      <c r="B604" s="37" t="s">
        <v>4287</v>
      </c>
      <c r="C604" s="38" t="s">
        <v>53</v>
      </c>
      <c r="D604" s="34">
        <v>1349</v>
      </c>
      <c r="E604" s="35">
        <v>44597</v>
      </c>
      <c r="F604" s="34">
        <v>1349</v>
      </c>
      <c r="G604" s="36">
        <f>Tabla13[[#This Row],[Importe]]-Tabla13[[#This Row],[Pagado]]</f>
        <v>0</v>
      </c>
      <c r="H604" s="38" t="s">
        <v>10</v>
      </c>
    </row>
    <row r="605" spans="1:8" x14ac:dyDescent="0.25">
      <c r="A605" s="31">
        <v>44597</v>
      </c>
      <c r="B605" s="37" t="s">
        <v>4288</v>
      </c>
      <c r="C605" s="38" t="s">
        <v>233</v>
      </c>
      <c r="D605" s="34">
        <v>4695.3</v>
      </c>
      <c r="E605" s="35">
        <v>44597</v>
      </c>
      <c r="F605" s="34">
        <v>4695.3</v>
      </c>
      <c r="G605" s="36">
        <f>Tabla13[[#This Row],[Importe]]-Tabla13[[#This Row],[Pagado]]</f>
        <v>0</v>
      </c>
      <c r="H605" s="38" t="s">
        <v>10</v>
      </c>
    </row>
    <row r="606" spans="1:8" x14ac:dyDescent="0.25">
      <c r="A606" s="31">
        <v>44597</v>
      </c>
      <c r="B606" s="37" t="s">
        <v>4289</v>
      </c>
      <c r="C606" s="38" t="s">
        <v>450</v>
      </c>
      <c r="D606" s="34">
        <v>3642</v>
      </c>
      <c r="E606" s="35">
        <v>44597</v>
      </c>
      <c r="F606" s="34">
        <v>3642</v>
      </c>
      <c r="G606" s="36">
        <f>Tabla13[[#This Row],[Importe]]-Tabla13[[#This Row],[Pagado]]</f>
        <v>0</v>
      </c>
      <c r="H606" s="38" t="s">
        <v>10</v>
      </c>
    </row>
    <row r="607" spans="1:8" x14ac:dyDescent="0.25">
      <c r="A607" s="31">
        <v>44597</v>
      </c>
      <c r="B607" s="37" t="s">
        <v>4290</v>
      </c>
      <c r="C607" s="38" t="s">
        <v>1174</v>
      </c>
      <c r="D607" s="34">
        <v>23922</v>
      </c>
      <c r="E607" s="35">
        <v>44597</v>
      </c>
      <c r="F607" s="34">
        <v>23922</v>
      </c>
      <c r="G607" s="36">
        <f>Tabla13[[#This Row],[Importe]]-Tabla13[[#This Row],[Pagado]]</f>
        <v>0</v>
      </c>
      <c r="H607" s="38" t="s">
        <v>10</v>
      </c>
    </row>
    <row r="608" spans="1:8" x14ac:dyDescent="0.25">
      <c r="A608" s="31">
        <v>44597</v>
      </c>
      <c r="B608" s="37" t="s">
        <v>4291</v>
      </c>
      <c r="C608" s="38" t="s">
        <v>9</v>
      </c>
      <c r="D608" s="34">
        <v>4092.1</v>
      </c>
      <c r="E608" s="35">
        <v>44597</v>
      </c>
      <c r="F608" s="34">
        <v>4092.1</v>
      </c>
      <c r="G608" s="36">
        <f>Tabla13[[#This Row],[Importe]]-Tabla13[[#This Row],[Pagado]]</f>
        <v>0</v>
      </c>
      <c r="H608" s="38" t="s">
        <v>10</v>
      </c>
    </row>
    <row r="609" spans="1:8" x14ac:dyDescent="0.25">
      <c r="A609" s="31">
        <v>44597</v>
      </c>
      <c r="B609" s="37" t="s">
        <v>4292</v>
      </c>
      <c r="C609" s="38" t="s">
        <v>22</v>
      </c>
      <c r="D609" s="34">
        <v>8297.7000000000007</v>
      </c>
      <c r="E609" s="35">
        <v>44598</v>
      </c>
      <c r="F609" s="34">
        <v>8297.7000000000007</v>
      </c>
      <c r="G609" s="36">
        <f>Tabla13[[#This Row],[Importe]]-Tabla13[[#This Row],[Pagado]]</f>
        <v>0</v>
      </c>
      <c r="H609" s="38" t="s">
        <v>10</v>
      </c>
    </row>
    <row r="610" spans="1:8" x14ac:dyDescent="0.25">
      <c r="A610" s="31">
        <v>44597</v>
      </c>
      <c r="B610" s="37" t="s">
        <v>4293</v>
      </c>
      <c r="C610" s="38" t="s">
        <v>555</v>
      </c>
      <c r="D610" s="34">
        <v>30016</v>
      </c>
      <c r="E610" s="35">
        <v>44597</v>
      </c>
      <c r="F610" s="34">
        <v>30016</v>
      </c>
      <c r="G610" s="36">
        <f>Tabla13[[#This Row],[Importe]]-Tabla13[[#This Row],[Pagado]]</f>
        <v>0</v>
      </c>
      <c r="H610" s="38" t="s">
        <v>10</v>
      </c>
    </row>
    <row r="611" spans="1:8" x14ac:dyDescent="0.25">
      <c r="A611" s="31">
        <v>44597</v>
      </c>
      <c r="B611" s="37" t="s">
        <v>4294</v>
      </c>
      <c r="C611" s="38" t="s">
        <v>371</v>
      </c>
      <c r="D611" s="34">
        <v>7273.7</v>
      </c>
      <c r="E611" s="35">
        <v>44597</v>
      </c>
      <c r="F611" s="34">
        <v>7273.7</v>
      </c>
      <c r="G611" s="36">
        <f>Tabla13[[#This Row],[Importe]]-Tabla13[[#This Row],[Pagado]]</f>
        <v>0</v>
      </c>
      <c r="H611" s="38" t="s">
        <v>10</v>
      </c>
    </row>
    <row r="612" spans="1:8" x14ac:dyDescent="0.25">
      <c r="A612" s="31">
        <v>44597</v>
      </c>
      <c r="B612" s="37" t="s">
        <v>4295</v>
      </c>
      <c r="C612" s="38" t="s">
        <v>191</v>
      </c>
      <c r="D612" s="34">
        <v>496.8</v>
      </c>
      <c r="E612" s="35">
        <v>44597</v>
      </c>
      <c r="F612" s="34">
        <v>496.8</v>
      </c>
      <c r="G612" s="36">
        <f>Tabla13[[#This Row],[Importe]]-Tabla13[[#This Row],[Pagado]]</f>
        <v>0</v>
      </c>
      <c r="H612" s="38" t="s">
        <v>10</v>
      </c>
    </row>
    <row r="613" spans="1:8" x14ac:dyDescent="0.25">
      <c r="A613" s="31">
        <v>44597</v>
      </c>
      <c r="B613" s="37" t="s">
        <v>4296</v>
      </c>
      <c r="C613" s="38" t="s">
        <v>934</v>
      </c>
      <c r="D613" s="34">
        <v>3159.84</v>
      </c>
      <c r="E613" s="35">
        <v>44597</v>
      </c>
      <c r="F613" s="34">
        <v>3159.84</v>
      </c>
      <c r="G613" s="36">
        <f>Tabla13[[#This Row],[Importe]]-Tabla13[[#This Row],[Pagado]]</f>
        <v>0</v>
      </c>
      <c r="H613" s="38" t="s">
        <v>10</v>
      </c>
    </row>
    <row r="614" spans="1:8" x14ac:dyDescent="0.25">
      <c r="A614" s="31">
        <v>44597</v>
      </c>
      <c r="B614" s="37" t="s">
        <v>4297</v>
      </c>
      <c r="C614" s="38" t="s">
        <v>414</v>
      </c>
      <c r="D614" s="34">
        <v>9883.2999999999993</v>
      </c>
      <c r="E614" s="35">
        <v>44597</v>
      </c>
      <c r="F614" s="34">
        <v>9883.2999999999993</v>
      </c>
      <c r="G614" s="36">
        <f>Tabla13[[#This Row],[Importe]]-Tabla13[[#This Row],[Pagado]]</f>
        <v>0</v>
      </c>
      <c r="H614" s="38" t="s">
        <v>10</v>
      </c>
    </row>
    <row r="615" spans="1:8" x14ac:dyDescent="0.25">
      <c r="A615" s="31">
        <v>44597</v>
      </c>
      <c r="B615" s="37" t="s">
        <v>4298</v>
      </c>
      <c r="C615" s="38" t="s">
        <v>49</v>
      </c>
      <c r="D615" s="34">
        <v>3651.4</v>
      </c>
      <c r="E615" s="35">
        <v>44597</v>
      </c>
      <c r="F615" s="34">
        <v>3651.4</v>
      </c>
      <c r="G615" s="36">
        <f>Tabla13[[#This Row],[Importe]]-Tabla13[[#This Row],[Pagado]]</f>
        <v>0</v>
      </c>
      <c r="H615" s="38" t="s">
        <v>10</v>
      </c>
    </row>
    <row r="616" spans="1:8" x14ac:dyDescent="0.25">
      <c r="A616" s="31">
        <v>44597</v>
      </c>
      <c r="B616" s="37" t="s">
        <v>4299</v>
      </c>
      <c r="C616" s="38" t="s">
        <v>371</v>
      </c>
      <c r="D616" s="34">
        <v>1196</v>
      </c>
      <c r="E616" s="35">
        <v>44597</v>
      </c>
      <c r="F616" s="34">
        <v>1196</v>
      </c>
      <c r="G616" s="36">
        <f>Tabla13[[#This Row],[Importe]]-Tabla13[[#This Row],[Pagado]]</f>
        <v>0</v>
      </c>
      <c r="H616" s="38" t="s">
        <v>10</v>
      </c>
    </row>
    <row r="617" spans="1:8" ht="31.5" x14ac:dyDescent="0.25">
      <c r="A617" s="31">
        <v>44597</v>
      </c>
      <c r="B617" s="37" t="s">
        <v>4300</v>
      </c>
      <c r="C617" s="41" t="s">
        <v>4301</v>
      </c>
      <c r="D617" s="34">
        <v>0</v>
      </c>
      <c r="E617" s="39" t="s">
        <v>189</v>
      </c>
      <c r="F617" s="34">
        <v>0</v>
      </c>
      <c r="G617" s="36">
        <f>Tabla13[[#This Row],[Importe]]-Tabla13[[#This Row],[Pagado]]</f>
        <v>0</v>
      </c>
      <c r="H617" s="40" t="s">
        <v>4302</v>
      </c>
    </row>
    <row r="618" spans="1:8" x14ac:dyDescent="0.25">
      <c r="A618" s="31">
        <v>44597</v>
      </c>
      <c r="B618" s="37" t="s">
        <v>4303</v>
      </c>
      <c r="C618" s="38" t="s">
        <v>196</v>
      </c>
      <c r="D618" s="34">
        <v>34446.5</v>
      </c>
      <c r="E618" s="35">
        <v>44603</v>
      </c>
      <c r="F618" s="34">
        <v>34446.5</v>
      </c>
      <c r="G618" s="36">
        <f>Tabla13[[#This Row],[Importe]]-Tabla13[[#This Row],[Pagado]]</f>
        <v>0</v>
      </c>
      <c r="H618" s="38" t="s">
        <v>10</v>
      </c>
    </row>
    <row r="619" spans="1:8" x14ac:dyDescent="0.25">
      <c r="A619" s="31">
        <v>44597</v>
      </c>
      <c r="B619" s="37" t="s">
        <v>4304</v>
      </c>
      <c r="C619" s="38" t="s">
        <v>58</v>
      </c>
      <c r="D619" s="34">
        <v>4669.5</v>
      </c>
      <c r="E619" s="35">
        <v>44597</v>
      </c>
      <c r="F619" s="34">
        <v>4669.5</v>
      </c>
      <c r="G619" s="36">
        <f>Tabla13[[#This Row],[Importe]]-Tabla13[[#This Row],[Pagado]]</f>
        <v>0</v>
      </c>
      <c r="H619" s="38" t="s">
        <v>10</v>
      </c>
    </row>
    <row r="620" spans="1:8" x14ac:dyDescent="0.25">
      <c r="A620" s="31">
        <v>44597</v>
      </c>
      <c r="B620" s="37" t="s">
        <v>4305</v>
      </c>
      <c r="C620" s="38" t="s">
        <v>196</v>
      </c>
      <c r="D620" s="34">
        <v>105739.83</v>
      </c>
      <c r="E620" s="35">
        <v>44603</v>
      </c>
      <c r="F620" s="34">
        <v>105739.83</v>
      </c>
      <c r="G620" s="36">
        <f>Tabla13[[#This Row],[Importe]]-Tabla13[[#This Row],[Pagado]]</f>
        <v>0</v>
      </c>
      <c r="H620" s="38" t="s">
        <v>10</v>
      </c>
    </row>
    <row r="621" spans="1:8" x14ac:dyDescent="0.25">
      <c r="A621" s="31">
        <v>44597</v>
      </c>
      <c r="B621" s="37" t="s">
        <v>4306</v>
      </c>
      <c r="C621" s="38" t="s">
        <v>1008</v>
      </c>
      <c r="D621" s="34">
        <v>2031.5</v>
      </c>
      <c r="E621" s="35">
        <v>44597</v>
      </c>
      <c r="F621" s="34">
        <v>2031.5</v>
      </c>
      <c r="G621" s="36">
        <f>Tabla13[[#This Row],[Importe]]-Tabla13[[#This Row],[Pagado]]</f>
        <v>0</v>
      </c>
      <c r="H621" s="38" t="s">
        <v>10</v>
      </c>
    </row>
    <row r="622" spans="1:8" x14ac:dyDescent="0.25">
      <c r="A622" s="31">
        <v>44597</v>
      </c>
      <c r="B622" s="37" t="s">
        <v>4307</v>
      </c>
      <c r="C622" s="38" t="s">
        <v>31</v>
      </c>
      <c r="D622" s="34">
        <v>274.39999999999998</v>
      </c>
      <c r="E622" s="35">
        <v>44597</v>
      </c>
      <c r="F622" s="34">
        <v>274.39999999999998</v>
      </c>
      <c r="G622" s="36">
        <f>Tabla13[[#This Row],[Importe]]-Tabla13[[#This Row],[Pagado]]</f>
        <v>0</v>
      </c>
      <c r="H622" s="38" t="s">
        <v>10</v>
      </c>
    </row>
    <row r="623" spans="1:8" x14ac:dyDescent="0.25">
      <c r="A623" s="31">
        <v>44597</v>
      </c>
      <c r="B623" s="37" t="s">
        <v>4308</v>
      </c>
      <c r="C623" s="38" t="s">
        <v>142</v>
      </c>
      <c r="D623" s="34">
        <v>2476.5</v>
      </c>
      <c r="E623" s="35">
        <v>44617</v>
      </c>
      <c r="F623" s="34">
        <v>2476.5</v>
      </c>
      <c r="G623" s="36">
        <f>Tabla13[[#This Row],[Importe]]-Tabla13[[#This Row],[Pagado]]</f>
        <v>0</v>
      </c>
      <c r="H623" s="38" t="s">
        <v>10</v>
      </c>
    </row>
    <row r="624" spans="1:8" x14ac:dyDescent="0.25">
      <c r="A624" s="31">
        <v>44597</v>
      </c>
      <c r="B624" s="37" t="s">
        <v>4309</v>
      </c>
      <c r="C624" s="38" t="s">
        <v>4310</v>
      </c>
      <c r="D624" s="34">
        <v>0</v>
      </c>
      <c r="E624" s="39" t="s">
        <v>189</v>
      </c>
      <c r="F624" s="34">
        <v>0</v>
      </c>
      <c r="G624" s="36">
        <f>Tabla13[[#This Row],[Importe]]-Tabla13[[#This Row],[Pagado]]</f>
        <v>0</v>
      </c>
      <c r="H624" s="38" t="s">
        <v>189</v>
      </c>
    </row>
    <row r="625" spans="1:8" x14ac:dyDescent="0.25">
      <c r="A625" s="31">
        <v>44597</v>
      </c>
      <c r="B625" s="37" t="s">
        <v>4311</v>
      </c>
      <c r="C625" s="38" t="s">
        <v>24</v>
      </c>
      <c r="D625" s="34">
        <v>653.6</v>
      </c>
      <c r="E625" s="35">
        <v>44597</v>
      </c>
      <c r="F625" s="34">
        <v>653.6</v>
      </c>
      <c r="G625" s="36">
        <f>Tabla13[[#This Row],[Importe]]-Tabla13[[#This Row],[Pagado]]</f>
        <v>0</v>
      </c>
      <c r="H625" s="38" t="s">
        <v>10</v>
      </c>
    </row>
    <row r="626" spans="1:8" x14ac:dyDescent="0.25">
      <c r="A626" s="31">
        <v>44597</v>
      </c>
      <c r="B626" s="37" t="s">
        <v>4312</v>
      </c>
      <c r="C626" s="38" t="s">
        <v>31</v>
      </c>
      <c r="D626" s="34">
        <v>910</v>
      </c>
      <c r="E626" s="35">
        <v>44597</v>
      </c>
      <c r="F626" s="34">
        <v>910</v>
      </c>
      <c r="G626" s="36">
        <f>Tabla13[[#This Row],[Importe]]-Tabla13[[#This Row],[Pagado]]</f>
        <v>0</v>
      </c>
      <c r="H626" s="38" t="s">
        <v>10</v>
      </c>
    </row>
    <row r="627" spans="1:8" x14ac:dyDescent="0.25">
      <c r="A627" s="31">
        <v>44597</v>
      </c>
      <c r="B627" s="37" t="s">
        <v>4313</v>
      </c>
      <c r="C627" s="38" t="s">
        <v>4136</v>
      </c>
      <c r="D627" s="34">
        <v>2854</v>
      </c>
      <c r="E627" s="35">
        <v>44597</v>
      </c>
      <c r="F627" s="34">
        <v>2854</v>
      </c>
      <c r="G627" s="36">
        <f>Tabla13[[#This Row],[Importe]]-Tabla13[[#This Row],[Pagado]]</f>
        <v>0</v>
      </c>
      <c r="H627" s="38" t="s">
        <v>10</v>
      </c>
    </row>
    <row r="628" spans="1:8" x14ac:dyDescent="0.25">
      <c r="A628" s="31">
        <v>44597</v>
      </c>
      <c r="B628" s="37" t="s">
        <v>4314</v>
      </c>
      <c r="C628" s="38" t="s">
        <v>16</v>
      </c>
      <c r="D628" s="34">
        <v>465.5</v>
      </c>
      <c r="E628" s="35">
        <v>44597</v>
      </c>
      <c r="F628" s="34">
        <v>465.5</v>
      </c>
      <c r="G628" s="36">
        <f>Tabla13[[#This Row],[Importe]]-Tabla13[[#This Row],[Pagado]]</f>
        <v>0</v>
      </c>
      <c r="H628" s="38" t="s">
        <v>10</v>
      </c>
    </row>
    <row r="629" spans="1:8" x14ac:dyDescent="0.25">
      <c r="A629" s="31">
        <v>44597</v>
      </c>
      <c r="B629" s="37" t="s">
        <v>4315</v>
      </c>
      <c r="C629" s="38" t="s">
        <v>27</v>
      </c>
      <c r="D629" s="34">
        <v>2588.8000000000002</v>
      </c>
      <c r="E629" s="35">
        <v>44597</v>
      </c>
      <c r="F629" s="34">
        <v>2588.8000000000002</v>
      </c>
      <c r="G629" s="36">
        <f>Tabla13[[#This Row],[Importe]]-Tabla13[[#This Row],[Pagado]]</f>
        <v>0</v>
      </c>
      <c r="H629" s="38" t="s">
        <v>10</v>
      </c>
    </row>
    <row r="630" spans="1:8" x14ac:dyDescent="0.25">
      <c r="A630" s="31">
        <v>44597</v>
      </c>
      <c r="B630" s="37" t="s">
        <v>4316</v>
      </c>
      <c r="C630" s="38" t="s">
        <v>4317</v>
      </c>
      <c r="D630" s="34">
        <v>0</v>
      </c>
      <c r="E630" s="39" t="s">
        <v>189</v>
      </c>
      <c r="F630" s="34">
        <v>0</v>
      </c>
      <c r="G630" s="36">
        <f>Tabla13[[#This Row],[Importe]]-Tabla13[[#This Row],[Pagado]]</f>
        <v>0</v>
      </c>
      <c r="H630" s="38" t="s">
        <v>189</v>
      </c>
    </row>
    <row r="631" spans="1:8" x14ac:dyDescent="0.25">
      <c r="A631" s="31">
        <v>44597</v>
      </c>
      <c r="B631" s="37" t="s">
        <v>4318</v>
      </c>
      <c r="C631" s="38" t="s">
        <v>857</v>
      </c>
      <c r="D631" s="34">
        <v>1696</v>
      </c>
      <c r="E631" s="35">
        <v>44597</v>
      </c>
      <c r="F631" s="34">
        <v>1696</v>
      </c>
      <c r="G631" s="36">
        <f>Tabla13[[#This Row],[Importe]]-Tabla13[[#This Row],[Pagado]]</f>
        <v>0</v>
      </c>
      <c r="H631" s="38" t="s">
        <v>10</v>
      </c>
    </row>
    <row r="632" spans="1:8" x14ac:dyDescent="0.25">
      <c r="A632" s="31">
        <v>44597</v>
      </c>
      <c r="B632" s="37" t="s">
        <v>4319</v>
      </c>
      <c r="C632" s="38" t="s">
        <v>191</v>
      </c>
      <c r="D632" s="34">
        <v>745.2</v>
      </c>
      <c r="E632" s="35">
        <v>44597</v>
      </c>
      <c r="F632" s="34">
        <v>745.2</v>
      </c>
      <c r="G632" s="36">
        <f>Tabla13[[#This Row],[Importe]]-Tabla13[[#This Row],[Pagado]]</f>
        <v>0</v>
      </c>
      <c r="H632" s="38" t="s">
        <v>10</v>
      </c>
    </row>
    <row r="633" spans="1:8" x14ac:dyDescent="0.25">
      <c r="A633" s="31">
        <v>44597</v>
      </c>
      <c r="B633" s="37" t="s">
        <v>4320</v>
      </c>
      <c r="C633" s="38" t="s">
        <v>1706</v>
      </c>
      <c r="D633" s="34">
        <v>6211.2</v>
      </c>
      <c r="E633" s="35">
        <v>44597</v>
      </c>
      <c r="F633" s="34">
        <v>6211.2</v>
      </c>
      <c r="G633" s="36">
        <f>Tabla13[[#This Row],[Importe]]-Tabla13[[#This Row],[Pagado]]</f>
        <v>0</v>
      </c>
      <c r="H633" s="38" t="s">
        <v>10</v>
      </c>
    </row>
    <row r="634" spans="1:8" x14ac:dyDescent="0.25">
      <c r="A634" s="31">
        <v>44597</v>
      </c>
      <c r="B634" s="37" t="s">
        <v>4321</v>
      </c>
      <c r="C634" s="38" t="s">
        <v>475</v>
      </c>
      <c r="D634" s="34">
        <v>25943.7</v>
      </c>
      <c r="E634" s="35">
        <v>44599</v>
      </c>
      <c r="F634" s="34">
        <v>25943.7</v>
      </c>
      <c r="G634" s="36">
        <f>Tabla13[[#This Row],[Importe]]-Tabla13[[#This Row],[Pagado]]</f>
        <v>0</v>
      </c>
      <c r="H634" s="38" t="s">
        <v>10</v>
      </c>
    </row>
    <row r="635" spans="1:8" x14ac:dyDescent="0.25">
      <c r="A635" s="31">
        <v>44597</v>
      </c>
      <c r="B635" s="37" t="s">
        <v>4322</v>
      </c>
      <c r="C635" s="38" t="s">
        <v>31</v>
      </c>
      <c r="D635" s="34">
        <v>2345</v>
      </c>
      <c r="E635" s="35">
        <v>44597</v>
      </c>
      <c r="F635" s="34">
        <v>2345</v>
      </c>
      <c r="G635" s="36">
        <f>Tabla13[[#This Row],[Importe]]-Tabla13[[#This Row],[Pagado]]</f>
        <v>0</v>
      </c>
      <c r="H635" s="38" t="s">
        <v>10</v>
      </c>
    </row>
    <row r="636" spans="1:8" x14ac:dyDescent="0.25">
      <c r="A636" s="31">
        <v>44597</v>
      </c>
      <c r="B636" s="37" t="s">
        <v>4323</v>
      </c>
      <c r="C636" s="38" t="s">
        <v>518</v>
      </c>
      <c r="D636" s="34">
        <v>2081.8000000000002</v>
      </c>
      <c r="E636" s="35">
        <v>44597</v>
      </c>
      <c r="F636" s="34">
        <v>2081.8000000000002</v>
      </c>
      <c r="G636" s="36">
        <f>Tabla13[[#This Row],[Importe]]-Tabla13[[#This Row],[Pagado]]</f>
        <v>0</v>
      </c>
      <c r="H636" s="38" t="s">
        <v>10</v>
      </c>
    </row>
    <row r="637" spans="1:8" x14ac:dyDescent="0.25">
      <c r="A637" s="31">
        <v>44597</v>
      </c>
      <c r="B637" s="37" t="s">
        <v>4324</v>
      </c>
      <c r="C637" s="38" t="s">
        <v>520</v>
      </c>
      <c r="D637" s="34">
        <v>3695.8</v>
      </c>
      <c r="E637" s="35">
        <v>44599</v>
      </c>
      <c r="F637" s="34">
        <v>3695.8</v>
      </c>
      <c r="G637" s="36">
        <f>Tabla13[[#This Row],[Importe]]-Tabla13[[#This Row],[Pagado]]</f>
        <v>0</v>
      </c>
      <c r="H637" s="38" t="s">
        <v>10</v>
      </c>
    </row>
    <row r="638" spans="1:8" x14ac:dyDescent="0.25">
      <c r="A638" s="31">
        <v>44597</v>
      </c>
      <c r="B638" s="37" t="s">
        <v>4325</v>
      </c>
      <c r="C638" s="38" t="s">
        <v>525</v>
      </c>
      <c r="D638" s="34">
        <v>3880.1</v>
      </c>
      <c r="E638" s="35">
        <v>44599</v>
      </c>
      <c r="F638" s="34">
        <v>3880.1</v>
      </c>
      <c r="G638" s="36">
        <f>Tabla13[[#This Row],[Importe]]-Tabla13[[#This Row],[Pagado]]</f>
        <v>0</v>
      </c>
      <c r="H638" s="38" t="s">
        <v>10</v>
      </c>
    </row>
    <row r="639" spans="1:8" x14ac:dyDescent="0.25">
      <c r="A639" s="31">
        <v>44597</v>
      </c>
      <c r="B639" s="37" t="s">
        <v>4326</v>
      </c>
      <c r="C639" s="38" t="s">
        <v>459</v>
      </c>
      <c r="D639" s="34">
        <v>213</v>
      </c>
      <c r="E639" s="35">
        <v>44597</v>
      </c>
      <c r="F639" s="34">
        <v>213</v>
      </c>
      <c r="G639" s="36">
        <f>Tabla13[[#This Row],[Importe]]-Tabla13[[#This Row],[Pagado]]</f>
        <v>0</v>
      </c>
      <c r="H639" s="38" t="s">
        <v>10</v>
      </c>
    </row>
    <row r="640" spans="1:8" x14ac:dyDescent="0.25">
      <c r="A640" s="31">
        <v>44597</v>
      </c>
      <c r="B640" s="37" t="s">
        <v>4327</v>
      </c>
      <c r="C640" s="38" t="s">
        <v>457</v>
      </c>
      <c r="D640" s="34">
        <v>198</v>
      </c>
      <c r="E640" s="35">
        <v>44597</v>
      </c>
      <c r="F640" s="34">
        <v>198</v>
      </c>
      <c r="G640" s="36">
        <f>Tabla13[[#This Row],[Importe]]-Tabla13[[#This Row],[Pagado]]</f>
        <v>0</v>
      </c>
      <c r="H640" s="38" t="s">
        <v>10</v>
      </c>
    </row>
    <row r="641" spans="1:8" x14ac:dyDescent="0.25">
      <c r="A641" s="31">
        <v>44597</v>
      </c>
      <c r="B641" s="37" t="s">
        <v>4328</v>
      </c>
      <c r="C641" s="38" t="s">
        <v>461</v>
      </c>
      <c r="D641" s="34">
        <v>394</v>
      </c>
      <c r="E641" s="35">
        <v>44597</v>
      </c>
      <c r="F641" s="34">
        <v>394</v>
      </c>
      <c r="G641" s="36">
        <f>Tabla13[[#This Row],[Importe]]-Tabla13[[#This Row],[Pagado]]</f>
        <v>0</v>
      </c>
      <c r="H641" s="38" t="s">
        <v>10</v>
      </c>
    </row>
    <row r="642" spans="1:8" x14ac:dyDescent="0.25">
      <c r="A642" s="31">
        <v>44597</v>
      </c>
      <c r="B642" s="37" t="s">
        <v>4329</v>
      </c>
      <c r="C642" s="38" t="s">
        <v>463</v>
      </c>
      <c r="D642" s="34">
        <v>550</v>
      </c>
      <c r="E642" s="35">
        <v>44598</v>
      </c>
      <c r="F642" s="34">
        <v>550</v>
      </c>
      <c r="G642" s="36">
        <f>Tabla13[[#This Row],[Importe]]-Tabla13[[#This Row],[Pagado]]</f>
        <v>0</v>
      </c>
      <c r="H642" s="38" t="s">
        <v>10</v>
      </c>
    </row>
    <row r="643" spans="1:8" x14ac:dyDescent="0.25">
      <c r="A643" s="31">
        <v>44597</v>
      </c>
      <c r="B643" s="37" t="s">
        <v>4330</v>
      </c>
      <c r="C643" s="38" t="s">
        <v>282</v>
      </c>
      <c r="D643" s="34">
        <v>5105.8</v>
      </c>
      <c r="E643" s="35">
        <v>44599</v>
      </c>
      <c r="F643" s="34">
        <v>5105.8</v>
      </c>
      <c r="G643" s="36">
        <f>Tabla13[[#This Row],[Importe]]-Tabla13[[#This Row],[Pagado]]</f>
        <v>0</v>
      </c>
      <c r="H643" s="38" t="s">
        <v>10</v>
      </c>
    </row>
    <row r="644" spans="1:8" x14ac:dyDescent="0.25">
      <c r="A644" s="31">
        <v>44597</v>
      </c>
      <c r="B644" s="37" t="s">
        <v>4331</v>
      </c>
      <c r="C644" s="38" t="s">
        <v>431</v>
      </c>
      <c r="D644" s="34">
        <v>490</v>
      </c>
      <c r="E644" s="35">
        <v>44599</v>
      </c>
      <c r="F644" s="34">
        <v>490</v>
      </c>
      <c r="G644" s="36">
        <f>Tabla13[[#This Row],[Importe]]-Tabla13[[#This Row],[Pagado]]</f>
        <v>0</v>
      </c>
      <c r="H644" s="38" t="s">
        <v>10</v>
      </c>
    </row>
    <row r="645" spans="1:8" x14ac:dyDescent="0.25">
      <c r="A645" s="31">
        <v>44597</v>
      </c>
      <c r="B645" s="37" t="s">
        <v>4332</v>
      </c>
      <c r="C645" s="38" t="s">
        <v>284</v>
      </c>
      <c r="D645" s="34">
        <v>9996</v>
      </c>
      <c r="E645" s="35">
        <v>44599</v>
      </c>
      <c r="F645" s="34">
        <v>9996</v>
      </c>
      <c r="G645" s="36">
        <f>Tabla13[[#This Row],[Importe]]-Tabla13[[#This Row],[Pagado]]</f>
        <v>0</v>
      </c>
      <c r="H645" s="38" t="s">
        <v>10</v>
      </c>
    </row>
    <row r="646" spans="1:8" x14ac:dyDescent="0.25">
      <c r="A646" s="31">
        <v>44597</v>
      </c>
      <c r="B646" s="37" t="s">
        <v>4333</v>
      </c>
      <c r="C646" s="38" t="s">
        <v>280</v>
      </c>
      <c r="D646" s="34">
        <v>2126.6</v>
      </c>
      <c r="E646" s="35">
        <v>44599</v>
      </c>
      <c r="F646" s="34">
        <v>2126.6</v>
      </c>
      <c r="G646" s="36">
        <f>Tabla13[[#This Row],[Importe]]-Tabla13[[#This Row],[Pagado]]</f>
        <v>0</v>
      </c>
      <c r="H646" s="38" t="s">
        <v>10</v>
      </c>
    </row>
    <row r="647" spans="1:8" x14ac:dyDescent="0.25">
      <c r="A647" s="31">
        <v>44597</v>
      </c>
      <c r="B647" s="37" t="s">
        <v>4334</v>
      </c>
      <c r="C647" s="38" t="s">
        <v>31</v>
      </c>
      <c r="D647" s="34">
        <v>292.39999999999998</v>
      </c>
      <c r="E647" s="35">
        <v>44597</v>
      </c>
      <c r="F647" s="34">
        <v>292.39999999999998</v>
      </c>
      <c r="G647" s="36">
        <f>Tabla13[[#This Row],[Importe]]-Tabla13[[#This Row],[Pagado]]</f>
        <v>0</v>
      </c>
      <c r="H647" s="38" t="s">
        <v>10</v>
      </c>
    </row>
    <row r="648" spans="1:8" x14ac:dyDescent="0.25">
      <c r="A648" s="31">
        <v>44597</v>
      </c>
      <c r="B648" s="37" t="s">
        <v>4335</v>
      </c>
      <c r="C648" s="38" t="s">
        <v>31</v>
      </c>
      <c r="D648" s="34">
        <v>907.8</v>
      </c>
      <c r="E648" s="35">
        <v>44598</v>
      </c>
      <c r="F648" s="34">
        <v>907.8</v>
      </c>
      <c r="G648" s="36">
        <f>Tabla13[[#This Row],[Importe]]-Tabla13[[#This Row],[Pagado]]</f>
        <v>0</v>
      </c>
      <c r="H648" s="38" t="s">
        <v>10</v>
      </c>
    </row>
    <row r="649" spans="1:8" x14ac:dyDescent="0.25">
      <c r="A649" s="31">
        <v>44597</v>
      </c>
      <c r="B649" s="37" t="s">
        <v>4336</v>
      </c>
      <c r="C649" s="38" t="s">
        <v>31</v>
      </c>
      <c r="D649" s="34">
        <v>784</v>
      </c>
      <c r="E649" s="35">
        <v>44598</v>
      </c>
      <c r="F649" s="34">
        <v>784</v>
      </c>
      <c r="G649" s="36">
        <f>Tabla13[[#This Row],[Importe]]-Tabla13[[#This Row],[Pagado]]</f>
        <v>0</v>
      </c>
      <c r="H649" s="38" t="s">
        <v>10</v>
      </c>
    </row>
    <row r="650" spans="1:8" x14ac:dyDescent="0.25">
      <c r="A650" s="31">
        <v>44597</v>
      </c>
      <c r="B650" s="37" t="s">
        <v>4337</v>
      </c>
      <c r="C650" s="38" t="s">
        <v>31</v>
      </c>
      <c r="D650" s="34">
        <v>67.2</v>
      </c>
      <c r="E650" s="35">
        <v>44598</v>
      </c>
      <c r="F650" s="34">
        <v>67.2</v>
      </c>
      <c r="G650" s="36">
        <f>Tabla13[[#This Row],[Importe]]-Tabla13[[#This Row],[Pagado]]</f>
        <v>0</v>
      </c>
      <c r="H650" s="38" t="s">
        <v>10</v>
      </c>
    </row>
    <row r="651" spans="1:8" x14ac:dyDescent="0.25">
      <c r="A651" s="31">
        <v>44597</v>
      </c>
      <c r="B651" s="37" t="s">
        <v>4338</v>
      </c>
      <c r="C651" s="38" t="s">
        <v>31</v>
      </c>
      <c r="D651" s="34">
        <v>80</v>
      </c>
      <c r="E651" s="35">
        <v>44598</v>
      </c>
      <c r="F651" s="34">
        <v>80</v>
      </c>
      <c r="G651" s="36">
        <f>Tabla13[[#This Row],[Importe]]-Tabla13[[#This Row],[Pagado]]</f>
        <v>0</v>
      </c>
      <c r="H651" s="38" t="s">
        <v>10</v>
      </c>
    </row>
    <row r="652" spans="1:8" x14ac:dyDescent="0.25">
      <c r="A652" s="31">
        <v>44597</v>
      </c>
      <c r="B652" s="37" t="s">
        <v>4339</v>
      </c>
      <c r="C652" s="38" t="s">
        <v>273</v>
      </c>
      <c r="D652" s="34">
        <v>3751.8</v>
      </c>
      <c r="E652" s="35">
        <v>44598</v>
      </c>
      <c r="F652" s="34">
        <v>3751.8</v>
      </c>
      <c r="G652" s="36">
        <f>Tabla13[[#This Row],[Importe]]-Tabla13[[#This Row],[Pagado]]</f>
        <v>0</v>
      </c>
      <c r="H652" s="38" t="s">
        <v>10</v>
      </c>
    </row>
    <row r="653" spans="1:8" ht="31.5" x14ac:dyDescent="0.25">
      <c r="A653" s="31">
        <v>44597</v>
      </c>
      <c r="B653" s="37" t="s">
        <v>4340</v>
      </c>
      <c r="C653" s="41" t="s">
        <v>4341</v>
      </c>
      <c r="D653" s="34">
        <v>0</v>
      </c>
      <c r="E653" s="39" t="s">
        <v>189</v>
      </c>
      <c r="F653" s="34">
        <v>0</v>
      </c>
      <c r="G653" s="36">
        <f>Tabla13[[#This Row],[Importe]]-Tabla13[[#This Row],[Pagado]]</f>
        <v>0</v>
      </c>
      <c r="H653" s="38" t="s">
        <v>189</v>
      </c>
    </row>
    <row r="654" spans="1:8" x14ac:dyDescent="0.25">
      <c r="A654" s="31">
        <v>44597</v>
      </c>
      <c r="B654" s="37" t="s">
        <v>4342</v>
      </c>
      <c r="C654" s="38" t="s">
        <v>31</v>
      </c>
      <c r="D654" s="34">
        <v>68</v>
      </c>
      <c r="E654" s="35">
        <v>44598</v>
      </c>
      <c r="F654" s="34">
        <v>68</v>
      </c>
      <c r="G654" s="36">
        <f>Tabla13[[#This Row],[Importe]]-Tabla13[[#This Row],[Pagado]]</f>
        <v>0</v>
      </c>
      <c r="H654" s="38" t="s">
        <v>10</v>
      </c>
    </row>
    <row r="655" spans="1:8" x14ac:dyDescent="0.25">
      <c r="A655" s="31">
        <v>44598</v>
      </c>
      <c r="B655" s="37" t="s">
        <v>4343</v>
      </c>
      <c r="C655" s="38" t="s">
        <v>224</v>
      </c>
      <c r="D655" s="34">
        <v>2253.8000000000002</v>
      </c>
      <c r="E655" s="35">
        <v>44598</v>
      </c>
      <c r="F655" s="34">
        <v>2253.8000000000002</v>
      </c>
      <c r="G655" s="36">
        <f>Tabla13[[#This Row],[Importe]]-Tabla13[[#This Row],[Pagado]]</f>
        <v>0</v>
      </c>
      <c r="H655" s="38" t="s">
        <v>10</v>
      </c>
    </row>
    <row r="656" spans="1:8" x14ac:dyDescent="0.25">
      <c r="A656" s="31">
        <v>44598</v>
      </c>
      <c r="B656" s="37" t="s">
        <v>4344</v>
      </c>
      <c r="C656" s="38" t="s">
        <v>9</v>
      </c>
      <c r="D656" s="34">
        <v>5636.9</v>
      </c>
      <c r="E656" s="35">
        <v>44598</v>
      </c>
      <c r="F656" s="34">
        <v>5636.9</v>
      </c>
      <c r="G656" s="36">
        <f>Tabla13[[#This Row],[Importe]]-Tabla13[[#This Row],[Pagado]]</f>
        <v>0</v>
      </c>
      <c r="H656" s="38" t="s">
        <v>10</v>
      </c>
    </row>
    <row r="657" spans="1:8" x14ac:dyDescent="0.25">
      <c r="A657" s="31">
        <v>44598</v>
      </c>
      <c r="B657" s="37" t="s">
        <v>4345</v>
      </c>
      <c r="C657" s="38" t="s">
        <v>475</v>
      </c>
      <c r="D657" s="34">
        <v>52975.5</v>
      </c>
      <c r="E657" s="35">
        <v>44599</v>
      </c>
      <c r="F657" s="34">
        <v>52975.5</v>
      </c>
      <c r="G657" s="36">
        <f>Tabla13[[#This Row],[Importe]]-Tabla13[[#This Row],[Pagado]]</f>
        <v>0</v>
      </c>
      <c r="H657" s="38" t="s">
        <v>10</v>
      </c>
    </row>
    <row r="658" spans="1:8" x14ac:dyDescent="0.25">
      <c r="A658" s="31">
        <v>44598</v>
      </c>
      <c r="B658" s="37" t="s">
        <v>4346</v>
      </c>
      <c r="C658" s="38" t="s">
        <v>924</v>
      </c>
      <c r="D658" s="34">
        <v>9519</v>
      </c>
      <c r="E658" s="35">
        <v>44598</v>
      </c>
      <c r="F658" s="34">
        <v>9519</v>
      </c>
      <c r="G658" s="36">
        <f>Tabla13[[#This Row],[Importe]]-Tabla13[[#This Row],[Pagado]]</f>
        <v>0</v>
      </c>
      <c r="H658" s="38" t="s">
        <v>10</v>
      </c>
    </row>
    <row r="659" spans="1:8" x14ac:dyDescent="0.25">
      <c r="A659" s="31">
        <v>44598</v>
      </c>
      <c r="B659" s="37" t="s">
        <v>4347</v>
      </c>
      <c r="C659" s="38" t="s">
        <v>16</v>
      </c>
      <c r="D659" s="34">
        <v>7731.7</v>
      </c>
      <c r="E659" s="35">
        <v>44598</v>
      </c>
      <c r="F659" s="34">
        <v>7731.7</v>
      </c>
      <c r="G659" s="36">
        <f>Tabla13[[#This Row],[Importe]]-Tabla13[[#This Row],[Pagado]]</f>
        <v>0</v>
      </c>
      <c r="H659" s="38" t="s">
        <v>10</v>
      </c>
    </row>
    <row r="660" spans="1:8" x14ac:dyDescent="0.25">
      <c r="A660" s="31">
        <v>44598</v>
      </c>
      <c r="B660" s="37" t="s">
        <v>4348</v>
      </c>
      <c r="C660" s="38" t="s">
        <v>481</v>
      </c>
      <c r="D660" s="34">
        <v>1012.5</v>
      </c>
      <c r="E660" s="35">
        <v>44598</v>
      </c>
      <c r="F660" s="34">
        <v>1012.5</v>
      </c>
      <c r="G660" s="36">
        <f>Tabla13[[#This Row],[Importe]]-Tabla13[[#This Row],[Pagado]]</f>
        <v>0</v>
      </c>
      <c r="H660" s="38" t="s">
        <v>10</v>
      </c>
    </row>
    <row r="661" spans="1:8" x14ac:dyDescent="0.25">
      <c r="A661" s="31">
        <v>44598</v>
      </c>
      <c r="B661" s="37" t="s">
        <v>4349</v>
      </c>
      <c r="C661" s="38" t="s">
        <v>501</v>
      </c>
      <c r="D661" s="34">
        <v>7201.2</v>
      </c>
      <c r="E661" s="35">
        <v>44598</v>
      </c>
      <c r="F661" s="34">
        <v>7201.2</v>
      </c>
      <c r="G661" s="36">
        <f>Tabla13[[#This Row],[Importe]]-Tabla13[[#This Row],[Pagado]]</f>
        <v>0</v>
      </c>
      <c r="H661" s="38" t="s">
        <v>10</v>
      </c>
    </row>
    <row r="662" spans="1:8" x14ac:dyDescent="0.25">
      <c r="A662" s="31">
        <v>44598</v>
      </c>
      <c r="B662" s="37" t="s">
        <v>4350</v>
      </c>
      <c r="C662" s="38" t="s">
        <v>872</v>
      </c>
      <c r="D662" s="34">
        <v>4365</v>
      </c>
      <c r="E662" s="35">
        <v>44598</v>
      </c>
      <c r="F662" s="34">
        <v>4365</v>
      </c>
      <c r="G662" s="36">
        <f>Tabla13[[#This Row],[Importe]]-Tabla13[[#This Row],[Pagado]]</f>
        <v>0</v>
      </c>
      <c r="H662" s="38" t="s">
        <v>10</v>
      </c>
    </row>
    <row r="663" spans="1:8" x14ac:dyDescent="0.25">
      <c r="A663" s="31">
        <v>44598</v>
      </c>
      <c r="B663" s="37" t="s">
        <v>4351</v>
      </c>
      <c r="C663" s="38" t="s">
        <v>37</v>
      </c>
      <c r="D663" s="34">
        <v>2821</v>
      </c>
      <c r="E663" s="35">
        <v>44598</v>
      </c>
      <c r="F663" s="34">
        <v>2821</v>
      </c>
      <c r="G663" s="36">
        <f>Tabla13[[#This Row],[Importe]]-Tabla13[[#This Row],[Pagado]]</f>
        <v>0</v>
      </c>
      <c r="H663" s="38" t="s">
        <v>10</v>
      </c>
    </row>
    <row r="664" spans="1:8" x14ac:dyDescent="0.25">
      <c r="A664" s="31">
        <v>44598</v>
      </c>
      <c r="B664" s="37" t="s">
        <v>4352</v>
      </c>
      <c r="C664" s="38" t="s">
        <v>29</v>
      </c>
      <c r="D664" s="34">
        <v>3831.8</v>
      </c>
      <c r="E664" s="35">
        <v>44598</v>
      </c>
      <c r="F664" s="34">
        <v>3831.8</v>
      </c>
      <c r="G664" s="36">
        <f>Tabla13[[#This Row],[Importe]]-Tabla13[[#This Row],[Pagado]]</f>
        <v>0</v>
      </c>
      <c r="H664" s="38" t="s">
        <v>10</v>
      </c>
    </row>
    <row r="665" spans="1:8" x14ac:dyDescent="0.25">
      <c r="A665" s="31">
        <v>44598</v>
      </c>
      <c r="B665" s="37" t="s">
        <v>4353</v>
      </c>
      <c r="C665" s="38" t="s">
        <v>22</v>
      </c>
      <c r="D665" s="34">
        <v>40885.4</v>
      </c>
      <c r="E665" s="35">
        <v>44600</v>
      </c>
      <c r="F665" s="34">
        <v>40885.4</v>
      </c>
      <c r="G665" s="36">
        <f>Tabla13[[#This Row],[Importe]]-Tabla13[[#This Row],[Pagado]]</f>
        <v>0</v>
      </c>
      <c r="H665" s="38" t="s">
        <v>10</v>
      </c>
    </row>
    <row r="666" spans="1:8" x14ac:dyDescent="0.25">
      <c r="A666" s="31">
        <v>44598</v>
      </c>
      <c r="B666" s="37" t="s">
        <v>4354</v>
      </c>
      <c r="C666" s="38" t="s">
        <v>20</v>
      </c>
      <c r="D666" s="34">
        <v>5778.6</v>
      </c>
      <c r="E666" s="35">
        <v>44598</v>
      </c>
      <c r="F666" s="34">
        <v>5778.6</v>
      </c>
      <c r="G666" s="36">
        <f>Tabla13[[#This Row],[Importe]]-Tabla13[[#This Row],[Pagado]]</f>
        <v>0</v>
      </c>
      <c r="H666" s="38" t="s">
        <v>10</v>
      </c>
    </row>
    <row r="667" spans="1:8" x14ac:dyDescent="0.25">
      <c r="A667" s="31">
        <v>44598</v>
      </c>
      <c r="B667" s="37" t="s">
        <v>4355</v>
      </c>
      <c r="C667" s="38" t="s">
        <v>22</v>
      </c>
      <c r="D667" s="34">
        <v>2536.4</v>
      </c>
      <c r="E667" s="35">
        <v>44600</v>
      </c>
      <c r="F667" s="34">
        <v>2536.4</v>
      </c>
      <c r="G667" s="36">
        <f>Tabla13[[#This Row],[Importe]]-Tabla13[[#This Row],[Pagado]]</f>
        <v>0</v>
      </c>
      <c r="H667" s="38" t="s">
        <v>10</v>
      </c>
    </row>
    <row r="668" spans="1:8" x14ac:dyDescent="0.25">
      <c r="A668" s="31">
        <v>44598</v>
      </c>
      <c r="B668" s="37" t="s">
        <v>4356</v>
      </c>
      <c r="C668" s="38" t="s">
        <v>27</v>
      </c>
      <c r="D668" s="34">
        <v>3794.5</v>
      </c>
      <c r="E668" s="35">
        <v>44598</v>
      </c>
      <c r="F668" s="34">
        <v>3794.5</v>
      </c>
      <c r="G668" s="36">
        <f>Tabla13[[#This Row],[Importe]]-Tabla13[[#This Row],[Pagado]]</f>
        <v>0</v>
      </c>
      <c r="H668" s="38" t="s">
        <v>10</v>
      </c>
    </row>
    <row r="669" spans="1:8" x14ac:dyDescent="0.25">
      <c r="A669" s="31">
        <v>44598</v>
      </c>
      <c r="B669" s="37" t="s">
        <v>4357</v>
      </c>
      <c r="C669" s="38" t="s">
        <v>49</v>
      </c>
      <c r="D669" s="34">
        <v>3629.6</v>
      </c>
      <c r="E669" s="35">
        <v>44598</v>
      </c>
      <c r="F669" s="34">
        <v>3629.6</v>
      </c>
      <c r="G669" s="36">
        <f>Tabla13[[#This Row],[Importe]]-Tabla13[[#This Row],[Pagado]]</f>
        <v>0</v>
      </c>
      <c r="H669" s="38" t="s">
        <v>10</v>
      </c>
    </row>
    <row r="670" spans="1:8" x14ac:dyDescent="0.25">
      <c r="A670" s="31">
        <v>44598</v>
      </c>
      <c r="B670" s="37" t="s">
        <v>4358</v>
      </c>
      <c r="C670" s="38" t="s">
        <v>216</v>
      </c>
      <c r="D670" s="34">
        <v>1592.5</v>
      </c>
      <c r="E670" s="35">
        <v>44598</v>
      </c>
      <c r="F670" s="34">
        <v>1592.5</v>
      </c>
      <c r="G670" s="36">
        <f>Tabla13[[#This Row],[Importe]]-Tabla13[[#This Row],[Pagado]]</f>
        <v>0</v>
      </c>
      <c r="H670" s="38" t="s">
        <v>10</v>
      </c>
    </row>
    <row r="671" spans="1:8" x14ac:dyDescent="0.25">
      <c r="A671" s="31">
        <v>44598</v>
      </c>
      <c r="B671" s="37" t="s">
        <v>4359</v>
      </c>
      <c r="C671" s="38" t="s">
        <v>45</v>
      </c>
      <c r="D671" s="34">
        <v>6268.9</v>
      </c>
      <c r="E671" s="35">
        <v>44598</v>
      </c>
      <c r="F671" s="34">
        <v>6268.9</v>
      </c>
      <c r="G671" s="36">
        <f>Tabla13[[#This Row],[Importe]]-Tabla13[[#This Row],[Pagado]]</f>
        <v>0</v>
      </c>
      <c r="H671" s="38" t="s">
        <v>10</v>
      </c>
    </row>
    <row r="672" spans="1:8" x14ac:dyDescent="0.25">
      <c r="A672" s="31">
        <v>44598</v>
      </c>
      <c r="B672" s="37" t="s">
        <v>4360</v>
      </c>
      <c r="C672" s="38" t="s">
        <v>39</v>
      </c>
      <c r="D672" s="34">
        <v>7100.5</v>
      </c>
      <c r="E672" s="35">
        <v>44599</v>
      </c>
      <c r="F672" s="34">
        <v>7100.5</v>
      </c>
      <c r="G672" s="36">
        <f>Tabla13[[#This Row],[Importe]]-Tabla13[[#This Row],[Pagado]]</f>
        <v>0</v>
      </c>
      <c r="H672" s="38" t="s">
        <v>10</v>
      </c>
    </row>
    <row r="673" spans="1:8" x14ac:dyDescent="0.25">
      <c r="A673" s="31">
        <v>44598</v>
      </c>
      <c r="B673" s="37" t="s">
        <v>4361</v>
      </c>
      <c r="C673" s="38" t="s">
        <v>161</v>
      </c>
      <c r="D673" s="34">
        <v>1337</v>
      </c>
      <c r="E673" s="35">
        <v>44598</v>
      </c>
      <c r="F673" s="34">
        <v>1337</v>
      </c>
      <c r="G673" s="36">
        <f>Tabla13[[#This Row],[Importe]]-Tabla13[[#This Row],[Pagado]]</f>
        <v>0</v>
      </c>
      <c r="H673" s="38" t="s">
        <v>10</v>
      </c>
    </row>
    <row r="674" spans="1:8" x14ac:dyDescent="0.25">
      <c r="A674" s="31">
        <v>44598</v>
      </c>
      <c r="B674" s="37" t="s">
        <v>4362</v>
      </c>
      <c r="C674" s="38" t="s">
        <v>24</v>
      </c>
      <c r="D674" s="34">
        <v>2678.4</v>
      </c>
      <c r="E674" s="35">
        <v>44598</v>
      </c>
      <c r="F674" s="34">
        <v>2678.4</v>
      </c>
      <c r="G674" s="36">
        <f>Tabla13[[#This Row],[Importe]]-Tabla13[[#This Row],[Pagado]]</f>
        <v>0</v>
      </c>
      <c r="H674" s="38" t="s">
        <v>10</v>
      </c>
    </row>
    <row r="675" spans="1:8" x14ac:dyDescent="0.25">
      <c r="A675" s="31">
        <v>44598</v>
      </c>
      <c r="B675" s="37" t="s">
        <v>4363</v>
      </c>
      <c r="C675" s="38" t="s">
        <v>382</v>
      </c>
      <c r="D675" s="34">
        <v>7008</v>
      </c>
      <c r="E675" s="35">
        <v>44598</v>
      </c>
      <c r="F675" s="34">
        <v>7008</v>
      </c>
      <c r="G675" s="36">
        <f>Tabla13[[#This Row],[Importe]]-Tabla13[[#This Row],[Pagado]]</f>
        <v>0</v>
      </c>
      <c r="H675" s="38" t="s">
        <v>10</v>
      </c>
    </row>
    <row r="676" spans="1:8" x14ac:dyDescent="0.25">
      <c r="A676" s="31">
        <v>44598</v>
      </c>
      <c r="B676" s="37" t="s">
        <v>4364</v>
      </c>
      <c r="C676" s="38" t="s">
        <v>244</v>
      </c>
      <c r="D676" s="34">
        <v>938.4</v>
      </c>
      <c r="E676" s="35">
        <v>44598</v>
      </c>
      <c r="F676" s="34">
        <v>938.4</v>
      </c>
      <c r="G676" s="36">
        <f>Tabla13[[#This Row],[Importe]]-Tabla13[[#This Row],[Pagado]]</f>
        <v>0</v>
      </c>
      <c r="H676" s="38" t="s">
        <v>10</v>
      </c>
    </row>
    <row r="677" spans="1:8" x14ac:dyDescent="0.25">
      <c r="A677" s="31">
        <v>44598</v>
      </c>
      <c r="B677" s="37" t="s">
        <v>4365</v>
      </c>
      <c r="C677" s="38" t="s">
        <v>56</v>
      </c>
      <c r="D677" s="34">
        <v>10437.1</v>
      </c>
      <c r="E677" s="35">
        <v>44598</v>
      </c>
      <c r="F677" s="34">
        <v>10437.1</v>
      </c>
      <c r="G677" s="36">
        <f>Tabla13[[#This Row],[Importe]]-Tabla13[[#This Row],[Pagado]]</f>
        <v>0</v>
      </c>
      <c r="H677" s="38" t="s">
        <v>10</v>
      </c>
    </row>
    <row r="678" spans="1:8" x14ac:dyDescent="0.25">
      <c r="A678" s="31">
        <v>44598</v>
      </c>
      <c r="B678" s="37" t="s">
        <v>4366</v>
      </c>
      <c r="C678" s="38" t="s">
        <v>214</v>
      </c>
      <c r="D678" s="34">
        <v>1430.8</v>
      </c>
      <c r="E678" s="35">
        <v>44598</v>
      </c>
      <c r="F678" s="34">
        <v>1430.8</v>
      </c>
      <c r="G678" s="36">
        <f>Tabla13[[#This Row],[Importe]]-Tabla13[[#This Row],[Pagado]]</f>
        <v>0</v>
      </c>
      <c r="H678" s="38" t="s">
        <v>10</v>
      </c>
    </row>
    <row r="679" spans="1:8" x14ac:dyDescent="0.25">
      <c r="A679" s="31">
        <v>44598</v>
      </c>
      <c r="B679" s="37" t="s">
        <v>4367</v>
      </c>
      <c r="C679" s="38" t="s">
        <v>31</v>
      </c>
      <c r="D679" s="34">
        <v>2067.8000000000002</v>
      </c>
      <c r="E679" s="35">
        <v>44598</v>
      </c>
      <c r="F679" s="34">
        <v>2067.8000000000002</v>
      </c>
      <c r="G679" s="36">
        <f>Tabla13[[#This Row],[Importe]]-Tabla13[[#This Row],[Pagado]]</f>
        <v>0</v>
      </c>
      <c r="H679" s="38" t="s">
        <v>10</v>
      </c>
    </row>
    <row r="680" spans="1:8" x14ac:dyDescent="0.25">
      <c r="A680" s="31">
        <v>44598</v>
      </c>
      <c r="B680" s="37" t="s">
        <v>4368</v>
      </c>
      <c r="C680" s="38" t="s">
        <v>12</v>
      </c>
      <c r="D680" s="34">
        <v>68554.55</v>
      </c>
      <c r="E680" s="35">
        <v>44599</v>
      </c>
      <c r="F680" s="34">
        <v>68554.55</v>
      </c>
      <c r="G680" s="36">
        <f>Tabla13[[#This Row],[Importe]]-Tabla13[[#This Row],[Pagado]]</f>
        <v>0</v>
      </c>
      <c r="H680" s="38" t="s">
        <v>10</v>
      </c>
    </row>
    <row r="681" spans="1:8" x14ac:dyDescent="0.25">
      <c r="A681" s="31">
        <v>44598</v>
      </c>
      <c r="B681" s="37" t="s">
        <v>4369</v>
      </c>
      <c r="C681" s="38" t="s">
        <v>289</v>
      </c>
      <c r="D681" s="34">
        <v>7516.8</v>
      </c>
      <c r="E681" s="35">
        <v>44598</v>
      </c>
      <c r="F681" s="34">
        <v>7516.8</v>
      </c>
      <c r="G681" s="36">
        <f>Tabla13[[#This Row],[Importe]]-Tabla13[[#This Row],[Pagado]]</f>
        <v>0</v>
      </c>
      <c r="H681" s="38" t="s">
        <v>10</v>
      </c>
    </row>
    <row r="682" spans="1:8" x14ac:dyDescent="0.25">
      <c r="A682" s="31">
        <v>44598</v>
      </c>
      <c r="B682" s="37" t="s">
        <v>4370</v>
      </c>
      <c r="C682" s="38" t="s">
        <v>60</v>
      </c>
      <c r="D682" s="34">
        <v>3814.8</v>
      </c>
      <c r="E682" s="35">
        <v>44602</v>
      </c>
      <c r="F682" s="34">
        <v>3814.8</v>
      </c>
      <c r="G682" s="36">
        <f>Tabla13[[#This Row],[Importe]]-Tabla13[[#This Row],[Pagado]]</f>
        <v>0</v>
      </c>
      <c r="H682" s="38" t="s">
        <v>10</v>
      </c>
    </row>
    <row r="683" spans="1:8" x14ac:dyDescent="0.25">
      <c r="A683" s="31">
        <v>44598</v>
      </c>
      <c r="B683" s="37" t="s">
        <v>4371</v>
      </c>
      <c r="C683" s="38" t="s">
        <v>67</v>
      </c>
      <c r="D683" s="34">
        <v>1234.8</v>
      </c>
      <c r="E683" s="35">
        <v>44598</v>
      </c>
      <c r="F683" s="34">
        <v>1234.8</v>
      </c>
      <c r="G683" s="36">
        <f>Tabla13[[#This Row],[Importe]]-Tabla13[[#This Row],[Pagado]]</f>
        <v>0</v>
      </c>
      <c r="H683" s="38" t="s">
        <v>10</v>
      </c>
    </row>
    <row r="684" spans="1:8" x14ac:dyDescent="0.25">
      <c r="A684" s="31">
        <v>44598</v>
      </c>
      <c r="B684" s="37" t="s">
        <v>4372</v>
      </c>
      <c r="C684" s="38" t="s">
        <v>670</v>
      </c>
      <c r="D684" s="34">
        <v>3380.7</v>
      </c>
      <c r="E684" s="35">
        <v>44598</v>
      </c>
      <c r="F684" s="34">
        <v>3380.7</v>
      </c>
      <c r="G684" s="36">
        <f>Tabla13[[#This Row],[Importe]]-Tabla13[[#This Row],[Pagado]]</f>
        <v>0</v>
      </c>
      <c r="H684" s="38" t="s">
        <v>10</v>
      </c>
    </row>
    <row r="685" spans="1:8" x14ac:dyDescent="0.25">
      <c r="A685" s="31">
        <v>44598</v>
      </c>
      <c r="B685" s="37" t="s">
        <v>4373</v>
      </c>
      <c r="C685" s="38" t="s">
        <v>53</v>
      </c>
      <c r="D685" s="34">
        <v>1768.9</v>
      </c>
      <c r="E685" s="35">
        <v>44598</v>
      </c>
      <c r="F685" s="34">
        <v>1768.9</v>
      </c>
      <c r="G685" s="36">
        <f>Tabla13[[#This Row],[Importe]]-Tabla13[[#This Row],[Pagado]]</f>
        <v>0</v>
      </c>
      <c r="H685" s="38" t="s">
        <v>10</v>
      </c>
    </row>
    <row r="686" spans="1:8" x14ac:dyDescent="0.25">
      <c r="A686" s="31">
        <v>44598</v>
      </c>
      <c r="B686" s="37" t="s">
        <v>4374</v>
      </c>
      <c r="C686" s="38" t="s">
        <v>71</v>
      </c>
      <c r="D686" s="34">
        <v>2876.8</v>
      </c>
      <c r="E686" s="35">
        <v>44598</v>
      </c>
      <c r="F686" s="34">
        <v>2876.8</v>
      </c>
      <c r="G686" s="36">
        <f>Tabla13[[#This Row],[Importe]]-Tabla13[[#This Row],[Pagado]]</f>
        <v>0</v>
      </c>
      <c r="H686" s="38" t="s">
        <v>10</v>
      </c>
    </row>
    <row r="687" spans="1:8" x14ac:dyDescent="0.25">
      <c r="A687" s="31">
        <v>44598</v>
      </c>
      <c r="B687" s="37" t="s">
        <v>4375</v>
      </c>
      <c r="C687" s="38" t="s">
        <v>2035</v>
      </c>
      <c r="D687" s="34">
        <v>2335.6999999999998</v>
      </c>
      <c r="E687" s="35">
        <v>44598</v>
      </c>
      <c r="F687" s="34">
        <v>2335.6999999999998</v>
      </c>
      <c r="G687" s="36">
        <f>Tabla13[[#This Row],[Importe]]-Tabla13[[#This Row],[Pagado]]</f>
        <v>0</v>
      </c>
      <c r="H687" s="38" t="s">
        <v>10</v>
      </c>
    </row>
    <row r="688" spans="1:8" x14ac:dyDescent="0.25">
      <c r="A688" s="31">
        <v>44598</v>
      </c>
      <c r="B688" s="37" t="s">
        <v>4376</v>
      </c>
      <c r="C688" s="38" t="s">
        <v>58</v>
      </c>
      <c r="D688" s="34">
        <v>3767.2</v>
      </c>
      <c r="E688" s="35">
        <v>44598</v>
      </c>
      <c r="F688" s="34">
        <v>3767.2</v>
      </c>
      <c r="G688" s="36">
        <f>Tabla13[[#This Row],[Importe]]-Tabla13[[#This Row],[Pagado]]</f>
        <v>0</v>
      </c>
      <c r="H688" s="38" t="s">
        <v>10</v>
      </c>
    </row>
    <row r="689" spans="1:8" x14ac:dyDescent="0.25">
      <c r="A689" s="31">
        <v>44598</v>
      </c>
      <c r="B689" s="37" t="s">
        <v>4377</v>
      </c>
      <c r="C689" s="38" t="s">
        <v>1421</v>
      </c>
      <c r="D689" s="34">
        <v>28534.2</v>
      </c>
      <c r="E689" s="35">
        <v>44598</v>
      </c>
      <c r="F689" s="34">
        <v>28534.2</v>
      </c>
      <c r="G689" s="36">
        <f>Tabla13[[#This Row],[Importe]]-Tabla13[[#This Row],[Pagado]]</f>
        <v>0</v>
      </c>
      <c r="H689" s="38" t="s">
        <v>10</v>
      </c>
    </row>
    <row r="690" spans="1:8" x14ac:dyDescent="0.25">
      <c r="A690" s="31">
        <v>44598</v>
      </c>
      <c r="B690" s="37" t="s">
        <v>4378</v>
      </c>
      <c r="C690" s="38" t="s">
        <v>16</v>
      </c>
      <c r="D690" s="34">
        <v>2509.1999999999998</v>
      </c>
      <c r="E690" s="35">
        <v>44598</v>
      </c>
      <c r="F690" s="34">
        <v>2509.1999999999998</v>
      </c>
      <c r="G690" s="36">
        <f>Tabla13[[#This Row],[Importe]]-Tabla13[[#This Row],[Pagado]]</f>
        <v>0</v>
      </c>
      <c r="H690" s="38" t="s">
        <v>10</v>
      </c>
    </row>
    <row r="691" spans="1:8" x14ac:dyDescent="0.25">
      <c r="A691" s="31">
        <v>44599</v>
      </c>
      <c r="B691" s="37" t="s">
        <v>4379</v>
      </c>
      <c r="C691" s="38" t="s">
        <v>887</v>
      </c>
      <c r="D691" s="34">
        <v>7737.1</v>
      </c>
      <c r="E691" s="35">
        <v>44600</v>
      </c>
      <c r="F691" s="34">
        <v>7737.1</v>
      </c>
      <c r="G691" s="36">
        <f>Tabla13[[#This Row],[Importe]]-Tabla13[[#This Row],[Pagado]]</f>
        <v>0</v>
      </c>
      <c r="H691" s="38" t="s">
        <v>10</v>
      </c>
    </row>
    <row r="692" spans="1:8" x14ac:dyDescent="0.25">
      <c r="A692" s="31">
        <v>44599</v>
      </c>
      <c r="B692" s="37" t="s">
        <v>4380</v>
      </c>
      <c r="C692" s="38" t="s">
        <v>475</v>
      </c>
      <c r="D692" s="34">
        <v>94137.2</v>
      </c>
      <c r="E692" s="35">
        <v>44601</v>
      </c>
      <c r="F692" s="34">
        <v>94137.2</v>
      </c>
      <c r="G692" s="36">
        <f>Tabla13[[#This Row],[Importe]]-Tabla13[[#This Row],[Pagado]]</f>
        <v>0</v>
      </c>
      <c r="H692" s="38" t="s">
        <v>10</v>
      </c>
    </row>
    <row r="693" spans="1:8" x14ac:dyDescent="0.25">
      <c r="A693" s="31">
        <v>44599</v>
      </c>
      <c r="B693" s="37" t="s">
        <v>4381</v>
      </c>
      <c r="C693" s="38" t="s">
        <v>12</v>
      </c>
      <c r="D693" s="34">
        <v>33905.85</v>
      </c>
      <c r="E693" s="35">
        <v>44600</v>
      </c>
      <c r="F693" s="34">
        <v>33905.85</v>
      </c>
      <c r="G693" s="36">
        <f>Tabla13[[#This Row],[Importe]]-Tabla13[[#This Row],[Pagado]]</f>
        <v>0</v>
      </c>
      <c r="H693" s="38" t="s">
        <v>10</v>
      </c>
    </row>
    <row r="694" spans="1:8" x14ac:dyDescent="0.25">
      <c r="A694" s="31">
        <v>44599</v>
      </c>
      <c r="B694" s="37" t="s">
        <v>4382</v>
      </c>
      <c r="C694" s="38" t="s">
        <v>105</v>
      </c>
      <c r="D694" s="34">
        <v>4062.1</v>
      </c>
      <c r="E694" s="35">
        <v>44600</v>
      </c>
      <c r="F694" s="34">
        <v>4062.1</v>
      </c>
      <c r="G694" s="36">
        <f>Tabla13[[#This Row],[Importe]]-Tabla13[[#This Row],[Pagado]]</f>
        <v>0</v>
      </c>
      <c r="H694" s="38" t="s">
        <v>10</v>
      </c>
    </row>
    <row r="695" spans="1:8" x14ac:dyDescent="0.25">
      <c r="A695" s="31">
        <v>44599</v>
      </c>
      <c r="B695" s="37" t="s">
        <v>4383</v>
      </c>
      <c r="C695" s="38" t="s">
        <v>83</v>
      </c>
      <c r="D695" s="34">
        <v>4546</v>
      </c>
      <c r="E695" s="35">
        <v>44599</v>
      </c>
      <c r="F695" s="34">
        <v>4546</v>
      </c>
      <c r="G695" s="36">
        <f>Tabla13[[#This Row],[Importe]]-Tabla13[[#This Row],[Pagado]]</f>
        <v>0</v>
      </c>
      <c r="H695" s="38" t="s">
        <v>10</v>
      </c>
    </row>
    <row r="696" spans="1:8" ht="47.25" x14ac:dyDescent="0.25">
      <c r="A696" s="31">
        <v>44599</v>
      </c>
      <c r="B696" s="37" t="s">
        <v>4384</v>
      </c>
      <c r="C696" s="38" t="s">
        <v>39</v>
      </c>
      <c r="D696" s="34">
        <v>24420.9</v>
      </c>
      <c r="E696" s="35" t="s">
        <v>4385</v>
      </c>
      <c r="F696" s="34">
        <f>5000+6000+13420.9</f>
        <v>24420.9</v>
      </c>
      <c r="G696" s="36">
        <f>Tabla13[[#This Row],[Importe]]-Tabla13[[#This Row],[Pagado]]</f>
        <v>0</v>
      </c>
      <c r="H696" s="38" t="s">
        <v>10</v>
      </c>
    </row>
    <row r="697" spans="1:8" x14ac:dyDescent="0.25">
      <c r="A697" s="31">
        <v>44599</v>
      </c>
      <c r="B697" s="37" t="s">
        <v>4386</v>
      </c>
      <c r="C697" s="38" t="s">
        <v>137</v>
      </c>
      <c r="D697" s="34">
        <v>2788.8</v>
      </c>
      <c r="E697" s="35">
        <v>44599</v>
      </c>
      <c r="F697" s="34">
        <v>2788.8</v>
      </c>
      <c r="G697" s="36">
        <f>Tabla13[[#This Row],[Importe]]-Tabla13[[#This Row],[Pagado]]</f>
        <v>0</v>
      </c>
      <c r="H697" s="38" t="s">
        <v>10</v>
      </c>
    </row>
    <row r="698" spans="1:8" x14ac:dyDescent="0.25">
      <c r="A698" s="31">
        <v>44599</v>
      </c>
      <c r="B698" s="37" t="s">
        <v>4387</v>
      </c>
      <c r="C698" s="38" t="s">
        <v>9</v>
      </c>
      <c r="D698" s="34">
        <v>5323.1</v>
      </c>
      <c r="E698" s="35">
        <v>44599</v>
      </c>
      <c r="F698" s="34">
        <v>5323.1</v>
      </c>
      <c r="G698" s="36">
        <f>Tabla13[[#This Row],[Importe]]-Tabla13[[#This Row],[Pagado]]</f>
        <v>0</v>
      </c>
      <c r="H698" s="38" t="s">
        <v>10</v>
      </c>
    </row>
    <row r="699" spans="1:8" ht="31.5" x14ac:dyDescent="0.25">
      <c r="A699" s="31">
        <v>44599</v>
      </c>
      <c r="B699" s="37" t="s">
        <v>4388</v>
      </c>
      <c r="C699" s="38" t="s">
        <v>22</v>
      </c>
      <c r="D699" s="34">
        <v>47365</v>
      </c>
      <c r="E699" s="35" t="s">
        <v>4389</v>
      </c>
      <c r="F699" s="34">
        <f>40000+7365</f>
        <v>47365</v>
      </c>
      <c r="G699" s="36">
        <f>Tabla13[[#This Row],[Importe]]-Tabla13[[#This Row],[Pagado]]</f>
        <v>0</v>
      </c>
      <c r="H699" s="38" t="s">
        <v>10</v>
      </c>
    </row>
    <row r="700" spans="1:8" x14ac:dyDescent="0.25">
      <c r="A700" s="31">
        <v>44599</v>
      </c>
      <c r="B700" s="37" t="s">
        <v>4390</v>
      </c>
      <c r="C700" s="38" t="s">
        <v>89</v>
      </c>
      <c r="D700" s="34">
        <v>5409.4</v>
      </c>
      <c r="E700" s="35">
        <v>44600</v>
      </c>
      <c r="F700" s="34">
        <v>5409.4</v>
      </c>
      <c r="G700" s="36">
        <f>Tabla13[[#This Row],[Importe]]-Tabla13[[#This Row],[Pagado]]</f>
        <v>0</v>
      </c>
      <c r="H700" s="38" t="s">
        <v>10</v>
      </c>
    </row>
    <row r="701" spans="1:8" x14ac:dyDescent="0.25">
      <c r="A701" s="31">
        <v>44599</v>
      </c>
      <c r="B701" s="37" t="s">
        <v>4391</v>
      </c>
      <c r="C701" s="38" t="s">
        <v>2563</v>
      </c>
      <c r="D701" s="34">
        <v>3621</v>
      </c>
      <c r="E701" s="35">
        <v>44599</v>
      </c>
      <c r="F701" s="34">
        <v>3621</v>
      </c>
      <c r="G701" s="36">
        <f>Tabla13[[#This Row],[Importe]]-Tabla13[[#This Row],[Pagado]]</f>
        <v>0</v>
      </c>
      <c r="H701" s="38" t="s">
        <v>10</v>
      </c>
    </row>
    <row r="702" spans="1:8" x14ac:dyDescent="0.25">
      <c r="A702" s="31">
        <v>44599</v>
      </c>
      <c r="B702" s="37" t="s">
        <v>4392</v>
      </c>
      <c r="C702" s="38" t="s">
        <v>120</v>
      </c>
      <c r="D702" s="34">
        <v>4156.5</v>
      </c>
      <c r="E702" s="35">
        <v>44601</v>
      </c>
      <c r="F702" s="34">
        <v>4156.5</v>
      </c>
      <c r="G702" s="36">
        <f>Tabla13[[#This Row],[Importe]]-Tabla13[[#This Row],[Pagado]]</f>
        <v>0</v>
      </c>
      <c r="H702" s="38" t="s">
        <v>10</v>
      </c>
    </row>
    <row r="703" spans="1:8" x14ac:dyDescent="0.25">
      <c r="A703" s="31">
        <v>44599</v>
      </c>
      <c r="B703" s="37" t="s">
        <v>4393</v>
      </c>
      <c r="C703" s="38" t="s">
        <v>64</v>
      </c>
      <c r="D703" s="34">
        <v>8186.8</v>
      </c>
      <c r="E703" s="35">
        <v>44600</v>
      </c>
      <c r="F703" s="34">
        <v>8186.8</v>
      </c>
      <c r="G703" s="36">
        <f>Tabla13[[#This Row],[Importe]]-Tabla13[[#This Row],[Pagado]]</f>
        <v>0</v>
      </c>
      <c r="H703" s="38" t="s">
        <v>10</v>
      </c>
    </row>
    <row r="704" spans="1:8" x14ac:dyDescent="0.25">
      <c r="A704" s="31">
        <v>44599</v>
      </c>
      <c r="B704" s="37" t="s">
        <v>4394</v>
      </c>
      <c r="C704" s="38" t="s">
        <v>348</v>
      </c>
      <c r="D704" s="34">
        <v>2352.8000000000002</v>
      </c>
      <c r="E704" s="35">
        <v>44600</v>
      </c>
      <c r="F704" s="34">
        <v>2352.8000000000002</v>
      </c>
      <c r="G704" s="36">
        <f>Tabla13[[#This Row],[Importe]]-Tabla13[[#This Row],[Pagado]]</f>
        <v>0</v>
      </c>
      <c r="H704" s="38" t="s">
        <v>10</v>
      </c>
    </row>
    <row r="705" spans="1:8" x14ac:dyDescent="0.25">
      <c r="A705" s="31">
        <v>44599</v>
      </c>
      <c r="B705" s="37" t="s">
        <v>4395</v>
      </c>
      <c r="C705" s="38" t="s">
        <v>27</v>
      </c>
      <c r="D705" s="34">
        <v>6766.2</v>
      </c>
      <c r="E705" s="35">
        <v>44599</v>
      </c>
      <c r="F705" s="34">
        <v>6766.2</v>
      </c>
      <c r="G705" s="36">
        <f>Tabla13[[#This Row],[Importe]]-Tabla13[[#This Row],[Pagado]]</f>
        <v>0</v>
      </c>
      <c r="H705" s="38" t="s">
        <v>10</v>
      </c>
    </row>
    <row r="706" spans="1:8" x14ac:dyDescent="0.25">
      <c r="A706" s="31">
        <v>44599</v>
      </c>
      <c r="B706" s="37" t="s">
        <v>4396</v>
      </c>
      <c r="C706" s="38" t="s">
        <v>131</v>
      </c>
      <c r="D706" s="34">
        <v>7191</v>
      </c>
      <c r="E706" s="35">
        <v>44599</v>
      </c>
      <c r="F706" s="34">
        <v>7191</v>
      </c>
      <c r="G706" s="36">
        <f>Tabla13[[#This Row],[Importe]]-Tabla13[[#This Row],[Pagado]]</f>
        <v>0</v>
      </c>
      <c r="H706" s="38" t="s">
        <v>10</v>
      </c>
    </row>
    <row r="707" spans="1:8" x14ac:dyDescent="0.25">
      <c r="A707" s="31">
        <v>44599</v>
      </c>
      <c r="B707" s="37" t="s">
        <v>4397</v>
      </c>
      <c r="C707" s="38" t="s">
        <v>93</v>
      </c>
      <c r="D707" s="34">
        <v>7756.7</v>
      </c>
      <c r="E707" s="35">
        <v>44600</v>
      </c>
      <c r="F707" s="34">
        <v>7756.7</v>
      </c>
      <c r="G707" s="36">
        <f>Tabla13[[#This Row],[Importe]]-Tabla13[[#This Row],[Pagado]]</f>
        <v>0</v>
      </c>
      <c r="H707" s="38" t="s">
        <v>10</v>
      </c>
    </row>
    <row r="708" spans="1:8" x14ac:dyDescent="0.25">
      <c r="A708" s="31">
        <v>44599</v>
      </c>
      <c r="B708" s="37" t="s">
        <v>4398</v>
      </c>
      <c r="C708" s="38" t="s">
        <v>114</v>
      </c>
      <c r="D708" s="34">
        <v>3944.5</v>
      </c>
      <c r="E708" s="35">
        <v>44600</v>
      </c>
      <c r="F708" s="34">
        <v>3944.5</v>
      </c>
      <c r="G708" s="36">
        <f>Tabla13[[#This Row],[Importe]]-Tabla13[[#This Row],[Pagado]]</f>
        <v>0</v>
      </c>
      <c r="H708" s="38" t="s">
        <v>10</v>
      </c>
    </row>
    <row r="709" spans="1:8" x14ac:dyDescent="0.25">
      <c r="A709" s="31">
        <v>44599</v>
      </c>
      <c r="B709" s="37" t="s">
        <v>4399</v>
      </c>
      <c r="C709" s="38" t="s">
        <v>99</v>
      </c>
      <c r="D709" s="34">
        <v>3826.9</v>
      </c>
      <c r="E709" s="35">
        <v>44601</v>
      </c>
      <c r="F709" s="34">
        <v>3826.9</v>
      </c>
      <c r="G709" s="36">
        <f>Tabla13[[#This Row],[Importe]]-Tabla13[[#This Row],[Pagado]]</f>
        <v>0</v>
      </c>
      <c r="H709" s="38" t="s">
        <v>10</v>
      </c>
    </row>
    <row r="710" spans="1:8" x14ac:dyDescent="0.25">
      <c r="A710" s="31">
        <v>44599</v>
      </c>
      <c r="B710" s="37" t="s">
        <v>4400</v>
      </c>
      <c r="C710" s="38" t="s">
        <v>18</v>
      </c>
      <c r="D710" s="34">
        <v>1648.6</v>
      </c>
      <c r="E710" s="35">
        <v>44599</v>
      </c>
      <c r="F710" s="34">
        <v>1648.6</v>
      </c>
      <c r="G710" s="36">
        <f>Tabla13[[#This Row],[Importe]]-Tabla13[[#This Row],[Pagado]]</f>
        <v>0</v>
      </c>
      <c r="H710" s="38" t="s">
        <v>10</v>
      </c>
    </row>
    <row r="711" spans="1:8" x14ac:dyDescent="0.25">
      <c r="A711" s="31">
        <v>44599</v>
      </c>
      <c r="B711" s="37" t="s">
        <v>4401</v>
      </c>
      <c r="C711" s="38" t="s">
        <v>60</v>
      </c>
      <c r="D711" s="34">
        <v>3575.1</v>
      </c>
      <c r="E711" s="35">
        <v>44600</v>
      </c>
      <c r="F711" s="34">
        <v>3575.1</v>
      </c>
      <c r="G711" s="36">
        <f>Tabla13[[#This Row],[Importe]]-Tabla13[[#This Row],[Pagado]]</f>
        <v>0</v>
      </c>
      <c r="H711" s="38" t="s">
        <v>10</v>
      </c>
    </row>
    <row r="712" spans="1:8" x14ac:dyDescent="0.25">
      <c r="A712" s="31">
        <v>44599</v>
      </c>
      <c r="B712" s="37" t="s">
        <v>4402</v>
      </c>
      <c r="C712" s="38" t="s">
        <v>111</v>
      </c>
      <c r="D712" s="34">
        <v>4380.6000000000004</v>
      </c>
      <c r="E712" s="35">
        <v>44601</v>
      </c>
      <c r="F712" s="34">
        <v>4380.6000000000004</v>
      </c>
      <c r="G712" s="36">
        <f>Tabla13[[#This Row],[Importe]]-Tabla13[[#This Row],[Pagado]]</f>
        <v>0</v>
      </c>
      <c r="H712" s="38" t="s">
        <v>10</v>
      </c>
    </row>
    <row r="713" spans="1:8" x14ac:dyDescent="0.25">
      <c r="A713" s="31">
        <v>44599</v>
      </c>
      <c r="B713" s="37" t="s">
        <v>4403</v>
      </c>
      <c r="C713" s="38" t="s">
        <v>326</v>
      </c>
      <c r="D713" s="34">
        <v>1846.2</v>
      </c>
      <c r="E713" s="35">
        <v>44600</v>
      </c>
      <c r="F713" s="34">
        <v>1846.2</v>
      </c>
      <c r="G713" s="36">
        <f>Tabla13[[#This Row],[Importe]]-Tabla13[[#This Row],[Pagado]]</f>
        <v>0</v>
      </c>
      <c r="H713" s="38" t="s">
        <v>10</v>
      </c>
    </row>
    <row r="714" spans="1:8" x14ac:dyDescent="0.25">
      <c r="A714" s="31">
        <v>44599</v>
      </c>
      <c r="B714" s="37" t="s">
        <v>4404</v>
      </c>
      <c r="C714" s="38" t="s">
        <v>353</v>
      </c>
      <c r="D714" s="34">
        <v>1401.2</v>
      </c>
      <c r="E714" s="35">
        <v>44599</v>
      </c>
      <c r="F714" s="34">
        <v>1401.2</v>
      </c>
      <c r="G714" s="36">
        <f>Tabla13[[#This Row],[Importe]]-Tabla13[[#This Row],[Pagado]]</f>
        <v>0</v>
      </c>
      <c r="H714" s="38" t="s">
        <v>10</v>
      </c>
    </row>
    <row r="715" spans="1:8" ht="31.5" x14ac:dyDescent="0.25">
      <c r="A715" s="31">
        <v>44599</v>
      </c>
      <c r="B715" s="37" t="s">
        <v>4405</v>
      </c>
      <c r="C715" s="38" t="s">
        <v>47</v>
      </c>
      <c r="D715" s="34">
        <v>44415.74</v>
      </c>
      <c r="E715" s="35" t="s">
        <v>4406</v>
      </c>
      <c r="F715" s="34">
        <f>29000+15415.74</f>
        <v>44415.74</v>
      </c>
      <c r="G715" s="36">
        <f>Tabla13[[#This Row],[Importe]]-Tabla13[[#This Row],[Pagado]]</f>
        <v>0</v>
      </c>
      <c r="H715" s="38" t="s">
        <v>10</v>
      </c>
    </row>
    <row r="716" spans="1:8" x14ac:dyDescent="0.25">
      <c r="A716" s="31">
        <v>44599</v>
      </c>
      <c r="B716" s="37" t="s">
        <v>4407</v>
      </c>
      <c r="C716" s="38" t="s">
        <v>31</v>
      </c>
      <c r="D716" s="34">
        <v>913.5</v>
      </c>
      <c r="E716" s="35">
        <v>44599</v>
      </c>
      <c r="F716" s="34">
        <v>913.5</v>
      </c>
      <c r="G716" s="36">
        <f>Tabla13[[#This Row],[Importe]]-Tabla13[[#This Row],[Pagado]]</f>
        <v>0</v>
      </c>
      <c r="H716" s="38" t="s">
        <v>10</v>
      </c>
    </row>
    <row r="717" spans="1:8" ht="31.5" x14ac:dyDescent="0.25">
      <c r="A717" s="31">
        <v>44599</v>
      </c>
      <c r="B717" s="37" t="s">
        <v>4408</v>
      </c>
      <c r="C717" s="38" t="s">
        <v>12</v>
      </c>
      <c r="D717" s="34">
        <v>11584.8</v>
      </c>
      <c r="E717" s="35" t="s">
        <v>4409</v>
      </c>
      <c r="F717" s="34">
        <f>7000+4584.8</f>
        <v>11584.8</v>
      </c>
      <c r="G717" s="36">
        <f>Tabla13[[#This Row],[Importe]]-Tabla13[[#This Row],[Pagado]]</f>
        <v>0</v>
      </c>
      <c r="H717" s="38" t="s">
        <v>10</v>
      </c>
    </row>
    <row r="718" spans="1:8" x14ac:dyDescent="0.25">
      <c r="A718" s="31">
        <v>44599</v>
      </c>
      <c r="B718" s="37" t="s">
        <v>4410</v>
      </c>
      <c r="C718" s="38" t="s">
        <v>196</v>
      </c>
      <c r="D718" s="34">
        <v>19806.88</v>
      </c>
      <c r="E718" s="35">
        <v>44603</v>
      </c>
      <c r="F718" s="34">
        <v>19806.88</v>
      </c>
      <c r="G718" s="36">
        <f>Tabla13[[#This Row],[Importe]]-Tabla13[[#This Row],[Pagado]]</f>
        <v>0</v>
      </c>
      <c r="H718" s="38" t="s">
        <v>10</v>
      </c>
    </row>
    <row r="719" spans="1:8" x14ac:dyDescent="0.25">
      <c r="A719" s="31">
        <v>44599</v>
      </c>
      <c r="B719" s="37" t="s">
        <v>4411</v>
      </c>
      <c r="C719" s="38" t="s">
        <v>703</v>
      </c>
      <c r="D719" s="34">
        <v>3622.5</v>
      </c>
      <c r="E719" s="35">
        <v>44599</v>
      </c>
      <c r="F719" s="34">
        <v>3622.5</v>
      </c>
      <c r="G719" s="36">
        <f>Tabla13[[#This Row],[Importe]]-Tabla13[[#This Row],[Pagado]]</f>
        <v>0</v>
      </c>
      <c r="H719" s="38" t="s">
        <v>10</v>
      </c>
    </row>
    <row r="720" spans="1:8" x14ac:dyDescent="0.25">
      <c r="A720" s="31">
        <v>44599</v>
      </c>
      <c r="B720" s="37" t="s">
        <v>4412</v>
      </c>
      <c r="C720" s="38" t="s">
        <v>878</v>
      </c>
      <c r="D720" s="34">
        <v>2295</v>
      </c>
      <c r="E720" s="35">
        <v>44599</v>
      </c>
      <c r="F720" s="34">
        <v>2295</v>
      </c>
      <c r="G720" s="36">
        <f>Tabla13[[#This Row],[Importe]]-Tabla13[[#This Row],[Pagado]]</f>
        <v>0</v>
      </c>
      <c r="H720" s="38" t="s">
        <v>10</v>
      </c>
    </row>
    <row r="721" spans="1:8" x14ac:dyDescent="0.25">
      <c r="A721" s="31">
        <v>44599</v>
      </c>
      <c r="B721" s="37" t="s">
        <v>4413</v>
      </c>
      <c r="C721" s="38" t="s">
        <v>144</v>
      </c>
      <c r="D721" s="34">
        <v>6241.5</v>
      </c>
      <c r="E721" s="35">
        <v>44599</v>
      </c>
      <c r="F721" s="34">
        <v>6241.5</v>
      </c>
      <c r="G721" s="36">
        <f>Tabla13[[#This Row],[Importe]]-Tabla13[[#This Row],[Pagado]]</f>
        <v>0</v>
      </c>
      <c r="H721" s="38" t="s">
        <v>10</v>
      </c>
    </row>
    <row r="722" spans="1:8" x14ac:dyDescent="0.25">
      <c r="A722" s="31">
        <v>44599</v>
      </c>
      <c r="B722" s="37" t="s">
        <v>4414</v>
      </c>
      <c r="C722" s="38" t="s">
        <v>16</v>
      </c>
      <c r="D722" s="34">
        <v>3206.9</v>
      </c>
      <c r="E722" s="35">
        <v>44599</v>
      </c>
      <c r="F722" s="34">
        <v>3206.9</v>
      </c>
      <c r="G722" s="36">
        <f>Tabla13[[#This Row],[Importe]]-Tabla13[[#This Row],[Pagado]]</f>
        <v>0</v>
      </c>
      <c r="H722" s="38" t="s">
        <v>10</v>
      </c>
    </row>
    <row r="723" spans="1:8" x14ac:dyDescent="0.25">
      <c r="A723" s="31">
        <v>44599</v>
      </c>
      <c r="B723" s="37" t="s">
        <v>4415</v>
      </c>
      <c r="C723" s="38" t="s">
        <v>196</v>
      </c>
      <c r="D723" s="34">
        <v>2830.84</v>
      </c>
      <c r="E723" s="35">
        <v>44603</v>
      </c>
      <c r="F723" s="34">
        <v>2830.84</v>
      </c>
      <c r="G723" s="36">
        <f>Tabla13[[#This Row],[Importe]]-Tabla13[[#This Row],[Pagado]]</f>
        <v>0</v>
      </c>
      <c r="H723" s="38" t="s">
        <v>10</v>
      </c>
    </row>
    <row r="724" spans="1:8" x14ac:dyDescent="0.25">
      <c r="A724" s="31">
        <v>44599</v>
      </c>
      <c r="B724" s="37" t="s">
        <v>4416</v>
      </c>
      <c r="C724" s="38" t="s">
        <v>146</v>
      </c>
      <c r="D724" s="34">
        <v>3177.6</v>
      </c>
      <c r="E724" s="35">
        <v>44599</v>
      </c>
      <c r="F724" s="34">
        <v>3177.6</v>
      </c>
      <c r="G724" s="36">
        <f>Tabla13[[#This Row],[Importe]]-Tabla13[[#This Row],[Pagado]]</f>
        <v>0</v>
      </c>
      <c r="H724" s="38" t="s">
        <v>10</v>
      </c>
    </row>
    <row r="725" spans="1:8" x14ac:dyDescent="0.25">
      <c r="A725" s="31">
        <v>44599</v>
      </c>
      <c r="B725" s="37" t="s">
        <v>4417</v>
      </c>
      <c r="C725" s="38" t="s">
        <v>129</v>
      </c>
      <c r="D725" s="34">
        <v>5019.6000000000004</v>
      </c>
      <c r="E725" s="35">
        <v>44599</v>
      </c>
      <c r="F725" s="34">
        <v>5019.6000000000004</v>
      </c>
      <c r="G725" s="36">
        <f>Tabla13[[#This Row],[Importe]]-Tabla13[[#This Row],[Pagado]]</f>
        <v>0</v>
      </c>
      <c r="H725" s="38" t="s">
        <v>10</v>
      </c>
    </row>
    <row r="726" spans="1:8" x14ac:dyDescent="0.25">
      <c r="A726" s="31">
        <v>44599</v>
      </c>
      <c r="B726" s="37" t="s">
        <v>4418</v>
      </c>
      <c r="C726" s="38" t="s">
        <v>127</v>
      </c>
      <c r="D726" s="34">
        <v>4472.3</v>
      </c>
      <c r="E726" s="35">
        <v>44599</v>
      </c>
      <c r="F726" s="34">
        <v>4472.3</v>
      </c>
      <c r="G726" s="36">
        <f>Tabla13[[#This Row],[Importe]]-Tabla13[[#This Row],[Pagado]]</f>
        <v>0</v>
      </c>
      <c r="H726" s="38" t="s">
        <v>10</v>
      </c>
    </row>
    <row r="727" spans="1:8" x14ac:dyDescent="0.25">
      <c r="A727" s="31">
        <v>44599</v>
      </c>
      <c r="B727" s="37" t="s">
        <v>4419</v>
      </c>
      <c r="C727" s="38" t="s">
        <v>140</v>
      </c>
      <c r="D727" s="34">
        <v>1253.7</v>
      </c>
      <c r="E727" s="35">
        <v>44599</v>
      </c>
      <c r="F727" s="34">
        <v>1253.7</v>
      </c>
      <c r="G727" s="36">
        <f>Tabla13[[#This Row],[Importe]]-Tabla13[[#This Row],[Pagado]]</f>
        <v>0</v>
      </c>
      <c r="H727" s="38" t="s">
        <v>10</v>
      </c>
    </row>
    <row r="728" spans="1:8" x14ac:dyDescent="0.25">
      <c r="A728" s="31">
        <v>44599</v>
      </c>
      <c r="B728" s="37" t="s">
        <v>4420</v>
      </c>
      <c r="C728" s="38" t="s">
        <v>2166</v>
      </c>
      <c r="D728" s="34">
        <v>1500</v>
      </c>
      <c r="E728" s="35">
        <v>44599</v>
      </c>
      <c r="F728" s="34">
        <v>1500</v>
      </c>
      <c r="G728" s="36">
        <f>Tabla13[[#This Row],[Importe]]-Tabla13[[#This Row],[Pagado]]</f>
        <v>0</v>
      </c>
      <c r="H728" s="38" t="s">
        <v>10</v>
      </c>
    </row>
    <row r="729" spans="1:8" x14ac:dyDescent="0.25">
      <c r="A729" s="31">
        <v>44599</v>
      </c>
      <c r="B729" s="37" t="s">
        <v>4421</v>
      </c>
      <c r="C729" s="38" t="s">
        <v>357</v>
      </c>
      <c r="D729" s="34">
        <v>1033</v>
      </c>
      <c r="E729" s="35">
        <v>44599</v>
      </c>
      <c r="F729" s="34">
        <v>1033</v>
      </c>
      <c r="G729" s="36">
        <f>Tabla13[[#This Row],[Importe]]-Tabla13[[#This Row],[Pagado]]</f>
        <v>0</v>
      </c>
      <c r="H729" s="38" t="s">
        <v>10</v>
      </c>
    </row>
    <row r="730" spans="1:8" x14ac:dyDescent="0.25">
      <c r="A730" s="31">
        <v>44599</v>
      </c>
      <c r="B730" s="37" t="s">
        <v>4422</v>
      </c>
      <c r="C730" s="38" t="s">
        <v>216</v>
      </c>
      <c r="D730" s="34">
        <v>1621.9</v>
      </c>
      <c r="E730" s="35">
        <v>44599</v>
      </c>
      <c r="F730" s="34">
        <v>1621.9</v>
      </c>
      <c r="G730" s="36">
        <f>Tabla13[[#This Row],[Importe]]-Tabla13[[#This Row],[Pagado]]</f>
        <v>0</v>
      </c>
      <c r="H730" s="38" t="s">
        <v>10</v>
      </c>
    </row>
    <row r="731" spans="1:8" x14ac:dyDescent="0.25">
      <c r="A731" s="31">
        <v>44599</v>
      </c>
      <c r="B731" s="37" t="s">
        <v>4423</v>
      </c>
      <c r="C731" s="38" t="s">
        <v>1362</v>
      </c>
      <c r="D731" s="34">
        <v>2278</v>
      </c>
      <c r="E731" s="35">
        <v>44599</v>
      </c>
      <c r="F731" s="34">
        <v>2278</v>
      </c>
      <c r="G731" s="36">
        <f>Tabla13[[#This Row],[Importe]]-Tabla13[[#This Row],[Pagado]]</f>
        <v>0</v>
      </c>
      <c r="H731" s="38" t="s">
        <v>10</v>
      </c>
    </row>
    <row r="732" spans="1:8" x14ac:dyDescent="0.25">
      <c r="A732" s="31">
        <v>44599</v>
      </c>
      <c r="B732" s="37" t="s">
        <v>4424</v>
      </c>
      <c r="C732" s="38" t="s">
        <v>45</v>
      </c>
      <c r="D732" s="34">
        <v>9536.2000000000007</v>
      </c>
      <c r="E732" s="35">
        <v>44599</v>
      </c>
      <c r="F732" s="34">
        <v>9536.2000000000007</v>
      </c>
      <c r="G732" s="36">
        <f>Tabla13[[#This Row],[Importe]]-Tabla13[[#This Row],[Pagado]]</f>
        <v>0</v>
      </c>
      <c r="H732" s="38" t="s">
        <v>10</v>
      </c>
    </row>
    <row r="733" spans="1:8" x14ac:dyDescent="0.25">
      <c r="A733" s="31">
        <v>44599</v>
      </c>
      <c r="B733" s="37" t="s">
        <v>4425</v>
      </c>
      <c r="C733" s="38" t="s">
        <v>3971</v>
      </c>
      <c r="D733" s="34">
        <v>5320</v>
      </c>
      <c r="E733" s="35">
        <v>44599</v>
      </c>
      <c r="F733" s="34">
        <v>5320</v>
      </c>
      <c r="G733" s="36">
        <f>Tabla13[[#This Row],[Importe]]-Tabla13[[#This Row],[Pagado]]</f>
        <v>0</v>
      </c>
      <c r="H733" s="38" t="s">
        <v>10</v>
      </c>
    </row>
    <row r="734" spans="1:8" x14ac:dyDescent="0.25">
      <c r="A734" s="31">
        <v>44599</v>
      </c>
      <c r="B734" s="37" t="s">
        <v>4426</v>
      </c>
      <c r="C734" s="38" t="s">
        <v>107</v>
      </c>
      <c r="D734" s="34">
        <v>10959.9</v>
      </c>
      <c r="E734" s="35">
        <v>44599</v>
      </c>
      <c r="F734" s="34">
        <v>10959.9</v>
      </c>
      <c r="G734" s="36">
        <f>Tabla13[[#This Row],[Importe]]-Tabla13[[#This Row],[Pagado]]</f>
        <v>0</v>
      </c>
      <c r="H734" s="38" t="s">
        <v>10</v>
      </c>
    </row>
    <row r="735" spans="1:8" x14ac:dyDescent="0.25">
      <c r="A735" s="31">
        <v>44599</v>
      </c>
      <c r="B735" s="37" t="s">
        <v>4427</v>
      </c>
      <c r="C735" s="38" t="s">
        <v>151</v>
      </c>
      <c r="D735" s="34">
        <v>6888.4</v>
      </c>
      <c r="E735" s="35">
        <v>44599</v>
      </c>
      <c r="F735" s="34">
        <v>6888.4</v>
      </c>
      <c r="G735" s="36">
        <f>Tabla13[[#This Row],[Importe]]-Tabla13[[#This Row],[Pagado]]</f>
        <v>0</v>
      </c>
      <c r="H735" s="38" t="s">
        <v>10</v>
      </c>
    </row>
    <row r="736" spans="1:8" x14ac:dyDescent="0.25">
      <c r="A736" s="31">
        <v>44599</v>
      </c>
      <c r="B736" s="37" t="s">
        <v>4428</v>
      </c>
      <c r="C736" s="38" t="s">
        <v>218</v>
      </c>
      <c r="D736" s="34">
        <v>7410.4</v>
      </c>
      <c r="E736" s="35">
        <v>44603</v>
      </c>
      <c r="F736" s="34">
        <v>7410.4</v>
      </c>
      <c r="G736" s="36">
        <f>Tabla13[[#This Row],[Importe]]-Tabla13[[#This Row],[Pagado]]</f>
        <v>0</v>
      </c>
      <c r="H736" s="38" t="s">
        <v>10</v>
      </c>
    </row>
    <row r="737" spans="1:8" x14ac:dyDescent="0.25">
      <c r="A737" s="31">
        <v>44599</v>
      </c>
      <c r="B737" s="37" t="s">
        <v>4429</v>
      </c>
      <c r="C737" s="38" t="s">
        <v>520</v>
      </c>
      <c r="D737" s="34">
        <v>6625.6</v>
      </c>
      <c r="E737" s="35">
        <v>44599</v>
      </c>
      <c r="F737" s="34">
        <v>6625.6</v>
      </c>
      <c r="G737" s="36">
        <f>Tabla13[[#This Row],[Importe]]-Tabla13[[#This Row],[Pagado]]</f>
        <v>0</v>
      </c>
      <c r="H737" s="38" t="s">
        <v>10</v>
      </c>
    </row>
    <row r="738" spans="1:8" x14ac:dyDescent="0.25">
      <c r="A738" s="31">
        <v>44599</v>
      </c>
      <c r="B738" s="37" t="s">
        <v>4430</v>
      </c>
      <c r="C738" s="38" t="s">
        <v>56</v>
      </c>
      <c r="D738" s="34">
        <v>4644.3</v>
      </c>
      <c r="E738" s="35">
        <v>44599</v>
      </c>
      <c r="F738" s="34">
        <v>4644.3</v>
      </c>
      <c r="G738" s="36">
        <f>Tabla13[[#This Row],[Importe]]-Tabla13[[#This Row],[Pagado]]</f>
        <v>0</v>
      </c>
      <c r="H738" s="38" t="s">
        <v>10</v>
      </c>
    </row>
    <row r="739" spans="1:8" x14ac:dyDescent="0.25">
      <c r="A739" s="31">
        <v>44599</v>
      </c>
      <c r="B739" s="37" t="s">
        <v>4431</v>
      </c>
      <c r="C739" s="38" t="s">
        <v>181</v>
      </c>
      <c r="D739" s="34">
        <v>10163.200000000001</v>
      </c>
      <c r="E739" s="35">
        <v>44600</v>
      </c>
      <c r="F739" s="34">
        <v>10163.200000000001</v>
      </c>
      <c r="G739" s="36">
        <f>Tabla13[[#This Row],[Importe]]-Tabla13[[#This Row],[Pagado]]</f>
        <v>0</v>
      </c>
      <c r="H739" s="38" t="s">
        <v>10</v>
      </c>
    </row>
    <row r="740" spans="1:8" x14ac:dyDescent="0.25">
      <c r="A740" s="31">
        <v>44599</v>
      </c>
      <c r="B740" s="37" t="s">
        <v>4432</v>
      </c>
      <c r="C740" s="38" t="s">
        <v>142</v>
      </c>
      <c r="D740" s="34">
        <v>3781.6</v>
      </c>
      <c r="E740" s="35">
        <v>44617</v>
      </c>
      <c r="F740" s="34">
        <v>3781.6</v>
      </c>
      <c r="G740" s="36">
        <f>Tabla13[[#This Row],[Importe]]-Tabla13[[#This Row],[Pagado]]</f>
        <v>0</v>
      </c>
      <c r="H740" s="38" t="s">
        <v>10</v>
      </c>
    </row>
    <row r="741" spans="1:8" x14ac:dyDescent="0.25">
      <c r="A741" s="31">
        <v>44599</v>
      </c>
      <c r="B741" s="37" t="s">
        <v>4433</v>
      </c>
      <c r="C741" s="38" t="s">
        <v>151</v>
      </c>
      <c r="D741" s="34">
        <v>6087.68</v>
      </c>
      <c r="E741" s="35">
        <v>44599</v>
      </c>
      <c r="F741" s="34">
        <v>6087.68</v>
      </c>
      <c r="G741" s="36">
        <f>Tabla13[[#This Row],[Importe]]-Tabla13[[#This Row],[Pagado]]</f>
        <v>0</v>
      </c>
      <c r="H741" s="38" t="s">
        <v>10</v>
      </c>
    </row>
    <row r="742" spans="1:8" x14ac:dyDescent="0.25">
      <c r="A742" s="31">
        <v>44599</v>
      </c>
      <c r="B742" s="37" t="s">
        <v>4434</v>
      </c>
      <c r="C742" s="38" t="s">
        <v>312</v>
      </c>
      <c r="D742" s="34">
        <v>3384</v>
      </c>
      <c r="E742" s="35">
        <v>44600</v>
      </c>
      <c r="F742" s="34">
        <v>3384</v>
      </c>
      <c r="G742" s="36">
        <f>Tabla13[[#This Row],[Importe]]-Tabla13[[#This Row],[Pagado]]</f>
        <v>0</v>
      </c>
      <c r="H742" s="38" t="s">
        <v>10</v>
      </c>
    </row>
    <row r="743" spans="1:8" x14ac:dyDescent="0.25">
      <c r="A743" s="31">
        <v>44599</v>
      </c>
      <c r="B743" s="37" t="s">
        <v>4435</v>
      </c>
      <c r="C743" s="38" t="s">
        <v>198</v>
      </c>
      <c r="D743" s="34">
        <v>4176</v>
      </c>
      <c r="E743" s="35">
        <v>44600</v>
      </c>
      <c r="F743" s="34">
        <v>4176</v>
      </c>
      <c r="G743" s="36">
        <f>Tabla13[[#This Row],[Importe]]-Tabla13[[#This Row],[Pagado]]</f>
        <v>0</v>
      </c>
      <c r="H743" s="38" t="s">
        <v>10</v>
      </c>
    </row>
    <row r="744" spans="1:8" x14ac:dyDescent="0.25">
      <c r="A744" s="31">
        <v>44599</v>
      </c>
      <c r="B744" s="37" t="s">
        <v>4436</v>
      </c>
      <c r="C744" s="38" t="s">
        <v>407</v>
      </c>
      <c r="D744" s="34">
        <v>6800</v>
      </c>
      <c r="E744" s="35">
        <v>44603</v>
      </c>
      <c r="F744" s="34">
        <v>6800</v>
      </c>
      <c r="G744" s="36">
        <f>Tabla13[[#This Row],[Importe]]-Tabla13[[#This Row],[Pagado]]</f>
        <v>0</v>
      </c>
      <c r="H744" s="38" t="s">
        <v>10</v>
      </c>
    </row>
    <row r="745" spans="1:8" x14ac:dyDescent="0.25">
      <c r="A745" s="31">
        <v>44599</v>
      </c>
      <c r="B745" s="37" t="s">
        <v>4437</v>
      </c>
      <c r="C745" s="38" t="s">
        <v>175</v>
      </c>
      <c r="D745" s="34">
        <v>14015.1</v>
      </c>
      <c r="E745" s="35">
        <v>44600</v>
      </c>
      <c r="F745" s="34">
        <v>14015.1</v>
      </c>
      <c r="G745" s="36">
        <f>Tabla13[[#This Row],[Importe]]-Tabla13[[#This Row],[Pagado]]</f>
        <v>0</v>
      </c>
      <c r="H745" s="38" t="s">
        <v>10</v>
      </c>
    </row>
    <row r="746" spans="1:8" x14ac:dyDescent="0.25">
      <c r="A746" s="31">
        <v>44599</v>
      </c>
      <c r="B746" s="37" t="s">
        <v>4438</v>
      </c>
      <c r="C746" s="38" t="s">
        <v>368</v>
      </c>
      <c r="D746" s="34">
        <v>6444.8</v>
      </c>
      <c r="E746" s="35">
        <v>44600</v>
      </c>
      <c r="F746" s="34">
        <v>6444.8</v>
      </c>
      <c r="G746" s="36">
        <f>Tabla13[[#This Row],[Importe]]-Tabla13[[#This Row],[Pagado]]</f>
        <v>0</v>
      </c>
      <c r="H746" s="38" t="s">
        <v>10</v>
      </c>
    </row>
    <row r="747" spans="1:8" x14ac:dyDescent="0.25">
      <c r="A747" s="31">
        <v>44599</v>
      </c>
      <c r="B747" s="37" t="s">
        <v>4439</v>
      </c>
      <c r="C747" s="38" t="s">
        <v>200</v>
      </c>
      <c r="D747" s="34">
        <v>573.29999999999995</v>
      </c>
      <c r="E747" s="35">
        <v>44600</v>
      </c>
      <c r="F747" s="34">
        <v>573.29999999999995</v>
      </c>
      <c r="G747" s="36">
        <f>Tabla13[[#This Row],[Importe]]-Tabla13[[#This Row],[Pagado]]</f>
        <v>0</v>
      </c>
      <c r="H747" s="38" t="s">
        <v>10</v>
      </c>
    </row>
    <row r="748" spans="1:8" x14ac:dyDescent="0.25">
      <c r="A748" s="31">
        <v>44599</v>
      </c>
      <c r="B748" s="37" t="s">
        <v>4440</v>
      </c>
      <c r="C748" s="38" t="s">
        <v>273</v>
      </c>
      <c r="D748" s="34">
        <v>2324</v>
      </c>
      <c r="E748" s="35">
        <v>44600</v>
      </c>
      <c r="F748" s="34">
        <v>2324</v>
      </c>
      <c r="G748" s="36">
        <f>Tabla13[[#This Row],[Importe]]-Tabla13[[#This Row],[Pagado]]</f>
        <v>0</v>
      </c>
      <c r="H748" s="38" t="s">
        <v>10</v>
      </c>
    </row>
    <row r="749" spans="1:8" x14ac:dyDescent="0.25">
      <c r="A749" s="31">
        <v>44599</v>
      </c>
      <c r="B749" s="37" t="s">
        <v>4441</v>
      </c>
      <c r="C749" s="38" t="s">
        <v>157</v>
      </c>
      <c r="D749" s="34">
        <v>2336.4</v>
      </c>
      <c r="E749" s="35">
        <v>44599</v>
      </c>
      <c r="F749" s="34">
        <v>2336.4</v>
      </c>
      <c r="G749" s="36">
        <f>Tabla13[[#This Row],[Importe]]-Tabla13[[#This Row],[Pagado]]</f>
        <v>0</v>
      </c>
      <c r="H749" s="38" t="s">
        <v>10</v>
      </c>
    </row>
    <row r="750" spans="1:8" x14ac:dyDescent="0.25">
      <c r="A750" s="31">
        <v>44599</v>
      </c>
      <c r="B750" s="37" t="s">
        <v>4442</v>
      </c>
      <c r="C750" s="38" t="s">
        <v>75</v>
      </c>
      <c r="D750" s="34">
        <v>6355.3</v>
      </c>
      <c r="E750" s="35">
        <v>44600</v>
      </c>
      <c r="F750" s="34">
        <v>6355.3</v>
      </c>
      <c r="G750" s="36">
        <f>Tabla13[[#This Row],[Importe]]-Tabla13[[#This Row],[Pagado]]</f>
        <v>0</v>
      </c>
      <c r="H750" s="38" t="s">
        <v>10</v>
      </c>
    </row>
    <row r="751" spans="1:8" x14ac:dyDescent="0.25">
      <c r="A751" s="31">
        <v>44599</v>
      </c>
      <c r="B751" s="37" t="s">
        <v>4443</v>
      </c>
      <c r="C751" s="38" t="s">
        <v>2114</v>
      </c>
      <c r="D751" s="34">
        <v>1510.4</v>
      </c>
      <c r="E751" s="35">
        <v>44599</v>
      </c>
      <c r="F751" s="34">
        <v>1510.4</v>
      </c>
      <c r="G751" s="36">
        <f>Tabla13[[#This Row],[Importe]]-Tabla13[[#This Row],[Pagado]]</f>
        <v>0</v>
      </c>
      <c r="H751" s="38" t="s">
        <v>10</v>
      </c>
    </row>
    <row r="752" spans="1:8" x14ac:dyDescent="0.25">
      <c r="A752" s="31">
        <v>44599</v>
      </c>
      <c r="B752" s="37" t="s">
        <v>4444</v>
      </c>
      <c r="C752" s="38" t="s">
        <v>426</v>
      </c>
      <c r="D752" s="34">
        <v>3500</v>
      </c>
      <c r="E752" s="35">
        <v>44600</v>
      </c>
      <c r="F752" s="34">
        <v>3500</v>
      </c>
      <c r="G752" s="36">
        <f>Tabla13[[#This Row],[Importe]]-Tabla13[[#This Row],[Pagado]]</f>
        <v>0</v>
      </c>
      <c r="H752" s="38" t="s">
        <v>10</v>
      </c>
    </row>
    <row r="753" spans="1:8" x14ac:dyDescent="0.25">
      <c r="A753" s="31">
        <v>44599</v>
      </c>
      <c r="B753" s="37" t="s">
        <v>4445</v>
      </c>
      <c r="C753" s="38" t="s">
        <v>380</v>
      </c>
      <c r="D753" s="34">
        <v>16130.6</v>
      </c>
      <c r="E753" s="35">
        <v>44599</v>
      </c>
      <c r="F753" s="34">
        <v>16130.6</v>
      </c>
      <c r="G753" s="36">
        <f>Tabla13[[#This Row],[Importe]]-Tabla13[[#This Row],[Pagado]]</f>
        <v>0</v>
      </c>
      <c r="H753" s="38" t="s">
        <v>10</v>
      </c>
    </row>
    <row r="754" spans="1:8" x14ac:dyDescent="0.25">
      <c r="A754" s="31">
        <v>44599</v>
      </c>
      <c r="B754" s="37" t="s">
        <v>4446</v>
      </c>
      <c r="C754" s="38" t="s">
        <v>280</v>
      </c>
      <c r="D754" s="34">
        <v>529.20000000000005</v>
      </c>
      <c r="E754" s="35">
        <v>44600</v>
      </c>
      <c r="F754" s="34">
        <v>529.20000000000005</v>
      </c>
      <c r="G754" s="36">
        <f>Tabla13[[#This Row],[Importe]]-Tabla13[[#This Row],[Pagado]]</f>
        <v>0</v>
      </c>
      <c r="H754" s="38" t="s">
        <v>10</v>
      </c>
    </row>
    <row r="755" spans="1:8" x14ac:dyDescent="0.25">
      <c r="A755" s="31">
        <v>44599</v>
      </c>
      <c r="B755" s="37" t="s">
        <v>4447</v>
      </c>
      <c r="C755" s="38" t="s">
        <v>284</v>
      </c>
      <c r="D755" s="34">
        <v>4106.2</v>
      </c>
      <c r="E755" s="35">
        <v>44600</v>
      </c>
      <c r="F755" s="34">
        <v>4106.2</v>
      </c>
      <c r="G755" s="36">
        <f>Tabla13[[#This Row],[Importe]]-Tabla13[[#This Row],[Pagado]]</f>
        <v>0</v>
      </c>
      <c r="H755" s="38" t="s">
        <v>10</v>
      </c>
    </row>
    <row r="756" spans="1:8" x14ac:dyDescent="0.25">
      <c r="A756" s="31">
        <v>44599</v>
      </c>
      <c r="B756" s="37" t="s">
        <v>4448</v>
      </c>
      <c r="C756" s="38" t="s">
        <v>208</v>
      </c>
      <c r="D756" s="34">
        <v>12662.5</v>
      </c>
      <c r="E756" s="35">
        <v>44603</v>
      </c>
      <c r="F756" s="34">
        <v>12662.5</v>
      </c>
      <c r="G756" s="36">
        <f>Tabla13[[#This Row],[Importe]]-Tabla13[[#This Row],[Pagado]]</f>
        <v>0</v>
      </c>
      <c r="H756" s="38" t="s">
        <v>10</v>
      </c>
    </row>
    <row r="757" spans="1:8" x14ac:dyDescent="0.25">
      <c r="A757" s="31">
        <v>44599</v>
      </c>
      <c r="B757" s="37" t="s">
        <v>4449</v>
      </c>
      <c r="C757" s="38" t="s">
        <v>191</v>
      </c>
      <c r="D757" s="34">
        <v>2864.4</v>
      </c>
      <c r="E757" s="35">
        <v>44599</v>
      </c>
      <c r="F757" s="34">
        <v>2864.4</v>
      </c>
      <c r="G757" s="36">
        <f>Tabla13[[#This Row],[Importe]]-Tabla13[[#This Row],[Pagado]]</f>
        <v>0</v>
      </c>
      <c r="H757" s="38" t="s">
        <v>10</v>
      </c>
    </row>
    <row r="758" spans="1:8" x14ac:dyDescent="0.25">
      <c r="A758" s="31">
        <v>44599</v>
      </c>
      <c r="B758" s="37" t="s">
        <v>4450</v>
      </c>
      <c r="C758" s="38" t="s">
        <v>154</v>
      </c>
      <c r="D758" s="34">
        <v>26895</v>
      </c>
      <c r="E758" s="35">
        <v>44603</v>
      </c>
      <c r="F758" s="34">
        <v>26895</v>
      </c>
      <c r="G758" s="36">
        <f>Tabla13[[#This Row],[Importe]]-Tabla13[[#This Row],[Pagado]]</f>
        <v>0</v>
      </c>
      <c r="H758" s="38" t="s">
        <v>10</v>
      </c>
    </row>
    <row r="759" spans="1:8" x14ac:dyDescent="0.25">
      <c r="A759" s="31">
        <v>44599</v>
      </c>
      <c r="B759" s="37" t="s">
        <v>4451</v>
      </c>
      <c r="C759" s="38" t="s">
        <v>49</v>
      </c>
      <c r="D759" s="34">
        <v>2775.5</v>
      </c>
      <c r="E759" s="35">
        <v>44599</v>
      </c>
      <c r="F759" s="34">
        <v>2775.5</v>
      </c>
      <c r="G759" s="36">
        <f>Tabla13[[#This Row],[Importe]]-Tabla13[[#This Row],[Pagado]]</f>
        <v>0</v>
      </c>
      <c r="H759" s="38" t="s">
        <v>10</v>
      </c>
    </row>
    <row r="760" spans="1:8" x14ac:dyDescent="0.25">
      <c r="A760" s="31">
        <v>44599</v>
      </c>
      <c r="B760" s="37" t="s">
        <v>4452</v>
      </c>
      <c r="C760" s="38" t="s">
        <v>212</v>
      </c>
      <c r="D760" s="34">
        <v>30011</v>
      </c>
      <c r="E760" s="35">
        <v>44604</v>
      </c>
      <c r="F760" s="34">
        <v>30011</v>
      </c>
      <c r="G760" s="36">
        <f>Tabla13[[#This Row],[Importe]]-Tabla13[[#This Row],[Pagado]]</f>
        <v>0</v>
      </c>
      <c r="H760" s="38" t="s">
        <v>10</v>
      </c>
    </row>
    <row r="761" spans="1:8" x14ac:dyDescent="0.25">
      <c r="A761" s="31">
        <v>44599</v>
      </c>
      <c r="B761" s="37" t="s">
        <v>4453</v>
      </c>
      <c r="C761" s="38" t="s">
        <v>291</v>
      </c>
      <c r="D761" s="34">
        <v>3516.2</v>
      </c>
      <c r="E761" s="35">
        <v>44600</v>
      </c>
      <c r="F761" s="34">
        <v>3516.2</v>
      </c>
      <c r="G761" s="36">
        <f>Tabla13[[#This Row],[Importe]]-Tabla13[[#This Row],[Pagado]]</f>
        <v>0</v>
      </c>
      <c r="H761" s="38" t="s">
        <v>10</v>
      </c>
    </row>
    <row r="762" spans="1:8" x14ac:dyDescent="0.25">
      <c r="A762" s="31">
        <v>44599</v>
      </c>
      <c r="B762" s="37" t="s">
        <v>4454</v>
      </c>
      <c r="C762" s="38" t="s">
        <v>159</v>
      </c>
      <c r="D762" s="34">
        <v>1710.2</v>
      </c>
      <c r="E762" s="35">
        <v>44599</v>
      </c>
      <c r="F762" s="34">
        <v>1710.2</v>
      </c>
      <c r="G762" s="36">
        <f>Tabla13[[#This Row],[Importe]]-Tabla13[[#This Row],[Pagado]]</f>
        <v>0</v>
      </c>
      <c r="H762" s="38" t="s">
        <v>10</v>
      </c>
    </row>
    <row r="763" spans="1:8" x14ac:dyDescent="0.25">
      <c r="A763" s="31">
        <v>44599</v>
      </c>
      <c r="B763" s="37" t="s">
        <v>4455</v>
      </c>
      <c r="C763" s="38" t="s">
        <v>291</v>
      </c>
      <c r="D763" s="34">
        <v>576</v>
      </c>
      <c r="E763" s="35">
        <v>44600</v>
      </c>
      <c r="F763" s="34">
        <v>576</v>
      </c>
      <c r="G763" s="36">
        <f>Tabla13[[#This Row],[Importe]]-Tabla13[[#This Row],[Pagado]]</f>
        <v>0</v>
      </c>
      <c r="H763" s="38" t="s">
        <v>10</v>
      </c>
    </row>
    <row r="764" spans="1:8" x14ac:dyDescent="0.25">
      <c r="A764" s="31">
        <v>44599</v>
      </c>
      <c r="B764" s="37" t="s">
        <v>4456</v>
      </c>
      <c r="C764" s="38" t="s">
        <v>79</v>
      </c>
      <c r="D764" s="34">
        <v>8598.9</v>
      </c>
      <c r="E764" s="35">
        <v>44599</v>
      </c>
      <c r="F764" s="34">
        <v>8598.9</v>
      </c>
      <c r="G764" s="36">
        <f>Tabla13[[#This Row],[Importe]]-Tabla13[[#This Row],[Pagado]]</f>
        <v>0</v>
      </c>
      <c r="H764" s="38" t="s">
        <v>10</v>
      </c>
    </row>
    <row r="765" spans="1:8" x14ac:dyDescent="0.25">
      <c r="A765" s="31">
        <v>44599</v>
      </c>
      <c r="B765" s="37" t="s">
        <v>4457</v>
      </c>
      <c r="C765" s="38" t="s">
        <v>518</v>
      </c>
      <c r="D765" s="34">
        <v>1454.4</v>
      </c>
      <c r="E765" s="35">
        <v>44599</v>
      </c>
      <c r="F765" s="34">
        <v>1454.4</v>
      </c>
      <c r="G765" s="36">
        <f>Tabla13[[#This Row],[Importe]]-Tabla13[[#This Row],[Pagado]]</f>
        <v>0</v>
      </c>
      <c r="H765" s="38" t="s">
        <v>10</v>
      </c>
    </row>
    <row r="766" spans="1:8" x14ac:dyDescent="0.25">
      <c r="A766" s="31">
        <v>44599</v>
      </c>
      <c r="B766" s="37" t="s">
        <v>4458</v>
      </c>
      <c r="C766" s="38" t="s">
        <v>282</v>
      </c>
      <c r="D766" s="34">
        <v>2102.1</v>
      </c>
      <c r="E766" s="35">
        <v>44600</v>
      </c>
      <c r="F766" s="34">
        <v>2102.1</v>
      </c>
      <c r="G766" s="36">
        <f>Tabla13[[#This Row],[Importe]]-Tabla13[[#This Row],[Pagado]]</f>
        <v>0</v>
      </c>
      <c r="H766" s="38" t="s">
        <v>10</v>
      </c>
    </row>
    <row r="767" spans="1:8" x14ac:dyDescent="0.25">
      <c r="A767" s="31">
        <v>44599</v>
      </c>
      <c r="B767" s="37" t="s">
        <v>4459</v>
      </c>
      <c r="C767" s="38" t="s">
        <v>518</v>
      </c>
      <c r="D767" s="34">
        <v>1628.8</v>
      </c>
      <c r="E767" s="35">
        <v>44599</v>
      </c>
      <c r="F767" s="34">
        <v>1628.8</v>
      </c>
      <c r="G767" s="36">
        <f>Tabla13[[#This Row],[Importe]]-Tabla13[[#This Row],[Pagado]]</f>
        <v>0</v>
      </c>
      <c r="H767" s="38" t="s">
        <v>10</v>
      </c>
    </row>
    <row r="768" spans="1:8" x14ac:dyDescent="0.25">
      <c r="A768" s="31">
        <v>44599</v>
      </c>
      <c r="B768" s="37" t="s">
        <v>4460</v>
      </c>
      <c r="C768" s="38" t="s">
        <v>135</v>
      </c>
      <c r="D768" s="34">
        <v>1031.2</v>
      </c>
      <c r="E768" s="35">
        <v>44599</v>
      </c>
      <c r="F768" s="34">
        <v>1031.2</v>
      </c>
      <c r="G768" s="36">
        <f>Tabla13[[#This Row],[Importe]]-Tabla13[[#This Row],[Pagado]]</f>
        <v>0</v>
      </c>
      <c r="H768" s="38" t="s">
        <v>10</v>
      </c>
    </row>
    <row r="769" spans="1:8" x14ac:dyDescent="0.25">
      <c r="A769" s="31">
        <v>44599</v>
      </c>
      <c r="B769" s="37" t="s">
        <v>4461</v>
      </c>
      <c r="C769" s="38" t="s">
        <v>1965</v>
      </c>
      <c r="D769" s="34">
        <v>6341.2</v>
      </c>
      <c r="E769" s="35">
        <v>44599</v>
      </c>
      <c r="F769" s="34">
        <v>6341.2</v>
      </c>
      <c r="G769" s="36">
        <f>Tabla13[[#This Row],[Importe]]-Tabla13[[#This Row],[Pagado]]</f>
        <v>0</v>
      </c>
      <c r="H769" s="38" t="s">
        <v>10</v>
      </c>
    </row>
    <row r="770" spans="1:8" x14ac:dyDescent="0.25">
      <c r="A770" s="31">
        <v>44599</v>
      </c>
      <c r="B770" s="37" t="s">
        <v>4462</v>
      </c>
      <c r="C770" s="38" t="s">
        <v>373</v>
      </c>
      <c r="D770" s="34">
        <v>465.6</v>
      </c>
      <c r="E770" s="35">
        <v>44599</v>
      </c>
      <c r="F770" s="34">
        <v>465.6</v>
      </c>
      <c r="G770" s="36">
        <f>Tabla13[[#This Row],[Importe]]-Tabla13[[#This Row],[Pagado]]</f>
        <v>0</v>
      </c>
      <c r="H770" s="38" t="s">
        <v>10</v>
      </c>
    </row>
    <row r="771" spans="1:8" x14ac:dyDescent="0.25">
      <c r="A771" s="31">
        <v>44599</v>
      </c>
      <c r="B771" s="37" t="s">
        <v>4463</v>
      </c>
      <c r="C771" s="38" t="s">
        <v>206</v>
      </c>
      <c r="D771" s="34">
        <v>18172.7</v>
      </c>
      <c r="E771" s="35">
        <v>44603</v>
      </c>
      <c r="F771" s="34">
        <v>18172.7</v>
      </c>
      <c r="G771" s="36">
        <f>Tabla13[[#This Row],[Importe]]-Tabla13[[#This Row],[Pagado]]</f>
        <v>0</v>
      </c>
      <c r="H771" s="38" t="s">
        <v>10</v>
      </c>
    </row>
    <row r="772" spans="1:8" x14ac:dyDescent="0.25">
      <c r="A772" s="31">
        <v>44599</v>
      </c>
      <c r="B772" s="37" t="s">
        <v>4464</v>
      </c>
      <c r="C772" s="38" t="s">
        <v>224</v>
      </c>
      <c r="D772" s="34">
        <v>380.8</v>
      </c>
      <c r="E772" s="35">
        <v>44599</v>
      </c>
      <c r="F772" s="34">
        <v>380.8</v>
      </c>
      <c r="G772" s="36">
        <f>Tabla13[[#This Row],[Importe]]-Tabla13[[#This Row],[Pagado]]</f>
        <v>0</v>
      </c>
      <c r="H772" s="38" t="s">
        <v>10</v>
      </c>
    </row>
    <row r="773" spans="1:8" x14ac:dyDescent="0.25">
      <c r="A773" s="31">
        <v>44599</v>
      </c>
      <c r="B773" s="37" t="s">
        <v>4465</v>
      </c>
      <c r="C773" s="38" t="s">
        <v>230</v>
      </c>
      <c r="D773" s="34">
        <v>3614.6</v>
      </c>
      <c r="E773" s="35">
        <v>44599</v>
      </c>
      <c r="F773" s="34">
        <v>3614.6</v>
      </c>
      <c r="G773" s="36">
        <f>Tabla13[[#This Row],[Importe]]-Tabla13[[#This Row],[Pagado]]</f>
        <v>0</v>
      </c>
      <c r="H773" s="38" t="s">
        <v>10</v>
      </c>
    </row>
    <row r="774" spans="1:8" x14ac:dyDescent="0.25">
      <c r="A774" s="31">
        <v>44599</v>
      </c>
      <c r="B774" s="37" t="s">
        <v>4466</v>
      </c>
      <c r="C774" s="38" t="s">
        <v>222</v>
      </c>
      <c r="D774" s="34">
        <v>8348.5</v>
      </c>
      <c r="E774" s="35">
        <v>44599</v>
      </c>
      <c r="F774" s="34">
        <v>8348.5</v>
      </c>
      <c r="G774" s="36">
        <f>Tabla13[[#This Row],[Importe]]-Tabla13[[#This Row],[Pagado]]</f>
        <v>0</v>
      </c>
      <c r="H774" s="38" t="s">
        <v>10</v>
      </c>
    </row>
    <row r="775" spans="1:8" x14ac:dyDescent="0.25">
      <c r="A775" s="31">
        <v>44599</v>
      </c>
      <c r="B775" s="37" t="s">
        <v>4467</v>
      </c>
      <c r="C775" s="38" t="s">
        <v>24</v>
      </c>
      <c r="D775" s="34">
        <v>1650.8</v>
      </c>
      <c r="E775" s="35" t="s">
        <v>4468</v>
      </c>
      <c r="F775" s="34">
        <v>1650.8</v>
      </c>
      <c r="G775" s="36">
        <f>Tabla13[[#This Row],[Importe]]-Tabla13[[#This Row],[Pagado]]</f>
        <v>0</v>
      </c>
      <c r="H775" s="38" t="s">
        <v>10</v>
      </c>
    </row>
    <row r="776" spans="1:8" x14ac:dyDescent="0.25">
      <c r="A776" s="31">
        <v>44599</v>
      </c>
      <c r="B776" s="37" t="s">
        <v>4469</v>
      </c>
      <c r="C776" s="38" t="s">
        <v>173</v>
      </c>
      <c r="D776" s="34">
        <v>24998.400000000001</v>
      </c>
      <c r="E776" s="35">
        <v>44600</v>
      </c>
      <c r="F776" s="34">
        <v>24998.400000000001</v>
      </c>
      <c r="G776" s="36">
        <f>Tabla13[[#This Row],[Importe]]-Tabla13[[#This Row],[Pagado]]</f>
        <v>0</v>
      </c>
      <c r="H776" s="38" t="s">
        <v>10</v>
      </c>
    </row>
    <row r="777" spans="1:8" x14ac:dyDescent="0.25">
      <c r="A777" s="31">
        <v>44599</v>
      </c>
      <c r="B777" s="37" t="s">
        <v>4470</v>
      </c>
      <c r="C777" s="38" t="s">
        <v>240</v>
      </c>
      <c r="D777" s="34">
        <v>11136</v>
      </c>
      <c r="E777" s="35">
        <v>44599</v>
      </c>
      <c r="F777" s="34">
        <v>11136</v>
      </c>
      <c r="G777" s="36">
        <f>Tabla13[[#This Row],[Importe]]-Tabla13[[#This Row],[Pagado]]</f>
        <v>0</v>
      </c>
      <c r="H777" s="38" t="s">
        <v>10</v>
      </c>
    </row>
    <row r="778" spans="1:8" x14ac:dyDescent="0.25">
      <c r="A778" s="31">
        <v>44599</v>
      </c>
      <c r="B778" s="37" t="s">
        <v>4471</v>
      </c>
      <c r="C778" s="38" t="s">
        <v>31</v>
      </c>
      <c r="D778" s="34">
        <v>1798.3</v>
      </c>
      <c r="E778" s="35">
        <v>44599</v>
      </c>
      <c r="F778" s="34">
        <v>1798.3</v>
      </c>
      <c r="G778" s="36">
        <f>Tabla13[[#This Row],[Importe]]-Tabla13[[#This Row],[Pagado]]</f>
        <v>0</v>
      </c>
      <c r="H778" s="38" t="s">
        <v>10</v>
      </c>
    </row>
    <row r="779" spans="1:8" x14ac:dyDescent="0.25">
      <c r="A779" s="31">
        <v>44599</v>
      </c>
      <c r="B779" s="37" t="s">
        <v>4472</v>
      </c>
      <c r="C779" s="38" t="s">
        <v>62</v>
      </c>
      <c r="D779" s="34">
        <v>3367.2</v>
      </c>
      <c r="E779" s="35">
        <v>44599</v>
      </c>
      <c r="F779" s="34">
        <v>3367.2</v>
      </c>
      <c r="G779" s="36">
        <f>Tabla13[[#This Row],[Importe]]-Tabla13[[#This Row],[Pagado]]</f>
        <v>0</v>
      </c>
      <c r="H779" s="38" t="s">
        <v>10</v>
      </c>
    </row>
    <row r="780" spans="1:8" x14ac:dyDescent="0.25">
      <c r="A780" s="31">
        <v>44599</v>
      </c>
      <c r="B780" s="37" t="s">
        <v>4473</v>
      </c>
      <c r="C780" s="38" t="s">
        <v>62</v>
      </c>
      <c r="D780" s="34">
        <v>5242.5</v>
      </c>
      <c r="E780" s="35">
        <v>44599</v>
      </c>
      <c r="F780" s="34">
        <v>5242.5</v>
      </c>
      <c r="G780" s="36">
        <f>Tabla13[[#This Row],[Importe]]-Tabla13[[#This Row],[Pagado]]</f>
        <v>0</v>
      </c>
      <c r="H780" s="38" t="s">
        <v>10</v>
      </c>
    </row>
    <row r="781" spans="1:8" x14ac:dyDescent="0.25">
      <c r="A781" s="31">
        <v>44599</v>
      </c>
      <c r="B781" s="37" t="s">
        <v>4474</v>
      </c>
      <c r="C781" s="38" t="s">
        <v>407</v>
      </c>
      <c r="D781" s="34">
        <v>12364.8</v>
      </c>
      <c r="E781" s="35">
        <v>44603</v>
      </c>
      <c r="F781" s="34">
        <v>12364.8</v>
      </c>
      <c r="G781" s="36">
        <f>Tabla13[[#This Row],[Importe]]-Tabla13[[#This Row],[Pagado]]</f>
        <v>0</v>
      </c>
      <c r="H781" s="38" t="s">
        <v>10</v>
      </c>
    </row>
    <row r="782" spans="1:8" x14ac:dyDescent="0.25">
      <c r="A782" s="31">
        <v>44599</v>
      </c>
      <c r="B782" s="37" t="s">
        <v>4475</v>
      </c>
      <c r="C782" s="38" t="s">
        <v>419</v>
      </c>
      <c r="D782" s="34">
        <v>5949.4</v>
      </c>
      <c r="E782" s="35">
        <v>44599</v>
      </c>
      <c r="F782" s="34">
        <v>5949.4</v>
      </c>
      <c r="G782" s="36">
        <f>Tabla13[[#This Row],[Importe]]-Tabla13[[#This Row],[Pagado]]</f>
        <v>0</v>
      </c>
      <c r="H782" s="38" t="s">
        <v>10</v>
      </c>
    </row>
    <row r="783" spans="1:8" x14ac:dyDescent="0.25">
      <c r="A783" s="31">
        <v>44599</v>
      </c>
      <c r="B783" s="37" t="s">
        <v>4476</v>
      </c>
      <c r="C783" s="38" t="s">
        <v>592</v>
      </c>
      <c r="D783" s="34">
        <v>40586.1</v>
      </c>
      <c r="E783" s="35">
        <v>44607</v>
      </c>
      <c r="F783" s="34">
        <v>40586.1</v>
      </c>
      <c r="G783" s="36">
        <f>Tabla13[[#This Row],[Importe]]-Tabla13[[#This Row],[Pagado]]</f>
        <v>0</v>
      </c>
      <c r="H783" s="38" t="s">
        <v>10</v>
      </c>
    </row>
    <row r="784" spans="1:8" x14ac:dyDescent="0.25">
      <c r="A784" s="31">
        <v>44599</v>
      </c>
      <c r="B784" s="37" t="s">
        <v>4477</v>
      </c>
      <c r="C784" s="38" t="s">
        <v>133</v>
      </c>
      <c r="D784" s="34">
        <v>10694.4</v>
      </c>
      <c r="E784" s="35">
        <v>44600</v>
      </c>
      <c r="F784" s="34">
        <v>10694.4</v>
      </c>
      <c r="G784" s="36">
        <f>Tabla13[[#This Row],[Importe]]-Tabla13[[#This Row],[Pagado]]</f>
        <v>0</v>
      </c>
      <c r="H784" s="38" t="s">
        <v>10</v>
      </c>
    </row>
    <row r="785" spans="1:8" x14ac:dyDescent="0.25">
      <c r="A785" s="31">
        <v>44599</v>
      </c>
      <c r="B785" s="37" t="s">
        <v>4478</v>
      </c>
      <c r="C785" s="38" t="s">
        <v>1630</v>
      </c>
      <c r="D785" s="34">
        <v>8760.7999999999993</v>
      </c>
      <c r="E785" s="35">
        <v>44600</v>
      </c>
      <c r="F785" s="34">
        <v>8760.7999999999993</v>
      </c>
      <c r="G785" s="36">
        <f>Tabla13[[#This Row],[Importe]]-Tabla13[[#This Row],[Pagado]]</f>
        <v>0</v>
      </c>
      <c r="H785" s="38" t="s">
        <v>10</v>
      </c>
    </row>
    <row r="786" spans="1:8" x14ac:dyDescent="0.25">
      <c r="A786" s="31">
        <v>44599</v>
      </c>
      <c r="B786" s="37" t="s">
        <v>4479</v>
      </c>
      <c r="C786" s="38" t="s">
        <v>1265</v>
      </c>
      <c r="D786" s="34">
        <v>487.6</v>
      </c>
      <c r="E786" s="35">
        <v>44599</v>
      </c>
      <c r="F786" s="34">
        <v>487.6</v>
      </c>
      <c r="G786" s="36">
        <f>Tabla13[[#This Row],[Importe]]-Tabla13[[#This Row],[Pagado]]</f>
        <v>0</v>
      </c>
      <c r="H786" s="38" t="s">
        <v>10</v>
      </c>
    </row>
    <row r="787" spans="1:8" x14ac:dyDescent="0.25">
      <c r="A787" s="31">
        <v>44599</v>
      </c>
      <c r="B787" s="37" t="s">
        <v>4480</v>
      </c>
      <c r="C787" s="38" t="s">
        <v>4481</v>
      </c>
      <c r="D787" s="34">
        <v>0</v>
      </c>
      <c r="E787" s="39" t="s">
        <v>189</v>
      </c>
      <c r="F787" s="34">
        <v>0</v>
      </c>
      <c r="G787" s="36">
        <f>Tabla13[[#This Row],[Importe]]-Tabla13[[#This Row],[Pagado]]</f>
        <v>0</v>
      </c>
      <c r="H787" s="38" t="s">
        <v>189</v>
      </c>
    </row>
    <row r="788" spans="1:8" x14ac:dyDescent="0.25">
      <c r="A788" s="31">
        <v>44599</v>
      </c>
      <c r="B788" s="37" t="s">
        <v>4482</v>
      </c>
      <c r="C788" s="38" t="s">
        <v>31</v>
      </c>
      <c r="D788" s="34">
        <v>3640.7</v>
      </c>
      <c r="E788" s="35">
        <v>44600</v>
      </c>
      <c r="F788" s="34">
        <v>3640.7</v>
      </c>
      <c r="G788" s="36">
        <f>Tabla13[[#This Row],[Importe]]-Tabla13[[#This Row],[Pagado]]</f>
        <v>0</v>
      </c>
      <c r="H788" s="38" t="s">
        <v>10</v>
      </c>
    </row>
    <row r="789" spans="1:8" x14ac:dyDescent="0.25">
      <c r="A789" s="31">
        <v>44599</v>
      </c>
      <c r="B789" s="37" t="s">
        <v>4483</v>
      </c>
      <c r="C789" s="38" t="s">
        <v>1644</v>
      </c>
      <c r="D789" s="34">
        <v>8102.4</v>
      </c>
      <c r="E789" s="35">
        <v>44600</v>
      </c>
      <c r="F789" s="34">
        <v>8102.4</v>
      </c>
      <c r="G789" s="36">
        <f>Tabla13[[#This Row],[Importe]]-Tabla13[[#This Row],[Pagado]]</f>
        <v>0</v>
      </c>
      <c r="H789" s="38" t="s">
        <v>10</v>
      </c>
    </row>
    <row r="790" spans="1:8" x14ac:dyDescent="0.25">
      <c r="A790" s="31">
        <v>44599</v>
      </c>
      <c r="B790" s="37" t="s">
        <v>4484</v>
      </c>
      <c r="C790" s="38" t="s">
        <v>1630</v>
      </c>
      <c r="D790" s="34">
        <v>664.2</v>
      </c>
      <c r="E790" s="35">
        <v>44600</v>
      </c>
      <c r="F790" s="34">
        <v>664.2</v>
      </c>
      <c r="G790" s="36">
        <f>Tabla13[[#This Row],[Importe]]-Tabla13[[#This Row],[Pagado]]</f>
        <v>0</v>
      </c>
      <c r="H790" s="38" t="s">
        <v>10</v>
      </c>
    </row>
    <row r="791" spans="1:8" x14ac:dyDescent="0.25">
      <c r="A791" s="31">
        <v>44599</v>
      </c>
      <c r="B791" s="37" t="s">
        <v>4485</v>
      </c>
      <c r="C791" s="38" t="s">
        <v>69</v>
      </c>
      <c r="D791" s="34">
        <v>2484.3000000000002</v>
      </c>
      <c r="E791" s="35">
        <v>44599</v>
      </c>
      <c r="F791" s="34">
        <v>2484.3000000000002</v>
      </c>
      <c r="G791" s="36">
        <f>Tabla13[[#This Row],[Importe]]-Tabla13[[#This Row],[Pagado]]</f>
        <v>0</v>
      </c>
      <c r="H791" s="38" t="s">
        <v>10</v>
      </c>
    </row>
    <row r="792" spans="1:8" x14ac:dyDescent="0.25">
      <c r="A792" s="31">
        <v>44599</v>
      </c>
      <c r="B792" s="37" t="s">
        <v>4486</v>
      </c>
      <c r="C792" s="38" t="s">
        <v>440</v>
      </c>
      <c r="D792" s="34">
        <v>17201.46</v>
      </c>
      <c r="E792" s="35">
        <v>44608</v>
      </c>
      <c r="F792" s="34">
        <v>17201.46</v>
      </c>
      <c r="G792" s="36">
        <f>Tabla13[[#This Row],[Importe]]-Tabla13[[#This Row],[Pagado]]</f>
        <v>0</v>
      </c>
      <c r="H792" s="38" t="s">
        <v>10</v>
      </c>
    </row>
    <row r="793" spans="1:8" x14ac:dyDescent="0.25">
      <c r="A793" s="31">
        <v>44599</v>
      </c>
      <c r="B793" s="37" t="s">
        <v>4487</v>
      </c>
      <c r="C793" s="38" t="s">
        <v>698</v>
      </c>
      <c r="D793" s="34">
        <v>6575.8</v>
      </c>
      <c r="E793" s="35">
        <v>44599</v>
      </c>
      <c r="F793" s="34">
        <v>6575.8</v>
      </c>
      <c r="G793" s="36">
        <f>Tabla13[[#This Row],[Importe]]-Tabla13[[#This Row],[Pagado]]</f>
        <v>0</v>
      </c>
      <c r="H793" s="38" t="s">
        <v>10</v>
      </c>
    </row>
    <row r="794" spans="1:8" x14ac:dyDescent="0.25">
      <c r="A794" s="31">
        <v>44599</v>
      </c>
      <c r="B794" s="37" t="s">
        <v>4488</v>
      </c>
      <c r="C794" s="38" t="s">
        <v>269</v>
      </c>
      <c r="D794" s="34">
        <v>2460.4</v>
      </c>
      <c r="E794" s="35">
        <v>44599</v>
      </c>
      <c r="F794" s="34">
        <v>2460.4</v>
      </c>
      <c r="G794" s="36">
        <f>Tabla13[[#This Row],[Importe]]-Tabla13[[#This Row],[Pagado]]</f>
        <v>0</v>
      </c>
      <c r="H794" s="38" t="s">
        <v>10</v>
      </c>
    </row>
    <row r="795" spans="1:8" x14ac:dyDescent="0.25">
      <c r="A795" s="31">
        <v>44599</v>
      </c>
      <c r="B795" s="37" t="s">
        <v>4489</v>
      </c>
      <c r="C795" s="38" t="s">
        <v>4136</v>
      </c>
      <c r="D795" s="34">
        <v>1320.6</v>
      </c>
      <c r="E795" s="35">
        <v>44599</v>
      </c>
      <c r="F795" s="34">
        <v>1320.6</v>
      </c>
      <c r="G795" s="36">
        <f>Tabla13[[#This Row],[Importe]]-Tabla13[[#This Row],[Pagado]]</f>
        <v>0</v>
      </c>
      <c r="H795" s="38" t="s">
        <v>10</v>
      </c>
    </row>
    <row r="796" spans="1:8" x14ac:dyDescent="0.25">
      <c r="A796" s="31">
        <v>44599</v>
      </c>
      <c r="B796" s="37" t="s">
        <v>4490</v>
      </c>
      <c r="C796" s="38" t="s">
        <v>450</v>
      </c>
      <c r="D796" s="34">
        <v>7067.4</v>
      </c>
      <c r="E796" s="35">
        <v>44599</v>
      </c>
      <c r="F796" s="34">
        <v>7067.4</v>
      </c>
      <c r="G796" s="36">
        <f>Tabla13[[#This Row],[Importe]]-Tabla13[[#This Row],[Pagado]]</f>
        <v>0</v>
      </c>
      <c r="H796" s="38" t="s">
        <v>10</v>
      </c>
    </row>
    <row r="797" spans="1:8" x14ac:dyDescent="0.25">
      <c r="A797" s="31">
        <v>44599</v>
      </c>
      <c r="B797" s="37" t="s">
        <v>4491</v>
      </c>
      <c r="C797" s="38" t="s">
        <v>875</v>
      </c>
      <c r="D797" s="34">
        <v>28776</v>
      </c>
      <c r="E797" s="35">
        <v>44600</v>
      </c>
      <c r="F797" s="34">
        <v>28776</v>
      </c>
      <c r="G797" s="36">
        <f>Tabla13[[#This Row],[Importe]]-Tabla13[[#This Row],[Pagado]]</f>
        <v>0</v>
      </c>
      <c r="H797" s="38" t="s">
        <v>10</v>
      </c>
    </row>
    <row r="798" spans="1:8" x14ac:dyDescent="0.25">
      <c r="A798" s="31">
        <v>44599</v>
      </c>
      <c r="B798" s="37" t="s">
        <v>4492</v>
      </c>
      <c r="C798" s="38" t="s">
        <v>4493</v>
      </c>
      <c r="D798" s="34">
        <v>5174.3999999999996</v>
      </c>
      <c r="E798" s="35">
        <v>44599</v>
      </c>
      <c r="F798" s="34">
        <v>5174.3999999999996</v>
      </c>
      <c r="G798" s="36">
        <f>Tabla13[[#This Row],[Importe]]-Tabla13[[#This Row],[Pagado]]</f>
        <v>0</v>
      </c>
      <c r="H798" s="38" t="s">
        <v>10</v>
      </c>
    </row>
    <row r="799" spans="1:8" x14ac:dyDescent="0.25">
      <c r="A799" s="31">
        <v>44599</v>
      </c>
      <c r="B799" s="37" t="s">
        <v>4494</v>
      </c>
      <c r="C799" s="38" t="s">
        <v>365</v>
      </c>
      <c r="D799" s="34">
        <v>513</v>
      </c>
      <c r="E799" s="35">
        <v>44599</v>
      </c>
      <c r="F799" s="34">
        <v>513</v>
      </c>
      <c r="G799" s="36">
        <f>Tabla13[[#This Row],[Importe]]-Tabla13[[#This Row],[Pagado]]</f>
        <v>0</v>
      </c>
      <c r="H799" s="38" t="s">
        <v>10</v>
      </c>
    </row>
    <row r="800" spans="1:8" x14ac:dyDescent="0.25">
      <c r="A800" s="31">
        <v>44599</v>
      </c>
      <c r="B800" s="37" t="s">
        <v>4495</v>
      </c>
      <c r="C800" s="38" t="s">
        <v>99</v>
      </c>
      <c r="D800" s="34">
        <v>9908.5</v>
      </c>
      <c r="E800" s="35">
        <v>44599</v>
      </c>
      <c r="F800" s="34">
        <v>9908.5</v>
      </c>
      <c r="G800" s="36">
        <f>Tabla13[[#This Row],[Importe]]-Tabla13[[#This Row],[Pagado]]</f>
        <v>0</v>
      </c>
      <c r="H800" s="38" t="s">
        <v>10</v>
      </c>
    </row>
    <row r="801" spans="1:8" x14ac:dyDescent="0.25">
      <c r="A801" s="31">
        <v>44599</v>
      </c>
      <c r="B801" s="37" t="s">
        <v>4496</v>
      </c>
      <c r="C801" s="38" t="s">
        <v>16</v>
      </c>
      <c r="D801" s="34">
        <v>917</v>
      </c>
      <c r="E801" s="35">
        <v>44599</v>
      </c>
      <c r="F801" s="34">
        <v>917</v>
      </c>
      <c r="G801" s="36">
        <f>Tabla13[[#This Row],[Importe]]-Tabla13[[#This Row],[Pagado]]</f>
        <v>0</v>
      </c>
      <c r="H801" s="38" t="s">
        <v>10</v>
      </c>
    </row>
    <row r="802" spans="1:8" x14ac:dyDescent="0.25">
      <c r="A802" s="31">
        <v>44599</v>
      </c>
      <c r="B802" s="37" t="s">
        <v>4497</v>
      </c>
      <c r="C802" s="38" t="s">
        <v>53</v>
      </c>
      <c r="D802" s="34">
        <v>2626.4</v>
      </c>
      <c r="E802" s="35">
        <v>44599</v>
      </c>
      <c r="F802" s="34">
        <v>2626.4</v>
      </c>
      <c r="G802" s="36">
        <f>Tabla13[[#This Row],[Importe]]-Tabla13[[#This Row],[Pagado]]</f>
        <v>0</v>
      </c>
      <c r="H802" s="38" t="s">
        <v>10</v>
      </c>
    </row>
    <row r="803" spans="1:8" x14ac:dyDescent="0.25">
      <c r="A803" s="31">
        <v>44599</v>
      </c>
      <c r="B803" s="37" t="s">
        <v>4498</v>
      </c>
      <c r="C803" s="38" t="s">
        <v>2961</v>
      </c>
      <c r="D803" s="34">
        <v>52668</v>
      </c>
      <c r="E803" s="35">
        <v>44615</v>
      </c>
      <c r="F803" s="34">
        <v>52668</v>
      </c>
      <c r="G803" s="36">
        <f>Tabla13[[#This Row],[Importe]]-Tabla13[[#This Row],[Pagado]]</f>
        <v>0</v>
      </c>
      <c r="H803" s="38" t="s">
        <v>10</v>
      </c>
    </row>
    <row r="804" spans="1:8" x14ac:dyDescent="0.25">
      <c r="A804" s="31">
        <v>44599</v>
      </c>
      <c r="B804" s="37" t="s">
        <v>4499</v>
      </c>
      <c r="C804" s="38" t="s">
        <v>301</v>
      </c>
      <c r="D804" s="34">
        <v>18768</v>
      </c>
      <c r="E804" s="35" t="s">
        <v>4468</v>
      </c>
      <c r="F804" s="34">
        <v>18768</v>
      </c>
      <c r="G804" s="36">
        <f>Tabla13[[#This Row],[Importe]]-Tabla13[[#This Row],[Pagado]]</f>
        <v>0</v>
      </c>
      <c r="H804" s="38" t="s">
        <v>10</v>
      </c>
    </row>
    <row r="805" spans="1:8" x14ac:dyDescent="0.25">
      <c r="A805" s="31">
        <v>44599</v>
      </c>
      <c r="B805" s="37" t="s">
        <v>4500</v>
      </c>
      <c r="C805" s="38" t="s">
        <v>31</v>
      </c>
      <c r="D805" s="34">
        <v>117.6</v>
      </c>
      <c r="E805" s="35" t="s">
        <v>4468</v>
      </c>
      <c r="F805" s="34">
        <v>117.6</v>
      </c>
      <c r="G805" s="36">
        <f>Tabla13[[#This Row],[Importe]]-Tabla13[[#This Row],[Pagado]]</f>
        <v>0</v>
      </c>
      <c r="H805" s="38" t="s">
        <v>10</v>
      </c>
    </row>
    <row r="806" spans="1:8" x14ac:dyDescent="0.25">
      <c r="A806" s="31">
        <v>44599</v>
      </c>
      <c r="B806" s="37" t="s">
        <v>4501</v>
      </c>
      <c r="C806" s="38" t="s">
        <v>4502</v>
      </c>
      <c r="D806" s="34">
        <v>1170</v>
      </c>
      <c r="E806" s="35" t="s">
        <v>4468</v>
      </c>
      <c r="F806" s="34">
        <v>1170</v>
      </c>
      <c r="G806" s="36">
        <f>Tabla13[[#This Row],[Importe]]-Tabla13[[#This Row],[Pagado]]</f>
        <v>0</v>
      </c>
      <c r="H806" s="38" t="s">
        <v>10</v>
      </c>
    </row>
    <row r="807" spans="1:8" ht="31.5" x14ac:dyDescent="0.25">
      <c r="A807" s="31">
        <v>44599</v>
      </c>
      <c r="B807" s="37" t="s">
        <v>4503</v>
      </c>
      <c r="C807" s="38" t="s">
        <v>610</v>
      </c>
      <c r="D807" s="34">
        <v>32595.4</v>
      </c>
      <c r="E807" s="35" t="s">
        <v>4504</v>
      </c>
      <c r="F807" s="34">
        <f>29000+3595.4</f>
        <v>32595.4</v>
      </c>
      <c r="G807" s="36">
        <f>Tabla13[[#This Row],[Importe]]-Tabla13[[#This Row],[Pagado]]</f>
        <v>0</v>
      </c>
      <c r="H807" s="38" t="s">
        <v>10</v>
      </c>
    </row>
    <row r="808" spans="1:8" x14ac:dyDescent="0.25">
      <c r="A808" s="31">
        <v>44599</v>
      </c>
      <c r="B808" s="37" t="s">
        <v>4505</v>
      </c>
      <c r="C808" s="38" t="s">
        <v>421</v>
      </c>
      <c r="D808" s="34">
        <v>1617.6</v>
      </c>
      <c r="E808" s="35">
        <v>44599</v>
      </c>
      <c r="F808" s="34">
        <v>1617.6</v>
      </c>
      <c r="G808" s="36">
        <f>Tabla13[[#This Row],[Importe]]-Tabla13[[#This Row],[Pagado]]</f>
        <v>0</v>
      </c>
      <c r="H808" s="38" t="s">
        <v>10</v>
      </c>
    </row>
    <row r="809" spans="1:8" x14ac:dyDescent="0.25">
      <c r="A809" s="31">
        <v>44599</v>
      </c>
      <c r="B809" s="37" t="s">
        <v>4506</v>
      </c>
      <c r="C809" s="38" t="s">
        <v>31</v>
      </c>
      <c r="D809" s="34">
        <v>75</v>
      </c>
      <c r="E809" s="35">
        <v>44599</v>
      </c>
      <c r="F809" s="34">
        <v>75</v>
      </c>
      <c r="G809" s="36">
        <f>Tabla13[[#This Row],[Importe]]-Tabla13[[#This Row],[Pagado]]</f>
        <v>0</v>
      </c>
      <c r="H809" s="38" t="s">
        <v>10</v>
      </c>
    </row>
    <row r="810" spans="1:8" x14ac:dyDescent="0.25">
      <c r="A810" s="31">
        <v>44599</v>
      </c>
      <c r="B810" s="37" t="s">
        <v>4507</v>
      </c>
      <c r="C810" s="38" t="s">
        <v>1313</v>
      </c>
      <c r="D810" s="34">
        <v>7619</v>
      </c>
      <c r="E810" s="35">
        <v>44599</v>
      </c>
      <c r="F810" s="34">
        <v>7619</v>
      </c>
      <c r="G810" s="36">
        <f>Tabla13[[#This Row],[Importe]]-Tabla13[[#This Row],[Pagado]]</f>
        <v>0</v>
      </c>
      <c r="H810" s="38" t="s">
        <v>10</v>
      </c>
    </row>
    <row r="811" spans="1:8" x14ac:dyDescent="0.25">
      <c r="A811" s="31">
        <v>44599</v>
      </c>
      <c r="B811" s="37" t="s">
        <v>4508</v>
      </c>
      <c r="C811" s="38" t="s">
        <v>31</v>
      </c>
      <c r="D811" s="34">
        <v>1729.7</v>
      </c>
      <c r="E811" s="35">
        <v>44599</v>
      </c>
      <c r="F811" s="34">
        <v>1729.7</v>
      </c>
      <c r="G811" s="36">
        <f>Tabla13[[#This Row],[Importe]]-Tabla13[[#This Row],[Pagado]]</f>
        <v>0</v>
      </c>
      <c r="H811" s="38" t="s">
        <v>10</v>
      </c>
    </row>
    <row r="812" spans="1:8" x14ac:dyDescent="0.25">
      <c r="A812" s="31">
        <v>44600</v>
      </c>
      <c r="B812" s="37" t="s">
        <v>4509</v>
      </c>
      <c r="C812" s="38" t="s">
        <v>475</v>
      </c>
      <c r="D812" s="34">
        <v>16167</v>
      </c>
      <c r="E812" s="35">
        <v>44602</v>
      </c>
      <c r="F812" s="34">
        <v>16167</v>
      </c>
      <c r="G812" s="36">
        <f>Tabla13[[#This Row],[Importe]]-Tabla13[[#This Row],[Pagado]]</f>
        <v>0</v>
      </c>
      <c r="H812" s="38" t="s">
        <v>10</v>
      </c>
    </row>
    <row r="813" spans="1:8" x14ac:dyDescent="0.25">
      <c r="A813" s="31">
        <v>44600</v>
      </c>
      <c r="B813" s="37" t="s">
        <v>4510</v>
      </c>
      <c r="C813" s="38" t="s">
        <v>887</v>
      </c>
      <c r="D813" s="34">
        <v>10689.6</v>
      </c>
      <c r="E813" s="35">
        <v>44601</v>
      </c>
      <c r="F813" s="34">
        <v>10689.6</v>
      </c>
      <c r="G813" s="36">
        <f>Tabla13[[#This Row],[Importe]]-Tabla13[[#This Row],[Pagado]]</f>
        <v>0</v>
      </c>
      <c r="H813" s="38" t="s">
        <v>10</v>
      </c>
    </row>
    <row r="814" spans="1:8" x14ac:dyDescent="0.25">
      <c r="A814" s="31">
        <v>44600</v>
      </c>
      <c r="B814" s="37" t="s">
        <v>4511</v>
      </c>
      <c r="C814" s="38" t="s">
        <v>31</v>
      </c>
      <c r="D814" s="34">
        <v>3758.7</v>
      </c>
      <c r="E814" s="35">
        <v>44600</v>
      </c>
      <c r="F814" s="34">
        <v>3758.7</v>
      </c>
      <c r="G814" s="36">
        <f>Tabla13[[#This Row],[Importe]]-Tabla13[[#This Row],[Pagado]]</f>
        <v>0</v>
      </c>
      <c r="H814" s="38" t="s">
        <v>10</v>
      </c>
    </row>
    <row r="815" spans="1:8" x14ac:dyDescent="0.25">
      <c r="A815" s="31">
        <v>44600</v>
      </c>
      <c r="B815" s="37" t="s">
        <v>4512</v>
      </c>
      <c r="C815" s="38" t="s">
        <v>414</v>
      </c>
      <c r="D815" s="34">
        <v>5120.5</v>
      </c>
      <c r="E815" s="35">
        <v>44638</v>
      </c>
      <c r="F815" s="34">
        <v>5120.5</v>
      </c>
      <c r="G815" s="36">
        <f>Tabla13[[#This Row],[Importe]]-Tabla13[[#This Row],[Pagado]]</f>
        <v>0</v>
      </c>
      <c r="H815" s="38" t="s">
        <v>10</v>
      </c>
    </row>
    <row r="816" spans="1:8" x14ac:dyDescent="0.25">
      <c r="A816" s="31">
        <v>44600</v>
      </c>
      <c r="B816" s="37" t="s">
        <v>4513</v>
      </c>
      <c r="C816" s="38" t="s">
        <v>407</v>
      </c>
      <c r="D816" s="34">
        <v>5120.5</v>
      </c>
      <c r="E816" s="35">
        <v>44603</v>
      </c>
      <c r="F816" s="34">
        <v>5120.5</v>
      </c>
      <c r="G816" s="36">
        <f>Tabla13[[#This Row],[Importe]]-Tabla13[[#This Row],[Pagado]]</f>
        <v>0</v>
      </c>
      <c r="H816" s="38" t="s">
        <v>10</v>
      </c>
    </row>
    <row r="817" spans="1:8" x14ac:dyDescent="0.25">
      <c r="A817" s="31">
        <v>44600</v>
      </c>
      <c r="B817" s="37" t="s">
        <v>4514</v>
      </c>
      <c r="C817" s="38" t="s">
        <v>481</v>
      </c>
      <c r="D817" s="34">
        <v>460.1</v>
      </c>
      <c r="E817" s="35">
        <v>44600</v>
      </c>
      <c r="F817" s="34">
        <v>460.1</v>
      </c>
      <c r="G817" s="36">
        <f>Tabla13[[#This Row],[Importe]]-Tabla13[[#This Row],[Pagado]]</f>
        <v>0</v>
      </c>
      <c r="H817" s="38" t="s">
        <v>10</v>
      </c>
    </row>
    <row r="818" spans="1:8" x14ac:dyDescent="0.25">
      <c r="A818" s="31">
        <v>44600</v>
      </c>
      <c r="B818" s="37" t="s">
        <v>4515</v>
      </c>
      <c r="C818" s="38" t="s">
        <v>79</v>
      </c>
      <c r="D818" s="34">
        <v>3562.3</v>
      </c>
      <c r="E818" s="35">
        <v>44600</v>
      </c>
      <c r="F818" s="34">
        <v>3562.3</v>
      </c>
      <c r="G818" s="36">
        <f>Tabla13[[#This Row],[Importe]]-Tabla13[[#This Row],[Pagado]]</f>
        <v>0</v>
      </c>
      <c r="H818" s="38" t="s">
        <v>10</v>
      </c>
    </row>
    <row r="819" spans="1:8" x14ac:dyDescent="0.25">
      <c r="A819" s="31">
        <v>44600</v>
      </c>
      <c r="B819" s="37" t="s">
        <v>4516</v>
      </c>
      <c r="C819" s="38" t="s">
        <v>114</v>
      </c>
      <c r="D819" s="34">
        <v>4540.2</v>
      </c>
      <c r="E819" s="35">
        <v>44601</v>
      </c>
      <c r="F819" s="34">
        <v>4540.2</v>
      </c>
      <c r="G819" s="36">
        <f>Tabla13[[#This Row],[Importe]]-Tabla13[[#This Row],[Pagado]]</f>
        <v>0</v>
      </c>
      <c r="H819" s="38" t="s">
        <v>10</v>
      </c>
    </row>
    <row r="820" spans="1:8" x14ac:dyDescent="0.25">
      <c r="A820" s="31">
        <v>44600</v>
      </c>
      <c r="B820" s="37" t="s">
        <v>4517</v>
      </c>
      <c r="C820" s="38" t="s">
        <v>89</v>
      </c>
      <c r="D820" s="34">
        <v>4532.2</v>
      </c>
      <c r="E820" s="35">
        <v>44602</v>
      </c>
      <c r="F820" s="34">
        <v>4532.2</v>
      </c>
      <c r="G820" s="36">
        <f>Tabla13[[#This Row],[Importe]]-Tabla13[[#This Row],[Pagado]]</f>
        <v>0</v>
      </c>
      <c r="H820" s="38" t="s">
        <v>10</v>
      </c>
    </row>
    <row r="821" spans="1:8" x14ac:dyDescent="0.25">
      <c r="A821" s="31">
        <v>44600</v>
      </c>
      <c r="B821" s="37" t="s">
        <v>4518</v>
      </c>
      <c r="C821" s="38" t="s">
        <v>99</v>
      </c>
      <c r="D821" s="34">
        <v>2164.8000000000002</v>
      </c>
      <c r="E821" s="35">
        <v>44601</v>
      </c>
      <c r="F821" s="34">
        <v>2164.8000000000002</v>
      </c>
      <c r="G821" s="36">
        <f>Tabla13[[#This Row],[Importe]]-Tabla13[[#This Row],[Pagado]]</f>
        <v>0</v>
      </c>
      <c r="H821" s="38" t="s">
        <v>10</v>
      </c>
    </row>
    <row r="822" spans="1:8" x14ac:dyDescent="0.25">
      <c r="A822" s="31">
        <v>44600</v>
      </c>
      <c r="B822" s="37" t="s">
        <v>4519</v>
      </c>
      <c r="C822" s="38" t="s">
        <v>93</v>
      </c>
      <c r="D822" s="34">
        <v>5484.2</v>
      </c>
      <c r="E822" s="35">
        <v>44601</v>
      </c>
      <c r="F822" s="34">
        <v>5484.2</v>
      </c>
      <c r="G822" s="36">
        <f>Tabla13[[#This Row],[Importe]]-Tabla13[[#This Row],[Pagado]]</f>
        <v>0</v>
      </c>
      <c r="H822" s="38" t="s">
        <v>10</v>
      </c>
    </row>
    <row r="823" spans="1:8" x14ac:dyDescent="0.25">
      <c r="A823" s="31">
        <v>44600</v>
      </c>
      <c r="B823" s="37" t="s">
        <v>4520</v>
      </c>
      <c r="C823" s="38" t="s">
        <v>75</v>
      </c>
      <c r="D823" s="34">
        <v>5390</v>
      </c>
      <c r="E823" s="35">
        <v>44600</v>
      </c>
      <c r="F823" s="34">
        <v>5390</v>
      </c>
      <c r="G823" s="36">
        <f>Tabla13[[#This Row],[Importe]]-Tabla13[[#This Row],[Pagado]]</f>
        <v>0</v>
      </c>
      <c r="H823" s="38" t="s">
        <v>10</v>
      </c>
    </row>
    <row r="824" spans="1:8" x14ac:dyDescent="0.25">
      <c r="A824" s="31">
        <v>44600</v>
      </c>
      <c r="B824" s="37" t="s">
        <v>4521</v>
      </c>
      <c r="C824" s="38" t="s">
        <v>473</v>
      </c>
      <c r="D824" s="34">
        <v>3847.5</v>
      </c>
      <c r="E824" s="35">
        <v>44600</v>
      </c>
      <c r="F824" s="34">
        <v>3847.5</v>
      </c>
      <c r="G824" s="36">
        <f>Tabla13[[#This Row],[Importe]]-Tabla13[[#This Row],[Pagado]]</f>
        <v>0</v>
      </c>
      <c r="H824" s="38" t="s">
        <v>10</v>
      </c>
    </row>
    <row r="825" spans="1:8" x14ac:dyDescent="0.25">
      <c r="A825" s="31">
        <v>44600</v>
      </c>
      <c r="B825" s="37" t="s">
        <v>4522</v>
      </c>
      <c r="C825" s="38" t="s">
        <v>4523</v>
      </c>
      <c r="D825" s="34">
        <v>8295.7999999999993</v>
      </c>
      <c r="E825" s="35">
        <v>44600</v>
      </c>
      <c r="F825" s="34">
        <v>8295.7999999999993</v>
      </c>
      <c r="G825" s="36">
        <f>Tabla13[[#This Row],[Importe]]-Tabla13[[#This Row],[Pagado]]</f>
        <v>0</v>
      </c>
      <c r="H825" s="38" t="s">
        <v>10</v>
      </c>
    </row>
    <row r="826" spans="1:8" x14ac:dyDescent="0.25">
      <c r="A826" s="31">
        <v>44600</v>
      </c>
      <c r="B826" s="37" t="s">
        <v>4524</v>
      </c>
      <c r="C826" s="38" t="s">
        <v>12</v>
      </c>
      <c r="D826" s="34">
        <v>31323.84</v>
      </c>
      <c r="E826" s="35">
        <v>44602</v>
      </c>
      <c r="F826" s="34">
        <v>31323.84</v>
      </c>
      <c r="G826" s="36">
        <f>Tabla13[[#This Row],[Importe]]-Tabla13[[#This Row],[Pagado]]</f>
        <v>0</v>
      </c>
      <c r="H826" s="38" t="s">
        <v>10</v>
      </c>
    </row>
    <row r="827" spans="1:8" x14ac:dyDescent="0.25">
      <c r="A827" s="31">
        <v>44600</v>
      </c>
      <c r="B827" s="37" t="s">
        <v>4525</v>
      </c>
      <c r="C827" s="38" t="s">
        <v>85</v>
      </c>
      <c r="D827" s="34">
        <v>1387.4</v>
      </c>
      <c r="E827" s="35">
        <v>44600</v>
      </c>
      <c r="F827" s="34">
        <v>1387.4</v>
      </c>
      <c r="G827" s="36">
        <f>Tabla13[[#This Row],[Importe]]-Tabla13[[#This Row],[Pagado]]</f>
        <v>0</v>
      </c>
      <c r="H827" s="38" t="s">
        <v>10</v>
      </c>
    </row>
    <row r="828" spans="1:8" x14ac:dyDescent="0.25">
      <c r="A828" s="31">
        <v>44600</v>
      </c>
      <c r="B828" s="37" t="s">
        <v>4526</v>
      </c>
      <c r="C828" s="38" t="s">
        <v>9</v>
      </c>
      <c r="D828" s="34">
        <v>5692.4</v>
      </c>
      <c r="E828" s="35">
        <v>44600</v>
      </c>
      <c r="F828" s="34">
        <v>5692.4</v>
      </c>
      <c r="G828" s="36">
        <f>Tabla13[[#This Row],[Importe]]-Tabla13[[#This Row],[Pagado]]</f>
        <v>0</v>
      </c>
      <c r="H828" s="38" t="s">
        <v>10</v>
      </c>
    </row>
    <row r="829" spans="1:8" x14ac:dyDescent="0.25">
      <c r="A829" s="31">
        <v>44600</v>
      </c>
      <c r="B829" s="37" t="s">
        <v>4527</v>
      </c>
      <c r="C829" s="38" t="s">
        <v>146</v>
      </c>
      <c r="D829" s="34">
        <v>2505.6</v>
      </c>
      <c r="E829" s="35">
        <v>44600</v>
      </c>
      <c r="F829" s="34">
        <v>2505.6</v>
      </c>
      <c r="G829" s="36">
        <f>Tabla13[[#This Row],[Importe]]-Tabla13[[#This Row],[Pagado]]</f>
        <v>0</v>
      </c>
      <c r="H829" s="38" t="s">
        <v>10</v>
      </c>
    </row>
    <row r="830" spans="1:8" x14ac:dyDescent="0.25">
      <c r="A830" s="31">
        <v>44600</v>
      </c>
      <c r="B830" s="37" t="s">
        <v>4528</v>
      </c>
      <c r="C830" s="38" t="s">
        <v>22</v>
      </c>
      <c r="D830" s="34">
        <v>42746.6</v>
      </c>
      <c r="E830" s="35">
        <v>44602</v>
      </c>
      <c r="F830" s="34">
        <v>42746.6</v>
      </c>
      <c r="G830" s="36">
        <f>Tabla13[[#This Row],[Importe]]-Tabla13[[#This Row],[Pagado]]</f>
        <v>0</v>
      </c>
      <c r="H830" s="38" t="s">
        <v>10</v>
      </c>
    </row>
    <row r="831" spans="1:8" x14ac:dyDescent="0.25">
      <c r="A831" s="31">
        <v>44600</v>
      </c>
      <c r="B831" s="37" t="s">
        <v>4529</v>
      </c>
      <c r="C831" s="38" t="s">
        <v>312</v>
      </c>
      <c r="D831" s="34">
        <v>591.6</v>
      </c>
      <c r="E831" s="35">
        <v>44600</v>
      </c>
      <c r="F831" s="34">
        <v>591.6</v>
      </c>
      <c r="G831" s="36">
        <f>Tabla13[[#This Row],[Importe]]-Tabla13[[#This Row],[Pagado]]</f>
        <v>0</v>
      </c>
      <c r="H831" s="38" t="s">
        <v>10</v>
      </c>
    </row>
    <row r="832" spans="1:8" x14ac:dyDescent="0.25">
      <c r="A832" s="31">
        <v>44600</v>
      </c>
      <c r="B832" s="37" t="s">
        <v>4530</v>
      </c>
      <c r="C832" s="38" t="s">
        <v>109</v>
      </c>
      <c r="D832" s="34">
        <v>4037.6</v>
      </c>
      <c r="E832" s="35">
        <v>44600</v>
      </c>
      <c r="F832" s="34">
        <v>4037.6</v>
      </c>
      <c r="G832" s="36">
        <f>Tabla13[[#This Row],[Importe]]-Tabla13[[#This Row],[Pagado]]</f>
        <v>0</v>
      </c>
      <c r="H832" s="38" t="s">
        <v>10</v>
      </c>
    </row>
    <row r="833" spans="1:8" x14ac:dyDescent="0.25">
      <c r="A833" s="31">
        <v>44600</v>
      </c>
      <c r="B833" s="37" t="s">
        <v>4531</v>
      </c>
      <c r="C833" s="38" t="s">
        <v>97</v>
      </c>
      <c r="D833" s="34">
        <v>7805.7</v>
      </c>
      <c r="E833" s="35">
        <v>44602</v>
      </c>
      <c r="F833" s="34">
        <v>7805.7</v>
      </c>
      <c r="G833" s="36">
        <f>Tabla13[[#This Row],[Importe]]-Tabla13[[#This Row],[Pagado]]</f>
        <v>0</v>
      </c>
      <c r="H833" s="38" t="s">
        <v>10</v>
      </c>
    </row>
    <row r="834" spans="1:8" x14ac:dyDescent="0.25">
      <c r="A834" s="31">
        <v>44600</v>
      </c>
      <c r="B834" s="37" t="s">
        <v>4532</v>
      </c>
      <c r="C834" s="38" t="s">
        <v>116</v>
      </c>
      <c r="D834" s="34">
        <v>4421.7</v>
      </c>
      <c r="E834" s="35">
        <v>44601</v>
      </c>
      <c r="F834" s="34">
        <v>4421.7</v>
      </c>
      <c r="G834" s="36">
        <f>Tabla13[[#This Row],[Importe]]-Tabla13[[#This Row],[Pagado]]</f>
        <v>0</v>
      </c>
      <c r="H834" s="38" t="s">
        <v>10</v>
      </c>
    </row>
    <row r="835" spans="1:8" x14ac:dyDescent="0.25">
      <c r="A835" s="31">
        <v>44600</v>
      </c>
      <c r="B835" s="37" t="s">
        <v>4533</v>
      </c>
      <c r="C835" s="38" t="s">
        <v>64</v>
      </c>
      <c r="D835" s="34">
        <v>3804.6</v>
      </c>
      <c r="E835" s="35">
        <v>44601</v>
      </c>
      <c r="F835" s="34">
        <v>3804.6</v>
      </c>
      <c r="G835" s="36">
        <f>Tabla13[[#This Row],[Importe]]-Tabla13[[#This Row],[Pagado]]</f>
        <v>0</v>
      </c>
      <c r="H835" s="38" t="s">
        <v>10</v>
      </c>
    </row>
    <row r="836" spans="1:8" x14ac:dyDescent="0.25">
      <c r="A836" s="31">
        <v>44600</v>
      </c>
      <c r="B836" s="37" t="s">
        <v>4534</v>
      </c>
      <c r="C836" s="38" t="s">
        <v>105</v>
      </c>
      <c r="D836" s="34">
        <v>4042.5</v>
      </c>
      <c r="E836" s="35">
        <v>44601</v>
      </c>
      <c r="F836" s="34">
        <v>4042.5</v>
      </c>
      <c r="G836" s="36">
        <f>Tabla13[[#This Row],[Importe]]-Tabla13[[#This Row],[Pagado]]</f>
        <v>0</v>
      </c>
      <c r="H836" s="38" t="s">
        <v>10</v>
      </c>
    </row>
    <row r="837" spans="1:8" x14ac:dyDescent="0.25">
      <c r="A837" s="31">
        <v>44600</v>
      </c>
      <c r="B837" s="37" t="s">
        <v>4535</v>
      </c>
      <c r="C837" s="38" t="s">
        <v>39</v>
      </c>
      <c r="D837" s="34">
        <v>16671.7</v>
      </c>
      <c r="E837" s="35">
        <v>44603</v>
      </c>
      <c r="F837" s="34">
        <v>16671.7</v>
      </c>
      <c r="G837" s="36">
        <f>Tabla13[[#This Row],[Importe]]-Tabla13[[#This Row],[Pagado]]</f>
        <v>0</v>
      </c>
      <c r="H837" s="38" t="s">
        <v>10</v>
      </c>
    </row>
    <row r="838" spans="1:8" x14ac:dyDescent="0.25">
      <c r="A838" s="31">
        <v>44600</v>
      </c>
      <c r="B838" s="37" t="s">
        <v>4536</v>
      </c>
      <c r="C838" s="38" t="s">
        <v>31</v>
      </c>
      <c r="D838" s="34">
        <v>2516</v>
      </c>
      <c r="E838" s="35">
        <v>44600</v>
      </c>
      <c r="F838" s="34">
        <v>2516</v>
      </c>
      <c r="G838" s="36">
        <f>Tabla13[[#This Row],[Importe]]-Tabla13[[#This Row],[Pagado]]</f>
        <v>0</v>
      </c>
      <c r="H838" s="38" t="s">
        <v>10</v>
      </c>
    </row>
    <row r="839" spans="1:8" x14ac:dyDescent="0.25">
      <c r="A839" s="31">
        <v>44600</v>
      </c>
      <c r="B839" s="37" t="s">
        <v>4537</v>
      </c>
      <c r="C839" s="38" t="s">
        <v>87</v>
      </c>
      <c r="D839" s="34">
        <v>2070.6</v>
      </c>
      <c r="E839" s="35">
        <v>44600</v>
      </c>
      <c r="F839" s="34">
        <v>2070.6</v>
      </c>
      <c r="G839" s="36">
        <f>Tabla13[[#This Row],[Importe]]-Tabla13[[#This Row],[Pagado]]</f>
        <v>0</v>
      </c>
      <c r="H839" s="38" t="s">
        <v>10</v>
      </c>
    </row>
    <row r="840" spans="1:8" x14ac:dyDescent="0.25">
      <c r="A840" s="31">
        <v>44600</v>
      </c>
      <c r="B840" s="37" t="s">
        <v>4538</v>
      </c>
      <c r="C840" s="38" t="s">
        <v>326</v>
      </c>
      <c r="D840" s="34">
        <v>4155.2</v>
      </c>
      <c r="E840" s="35">
        <v>44601</v>
      </c>
      <c r="F840" s="34">
        <v>4155.2</v>
      </c>
      <c r="G840" s="36">
        <f>Tabla13[[#This Row],[Importe]]-Tabla13[[#This Row],[Pagado]]</f>
        <v>0</v>
      </c>
      <c r="H840" s="38" t="s">
        <v>10</v>
      </c>
    </row>
    <row r="841" spans="1:8" x14ac:dyDescent="0.25">
      <c r="A841" s="31">
        <v>44600</v>
      </c>
      <c r="B841" s="37" t="s">
        <v>4539</v>
      </c>
      <c r="C841" s="38" t="s">
        <v>314</v>
      </c>
      <c r="D841" s="34">
        <v>2009</v>
      </c>
      <c r="E841" s="35">
        <v>44600</v>
      </c>
      <c r="F841" s="34">
        <v>2009</v>
      </c>
      <c r="G841" s="36">
        <f>Tabla13[[#This Row],[Importe]]-Tabla13[[#This Row],[Pagado]]</f>
        <v>0</v>
      </c>
      <c r="H841" s="38" t="s">
        <v>10</v>
      </c>
    </row>
    <row r="842" spans="1:8" x14ac:dyDescent="0.25">
      <c r="A842" s="31">
        <v>44600</v>
      </c>
      <c r="B842" s="37" t="s">
        <v>4540</v>
      </c>
      <c r="C842" s="38" t="s">
        <v>333</v>
      </c>
      <c r="D842" s="34">
        <v>3268.5</v>
      </c>
      <c r="E842" s="35">
        <v>44600</v>
      </c>
      <c r="F842" s="34">
        <v>3268.5</v>
      </c>
      <c r="G842" s="36">
        <f>Tabla13[[#This Row],[Importe]]-Tabla13[[#This Row],[Pagado]]</f>
        <v>0</v>
      </c>
      <c r="H842" s="38" t="s">
        <v>10</v>
      </c>
    </row>
    <row r="843" spans="1:8" x14ac:dyDescent="0.25">
      <c r="A843" s="31">
        <v>44600</v>
      </c>
      <c r="B843" s="37" t="s">
        <v>4541</v>
      </c>
      <c r="C843" s="38" t="s">
        <v>125</v>
      </c>
      <c r="D843" s="34">
        <v>3770.1</v>
      </c>
      <c r="E843" s="35">
        <v>44600</v>
      </c>
      <c r="F843" s="34">
        <v>3770.1</v>
      </c>
      <c r="G843" s="36">
        <f>Tabla13[[#This Row],[Importe]]-Tabla13[[#This Row],[Pagado]]</f>
        <v>0</v>
      </c>
      <c r="H843" s="38" t="s">
        <v>10</v>
      </c>
    </row>
    <row r="844" spans="1:8" x14ac:dyDescent="0.25">
      <c r="A844" s="31">
        <v>44600</v>
      </c>
      <c r="B844" s="37" t="s">
        <v>4542</v>
      </c>
      <c r="C844" s="38" t="s">
        <v>198</v>
      </c>
      <c r="D844" s="34">
        <v>3148</v>
      </c>
      <c r="E844" s="35">
        <v>44600</v>
      </c>
      <c r="F844" s="34">
        <v>3148</v>
      </c>
      <c r="G844" s="36">
        <f>Tabla13[[#This Row],[Importe]]-Tabla13[[#This Row],[Pagado]]</f>
        <v>0</v>
      </c>
      <c r="H844" s="38" t="s">
        <v>10</v>
      </c>
    </row>
    <row r="845" spans="1:8" x14ac:dyDescent="0.25">
      <c r="A845" s="31">
        <v>44600</v>
      </c>
      <c r="B845" s="37" t="s">
        <v>4543</v>
      </c>
      <c r="C845" s="38" t="s">
        <v>31</v>
      </c>
      <c r="D845" s="34">
        <v>660.4</v>
      </c>
      <c r="E845" s="35">
        <v>44600</v>
      </c>
      <c r="F845" s="34">
        <v>660.4</v>
      </c>
      <c r="G845" s="36">
        <f>Tabla13[[#This Row],[Importe]]-Tabla13[[#This Row],[Pagado]]</f>
        <v>0</v>
      </c>
      <c r="H845" s="38" t="s">
        <v>10</v>
      </c>
    </row>
    <row r="846" spans="1:8" x14ac:dyDescent="0.25">
      <c r="A846" s="31">
        <v>44600</v>
      </c>
      <c r="B846" s="37" t="s">
        <v>4544</v>
      </c>
      <c r="C846" s="38" t="s">
        <v>368</v>
      </c>
      <c r="D846" s="34">
        <v>1728</v>
      </c>
      <c r="E846" s="35">
        <v>44600</v>
      </c>
      <c r="F846" s="34">
        <v>1728</v>
      </c>
      <c r="G846" s="36">
        <f>Tabla13[[#This Row],[Importe]]-Tabla13[[#This Row],[Pagado]]</f>
        <v>0</v>
      </c>
      <c r="H846" s="38" t="s">
        <v>10</v>
      </c>
    </row>
    <row r="847" spans="1:8" x14ac:dyDescent="0.25">
      <c r="A847" s="31">
        <v>44600</v>
      </c>
      <c r="B847" s="37" t="s">
        <v>4545</v>
      </c>
      <c r="C847" s="38" t="s">
        <v>22</v>
      </c>
      <c r="D847" s="34">
        <v>1484.8</v>
      </c>
      <c r="E847" s="35">
        <v>44600</v>
      </c>
      <c r="F847" s="34">
        <v>1484.8</v>
      </c>
      <c r="G847" s="36">
        <f>Tabla13[[#This Row],[Importe]]-Tabla13[[#This Row],[Pagado]]</f>
        <v>0</v>
      </c>
      <c r="H847" s="38" t="s">
        <v>10</v>
      </c>
    </row>
    <row r="848" spans="1:8" x14ac:dyDescent="0.25">
      <c r="A848" s="31">
        <v>44600</v>
      </c>
      <c r="B848" s="37" t="s">
        <v>4546</v>
      </c>
      <c r="C848" s="38" t="s">
        <v>466</v>
      </c>
      <c r="D848" s="34">
        <v>6100</v>
      </c>
      <c r="E848" s="35">
        <v>44600</v>
      </c>
      <c r="F848" s="34">
        <v>6100</v>
      </c>
      <c r="G848" s="36">
        <f>Tabla13[[#This Row],[Importe]]-Tabla13[[#This Row],[Pagado]]</f>
        <v>0</v>
      </c>
      <c r="H848" s="38" t="s">
        <v>10</v>
      </c>
    </row>
    <row r="849" spans="1:8" x14ac:dyDescent="0.25">
      <c r="A849" s="31">
        <v>44600</v>
      </c>
      <c r="B849" s="37" t="s">
        <v>4547</v>
      </c>
      <c r="C849" s="38" t="s">
        <v>275</v>
      </c>
      <c r="D849" s="34">
        <v>69901.2</v>
      </c>
      <c r="E849" s="35">
        <v>44610</v>
      </c>
      <c r="F849" s="34">
        <v>69901.2</v>
      </c>
      <c r="G849" s="36">
        <f>Tabla13[[#This Row],[Importe]]-Tabla13[[#This Row],[Pagado]]</f>
        <v>0</v>
      </c>
      <c r="H849" s="38" t="s">
        <v>10</v>
      </c>
    </row>
    <row r="850" spans="1:8" x14ac:dyDescent="0.25">
      <c r="A850" s="31">
        <v>44600</v>
      </c>
      <c r="B850" s="37" t="s">
        <v>4548</v>
      </c>
      <c r="C850" s="38" t="s">
        <v>47</v>
      </c>
      <c r="D850" s="34">
        <v>43456.72</v>
      </c>
      <c r="E850" s="35">
        <v>44601</v>
      </c>
      <c r="F850" s="34">
        <v>43456.72</v>
      </c>
      <c r="G850" s="36">
        <f>Tabla13[[#This Row],[Importe]]-Tabla13[[#This Row],[Pagado]]</f>
        <v>0</v>
      </c>
      <c r="H850" s="38" t="s">
        <v>10</v>
      </c>
    </row>
    <row r="851" spans="1:8" x14ac:dyDescent="0.25">
      <c r="A851" s="31">
        <v>44600</v>
      </c>
      <c r="B851" s="37" t="s">
        <v>4549</v>
      </c>
      <c r="C851" s="38" t="s">
        <v>426</v>
      </c>
      <c r="D851" s="34">
        <v>4582.7</v>
      </c>
      <c r="E851" s="35">
        <v>44600</v>
      </c>
      <c r="F851" s="34">
        <v>4582.7</v>
      </c>
      <c r="G851" s="36">
        <f>Tabla13[[#This Row],[Importe]]-Tabla13[[#This Row],[Pagado]]</f>
        <v>0</v>
      </c>
      <c r="H851" s="38" t="s">
        <v>10</v>
      </c>
    </row>
    <row r="852" spans="1:8" x14ac:dyDescent="0.25">
      <c r="A852" s="31">
        <v>44600</v>
      </c>
      <c r="B852" s="37" t="s">
        <v>4550</v>
      </c>
      <c r="C852" s="38" t="s">
        <v>373</v>
      </c>
      <c r="D852" s="34">
        <v>3098.8</v>
      </c>
      <c r="E852" s="35">
        <v>44600</v>
      </c>
      <c r="F852" s="34">
        <v>3098.8</v>
      </c>
      <c r="G852" s="36">
        <f>Tabla13[[#This Row],[Importe]]-Tabla13[[#This Row],[Pagado]]</f>
        <v>0</v>
      </c>
      <c r="H852" s="38" t="s">
        <v>10</v>
      </c>
    </row>
    <row r="853" spans="1:8" x14ac:dyDescent="0.25">
      <c r="A853" s="31">
        <v>44600</v>
      </c>
      <c r="B853" s="37" t="s">
        <v>4551</v>
      </c>
      <c r="C853" s="38" t="s">
        <v>129</v>
      </c>
      <c r="D853" s="34">
        <v>1185.8</v>
      </c>
      <c r="E853" s="35">
        <v>44600</v>
      </c>
      <c r="F853" s="34">
        <v>1185.8</v>
      </c>
      <c r="G853" s="36">
        <f>Tabla13[[#This Row],[Importe]]-Tabla13[[#This Row],[Pagado]]</f>
        <v>0</v>
      </c>
      <c r="H853" s="38" t="s">
        <v>10</v>
      </c>
    </row>
    <row r="854" spans="1:8" x14ac:dyDescent="0.25">
      <c r="A854" s="31">
        <v>44600</v>
      </c>
      <c r="B854" s="37" t="s">
        <v>4552</v>
      </c>
      <c r="C854" s="38" t="s">
        <v>127</v>
      </c>
      <c r="D854" s="34">
        <v>1782.3</v>
      </c>
      <c r="E854" s="35">
        <v>44600</v>
      </c>
      <c r="F854" s="34">
        <v>1782.3</v>
      </c>
      <c r="G854" s="36">
        <f>Tabla13[[#This Row],[Importe]]-Tabla13[[#This Row],[Pagado]]</f>
        <v>0</v>
      </c>
      <c r="H854" s="38" t="s">
        <v>10</v>
      </c>
    </row>
    <row r="855" spans="1:8" x14ac:dyDescent="0.25">
      <c r="A855" s="31">
        <v>44600</v>
      </c>
      <c r="B855" s="37" t="s">
        <v>4553</v>
      </c>
      <c r="C855" s="38" t="s">
        <v>140</v>
      </c>
      <c r="D855" s="34">
        <v>3726</v>
      </c>
      <c r="E855" s="35">
        <v>44600</v>
      </c>
      <c r="F855" s="34">
        <v>3726</v>
      </c>
      <c r="G855" s="36">
        <f>Tabla13[[#This Row],[Importe]]-Tabla13[[#This Row],[Pagado]]</f>
        <v>0</v>
      </c>
      <c r="H855" s="38" t="s">
        <v>10</v>
      </c>
    </row>
    <row r="856" spans="1:8" x14ac:dyDescent="0.25">
      <c r="A856" s="31">
        <v>44600</v>
      </c>
      <c r="B856" s="37" t="s">
        <v>4554</v>
      </c>
      <c r="C856" s="38" t="s">
        <v>357</v>
      </c>
      <c r="D856" s="34">
        <v>3276</v>
      </c>
      <c r="E856" s="35">
        <v>44600</v>
      </c>
      <c r="F856" s="34">
        <v>3276</v>
      </c>
      <c r="G856" s="36">
        <f>Tabla13[[#This Row],[Importe]]-Tabla13[[#This Row],[Pagado]]</f>
        <v>0</v>
      </c>
      <c r="H856" s="38" t="s">
        <v>10</v>
      </c>
    </row>
    <row r="857" spans="1:8" x14ac:dyDescent="0.25">
      <c r="A857" s="31">
        <v>44600</v>
      </c>
      <c r="B857" s="37" t="s">
        <v>4555</v>
      </c>
      <c r="C857" s="38" t="s">
        <v>161</v>
      </c>
      <c r="D857" s="34">
        <v>4519.3999999999996</v>
      </c>
      <c r="E857" s="35">
        <v>44600</v>
      </c>
      <c r="F857" s="34">
        <v>4519.3999999999996</v>
      </c>
      <c r="G857" s="36">
        <f>Tabla13[[#This Row],[Importe]]-Tabla13[[#This Row],[Pagado]]</f>
        <v>0</v>
      </c>
      <c r="H857" s="38" t="s">
        <v>10</v>
      </c>
    </row>
    <row r="858" spans="1:8" x14ac:dyDescent="0.25">
      <c r="A858" s="31">
        <v>44600</v>
      </c>
      <c r="B858" s="37" t="s">
        <v>4556</v>
      </c>
      <c r="C858" s="38" t="s">
        <v>339</v>
      </c>
      <c r="D858" s="34">
        <v>352.8</v>
      </c>
      <c r="E858" s="35">
        <v>44600</v>
      </c>
      <c r="F858" s="34">
        <v>352.8</v>
      </c>
      <c r="G858" s="36">
        <f>Tabla13[[#This Row],[Importe]]-Tabla13[[#This Row],[Pagado]]</f>
        <v>0</v>
      </c>
      <c r="H858" s="38" t="s">
        <v>10</v>
      </c>
    </row>
    <row r="859" spans="1:8" x14ac:dyDescent="0.25">
      <c r="A859" s="31">
        <v>44600</v>
      </c>
      <c r="B859" s="37" t="s">
        <v>4557</v>
      </c>
      <c r="C859" s="38" t="s">
        <v>16</v>
      </c>
      <c r="D859" s="34">
        <v>2465.5</v>
      </c>
      <c r="E859" s="35">
        <v>44600</v>
      </c>
      <c r="F859" s="34">
        <v>2465.5</v>
      </c>
      <c r="G859" s="36">
        <f>Tabla13[[#This Row],[Importe]]-Tabla13[[#This Row],[Pagado]]</f>
        <v>0</v>
      </c>
      <c r="H859" s="38" t="s">
        <v>10</v>
      </c>
    </row>
    <row r="860" spans="1:8" x14ac:dyDescent="0.25">
      <c r="A860" s="31">
        <v>44600</v>
      </c>
      <c r="B860" s="37" t="s">
        <v>4558</v>
      </c>
      <c r="C860" s="38" t="s">
        <v>16</v>
      </c>
      <c r="D860" s="34">
        <v>395.5</v>
      </c>
      <c r="E860" s="35">
        <v>44600</v>
      </c>
      <c r="F860" s="34">
        <v>395.5</v>
      </c>
      <c r="G860" s="36">
        <f>Tabla13[[#This Row],[Importe]]-Tabla13[[#This Row],[Pagado]]</f>
        <v>0</v>
      </c>
      <c r="H860" s="38" t="s">
        <v>10</v>
      </c>
    </row>
    <row r="861" spans="1:8" x14ac:dyDescent="0.25">
      <c r="A861" s="31">
        <v>44600</v>
      </c>
      <c r="B861" s="37" t="s">
        <v>4559</v>
      </c>
      <c r="C861" s="38" t="s">
        <v>131</v>
      </c>
      <c r="D861" s="34">
        <v>7209.8</v>
      </c>
      <c r="E861" s="35">
        <v>44600</v>
      </c>
      <c r="F861" s="34">
        <v>7209.8</v>
      </c>
      <c r="G861" s="36">
        <f>Tabla13[[#This Row],[Importe]]-Tabla13[[#This Row],[Pagado]]</f>
        <v>0</v>
      </c>
      <c r="H861" s="38" t="s">
        <v>10</v>
      </c>
    </row>
    <row r="862" spans="1:8" x14ac:dyDescent="0.25">
      <c r="A862" s="31">
        <v>44600</v>
      </c>
      <c r="B862" s="37" t="s">
        <v>4560</v>
      </c>
      <c r="C862" s="38" t="s">
        <v>107</v>
      </c>
      <c r="D862" s="34">
        <v>11116.7</v>
      </c>
      <c r="E862" s="35">
        <v>44600</v>
      </c>
      <c r="F862" s="34">
        <v>11116.7</v>
      </c>
      <c r="G862" s="36">
        <f>Tabla13[[#This Row],[Importe]]-Tabla13[[#This Row],[Pagado]]</f>
        <v>0</v>
      </c>
      <c r="H862" s="38" t="s">
        <v>10</v>
      </c>
    </row>
    <row r="863" spans="1:8" x14ac:dyDescent="0.25">
      <c r="A863" s="31">
        <v>44600</v>
      </c>
      <c r="B863" s="37" t="s">
        <v>4561</v>
      </c>
      <c r="C863" s="38" t="s">
        <v>135</v>
      </c>
      <c r="D863" s="34">
        <v>1313.2</v>
      </c>
      <c r="E863" s="35">
        <v>44600</v>
      </c>
      <c r="F863" s="34">
        <v>1313.2</v>
      </c>
      <c r="G863" s="36">
        <f>Tabla13[[#This Row],[Importe]]-Tabla13[[#This Row],[Pagado]]</f>
        <v>0</v>
      </c>
      <c r="H863" s="38" t="s">
        <v>10</v>
      </c>
    </row>
    <row r="864" spans="1:8" x14ac:dyDescent="0.25">
      <c r="A864" s="31">
        <v>44600</v>
      </c>
      <c r="B864" s="37" t="s">
        <v>4562</v>
      </c>
      <c r="C864" s="38" t="s">
        <v>53</v>
      </c>
      <c r="D864" s="34">
        <v>1381.8</v>
      </c>
      <c r="E864" s="35">
        <v>44600</v>
      </c>
      <c r="F864" s="34">
        <v>1381.8</v>
      </c>
      <c r="G864" s="36">
        <f>Tabla13[[#This Row],[Importe]]-Tabla13[[#This Row],[Pagado]]</f>
        <v>0</v>
      </c>
      <c r="H864" s="38" t="s">
        <v>10</v>
      </c>
    </row>
    <row r="865" spans="1:8" x14ac:dyDescent="0.25">
      <c r="A865" s="31">
        <v>44600</v>
      </c>
      <c r="B865" s="37" t="s">
        <v>4563</v>
      </c>
      <c r="C865" s="38" t="s">
        <v>179</v>
      </c>
      <c r="D865" s="34">
        <v>490</v>
      </c>
      <c r="E865" s="35">
        <v>44600</v>
      </c>
      <c r="F865" s="34">
        <v>490</v>
      </c>
      <c r="G865" s="36">
        <f>Tabla13[[#This Row],[Importe]]-Tabla13[[#This Row],[Pagado]]</f>
        <v>0</v>
      </c>
      <c r="H865" s="38" t="s">
        <v>10</v>
      </c>
    </row>
    <row r="866" spans="1:8" x14ac:dyDescent="0.25">
      <c r="A866" s="31">
        <v>44600</v>
      </c>
      <c r="B866" s="37" t="s">
        <v>4564</v>
      </c>
      <c r="C866" s="38" t="s">
        <v>27</v>
      </c>
      <c r="D866" s="34">
        <v>1458.2</v>
      </c>
      <c r="E866" s="35">
        <v>44600</v>
      </c>
      <c r="F866" s="34">
        <v>1458.2</v>
      </c>
      <c r="G866" s="36">
        <f>Tabla13[[#This Row],[Importe]]-Tabla13[[#This Row],[Pagado]]</f>
        <v>0</v>
      </c>
      <c r="H866" s="38" t="s">
        <v>10</v>
      </c>
    </row>
    <row r="867" spans="1:8" x14ac:dyDescent="0.25">
      <c r="A867" s="31">
        <v>44600</v>
      </c>
      <c r="B867" s="37" t="s">
        <v>4565</v>
      </c>
      <c r="C867" s="38" t="s">
        <v>49</v>
      </c>
      <c r="D867" s="34">
        <v>2619</v>
      </c>
      <c r="E867" s="35">
        <v>44600</v>
      </c>
      <c r="F867" s="34">
        <v>2619</v>
      </c>
      <c r="G867" s="36">
        <f>Tabla13[[#This Row],[Importe]]-Tabla13[[#This Row],[Pagado]]</f>
        <v>0</v>
      </c>
      <c r="H867" s="38" t="s">
        <v>10</v>
      </c>
    </row>
    <row r="868" spans="1:8" x14ac:dyDescent="0.25">
      <c r="A868" s="31">
        <v>44600</v>
      </c>
      <c r="B868" s="37" t="s">
        <v>4566</v>
      </c>
      <c r="C868" s="38" t="s">
        <v>4567</v>
      </c>
      <c r="D868" s="34">
        <v>0</v>
      </c>
      <c r="E868" s="39" t="s">
        <v>189</v>
      </c>
      <c r="F868" s="34">
        <v>0</v>
      </c>
      <c r="G868" s="36">
        <f>Tabla13[[#This Row],[Importe]]-Tabla13[[#This Row],[Pagado]]</f>
        <v>0</v>
      </c>
      <c r="H868" s="40" t="s">
        <v>4568</v>
      </c>
    </row>
    <row r="869" spans="1:8" x14ac:dyDescent="0.25">
      <c r="A869" s="31">
        <v>44600</v>
      </c>
      <c r="B869" s="37" t="s">
        <v>4569</v>
      </c>
      <c r="C869" s="38" t="s">
        <v>216</v>
      </c>
      <c r="D869" s="34">
        <v>1572.9</v>
      </c>
      <c r="E869" s="35">
        <v>44600</v>
      </c>
      <c r="F869" s="34">
        <v>1572.9</v>
      </c>
      <c r="G869" s="36">
        <f>Tabla13[[#This Row],[Importe]]-Tabla13[[#This Row],[Pagado]]</f>
        <v>0</v>
      </c>
      <c r="H869" s="38" t="s">
        <v>10</v>
      </c>
    </row>
    <row r="870" spans="1:8" x14ac:dyDescent="0.25">
      <c r="A870" s="31">
        <v>44600</v>
      </c>
      <c r="B870" s="37" t="s">
        <v>4570</v>
      </c>
      <c r="C870" s="38" t="s">
        <v>244</v>
      </c>
      <c r="D870" s="34">
        <v>3324</v>
      </c>
      <c r="E870" s="35">
        <v>44600</v>
      </c>
      <c r="F870" s="34">
        <v>3324</v>
      </c>
      <c r="G870" s="36">
        <f>Tabla13[[#This Row],[Importe]]-Tabla13[[#This Row],[Pagado]]</f>
        <v>0</v>
      </c>
      <c r="H870" s="38" t="s">
        <v>10</v>
      </c>
    </row>
    <row r="871" spans="1:8" x14ac:dyDescent="0.25">
      <c r="A871" s="31">
        <v>44600</v>
      </c>
      <c r="B871" s="37" t="s">
        <v>4571</v>
      </c>
      <c r="C871" s="38" t="s">
        <v>843</v>
      </c>
      <c r="D871" s="34">
        <v>3178.1</v>
      </c>
      <c r="E871" s="35">
        <v>44600</v>
      </c>
      <c r="F871" s="34">
        <v>3178.1</v>
      </c>
      <c r="G871" s="36">
        <f>Tabla13[[#This Row],[Importe]]-Tabla13[[#This Row],[Pagado]]</f>
        <v>0</v>
      </c>
      <c r="H871" s="38" t="s">
        <v>10</v>
      </c>
    </row>
    <row r="872" spans="1:8" x14ac:dyDescent="0.25">
      <c r="A872" s="31">
        <v>44600</v>
      </c>
      <c r="B872" s="37" t="s">
        <v>4572</v>
      </c>
      <c r="C872" s="38" t="s">
        <v>31</v>
      </c>
      <c r="D872" s="34">
        <v>1040.7</v>
      </c>
      <c r="E872" s="35">
        <v>44600</v>
      </c>
      <c r="F872" s="34">
        <v>1040.7</v>
      </c>
      <c r="G872" s="36">
        <f>Tabla13[[#This Row],[Importe]]-Tabla13[[#This Row],[Pagado]]</f>
        <v>0</v>
      </c>
      <c r="H872" s="38" t="s">
        <v>10</v>
      </c>
    </row>
    <row r="873" spans="1:8" x14ac:dyDescent="0.25">
      <c r="A873" s="31">
        <v>44600</v>
      </c>
      <c r="B873" s="37" t="s">
        <v>4573</v>
      </c>
      <c r="C873" s="38" t="s">
        <v>230</v>
      </c>
      <c r="D873" s="34">
        <v>3794.2</v>
      </c>
      <c r="E873" s="35">
        <v>44600</v>
      </c>
      <c r="F873" s="34">
        <v>3794.2</v>
      </c>
      <c r="G873" s="36">
        <f>Tabla13[[#This Row],[Importe]]-Tabla13[[#This Row],[Pagado]]</f>
        <v>0</v>
      </c>
      <c r="H873" s="38" t="s">
        <v>10</v>
      </c>
    </row>
    <row r="874" spans="1:8" x14ac:dyDescent="0.25">
      <c r="A874" s="31">
        <v>44600</v>
      </c>
      <c r="B874" s="37" t="s">
        <v>4574</v>
      </c>
      <c r="C874" s="38" t="s">
        <v>45</v>
      </c>
      <c r="D874" s="34">
        <v>5081.3</v>
      </c>
      <c r="E874" s="35">
        <v>44600</v>
      </c>
      <c r="F874" s="34">
        <v>5081.3</v>
      </c>
      <c r="G874" s="36">
        <f>Tabla13[[#This Row],[Importe]]-Tabla13[[#This Row],[Pagado]]</f>
        <v>0</v>
      </c>
      <c r="H874" s="38" t="s">
        <v>10</v>
      </c>
    </row>
    <row r="875" spans="1:8" x14ac:dyDescent="0.25">
      <c r="A875" s="31">
        <v>44600</v>
      </c>
      <c r="B875" s="37" t="s">
        <v>4575</v>
      </c>
      <c r="C875" s="38" t="s">
        <v>45</v>
      </c>
      <c r="D875" s="34">
        <v>3546.2</v>
      </c>
      <c r="E875" s="35">
        <v>44600</v>
      </c>
      <c r="F875" s="34">
        <v>3546.2</v>
      </c>
      <c r="G875" s="36">
        <f>Tabla13[[#This Row],[Importe]]-Tabla13[[#This Row],[Pagado]]</f>
        <v>0</v>
      </c>
      <c r="H875" s="38" t="s">
        <v>10</v>
      </c>
    </row>
    <row r="876" spans="1:8" x14ac:dyDescent="0.25">
      <c r="A876" s="31">
        <v>44600</v>
      </c>
      <c r="B876" s="37" t="s">
        <v>4576</v>
      </c>
      <c r="C876" s="38" t="s">
        <v>843</v>
      </c>
      <c r="D876" s="34">
        <v>25875.599999999999</v>
      </c>
      <c r="E876" s="35">
        <v>44600</v>
      </c>
      <c r="F876" s="34">
        <v>25875.599999999999</v>
      </c>
      <c r="G876" s="36">
        <f>Tabla13[[#This Row],[Importe]]-Tabla13[[#This Row],[Pagado]]</f>
        <v>0</v>
      </c>
      <c r="H876" s="38" t="s">
        <v>10</v>
      </c>
    </row>
    <row r="877" spans="1:8" x14ac:dyDescent="0.25">
      <c r="A877" s="31">
        <v>44600</v>
      </c>
      <c r="B877" s="37" t="s">
        <v>4577</v>
      </c>
      <c r="C877" s="38" t="s">
        <v>24</v>
      </c>
      <c r="D877" s="34">
        <v>4521.2</v>
      </c>
      <c r="E877" s="35">
        <v>44600</v>
      </c>
      <c r="F877" s="34">
        <v>4521.2</v>
      </c>
      <c r="G877" s="36">
        <f>Tabla13[[#This Row],[Importe]]-Tabla13[[#This Row],[Pagado]]</f>
        <v>0</v>
      </c>
      <c r="H877" s="38" t="s">
        <v>10</v>
      </c>
    </row>
    <row r="878" spans="1:8" x14ac:dyDescent="0.25">
      <c r="A878" s="31">
        <v>44600</v>
      </c>
      <c r="B878" s="37" t="s">
        <v>4578</v>
      </c>
      <c r="C878" s="38" t="s">
        <v>14</v>
      </c>
      <c r="D878" s="34">
        <v>12977.2</v>
      </c>
      <c r="E878" s="35">
        <v>44600</v>
      </c>
      <c r="F878" s="34">
        <v>12977.2</v>
      </c>
      <c r="G878" s="36">
        <f>Tabla13[[#This Row],[Importe]]-Tabla13[[#This Row],[Pagado]]</f>
        <v>0</v>
      </c>
      <c r="H878" s="38" t="s">
        <v>10</v>
      </c>
    </row>
    <row r="879" spans="1:8" x14ac:dyDescent="0.25">
      <c r="A879" s="31">
        <v>44600</v>
      </c>
      <c r="B879" s="37" t="s">
        <v>4579</v>
      </c>
      <c r="C879" s="38" t="s">
        <v>142</v>
      </c>
      <c r="D879" s="34">
        <v>71765.55</v>
      </c>
      <c r="E879" s="35">
        <v>44617</v>
      </c>
      <c r="F879" s="34">
        <v>71765.55</v>
      </c>
      <c r="G879" s="36">
        <f>Tabla13[[#This Row],[Importe]]-Tabla13[[#This Row],[Pagado]]</f>
        <v>0</v>
      </c>
      <c r="H879" s="38" t="s">
        <v>10</v>
      </c>
    </row>
    <row r="880" spans="1:8" x14ac:dyDescent="0.25">
      <c r="A880" s="31">
        <v>44600</v>
      </c>
      <c r="B880" s="37" t="s">
        <v>4580</v>
      </c>
      <c r="C880" s="38" t="s">
        <v>804</v>
      </c>
      <c r="D880" s="34">
        <v>11074</v>
      </c>
      <c r="E880" s="35">
        <v>44600</v>
      </c>
      <c r="F880" s="34">
        <v>11074</v>
      </c>
      <c r="G880" s="36">
        <f>Tabla13[[#This Row],[Importe]]-Tabla13[[#This Row],[Pagado]]</f>
        <v>0</v>
      </c>
      <c r="H880" s="38" t="s">
        <v>10</v>
      </c>
    </row>
    <row r="881" spans="1:8" x14ac:dyDescent="0.25">
      <c r="A881" s="31">
        <v>44600</v>
      </c>
      <c r="B881" s="37" t="s">
        <v>4581</v>
      </c>
      <c r="C881" s="38" t="s">
        <v>56</v>
      </c>
      <c r="D881" s="34">
        <v>7003.7</v>
      </c>
      <c r="E881" s="35">
        <v>44600</v>
      </c>
      <c r="F881" s="34">
        <v>7003.7</v>
      </c>
      <c r="G881" s="36">
        <f>Tabla13[[#This Row],[Importe]]-Tabla13[[#This Row],[Pagado]]</f>
        <v>0</v>
      </c>
      <c r="H881" s="38" t="s">
        <v>10</v>
      </c>
    </row>
    <row r="882" spans="1:8" x14ac:dyDescent="0.25">
      <c r="A882" s="31">
        <v>44600</v>
      </c>
      <c r="B882" s="37" t="s">
        <v>4582</v>
      </c>
      <c r="C882" s="38" t="s">
        <v>840</v>
      </c>
      <c r="D882" s="34">
        <v>13076.5</v>
      </c>
      <c r="E882" s="35">
        <v>44600</v>
      </c>
      <c r="F882" s="34">
        <v>13076.5</v>
      </c>
      <c r="G882" s="36">
        <f>Tabla13[[#This Row],[Importe]]-Tabla13[[#This Row],[Pagado]]</f>
        <v>0</v>
      </c>
      <c r="H882" s="38" t="s">
        <v>10</v>
      </c>
    </row>
    <row r="883" spans="1:8" x14ac:dyDescent="0.25">
      <c r="A883" s="31">
        <v>44600</v>
      </c>
      <c r="B883" s="37" t="s">
        <v>4583</v>
      </c>
      <c r="C883" s="38" t="s">
        <v>392</v>
      </c>
      <c r="D883" s="34">
        <v>5484</v>
      </c>
      <c r="E883" s="35">
        <v>44613</v>
      </c>
      <c r="F883" s="34">
        <v>5484</v>
      </c>
      <c r="G883" s="36">
        <f>Tabla13[[#This Row],[Importe]]-Tabla13[[#This Row],[Pagado]]</f>
        <v>0</v>
      </c>
      <c r="H883" s="38" t="s">
        <v>10</v>
      </c>
    </row>
    <row r="884" spans="1:8" x14ac:dyDescent="0.25">
      <c r="A884" s="31">
        <v>44600</v>
      </c>
      <c r="B884" s="37" t="s">
        <v>4584</v>
      </c>
      <c r="C884" s="38" t="s">
        <v>2139</v>
      </c>
      <c r="D884" s="34">
        <v>2003.5</v>
      </c>
      <c r="E884" s="35">
        <v>44600</v>
      </c>
      <c r="F884" s="34">
        <v>2003.5</v>
      </c>
      <c r="G884" s="36">
        <f>Tabla13[[#This Row],[Importe]]-Tabla13[[#This Row],[Pagado]]</f>
        <v>0</v>
      </c>
      <c r="H884" s="38" t="s">
        <v>10</v>
      </c>
    </row>
    <row r="885" spans="1:8" x14ac:dyDescent="0.25">
      <c r="A885" s="31">
        <v>44600</v>
      </c>
      <c r="B885" s="37" t="s">
        <v>4585</v>
      </c>
      <c r="C885" s="38" t="s">
        <v>31</v>
      </c>
      <c r="D885" s="34">
        <v>717.5</v>
      </c>
      <c r="E885" s="35">
        <v>44600</v>
      </c>
      <c r="F885" s="34">
        <v>717.5</v>
      </c>
      <c r="G885" s="36">
        <f>Tabla13[[#This Row],[Importe]]-Tabla13[[#This Row],[Pagado]]</f>
        <v>0</v>
      </c>
      <c r="H885" s="38" t="s">
        <v>10</v>
      </c>
    </row>
    <row r="886" spans="1:8" x14ac:dyDescent="0.25">
      <c r="A886" s="31">
        <v>44600</v>
      </c>
      <c r="B886" s="37" t="s">
        <v>4586</v>
      </c>
      <c r="C886" s="38" t="s">
        <v>31</v>
      </c>
      <c r="D886" s="34">
        <v>847.7</v>
      </c>
      <c r="E886" s="35">
        <v>44600</v>
      </c>
      <c r="F886" s="34">
        <v>847.7</v>
      </c>
      <c r="G886" s="36">
        <f>Tabla13[[#This Row],[Importe]]-Tabla13[[#This Row],[Pagado]]</f>
        <v>0</v>
      </c>
      <c r="H886" s="38" t="s">
        <v>10</v>
      </c>
    </row>
    <row r="887" spans="1:8" x14ac:dyDescent="0.25">
      <c r="A887" s="31">
        <v>44600</v>
      </c>
      <c r="B887" s="37" t="s">
        <v>4587</v>
      </c>
      <c r="C887" s="38" t="s">
        <v>419</v>
      </c>
      <c r="D887" s="34">
        <v>2199.5</v>
      </c>
      <c r="E887" s="35">
        <v>44600</v>
      </c>
      <c r="F887" s="34">
        <v>2199.5</v>
      </c>
      <c r="G887" s="36">
        <f>Tabla13[[#This Row],[Importe]]-Tabla13[[#This Row],[Pagado]]</f>
        <v>0</v>
      </c>
      <c r="H887" s="38" t="s">
        <v>10</v>
      </c>
    </row>
    <row r="888" spans="1:8" x14ac:dyDescent="0.25">
      <c r="A888" s="31">
        <v>44600</v>
      </c>
      <c r="B888" s="37" t="s">
        <v>4588</v>
      </c>
      <c r="C888" s="38" t="s">
        <v>31</v>
      </c>
      <c r="D888" s="34">
        <v>818.3</v>
      </c>
      <c r="E888" s="35">
        <v>44600</v>
      </c>
      <c r="F888" s="34">
        <v>818.3</v>
      </c>
      <c r="G888" s="36">
        <f>Tabla13[[#This Row],[Importe]]-Tabla13[[#This Row],[Pagado]]</f>
        <v>0</v>
      </c>
      <c r="H888" s="38" t="s">
        <v>10</v>
      </c>
    </row>
    <row r="889" spans="1:8" x14ac:dyDescent="0.25">
      <c r="A889" s="31">
        <v>44600</v>
      </c>
      <c r="B889" s="37" t="s">
        <v>4589</v>
      </c>
      <c r="C889" s="38" t="s">
        <v>804</v>
      </c>
      <c r="D889" s="34">
        <v>2332.8000000000002</v>
      </c>
      <c r="E889" s="35">
        <v>44600</v>
      </c>
      <c r="F889" s="34">
        <v>2332.8000000000002</v>
      </c>
      <c r="G889" s="36">
        <f>Tabla13[[#This Row],[Importe]]-Tabla13[[#This Row],[Pagado]]</f>
        <v>0</v>
      </c>
      <c r="H889" s="38" t="s">
        <v>10</v>
      </c>
    </row>
    <row r="890" spans="1:8" x14ac:dyDescent="0.25">
      <c r="A890" s="31">
        <v>44600</v>
      </c>
      <c r="B890" s="37" t="s">
        <v>4590</v>
      </c>
      <c r="C890" s="38" t="s">
        <v>31</v>
      </c>
      <c r="D890" s="34">
        <v>18228.599999999999</v>
      </c>
      <c r="E890" s="35">
        <v>44600</v>
      </c>
      <c r="F890" s="34">
        <v>18228.599999999999</v>
      </c>
      <c r="G890" s="36">
        <f>Tabla13[[#This Row],[Importe]]-Tabla13[[#This Row],[Pagado]]</f>
        <v>0</v>
      </c>
      <c r="H890" s="38" t="s">
        <v>10</v>
      </c>
    </row>
    <row r="891" spans="1:8" x14ac:dyDescent="0.25">
      <c r="A891" s="31">
        <v>44600</v>
      </c>
      <c r="B891" s="37" t="s">
        <v>4591</v>
      </c>
      <c r="C891" s="38" t="s">
        <v>4273</v>
      </c>
      <c r="D891" s="34">
        <v>30029.8</v>
      </c>
      <c r="E891" s="35">
        <v>44600</v>
      </c>
      <c r="F891" s="34">
        <v>30029.8</v>
      </c>
      <c r="G891" s="36">
        <f>Tabla13[[#This Row],[Importe]]-Tabla13[[#This Row],[Pagado]]</f>
        <v>0</v>
      </c>
      <c r="H891" s="38" t="s">
        <v>10</v>
      </c>
    </row>
    <row r="892" spans="1:8" x14ac:dyDescent="0.25">
      <c r="A892" s="31">
        <v>44600</v>
      </c>
      <c r="B892" s="37" t="s">
        <v>4592</v>
      </c>
      <c r="C892" s="38" t="s">
        <v>670</v>
      </c>
      <c r="D892" s="34">
        <v>4343.3999999999996</v>
      </c>
      <c r="E892" s="35">
        <v>44600</v>
      </c>
      <c r="F892" s="34">
        <v>4343.3999999999996</v>
      </c>
      <c r="G892" s="36">
        <f>Tabla13[[#This Row],[Importe]]-Tabla13[[#This Row],[Pagado]]</f>
        <v>0</v>
      </c>
      <c r="H892" s="38" t="s">
        <v>10</v>
      </c>
    </row>
    <row r="893" spans="1:8" x14ac:dyDescent="0.25">
      <c r="A893" s="31">
        <v>44600</v>
      </c>
      <c r="B893" s="37" t="s">
        <v>4593</v>
      </c>
      <c r="C893" s="38" t="s">
        <v>371</v>
      </c>
      <c r="D893" s="34">
        <v>14823.2</v>
      </c>
      <c r="E893" s="35">
        <v>44600</v>
      </c>
      <c r="F893" s="34">
        <v>14823.2</v>
      </c>
      <c r="G893" s="36">
        <f>Tabla13[[#This Row],[Importe]]-Tabla13[[#This Row],[Pagado]]</f>
        <v>0</v>
      </c>
      <c r="H893" s="38" t="s">
        <v>10</v>
      </c>
    </row>
    <row r="894" spans="1:8" x14ac:dyDescent="0.25">
      <c r="A894" s="31">
        <v>44600</v>
      </c>
      <c r="B894" s="37" t="s">
        <v>4594</v>
      </c>
      <c r="C894" s="38" t="s">
        <v>58</v>
      </c>
      <c r="D894" s="34">
        <v>1485.8</v>
      </c>
      <c r="E894" s="35">
        <v>44600</v>
      </c>
      <c r="F894" s="34">
        <v>1485.8</v>
      </c>
      <c r="G894" s="36">
        <f>Tabla13[[#This Row],[Importe]]-Tabla13[[#This Row],[Pagado]]</f>
        <v>0</v>
      </c>
      <c r="H894" s="38" t="s">
        <v>10</v>
      </c>
    </row>
    <row r="895" spans="1:8" x14ac:dyDescent="0.25">
      <c r="A895" s="31">
        <v>44600</v>
      </c>
      <c r="B895" s="37" t="s">
        <v>4595</v>
      </c>
      <c r="C895" s="38" t="s">
        <v>58</v>
      </c>
      <c r="D895" s="34">
        <v>2940.2</v>
      </c>
      <c r="E895" s="35">
        <v>44600</v>
      </c>
      <c r="F895" s="34">
        <v>2940.2</v>
      </c>
      <c r="G895" s="36">
        <f>Tabla13[[#This Row],[Importe]]-Tabla13[[#This Row],[Pagado]]</f>
        <v>0</v>
      </c>
      <c r="H895" s="38" t="s">
        <v>10</v>
      </c>
    </row>
    <row r="896" spans="1:8" x14ac:dyDescent="0.25">
      <c r="A896" s="31">
        <v>44600</v>
      </c>
      <c r="B896" s="37" t="s">
        <v>4596</v>
      </c>
      <c r="C896" s="38" t="s">
        <v>698</v>
      </c>
      <c r="D896" s="34">
        <v>2473.6</v>
      </c>
      <c r="E896" s="35">
        <v>44600</v>
      </c>
      <c r="F896" s="34">
        <v>2473.6</v>
      </c>
      <c r="G896" s="36">
        <f>Tabla13[[#This Row],[Importe]]-Tabla13[[#This Row],[Pagado]]</f>
        <v>0</v>
      </c>
      <c r="H896" s="38" t="s">
        <v>10</v>
      </c>
    </row>
    <row r="897" spans="1:8" x14ac:dyDescent="0.25">
      <c r="A897" s="31">
        <v>44600</v>
      </c>
      <c r="B897" s="37" t="s">
        <v>4597</v>
      </c>
      <c r="C897" s="38" t="s">
        <v>196</v>
      </c>
      <c r="D897" s="34">
        <v>81188.800000000003</v>
      </c>
      <c r="E897" s="35">
        <v>44603</v>
      </c>
      <c r="F897" s="34">
        <v>81188.800000000003</v>
      </c>
      <c r="G897" s="36">
        <f>Tabla13[[#This Row],[Importe]]-Tabla13[[#This Row],[Pagado]]</f>
        <v>0</v>
      </c>
      <c r="H897" s="38" t="s">
        <v>10</v>
      </c>
    </row>
    <row r="898" spans="1:8" x14ac:dyDescent="0.25">
      <c r="A898" s="31">
        <v>44600</v>
      </c>
      <c r="B898" s="37" t="s">
        <v>4598</v>
      </c>
      <c r="C898" s="38" t="s">
        <v>273</v>
      </c>
      <c r="D898" s="34">
        <v>3740.52</v>
      </c>
      <c r="E898" s="35">
        <v>44600</v>
      </c>
      <c r="F898" s="34">
        <v>3740.52</v>
      </c>
      <c r="G898" s="36">
        <f>Tabla13[[#This Row],[Importe]]-Tabla13[[#This Row],[Pagado]]</f>
        <v>0</v>
      </c>
      <c r="H898" s="38" t="s">
        <v>10</v>
      </c>
    </row>
    <row r="899" spans="1:8" x14ac:dyDescent="0.25">
      <c r="A899" s="31">
        <v>44600</v>
      </c>
      <c r="B899" s="37" t="s">
        <v>4599</v>
      </c>
      <c r="C899" s="38" t="s">
        <v>67</v>
      </c>
      <c r="D899" s="34">
        <v>1565</v>
      </c>
      <c r="E899" s="35">
        <v>44600</v>
      </c>
      <c r="F899" s="34">
        <v>1565</v>
      </c>
      <c r="G899" s="36">
        <f>Tabla13[[#This Row],[Importe]]-Tabla13[[#This Row],[Pagado]]</f>
        <v>0</v>
      </c>
      <c r="H899" s="38" t="s">
        <v>10</v>
      </c>
    </row>
    <row r="900" spans="1:8" x14ac:dyDescent="0.25">
      <c r="A900" s="31">
        <v>44600</v>
      </c>
      <c r="B900" s="37" t="s">
        <v>4600</v>
      </c>
      <c r="C900" s="38" t="s">
        <v>380</v>
      </c>
      <c r="D900" s="34">
        <v>9807.2000000000007</v>
      </c>
      <c r="E900" s="35">
        <v>44601</v>
      </c>
      <c r="F900" s="34">
        <v>9807.2000000000007</v>
      </c>
      <c r="G900" s="36">
        <f>Tabla13[[#This Row],[Importe]]-Tabla13[[#This Row],[Pagado]]</f>
        <v>0</v>
      </c>
      <c r="H900" s="38" t="s">
        <v>10</v>
      </c>
    </row>
    <row r="901" spans="1:8" x14ac:dyDescent="0.25">
      <c r="A901" s="31">
        <v>44600</v>
      </c>
      <c r="B901" s="37" t="s">
        <v>4601</v>
      </c>
      <c r="C901" s="38" t="s">
        <v>151</v>
      </c>
      <c r="D901" s="34">
        <v>3814.8</v>
      </c>
      <c r="E901" s="35">
        <v>44601</v>
      </c>
      <c r="F901" s="34">
        <v>3814.8</v>
      </c>
      <c r="G901" s="36">
        <f>Tabla13[[#This Row],[Importe]]-Tabla13[[#This Row],[Pagado]]</f>
        <v>0</v>
      </c>
      <c r="H901" s="38" t="s">
        <v>10</v>
      </c>
    </row>
    <row r="902" spans="1:8" x14ac:dyDescent="0.25">
      <c r="A902" s="31">
        <v>44600</v>
      </c>
      <c r="B902" s="37" t="s">
        <v>4602</v>
      </c>
      <c r="C902" s="38" t="s">
        <v>157</v>
      </c>
      <c r="D902" s="34">
        <v>2637.9</v>
      </c>
      <c r="E902" s="35">
        <v>44601</v>
      </c>
      <c r="F902" s="34">
        <v>2637.9</v>
      </c>
      <c r="G902" s="36">
        <f>Tabla13[[#This Row],[Importe]]-Tabla13[[#This Row],[Pagado]]</f>
        <v>0</v>
      </c>
      <c r="H902" s="38" t="s">
        <v>10</v>
      </c>
    </row>
    <row r="903" spans="1:8" x14ac:dyDescent="0.25">
      <c r="A903" s="31">
        <v>44600</v>
      </c>
      <c r="B903" s="37" t="s">
        <v>4603</v>
      </c>
      <c r="C903" s="38" t="s">
        <v>518</v>
      </c>
      <c r="D903" s="34">
        <v>1181.2</v>
      </c>
      <c r="E903" s="35">
        <v>44601</v>
      </c>
      <c r="F903" s="34">
        <v>1181.2</v>
      </c>
      <c r="G903" s="36">
        <f>Tabla13[[#This Row],[Importe]]-Tabla13[[#This Row],[Pagado]]</f>
        <v>0</v>
      </c>
      <c r="H903" s="38" t="s">
        <v>10</v>
      </c>
    </row>
    <row r="904" spans="1:8" x14ac:dyDescent="0.25">
      <c r="A904" s="31">
        <v>44600</v>
      </c>
      <c r="B904" s="37" t="s">
        <v>4604</v>
      </c>
      <c r="C904" s="38" t="s">
        <v>183</v>
      </c>
      <c r="D904" s="34">
        <v>1070.4000000000001</v>
      </c>
      <c r="E904" s="35">
        <v>44601</v>
      </c>
      <c r="F904" s="34">
        <v>1070.4000000000001</v>
      </c>
      <c r="G904" s="36">
        <f>Tabla13[[#This Row],[Importe]]-Tabla13[[#This Row],[Pagado]]</f>
        <v>0</v>
      </c>
      <c r="H904" s="38" t="s">
        <v>10</v>
      </c>
    </row>
    <row r="905" spans="1:8" x14ac:dyDescent="0.25">
      <c r="A905" s="31">
        <v>44600</v>
      </c>
      <c r="B905" s="37" t="s">
        <v>4605</v>
      </c>
      <c r="C905" s="38" t="s">
        <v>934</v>
      </c>
      <c r="D905" s="34">
        <v>3302.6</v>
      </c>
      <c r="E905" s="35">
        <v>44601</v>
      </c>
      <c r="F905" s="34">
        <v>3302.6</v>
      </c>
      <c r="G905" s="36">
        <f>Tabla13[[#This Row],[Importe]]-Tabla13[[#This Row],[Pagado]]</f>
        <v>0</v>
      </c>
      <c r="H905" s="38" t="s">
        <v>10</v>
      </c>
    </row>
    <row r="906" spans="1:8" x14ac:dyDescent="0.25">
      <c r="A906" s="31">
        <v>44600</v>
      </c>
      <c r="B906" s="37" t="s">
        <v>4606</v>
      </c>
      <c r="C906" s="38" t="s">
        <v>932</v>
      </c>
      <c r="D906" s="34">
        <v>3450</v>
      </c>
      <c r="E906" s="35">
        <v>44601</v>
      </c>
      <c r="F906" s="34">
        <v>3450</v>
      </c>
      <c r="G906" s="36">
        <f>Tabla13[[#This Row],[Importe]]-Tabla13[[#This Row],[Pagado]]</f>
        <v>0</v>
      </c>
      <c r="H906" s="38" t="s">
        <v>10</v>
      </c>
    </row>
    <row r="907" spans="1:8" x14ac:dyDescent="0.25">
      <c r="A907" s="31">
        <v>44600</v>
      </c>
      <c r="B907" s="37" t="s">
        <v>4607</v>
      </c>
      <c r="C907" s="38" t="s">
        <v>69</v>
      </c>
      <c r="D907" s="34">
        <v>1739.5</v>
      </c>
      <c r="E907" s="35">
        <v>44600</v>
      </c>
      <c r="F907" s="34">
        <v>1739.5</v>
      </c>
      <c r="G907" s="36">
        <f>Tabla13[[#This Row],[Importe]]-Tabla13[[#This Row],[Pagado]]</f>
        <v>0</v>
      </c>
      <c r="H907" s="38" t="s">
        <v>10</v>
      </c>
    </row>
    <row r="908" spans="1:8" x14ac:dyDescent="0.25">
      <c r="A908" s="31">
        <v>44600</v>
      </c>
      <c r="B908" s="37" t="s">
        <v>4608</v>
      </c>
      <c r="C908" s="38" t="s">
        <v>266</v>
      </c>
      <c r="D908" s="34">
        <v>384</v>
      </c>
      <c r="E908" s="35">
        <v>44600</v>
      </c>
      <c r="F908" s="34">
        <v>384</v>
      </c>
      <c r="G908" s="36">
        <f>Tabla13[[#This Row],[Importe]]-Tabla13[[#This Row],[Pagado]]</f>
        <v>0</v>
      </c>
      <c r="H908" s="38" t="s">
        <v>10</v>
      </c>
    </row>
    <row r="909" spans="1:8" x14ac:dyDescent="0.25">
      <c r="A909" s="31">
        <v>44600</v>
      </c>
      <c r="B909" s="37" t="s">
        <v>4609</v>
      </c>
      <c r="C909" s="38" t="s">
        <v>4610</v>
      </c>
      <c r="D909" s="34">
        <v>0</v>
      </c>
      <c r="E909" s="39" t="s">
        <v>189</v>
      </c>
      <c r="F909" s="34">
        <v>0</v>
      </c>
      <c r="G909" s="36">
        <f>Tabla13[[#This Row],[Importe]]-Tabla13[[#This Row],[Pagado]]</f>
        <v>0</v>
      </c>
      <c r="H909" s="40" t="s">
        <v>4611</v>
      </c>
    </row>
    <row r="910" spans="1:8" x14ac:dyDescent="0.25">
      <c r="A910" s="31">
        <v>44600</v>
      </c>
      <c r="B910" s="37" t="s">
        <v>4612</v>
      </c>
      <c r="C910" s="38" t="s">
        <v>263</v>
      </c>
      <c r="D910" s="34">
        <v>53330.400000000001</v>
      </c>
      <c r="E910" s="35">
        <v>44607</v>
      </c>
      <c r="F910" s="34">
        <v>53330.400000000001</v>
      </c>
      <c r="G910" s="36">
        <f>Tabla13[[#This Row],[Importe]]-Tabla13[[#This Row],[Pagado]]</f>
        <v>0</v>
      </c>
      <c r="H910" s="38" t="s">
        <v>10</v>
      </c>
    </row>
    <row r="911" spans="1:8" x14ac:dyDescent="0.25">
      <c r="A911" s="31">
        <v>44600</v>
      </c>
      <c r="B911" s="37" t="s">
        <v>4613</v>
      </c>
      <c r="C911" s="38" t="s">
        <v>414</v>
      </c>
      <c r="D911" s="34">
        <v>6051.5</v>
      </c>
      <c r="E911" s="35">
        <v>44638</v>
      </c>
      <c r="F911" s="34">
        <v>6051.5</v>
      </c>
      <c r="G911" s="36">
        <f>Tabla13[[#This Row],[Importe]]-Tabla13[[#This Row],[Pagado]]</f>
        <v>0</v>
      </c>
      <c r="H911" s="38" t="s">
        <v>10</v>
      </c>
    </row>
    <row r="912" spans="1:8" x14ac:dyDescent="0.25">
      <c r="A912" s="31">
        <v>44600</v>
      </c>
      <c r="B912" s="37" t="s">
        <v>4614</v>
      </c>
      <c r="C912" s="38" t="s">
        <v>857</v>
      </c>
      <c r="D912" s="34">
        <v>978.5</v>
      </c>
      <c r="E912" s="35">
        <v>44600</v>
      </c>
      <c r="F912" s="34">
        <v>978.5</v>
      </c>
      <c r="G912" s="36">
        <f>Tabla13[[#This Row],[Importe]]-Tabla13[[#This Row],[Pagado]]</f>
        <v>0</v>
      </c>
      <c r="H912" s="38" t="s">
        <v>10</v>
      </c>
    </row>
    <row r="913" spans="1:8" x14ac:dyDescent="0.25">
      <c r="A913" s="31">
        <v>44600</v>
      </c>
      <c r="B913" s="37" t="s">
        <v>4615</v>
      </c>
      <c r="C913" s="38" t="s">
        <v>142</v>
      </c>
      <c r="D913" s="34">
        <v>2798.4</v>
      </c>
      <c r="E913" s="35">
        <v>44617</v>
      </c>
      <c r="F913" s="34">
        <v>2798.4</v>
      </c>
      <c r="G913" s="36">
        <f>Tabla13[[#This Row],[Importe]]-Tabla13[[#This Row],[Pagado]]</f>
        <v>0</v>
      </c>
      <c r="H913" s="38" t="s">
        <v>10</v>
      </c>
    </row>
    <row r="914" spans="1:8" x14ac:dyDescent="0.25">
      <c r="A914" s="31">
        <v>44600</v>
      </c>
      <c r="B914" s="37" t="s">
        <v>4616</v>
      </c>
      <c r="C914" s="38" t="s">
        <v>282</v>
      </c>
      <c r="D914" s="34">
        <v>2141.3000000000002</v>
      </c>
      <c r="E914" s="35">
        <v>44601</v>
      </c>
      <c r="F914" s="34">
        <v>2141.3000000000002</v>
      </c>
      <c r="G914" s="36">
        <f>Tabla13[[#This Row],[Importe]]-Tabla13[[#This Row],[Pagado]]</f>
        <v>0</v>
      </c>
      <c r="H914" s="38" t="s">
        <v>10</v>
      </c>
    </row>
    <row r="915" spans="1:8" x14ac:dyDescent="0.25">
      <c r="A915" s="31">
        <v>44600</v>
      </c>
      <c r="B915" s="37" t="s">
        <v>4617</v>
      </c>
      <c r="C915" s="38" t="s">
        <v>200</v>
      </c>
      <c r="D915" s="34">
        <v>823.2</v>
      </c>
      <c r="E915" s="35">
        <v>44601</v>
      </c>
      <c r="F915" s="34">
        <v>823.2</v>
      </c>
      <c r="G915" s="36">
        <f>Tabla13[[#This Row],[Importe]]-Tabla13[[#This Row],[Pagado]]</f>
        <v>0</v>
      </c>
      <c r="H915" s="38" t="s">
        <v>10</v>
      </c>
    </row>
    <row r="916" spans="1:8" x14ac:dyDescent="0.25">
      <c r="A916" s="31">
        <v>44600</v>
      </c>
      <c r="B916" s="37" t="s">
        <v>4618</v>
      </c>
      <c r="C916" s="38" t="s">
        <v>71</v>
      </c>
      <c r="D916" s="34">
        <v>5948.6</v>
      </c>
      <c r="E916" s="35">
        <v>44601</v>
      </c>
      <c r="F916" s="34">
        <v>5948.6</v>
      </c>
      <c r="G916" s="36">
        <f>Tabla13[[#This Row],[Importe]]-Tabla13[[#This Row],[Pagado]]</f>
        <v>0</v>
      </c>
      <c r="H916" s="38" t="s">
        <v>10</v>
      </c>
    </row>
    <row r="917" spans="1:8" x14ac:dyDescent="0.25">
      <c r="A917" s="31">
        <v>44600</v>
      </c>
      <c r="B917" s="37" t="s">
        <v>4619</v>
      </c>
      <c r="C917" s="38" t="s">
        <v>71</v>
      </c>
      <c r="D917" s="34">
        <v>3647</v>
      </c>
      <c r="E917" s="35">
        <v>44600</v>
      </c>
      <c r="F917" s="34">
        <v>3647</v>
      </c>
      <c r="G917" s="36">
        <f>Tabla13[[#This Row],[Importe]]-Tabla13[[#This Row],[Pagado]]</f>
        <v>0</v>
      </c>
      <c r="H917" s="38" t="s">
        <v>10</v>
      </c>
    </row>
    <row r="918" spans="1:8" x14ac:dyDescent="0.25">
      <c r="A918" s="31">
        <v>44600</v>
      </c>
      <c r="B918" s="37" t="s">
        <v>4620</v>
      </c>
      <c r="C918" s="38" t="s">
        <v>409</v>
      </c>
      <c r="D918" s="34">
        <v>3372</v>
      </c>
      <c r="E918" s="35">
        <v>44608</v>
      </c>
      <c r="F918" s="34">
        <v>3372</v>
      </c>
      <c r="G918" s="36">
        <f>Tabla13[[#This Row],[Importe]]-Tabla13[[#This Row],[Pagado]]</f>
        <v>0</v>
      </c>
      <c r="H918" s="38" t="s">
        <v>10</v>
      </c>
    </row>
    <row r="919" spans="1:8" x14ac:dyDescent="0.25">
      <c r="A919" s="31">
        <v>44600</v>
      </c>
      <c r="B919" s="37" t="s">
        <v>4621</v>
      </c>
      <c r="C919" s="38" t="s">
        <v>664</v>
      </c>
      <c r="D919" s="34">
        <v>15911.8</v>
      </c>
      <c r="E919" s="35">
        <v>44604</v>
      </c>
      <c r="F919" s="34">
        <v>15911.8</v>
      </c>
      <c r="G919" s="36">
        <f>Tabla13[[#This Row],[Importe]]-Tabla13[[#This Row],[Pagado]]</f>
        <v>0</v>
      </c>
      <c r="H919" s="38" t="s">
        <v>10</v>
      </c>
    </row>
    <row r="920" spans="1:8" x14ac:dyDescent="0.25">
      <c r="A920" s="31">
        <v>44600</v>
      </c>
      <c r="B920" s="37" t="s">
        <v>4622</v>
      </c>
      <c r="C920" s="38" t="s">
        <v>31</v>
      </c>
      <c r="D920" s="34">
        <v>62.4</v>
      </c>
      <c r="E920" s="35">
        <v>44600</v>
      </c>
      <c r="F920" s="34">
        <v>62.4</v>
      </c>
      <c r="G920" s="36">
        <f>Tabla13[[#This Row],[Importe]]-Tabla13[[#This Row],[Pagado]]</f>
        <v>0</v>
      </c>
      <c r="H920" s="38" t="s">
        <v>10</v>
      </c>
    </row>
    <row r="921" spans="1:8" x14ac:dyDescent="0.25">
      <c r="A921" s="31">
        <v>44600</v>
      </c>
      <c r="B921" s="37" t="s">
        <v>4623</v>
      </c>
      <c r="C921" s="38" t="s">
        <v>214</v>
      </c>
      <c r="D921" s="34">
        <v>7982.4</v>
      </c>
      <c r="E921" s="35">
        <v>44604</v>
      </c>
      <c r="F921" s="34">
        <v>7982.4</v>
      </c>
      <c r="G921" s="36">
        <f>Tabla13[[#This Row],[Importe]]-Tabla13[[#This Row],[Pagado]]</f>
        <v>0</v>
      </c>
      <c r="H921" s="38" t="s">
        <v>10</v>
      </c>
    </row>
    <row r="922" spans="1:8" x14ac:dyDescent="0.25">
      <c r="A922" s="31">
        <v>44600</v>
      </c>
      <c r="B922" s="37" t="s">
        <v>4624</v>
      </c>
      <c r="C922" s="38" t="s">
        <v>269</v>
      </c>
      <c r="D922" s="34">
        <v>784.7</v>
      </c>
      <c r="E922" s="35">
        <v>44600</v>
      </c>
      <c r="F922" s="34">
        <v>784.7</v>
      </c>
      <c r="G922" s="36">
        <f>Tabla13[[#This Row],[Importe]]-Tabla13[[#This Row],[Pagado]]</f>
        <v>0</v>
      </c>
      <c r="H922" s="38" t="s">
        <v>10</v>
      </c>
    </row>
    <row r="923" spans="1:8" x14ac:dyDescent="0.25">
      <c r="A923" s="31">
        <v>44600</v>
      </c>
      <c r="B923" s="37" t="s">
        <v>4625</v>
      </c>
      <c r="C923" s="38" t="s">
        <v>53</v>
      </c>
      <c r="D923" s="34">
        <v>1043</v>
      </c>
      <c r="E923" s="35">
        <v>44600</v>
      </c>
      <c r="F923" s="34">
        <v>1043</v>
      </c>
      <c r="G923" s="36">
        <f>Tabla13[[#This Row],[Importe]]-Tabla13[[#This Row],[Pagado]]</f>
        <v>0</v>
      </c>
      <c r="H923" s="38" t="s">
        <v>10</v>
      </c>
    </row>
    <row r="924" spans="1:8" x14ac:dyDescent="0.25">
      <c r="A924" s="31">
        <v>44600</v>
      </c>
      <c r="B924" s="37" t="s">
        <v>4626</v>
      </c>
      <c r="C924" s="38" t="s">
        <v>298</v>
      </c>
      <c r="D924" s="34">
        <v>2721.6</v>
      </c>
      <c r="E924" s="35">
        <v>44600</v>
      </c>
      <c r="F924" s="34">
        <v>2721.6</v>
      </c>
      <c r="G924" s="36">
        <f>Tabla13[[#This Row],[Importe]]-Tabla13[[#This Row],[Pagado]]</f>
        <v>0</v>
      </c>
      <c r="H924" s="38" t="s">
        <v>10</v>
      </c>
    </row>
    <row r="925" spans="1:8" x14ac:dyDescent="0.25">
      <c r="A925" s="31">
        <v>44600</v>
      </c>
      <c r="B925" s="37" t="s">
        <v>4627</v>
      </c>
      <c r="C925" s="38" t="s">
        <v>1706</v>
      </c>
      <c r="D925" s="34">
        <v>2025.6</v>
      </c>
      <c r="E925" s="35">
        <v>44600</v>
      </c>
      <c r="F925" s="34">
        <v>2025.6</v>
      </c>
      <c r="G925" s="36">
        <f>Tabla13[[#This Row],[Importe]]-Tabla13[[#This Row],[Pagado]]</f>
        <v>0</v>
      </c>
      <c r="H925" s="38" t="s">
        <v>10</v>
      </c>
    </row>
    <row r="926" spans="1:8" x14ac:dyDescent="0.25">
      <c r="A926" s="31">
        <v>44600</v>
      </c>
      <c r="B926" s="37" t="s">
        <v>4628</v>
      </c>
      <c r="C926" s="38" t="s">
        <v>298</v>
      </c>
      <c r="D926" s="34">
        <v>1680</v>
      </c>
      <c r="E926" s="35">
        <v>44600</v>
      </c>
      <c r="F926" s="34">
        <v>1680</v>
      </c>
      <c r="G926" s="36">
        <f>Tabla13[[#This Row],[Importe]]-Tabla13[[#This Row],[Pagado]]</f>
        <v>0</v>
      </c>
      <c r="H926" s="38" t="s">
        <v>10</v>
      </c>
    </row>
    <row r="927" spans="1:8" x14ac:dyDescent="0.25">
      <c r="A927" s="31">
        <v>44600</v>
      </c>
      <c r="B927" s="37" t="s">
        <v>4629</v>
      </c>
      <c r="C927" s="38" t="s">
        <v>31</v>
      </c>
      <c r="D927" s="34">
        <v>1568</v>
      </c>
      <c r="E927" s="35">
        <v>44600</v>
      </c>
      <c r="F927" s="34">
        <v>1568</v>
      </c>
      <c r="G927" s="36">
        <f>Tabla13[[#This Row],[Importe]]-Tabla13[[#This Row],[Pagado]]</f>
        <v>0</v>
      </c>
      <c r="H927" s="38" t="s">
        <v>10</v>
      </c>
    </row>
    <row r="928" spans="1:8" x14ac:dyDescent="0.25">
      <c r="A928" s="31">
        <v>44600</v>
      </c>
      <c r="B928" s="37" t="s">
        <v>4630</v>
      </c>
      <c r="C928" s="38" t="s">
        <v>31</v>
      </c>
      <c r="D928" s="34">
        <v>248.2</v>
      </c>
      <c r="E928" s="35">
        <v>44600</v>
      </c>
      <c r="F928" s="34">
        <v>248.2</v>
      </c>
      <c r="G928" s="36">
        <f>Tabla13[[#This Row],[Importe]]-Tabla13[[#This Row],[Pagado]]</f>
        <v>0</v>
      </c>
      <c r="H928" s="38" t="s">
        <v>10</v>
      </c>
    </row>
    <row r="929" spans="1:8" x14ac:dyDescent="0.25">
      <c r="A929" s="31">
        <v>44600</v>
      </c>
      <c r="B929" s="37" t="s">
        <v>4631</v>
      </c>
      <c r="C929" s="38" t="s">
        <v>31</v>
      </c>
      <c r="D929" s="34">
        <v>80</v>
      </c>
      <c r="E929" s="35">
        <v>44600</v>
      </c>
      <c r="F929" s="34">
        <v>80</v>
      </c>
      <c r="G929" s="36">
        <f>Tabla13[[#This Row],[Importe]]-Tabla13[[#This Row],[Pagado]]</f>
        <v>0</v>
      </c>
      <c r="H929" s="38" t="s">
        <v>10</v>
      </c>
    </row>
    <row r="930" spans="1:8" x14ac:dyDescent="0.25">
      <c r="A930" s="31">
        <v>44600</v>
      </c>
      <c r="B930" s="37" t="s">
        <v>4632</v>
      </c>
      <c r="C930" s="38" t="s">
        <v>31</v>
      </c>
      <c r="D930" s="34">
        <v>74.8</v>
      </c>
      <c r="E930" s="35">
        <v>44600</v>
      </c>
      <c r="F930" s="34">
        <v>74.8</v>
      </c>
      <c r="G930" s="36">
        <f>Tabla13[[#This Row],[Importe]]-Tabla13[[#This Row],[Pagado]]</f>
        <v>0</v>
      </c>
      <c r="H930" s="38" t="s">
        <v>10</v>
      </c>
    </row>
    <row r="931" spans="1:8" x14ac:dyDescent="0.25">
      <c r="A931" s="31">
        <v>44601</v>
      </c>
      <c r="B931" s="37" t="s">
        <v>4633</v>
      </c>
      <c r="C931" s="38" t="s">
        <v>887</v>
      </c>
      <c r="D931" s="34">
        <v>8183</v>
      </c>
      <c r="E931" s="35">
        <v>44602</v>
      </c>
      <c r="F931" s="34">
        <v>8183</v>
      </c>
      <c r="G931" s="36">
        <f>Tabla13[[#This Row],[Importe]]-Tabla13[[#This Row],[Pagado]]</f>
        <v>0</v>
      </c>
      <c r="H931" s="38" t="s">
        <v>10</v>
      </c>
    </row>
    <row r="932" spans="1:8" x14ac:dyDescent="0.25">
      <c r="A932" s="31">
        <v>44601</v>
      </c>
      <c r="B932" s="37" t="s">
        <v>4634</v>
      </c>
      <c r="C932" s="38" t="s">
        <v>475</v>
      </c>
      <c r="D932" s="34">
        <v>62440.3</v>
      </c>
      <c r="E932" s="35">
        <v>44602</v>
      </c>
      <c r="F932" s="34">
        <v>62440.3</v>
      </c>
      <c r="G932" s="36">
        <f>Tabla13[[#This Row],[Importe]]-Tabla13[[#This Row],[Pagado]]</f>
        <v>0</v>
      </c>
      <c r="H932" s="38" t="s">
        <v>10</v>
      </c>
    </row>
    <row r="933" spans="1:8" x14ac:dyDescent="0.25">
      <c r="A933" s="31">
        <v>44601</v>
      </c>
      <c r="B933" s="37" t="s">
        <v>4635</v>
      </c>
      <c r="C933" s="38" t="s">
        <v>481</v>
      </c>
      <c r="D933" s="34">
        <v>396.9</v>
      </c>
      <c r="E933" s="35">
        <v>44601</v>
      </c>
      <c r="F933" s="34">
        <v>396.9</v>
      </c>
      <c r="G933" s="36">
        <f>Tabla13[[#This Row],[Importe]]-Tabla13[[#This Row],[Pagado]]</f>
        <v>0</v>
      </c>
      <c r="H933" s="38" t="s">
        <v>10</v>
      </c>
    </row>
    <row r="934" spans="1:8" x14ac:dyDescent="0.25">
      <c r="A934" s="31">
        <v>44601</v>
      </c>
      <c r="B934" s="37" t="s">
        <v>4636</v>
      </c>
      <c r="C934" s="38" t="s">
        <v>93</v>
      </c>
      <c r="D934" s="34">
        <v>3939.6</v>
      </c>
      <c r="E934" s="35">
        <v>44603</v>
      </c>
      <c r="F934" s="34">
        <v>3939.6</v>
      </c>
      <c r="G934" s="36">
        <f>Tabla13[[#This Row],[Importe]]-Tabla13[[#This Row],[Pagado]]</f>
        <v>0</v>
      </c>
      <c r="H934" s="38" t="s">
        <v>10</v>
      </c>
    </row>
    <row r="935" spans="1:8" x14ac:dyDescent="0.25">
      <c r="A935" s="31">
        <v>44601</v>
      </c>
      <c r="B935" s="37" t="s">
        <v>4637</v>
      </c>
      <c r="C935" s="38" t="s">
        <v>93</v>
      </c>
      <c r="D935" s="34">
        <v>12994.8</v>
      </c>
      <c r="E935" s="35">
        <v>44601</v>
      </c>
      <c r="F935" s="34">
        <v>12994.8</v>
      </c>
      <c r="G935" s="36">
        <f>Tabla13[[#This Row],[Importe]]-Tabla13[[#This Row],[Pagado]]</f>
        <v>0</v>
      </c>
      <c r="H935" s="38" t="s">
        <v>10</v>
      </c>
    </row>
    <row r="936" spans="1:8" x14ac:dyDescent="0.25">
      <c r="A936" s="31">
        <v>44601</v>
      </c>
      <c r="B936" s="37" t="s">
        <v>4638</v>
      </c>
      <c r="C936" s="38" t="s">
        <v>2563</v>
      </c>
      <c r="D936" s="34">
        <v>3748.5</v>
      </c>
      <c r="E936" s="35">
        <v>44601</v>
      </c>
      <c r="F936" s="34">
        <v>3748.5</v>
      </c>
      <c r="G936" s="36">
        <f>Tabla13[[#This Row],[Importe]]-Tabla13[[#This Row],[Pagado]]</f>
        <v>0</v>
      </c>
      <c r="H936" s="38" t="s">
        <v>10</v>
      </c>
    </row>
    <row r="937" spans="1:8" x14ac:dyDescent="0.25">
      <c r="A937" s="31">
        <v>44601</v>
      </c>
      <c r="B937" s="37" t="s">
        <v>4639</v>
      </c>
      <c r="C937" s="38" t="s">
        <v>111</v>
      </c>
      <c r="D937" s="34">
        <v>4086.6</v>
      </c>
      <c r="E937" s="35">
        <v>44602</v>
      </c>
      <c r="F937" s="34">
        <v>4086.6</v>
      </c>
      <c r="G937" s="36">
        <f>Tabla13[[#This Row],[Importe]]-Tabla13[[#This Row],[Pagado]]</f>
        <v>0</v>
      </c>
      <c r="H937" s="38" t="s">
        <v>10</v>
      </c>
    </row>
    <row r="938" spans="1:8" x14ac:dyDescent="0.25">
      <c r="A938" s="31">
        <v>44601</v>
      </c>
      <c r="B938" s="37" t="s">
        <v>4640</v>
      </c>
      <c r="C938" s="38" t="s">
        <v>83</v>
      </c>
      <c r="D938" s="34">
        <v>3691</v>
      </c>
      <c r="E938" s="35">
        <v>44601</v>
      </c>
      <c r="F938" s="34">
        <v>3691</v>
      </c>
      <c r="G938" s="36">
        <f>Tabla13[[#This Row],[Importe]]-Tabla13[[#This Row],[Pagado]]</f>
        <v>0</v>
      </c>
      <c r="H938" s="38" t="s">
        <v>10</v>
      </c>
    </row>
    <row r="939" spans="1:8" x14ac:dyDescent="0.25">
      <c r="A939" s="31">
        <v>44601</v>
      </c>
      <c r="B939" s="37" t="s">
        <v>4641</v>
      </c>
      <c r="C939" s="38" t="s">
        <v>31</v>
      </c>
      <c r="D939" s="34">
        <v>798.7</v>
      </c>
      <c r="E939" s="35">
        <v>44601</v>
      </c>
      <c r="F939" s="34">
        <v>798.7</v>
      </c>
      <c r="G939" s="36">
        <f>Tabla13[[#This Row],[Importe]]-Tabla13[[#This Row],[Pagado]]</f>
        <v>0</v>
      </c>
      <c r="H939" s="38" t="s">
        <v>10</v>
      </c>
    </row>
    <row r="940" spans="1:8" x14ac:dyDescent="0.25">
      <c r="A940" s="31">
        <v>44601</v>
      </c>
      <c r="B940" s="37" t="s">
        <v>4642</v>
      </c>
      <c r="C940" s="38" t="s">
        <v>99</v>
      </c>
      <c r="D940" s="34">
        <v>4062.1</v>
      </c>
      <c r="E940" s="35">
        <v>44604</v>
      </c>
      <c r="F940" s="34">
        <v>4062.1</v>
      </c>
      <c r="G940" s="36">
        <f>Tabla13[[#This Row],[Importe]]-Tabla13[[#This Row],[Pagado]]</f>
        <v>0</v>
      </c>
      <c r="H940" s="38" t="s">
        <v>10</v>
      </c>
    </row>
    <row r="941" spans="1:8" x14ac:dyDescent="0.25">
      <c r="A941" s="31">
        <v>44601</v>
      </c>
      <c r="B941" s="37" t="s">
        <v>4643</v>
      </c>
      <c r="C941" s="38" t="s">
        <v>1339</v>
      </c>
      <c r="D941" s="34">
        <v>431.2</v>
      </c>
      <c r="E941" s="35">
        <v>44601</v>
      </c>
      <c r="F941" s="34">
        <v>431.2</v>
      </c>
      <c r="G941" s="36">
        <f>Tabla13[[#This Row],[Importe]]-Tabla13[[#This Row],[Pagado]]</f>
        <v>0</v>
      </c>
      <c r="H941" s="38" t="s">
        <v>10</v>
      </c>
    </row>
    <row r="942" spans="1:8" x14ac:dyDescent="0.25">
      <c r="A942" s="31">
        <v>44601</v>
      </c>
      <c r="B942" s="37" t="s">
        <v>4644</v>
      </c>
      <c r="C942" s="38" t="s">
        <v>114</v>
      </c>
      <c r="D942" s="34">
        <v>8094.8</v>
      </c>
      <c r="E942" s="35">
        <v>44604</v>
      </c>
      <c r="F942" s="34">
        <v>8094.8</v>
      </c>
      <c r="G942" s="36">
        <f>Tabla13[[#This Row],[Importe]]-Tabla13[[#This Row],[Pagado]]</f>
        <v>0</v>
      </c>
      <c r="H942" s="38" t="s">
        <v>10</v>
      </c>
    </row>
    <row r="943" spans="1:8" x14ac:dyDescent="0.25">
      <c r="A943" s="31">
        <v>44601</v>
      </c>
      <c r="B943" s="37" t="s">
        <v>4645</v>
      </c>
      <c r="C943" s="38" t="s">
        <v>326</v>
      </c>
      <c r="D943" s="34">
        <v>4003.3</v>
      </c>
      <c r="E943" s="35">
        <v>44604</v>
      </c>
      <c r="F943" s="34">
        <v>4003.3</v>
      </c>
      <c r="G943" s="36">
        <f>Tabla13[[#This Row],[Importe]]-Tabla13[[#This Row],[Pagado]]</f>
        <v>0</v>
      </c>
      <c r="H943" s="38" t="s">
        <v>10</v>
      </c>
    </row>
    <row r="944" spans="1:8" x14ac:dyDescent="0.25">
      <c r="A944" s="31">
        <v>44601</v>
      </c>
      <c r="B944" s="37" t="s">
        <v>4646</v>
      </c>
      <c r="C944" s="38" t="s">
        <v>9</v>
      </c>
      <c r="D944" s="34">
        <v>5084.8</v>
      </c>
      <c r="E944" s="35">
        <v>44601</v>
      </c>
      <c r="F944" s="34">
        <v>5084.8</v>
      </c>
      <c r="G944" s="36">
        <f>Tabla13[[#This Row],[Importe]]-Tabla13[[#This Row],[Pagado]]</f>
        <v>0</v>
      </c>
      <c r="H944" s="38" t="s">
        <v>10</v>
      </c>
    </row>
    <row r="945" spans="1:8" x14ac:dyDescent="0.25">
      <c r="A945" s="31">
        <v>44601</v>
      </c>
      <c r="B945" s="37" t="s">
        <v>4647</v>
      </c>
      <c r="C945" s="38" t="s">
        <v>79</v>
      </c>
      <c r="D945" s="34">
        <v>5974</v>
      </c>
      <c r="E945" s="35">
        <v>44601</v>
      </c>
      <c r="F945" s="34">
        <v>5974</v>
      </c>
      <c r="G945" s="36">
        <f>Tabla13[[#This Row],[Importe]]-Tabla13[[#This Row],[Pagado]]</f>
        <v>0</v>
      </c>
      <c r="H945" s="38" t="s">
        <v>10</v>
      </c>
    </row>
    <row r="946" spans="1:8" x14ac:dyDescent="0.25">
      <c r="A946" s="31">
        <v>44601</v>
      </c>
      <c r="B946" s="37" t="s">
        <v>4648</v>
      </c>
      <c r="C946" s="38" t="s">
        <v>64</v>
      </c>
      <c r="D946" s="34">
        <v>7583.2</v>
      </c>
      <c r="E946" s="35">
        <v>44603</v>
      </c>
      <c r="F946" s="34">
        <v>7583.2</v>
      </c>
      <c r="G946" s="36">
        <f>Tabla13[[#This Row],[Importe]]-Tabla13[[#This Row],[Pagado]]</f>
        <v>0</v>
      </c>
      <c r="H946" s="38" t="s">
        <v>10</v>
      </c>
    </row>
    <row r="947" spans="1:8" x14ac:dyDescent="0.25">
      <c r="A947" s="31">
        <v>44601</v>
      </c>
      <c r="B947" s="37" t="s">
        <v>4649</v>
      </c>
      <c r="C947" s="38" t="s">
        <v>22</v>
      </c>
      <c r="D947" s="34">
        <v>34680.300000000003</v>
      </c>
      <c r="E947" s="35">
        <v>44602</v>
      </c>
      <c r="F947" s="34">
        <v>34680.300000000003</v>
      </c>
      <c r="G947" s="36">
        <f>Tabla13[[#This Row],[Importe]]-Tabla13[[#This Row],[Pagado]]</f>
        <v>0</v>
      </c>
      <c r="H947" s="38" t="s">
        <v>10</v>
      </c>
    </row>
    <row r="948" spans="1:8" x14ac:dyDescent="0.25">
      <c r="A948" s="31">
        <v>44601</v>
      </c>
      <c r="B948" s="37" t="s">
        <v>4650</v>
      </c>
      <c r="C948" s="38" t="s">
        <v>4651</v>
      </c>
      <c r="D948" s="34">
        <v>16775</v>
      </c>
      <c r="E948" s="35">
        <v>44601</v>
      </c>
      <c r="F948" s="34">
        <v>16775</v>
      </c>
      <c r="G948" s="36">
        <f>Tabla13[[#This Row],[Importe]]-Tabla13[[#This Row],[Pagado]]</f>
        <v>0</v>
      </c>
      <c r="H948" s="38" t="s">
        <v>10</v>
      </c>
    </row>
    <row r="949" spans="1:8" x14ac:dyDescent="0.25">
      <c r="A949" s="31">
        <v>44601</v>
      </c>
      <c r="B949" s="37" t="s">
        <v>4652</v>
      </c>
      <c r="C949" s="38" t="s">
        <v>93</v>
      </c>
      <c r="D949" s="34">
        <v>1320</v>
      </c>
      <c r="E949" s="35">
        <v>44602</v>
      </c>
      <c r="F949" s="34">
        <v>1320</v>
      </c>
      <c r="G949" s="36">
        <f>Tabla13[[#This Row],[Importe]]-Tabla13[[#This Row],[Pagado]]</f>
        <v>0</v>
      </c>
      <c r="H949" s="38" t="s">
        <v>10</v>
      </c>
    </row>
    <row r="950" spans="1:8" x14ac:dyDescent="0.25">
      <c r="A950" s="31">
        <v>44601</v>
      </c>
      <c r="B950" s="37" t="s">
        <v>4653</v>
      </c>
      <c r="C950" s="38" t="s">
        <v>193</v>
      </c>
      <c r="D950" s="34">
        <v>6000</v>
      </c>
      <c r="E950" s="35">
        <v>44601</v>
      </c>
      <c r="F950" s="34">
        <v>6000</v>
      </c>
      <c r="G950" s="36">
        <f>Tabla13[[#This Row],[Importe]]-Tabla13[[#This Row],[Pagado]]</f>
        <v>0</v>
      </c>
      <c r="H950" s="38" t="s">
        <v>10</v>
      </c>
    </row>
    <row r="951" spans="1:8" x14ac:dyDescent="0.25">
      <c r="A951" s="31">
        <v>44601</v>
      </c>
      <c r="B951" s="37" t="s">
        <v>4654</v>
      </c>
      <c r="C951" s="38" t="s">
        <v>345</v>
      </c>
      <c r="D951" s="34">
        <v>734.4</v>
      </c>
      <c r="E951" s="35">
        <v>44601</v>
      </c>
      <c r="F951" s="34">
        <v>734.4</v>
      </c>
      <c r="G951" s="36">
        <f>Tabla13[[#This Row],[Importe]]-Tabla13[[#This Row],[Pagado]]</f>
        <v>0</v>
      </c>
      <c r="H951" s="38" t="s">
        <v>10</v>
      </c>
    </row>
    <row r="952" spans="1:8" x14ac:dyDescent="0.25">
      <c r="A952" s="31">
        <v>44601</v>
      </c>
      <c r="B952" s="37" t="s">
        <v>4655</v>
      </c>
      <c r="C952" s="38" t="s">
        <v>39</v>
      </c>
      <c r="D952" s="34">
        <v>11276.2</v>
      </c>
      <c r="E952" s="35">
        <v>44602</v>
      </c>
      <c r="F952" s="34">
        <v>11276.2</v>
      </c>
      <c r="G952" s="36">
        <f>Tabla13[[#This Row],[Importe]]-Tabla13[[#This Row],[Pagado]]</f>
        <v>0</v>
      </c>
      <c r="H952" s="38" t="s">
        <v>10</v>
      </c>
    </row>
    <row r="953" spans="1:8" x14ac:dyDescent="0.25">
      <c r="A953" s="31">
        <v>44601</v>
      </c>
      <c r="B953" s="37" t="s">
        <v>4656</v>
      </c>
      <c r="C953" s="38" t="s">
        <v>105</v>
      </c>
      <c r="D953" s="34">
        <v>4169.8999999999996</v>
      </c>
      <c r="E953" s="35">
        <v>44602</v>
      </c>
      <c r="F953" s="34">
        <v>4169.8999999999996</v>
      </c>
      <c r="G953" s="36">
        <f>Tabla13[[#This Row],[Importe]]-Tabla13[[#This Row],[Pagado]]</f>
        <v>0</v>
      </c>
      <c r="H953" s="38" t="s">
        <v>10</v>
      </c>
    </row>
    <row r="954" spans="1:8" x14ac:dyDescent="0.25">
      <c r="A954" s="31">
        <v>44601</v>
      </c>
      <c r="B954" s="37" t="s">
        <v>4657</v>
      </c>
      <c r="C954" s="38" t="s">
        <v>60</v>
      </c>
      <c r="D954" s="34">
        <v>4284</v>
      </c>
      <c r="E954" s="35">
        <v>44604</v>
      </c>
      <c r="F954" s="34">
        <v>4284</v>
      </c>
      <c r="G954" s="36">
        <f>Tabla13[[#This Row],[Importe]]-Tabla13[[#This Row],[Pagado]]</f>
        <v>0</v>
      </c>
      <c r="H954" s="38" t="s">
        <v>10</v>
      </c>
    </row>
    <row r="955" spans="1:8" x14ac:dyDescent="0.25">
      <c r="A955" s="31">
        <v>44601</v>
      </c>
      <c r="B955" s="37" t="s">
        <v>4658</v>
      </c>
      <c r="C955" s="38" t="s">
        <v>513</v>
      </c>
      <c r="D955" s="34">
        <v>12525.6</v>
      </c>
      <c r="E955" s="35">
        <v>44601</v>
      </c>
      <c r="F955" s="34">
        <v>12525.6</v>
      </c>
      <c r="G955" s="36">
        <f>Tabla13[[#This Row],[Importe]]-Tabla13[[#This Row],[Pagado]]</f>
        <v>0</v>
      </c>
      <c r="H955" s="38" t="s">
        <v>10</v>
      </c>
    </row>
    <row r="956" spans="1:8" x14ac:dyDescent="0.25">
      <c r="A956" s="31">
        <v>44601</v>
      </c>
      <c r="B956" s="37" t="s">
        <v>4659</v>
      </c>
      <c r="C956" s="38" t="s">
        <v>484</v>
      </c>
      <c r="D956" s="34">
        <v>3507.2</v>
      </c>
      <c r="E956" s="35">
        <v>44601</v>
      </c>
      <c r="F956" s="34">
        <v>3507.2</v>
      </c>
      <c r="G956" s="36">
        <f>Tabla13[[#This Row],[Importe]]-Tabla13[[#This Row],[Pagado]]</f>
        <v>0</v>
      </c>
      <c r="H956" s="38" t="s">
        <v>10</v>
      </c>
    </row>
    <row r="957" spans="1:8" x14ac:dyDescent="0.25">
      <c r="A957" s="31">
        <v>44601</v>
      </c>
      <c r="B957" s="37" t="s">
        <v>4660</v>
      </c>
      <c r="C957" s="38" t="s">
        <v>105</v>
      </c>
      <c r="D957" s="34">
        <v>5024</v>
      </c>
      <c r="E957" s="35">
        <v>44602</v>
      </c>
      <c r="F957" s="34">
        <v>5024</v>
      </c>
      <c r="G957" s="36">
        <f>Tabla13[[#This Row],[Importe]]-Tabla13[[#This Row],[Pagado]]</f>
        <v>0</v>
      </c>
      <c r="H957" s="38" t="s">
        <v>10</v>
      </c>
    </row>
    <row r="958" spans="1:8" x14ac:dyDescent="0.25">
      <c r="A958" s="31">
        <v>44601</v>
      </c>
      <c r="B958" s="37" t="s">
        <v>4661</v>
      </c>
      <c r="C958" s="38" t="s">
        <v>924</v>
      </c>
      <c r="D958" s="34">
        <v>8863.4</v>
      </c>
      <c r="E958" s="35">
        <v>44601</v>
      </c>
      <c r="F958" s="34">
        <v>8863.4</v>
      </c>
      <c r="G958" s="36">
        <f>Tabla13[[#This Row],[Importe]]-Tabla13[[#This Row],[Pagado]]</f>
        <v>0</v>
      </c>
      <c r="H958" s="38" t="s">
        <v>10</v>
      </c>
    </row>
    <row r="959" spans="1:8" x14ac:dyDescent="0.25">
      <c r="A959" s="31">
        <v>44601</v>
      </c>
      <c r="B959" s="37" t="s">
        <v>4662</v>
      </c>
      <c r="C959" s="38" t="s">
        <v>131</v>
      </c>
      <c r="D959" s="34">
        <v>7003</v>
      </c>
      <c r="E959" s="35">
        <v>44601</v>
      </c>
      <c r="F959" s="34">
        <v>7003</v>
      </c>
      <c r="G959" s="36">
        <f>Tabla13[[#This Row],[Importe]]-Tabla13[[#This Row],[Pagado]]</f>
        <v>0</v>
      </c>
      <c r="H959" s="38" t="s">
        <v>10</v>
      </c>
    </row>
    <row r="960" spans="1:8" x14ac:dyDescent="0.25">
      <c r="A960" s="31">
        <v>44601</v>
      </c>
      <c r="B960" s="37" t="s">
        <v>4663</v>
      </c>
      <c r="C960" s="38" t="s">
        <v>127</v>
      </c>
      <c r="D960" s="34">
        <v>3192</v>
      </c>
      <c r="E960" s="35">
        <v>44601</v>
      </c>
      <c r="F960" s="34">
        <v>3192</v>
      </c>
      <c r="G960" s="36">
        <f>Tabla13[[#This Row],[Importe]]-Tabla13[[#This Row],[Pagado]]</f>
        <v>0</v>
      </c>
      <c r="H960" s="38" t="s">
        <v>10</v>
      </c>
    </row>
    <row r="961" spans="1:8" x14ac:dyDescent="0.25">
      <c r="A961" s="31">
        <v>44601</v>
      </c>
      <c r="B961" s="37" t="s">
        <v>4664</v>
      </c>
      <c r="C961" s="38" t="s">
        <v>339</v>
      </c>
      <c r="D961" s="34">
        <v>3324</v>
      </c>
      <c r="E961" s="35">
        <v>44601</v>
      </c>
      <c r="F961" s="34">
        <v>3324</v>
      </c>
      <c r="G961" s="36">
        <f>Tabla13[[#This Row],[Importe]]-Tabla13[[#This Row],[Pagado]]</f>
        <v>0</v>
      </c>
      <c r="H961" s="38" t="s">
        <v>10</v>
      </c>
    </row>
    <row r="962" spans="1:8" x14ac:dyDescent="0.25">
      <c r="A962" s="31">
        <v>44601</v>
      </c>
      <c r="B962" s="37" t="s">
        <v>4665</v>
      </c>
      <c r="C962" s="38" t="s">
        <v>129</v>
      </c>
      <c r="D962" s="34">
        <v>3618</v>
      </c>
      <c r="E962" s="35">
        <v>44601</v>
      </c>
      <c r="F962" s="34">
        <v>3618</v>
      </c>
      <c r="G962" s="36">
        <f>Tabla13[[#This Row],[Importe]]-Tabla13[[#This Row],[Pagado]]</f>
        <v>0</v>
      </c>
      <c r="H962" s="38" t="s">
        <v>10</v>
      </c>
    </row>
    <row r="963" spans="1:8" x14ac:dyDescent="0.25">
      <c r="A963" s="31">
        <v>44601</v>
      </c>
      <c r="B963" s="37" t="s">
        <v>4666</v>
      </c>
      <c r="C963" s="38" t="s">
        <v>129</v>
      </c>
      <c r="D963" s="34">
        <v>221</v>
      </c>
      <c r="E963" s="35">
        <v>44601</v>
      </c>
      <c r="F963" s="34">
        <v>221</v>
      </c>
      <c r="G963" s="36">
        <f>Tabla13[[#This Row],[Importe]]-Tabla13[[#This Row],[Pagado]]</f>
        <v>0</v>
      </c>
      <c r="H963" s="38" t="s">
        <v>10</v>
      </c>
    </row>
    <row r="964" spans="1:8" x14ac:dyDescent="0.25">
      <c r="A964" s="31">
        <v>44601</v>
      </c>
      <c r="B964" s="37" t="s">
        <v>4667</v>
      </c>
      <c r="C964" s="38" t="s">
        <v>357</v>
      </c>
      <c r="D964" s="34">
        <v>1054.2</v>
      </c>
      <c r="E964" s="35">
        <v>44601</v>
      </c>
      <c r="F964" s="34">
        <v>1054.2</v>
      </c>
      <c r="G964" s="36">
        <f>Tabla13[[#This Row],[Importe]]-Tabla13[[#This Row],[Pagado]]</f>
        <v>0</v>
      </c>
      <c r="H964" s="38" t="s">
        <v>10</v>
      </c>
    </row>
    <row r="965" spans="1:8" x14ac:dyDescent="0.25">
      <c r="A965" s="31">
        <v>44601</v>
      </c>
      <c r="B965" s="37" t="s">
        <v>4668</v>
      </c>
      <c r="C965" s="38" t="s">
        <v>75</v>
      </c>
      <c r="D965" s="34">
        <v>2597</v>
      </c>
      <c r="E965" s="35">
        <v>44601</v>
      </c>
      <c r="F965" s="34">
        <v>2597</v>
      </c>
      <c r="G965" s="36">
        <f>Tabla13[[#This Row],[Importe]]-Tabla13[[#This Row],[Pagado]]</f>
        <v>0</v>
      </c>
      <c r="H965" s="38" t="s">
        <v>10</v>
      </c>
    </row>
    <row r="966" spans="1:8" x14ac:dyDescent="0.25">
      <c r="A966" s="31">
        <v>44601</v>
      </c>
      <c r="B966" s="37" t="s">
        <v>4669</v>
      </c>
      <c r="C966" s="38" t="s">
        <v>473</v>
      </c>
      <c r="D966" s="34">
        <v>4675</v>
      </c>
      <c r="E966" s="35">
        <v>44601</v>
      </c>
      <c r="F966" s="34">
        <v>4675</v>
      </c>
      <c r="G966" s="36">
        <f>Tabla13[[#This Row],[Importe]]-Tabla13[[#This Row],[Pagado]]</f>
        <v>0</v>
      </c>
      <c r="H966" s="38" t="s">
        <v>10</v>
      </c>
    </row>
    <row r="967" spans="1:8" x14ac:dyDescent="0.25">
      <c r="A967" s="31">
        <v>44601</v>
      </c>
      <c r="B967" s="37" t="s">
        <v>4670</v>
      </c>
      <c r="C967" s="38" t="s">
        <v>87</v>
      </c>
      <c r="D967" s="34">
        <v>1960</v>
      </c>
      <c r="E967" s="35">
        <v>44601</v>
      </c>
      <c r="F967" s="34">
        <v>1960</v>
      </c>
      <c r="G967" s="36">
        <f>Tabla13[[#This Row],[Importe]]-Tabla13[[#This Row],[Pagado]]</f>
        <v>0</v>
      </c>
      <c r="H967" s="38" t="s">
        <v>10</v>
      </c>
    </row>
    <row r="968" spans="1:8" x14ac:dyDescent="0.25">
      <c r="A968" s="31">
        <v>44601</v>
      </c>
      <c r="B968" s="37" t="s">
        <v>4671</v>
      </c>
      <c r="C968" s="38" t="s">
        <v>87</v>
      </c>
      <c r="D968" s="34">
        <v>134.4</v>
      </c>
      <c r="E968" s="35">
        <v>44601</v>
      </c>
      <c r="F968" s="34">
        <v>134.4</v>
      </c>
      <c r="G968" s="36">
        <f>Tabla13[[#This Row],[Importe]]-Tabla13[[#This Row],[Pagado]]</f>
        <v>0</v>
      </c>
      <c r="H968" s="38" t="s">
        <v>10</v>
      </c>
    </row>
    <row r="969" spans="1:8" x14ac:dyDescent="0.25">
      <c r="A969" s="31">
        <v>44601</v>
      </c>
      <c r="B969" s="37" t="s">
        <v>4672</v>
      </c>
      <c r="C969" s="38" t="s">
        <v>135</v>
      </c>
      <c r="D969" s="34">
        <v>648</v>
      </c>
      <c r="E969" s="35">
        <v>44601</v>
      </c>
      <c r="F969" s="34">
        <v>648</v>
      </c>
      <c r="G969" s="36">
        <f>Tabla13[[#This Row],[Importe]]-Tabla13[[#This Row],[Pagado]]</f>
        <v>0</v>
      </c>
      <c r="H969" s="38" t="s">
        <v>10</v>
      </c>
    </row>
    <row r="970" spans="1:8" x14ac:dyDescent="0.25">
      <c r="A970" s="31">
        <v>44601</v>
      </c>
      <c r="B970" s="37" t="s">
        <v>4673</v>
      </c>
      <c r="C970" s="38" t="s">
        <v>179</v>
      </c>
      <c r="D970" s="34">
        <v>490</v>
      </c>
      <c r="E970" s="35">
        <v>44601</v>
      </c>
      <c r="F970" s="34">
        <v>490</v>
      </c>
      <c r="G970" s="36">
        <f>Tabla13[[#This Row],[Importe]]-Tabla13[[#This Row],[Pagado]]</f>
        <v>0</v>
      </c>
      <c r="H970" s="38" t="s">
        <v>10</v>
      </c>
    </row>
    <row r="971" spans="1:8" x14ac:dyDescent="0.25">
      <c r="A971" s="31">
        <v>44601</v>
      </c>
      <c r="B971" s="37" t="s">
        <v>4674</v>
      </c>
      <c r="C971" s="38" t="s">
        <v>140</v>
      </c>
      <c r="D971" s="34">
        <v>282.2</v>
      </c>
      <c r="E971" s="35">
        <v>44601</v>
      </c>
      <c r="F971" s="34">
        <v>282.2</v>
      </c>
      <c r="G971" s="36">
        <f>Tabla13[[#This Row],[Importe]]-Tabla13[[#This Row],[Pagado]]</f>
        <v>0</v>
      </c>
      <c r="H971" s="38" t="s">
        <v>10</v>
      </c>
    </row>
    <row r="972" spans="1:8" x14ac:dyDescent="0.25">
      <c r="A972" s="31">
        <v>44601</v>
      </c>
      <c r="B972" s="37" t="s">
        <v>4675</v>
      </c>
      <c r="C972" s="38" t="s">
        <v>27</v>
      </c>
      <c r="D972" s="34">
        <v>3482.2</v>
      </c>
      <c r="E972" s="35">
        <v>44601</v>
      </c>
      <c r="F972" s="34">
        <v>3482.2</v>
      </c>
      <c r="G972" s="36">
        <f>Tabla13[[#This Row],[Importe]]-Tabla13[[#This Row],[Pagado]]</f>
        <v>0</v>
      </c>
      <c r="H972" s="38" t="s">
        <v>10</v>
      </c>
    </row>
    <row r="973" spans="1:8" x14ac:dyDescent="0.25">
      <c r="A973" s="31">
        <v>44601</v>
      </c>
      <c r="B973" s="37" t="s">
        <v>4676</v>
      </c>
      <c r="C973" s="38" t="s">
        <v>196</v>
      </c>
      <c r="D973" s="34">
        <v>38204.76</v>
      </c>
      <c r="E973" s="35">
        <v>44603</v>
      </c>
      <c r="F973" s="34">
        <v>38204.76</v>
      </c>
      <c r="G973" s="36">
        <f>Tabla13[[#This Row],[Importe]]-Tabla13[[#This Row],[Pagado]]</f>
        <v>0</v>
      </c>
      <c r="H973" s="38" t="s">
        <v>10</v>
      </c>
    </row>
    <row r="974" spans="1:8" x14ac:dyDescent="0.25">
      <c r="A974" s="31">
        <v>44601</v>
      </c>
      <c r="B974" s="37" t="s">
        <v>4677</v>
      </c>
      <c r="C974" s="38" t="s">
        <v>125</v>
      </c>
      <c r="D974" s="34">
        <v>1425.6</v>
      </c>
      <c r="E974" s="35">
        <v>44601</v>
      </c>
      <c r="F974" s="34">
        <v>1425.6</v>
      </c>
      <c r="G974" s="36">
        <f>Tabla13[[#This Row],[Importe]]-Tabla13[[#This Row],[Pagado]]</f>
        <v>0</v>
      </c>
      <c r="H974" s="38" t="s">
        <v>10</v>
      </c>
    </row>
    <row r="975" spans="1:8" x14ac:dyDescent="0.25">
      <c r="A975" s="31">
        <v>44601</v>
      </c>
      <c r="B975" s="37" t="s">
        <v>4678</v>
      </c>
      <c r="C975" s="38" t="s">
        <v>146</v>
      </c>
      <c r="D975" s="34">
        <v>1411.2</v>
      </c>
      <c r="E975" s="35">
        <v>44601</v>
      </c>
      <c r="F975" s="34">
        <v>1411.2</v>
      </c>
      <c r="G975" s="36">
        <f>Tabla13[[#This Row],[Importe]]-Tabla13[[#This Row],[Pagado]]</f>
        <v>0</v>
      </c>
      <c r="H975" s="38" t="s">
        <v>10</v>
      </c>
    </row>
    <row r="976" spans="1:8" x14ac:dyDescent="0.25">
      <c r="A976" s="31">
        <v>44601</v>
      </c>
      <c r="B976" s="37" t="s">
        <v>4679</v>
      </c>
      <c r="C976" s="38" t="s">
        <v>224</v>
      </c>
      <c r="D976" s="34">
        <v>1096.8</v>
      </c>
      <c r="E976" s="35">
        <v>44601</v>
      </c>
      <c r="F976" s="34">
        <v>1096.8</v>
      </c>
      <c r="G976" s="36">
        <f>Tabla13[[#This Row],[Importe]]-Tabla13[[#This Row],[Pagado]]</f>
        <v>0</v>
      </c>
      <c r="H976" s="38" t="s">
        <v>10</v>
      </c>
    </row>
    <row r="977" spans="1:8" x14ac:dyDescent="0.25">
      <c r="A977" s="31">
        <v>44601</v>
      </c>
      <c r="B977" s="37" t="s">
        <v>4680</v>
      </c>
      <c r="C977" s="38" t="s">
        <v>587</v>
      </c>
      <c r="D977" s="34">
        <v>3922.32</v>
      </c>
      <c r="E977" s="35">
        <v>44601</v>
      </c>
      <c r="F977" s="34">
        <v>3922.32</v>
      </c>
      <c r="G977" s="36">
        <f>Tabla13[[#This Row],[Importe]]-Tabla13[[#This Row],[Pagado]]</f>
        <v>0</v>
      </c>
      <c r="H977" s="38" t="s">
        <v>10</v>
      </c>
    </row>
    <row r="978" spans="1:8" x14ac:dyDescent="0.25">
      <c r="A978" s="31">
        <v>44601</v>
      </c>
      <c r="B978" s="37" t="s">
        <v>4681</v>
      </c>
      <c r="C978" s="38" t="s">
        <v>31</v>
      </c>
      <c r="D978" s="34">
        <v>531.20000000000005</v>
      </c>
      <c r="E978" s="35">
        <v>44601</v>
      </c>
      <c r="F978" s="34">
        <v>531.20000000000005</v>
      </c>
      <c r="G978" s="36">
        <f>Tabla13[[#This Row],[Importe]]-Tabla13[[#This Row],[Pagado]]</f>
        <v>0</v>
      </c>
      <c r="H978" s="38" t="s">
        <v>10</v>
      </c>
    </row>
    <row r="979" spans="1:8" x14ac:dyDescent="0.25">
      <c r="A979" s="31">
        <v>44601</v>
      </c>
      <c r="B979" s="37" t="s">
        <v>4682</v>
      </c>
      <c r="C979" s="38" t="s">
        <v>16</v>
      </c>
      <c r="D979" s="34">
        <v>3962.3</v>
      </c>
      <c r="E979" s="35">
        <v>44601</v>
      </c>
      <c r="F979" s="34">
        <v>3962.3</v>
      </c>
      <c r="G979" s="36">
        <f>Tabla13[[#This Row],[Importe]]-Tabla13[[#This Row],[Pagado]]</f>
        <v>0</v>
      </c>
      <c r="H979" s="38" t="s">
        <v>10</v>
      </c>
    </row>
    <row r="980" spans="1:8" x14ac:dyDescent="0.25">
      <c r="A980" s="31">
        <v>44601</v>
      </c>
      <c r="B980" s="37" t="s">
        <v>4683</v>
      </c>
      <c r="C980" s="38" t="s">
        <v>107</v>
      </c>
      <c r="D980" s="34">
        <v>13004.5</v>
      </c>
      <c r="E980" s="35">
        <v>44601</v>
      </c>
      <c r="F980" s="34">
        <v>13004.5</v>
      </c>
      <c r="G980" s="36">
        <f>Tabla13[[#This Row],[Importe]]-Tabla13[[#This Row],[Pagado]]</f>
        <v>0</v>
      </c>
      <c r="H980" s="38" t="s">
        <v>10</v>
      </c>
    </row>
    <row r="981" spans="1:8" x14ac:dyDescent="0.25">
      <c r="A981" s="31">
        <v>44601</v>
      </c>
      <c r="B981" s="37" t="s">
        <v>4684</v>
      </c>
      <c r="C981" s="38" t="s">
        <v>357</v>
      </c>
      <c r="D981" s="34">
        <v>238</v>
      </c>
      <c r="E981" s="35">
        <v>44601</v>
      </c>
      <c r="F981" s="34">
        <v>238</v>
      </c>
      <c r="G981" s="36">
        <f>Tabla13[[#This Row],[Importe]]-Tabla13[[#This Row],[Pagado]]</f>
        <v>0</v>
      </c>
      <c r="H981" s="38" t="s">
        <v>10</v>
      </c>
    </row>
    <row r="982" spans="1:8" x14ac:dyDescent="0.25">
      <c r="A982" s="31">
        <v>44601</v>
      </c>
      <c r="B982" s="37" t="s">
        <v>4685</v>
      </c>
      <c r="C982" s="38" t="s">
        <v>53</v>
      </c>
      <c r="D982" s="34">
        <v>1739.4</v>
      </c>
      <c r="E982" s="35">
        <v>44601</v>
      </c>
      <c r="F982" s="34">
        <v>1739.4</v>
      </c>
      <c r="G982" s="36">
        <f>Tabla13[[#This Row],[Importe]]-Tabla13[[#This Row],[Pagado]]</f>
        <v>0</v>
      </c>
      <c r="H982" s="38" t="s">
        <v>10</v>
      </c>
    </row>
    <row r="983" spans="1:8" x14ac:dyDescent="0.25">
      <c r="A983" s="31">
        <v>44601</v>
      </c>
      <c r="B983" s="37" t="s">
        <v>4686</v>
      </c>
      <c r="C983" s="38" t="s">
        <v>3971</v>
      </c>
      <c r="D983" s="34">
        <v>1160.9000000000001</v>
      </c>
      <c r="E983" s="35">
        <v>44601</v>
      </c>
      <c r="F983" s="34">
        <v>1160.9000000000001</v>
      </c>
      <c r="G983" s="36">
        <f>Tabla13[[#This Row],[Importe]]-Tabla13[[#This Row],[Pagado]]</f>
        <v>0</v>
      </c>
      <c r="H983" s="38" t="s">
        <v>10</v>
      </c>
    </row>
    <row r="984" spans="1:8" x14ac:dyDescent="0.25">
      <c r="A984" s="31">
        <v>44601</v>
      </c>
      <c r="B984" s="37" t="s">
        <v>4687</v>
      </c>
      <c r="C984" s="38" t="s">
        <v>230</v>
      </c>
      <c r="D984" s="34">
        <v>3874</v>
      </c>
      <c r="E984" s="35">
        <v>44601</v>
      </c>
      <c r="F984" s="34">
        <v>3874</v>
      </c>
      <c r="G984" s="36">
        <f>Tabla13[[#This Row],[Importe]]-Tabla13[[#This Row],[Pagado]]</f>
        <v>0</v>
      </c>
      <c r="H984" s="38" t="s">
        <v>10</v>
      </c>
    </row>
    <row r="985" spans="1:8" x14ac:dyDescent="0.25">
      <c r="A985" s="31">
        <v>44601</v>
      </c>
      <c r="B985" s="37" t="s">
        <v>4688</v>
      </c>
      <c r="C985" s="38" t="s">
        <v>202</v>
      </c>
      <c r="D985" s="34">
        <v>3408</v>
      </c>
      <c r="E985" s="35">
        <v>44601</v>
      </c>
      <c r="F985" s="34">
        <v>3408</v>
      </c>
      <c r="G985" s="36">
        <f>Tabla13[[#This Row],[Importe]]-Tabla13[[#This Row],[Pagado]]</f>
        <v>0</v>
      </c>
      <c r="H985" s="38" t="s">
        <v>10</v>
      </c>
    </row>
    <row r="986" spans="1:8" x14ac:dyDescent="0.25">
      <c r="A986" s="31">
        <v>44601</v>
      </c>
      <c r="B986" s="37" t="s">
        <v>4689</v>
      </c>
      <c r="C986" s="38" t="s">
        <v>45</v>
      </c>
      <c r="D986" s="34">
        <v>3769.8</v>
      </c>
      <c r="E986" s="35">
        <v>44601</v>
      </c>
      <c r="F986" s="34">
        <v>3769.8</v>
      </c>
      <c r="G986" s="36">
        <f>Tabla13[[#This Row],[Importe]]-Tabla13[[#This Row],[Pagado]]</f>
        <v>0</v>
      </c>
      <c r="H986" s="38" t="s">
        <v>10</v>
      </c>
    </row>
    <row r="987" spans="1:8" x14ac:dyDescent="0.25">
      <c r="A987" s="31">
        <v>44601</v>
      </c>
      <c r="B987" s="37" t="s">
        <v>4690</v>
      </c>
      <c r="C987" s="38" t="s">
        <v>244</v>
      </c>
      <c r="D987" s="34">
        <v>3270.3</v>
      </c>
      <c r="E987" s="35">
        <v>44601</v>
      </c>
      <c r="F987" s="34">
        <v>3270.3</v>
      </c>
      <c r="G987" s="36">
        <f>Tabla13[[#This Row],[Importe]]-Tabla13[[#This Row],[Pagado]]</f>
        <v>0</v>
      </c>
      <c r="H987" s="38" t="s">
        <v>10</v>
      </c>
    </row>
    <row r="988" spans="1:8" x14ac:dyDescent="0.25">
      <c r="A988" s="31">
        <v>44601</v>
      </c>
      <c r="B988" s="37" t="s">
        <v>4691</v>
      </c>
      <c r="C988" s="38" t="s">
        <v>1505</v>
      </c>
      <c r="D988" s="34">
        <v>3326.1</v>
      </c>
      <c r="E988" s="35">
        <v>44601</v>
      </c>
      <c r="F988" s="34">
        <v>3326.1</v>
      </c>
      <c r="G988" s="36">
        <f>Tabla13[[#This Row],[Importe]]-Tabla13[[#This Row],[Pagado]]</f>
        <v>0</v>
      </c>
      <c r="H988" s="38" t="s">
        <v>10</v>
      </c>
    </row>
    <row r="989" spans="1:8" x14ac:dyDescent="0.25">
      <c r="A989" s="31">
        <v>44601</v>
      </c>
      <c r="B989" s="37" t="s">
        <v>4692</v>
      </c>
      <c r="C989" s="38" t="s">
        <v>1505</v>
      </c>
      <c r="D989" s="34">
        <v>1076.0999999999999</v>
      </c>
      <c r="E989" s="35">
        <v>44601</v>
      </c>
      <c r="F989" s="34">
        <v>1076.0999999999999</v>
      </c>
      <c r="G989" s="36">
        <f>Tabla13[[#This Row],[Importe]]-Tabla13[[#This Row],[Pagado]]</f>
        <v>0</v>
      </c>
      <c r="H989" s="38" t="s">
        <v>10</v>
      </c>
    </row>
    <row r="990" spans="1:8" x14ac:dyDescent="0.25">
      <c r="A990" s="31">
        <v>44601</v>
      </c>
      <c r="B990" s="37" t="s">
        <v>4693</v>
      </c>
      <c r="C990" s="38" t="s">
        <v>843</v>
      </c>
      <c r="D990" s="34">
        <v>647.6</v>
      </c>
      <c r="E990" s="35">
        <v>44601</v>
      </c>
      <c r="F990" s="34">
        <v>647.6</v>
      </c>
      <c r="G990" s="36">
        <f>Tabla13[[#This Row],[Importe]]-Tabla13[[#This Row],[Pagado]]</f>
        <v>0</v>
      </c>
      <c r="H990" s="38" t="s">
        <v>10</v>
      </c>
    </row>
    <row r="991" spans="1:8" x14ac:dyDescent="0.25">
      <c r="A991" s="31">
        <v>44601</v>
      </c>
      <c r="B991" s="37" t="s">
        <v>4694</v>
      </c>
      <c r="C991" s="38" t="s">
        <v>24</v>
      </c>
      <c r="D991" s="34">
        <v>3995</v>
      </c>
      <c r="E991" s="35">
        <v>44601</v>
      </c>
      <c r="F991" s="34">
        <v>3995</v>
      </c>
      <c r="G991" s="36">
        <f>Tabla13[[#This Row],[Importe]]-Tabla13[[#This Row],[Pagado]]</f>
        <v>0</v>
      </c>
      <c r="H991" s="38" t="s">
        <v>10</v>
      </c>
    </row>
    <row r="992" spans="1:8" x14ac:dyDescent="0.25">
      <c r="A992" s="31">
        <v>44601</v>
      </c>
      <c r="B992" s="37" t="s">
        <v>4695</v>
      </c>
      <c r="C992" s="38" t="s">
        <v>870</v>
      </c>
      <c r="D992" s="34">
        <v>36180</v>
      </c>
      <c r="E992" s="35">
        <v>44601</v>
      </c>
      <c r="F992" s="34">
        <v>36180</v>
      </c>
      <c r="G992" s="36">
        <f>Tabla13[[#This Row],[Importe]]-Tabla13[[#This Row],[Pagado]]</f>
        <v>0</v>
      </c>
      <c r="H992" s="38" t="s">
        <v>10</v>
      </c>
    </row>
    <row r="993" spans="1:8" x14ac:dyDescent="0.25">
      <c r="A993" s="31">
        <v>44601</v>
      </c>
      <c r="B993" s="37" t="s">
        <v>4696</v>
      </c>
      <c r="C993" s="38" t="s">
        <v>154</v>
      </c>
      <c r="D993" s="34">
        <v>30819.200000000001</v>
      </c>
      <c r="E993" s="35">
        <v>44609</v>
      </c>
      <c r="F993" s="34">
        <v>30819.200000000001</v>
      </c>
      <c r="G993" s="36">
        <f>Tabla13[[#This Row],[Importe]]-Tabla13[[#This Row],[Pagado]]</f>
        <v>0</v>
      </c>
      <c r="H993" s="38" t="s">
        <v>10</v>
      </c>
    </row>
    <row r="994" spans="1:8" x14ac:dyDescent="0.25">
      <c r="A994" s="31">
        <v>44601</v>
      </c>
      <c r="B994" s="37" t="s">
        <v>4697</v>
      </c>
      <c r="C994" s="38" t="s">
        <v>312</v>
      </c>
      <c r="D994" s="34">
        <v>3552</v>
      </c>
      <c r="E994" s="35">
        <v>44601</v>
      </c>
      <c r="F994" s="34">
        <v>3552</v>
      </c>
      <c r="G994" s="36">
        <f>Tabla13[[#This Row],[Importe]]-Tabla13[[#This Row],[Pagado]]</f>
        <v>0</v>
      </c>
      <c r="H994" s="38" t="s">
        <v>10</v>
      </c>
    </row>
    <row r="995" spans="1:8" x14ac:dyDescent="0.25">
      <c r="A995" s="31">
        <v>44601</v>
      </c>
      <c r="B995" s="37" t="s">
        <v>4698</v>
      </c>
      <c r="C995" s="38" t="s">
        <v>212</v>
      </c>
      <c r="D995" s="34">
        <v>28254.6</v>
      </c>
      <c r="E995" s="35">
        <v>44604</v>
      </c>
      <c r="F995" s="34">
        <v>28254.6</v>
      </c>
      <c r="G995" s="36">
        <f>Tabla13[[#This Row],[Importe]]-Tabla13[[#This Row],[Pagado]]</f>
        <v>0</v>
      </c>
      <c r="H995" s="38" t="s">
        <v>10</v>
      </c>
    </row>
    <row r="996" spans="1:8" x14ac:dyDescent="0.25">
      <c r="A996" s="31">
        <v>44601</v>
      </c>
      <c r="B996" s="37" t="s">
        <v>4699</v>
      </c>
      <c r="C996" s="38" t="s">
        <v>218</v>
      </c>
      <c r="D996" s="34">
        <v>17801.599999999999</v>
      </c>
      <c r="E996" s="35">
        <v>44604</v>
      </c>
      <c r="F996" s="34">
        <v>17801.599999999999</v>
      </c>
      <c r="G996" s="36">
        <f>Tabla13[[#This Row],[Importe]]-Tabla13[[#This Row],[Pagado]]</f>
        <v>0</v>
      </c>
      <c r="H996" s="38" t="s">
        <v>10</v>
      </c>
    </row>
    <row r="997" spans="1:8" x14ac:dyDescent="0.25">
      <c r="A997" s="31">
        <v>44601</v>
      </c>
      <c r="B997" s="37" t="s">
        <v>4700</v>
      </c>
      <c r="C997" s="38" t="s">
        <v>208</v>
      </c>
      <c r="D997" s="34">
        <v>7947.8</v>
      </c>
      <c r="E997" s="35">
        <v>44618</v>
      </c>
      <c r="F997" s="34">
        <v>7947.8</v>
      </c>
      <c r="G997" s="36">
        <f>Tabla13[[#This Row],[Importe]]-Tabla13[[#This Row],[Pagado]]</f>
        <v>0</v>
      </c>
      <c r="H997" s="38" t="s">
        <v>10</v>
      </c>
    </row>
    <row r="998" spans="1:8" x14ac:dyDescent="0.25">
      <c r="A998" s="31">
        <v>44601</v>
      </c>
      <c r="B998" s="37" t="s">
        <v>4701</v>
      </c>
      <c r="C998" s="38" t="s">
        <v>421</v>
      </c>
      <c r="D998" s="34">
        <v>1867.8</v>
      </c>
      <c r="E998" s="35">
        <v>44601</v>
      </c>
      <c r="F998" s="34">
        <v>1867.8</v>
      </c>
      <c r="G998" s="36">
        <f>Tabla13[[#This Row],[Importe]]-Tabla13[[#This Row],[Pagado]]</f>
        <v>0</v>
      </c>
      <c r="H998" s="38" t="s">
        <v>10</v>
      </c>
    </row>
    <row r="999" spans="1:8" x14ac:dyDescent="0.25">
      <c r="A999" s="31">
        <v>44601</v>
      </c>
      <c r="B999" s="37" t="s">
        <v>4702</v>
      </c>
      <c r="C999" s="38" t="s">
        <v>555</v>
      </c>
      <c r="D999" s="34">
        <v>37293.96</v>
      </c>
      <c r="E999" s="35">
        <v>44601</v>
      </c>
      <c r="F999" s="34">
        <v>37293.96</v>
      </c>
      <c r="G999" s="36">
        <f>Tabla13[[#This Row],[Importe]]-Tabla13[[#This Row],[Pagado]]</f>
        <v>0</v>
      </c>
      <c r="H999" s="38" t="s">
        <v>10</v>
      </c>
    </row>
    <row r="1000" spans="1:8" x14ac:dyDescent="0.25">
      <c r="A1000" s="31">
        <v>44601</v>
      </c>
      <c r="B1000" s="37" t="s">
        <v>4703</v>
      </c>
      <c r="C1000" s="38" t="s">
        <v>216</v>
      </c>
      <c r="D1000" s="34">
        <v>1656.2</v>
      </c>
      <c r="E1000" s="35">
        <v>44601</v>
      </c>
      <c r="F1000" s="34">
        <v>1656.2</v>
      </c>
      <c r="G1000" s="36">
        <f>Tabla13[[#This Row],[Importe]]-Tabla13[[#This Row],[Pagado]]</f>
        <v>0</v>
      </c>
      <c r="H1000" s="38" t="s">
        <v>10</v>
      </c>
    </row>
    <row r="1001" spans="1:8" x14ac:dyDescent="0.25">
      <c r="A1001" s="31">
        <v>44601</v>
      </c>
      <c r="B1001" s="37" t="s">
        <v>4704</v>
      </c>
      <c r="C1001" s="38" t="s">
        <v>173</v>
      </c>
      <c r="D1001" s="34">
        <v>24441.9</v>
      </c>
      <c r="E1001" s="35">
        <v>44602</v>
      </c>
      <c r="F1001" s="34">
        <v>24441.9</v>
      </c>
      <c r="G1001" s="36">
        <f>Tabla13[[#This Row],[Importe]]-Tabla13[[#This Row],[Pagado]]</f>
        <v>0</v>
      </c>
      <c r="H1001" s="38" t="s">
        <v>10</v>
      </c>
    </row>
    <row r="1002" spans="1:8" x14ac:dyDescent="0.25">
      <c r="A1002" s="31">
        <v>44601</v>
      </c>
      <c r="B1002" s="37" t="s">
        <v>4705</v>
      </c>
      <c r="C1002" s="38" t="s">
        <v>173</v>
      </c>
      <c r="D1002" s="34">
        <v>2405.9</v>
      </c>
      <c r="E1002" s="35">
        <v>44602</v>
      </c>
      <c r="F1002" s="34">
        <v>2405.9</v>
      </c>
      <c r="G1002" s="36">
        <f>Tabla13[[#This Row],[Importe]]-Tabla13[[#This Row],[Pagado]]</f>
        <v>0</v>
      </c>
      <c r="H1002" s="38" t="s">
        <v>10</v>
      </c>
    </row>
    <row r="1003" spans="1:8" x14ac:dyDescent="0.25">
      <c r="A1003" s="31">
        <v>44601</v>
      </c>
      <c r="B1003" s="37" t="s">
        <v>4706</v>
      </c>
      <c r="C1003" s="38" t="s">
        <v>4707</v>
      </c>
      <c r="D1003" s="34">
        <v>0</v>
      </c>
      <c r="E1003" s="39" t="s">
        <v>189</v>
      </c>
      <c r="F1003" s="34">
        <v>0</v>
      </c>
      <c r="G1003" s="36">
        <f>Tabla13[[#This Row],[Importe]]-Tabla13[[#This Row],[Pagado]]</f>
        <v>0</v>
      </c>
      <c r="H1003" s="38" t="s">
        <v>189</v>
      </c>
    </row>
    <row r="1004" spans="1:8" x14ac:dyDescent="0.25">
      <c r="A1004" s="31">
        <v>44601</v>
      </c>
      <c r="B1004" s="37" t="s">
        <v>4708</v>
      </c>
      <c r="C1004" s="38" t="s">
        <v>31</v>
      </c>
      <c r="D1004" s="34">
        <v>3495.2</v>
      </c>
      <c r="E1004" s="35">
        <v>44601</v>
      </c>
      <c r="F1004" s="34">
        <v>3495.2</v>
      </c>
      <c r="G1004" s="36">
        <f>Tabla13[[#This Row],[Importe]]-Tabla13[[#This Row],[Pagado]]</f>
        <v>0</v>
      </c>
      <c r="H1004" s="38" t="s">
        <v>10</v>
      </c>
    </row>
    <row r="1005" spans="1:8" x14ac:dyDescent="0.25">
      <c r="A1005" s="31">
        <v>44601</v>
      </c>
      <c r="B1005" s="37" t="s">
        <v>4709</v>
      </c>
      <c r="C1005" s="38" t="s">
        <v>541</v>
      </c>
      <c r="D1005" s="34">
        <v>12918</v>
      </c>
      <c r="E1005" s="35">
        <v>44602</v>
      </c>
      <c r="F1005" s="34">
        <v>12918</v>
      </c>
      <c r="G1005" s="36">
        <f>Tabla13[[#This Row],[Importe]]-Tabla13[[#This Row],[Pagado]]</f>
        <v>0</v>
      </c>
      <c r="H1005" s="38" t="s">
        <v>10</v>
      </c>
    </row>
    <row r="1006" spans="1:8" x14ac:dyDescent="0.25">
      <c r="A1006" s="31">
        <v>44601</v>
      </c>
      <c r="B1006" s="37" t="s">
        <v>4710</v>
      </c>
      <c r="C1006" s="38" t="s">
        <v>592</v>
      </c>
      <c r="D1006" s="34">
        <v>9228</v>
      </c>
      <c r="E1006" s="35">
        <v>44602</v>
      </c>
      <c r="F1006" s="34">
        <v>9228</v>
      </c>
      <c r="G1006" s="36">
        <f>Tabla13[[#This Row],[Importe]]-Tabla13[[#This Row],[Pagado]]</f>
        <v>0</v>
      </c>
      <c r="H1006" s="38" t="s">
        <v>10</v>
      </c>
    </row>
    <row r="1007" spans="1:8" x14ac:dyDescent="0.25">
      <c r="A1007" s="31">
        <v>44601</v>
      </c>
      <c r="B1007" s="37" t="s">
        <v>4711</v>
      </c>
      <c r="C1007" s="38" t="s">
        <v>233</v>
      </c>
      <c r="D1007" s="34">
        <v>4046.7</v>
      </c>
      <c r="E1007" s="35">
        <v>44601</v>
      </c>
      <c r="F1007" s="34">
        <v>4046.7</v>
      </c>
      <c r="G1007" s="36">
        <f>Tabla13[[#This Row],[Importe]]-Tabla13[[#This Row],[Pagado]]</f>
        <v>0</v>
      </c>
      <c r="H1007" s="38" t="s">
        <v>10</v>
      </c>
    </row>
    <row r="1008" spans="1:8" x14ac:dyDescent="0.25">
      <c r="A1008" s="31">
        <v>44601</v>
      </c>
      <c r="B1008" s="37" t="s">
        <v>4712</v>
      </c>
      <c r="C1008" s="38" t="s">
        <v>31</v>
      </c>
      <c r="D1008" s="34">
        <v>3670.3</v>
      </c>
      <c r="E1008" s="35">
        <v>44602</v>
      </c>
      <c r="F1008" s="34">
        <v>3670.3</v>
      </c>
      <c r="G1008" s="36">
        <f>Tabla13[[#This Row],[Importe]]-Tabla13[[#This Row],[Pagado]]</f>
        <v>0</v>
      </c>
      <c r="H1008" s="38" t="s">
        <v>10</v>
      </c>
    </row>
    <row r="1009" spans="1:8" x14ac:dyDescent="0.25">
      <c r="A1009" s="31">
        <v>44601</v>
      </c>
      <c r="B1009" s="37" t="s">
        <v>4713</v>
      </c>
      <c r="C1009" s="38" t="s">
        <v>62</v>
      </c>
      <c r="D1009" s="34">
        <v>461.1</v>
      </c>
      <c r="E1009" s="35">
        <v>44601</v>
      </c>
      <c r="F1009" s="34">
        <v>461.1</v>
      </c>
      <c r="G1009" s="36">
        <f>Tabla13[[#This Row],[Importe]]-Tabla13[[#This Row],[Pagado]]</f>
        <v>0</v>
      </c>
      <c r="H1009" s="38" t="s">
        <v>10</v>
      </c>
    </row>
    <row r="1010" spans="1:8" x14ac:dyDescent="0.25">
      <c r="A1010" s="31">
        <v>44601</v>
      </c>
      <c r="B1010" s="37" t="s">
        <v>4714</v>
      </c>
      <c r="C1010" s="38" t="s">
        <v>275</v>
      </c>
      <c r="D1010" s="34">
        <v>7265.6</v>
      </c>
      <c r="E1010" s="35">
        <v>44610</v>
      </c>
      <c r="F1010" s="34">
        <v>7265.6</v>
      </c>
      <c r="G1010" s="36">
        <f>Tabla13[[#This Row],[Importe]]-Tabla13[[#This Row],[Pagado]]</f>
        <v>0</v>
      </c>
      <c r="H1010" s="38" t="s">
        <v>10</v>
      </c>
    </row>
    <row r="1011" spans="1:8" x14ac:dyDescent="0.25">
      <c r="A1011" s="31">
        <v>44601</v>
      </c>
      <c r="B1011" s="37" t="s">
        <v>4715</v>
      </c>
      <c r="C1011" s="38" t="s">
        <v>31</v>
      </c>
      <c r="D1011" s="34">
        <v>3459.4</v>
      </c>
      <c r="E1011" s="35">
        <v>44601</v>
      </c>
      <c r="F1011" s="34">
        <v>3459.4</v>
      </c>
      <c r="G1011" s="36">
        <f>Tabla13[[#This Row],[Importe]]-Tabla13[[#This Row],[Pagado]]</f>
        <v>0</v>
      </c>
      <c r="H1011" s="38" t="s">
        <v>10</v>
      </c>
    </row>
    <row r="1012" spans="1:8" x14ac:dyDescent="0.25">
      <c r="A1012" s="31">
        <v>44601</v>
      </c>
      <c r="B1012" s="37" t="s">
        <v>4716</v>
      </c>
      <c r="C1012" s="38" t="s">
        <v>319</v>
      </c>
      <c r="D1012" s="34">
        <v>3141.5</v>
      </c>
      <c r="E1012" s="35">
        <v>44602</v>
      </c>
      <c r="F1012" s="34">
        <v>3141.5</v>
      </c>
      <c r="G1012" s="36">
        <f>Tabla13[[#This Row],[Importe]]-Tabla13[[#This Row],[Pagado]]</f>
        <v>0</v>
      </c>
      <c r="H1012" s="38" t="s">
        <v>10</v>
      </c>
    </row>
    <row r="1013" spans="1:8" x14ac:dyDescent="0.25">
      <c r="A1013" s="31">
        <v>44601</v>
      </c>
      <c r="B1013" s="37" t="s">
        <v>4717</v>
      </c>
      <c r="C1013" s="38" t="s">
        <v>520</v>
      </c>
      <c r="D1013" s="34">
        <v>7157.2</v>
      </c>
      <c r="E1013" s="35">
        <v>44602</v>
      </c>
      <c r="F1013" s="34">
        <v>7157.2</v>
      </c>
      <c r="G1013" s="36">
        <f>Tabla13[[#This Row],[Importe]]-Tabla13[[#This Row],[Pagado]]</f>
        <v>0</v>
      </c>
      <c r="H1013" s="38" t="s">
        <v>10</v>
      </c>
    </row>
    <row r="1014" spans="1:8" x14ac:dyDescent="0.25">
      <c r="A1014" s="31">
        <v>44601</v>
      </c>
      <c r="B1014" s="37" t="s">
        <v>4718</v>
      </c>
      <c r="C1014" s="38" t="s">
        <v>159</v>
      </c>
      <c r="D1014" s="34">
        <v>1115.2</v>
      </c>
      <c r="E1014" s="35">
        <v>44602</v>
      </c>
      <c r="F1014" s="34">
        <v>1115.2</v>
      </c>
      <c r="G1014" s="36">
        <f>Tabla13[[#This Row],[Importe]]-Tabla13[[#This Row],[Pagado]]</f>
        <v>0</v>
      </c>
      <c r="H1014" s="38" t="s">
        <v>10</v>
      </c>
    </row>
    <row r="1015" spans="1:8" x14ac:dyDescent="0.25">
      <c r="A1015" s="31">
        <v>44601</v>
      </c>
      <c r="B1015" s="37" t="s">
        <v>4719</v>
      </c>
      <c r="C1015" s="38" t="s">
        <v>157</v>
      </c>
      <c r="D1015" s="34">
        <v>2159</v>
      </c>
      <c r="E1015" s="35">
        <v>44602</v>
      </c>
      <c r="F1015" s="34">
        <v>2159</v>
      </c>
      <c r="G1015" s="36">
        <f>Tabla13[[#This Row],[Importe]]-Tabla13[[#This Row],[Pagado]]</f>
        <v>0</v>
      </c>
      <c r="H1015" s="38" t="s">
        <v>10</v>
      </c>
    </row>
    <row r="1016" spans="1:8" x14ac:dyDescent="0.25">
      <c r="A1016" s="31">
        <v>44601</v>
      </c>
      <c r="B1016" s="37" t="s">
        <v>4720</v>
      </c>
      <c r="C1016" s="38" t="s">
        <v>518</v>
      </c>
      <c r="D1016" s="34">
        <v>1579.92</v>
      </c>
      <c r="E1016" s="35">
        <v>44602</v>
      </c>
      <c r="F1016" s="34">
        <v>1579.92</v>
      </c>
      <c r="G1016" s="36">
        <f>Tabla13[[#This Row],[Importe]]-Tabla13[[#This Row],[Pagado]]</f>
        <v>0</v>
      </c>
      <c r="H1016" s="38" t="s">
        <v>10</v>
      </c>
    </row>
    <row r="1017" spans="1:8" x14ac:dyDescent="0.25">
      <c r="A1017" s="31">
        <v>44601</v>
      </c>
      <c r="B1017" s="37" t="s">
        <v>4721</v>
      </c>
      <c r="C1017" s="38" t="s">
        <v>1971</v>
      </c>
      <c r="D1017" s="34">
        <v>511.6</v>
      </c>
      <c r="E1017" s="35">
        <v>44602</v>
      </c>
      <c r="F1017" s="34">
        <v>511.6</v>
      </c>
      <c r="G1017" s="36">
        <f>Tabla13[[#This Row],[Importe]]-Tabla13[[#This Row],[Pagado]]</f>
        <v>0</v>
      </c>
      <c r="H1017" s="38" t="s">
        <v>10</v>
      </c>
    </row>
    <row r="1018" spans="1:8" x14ac:dyDescent="0.25">
      <c r="A1018" s="31">
        <v>44601</v>
      </c>
      <c r="B1018" s="37" t="s">
        <v>4722</v>
      </c>
      <c r="C1018" s="38" t="s">
        <v>151</v>
      </c>
      <c r="D1018" s="34">
        <v>3719.6</v>
      </c>
      <c r="E1018" s="35">
        <v>44602</v>
      </c>
      <c r="F1018" s="34">
        <v>3719.6</v>
      </c>
      <c r="G1018" s="36">
        <f>Tabla13[[#This Row],[Importe]]-Tabla13[[#This Row],[Pagado]]</f>
        <v>0</v>
      </c>
      <c r="H1018" s="38" t="s">
        <v>10</v>
      </c>
    </row>
    <row r="1019" spans="1:8" x14ac:dyDescent="0.25">
      <c r="A1019" s="31">
        <v>44601</v>
      </c>
      <c r="B1019" s="37" t="s">
        <v>4723</v>
      </c>
      <c r="C1019" s="38" t="s">
        <v>183</v>
      </c>
      <c r="D1019" s="34">
        <v>1563.5</v>
      </c>
      <c r="E1019" s="35">
        <v>44602</v>
      </c>
      <c r="F1019" s="34">
        <v>1563.5</v>
      </c>
      <c r="G1019" s="36">
        <f>Tabla13[[#This Row],[Importe]]-Tabla13[[#This Row],[Pagado]]</f>
        <v>0</v>
      </c>
      <c r="H1019" s="38" t="s">
        <v>10</v>
      </c>
    </row>
    <row r="1020" spans="1:8" x14ac:dyDescent="0.25">
      <c r="A1020" s="31">
        <v>44601</v>
      </c>
      <c r="B1020" s="37" t="s">
        <v>4724</v>
      </c>
      <c r="C1020" s="38" t="s">
        <v>4725</v>
      </c>
      <c r="D1020" s="34">
        <v>0</v>
      </c>
      <c r="E1020" s="39" t="s">
        <v>189</v>
      </c>
      <c r="F1020" s="34">
        <v>0</v>
      </c>
      <c r="G1020" s="36">
        <f>Tabla13[[#This Row],[Importe]]-Tabla13[[#This Row],[Pagado]]</f>
        <v>0</v>
      </c>
      <c r="H1020" s="40" t="s">
        <v>4726</v>
      </c>
    </row>
    <row r="1021" spans="1:8" x14ac:dyDescent="0.25">
      <c r="A1021" s="31">
        <v>44601</v>
      </c>
      <c r="B1021" s="37" t="s">
        <v>4727</v>
      </c>
      <c r="C1021" s="38" t="s">
        <v>169</v>
      </c>
      <c r="D1021" s="34">
        <v>1881.6</v>
      </c>
      <c r="E1021" s="35">
        <v>44601</v>
      </c>
      <c r="F1021" s="34">
        <v>1881.6</v>
      </c>
      <c r="G1021" s="36">
        <f>Tabla13[[#This Row],[Importe]]-Tabla13[[#This Row],[Pagado]]</f>
        <v>0</v>
      </c>
      <c r="H1021" s="38" t="s">
        <v>10</v>
      </c>
    </row>
    <row r="1022" spans="1:8" x14ac:dyDescent="0.25">
      <c r="A1022" s="31">
        <v>44601</v>
      </c>
      <c r="B1022" s="37" t="s">
        <v>4728</v>
      </c>
      <c r="C1022" s="38" t="s">
        <v>448</v>
      </c>
      <c r="D1022" s="34">
        <v>16403</v>
      </c>
      <c r="E1022" s="35">
        <v>44602</v>
      </c>
      <c r="F1022" s="34">
        <v>16403</v>
      </c>
      <c r="G1022" s="36">
        <f>Tabla13[[#This Row],[Importe]]-Tabla13[[#This Row],[Pagado]]</f>
        <v>0</v>
      </c>
      <c r="H1022" s="38" t="s">
        <v>10</v>
      </c>
    </row>
    <row r="1023" spans="1:8" x14ac:dyDescent="0.25">
      <c r="A1023" s="31">
        <v>44601</v>
      </c>
      <c r="B1023" s="37" t="s">
        <v>4729</v>
      </c>
      <c r="C1023" s="38" t="s">
        <v>4136</v>
      </c>
      <c r="D1023" s="34">
        <v>1773</v>
      </c>
      <c r="E1023" s="35">
        <v>44601</v>
      </c>
      <c r="F1023" s="34">
        <v>1773</v>
      </c>
      <c r="G1023" s="36">
        <f>Tabla13[[#This Row],[Importe]]-Tabla13[[#This Row],[Pagado]]</f>
        <v>0</v>
      </c>
      <c r="H1023" s="38" t="s">
        <v>10</v>
      </c>
    </row>
    <row r="1024" spans="1:8" x14ac:dyDescent="0.25">
      <c r="A1024" s="31">
        <v>44601</v>
      </c>
      <c r="B1024" s="37" t="s">
        <v>4730</v>
      </c>
      <c r="C1024" s="38" t="s">
        <v>175</v>
      </c>
      <c r="D1024" s="34">
        <v>3412.8</v>
      </c>
      <c r="E1024" s="35">
        <v>44602</v>
      </c>
      <c r="F1024" s="34">
        <v>3412.8</v>
      </c>
      <c r="G1024" s="36">
        <f>Tabla13[[#This Row],[Importe]]-Tabla13[[#This Row],[Pagado]]</f>
        <v>0</v>
      </c>
      <c r="H1024" s="38" t="s">
        <v>10</v>
      </c>
    </row>
    <row r="1025" spans="1:8" x14ac:dyDescent="0.25">
      <c r="A1025" s="31">
        <v>44601</v>
      </c>
      <c r="B1025" s="37" t="s">
        <v>4731</v>
      </c>
      <c r="C1025" s="38" t="s">
        <v>181</v>
      </c>
      <c r="D1025" s="34">
        <v>10573.6</v>
      </c>
      <c r="E1025" s="35">
        <v>44602</v>
      </c>
      <c r="F1025" s="34">
        <v>10573.6</v>
      </c>
      <c r="G1025" s="36">
        <f>Tabla13[[#This Row],[Importe]]-Tabla13[[#This Row],[Pagado]]</f>
        <v>0</v>
      </c>
      <c r="H1025" s="38" t="s">
        <v>10</v>
      </c>
    </row>
    <row r="1026" spans="1:8" x14ac:dyDescent="0.25">
      <c r="A1026" s="31">
        <v>44601</v>
      </c>
      <c r="B1026" s="37" t="s">
        <v>4732</v>
      </c>
      <c r="C1026" s="38" t="s">
        <v>71</v>
      </c>
      <c r="D1026" s="34">
        <v>1159.0999999999999</v>
      </c>
      <c r="E1026" s="35">
        <v>44601</v>
      </c>
      <c r="F1026" s="34">
        <v>1159.0999999999999</v>
      </c>
      <c r="G1026" s="36">
        <f>Tabla13[[#This Row],[Importe]]-Tabla13[[#This Row],[Pagado]]</f>
        <v>0</v>
      </c>
      <c r="H1026" s="38" t="s">
        <v>10</v>
      </c>
    </row>
    <row r="1027" spans="1:8" x14ac:dyDescent="0.25">
      <c r="A1027" s="31">
        <v>44601</v>
      </c>
      <c r="B1027" s="37" t="s">
        <v>4733</v>
      </c>
      <c r="C1027" s="38" t="s">
        <v>67</v>
      </c>
      <c r="D1027" s="34">
        <v>1496</v>
      </c>
      <c r="E1027" s="35">
        <v>44601</v>
      </c>
      <c r="F1027" s="34">
        <v>1496</v>
      </c>
      <c r="G1027" s="36">
        <f>Tabla13[[#This Row],[Importe]]-Tabla13[[#This Row],[Pagado]]</f>
        <v>0</v>
      </c>
      <c r="H1027" s="38" t="s">
        <v>10</v>
      </c>
    </row>
    <row r="1028" spans="1:8" ht="31.5" x14ac:dyDescent="0.25">
      <c r="A1028" s="31">
        <v>44601</v>
      </c>
      <c r="B1028" s="37" t="s">
        <v>4734</v>
      </c>
      <c r="C1028" s="41" t="s">
        <v>4341</v>
      </c>
      <c r="D1028" s="34">
        <v>0</v>
      </c>
      <c r="E1028" s="39" t="s">
        <v>189</v>
      </c>
      <c r="F1028" s="34">
        <v>0</v>
      </c>
      <c r="G1028" s="36">
        <f>Tabla13[[#This Row],[Importe]]-Tabla13[[#This Row],[Pagado]]</f>
        <v>0</v>
      </c>
      <c r="H1028" s="40" t="s">
        <v>4735</v>
      </c>
    </row>
    <row r="1029" spans="1:8" x14ac:dyDescent="0.25">
      <c r="A1029" s="31">
        <v>44601</v>
      </c>
      <c r="B1029" s="37" t="s">
        <v>4736</v>
      </c>
      <c r="C1029" s="38" t="s">
        <v>142</v>
      </c>
      <c r="D1029" s="34">
        <v>8720.9</v>
      </c>
      <c r="E1029" s="35">
        <v>44617</v>
      </c>
      <c r="F1029" s="34">
        <v>8720.9</v>
      </c>
      <c r="G1029" s="36">
        <f>Tabla13[[#This Row],[Importe]]-Tabla13[[#This Row],[Pagado]]</f>
        <v>0</v>
      </c>
      <c r="H1029" s="38" t="s">
        <v>10</v>
      </c>
    </row>
    <row r="1030" spans="1:8" x14ac:dyDescent="0.25">
      <c r="A1030" s="31">
        <v>44601</v>
      </c>
      <c r="B1030" s="37" t="s">
        <v>4737</v>
      </c>
      <c r="C1030" s="38" t="s">
        <v>1630</v>
      </c>
      <c r="D1030" s="34">
        <v>5958.2</v>
      </c>
      <c r="E1030" s="35">
        <v>44602</v>
      </c>
      <c r="F1030" s="34">
        <v>5958.2</v>
      </c>
      <c r="G1030" s="36">
        <f>Tabla13[[#This Row],[Importe]]-Tabla13[[#This Row],[Pagado]]</f>
        <v>0</v>
      </c>
      <c r="H1030" s="38" t="s">
        <v>10</v>
      </c>
    </row>
    <row r="1031" spans="1:8" x14ac:dyDescent="0.25">
      <c r="A1031" s="31">
        <v>44601</v>
      </c>
      <c r="B1031" s="37" t="s">
        <v>4738</v>
      </c>
      <c r="C1031" s="38" t="s">
        <v>4129</v>
      </c>
      <c r="D1031" s="34">
        <v>5086.2</v>
      </c>
      <c r="E1031" s="35">
        <v>44602</v>
      </c>
      <c r="F1031" s="34">
        <v>5086.2</v>
      </c>
      <c r="G1031" s="36">
        <f>Tabla13[[#This Row],[Importe]]-Tabla13[[#This Row],[Pagado]]</f>
        <v>0</v>
      </c>
      <c r="H1031" s="38" t="s">
        <v>10</v>
      </c>
    </row>
    <row r="1032" spans="1:8" x14ac:dyDescent="0.25">
      <c r="A1032" s="31">
        <v>44601</v>
      </c>
      <c r="B1032" s="37" t="s">
        <v>4739</v>
      </c>
      <c r="C1032" s="38" t="s">
        <v>1644</v>
      </c>
      <c r="D1032" s="34">
        <v>8160</v>
      </c>
      <c r="E1032" s="35">
        <v>44602</v>
      </c>
      <c r="F1032" s="34">
        <v>8160</v>
      </c>
      <c r="G1032" s="36">
        <f>Tabla13[[#This Row],[Importe]]-Tabla13[[#This Row],[Pagado]]</f>
        <v>0</v>
      </c>
      <c r="H1032" s="38" t="s">
        <v>10</v>
      </c>
    </row>
    <row r="1033" spans="1:8" x14ac:dyDescent="0.25">
      <c r="A1033" s="31">
        <v>44601</v>
      </c>
      <c r="B1033" s="37" t="s">
        <v>4740</v>
      </c>
      <c r="C1033" s="38" t="s">
        <v>133</v>
      </c>
      <c r="D1033" s="34">
        <v>9696</v>
      </c>
      <c r="E1033" s="35">
        <v>44602</v>
      </c>
      <c r="F1033" s="34">
        <v>9696</v>
      </c>
      <c r="G1033" s="36">
        <f>Tabla13[[#This Row],[Importe]]-Tabla13[[#This Row],[Pagado]]</f>
        <v>0</v>
      </c>
      <c r="H1033" s="38" t="s">
        <v>10</v>
      </c>
    </row>
    <row r="1034" spans="1:8" x14ac:dyDescent="0.25">
      <c r="A1034" s="31">
        <v>44601</v>
      </c>
      <c r="B1034" s="37" t="s">
        <v>4741</v>
      </c>
      <c r="C1034" s="38" t="s">
        <v>698</v>
      </c>
      <c r="D1034" s="34">
        <v>6380.6</v>
      </c>
      <c r="E1034" s="35">
        <v>44601</v>
      </c>
      <c r="F1034" s="34">
        <v>6380.6</v>
      </c>
      <c r="G1034" s="36">
        <f>Tabla13[[#This Row],[Importe]]-Tabla13[[#This Row],[Pagado]]</f>
        <v>0</v>
      </c>
      <c r="H1034" s="38" t="s">
        <v>10</v>
      </c>
    </row>
    <row r="1035" spans="1:8" x14ac:dyDescent="0.25">
      <c r="A1035" s="31">
        <v>44601</v>
      </c>
      <c r="B1035" s="37" t="s">
        <v>4742</v>
      </c>
      <c r="C1035" s="38" t="s">
        <v>3823</v>
      </c>
      <c r="D1035" s="34">
        <v>0</v>
      </c>
      <c r="E1035" s="39" t="s">
        <v>189</v>
      </c>
      <c r="F1035" s="34">
        <v>0</v>
      </c>
      <c r="G1035" s="36">
        <f>Tabla13[[#This Row],[Importe]]-Tabla13[[#This Row],[Pagado]]</f>
        <v>0</v>
      </c>
      <c r="H1035" s="38" t="s">
        <v>189</v>
      </c>
    </row>
    <row r="1036" spans="1:8" x14ac:dyDescent="0.25">
      <c r="A1036" s="31">
        <v>44601</v>
      </c>
      <c r="B1036" s="37" t="s">
        <v>4743</v>
      </c>
      <c r="C1036" s="38" t="s">
        <v>191</v>
      </c>
      <c r="D1036" s="34">
        <v>644</v>
      </c>
      <c r="E1036" s="35">
        <v>44601</v>
      </c>
      <c r="F1036" s="34">
        <v>644</v>
      </c>
      <c r="G1036" s="36">
        <f>Tabla13[[#This Row],[Importe]]-Tabla13[[#This Row],[Pagado]]</f>
        <v>0</v>
      </c>
      <c r="H1036" s="38" t="s">
        <v>10</v>
      </c>
    </row>
    <row r="1037" spans="1:8" x14ac:dyDescent="0.25">
      <c r="A1037" s="31">
        <v>44601</v>
      </c>
      <c r="B1037" s="37" t="s">
        <v>4744</v>
      </c>
      <c r="C1037" s="38" t="s">
        <v>31</v>
      </c>
      <c r="D1037" s="34">
        <v>1208</v>
      </c>
      <c r="E1037" s="35">
        <v>44601</v>
      </c>
      <c r="F1037" s="34">
        <v>1208</v>
      </c>
      <c r="G1037" s="36">
        <f>Tabla13[[#This Row],[Importe]]-Tabla13[[#This Row],[Pagado]]</f>
        <v>0</v>
      </c>
      <c r="H1037" s="38" t="s">
        <v>10</v>
      </c>
    </row>
    <row r="1038" spans="1:8" x14ac:dyDescent="0.25">
      <c r="A1038" s="31">
        <v>44601</v>
      </c>
      <c r="B1038" s="37" t="s">
        <v>4745</v>
      </c>
      <c r="C1038" s="38" t="s">
        <v>2393</v>
      </c>
      <c r="D1038" s="34">
        <v>41620.32</v>
      </c>
      <c r="E1038" s="35">
        <v>44601</v>
      </c>
      <c r="F1038" s="34">
        <v>41620.32</v>
      </c>
      <c r="G1038" s="36">
        <f>Tabla13[[#This Row],[Importe]]-Tabla13[[#This Row],[Pagado]]</f>
        <v>0</v>
      </c>
      <c r="H1038" s="38" t="s">
        <v>10</v>
      </c>
    </row>
    <row r="1039" spans="1:8" x14ac:dyDescent="0.25">
      <c r="A1039" s="31">
        <v>44601</v>
      </c>
      <c r="B1039" s="37" t="s">
        <v>4746</v>
      </c>
      <c r="C1039" s="38" t="s">
        <v>2393</v>
      </c>
      <c r="D1039" s="34">
        <v>420</v>
      </c>
      <c r="E1039" s="35">
        <v>44601</v>
      </c>
      <c r="F1039" s="34">
        <v>420</v>
      </c>
      <c r="G1039" s="36">
        <f>Tabla13[[#This Row],[Importe]]-Tabla13[[#This Row],[Pagado]]</f>
        <v>0</v>
      </c>
      <c r="H1039" s="38" t="s">
        <v>10</v>
      </c>
    </row>
    <row r="1040" spans="1:8" x14ac:dyDescent="0.25">
      <c r="A1040" s="31">
        <v>44601</v>
      </c>
      <c r="B1040" s="37" t="s">
        <v>4747</v>
      </c>
      <c r="C1040" s="38" t="s">
        <v>732</v>
      </c>
      <c r="D1040" s="34">
        <v>7373.6</v>
      </c>
      <c r="E1040" s="35">
        <v>44601</v>
      </c>
      <c r="F1040" s="34">
        <v>7373.6</v>
      </c>
      <c r="G1040" s="36">
        <f>Tabla13[[#This Row],[Importe]]-Tabla13[[#This Row],[Pagado]]</f>
        <v>0</v>
      </c>
      <c r="H1040" s="38" t="s">
        <v>10</v>
      </c>
    </row>
    <row r="1041" spans="1:8" x14ac:dyDescent="0.25">
      <c r="A1041" s="31">
        <v>44601</v>
      </c>
      <c r="B1041" s="37" t="s">
        <v>4748</v>
      </c>
      <c r="C1041" s="38" t="s">
        <v>142</v>
      </c>
      <c r="D1041" s="34">
        <v>55980</v>
      </c>
      <c r="E1041" s="35">
        <v>44617</v>
      </c>
      <c r="F1041" s="34">
        <v>55980</v>
      </c>
      <c r="G1041" s="36">
        <f>Tabla13[[#This Row],[Importe]]-Tabla13[[#This Row],[Pagado]]</f>
        <v>0</v>
      </c>
      <c r="H1041" s="38" t="s">
        <v>10</v>
      </c>
    </row>
    <row r="1042" spans="1:8" x14ac:dyDescent="0.25">
      <c r="A1042" s="31">
        <v>44601</v>
      </c>
      <c r="B1042" s="37" t="s">
        <v>4749</v>
      </c>
      <c r="C1042" s="38" t="s">
        <v>196</v>
      </c>
      <c r="D1042" s="34">
        <v>59088.9</v>
      </c>
      <c r="E1042" s="35">
        <v>44603</v>
      </c>
      <c r="F1042" s="34">
        <v>59088.9</v>
      </c>
      <c r="G1042" s="36">
        <f>Tabla13[[#This Row],[Importe]]-Tabla13[[#This Row],[Pagado]]</f>
        <v>0</v>
      </c>
      <c r="H1042" s="38" t="s">
        <v>10</v>
      </c>
    </row>
    <row r="1043" spans="1:8" x14ac:dyDescent="0.25">
      <c r="A1043" s="31">
        <v>44601</v>
      </c>
      <c r="B1043" s="37" t="s">
        <v>4750</v>
      </c>
      <c r="C1043" s="38" t="s">
        <v>58</v>
      </c>
      <c r="D1043" s="34">
        <v>1841.4</v>
      </c>
      <c r="E1043" s="35">
        <v>44601</v>
      </c>
      <c r="F1043" s="34">
        <v>1841.4</v>
      </c>
      <c r="G1043" s="36">
        <f>Tabla13[[#This Row],[Importe]]-Tabla13[[#This Row],[Pagado]]</f>
        <v>0</v>
      </c>
      <c r="H1043" s="38" t="s">
        <v>10</v>
      </c>
    </row>
    <row r="1044" spans="1:8" x14ac:dyDescent="0.25">
      <c r="A1044" s="31">
        <v>44601</v>
      </c>
      <c r="B1044" s="37" t="s">
        <v>4751</v>
      </c>
      <c r="C1044" s="38" t="s">
        <v>214</v>
      </c>
      <c r="D1044" s="34">
        <v>786.6</v>
      </c>
      <c r="E1044" s="35">
        <v>44601</v>
      </c>
      <c r="F1044" s="34">
        <v>786.6</v>
      </c>
      <c r="G1044" s="36">
        <f>Tabla13[[#This Row],[Importe]]-Tabla13[[#This Row],[Pagado]]</f>
        <v>0</v>
      </c>
      <c r="H1044" s="38" t="s">
        <v>10</v>
      </c>
    </row>
    <row r="1045" spans="1:8" x14ac:dyDescent="0.25">
      <c r="A1045" s="31">
        <v>44601</v>
      </c>
      <c r="B1045" s="37" t="s">
        <v>4752</v>
      </c>
      <c r="C1045" s="38" t="s">
        <v>95</v>
      </c>
      <c r="D1045" s="34">
        <v>2013</v>
      </c>
      <c r="E1045" s="35">
        <v>44601</v>
      </c>
      <c r="F1045" s="34">
        <v>2013</v>
      </c>
      <c r="G1045" s="36">
        <f>Tabla13[[#This Row],[Importe]]-Tabla13[[#This Row],[Pagado]]</f>
        <v>0</v>
      </c>
      <c r="H1045" s="38" t="s">
        <v>10</v>
      </c>
    </row>
    <row r="1046" spans="1:8" x14ac:dyDescent="0.25">
      <c r="A1046" s="31">
        <v>44601</v>
      </c>
      <c r="B1046" s="37" t="s">
        <v>4753</v>
      </c>
      <c r="C1046" s="38" t="s">
        <v>191</v>
      </c>
      <c r="D1046" s="34">
        <v>690</v>
      </c>
      <c r="E1046" s="35">
        <v>44601</v>
      </c>
      <c r="F1046" s="34">
        <v>690</v>
      </c>
      <c r="G1046" s="36">
        <f>Tabla13[[#This Row],[Importe]]-Tabla13[[#This Row],[Pagado]]</f>
        <v>0</v>
      </c>
      <c r="H1046" s="38" t="s">
        <v>10</v>
      </c>
    </row>
    <row r="1047" spans="1:8" x14ac:dyDescent="0.25">
      <c r="A1047" s="31">
        <v>44601</v>
      </c>
      <c r="B1047" s="37" t="s">
        <v>4754</v>
      </c>
      <c r="C1047" s="38" t="s">
        <v>275</v>
      </c>
      <c r="D1047" s="34">
        <v>52115.9</v>
      </c>
      <c r="E1047" s="35">
        <v>44610</v>
      </c>
      <c r="F1047" s="34">
        <v>52115.9</v>
      </c>
      <c r="G1047" s="36">
        <f>Tabla13[[#This Row],[Importe]]-Tabla13[[#This Row],[Pagado]]</f>
        <v>0</v>
      </c>
      <c r="H1047" s="38" t="s">
        <v>10</v>
      </c>
    </row>
    <row r="1048" spans="1:8" x14ac:dyDescent="0.25">
      <c r="A1048" s="31">
        <v>44601</v>
      </c>
      <c r="B1048" s="37" t="s">
        <v>4755</v>
      </c>
      <c r="C1048" s="38" t="s">
        <v>610</v>
      </c>
      <c r="D1048" s="34">
        <v>18210</v>
      </c>
      <c r="E1048" s="35">
        <v>44601</v>
      </c>
      <c r="F1048" s="34">
        <v>18210</v>
      </c>
      <c r="G1048" s="36">
        <f>Tabla13[[#This Row],[Importe]]-Tabla13[[#This Row],[Pagado]]</f>
        <v>0</v>
      </c>
      <c r="H1048" s="38" t="s">
        <v>10</v>
      </c>
    </row>
    <row r="1049" spans="1:8" x14ac:dyDescent="0.25">
      <c r="A1049" s="31">
        <v>44601</v>
      </c>
      <c r="B1049" s="37" t="s">
        <v>4756</v>
      </c>
      <c r="C1049" s="38" t="s">
        <v>289</v>
      </c>
      <c r="D1049" s="34">
        <v>7092</v>
      </c>
      <c r="E1049" s="35">
        <v>44601</v>
      </c>
      <c r="F1049" s="34">
        <v>7092</v>
      </c>
      <c r="G1049" s="36">
        <f>Tabla13[[#This Row],[Importe]]-Tabla13[[#This Row],[Pagado]]</f>
        <v>0</v>
      </c>
      <c r="H1049" s="38" t="s">
        <v>10</v>
      </c>
    </row>
    <row r="1050" spans="1:8" x14ac:dyDescent="0.25">
      <c r="A1050" s="31">
        <v>44601</v>
      </c>
      <c r="B1050" s="37" t="s">
        <v>4757</v>
      </c>
      <c r="C1050" s="38" t="s">
        <v>31</v>
      </c>
      <c r="D1050" s="34">
        <v>238</v>
      </c>
      <c r="E1050" s="35">
        <v>44601</v>
      </c>
      <c r="F1050" s="34">
        <v>238</v>
      </c>
      <c r="G1050" s="36">
        <f>Tabla13[[#This Row],[Importe]]-Tabla13[[#This Row],[Pagado]]</f>
        <v>0</v>
      </c>
      <c r="H1050" s="38" t="s">
        <v>10</v>
      </c>
    </row>
    <row r="1051" spans="1:8" x14ac:dyDescent="0.25">
      <c r="A1051" s="31">
        <v>44601</v>
      </c>
      <c r="B1051" s="37" t="s">
        <v>4758</v>
      </c>
      <c r="C1051" s="38" t="s">
        <v>31</v>
      </c>
      <c r="D1051" s="34">
        <v>121.6</v>
      </c>
      <c r="E1051" s="35">
        <v>44601</v>
      </c>
      <c r="F1051" s="34">
        <v>121.6</v>
      </c>
      <c r="G1051" s="36">
        <f>Tabla13[[#This Row],[Importe]]-Tabla13[[#This Row],[Pagado]]</f>
        <v>0</v>
      </c>
      <c r="H1051" s="38" t="s">
        <v>10</v>
      </c>
    </row>
    <row r="1052" spans="1:8" x14ac:dyDescent="0.25">
      <c r="A1052" s="31">
        <v>44601</v>
      </c>
      <c r="B1052" s="37" t="s">
        <v>4759</v>
      </c>
      <c r="C1052" s="38" t="s">
        <v>400</v>
      </c>
      <c r="D1052" s="34">
        <v>5685.78</v>
      </c>
      <c r="E1052" s="35">
        <v>44607</v>
      </c>
      <c r="F1052" s="34">
        <v>5685.78</v>
      </c>
      <c r="G1052" s="36">
        <f>Tabla13[[#This Row],[Importe]]-Tabla13[[#This Row],[Pagado]]</f>
        <v>0</v>
      </c>
      <c r="H1052" s="38" t="s">
        <v>10</v>
      </c>
    </row>
    <row r="1053" spans="1:8" x14ac:dyDescent="0.25">
      <c r="A1053" s="31">
        <v>44601</v>
      </c>
      <c r="B1053" s="37" t="s">
        <v>4760</v>
      </c>
      <c r="C1053" s="38" t="s">
        <v>402</v>
      </c>
      <c r="D1053" s="34">
        <v>10427.959999999999</v>
      </c>
      <c r="E1053" s="35">
        <v>44607</v>
      </c>
      <c r="F1053" s="34">
        <v>10427.959999999999</v>
      </c>
      <c r="G1053" s="36">
        <f>Tabla13[[#This Row],[Importe]]-Tabla13[[#This Row],[Pagado]]</f>
        <v>0</v>
      </c>
      <c r="H1053" s="38" t="s">
        <v>10</v>
      </c>
    </row>
    <row r="1054" spans="1:8" x14ac:dyDescent="0.25">
      <c r="A1054" s="31">
        <v>44601</v>
      </c>
      <c r="B1054" s="37" t="s">
        <v>4761</v>
      </c>
      <c r="C1054" s="38" t="s">
        <v>373</v>
      </c>
      <c r="D1054" s="34">
        <v>356.9</v>
      </c>
      <c r="E1054" s="35">
        <v>44601</v>
      </c>
      <c r="F1054" s="34">
        <v>356.9</v>
      </c>
      <c r="G1054" s="36">
        <f>Tabla13[[#This Row],[Importe]]-Tabla13[[#This Row],[Pagado]]</f>
        <v>0</v>
      </c>
      <c r="H1054" s="38" t="s">
        <v>10</v>
      </c>
    </row>
    <row r="1055" spans="1:8" x14ac:dyDescent="0.25">
      <c r="A1055" s="31">
        <v>44601</v>
      </c>
      <c r="B1055" s="37" t="s">
        <v>4762</v>
      </c>
      <c r="C1055" s="38" t="s">
        <v>31</v>
      </c>
      <c r="D1055" s="34">
        <v>64.599999999999994</v>
      </c>
      <c r="E1055" s="35">
        <v>44602</v>
      </c>
      <c r="F1055" s="34">
        <v>64.599999999999994</v>
      </c>
      <c r="G1055" s="36">
        <f>Tabla13[[#This Row],[Importe]]-Tabla13[[#This Row],[Pagado]]</f>
        <v>0</v>
      </c>
      <c r="H1055" s="38" t="s">
        <v>10</v>
      </c>
    </row>
    <row r="1056" spans="1:8" x14ac:dyDescent="0.25">
      <c r="A1056" s="31">
        <v>44601</v>
      </c>
      <c r="B1056" s="37" t="s">
        <v>4763</v>
      </c>
      <c r="C1056" s="38" t="s">
        <v>284</v>
      </c>
      <c r="D1056" s="34">
        <v>9439.2000000000007</v>
      </c>
      <c r="E1056" s="35">
        <v>44603</v>
      </c>
      <c r="F1056" s="34">
        <v>9439.2000000000007</v>
      </c>
      <c r="G1056" s="36">
        <f>Tabla13[[#This Row],[Importe]]-Tabla13[[#This Row],[Pagado]]</f>
        <v>0</v>
      </c>
      <c r="H1056" s="38" t="s">
        <v>10</v>
      </c>
    </row>
    <row r="1057" spans="1:8" x14ac:dyDescent="0.25">
      <c r="A1057" s="31">
        <v>44601</v>
      </c>
      <c r="B1057" s="37" t="s">
        <v>4764</v>
      </c>
      <c r="C1057" s="38" t="s">
        <v>282</v>
      </c>
      <c r="D1057" s="34">
        <v>4968</v>
      </c>
      <c r="E1057" s="35">
        <v>44606</v>
      </c>
      <c r="F1057" s="34">
        <v>4968</v>
      </c>
      <c r="G1057" s="36">
        <f>Tabla13[[#This Row],[Importe]]-Tabla13[[#This Row],[Pagado]]</f>
        <v>0</v>
      </c>
      <c r="H1057" s="38" t="s">
        <v>10</v>
      </c>
    </row>
    <row r="1058" spans="1:8" x14ac:dyDescent="0.25">
      <c r="A1058" s="31">
        <v>44601</v>
      </c>
      <c r="B1058" s="37" t="s">
        <v>4765</v>
      </c>
      <c r="C1058" s="38" t="s">
        <v>142</v>
      </c>
      <c r="D1058" s="34">
        <v>6934.5</v>
      </c>
      <c r="E1058" s="35">
        <v>44617</v>
      </c>
      <c r="F1058" s="34">
        <v>6934.5</v>
      </c>
      <c r="G1058" s="36">
        <f>Tabla13[[#This Row],[Importe]]-Tabla13[[#This Row],[Pagado]]</f>
        <v>0</v>
      </c>
      <c r="H1058" s="38" t="s">
        <v>10</v>
      </c>
    </row>
    <row r="1059" spans="1:8" x14ac:dyDescent="0.25">
      <c r="A1059" s="31">
        <v>44601</v>
      </c>
      <c r="B1059" s="37" t="s">
        <v>4766</v>
      </c>
      <c r="C1059" s="38" t="s">
        <v>206</v>
      </c>
      <c r="D1059" s="34">
        <v>22940</v>
      </c>
      <c r="E1059" s="35">
        <v>44614</v>
      </c>
      <c r="F1059" s="34">
        <v>22940</v>
      </c>
      <c r="G1059" s="36">
        <f>Tabla13[[#This Row],[Importe]]-Tabla13[[#This Row],[Pagado]]</f>
        <v>0</v>
      </c>
      <c r="H1059" s="38" t="s">
        <v>10</v>
      </c>
    </row>
    <row r="1060" spans="1:8" x14ac:dyDescent="0.25">
      <c r="A1060" s="31">
        <v>44602</v>
      </c>
      <c r="B1060" s="37" t="s">
        <v>4767</v>
      </c>
      <c r="C1060" s="38" t="s">
        <v>20</v>
      </c>
      <c r="D1060" s="34">
        <v>1626</v>
      </c>
      <c r="E1060" s="35">
        <v>44602</v>
      </c>
      <c r="F1060" s="34">
        <v>1626</v>
      </c>
      <c r="G1060" s="36">
        <f>Tabla13[[#This Row],[Importe]]-Tabla13[[#This Row],[Pagado]]</f>
        <v>0</v>
      </c>
      <c r="H1060" s="38" t="s">
        <v>10</v>
      </c>
    </row>
    <row r="1061" spans="1:8" x14ac:dyDescent="0.25">
      <c r="A1061" s="31">
        <v>44602</v>
      </c>
      <c r="B1061" s="37" t="s">
        <v>4768</v>
      </c>
      <c r="C1061" s="38" t="s">
        <v>887</v>
      </c>
      <c r="D1061" s="34">
        <v>12386.5</v>
      </c>
      <c r="E1061" s="35">
        <v>44603</v>
      </c>
      <c r="F1061" s="34">
        <v>12386.5</v>
      </c>
      <c r="G1061" s="36">
        <f>Tabla13[[#This Row],[Importe]]-Tabla13[[#This Row],[Pagado]]</f>
        <v>0</v>
      </c>
      <c r="H1061" s="38" t="s">
        <v>10</v>
      </c>
    </row>
    <row r="1062" spans="1:8" ht="31.5" x14ac:dyDescent="0.25">
      <c r="A1062" s="31">
        <v>44602</v>
      </c>
      <c r="B1062" s="37" t="s">
        <v>4769</v>
      </c>
      <c r="C1062" s="38" t="s">
        <v>475</v>
      </c>
      <c r="D1062" s="34">
        <v>64520.1</v>
      </c>
      <c r="E1062" s="35" t="s">
        <v>4770</v>
      </c>
      <c r="F1062" s="34">
        <f>63000+1520.1</f>
        <v>64520.1</v>
      </c>
      <c r="G1062" s="36">
        <f>Tabla13[[#This Row],[Importe]]-Tabla13[[#This Row],[Pagado]]</f>
        <v>0</v>
      </c>
      <c r="H1062" s="38" t="s">
        <v>10</v>
      </c>
    </row>
    <row r="1063" spans="1:8" x14ac:dyDescent="0.25">
      <c r="A1063" s="31">
        <v>44602</v>
      </c>
      <c r="B1063" s="37" t="s">
        <v>4771</v>
      </c>
      <c r="C1063" s="38" t="s">
        <v>481</v>
      </c>
      <c r="D1063" s="34">
        <v>2195.3000000000002</v>
      </c>
      <c r="E1063" s="35">
        <v>44602</v>
      </c>
      <c r="F1063" s="34">
        <v>2195.3000000000002</v>
      </c>
      <c r="G1063" s="36">
        <f>Tabla13[[#This Row],[Importe]]-Tabla13[[#This Row],[Pagado]]</f>
        <v>0</v>
      </c>
      <c r="H1063" s="38" t="s">
        <v>10</v>
      </c>
    </row>
    <row r="1064" spans="1:8" x14ac:dyDescent="0.25">
      <c r="A1064" s="31">
        <v>44602</v>
      </c>
      <c r="B1064" s="37" t="s">
        <v>4772</v>
      </c>
      <c r="C1064" s="38" t="s">
        <v>12</v>
      </c>
      <c r="D1064" s="34">
        <v>29526.95</v>
      </c>
      <c r="E1064" s="35">
        <v>44603</v>
      </c>
      <c r="F1064" s="34">
        <v>29526.95</v>
      </c>
      <c r="G1064" s="36">
        <f>Tabla13[[#This Row],[Importe]]-Tabla13[[#This Row],[Pagado]]</f>
        <v>0</v>
      </c>
      <c r="H1064" s="38" t="s">
        <v>10</v>
      </c>
    </row>
    <row r="1065" spans="1:8" x14ac:dyDescent="0.25">
      <c r="A1065" s="31">
        <v>44602</v>
      </c>
      <c r="B1065" s="37" t="s">
        <v>4773</v>
      </c>
      <c r="C1065" s="38" t="s">
        <v>414</v>
      </c>
      <c r="D1065" s="34">
        <v>11611.2</v>
      </c>
      <c r="E1065" s="35">
        <v>44602</v>
      </c>
      <c r="F1065" s="34">
        <v>11611.2</v>
      </c>
      <c r="G1065" s="36">
        <f>Tabla13[[#This Row],[Importe]]-Tabla13[[#This Row],[Pagado]]</f>
        <v>0</v>
      </c>
      <c r="H1065" s="38" t="s">
        <v>10</v>
      </c>
    </row>
    <row r="1066" spans="1:8" x14ac:dyDescent="0.25">
      <c r="A1066" s="31">
        <v>44602</v>
      </c>
      <c r="B1066" s="37" t="s">
        <v>4774</v>
      </c>
      <c r="C1066" s="38" t="s">
        <v>9</v>
      </c>
      <c r="D1066" s="34">
        <v>5552.1</v>
      </c>
      <c r="E1066" s="35">
        <v>44602</v>
      </c>
      <c r="F1066" s="34">
        <v>5552.1</v>
      </c>
      <c r="G1066" s="36">
        <f>Tabla13[[#This Row],[Importe]]-Tabla13[[#This Row],[Pagado]]</f>
        <v>0</v>
      </c>
      <c r="H1066" s="38" t="s">
        <v>10</v>
      </c>
    </row>
    <row r="1067" spans="1:8" x14ac:dyDescent="0.25">
      <c r="A1067" s="31">
        <v>44602</v>
      </c>
      <c r="B1067" s="37" t="s">
        <v>4775</v>
      </c>
      <c r="C1067" s="38" t="s">
        <v>105</v>
      </c>
      <c r="D1067" s="34">
        <v>4788</v>
      </c>
      <c r="E1067" s="35">
        <v>44603</v>
      </c>
      <c r="F1067" s="34">
        <v>4788</v>
      </c>
      <c r="G1067" s="36">
        <f>Tabla13[[#This Row],[Importe]]-Tabla13[[#This Row],[Pagado]]</f>
        <v>0</v>
      </c>
      <c r="H1067" s="38" t="s">
        <v>10</v>
      </c>
    </row>
    <row r="1068" spans="1:8" x14ac:dyDescent="0.25">
      <c r="A1068" s="31">
        <v>44602</v>
      </c>
      <c r="B1068" s="37" t="s">
        <v>4776</v>
      </c>
      <c r="C1068" s="38" t="s">
        <v>345</v>
      </c>
      <c r="D1068" s="34">
        <v>823.4</v>
      </c>
      <c r="E1068" s="35">
        <v>44602</v>
      </c>
      <c r="F1068" s="34">
        <v>823.4</v>
      </c>
      <c r="G1068" s="36">
        <f>Tabla13[[#This Row],[Importe]]-Tabla13[[#This Row],[Pagado]]</f>
        <v>0</v>
      </c>
      <c r="H1068" s="38" t="s">
        <v>10</v>
      </c>
    </row>
    <row r="1069" spans="1:8" x14ac:dyDescent="0.25">
      <c r="A1069" s="31">
        <v>44602</v>
      </c>
      <c r="B1069" s="37" t="s">
        <v>4777</v>
      </c>
      <c r="C1069" s="38" t="s">
        <v>99</v>
      </c>
      <c r="D1069" s="34">
        <v>961.4</v>
      </c>
      <c r="E1069" s="35">
        <v>44602</v>
      </c>
      <c r="F1069" s="34">
        <v>961.4</v>
      </c>
      <c r="G1069" s="36">
        <f>Tabla13[[#This Row],[Importe]]-Tabla13[[#This Row],[Pagado]]</f>
        <v>0</v>
      </c>
      <c r="H1069" s="38" t="s">
        <v>10</v>
      </c>
    </row>
    <row r="1070" spans="1:8" x14ac:dyDescent="0.25">
      <c r="A1070" s="31">
        <v>44602</v>
      </c>
      <c r="B1070" s="37" t="s">
        <v>4778</v>
      </c>
      <c r="C1070" s="38" t="s">
        <v>64</v>
      </c>
      <c r="D1070" s="34">
        <v>4510</v>
      </c>
      <c r="E1070" s="35">
        <v>44603</v>
      </c>
      <c r="F1070" s="34">
        <v>4510</v>
      </c>
      <c r="G1070" s="36">
        <f>Tabla13[[#This Row],[Importe]]-Tabla13[[#This Row],[Pagado]]</f>
        <v>0</v>
      </c>
      <c r="H1070" s="38" t="s">
        <v>10</v>
      </c>
    </row>
    <row r="1071" spans="1:8" ht="31.5" x14ac:dyDescent="0.25">
      <c r="A1071" s="31">
        <v>44602</v>
      </c>
      <c r="B1071" s="37" t="s">
        <v>4779</v>
      </c>
      <c r="C1071" s="38" t="s">
        <v>39</v>
      </c>
      <c r="D1071" s="34">
        <v>23298</v>
      </c>
      <c r="E1071" s="35" t="s">
        <v>4780</v>
      </c>
      <c r="F1071" s="34">
        <f>10000+13298</f>
        <v>23298</v>
      </c>
      <c r="G1071" s="36">
        <f>Tabla13[[#This Row],[Importe]]-Tabla13[[#This Row],[Pagado]]</f>
        <v>0</v>
      </c>
      <c r="H1071" s="38" t="s">
        <v>10</v>
      </c>
    </row>
    <row r="1072" spans="1:8" x14ac:dyDescent="0.25">
      <c r="A1072" s="31">
        <v>44602</v>
      </c>
      <c r="B1072" s="37" t="s">
        <v>4781</v>
      </c>
      <c r="C1072" s="38" t="s">
        <v>22</v>
      </c>
      <c r="D1072" s="34">
        <v>36818.400000000001</v>
      </c>
      <c r="E1072" s="35">
        <v>44605</v>
      </c>
      <c r="F1072" s="34">
        <v>36818.400000000001</v>
      </c>
      <c r="G1072" s="36">
        <f>Tabla13[[#This Row],[Importe]]-Tabla13[[#This Row],[Pagado]]</f>
        <v>0</v>
      </c>
      <c r="H1072" s="38" t="s">
        <v>10</v>
      </c>
    </row>
    <row r="1073" spans="1:8" x14ac:dyDescent="0.25">
      <c r="A1073" s="31">
        <v>44602</v>
      </c>
      <c r="B1073" s="37" t="s">
        <v>4782</v>
      </c>
      <c r="C1073" s="38" t="s">
        <v>89</v>
      </c>
      <c r="D1073" s="34">
        <v>5087.1000000000004</v>
      </c>
      <c r="E1073" s="35">
        <v>44603</v>
      </c>
      <c r="F1073" s="34">
        <v>5087.1000000000004</v>
      </c>
      <c r="G1073" s="36">
        <f>Tabla13[[#This Row],[Importe]]-Tabla13[[#This Row],[Pagado]]</f>
        <v>0</v>
      </c>
      <c r="H1073" s="38" t="s">
        <v>10</v>
      </c>
    </row>
    <row r="1074" spans="1:8" x14ac:dyDescent="0.25">
      <c r="A1074" s="31">
        <v>44602</v>
      </c>
      <c r="B1074" s="37" t="s">
        <v>4783</v>
      </c>
      <c r="C1074" s="38" t="s">
        <v>97</v>
      </c>
      <c r="D1074" s="34">
        <v>4620.8999999999996</v>
      </c>
      <c r="E1074" s="35">
        <v>44603</v>
      </c>
      <c r="F1074" s="34">
        <v>4620.8999999999996</v>
      </c>
      <c r="G1074" s="36">
        <f>Tabla13[[#This Row],[Importe]]-Tabla13[[#This Row],[Pagado]]</f>
        <v>0</v>
      </c>
      <c r="H1074" s="38" t="s">
        <v>10</v>
      </c>
    </row>
    <row r="1075" spans="1:8" x14ac:dyDescent="0.25">
      <c r="A1075" s="31">
        <v>44602</v>
      </c>
      <c r="B1075" s="37" t="s">
        <v>4784</v>
      </c>
      <c r="C1075" s="38" t="s">
        <v>918</v>
      </c>
      <c r="D1075" s="34">
        <v>891</v>
      </c>
      <c r="E1075" s="35">
        <v>44602</v>
      </c>
      <c r="F1075" s="34">
        <v>891</v>
      </c>
      <c r="G1075" s="36">
        <f>Tabla13[[#This Row],[Importe]]-Tabla13[[#This Row],[Pagado]]</f>
        <v>0</v>
      </c>
      <c r="H1075" s="38" t="s">
        <v>10</v>
      </c>
    </row>
    <row r="1076" spans="1:8" x14ac:dyDescent="0.25">
      <c r="A1076" s="31">
        <v>44602</v>
      </c>
      <c r="B1076" s="37" t="s">
        <v>4785</v>
      </c>
      <c r="C1076" s="38" t="s">
        <v>348</v>
      </c>
      <c r="D1076" s="34">
        <v>3360.4</v>
      </c>
      <c r="E1076" s="35">
        <v>44603</v>
      </c>
      <c r="F1076" s="34">
        <v>3360.4</v>
      </c>
      <c r="G1076" s="36">
        <f>Tabla13[[#This Row],[Importe]]-Tabla13[[#This Row],[Pagado]]</f>
        <v>0</v>
      </c>
      <c r="H1076" s="38" t="s">
        <v>10</v>
      </c>
    </row>
    <row r="1077" spans="1:8" x14ac:dyDescent="0.25">
      <c r="A1077" s="31">
        <v>44602</v>
      </c>
      <c r="B1077" s="37" t="s">
        <v>4786</v>
      </c>
      <c r="C1077" s="38" t="s">
        <v>114</v>
      </c>
      <c r="D1077" s="34">
        <v>769.5</v>
      </c>
      <c r="E1077" s="35">
        <v>44602</v>
      </c>
      <c r="F1077" s="34">
        <v>769.5</v>
      </c>
      <c r="G1077" s="36">
        <f>Tabla13[[#This Row],[Importe]]-Tabla13[[#This Row],[Pagado]]</f>
        <v>0</v>
      </c>
      <c r="H1077" s="38" t="s">
        <v>10</v>
      </c>
    </row>
    <row r="1078" spans="1:8" x14ac:dyDescent="0.25">
      <c r="A1078" s="31">
        <v>44602</v>
      </c>
      <c r="B1078" s="37" t="s">
        <v>4787</v>
      </c>
      <c r="C1078" s="38" t="s">
        <v>114</v>
      </c>
      <c r="D1078" s="34">
        <v>4640.3</v>
      </c>
      <c r="E1078" s="35">
        <v>44603</v>
      </c>
      <c r="F1078" s="34">
        <v>4640.3</v>
      </c>
      <c r="G1078" s="36">
        <f>Tabla13[[#This Row],[Importe]]-Tabla13[[#This Row],[Pagado]]</f>
        <v>0</v>
      </c>
      <c r="H1078" s="38" t="s">
        <v>10</v>
      </c>
    </row>
    <row r="1079" spans="1:8" x14ac:dyDescent="0.25">
      <c r="A1079" s="31">
        <v>44602</v>
      </c>
      <c r="B1079" s="37" t="s">
        <v>4788</v>
      </c>
      <c r="C1079" s="38" t="s">
        <v>83</v>
      </c>
      <c r="D1079" s="34">
        <v>4241.3999999999996</v>
      </c>
      <c r="E1079" s="35">
        <v>44602</v>
      </c>
      <c r="F1079" s="34">
        <v>4241.3999999999996</v>
      </c>
      <c r="G1079" s="36">
        <f>Tabla13[[#This Row],[Importe]]-Tabla13[[#This Row],[Pagado]]</f>
        <v>0</v>
      </c>
      <c r="H1079" s="38" t="s">
        <v>10</v>
      </c>
    </row>
    <row r="1080" spans="1:8" x14ac:dyDescent="0.25">
      <c r="A1080" s="31">
        <v>44602</v>
      </c>
      <c r="B1080" s="37" t="s">
        <v>4789</v>
      </c>
      <c r="C1080" s="38" t="s">
        <v>87</v>
      </c>
      <c r="D1080" s="34">
        <v>1381.2</v>
      </c>
      <c r="E1080" s="35">
        <v>44602</v>
      </c>
      <c r="F1080" s="34">
        <v>1381.2</v>
      </c>
      <c r="G1080" s="36">
        <f>Tabla13[[#This Row],[Importe]]-Tabla13[[#This Row],[Pagado]]</f>
        <v>0</v>
      </c>
      <c r="H1080" s="38" t="s">
        <v>10</v>
      </c>
    </row>
    <row r="1081" spans="1:8" x14ac:dyDescent="0.25">
      <c r="A1081" s="31">
        <v>44602</v>
      </c>
      <c r="B1081" s="37" t="s">
        <v>4790</v>
      </c>
      <c r="C1081" s="38" t="s">
        <v>326</v>
      </c>
      <c r="D1081" s="34">
        <v>4135.6000000000004</v>
      </c>
      <c r="E1081" s="35">
        <v>44604</v>
      </c>
      <c r="F1081" s="34">
        <v>4135.6000000000004</v>
      </c>
      <c r="G1081" s="36">
        <f>Tabla13[[#This Row],[Importe]]-Tabla13[[#This Row],[Pagado]]</f>
        <v>0</v>
      </c>
      <c r="H1081" s="38" t="s">
        <v>10</v>
      </c>
    </row>
    <row r="1082" spans="1:8" x14ac:dyDescent="0.25">
      <c r="A1082" s="31">
        <v>44602</v>
      </c>
      <c r="B1082" s="37" t="s">
        <v>4791</v>
      </c>
      <c r="C1082" s="38" t="s">
        <v>131</v>
      </c>
      <c r="D1082" s="34">
        <v>13158</v>
      </c>
      <c r="E1082" s="35">
        <v>44602</v>
      </c>
      <c r="F1082" s="34">
        <v>13158</v>
      </c>
      <c r="G1082" s="36">
        <f>Tabla13[[#This Row],[Importe]]-Tabla13[[#This Row],[Pagado]]</f>
        <v>0</v>
      </c>
      <c r="H1082" s="38" t="s">
        <v>10</v>
      </c>
    </row>
    <row r="1083" spans="1:8" x14ac:dyDescent="0.25">
      <c r="A1083" s="31">
        <v>44602</v>
      </c>
      <c r="B1083" s="37" t="s">
        <v>4792</v>
      </c>
      <c r="C1083" s="38" t="s">
        <v>109</v>
      </c>
      <c r="D1083" s="34">
        <v>4361</v>
      </c>
      <c r="E1083" s="35">
        <v>44603</v>
      </c>
      <c r="F1083" s="34">
        <v>4361</v>
      </c>
      <c r="G1083" s="36">
        <f>Tabla13[[#This Row],[Importe]]-Tabla13[[#This Row],[Pagado]]</f>
        <v>0</v>
      </c>
      <c r="H1083" s="38" t="s">
        <v>10</v>
      </c>
    </row>
    <row r="1084" spans="1:8" x14ac:dyDescent="0.25">
      <c r="A1084" s="31">
        <v>44602</v>
      </c>
      <c r="B1084" s="37" t="s">
        <v>4793</v>
      </c>
      <c r="C1084" s="38" t="s">
        <v>120</v>
      </c>
      <c r="D1084" s="34">
        <v>3779.1</v>
      </c>
      <c r="E1084" s="35">
        <v>44604</v>
      </c>
      <c r="F1084" s="34">
        <v>3779.1</v>
      </c>
      <c r="G1084" s="36">
        <f>Tabla13[[#This Row],[Importe]]-Tabla13[[#This Row],[Pagado]]</f>
        <v>0</v>
      </c>
      <c r="H1084" s="38" t="s">
        <v>10</v>
      </c>
    </row>
    <row r="1085" spans="1:8" x14ac:dyDescent="0.25">
      <c r="A1085" s="31">
        <v>44602</v>
      </c>
      <c r="B1085" s="37" t="s">
        <v>4794</v>
      </c>
      <c r="C1085" s="38" t="s">
        <v>53</v>
      </c>
      <c r="D1085" s="34">
        <v>1287.8</v>
      </c>
      <c r="E1085" s="35">
        <v>44602</v>
      </c>
      <c r="F1085" s="34">
        <v>1287.8</v>
      </c>
      <c r="G1085" s="36">
        <f>Tabla13[[#This Row],[Importe]]-Tabla13[[#This Row],[Pagado]]</f>
        <v>0</v>
      </c>
      <c r="H1085" s="38" t="s">
        <v>10</v>
      </c>
    </row>
    <row r="1086" spans="1:8" x14ac:dyDescent="0.25">
      <c r="A1086" s="31">
        <v>44602</v>
      </c>
      <c r="B1086" s="37" t="s">
        <v>4795</v>
      </c>
      <c r="C1086" s="38" t="s">
        <v>230</v>
      </c>
      <c r="D1086" s="34">
        <v>2915.8</v>
      </c>
      <c r="E1086" s="35">
        <v>44602</v>
      </c>
      <c r="F1086" s="34">
        <v>2915.8</v>
      </c>
      <c r="G1086" s="36">
        <f>Tabla13[[#This Row],[Importe]]-Tabla13[[#This Row],[Pagado]]</f>
        <v>0</v>
      </c>
      <c r="H1086" s="38" t="s">
        <v>10</v>
      </c>
    </row>
    <row r="1087" spans="1:8" x14ac:dyDescent="0.25">
      <c r="A1087" s="31">
        <v>44602</v>
      </c>
      <c r="B1087" s="37" t="s">
        <v>4796</v>
      </c>
      <c r="C1087" s="38" t="s">
        <v>27</v>
      </c>
      <c r="D1087" s="34">
        <v>2704.3</v>
      </c>
      <c r="E1087" s="35">
        <v>44602</v>
      </c>
      <c r="F1087" s="34">
        <v>2704.3</v>
      </c>
      <c r="G1087" s="36">
        <f>Tabla13[[#This Row],[Importe]]-Tabla13[[#This Row],[Pagado]]</f>
        <v>0</v>
      </c>
      <c r="H1087" s="38" t="s">
        <v>10</v>
      </c>
    </row>
    <row r="1088" spans="1:8" x14ac:dyDescent="0.25">
      <c r="A1088" s="31">
        <v>44602</v>
      </c>
      <c r="B1088" s="37" t="s">
        <v>4797</v>
      </c>
      <c r="C1088" s="38" t="s">
        <v>161</v>
      </c>
      <c r="D1088" s="34">
        <v>4324.7</v>
      </c>
      <c r="E1088" s="35">
        <v>44602</v>
      </c>
      <c r="F1088" s="34">
        <v>4324.7</v>
      </c>
      <c r="G1088" s="36">
        <f>Tabla13[[#This Row],[Importe]]-Tabla13[[#This Row],[Pagado]]</f>
        <v>0</v>
      </c>
      <c r="H1088" s="38" t="s">
        <v>10</v>
      </c>
    </row>
    <row r="1089" spans="1:8" x14ac:dyDescent="0.25">
      <c r="A1089" s="31">
        <v>44602</v>
      </c>
      <c r="B1089" s="37" t="s">
        <v>4798</v>
      </c>
      <c r="C1089" s="38" t="s">
        <v>75</v>
      </c>
      <c r="D1089" s="34">
        <v>4700</v>
      </c>
      <c r="E1089" s="35">
        <v>44602</v>
      </c>
      <c r="F1089" s="34">
        <v>4700</v>
      </c>
      <c r="G1089" s="36">
        <f>Tabla13[[#This Row],[Importe]]-Tabla13[[#This Row],[Pagado]]</f>
        <v>0</v>
      </c>
      <c r="H1089" s="38" t="s">
        <v>10</v>
      </c>
    </row>
    <row r="1090" spans="1:8" x14ac:dyDescent="0.25">
      <c r="A1090" s="31">
        <v>44602</v>
      </c>
      <c r="B1090" s="37" t="s">
        <v>4799</v>
      </c>
      <c r="C1090" s="38" t="s">
        <v>33</v>
      </c>
      <c r="D1090" s="34">
        <v>16535.900000000001</v>
      </c>
      <c r="E1090" s="35">
        <v>44602</v>
      </c>
      <c r="F1090" s="34">
        <v>16535.900000000001</v>
      </c>
      <c r="G1090" s="36">
        <f>Tabla13[[#This Row],[Importe]]-Tabla13[[#This Row],[Pagado]]</f>
        <v>0</v>
      </c>
      <c r="H1090" s="38" t="s">
        <v>10</v>
      </c>
    </row>
    <row r="1091" spans="1:8" x14ac:dyDescent="0.25">
      <c r="A1091" s="31">
        <v>44602</v>
      </c>
      <c r="B1091" s="37" t="s">
        <v>4800</v>
      </c>
      <c r="C1091" s="38" t="s">
        <v>33</v>
      </c>
      <c r="D1091" s="34">
        <v>700</v>
      </c>
      <c r="E1091" s="35">
        <v>44602</v>
      </c>
      <c r="F1091" s="34">
        <v>700</v>
      </c>
      <c r="G1091" s="36">
        <f>Tabla13[[#This Row],[Importe]]-Tabla13[[#This Row],[Pagado]]</f>
        <v>0</v>
      </c>
      <c r="H1091" s="38" t="s">
        <v>10</v>
      </c>
    </row>
    <row r="1092" spans="1:8" x14ac:dyDescent="0.25">
      <c r="A1092" s="31">
        <v>44602</v>
      </c>
      <c r="B1092" s="37" t="s">
        <v>4801</v>
      </c>
      <c r="C1092" s="38" t="s">
        <v>56</v>
      </c>
      <c r="D1092" s="34">
        <v>7827.2</v>
      </c>
      <c r="E1092" s="35">
        <v>44602</v>
      </c>
      <c r="F1092" s="34">
        <v>7827.2</v>
      </c>
      <c r="G1092" s="36">
        <f>Tabla13[[#This Row],[Importe]]-Tabla13[[#This Row],[Pagado]]</f>
        <v>0</v>
      </c>
      <c r="H1092" s="38" t="s">
        <v>10</v>
      </c>
    </row>
    <row r="1093" spans="1:8" x14ac:dyDescent="0.25">
      <c r="A1093" s="31">
        <v>44602</v>
      </c>
      <c r="B1093" s="37" t="s">
        <v>4802</v>
      </c>
      <c r="C1093" s="38" t="s">
        <v>647</v>
      </c>
      <c r="D1093" s="34">
        <v>2901.6</v>
      </c>
      <c r="E1093" s="35">
        <v>44602</v>
      </c>
      <c r="F1093" s="34">
        <v>2901.6</v>
      </c>
      <c r="G1093" s="36">
        <f>Tabla13[[#This Row],[Importe]]-Tabla13[[#This Row],[Pagado]]</f>
        <v>0</v>
      </c>
      <c r="H1093" s="38" t="s">
        <v>10</v>
      </c>
    </row>
    <row r="1094" spans="1:8" x14ac:dyDescent="0.25">
      <c r="A1094" s="31">
        <v>44602</v>
      </c>
      <c r="B1094" s="37" t="s">
        <v>4803</v>
      </c>
      <c r="C1094" s="38" t="s">
        <v>79</v>
      </c>
      <c r="D1094" s="34">
        <v>4935</v>
      </c>
      <c r="E1094" s="35">
        <v>44603</v>
      </c>
      <c r="F1094" s="34">
        <v>4935</v>
      </c>
      <c r="G1094" s="36">
        <f>Tabla13[[#This Row],[Importe]]-Tabla13[[#This Row],[Pagado]]</f>
        <v>0</v>
      </c>
      <c r="H1094" s="38" t="s">
        <v>10</v>
      </c>
    </row>
    <row r="1095" spans="1:8" x14ac:dyDescent="0.25">
      <c r="A1095" s="31">
        <v>44602</v>
      </c>
      <c r="B1095" s="37" t="s">
        <v>4804</v>
      </c>
      <c r="C1095" s="38" t="s">
        <v>371</v>
      </c>
      <c r="D1095" s="34">
        <v>3797.5</v>
      </c>
      <c r="E1095" s="35">
        <v>44603</v>
      </c>
      <c r="F1095" s="34">
        <v>3797.5</v>
      </c>
      <c r="G1095" s="36">
        <f>Tabla13[[#This Row],[Importe]]-Tabla13[[#This Row],[Pagado]]</f>
        <v>0</v>
      </c>
      <c r="H1095" s="38" t="s">
        <v>10</v>
      </c>
    </row>
    <row r="1096" spans="1:8" x14ac:dyDescent="0.25">
      <c r="A1096" s="31">
        <v>44602</v>
      </c>
      <c r="B1096" s="37" t="s">
        <v>4805</v>
      </c>
      <c r="C1096" s="38" t="s">
        <v>373</v>
      </c>
      <c r="D1096" s="34">
        <v>1329.8</v>
      </c>
      <c r="E1096" s="35">
        <v>44602</v>
      </c>
      <c r="F1096" s="34">
        <v>1329.8</v>
      </c>
      <c r="G1096" s="36">
        <f>Tabla13[[#This Row],[Importe]]-Tabla13[[#This Row],[Pagado]]</f>
        <v>0</v>
      </c>
      <c r="H1096" s="38" t="s">
        <v>10</v>
      </c>
    </row>
    <row r="1097" spans="1:8" x14ac:dyDescent="0.25">
      <c r="A1097" s="31">
        <v>44602</v>
      </c>
      <c r="B1097" s="37" t="s">
        <v>4806</v>
      </c>
      <c r="C1097" s="38" t="s">
        <v>29</v>
      </c>
      <c r="D1097" s="34">
        <v>4671.8</v>
      </c>
      <c r="E1097" s="35">
        <v>44602</v>
      </c>
      <c r="F1097" s="34">
        <v>4671.8</v>
      </c>
      <c r="G1097" s="36">
        <f>Tabla13[[#This Row],[Importe]]-Tabla13[[#This Row],[Pagado]]</f>
        <v>0</v>
      </c>
      <c r="H1097" s="38" t="s">
        <v>10</v>
      </c>
    </row>
    <row r="1098" spans="1:8" x14ac:dyDescent="0.25">
      <c r="A1098" s="31">
        <v>44602</v>
      </c>
      <c r="B1098" s="37" t="s">
        <v>4807</v>
      </c>
      <c r="C1098" s="38" t="s">
        <v>49</v>
      </c>
      <c r="D1098" s="34">
        <v>2821.2</v>
      </c>
      <c r="E1098" s="35">
        <v>44602</v>
      </c>
      <c r="F1098" s="34">
        <v>2821.2</v>
      </c>
      <c r="G1098" s="36">
        <f>Tabla13[[#This Row],[Importe]]-Tabla13[[#This Row],[Pagado]]</f>
        <v>0</v>
      </c>
      <c r="H1098" s="38" t="s">
        <v>10</v>
      </c>
    </row>
    <row r="1099" spans="1:8" x14ac:dyDescent="0.25">
      <c r="A1099" s="31">
        <v>44602</v>
      </c>
      <c r="B1099" s="37" t="s">
        <v>4808</v>
      </c>
      <c r="C1099" s="38" t="s">
        <v>228</v>
      </c>
      <c r="D1099" s="34">
        <v>4822.3</v>
      </c>
      <c r="E1099" s="35">
        <v>44602</v>
      </c>
      <c r="F1099" s="34">
        <v>4822.3</v>
      </c>
      <c r="G1099" s="36">
        <f>Tabla13[[#This Row],[Importe]]-Tabla13[[#This Row],[Pagado]]</f>
        <v>0</v>
      </c>
      <c r="H1099" s="38" t="s">
        <v>10</v>
      </c>
    </row>
    <row r="1100" spans="1:8" x14ac:dyDescent="0.25">
      <c r="A1100" s="31">
        <v>44602</v>
      </c>
      <c r="B1100" s="37" t="s">
        <v>4809</v>
      </c>
      <c r="C1100" s="38" t="s">
        <v>2114</v>
      </c>
      <c r="D1100" s="34">
        <v>1455.4</v>
      </c>
      <c r="E1100" s="35">
        <v>44602</v>
      </c>
      <c r="F1100" s="34">
        <v>1455.4</v>
      </c>
      <c r="G1100" s="36">
        <f>Tabla13[[#This Row],[Importe]]-Tabla13[[#This Row],[Pagado]]</f>
        <v>0</v>
      </c>
      <c r="H1100" s="38" t="s">
        <v>10</v>
      </c>
    </row>
    <row r="1101" spans="1:8" x14ac:dyDescent="0.25">
      <c r="A1101" s="31">
        <v>44602</v>
      </c>
      <c r="B1101" s="37" t="s">
        <v>4810</v>
      </c>
      <c r="C1101" s="38" t="s">
        <v>382</v>
      </c>
      <c r="D1101" s="34">
        <v>6087.8</v>
      </c>
      <c r="E1101" s="35">
        <v>44602</v>
      </c>
      <c r="F1101" s="34">
        <v>6087.8</v>
      </c>
      <c r="G1101" s="36">
        <f>Tabla13[[#This Row],[Importe]]-Tabla13[[#This Row],[Pagado]]</f>
        <v>0</v>
      </c>
      <c r="H1101" s="38" t="s">
        <v>10</v>
      </c>
    </row>
    <row r="1102" spans="1:8" x14ac:dyDescent="0.25">
      <c r="A1102" s="31">
        <v>44602</v>
      </c>
      <c r="B1102" s="37" t="s">
        <v>4811</v>
      </c>
      <c r="C1102" s="38" t="s">
        <v>45</v>
      </c>
      <c r="D1102" s="34">
        <v>11960.2</v>
      </c>
      <c r="E1102" s="35">
        <v>44602</v>
      </c>
      <c r="F1102" s="34">
        <v>11960.2</v>
      </c>
      <c r="G1102" s="36">
        <f>Tabla13[[#This Row],[Importe]]-Tabla13[[#This Row],[Pagado]]</f>
        <v>0</v>
      </c>
      <c r="H1102" s="38" t="s">
        <v>10</v>
      </c>
    </row>
    <row r="1103" spans="1:8" x14ac:dyDescent="0.25">
      <c r="A1103" s="31">
        <v>44602</v>
      </c>
      <c r="B1103" s="37" t="s">
        <v>4812</v>
      </c>
      <c r="C1103" s="38" t="s">
        <v>275</v>
      </c>
      <c r="D1103" s="34">
        <v>62721.65</v>
      </c>
      <c r="E1103" s="35">
        <v>44670</v>
      </c>
      <c r="F1103" s="34">
        <v>62721.65</v>
      </c>
      <c r="G1103" s="36">
        <f>Tabla13[[#This Row],[Importe]]-Tabla13[[#This Row],[Pagado]]</f>
        <v>0</v>
      </c>
      <c r="H1103" s="38" t="s">
        <v>10</v>
      </c>
    </row>
    <row r="1104" spans="1:8" x14ac:dyDescent="0.25">
      <c r="A1104" s="31">
        <v>44602</v>
      </c>
      <c r="B1104" s="37" t="s">
        <v>4815</v>
      </c>
      <c r="C1104" s="38" t="s">
        <v>24</v>
      </c>
      <c r="D1104" s="34">
        <v>3534.9</v>
      </c>
      <c r="E1104" s="35">
        <v>44602</v>
      </c>
      <c r="F1104" s="34">
        <v>3534.9</v>
      </c>
      <c r="G1104" s="36">
        <f>Tabla13[[#This Row],[Importe]]-Tabla13[[#This Row],[Pagado]]</f>
        <v>0</v>
      </c>
      <c r="H1104" s="38" t="s">
        <v>10</v>
      </c>
    </row>
    <row r="1105" spans="1:19" x14ac:dyDescent="0.25">
      <c r="A1105" s="31">
        <v>44602</v>
      </c>
      <c r="B1105" s="37" t="s">
        <v>4816</v>
      </c>
      <c r="C1105" s="38" t="s">
        <v>214</v>
      </c>
      <c r="D1105" s="34">
        <v>902.4</v>
      </c>
      <c r="E1105" s="35">
        <v>44602</v>
      </c>
      <c r="F1105" s="34">
        <v>902.4</v>
      </c>
      <c r="G1105" s="36">
        <f>Tabla13[[#This Row],[Importe]]-Tabla13[[#This Row],[Pagado]]</f>
        <v>0</v>
      </c>
      <c r="H1105" s="38" t="s">
        <v>10</v>
      </c>
    </row>
    <row r="1106" spans="1:19" x14ac:dyDescent="0.25">
      <c r="A1106" s="31">
        <v>44602</v>
      </c>
      <c r="B1106" s="37" t="s">
        <v>4817</v>
      </c>
      <c r="C1106" s="38" t="s">
        <v>37</v>
      </c>
      <c r="D1106" s="34">
        <v>2925.6</v>
      </c>
      <c r="E1106" s="35">
        <v>44602</v>
      </c>
      <c r="F1106" s="34">
        <v>2925.6</v>
      </c>
      <c r="G1106" s="36">
        <f>Tabla13[[#This Row],[Importe]]-Tabla13[[#This Row],[Pagado]]</f>
        <v>0</v>
      </c>
      <c r="H1106" s="38" t="s">
        <v>10</v>
      </c>
    </row>
    <row r="1107" spans="1:19" x14ac:dyDescent="0.25">
      <c r="A1107" s="31">
        <v>44602</v>
      </c>
      <c r="B1107" s="37" t="s">
        <v>4818</v>
      </c>
      <c r="C1107" s="38" t="s">
        <v>562</v>
      </c>
      <c r="D1107" s="34">
        <v>3697.4</v>
      </c>
      <c r="E1107" s="35">
        <v>44602</v>
      </c>
      <c r="F1107" s="34">
        <v>3697.4</v>
      </c>
      <c r="G1107" s="36">
        <f>Tabla13[[#This Row],[Importe]]-Tabla13[[#This Row],[Pagado]]</f>
        <v>0</v>
      </c>
      <c r="H1107" s="38" t="s">
        <v>10</v>
      </c>
    </row>
    <row r="1108" spans="1:19" x14ac:dyDescent="0.25">
      <c r="A1108" s="31">
        <v>44602</v>
      </c>
      <c r="B1108" s="37" t="s">
        <v>4819</v>
      </c>
      <c r="C1108" s="38" t="s">
        <v>715</v>
      </c>
      <c r="D1108" s="34">
        <v>2310</v>
      </c>
      <c r="E1108" s="35">
        <v>44602</v>
      </c>
      <c r="F1108" s="34">
        <v>2310</v>
      </c>
      <c r="G1108" s="36">
        <f>Tabla13[[#This Row],[Importe]]-Tabla13[[#This Row],[Pagado]]</f>
        <v>0</v>
      </c>
      <c r="H1108" s="38" t="s">
        <v>10</v>
      </c>
    </row>
    <row r="1109" spans="1:19" x14ac:dyDescent="0.25">
      <c r="A1109" s="31">
        <v>44602</v>
      </c>
      <c r="B1109" s="37" t="s">
        <v>4820</v>
      </c>
      <c r="C1109" s="38" t="s">
        <v>319</v>
      </c>
      <c r="D1109" s="34">
        <v>4295.2</v>
      </c>
      <c r="E1109" s="35">
        <v>44602</v>
      </c>
      <c r="F1109" s="34">
        <v>4295.2</v>
      </c>
      <c r="G1109" s="36">
        <f>Tabla13[[#This Row],[Importe]]-Tabla13[[#This Row],[Pagado]]</f>
        <v>0</v>
      </c>
      <c r="H1109" s="38" t="s">
        <v>10</v>
      </c>
    </row>
    <row r="1110" spans="1:19" x14ac:dyDescent="0.25">
      <c r="A1110" s="31">
        <v>44602</v>
      </c>
      <c r="B1110" s="37" t="s">
        <v>4821</v>
      </c>
      <c r="C1110" s="38" t="s">
        <v>157</v>
      </c>
      <c r="D1110" s="34">
        <v>3635.2</v>
      </c>
      <c r="E1110" s="35">
        <v>44602</v>
      </c>
      <c r="F1110" s="34">
        <v>3635.2</v>
      </c>
      <c r="G1110" s="36">
        <f>Tabla13[[#This Row],[Importe]]-Tabla13[[#This Row],[Pagado]]</f>
        <v>0</v>
      </c>
      <c r="H1110" s="38" t="s">
        <v>10</v>
      </c>
      <c r="N1110" s="73"/>
      <c r="O1110" s="74"/>
      <c r="P1110" s="75" t="s">
        <v>10569</v>
      </c>
      <c r="Q1110" s="81"/>
      <c r="R1110" s="75"/>
      <c r="S1110" s="79"/>
    </row>
    <row r="1111" spans="1:19" x14ac:dyDescent="0.25">
      <c r="A1111" s="67">
        <v>44602</v>
      </c>
      <c r="B1111" s="68" t="s">
        <v>4822</v>
      </c>
      <c r="C1111" s="69" t="s">
        <v>107</v>
      </c>
      <c r="D1111" s="70">
        <v>8476.2000000000007</v>
      </c>
      <c r="E1111" s="71">
        <v>44714</v>
      </c>
      <c r="F1111" s="70">
        <v>8476.2000000000007</v>
      </c>
      <c r="G1111" s="72">
        <f>Tabla13[[#This Row],[Importe]]-Tabla13[[#This Row],[Pagado]]</f>
        <v>0</v>
      </c>
      <c r="H1111" s="69" t="s">
        <v>17776</v>
      </c>
      <c r="I1111" s="69" t="s">
        <v>10567</v>
      </c>
      <c r="N1111" s="76">
        <v>44602</v>
      </c>
      <c r="O1111" s="77" t="s">
        <v>4822</v>
      </c>
      <c r="P1111" s="78" t="s">
        <v>107</v>
      </c>
      <c r="Q1111" s="82">
        <v>8476.2000000000007</v>
      </c>
      <c r="R1111" s="78" t="s">
        <v>4814</v>
      </c>
      <c r="S1111" s="80" t="s">
        <v>10567</v>
      </c>
    </row>
    <row r="1112" spans="1:19" x14ac:dyDescent="0.25">
      <c r="A1112" s="67">
        <v>44602</v>
      </c>
      <c r="B1112" s="68" t="s">
        <v>4823</v>
      </c>
      <c r="C1112" s="69" t="s">
        <v>140</v>
      </c>
      <c r="D1112" s="70">
        <v>1236.0999999999999</v>
      </c>
      <c r="E1112" s="71">
        <v>44714</v>
      </c>
      <c r="F1112" s="70">
        <v>1236.0999999999999</v>
      </c>
      <c r="G1112" s="72">
        <f>Tabla13[[#This Row],[Importe]]-Tabla13[[#This Row],[Pagado]]</f>
        <v>0</v>
      </c>
      <c r="H1112" s="69" t="s">
        <v>17776</v>
      </c>
      <c r="I1112" s="69" t="s">
        <v>10567</v>
      </c>
      <c r="N1112" s="76">
        <v>44602</v>
      </c>
      <c r="O1112" s="77" t="s">
        <v>4823</v>
      </c>
      <c r="P1112" s="78" t="s">
        <v>140</v>
      </c>
      <c r="Q1112" s="82">
        <v>1236.0999999999999</v>
      </c>
      <c r="R1112" s="78" t="s">
        <v>4814</v>
      </c>
      <c r="S1112" s="80" t="s">
        <v>10567</v>
      </c>
    </row>
    <row r="1113" spans="1:19" x14ac:dyDescent="0.25">
      <c r="A1113" s="67">
        <v>44602</v>
      </c>
      <c r="B1113" s="68" t="s">
        <v>4824</v>
      </c>
      <c r="C1113" s="69" t="s">
        <v>357</v>
      </c>
      <c r="D1113" s="70">
        <v>747.3</v>
      </c>
      <c r="E1113" s="71">
        <v>44714</v>
      </c>
      <c r="F1113" s="70">
        <v>747.3</v>
      </c>
      <c r="G1113" s="72">
        <f>Tabla13[[#This Row],[Importe]]-Tabla13[[#This Row],[Pagado]]</f>
        <v>0</v>
      </c>
      <c r="H1113" s="69" t="s">
        <v>17776</v>
      </c>
      <c r="I1113" s="69" t="s">
        <v>10567</v>
      </c>
      <c r="N1113" s="76">
        <v>44602</v>
      </c>
      <c r="O1113" s="77" t="s">
        <v>4824</v>
      </c>
      <c r="P1113" s="78" t="s">
        <v>357</v>
      </c>
      <c r="Q1113" s="82">
        <v>747.3</v>
      </c>
      <c r="R1113" s="78" t="s">
        <v>4814</v>
      </c>
      <c r="S1113" s="80" t="s">
        <v>10567</v>
      </c>
    </row>
    <row r="1114" spans="1:19" x14ac:dyDescent="0.25">
      <c r="A1114" s="67">
        <v>44602</v>
      </c>
      <c r="B1114" s="68" t="s">
        <v>4825</v>
      </c>
      <c r="C1114" s="69" t="s">
        <v>129</v>
      </c>
      <c r="D1114" s="70">
        <v>1230.4000000000001</v>
      </c>
      <c r="E1114" s="71">
        <v>44714</v>
      </c>
      <c r="F1114" s="70">
        <v>1230.4000000000001</v>
      </c>
      <c r="G1114" s="72">
        <f>Tabla13[[#This Row],[Importe]]-Tabla13[[#This Row],[Pagado]]</f>
        <v>0</v>
      </c>
      <c r="H1114" s="69" t="s">
        <v>17776</v>
      </c>
      <c r="I1114" s="69" t="s">
        <v>10567</v>
      </c>
      <c r="N1114" s="76">
        <v>44602</v>
      </c>
      <c r="O1114" s="77" t="s">
        <v>4825</v>
      </c>
      <c r="P1114" s="78" t="s">
        <v>129</v>
      </c>
      <c r="Q1114" s="82">
        <v>1230.4000000000001</v>
      </c>
      <c r="R1114" s="78" t="s">
        <v>4814</v>
      </c>
      <c r="S1114" s="80" t="s">
        <v>10567</v>
      </c>
    </row>
    <row r="1115" spans="1:19" x14ac:dyDescent="0.25">
      <c r="A1115" s="67">
        <v>44602</v>
      </c>
      <c r="B1115" s="68" t="s">
        <v>4826</v>
      </c>
      <c r="C1115" s="69" t="s">
        <v>135</v>
      </c>
      <c r="D1115" s="70">
        <v>5050.3999999999996</v>
      </c>
      <c r="E1115" s="71">
        <v>44714</v>
      </c>
      <c r="F1115" s="70">
        <v>5050.3999999999996</v>
      </c>
      <c r="G1115" s="72">
        <f>Tabla13[[#This Row],[Importe]]-Tabla13[[#This Row],[Pagado]]</f>
        <v>0</v>
      </c>
      <c r="H1115" s="69" t="s">
        <v>17776</v>
      </c>
      <c r="I1115" s="69" t="s">
        <v>10567</v>
      </c>
      <c r="N1115" s="76">
        <v>44602</v>
      </c>
      <c r="O1115" s="77" t="s">
        <v>4826</v>
      </c>
      <c r="P1115" s="78" t="s">
        <v>135</v>
      </c>
      <c r="Q1115" s="82">
        <v>5050.3999999999996</v>
      </c>
      <c r="R1115" s="78" t="s">
        <v>4814</v>
      </c>
      <c r="S1115" s="80" t="s">
        <v>10567</v>
      </c>
    </row>
    <row r="1116" spans="1:19" x14ac:dyDescent="0.25">
      <c r="A1116" s="67">
        <v>44602</v>
      </c>
      <c r="B1116" s="68" t="s">
        <v>4827</v>
      </c>
      <c r="C1116" s="69" t="s">
        <v>146</v>
      </c>
      <c r="D1116" s="70">
        <v>1830.8</v>
      </c>
      <c r="E1116" s="71">
        <v>44714</v>
      </c>
      <c r="F1116" s="70">
        <v>1830.8</v>
      </c>
      <c r="G1116" s="72">
        <f>Tabla13[[#This Row],[Importe]]-Tabla13[[#This Row],[Pagado]]</f>
        <v>0</v>
      </c>
      <c r="H1116" s="69" t="s">
        <v>17776</v>
      </c>
      <c r="I1116" s="69" t="s">
        <v>10567</v>
      </c>
      <c r="N1116" s="76">
        <v>44602</v>
      </c>
      <c r="O1116" s="77" t="s">
        <v>4827</v>
      </c>
      <c r="P1116" s="78" t="s">
        <v>146</v>
      </c>
      <c r="Q1116" s="82">
        <v>1830.8</v>
      </c>
      <c r="R1116" s="78" t="s">
        <v>4814</v>
      </c>
      <c r="S1116" s="80" t="s">
        <v>10567</v>
      </c>
    </row>
    <row r="1117" spans="1:19" ht="16.5" thickBot="1" x14ac:dyDescent="0.3">
      <c r="A1117" s="31">
        <v>44602</v>
      </c>
      <c r="B1117" s="37" t="s">
        <v>4828</v>
      </c>
      <c r="C1117" s="38" t="s">
        <v>222</v>
      </c>
      <c r="D1117" s="34">
        <v>8419.2000000000007</v>
      </c>
      <c r="E1117" s="35">
        <v>44602</v>
      </c>
      <c r="F1117" s="34">
        <v>8419.2000000000007</v>
      </c>
      <c r="G1117" s="36">
        <f>Tabla13[[#This Row],[Importe]]-Tabla13[[#This Row],[Pagado]]</f>
        <v>0</v>
      </c>
      <c r="H1117" s="38" t="s">
        <v>10</v>
      </c>
      <c r="Q1117" s="34">
        <v>0</v>
      </c>
    </row>
    <row r="1118" spans="1:19" x14ac:dyDescent="0.25">
      <c r="A1118" s="31">
        <v>44602</v>
      </c>
      <c r="B1118" s="37" t="s">
        <v>4829</v>
      </c>
      <c r="C1118" s="38" t="s">
        <v>518</v>
      </c>
      <c r="D1118" s="34">
        <v>1335.7</v>
      </c>
      <c r="E1118" s="35">
        <v>44602</v>
      </c>
      <c r="F1118" s="34">
        <v>1335.7</v>
      </c>
      <c r="G1118" s="36">
        <f>Tabla13[[#This Row],[Importe]]-Tabla13[[#This Row],[Pagado]]</f>
        <v>0</v>
      </c>
      <c r="H1118" s="38" t="s">
        <v>10</v>
      </c>
      <c r="P1118" s="198" t="s">
        <v>10570</v>
      </c>
      <c r="Q1118" s="196">
        <f>SUM(Q1111:Q1117)</f>
        <v>18571.2</v>
      </c>
    </row>
    <row r="1119" spans="1:19" ht="16.5" thickBot="1" x14ac:dyDescent="0.3">
      <c r="A1119" s="31">
        <v>44602</v>
      </c>
      <c r="B1119" s="37" t="s">
        <v>4830</v>
      </c>
      <c r="C1119" s="38" t="s">
        <v>365</v>
      </c>
      <c r="D1119" s="34">
        <v>600.4</v>
      </c>
      <c r="E1119" s="35">
        <v>44602</v>
      </c>
      <c r="F1119" s="34">
        <v>600.4</v>
      </c>
      <c r="G1119" s="36">
        <f>Tabla13[[#This Row],[Importe]]-Tabla13[[#This Row],[Pagado]]</f>
        <v>0</v>
      </c>
      <c r="H1119" s="38" t="s">
        <v>10</v>
      </c>
      <c r="P1119" s="199"/>
      <c r="Q1119" s="197"/>
    </row>
    <row r="1120" spans="1:19" x14ac:dyDescent="0.25">
      <c r="A1120" s="31">
        <v>44602</v>
      </c>
      <c r="B1120" s="37" t="s">
        <v>4831</v>
      </c>
      <c r="C1120" s="38" t="s">
        <v>520</v>
      </c>
      <c r="D1120" s="34">
        <v>9498</v>
      </c>
      <c r="E1120" s="35">
        <v>44602</v>
      </c>
      <c r="F1120" s="34">
        <v>9498</v>
      </c>
      <c r="G1120" s="36">
        <f>Tabla13[[#This Row],[Importe]]-Tabla13[[#This Row],[Pagado]]</f>
        <v>0</v>
      </c>
      <c r="H1120" s="38" t="s">
        <v>10</v>
      </c>
    </row>
    <row r="1121" spans="1:8" x14ac:dyDescent="0.25">
      <c r="A1121" s="31">
        <v>44602</v>
      </c>
      <c r="B1121" s="37" t="s">
        <v>4832</v>
      </c>
      <c r="C1121" s="38" t="s">
        <v>159</v>
      </c>
      <c r="D1121" s="34">
        <v>1156.3</v>
      </c>
      <c r="E1121" s="35">
        <v>44602</v>
      </c>
      <c r="F1121" s="34">
        <v>1156.3</v>
      </c>
      <c r="G1121" s="36">
        <f>Tabla13[[#This Row],[Importe]]-Tabla13[[#This Row],[Pagado]]</f>
        <v>0</v>
      </c>
      <c r="H1121" s="38" t="s">
        <v>10</v>
      </c>
    </row>
    <row r="1122" spans="1:8" x14ac:dyDescent="0.25">
      <c r="A1122" s="31">
        <v>44602</v>
      </c>
      <c r="B1122" s="37" t="s">
        <v>4833</v>
      </c>
      <c r="C1122" s="38" t="s">
        <v>67</v>
      </c>
      <c r="D1122" s="34">
        <v>940</v>
      </c>
      <c r="E1122" s="35">
        <v>44602</v>
      </c>
      <c r="F1122" s="34">
        <v>940</v>
      </c>
      <c r="G1122" s="36">
        <f>Tabla13[[#This Row],[Importe]]-Tabla13[[#This Row],[Pagado]]</f>
        <v>0</v>
      </c>
      <c r="H1122" s="38" t="s">
        <v>10</v>
      </c>
    </row>
    <row r="1123" spans="1:8" x14ac:dyDescent="0.25">
      <c r="A1123" s="31">
        <v>44602</v>
      </c>
      <c r="B1123" s="37" t="s">
        <v>4834</v>
      </c>
      <c r="C1123" s="38" t="s">
        <v>179</v>
      </c>
      <c r="D1123" s="34">
        <v>1325.4</v>
      </c>
      <c r="E1123" s="35">
        <v>44602</v>
      </c>
      <c r="F1123" s="34">
        <v>1325.4</v>
      </c>
      <c r="G1123" s="36">
        <f>Tabla13[[#This Row],[Importe]]-Tabla13[[#This Row],[Pagado]]</f>
        <v>0</v>
      </c>
      <c r="H1123" s="38" t="s">
        <v>10</v>
      </c>
    </row>
    <row r="1124" spans="1:8" x14ac:dyDescent="0.25">
      <c r="A1124" s="31">
        <v>44602</v>
      </c>
      <c r="B1124" s="37" t="s">
        <v>4835</v>
      </c>
      <c r="C1124" s="38" t="s">
        <v>175</v>
      </c>
      <c r="D1124" s="34">
        <v>16282.7</v>
      </c>
      <c r="E1124" s="35">
        <v>44602</v>
      </c>
      <c r="F1124" s="34">
        <v>16282.7</v>
      </c>
      <c r="G1124" s="36">
        <f>Tabla13[[#This Row],[Importe]]-Tabla13[[#This Row],[Pagado]]</f>
        <v>0</v>
      </c>
      <c r="H1124" s="38" t="s">
        <v>10</v>
      </c>
    </row>
    <row r="1125" spans="1:8" x14ac:dyDescent="0.25">
      <c r="A1125" s="31">
        <v>44602</v>
      </c>
      <c r="B1125" s="37" t="s">
        <v>4836</v>
      </c>
      <c r="C1125" s="38" t="s">
        <v>618</v>
      </c>
      <c r="D1125" s="34">
        <v>8339.7999999999993</v>
      </c>
      <c r="E1125" s="35">
        <v>44602</v>
      </c>
      <c r="F1125" s="34">
        <v>8339.7999999999993</v>
      </c>
      <c r="G1125" s="36">
        <f>Tabla13[[#This Row],[Importe]]-Tabla13[[#This Row],[Pagado]]</f>
        <v>0</v>
      </c>
      <c r="H1125" s="38" t="s">
        <v>10</v>
      </c>
    </row>
    <row r="1126" spans="1:8" x14ac:dyDescent="0.25">
      <c r="A1126" s="31">
        <v>44602</v>
      </c>
      <c r="B1126" s="37" t="s">
        <v>4837</v>
      </c>
      <c r="C1126" s="38" t="s">
        <v>85</v>
      </c>
      <c r="D1126" s="34">
        <v>1096.9000000000001</v>
      </c>
      <c r="E1126" s="35">
        <v>44602</v>
      </c>
      <c r="F1126" s="34">
        <v>1096.9000000000001</v>
      </c>
      <c r="G1126" s="36">
        <f>Tabla13[[#This Row],[Importe]]-Tabla13[[#This Row],[Pagado]]</f>
        <v>0</v>
      </c>
      <c r="H1126" s="38" t="s">
        <v>10</v>
      </c>
    </row>
    <row r="1127" spans="1:8" x14ac:dyDescent="0.25">
      <c r="A1127" s="31">
        <v>44602</v>
      </c>
      <c r="B1127" s="37" t="s">
        <v>4838</v>
      </c>
      <c r="C1127" s="38" t="s">
        <v>359</v>
      </c>
      <c r="D1127" s="34">
        <v>2607</v>
      </c>
      <c r="E1127" s="35">
        <v>44602</v>
      </c>
      <c r="F1127" s="34">
        <v>2607</v>
      </c>
      <c r="G1127" s="36">
        <f>Tabla13[[#This Row],[Importe]]-Tabla13[[#This Row],[Pagado]]</f>
        <v>0</v>
      </c>
      <c r="H1127" s="38" t="s">
        <v>10</v>
      </c>
    </row>
    <row r="1128" spans="1:8" x14ac:dyDescent="0.25">
      <c r="A1128" s="31">
        <v>44602</v>
      </c>
      <c r="B1128" s="37" t="s">
        <v>4839</v>
      </c>
      <c r="C1128" s="38" t="s">
        <v>670</v>
      </c>
      <c r="D1128" s="34">
        <v>4064.1</v>
      </c>
      <c r="E1128" s="35">
        <v>44602</v>
      </c>
      <c r="F1128" s="34">
        <v>4064.1</v>
      </c>
      <c r="G1128" s="36">
        <f>Tabla13[[#This Row],[Importe]]-Tabla13[[#This Row],[Pagado]]</f>
        <v>0</v>
      </c>
      <c r="H1128" s="38" t="s">
        <v>10</v>
      </c>
    </row>
    <row r="1129" spans="1:8" x14ac:dyDescent="0.25">
      <c r="A1129" s="31">
        <v>44602</v>
      </c>
      <c r="B1129" s="37" t="s">
        <v>4840</v>
      </c>
      <c r="C1129" s="38" t="s">
        <v>368</v>
      </c>
      <c r="D1129" s="34">
        <v>1385.6</v>
      </c>
      <c r="E1129" s="35">
        <v>44602</v>
      </c>
      <c r="F1129" s="34">
        <v>1385.6</v>
      </c>
      <c r="G1129" s="36">
        <f>Tabla13[[#This Row],[Importe]]-Tabla13[[#This Row],[Pagado]]</f>
        <v>0</v>
      </c>
      <c r="H1129" s="38" t="s">
        <v>10</v>
      </c>
    </row>
    <row r="1130" spans="1:8" x14ac:dyDescent="0.25">
      <c r="A1130" s="31">
        <v>44602</v>
      </c>
      <c r="B1130" s="37" t="s">
        <v>4841</v>
      </c>
      <c r="C1130" s="38" t="s">
        <v>1481</v>
      </c>
      <c r="D1130" s="34">
        <v>2298.3000000000002</v>
      </c>
      <c r="E1130" s="35">
        <v>44602</v>
      </c>
      <c r="F1130" s="34">
        <v>2298.3000000000002</v>
      </c>
      <c r="G1130" s="36">
        <f>Tabla13[[#This Row],[Importe]]-Tabla13[[#This Row],[Pagado]]</f>
        <v>0</v>
      </c>
      <c r="H1130" s="38" t="s">
        <v>10</v>
      </c>
    </row>
    <row r="1131" spans="1:8" x14ac:dyDescent="0.25">
      <c r="A1131" s="31">
        <v>44602</v>
      </c>
      <c r="B1131" s="37" t="s">
        <v>4842</v>
      </c>
      <c r="C1131" s="38" t="s">
        <v>198</v>
      </c>
      <c r="D1131" s="34">
        <v>924.9</v>
      </c>
      <c r="E1131" s="35">
        <v>44602</v>
      </c>
      <c r="F1131" s="34">
        <v>924.9</v>
      </c>
      <c r="G1131" s="36">
        <f>Tabla13[[#This Row],[Importe]]-Tabla13[[#This Row],[Pagado]]</f>
        <v>0</v>
      </c>
      <c r="H1131" s="38" t="s">
        <v>10</v>
      </c>
    </row>
    <row r="1132" spans="1:8" x14ac:dyDescent="0.25">
      <c r="A1132" s="31">
        <v>44602</v>
      </c>
      <c r="B1132" s="37" t="s">
        <v>4843</v>
      </c>
      <c r="C1132" s="38" t="s">
        <v>419</v>
      </c>
      <c r="D1132" s="34">
        <v>7314</v>
      </c>
      <c r="E1132" s="35">
        <v>44602</v>
      </c>
      <c r="F1132" s="34">
        <v>7314</v>
      </c>
      <c r="G1132" s="36">
        <f>Tabla13[[#This Row],[Importe]]-Tabla13[[#This Row],[Pagado]]</f>
        <v>0</v>
      </c>
      <c r="H1132" s="38" t="s">
        <v>10</v>
      </c>
    </row>
    <row r="1133" spans="1:8" x14ac:dyDescent="0.25">
      <c r="A1133" s="31">
        <v>44602</v>
      </c>
      <c r="B1133" s="37" t="s">
        <v>4844</v>
      </c>
      <c r="C1133" s="38" t="s">
        <v>698</v>
      </c>
      <c r="D1133" s="34">
        <v>5196.7</v>
      </c>
      <c r="E1133" s="35">
        <v>44602</v>
      </c>
      <c r="F1133" s="34">
        <v>5196.7</v>
      </c>
      <c r="G1133" s="36">
        <f>Tabla13[[#This Row],[Importe]]-Tabla13[[#This Row],[Pagado]]</f>
        <v>0</v>
      </c>
      <c r="H1133" s="38" t="s">
        <v>10</v>
      </c>
    </row>
    <row r="1134" spans="1:8" x14ac:dyDescent="0.25">
      <c r="A1134" s="31">
        <v>44602</v>
      </c>
      <c r="B1134" s="37" t="s">
        <v>4845</v>
      </c>
      <c r="C1134" s="38" t="s">
        <v>69</v>
      </c>
      <c r="D1134" s="34">
        <v>2232.5</v>
      </c>
      <c r="E1134" s="35">
        <v>44602</v>
      </c>
      <c r="F1134" s="34">
        <v>2232.5</v>
      </c>
      <c r="G1134" s="36">
        <f>Tabla13[[#This Row],[Importe]]-Tabla13[[#This Row],[Pagado]]</f>
        <v>0</v>
      </c>
      <c r="H1134" s="38" t="s">
        <v>10</v>
      </c>
    </row>
    <row r="1135" spans="1:8" x14ac:dyDescent="0.25">
      <c r="A1135" s="31">
        <v>44602</v>
      </c>
      <c r="B1135" s="37" t="s">
        <v>4846</v>
      </c>
      <c r="C1135" s="38" t="s">
        <v>16</v>
      </c>
      <c r="D1135" s="34">
        <v>2320.6999999999998</v>
      </c>
      <c r="E1135" s="35">
        <v>44602</v>
      </c>
      <c r="F1135" s="34">
        <v>2320.6999999999998</v>
      </c>
      <c r="G1135" s="36">
        <f>Tabla13[[#This Row],[Importe]]-Tabla13[[#This Row],[Pagado]]</f>
        <v>0</v>
      </c>
      <c r="H1135" s="38" t="s">
        <v>10</v>
      </c>
    </row>
    <row r="1136" spans="1:8" x14ac:dyDescent="0.25">
      <c r="A1136" s="31">
        <v>44602</v>
      </c>
      <c r="B1136" s="37" t="s">
        <v>4847</v>
      </c>
      <c r="C1136" s="38" t="s">
        <v>16</v>
      </c>
      <c r="D1136" s="34">
        <v>390.4</v>
      </c>
      <c r="E1136" s="35">
        <v>44602</v>
      </c>
      <c r="F1136" s="34">
        <v>390.4</v>
      </c>
      <c r="G1136" s="36">
        <f>Tabla13[[#This Row],[Importe]]-Tabla13[[#This Row],[Pagado]]</f>
        <v>0</v>
      </c>
      <c r="H1136" s="38" t="s">
        <v>10</v>
      </c>
    </row>
    <row r="1137" spans="1:8" x14ac:dyDescent="0.25">
      <c r="A1137" s="31">
        <v>44602</v>
      </c>
      <c r="B1137" s="37" t="s">
        <v>4848</v>
      </c>
      <c r="C1137" s="38" t="s">
        <v>804</v>
      </c>
      <c r="D1137" s="34">
        <v>13054.8</v>
      </c>
      <c r="E1137" s="35">
        <v>44602</v>
      </c>
      <c r="F1137" s="34">
        <v>13054.8</v>
      </c>
      <c r="G1137" s="36">
        <f>Tabla13[[#This Row],[Importe]]-Tabla13[[#This Row],[Pagado]]</f>
        <v>0</v>
      </c>
      <c r="H1137" s="38" t="s">
        <v>10</v>
      </c>
    </row>
    <row r="1138" spans="1:8" x14ac:dyDescent="0.25">
      <c r="A1138" s="31">
        <v>44602</v>
      </c>
      <c r="B1138" s="37" t="s">
        <v>4849</v>
      </c>
      <c r="C1138" s="38" t="s">
        <v>31</v>
      </c>
      <c r="D1138" s="34">
        <v>70.2</v>
      </c>
      <c r="E1138" s="35">
        <v>44602</v>
      </c>
      <c r="F1138" s="34">
        <v>70.2</v>
      </c>
      <c r="G1138" s="36">
        <f>Tabla13[[#This Row],[Importe]]-Tabla13[[#This Row],[Pagado]]</f>
        <v>0</v>
      </c>
      <c r="H1138" s="38" t="s">
        <v>10</v>
      </c>
    </row>
    <row r="1139" spans="1:8" x14ac:dyDescent="0.25">
      <c r="A1139" s="31">
        <v>44602</v>
      </c>
      <c r="B1139" s="37" t="s">
        <v>4850</v>
      </c>
      <c r="C1139" s="38" t="s">
        <v>275</v>
      </c>
      <c r="D1139" s="34">
        <v>55090.1</v>
      </c>
      <c r="E1139" s="35">
        <v>44610</v>
      </c>
      <c r="F1139" s="34">
        <v>55090.1</v>
      </c>
      <c r="G1139" s="36">
        <f>Tabla13[[#This Row],[Importe]]-Tabla13[[#This Row],[Pagado]]</f>
        <v>0</v>
      </c>
      <c r="H1139" s="38" t="s">
        <v>10</v>
      </c>
    </row>
    <row r="1140" spans="1:8" x14ac:dyDescent="0.25">
      <c r="A1140" s="31">
        <v>44602</v>
      </c>
      <c r="B1140" s="37" t="s">
        <v>4851</v>
      </c>
      <c r="C1140" s="38" t="s">
        <v>31</v>
      </c>
      <c r="D1140" s="34">
        <v>1142.4000000000001</v>
      </c>
      <c r="E1140" s="35">
        <v>44602</v>
      </c>
      <c r="F1140" s="34">
        <v>1142.4000000000001</v>
      </c>
      <c r="G1140" s="36">
        <f>Tabla13[[#This Row],[Importe]]-Tabla13[[#This Row],[Pagado]]</f>
        <v>0</v>
      </c>
      <c r="H1140" s="38" t="s">
        <v>10</v>
      </c>
    </row>
    <row r="1141" spans="1:8" x14ac:dyDescent="0.25">
      <c r="A1141" s="31">
        <v>44602</v>
      </c>
      <c r="B1141" s="37" t="s">
        <v>4852</v>
      </c>
      <c r="C1141" s="38" t="s">
        <v>71</v>
      </c>
      <c r="D1141" s="34">
        <v>3152.5</v>
      </c>
      <c r="E1141" s="35">
        <v>44602</v>
      </c>
      <c r="F1141" s="34">
        <v>3152.5</v>
      </c>
      <c r="G1141" s="36">
        <f>Tabla13[[#This Row],[Importe]]-Tabla13[[#This Row],[Pagado]]</f>
        <v>0</v>
      </c>
      <c r="H1141" s="38" t="s">
        <v>10</v>
      </c>
    </row>
    <row r="1142" spans="1:8" x14ac:dyDescent="0.25">
      <c r="A1142" s="31">
        <v>44602</v>
      </c>
      <c r="B1142" s="37" t="s">
        <v>4853</v>
      </c>
      <c r="C1142" s="38" t="s">
        <v>127</v>
      </c>
      <c r="D1142" s="34">
        <v>4991.8999999999996</v>
      </c>
      <c r="E1142" s="35">
        <v>44603</v>
      </c>
      <c r="F1142" s="34">
        <v>4991.8999999999996</v>
      </c>
      <c r="G1142" s="36">
        <f>Tabla13[[#This Row],[Importe]]-Tabla13[[#This Row],[Pagado]]</f>
        <v>0</v>
      </c>
      <c r="H1142" s="38" t="s">
        <v>10</v>
      </c>
    </row>
    <row r="1143" spans="1:8" x14ac:dyDescent="0.25">
      <c r="A1143" s="31">
        <v>44602</v>
      </c>
      <c r="B1143" s="37" t="s">
        <v>4854</v>
      </c>
      <c r="C1143" s="38" t="s">
        <v>275</v>
      </c>
      <c r="D1143" s="34">
        <v>5402.1</v>
      </c>
      <c r="E1143" s="35">
        <v>44610</v>
      </c>
      <c r="F1143" s="34">
        <v>5402.1</v>
      </c>
      <c r="G1143" s="36">
        <f>Tabla13[[#This Row],[Importe]]-Tabla13[[#This Row],[Pagado]]</f>
        <v>0</v>
      </c>
      <c r="H1143" s="38" t="s">
        <v>10</v>
      </c>
    </row>
    <row r="1144" spans="1:8" x14ac:dyDescent="0.25">
      <c r="A1144" s="31">
        <v>44602</v>
      </c>
      <c r="B1144" s="37" t="s">
        <v>4855</v>
      </c>
      <c r="C1144" s="38" t="s">
        <v>129</v>
      </c>
      <c r="D1144" s="34">
        <v>1061.2</v>
      </c>
      <c r="E1144" s="35">
        <v>44603</v>
      </c>
      <c r="F1144" s="34">
        <v>1061.2</v>
      </c>
      <c r="G1144" s="36">
        <f>Tabla13[[#This Row],[Importe]]-Tabla13[[#This Row],[Pagado]]</f>
        <v>0</v>
      </c>
      <c r="H1144" s="38" t="s">
        <v>10</v>
      </c>
    </row>
    <row r="1145" spans="1:8" x14ac:dyDescent="0.25">
      <c r="A1145" s="31">
        <v>44602</v>
      </c>
      <c r="B1145" s="37" t="s">
        <v>4856</v>
      </c>
      <c r="C1145" s="38" t="s">
        <v>140</v>
      </c>
      <c r="D1145" s="34">
        <v>1170.3</v>
      </c>
      <c r="E1145" s="35">
        <v>44603</v>
      </c>
      <c r="F1145" s="34">
        <v>1170.3</v>
      </c>
      <c r="G1145" s="36">
        <f>Tabla13[[#This Row],[Importe]]-Tabla13[[#This Row],[Pagado]]</f>
        <v>0</v>
      </c>
      <c r="H1145" s="38" t="s">
        <v>10</v>
      </c>
    </row>
    <row r="1146" spans="1:8" x14ac:dyDescent="0.25">
      <c r="A1146" s="31">
        <v>44602</v>
      </c>
      <c r="B1146" s="37" t="s">
        <v>4857</v>
      </c>
      <c r="C1146" s="38" t="s">
        <v>357</v>
      </c>
      <c r="D1146" s="34">
        <v>817.8</v>
      </c>
      <c r="E1146" s="35">
        <v>44603</v>
      </c>
      <c r="F1146" s="34">
        <v>817.8</v>
      </c>
      <c r="G1146" s="36">
        <f>Tabla13[[#This Row],[Importe]]-Tabla13[[#This Row],[Pagado]]</f>
        <v>0</v>
      </c>
      <c r="H1146" s="38" t="s">
        <v>10</v>
      </c>
    </row>
    <row r="1147" spans="1:8" x14ac:dyDescent="0.25">
      <c r="A1147" s="31">
        <v>44602</v>
      </c>
      <c r="B1147" s="37" t="s">
        <v>4858</v>
      </c>
      <c r="C1147" s="38" t="s">
        <v>146</v>
      </c>
      <c r="D1147" s="34">
        <v>2120.6</v>
      </c>
      <c r="E1147" s="35">
        <v>44603</v>
      </c>
      <c r="F1147" s="34">
        <v>2120.6</v>
      </c>
      <c r="G1147" s="36">
        <f>Tabla13[[#This Row],[Importe]]-Tabla13[[#This Row],[Pagado]]</f>
        <v>0</v>
      </c>
      <c r="H1147" s="38" t="s">
        <v>10</v>
      </c>
    </row>
    <row r="1148" spans="1:8" x14ac:dyDescent="0.25">
      <c r="A1148" s="31">
        <v>44602</v>
      </c>
      <c r="B1148" s="37" t="s">
        <v>4859</v>
      </c>
      <c r="C1148" s="38" t="s">
        <v>191</v>
      </c>
      <c r="D1148" s="34">
        <v>716</v>
      </c>
      <c r="E1148" s="35">
        <v>44602</v>
      </c>
      <c r="F1148" s="34">
        <v>716</v>
      </c>
      <c r="G1148" s="36">
        <f>Tabla13[[#This Row],[Importe]]-Tabla13[[#This Row],[Pagado]]</f>
        <v>0</v>
      </c>
      <c r="H1148" s="38" t="s">
        <v>10</v>
      </c>
    </row>
    <row r="1149" spans="1:8" x14ac:dyDescent="0.25">
      <c r="A1149" s="31">
        <v>44602</v>
      </c>
      <c r="B1149" s="37" t="s">
        <v>4860</v>
      </c>
      <c r="C1149" s="38" t="s">
        <v>129</v>
      </c>
      <c r="D1149" s="34">
        <v>280</v>
      </c>
      <c r="E1149" s="35">
        <v>44603</v>
      </c>
      <c r="F1149" s="34">
        <v>280</v>
      </c>
      <c r="G1149" s="36">
        <f>Tabla13[[#This Row],[Importe]]-Tabla13[[#This Row],[Pagado]]</f>
        <v>0</v>
      </c>
      <c r="H1149" s="38" t="s">
        <v>10</v>
      </c>
    </row>
    <row r="1150" spans="1:8" x14ac:dyDescent="0.25">
      <c r="A1150" s="31">
        <v>44602</v>
      </c>
      <c r="B1150" s="37" t="s">
        <v>4861</v>
      </c>
      <c r="C1150" s="38" t="s">
        <v>107</v>
      </c>
      <c r="D1150" s="34">
        <v>7242</v>
      </c>
      <c r="E1150" s="35">
        <v>44603</v>
      </c>
      <c r="F1150" s="34">
        <v>7242</v>
      </c>
      <c r="G1150" s="36">
        <f>Tabla13[[#This Row],[Importe]]-Tabla13[[#This Row],[Pagado]]</f>
        <v>0</v>
      </c>
      <c r="H1150" s="38" t="s">
        <v>10</v>
      </c>
    </row>
    <row r="1151" spans="1:8" x14ac:dyDescent="0.25">
      <c r="A1151" s="31">
        <v>44602</v>
      </c>
      <c r="B1151" s="37" t="s">
        <v>4862</v>
      </c>
      <c r="C1151" s="38" t="s">
        <v>14</v>
      </c>
      <c r="D1151" s="34">
        <v>19515.099999999999</v>
      </c>
      <c r="E1151" s="35">
        <v>44602</v>
      </c>
      <c r="F1151" s="34">
        <v>19515.099999999999</v>
      </c>
      <c r="G1151" s="36">
        <f>Tabla13[[#This Row],[Importe]]-Tabla13[[#This Row],[Pagado]]</f>
        <v>0</v>
      </c>
      <c r="H1151" s="38" t="s">
        <v>10</v>
      </c>
    </row>
    <row r="1152" spans="1:8" x14ac:dyDescent="0.25">
      <c r="A1152" s="31">
        <v>44602</v>
      </c>
      <c r="B1152" s="37" t="s">
        <v>4863</v>
      </c>
      <c r="C1152" s="38" t="s">
        <v>233</v>
      </c>
      <c r="D1152" s="34">
        <v>400</v>
      </c>
      <c r="E1152" s="35">
        <v>44602</v>
      </c>
      <c r="F1152" s="34">
        <v>400</v>
      </c>
      <c r="G1152" s="36">
        <f>Tabla13[[#This Row],[Importe]]-Tabla13[[#This Row],[Pagado]]</f>
        <v>0</v>
      </c>
      <c r="H1152" s="38" t="s">
        <v>10</v>
      </c>
    </row>
    <row r="1153" spans="1:8" x14ac:dyDescent="0.25">
      <c r="A1153" s="31">
        <v>44602</v>
      </c>
      <c r="B1153" s="37" t="s">
        <v>4864</v>
      </c>
      <c r="C1153" s="38" t="s">
        <v>67</v>
      </c>
      <c r="D1153" s="34">
        <v>878.9</v>
      </c>
      <c r="E1153" s="35">
        <v>44602</v>
      </c>
      <c r="F1153" s="34">
        <v>878.9</v>
      </c>
      <c r="G1153" s="36">
        <f>Tabla13[[#This Row],[Importe]]-Tabla13[[#This Row],[Pagado]]</f>
        <v>0</v>
      </c>
      <c r="H1153" s="38" t="s">
        <v>10</v>
      </c>
    </row>
    <row r="1154" spans="1:8" x14ac:dyDescent="0.25">
      <c r="A1154" s="31">
        <v>44602</v>
      </c>
      <c r="B1154" s="37" t="s">
        <v>4865</v>
      </c>
      <c r="C1154" s="38" t="s">
        <v>664</v>
      </c>
      <c r="D1154" s="34">
        <v>5300</v>
      </c>
      <c r="E1154" s="35">
        <v>44603</v>
      </c>
      <c r="F1154" s="34">
        <v>5300</v>
      </c>
      <c r="G1154" s="36">
        <f>Tabla13[[#This Row],[Importe]]-Tabla13[[#This Row],[Pagado]]</f>
        <v>0</v>
      </c>
      <c r="H1154" s="38" t="s">
        <v>10</v>
      </c>
    </row>
    <row r="1155" spans="1:8" x14ac:dyDescent="0.25">
      <c r="A1155" s="31">
        <v>44602</v>
      </c>
      <c r="B1155" s="37" t="s">
        <v>4866</v>
      </c>
      <c r="C1155" s="38" t="s">
        <v>365</v>
      </c>
      <c r="D1155" s="34">
        <v>2122.6</v>
      </c>
      <c r="E1155" s="35">
        <v>44602</v>
      </c>
      <c r="F1155" s="34">
        <v>2122.6</v>
      </c>
      <c r="G1155" s="36">
        <f>Tabla13[[#This Row],[Importe]]-Tabla13[[#This Row],[Pagado]]</f>
        <v>0</v>
      </c>
      <c r="H1155" s="38" t="s">
        <v>10</v>
      </c>
    </row>
    <row r="1156" spans="1:8" x14ac:dyDescent="0.25">
      <c r="A1156" s="31">
        <v>44602</v>
      </c>
      <c r="B1156" s="37" t="s">
        <v>4867</v>
      </c>
      <c r="C1156" s="38" t="s">
        <v>647</v>
      </c>
      <c r="D1156" s="34">
        <v>869.3</v>
      </c>
      <c r="E1156" s="35">
        <v>44602</v>
      </c>
      <c r="F1156" s="34">
        <v>869.3</v>
      </c>
      <c r="G1156" s="36">
        <f>Tabla13[[#This Row],[Importe]]-Tabla13[[#This Row],[Pagado]]</f>
        <v>0</v>
      </c>
      <c r="H1156" s="38" t="s">
        <v>10</v>
      </c>
    </row>
    <row r="1157" spans="1:8" x14ac:dyDescent="0.25">
      <c r="A1157" s="31">
        <v>44602</v>
      </c>
      <c r="B1157" s="37" t="s">
        <v>4868</v>
      </c>
      <c r="C1157" s="38" t="s">
        <v>414</v>
      </c>
      <c r="D1157" s="34">
        <v>63.46</v>
      </c>
      <c r="E1157" s="35">
        <v>44622</v>
      </c>
      <c r="F1157" s="34">
        <v>63.46</v>
      </c>
      <c r="G1157" s="36">
        <f>Tabla13[[#This Row],[Importe]]-Tabla13[[#This Row],[Pagado]]</f>
        <v>0</v>
      </c>
      <c r="H1157" s="38" t="s">
        <v>10</v>
      </c>
    </row>
    <row r="1158" spans="1:8" x14ac:dyDescent="0.25">
      <c r="A1158" s="31">
        <v>44602</v>
      </c>
      <c r="B1158" s="37" t="s">
        <v>4869</v>
      </c>
      <c r="C1158" s="38" t="s">
        <v>647</v>
      </c>
      <c r="D1158" s="34">
        <v>425.7</v>
      </c>
      <c r="E1158" s="35">
        <v>44602</v>
      </c>
      <c r="F1158" s="34">
        <v>425.7</v>
      </c>
      <c r="G1158" s="36">
        <f>Tabla13[[#This Row],[Importe]]-Tabla13[[#This Row],[Pagado]]</f>
        <v>0</v>
      </c>
      <c r="H1158" s="38" t="s">
        <v>10</v>
      </c>
    </row>
    <row r="1159" spans="1:8" x14ac:dyDescent="0.25">
      <c r="A1159" s="31">
        <v>44602</v>
      </c>
      <c r="B1159" s="37" t="s">
        <v>4870</v>
      </c>
      <c r="C1159" s="38" t="s">
        <v>58</v>
      </c>
      <c r="D1159" s="34">
        <v>3233</v>
      </c>
      <c r="E1159" s="35">
        <v>44602</v>
      </c>
      <c r="F1159" s="34">
        <v>3233</v>
      </c>
      <c r="G1159" s="36">
        <f>Tabla13[[#This Row],[Importe]]-Tabla13[[#This Row],[Pagado]]</f>
        <v>0</v>
      </c>
      <c r="H1159" s="38" t="s">
        <v>10</v>
      </c>
    </row>
    <row r="1160" spans="1:8" x14ac:dyDescent="0.25">
      <c r="A1160" s="31">
        <v>44602</v>
      </c>
      <c r="B1160" s="37" t="s">
        <v>4871</v>
      </c>
      <c r="C1160" s="38" t="s">
        <v>291</v>
      </c>
      <c r="D1160" s="34">
        <v>3851.6</v>
      </c>
      <c r="E1160" s="35">
        <v>44603</v>
      </c>
      <c r="F1160" s="34">
        <v>3851.6</v>
      </c>
      <c r="G1160" s="36">
        <f>Tabla13[[#This Row],[Importe]]-Tabla13[[#This Row],[Pagado]]</f>
        <v>0</v>
      </c>
      <c r="H1160" s="38" t="s">
        <v>10</v>
      </c>
    </row>
    <row r="1161" spans="1:8" x14ac:dyDescent="0.25">
      <c r="A1161" s="31">
        <v>44602</v>
      </c>
      <c r="B1161" s="37" t="s">
        <v>4872</v>
      </c>
      <c r="C1161" s="38" t="s">
        <v>414</v>
      </c>
      <c r="D1161" s="34">
        <v>300</v>
      </c>
      <c r="E1161" s="35">
        <v>44603</v>
      </c>
      <c r="F1161" s="34">
        <v>300</v>
      </c>
      <c r="G1161" s="36">
        <f>Tabla13[[#This Row],[Importe]]-Tabla13[[#This Row],[Pagado]]</f>
        <v>0</v>
      </c>
      <c r="H1161" s="38" t="s">
        <v>10</v>
      </c>
    </row>
    <row r="1162" spans="1:8" x14ac:dyDescent="0.25">
      <c r="A1162" s="31">
        <v>44602</v>
      </c>
      <c r="B1162" s="37" t="s">
        <v>4873</v>
      </c>
      <c r="C1162" s="38" t="s">
        <v>142</v>
      </c>
      <c r="D1162" s="34">
        <v>27574.5</v>
      </c>
      <c r="E1162" s="35">
        <v>44617</v>
      </c>
      <c r="F1162" s="34">
        <v>27574.5</v>
      </c>
      <c r="G1162" s="36">
        <f>Tabla13[[#This Row],[Importe]]-Tabla13[[#This Row],[Pagado]]</f>
        <v>0</v>
      </c>
      <c r="H1162" s="38" t="s">
        <v>10</v>
      </c>
    </row>
    <row r="1163" spans="1:8" x14ac:dyDescent="0.25">
      <c r="A1163" s="31">
        <v>44602</v>
      </c>
      <c r="B1163" s="37" t="s">
        <v>4874</v>
      </c>
      <c r="C1163" s="38" t="s">
        <v>433</v>
      </c>
      <c r="D1163" s="34">
        <v>24780</v>
      </c>
      <c r="E1163" s="35">
        <v>44602</v>
      </c>
      <c r="F1163" s="34">
        <v>24780</v>
      </c>
      <c r="G1163" s="36">
        <f>Tabla13[[#This Row],[Importe]]-Tabla13[[#This Row],[Pagado]]</f>
        <v>0</v>
      </c>
      <c r="H1163" s="38" t="s">
        <v>10</v>
      </c>
    </row>
    <row r="1164" spans="1:8" x14ac:dyDescent="0.25">
      <c r="A1164" s="31">
        <v>44602</v>
      </c>
      <c r="B1164" s="37" t="s">
        <v>4875</v>
      </c>
      <c r="C1164" s="38" t="s">
        <v>31</v>
      </c>
      <c r="D1164" s="34">
        <v>192</v>
      </c>
      <c r="E1164" s="35">
        <v>44602</v>
      </c>
      <c r="F1164" s="34">
        <v>192</v>
      </c>
      <c r="G1164" s="36">
        <f>Tabla13[[#This Row],[Importe]]-Tabla13[[#This Row],[Pagado]]</f>
        <v>0</v>
      </c>
      <c r="H1164" s="38" t="s">
        <v>10</v>
      </c>
    </row>
    <row r="1165" spans="1:8" x14ac:dyDescent="0.25">
      <c r="A1165" s="31">
        <v>44602</v>
      </c>
      <c r="B1165" s="37" t="s">
        <v>4876</v>
      </c>
      <c r="C1165" s="38" t="s">
        <v>2027</v>
      </c>
      <c r="D1165" s="34">
        <v>23600.3</v>
      </c>
      <c r="E1165" s="35">
        <v>44603</v>
      </c>
      <c r="F1165" s="34">
        <v>23600.3</v>
      </c>
      <c r="G1165" s="36">
        <f>Tabla13[[#This Row],[Importe]]-Tabla13[[#This Row],[Pagado]]</f>
        <v>0</v>
      </c>
      <c r="H1165" s="38" t="s">
        <v>10</v>
      </c>
    </row>
    <row r="1166" spans="1:8" x14ac:dyDescent="0.25">
      <c r="A1166" s="31">
        <v>44602</v>
      </c>
      <c r="B1166" s="37" t="s">
        <v>4877</v>
      </c>
      <c r="C1166" s="38" t="s">
        <v>729</v>
      </c>
      <c r="D1166" s="34">
        <v>16348.1</v>
      </c>
      <c r="E1166" s="35">
        <v>44603</v>
      </c>
      <c r="F1166" s="34">
        <v>16348.1</v>
      </c>
      <c r="G1166" s="36">
        <f>Tabla13[[#This Row],[Importe]]-Tabla13[[#This Row],[Pagado]]</f>
        <v>0</v>
      </c>
      <c r="H1166" s="38" t="s">
        <v>10</v>
      </c>
    </row>
    <row r="1167" spans="1:8" x14ac:dyDescent="0.25">
      <c r="A1167" s="31">
        <v>44602</v>
      </c>
      <c r="B1167" s="37" t="s">
        <v>4878</v>
      </c>
      <c r="C1167" s="38" t="s">
        <v>284</v>
      </c>
      <c r="D1167" s="34">
        <v>2345.3000000000002</v>
      </c>
      <c r="E1167" s="35">
        <v>44603</v>
      </c>
      <c r="F1167" s="34">
        <v>2345.3000000000002</v>
      </c>
      <c r="G1167" s="36">
        <f>Tabla13[[#This Row],[Importe]]-Tabla13[[#This Row],[Pagado]]</f>
        <v>0</v>
      </c>
      <c r="H1167" s="38" t="s">
        <v>10</v>
      </c>
    </row>
    <row r="1168" spans="1:8" x14ac:dyDescent="0.25">
      <c r="A1168" s="31">
        <v>44602</v>
      </c>
      <c r="B1168" s="37" t="s">
        <v>4879</v>
      </c>
      <c r="C1168" s="38" t="s">
        <v>282</v>
      </c>
      <c r="D1168" s="34">
        <v>2923.4</v>
      </c>
      <c r="E1168" s="35">
        <v>44603</v>
      </c>
      <c r="F1168" s="34">
        <v>2923.4</v>
      </c>
      <c r="G1168" s="36">
        <f>Tabla13[[#This Row],[Importe]]-Tabla13[[#This Row],[Pagado]]</f>
        <v>0</v>
      </c>
      <c r="H1168" s="38" t="s">
        <v>10</v>
      </c>
    </row>
    <row r="1169" spans="1:8" x14ac:dyDescent="0.25">
      <c r="A1169" s="31">
        <v>44602</v>
      </c>
      <c r="B1169" s="37" t="s">
        <v>4880</v>
      </c>
      <c r="C1169" s="38" t="s">
        <v>280</v>
      </c>
      <c r="D1169" s="34">
        <v>1367.7</v>
      </c>
      <c r="E1169" s="35">
        <v>44603</v>
      </c>
      <c r="F1169" s="34">
        <v>1367.7</v>
      </c>
      <c r="G1169" s="36">
        <f>Tabla13[[#This Row],[Importe]]-Tabla13[[#This Row],[Pagado]]</f>
        <v>0</v>
      </c>
      <c r="H1169" s="38" t="s">
        <v>10</v>
      </c>
    </row>
    <row r="1170" spans="1:8" x14ac:dyDescent="0.25">
      <c r="A1170" s="31">
        <v>44602</v>
      </c>
      <c r="B1170" s="37" t="s">
        <v>4881</v>
      </c>
      <c r="C1170" s="38" t="s">
        <v>431</v>
      </c>
      <c r="D1170" s="34">
        <v>465.3</v>
      </c>
      <c r="E1170" s="35">
        <v>44603</v>
      </c>
      <c r="F1170" s="34">
        <v>465.3</v>
      </c>
      <c r="G1170" s="36">
        <f>Tabla13[[#This Row],[Importe]]-Tabla13[[#This Row],[Pagado]]</f>
        <v>0</v>
      </c>
      <c r="H1170" s="38" t="s">
        <v>10</v>
      </c>
    </row>
    <row r="1171" spans="1:8" x14ac:dyDescent="0.25">
      <c r="A1171" s="31">
        <v>44602</v>
      </c>
      <c r="B1171" s="37" t="s">
        <v>4882</v>
      </c>
      <c r="C1171" s="38" t="s">
        <v>53</v>
      </c>
      <c r="D1171" s="34">
        <v>1076.3</v>
      </c>
      <c r="E1171" s="35">
        <v>44602</v>
      </c>
      <c r="F1171" s="34">
        <v>1076.3</v>
      </c>
      <c r="G1171" s="36">
        <f>Tabla13[[#This Row],[Importe]]-Tabla13[[#This Row],[Pagado]]</f>
        <v>0</v>
      </c>
      <c r="H1171" s="38" t="s">
        <v>10</v>
      </c>
    </row>
    <row r="1172" spans="1:8" x14ac:dyDescent="0.25">
      <c r="A1172" s="31">
        <v>44602</v>
      </c>
      <c r="B1172" s="37" t="s">
        <v>4883</v>
      </c>
      <c r="C1172" s="38" t="s">
        <v>1313</v>
      </c>
      <c r="D1172" s="34">
        <v>5658.2</v>
      </c>
      <c r="E1172" s="35">
        <v>44602</v>
      </c>
      <c r="F1172" s="34">
        <v>5658.2</v>
      </c>
      <c r="G1172" s="36">
        <f>Tabla13[[#This Row],[Importe]]-Tabla13[[#This Row],[Pagado]]</f>
        <v>0</v>
      </c>
      <c r="H1172" s="38" t="s">
        <v>10</v>
      </c>
    </row>
    <row r="1173" spans="1:8" x14ac:dyDescent="0.25">
      <c r="A1173" s="31">
        <v>44602</v>
      </c>
      <c r="B1173" s="37" t="s">
        <v>4884</v>
      </c>
      <c r="C1173" s="38" t="s">
        <v>261</v>
      </c>
      <c r="D1173" s="34">
        <v>32407.27</v>
      </c>
      <c r="E1173" s="35">
        <v>44603</v>
      </c>
      <c r="F1173" s="34">
        <v>32407.27</v>
      </c>
      <c r="G1173" s="36">
        <f>Tabla13[[#This Row],[Importe]]-Tabla13[[#This Row],[Pagado]]</f>
        <v>0</v>
      </c>
      <c r="H1173" s="38" t="s">
        <v>10</v>
      </c>
    </row>
    <row r="1174" spans="1:8" x14ac:dyDescent="0.25">
      <c r="A1174" s="31">
        <v>44602</v>
      </c>
      <c r="B1174" s="37" t="s">
        <v>4885</v>
      </c>
      <c r="C1174" s="38" t="s">
        <v>843</v>
      </c>
      <c r="D1174" s="34">
        <v>12042</v>
      </c>
      <c r="E1174" s="35">
        <v>44603</v>
      </c>
      <c r="F1174" s="34">
        <v>12042</v>
      </c>
      <c r="G1174" s="36">
        <f>Tabla13[[#This Row],[Importe]]-Tabla13[[#This Row],[Pagado]]</f>
        <v>0</v>
      </c>
      <c r="H1174" s="38" t="s">
        <v>10</v>
      </c>
    </row>
    <row r="1175" spans="1:8" x14ac:dyDescent="0.25">
      <c r="A1175" s="31">
        <v>44603</v>
      </c>
      <c r="B1175" s="37" t="s">
        <v>4886</v>
      </c>
      <c r="C1175" s="38" t="s">
        <v>887</v>
      </c>
      <c r="D1175" s="34">
        <v>7410.3</v>
      </c>
      <c r="E1175" s="35">
        <v>44604</v>
      </c>
      <c r="F1175" s="34">
        <v>7410.3</v>
      </c>
      <c r="G1175" s="36">
        <f>Tabla13[[#This Row],[Importe]]-Tabla13[[#This Row],[Pagado]]</f>
        <v>0</v>
      </c>
      <c r="H1175" s="38" t="s">
        <v>10</v>
      </c>
    </row>
    <row r="1176" spans="1:8" x14ac:dyDescent="0.25">
      <c r="A1176" s="31">
        <v>44603</v>
      </c>
      <c r="B1176" s="37" t="s">
        <v>4887</v>
      </c>
      <c r="C1176" s="38" t="s">
        <v>484</v>
      </c>
      <c r="D1176" s="34">
        <v>3708.8</v>
      </c>
      <c r="E1176" s="35">
        <v>44603</v>
      </c>
      <c r="F1176" s="34">
        <v>3708.8</v>
      </c>
      <c r="G1176" s="36">
        <f>Tabla13[[#This Row],[Importe]]-Tabla13[[#This Row],[Pagado]]</f>
        <v>0</v>
      </c>
      <c r="H1176" s="38" t="s">
        <v>10</v>
      </c>
    </row>
    <row r="1177" spans="1:8" x14ac:dyDescent="0.25">
      <c r="A1177" s="31">
        <v>44603</v>
      </c>
      <c r="B1177" s="37" t="s">
        <v>4888</v>
      </c>
      <c r="C1177" s="38" t="s">
        <v>481</v>
      </c>
      <c r="D1177" s="34">
        <v>366.6</v>
      </c>
      <c r="E1177" s="35">
        <v>44603</v>
      </c>
      <c r="F1177" s="34">
        <v>366.6</v>
      </c>
      <c r="G1177" s="36">
        <f>Tabla13[[#This Row],[Importe]]-Tabla13[[#This Row],[Pagado]]</f>
        <v>0</v>
      </c>
      <c r="H1177" s="38" t="s">
        <v>10</v>
      </c>
    </row>
    <row r="1178" spans="1:8" x14ac:dyDescent="0.25">
      <c r="A1178" s="31">
        <v>44603</v>
      </c>
      <c r="B1178" s="37" t="s">
        <v>4889</v>
      </c>
      <c r="C1178" s="38" t="s">
        <v>475</v>
      </c>
      <c r="D1178" s="34">
        <v>73010.100000000006</v>
      </c>
      <c r="E1178" s="35">
        <v>44604</v>
      </c>
      <c r="F1178" s="34">
        <v>73010.100000000006</v>
      </c>
      <c r="G1178" s="36">
        <f>Tabla13[[#This Row],[Importe]]-Tabla13[[#This Row],[Pagado]]</f>
        <v>0</v>
      </c>
      <c r="H1178" s="38" t="s">
        <v>10</v>
      </c>
    </row>
    <row r="1179" spans="1:8" x14ac:dyDescent="0.25">
      <c r="A1179" s="31">
        <v>44603</v>
      </c>
      <c r="B1179" s="37" t="s">
        <v>4890</v>
      </c>
      <c r="C1179" s="38" t="s">
        <v>85</v>
      </c>
      <c r="D1179" s="34">
        <v>2368</v>
      </c>
      <c r="E1179" s="35">
        <v>44603</v>
      </c>
      <c r="F1179" s="34">
        <v>2368</v>
      </c>
      <c r="G1179" s="36">
        <f>Tabla13[[#This Row],[Importe]]-Tabla13[[#This Row],[Pagado]]</f>
        <v>0</v>
      </c>
      <c r="H1179" s="38" t="s">
        <v>10</v>
      </c>
    </row>
    <row r="1180" spans="1:8" x14ac:dyDescent="0.25">
      <c r="A1180" s="31">
        <v>44603</v>
      </c>
      <c r="B1180" s="37" t="s">
        <v>4891</v>
      </c>
      <c r="C1180" s="38" t="s">
        <v>12</v>
      </c>
      <c r="D1180" s="34">
        <v>21091.15</v>
      </c>
      <c r="E1180" s="35">
        <v>44604</v>
      </c>
      <c r="F1180" s="34">
        <v>21091.15</v>
      </c>
      <c r="G1180" s="36">
        <f>Tabla13[[#This Row],[Importe]]-Tabla13[[#This Row],[Pagado]]</f>
        <v>0</v>
      </c>
      <c r="H1180" s="38" t="s">
        <v>10</v>
      </c>
    </row>
    <row r="1181" spans="1:8" x14ac:dyDescent="0.25">
      <c r="A1181" s="31">
        <v>44603</v>
      </c>
      <c r="B1181" s="37" t="s">
        <v>4892</v>
      </c>
      <c r="C1181" s="38" t="s">
        <v>12</v>
      </c>
      <c r="D1181" s="34">
        <v>585.20000000000005</v>
      </c>
      <c r="E1181" s="35">
        <v>44604</v>
      </c>
      <c r="F1181" s="34">
        <v>585.20000000000005</v>
      </c>
      <c r="G1181" s="36">
        <f>Tabla13[[#This Row],[Importe]]-Tabla13[[#This Row],[Pagado]]</f>
        <v>0</v>
      </c>
      <c r="H1181" s="38" t="s">
        <v>10</v>
      </c>
    </row>
    <row r="1182" spans="1:8" x14ac:dyDescent="0.25">
      <c r="A1182" s="31">
        <v>44603</v>
      </c>
      <c r="B1182" s="37" t="s">
        <v>4893</v>
      </c>
      <c r="C1182" s="38" t="s">
        <v>9</v>
      </c>
      <c r="D1182" s="34">
        <v>6985.1</v>
      </c>
      <c r="E1182" s="35">
        <v>44603</v>
      </c>
      <c r="F1182" s="34">
        <v>6985.1</v>
      </c>
      <c r="G1182" s="36">
        <f>Tabla13[[#This Row],[Importe]]-Tabla13[[#This Row],[Pagado]]</f>
        <v>0</v>
      </c>
      <c r="H1182" s="38" t="s">
        <v>10</v>
      </c>
    </row>
    <row r="1183" spans="1:8" x14ac:dyDescent="0.25">
      <c r="A1183" s="31">
        <v>44603</v>
      </c>
      <c r="B1183" s="37" t="s">
        <v>4894</v>
      </c>
      <c r="C1183" s="38" t="s">
        <v>97</v>
      </c>
      <c r="D1183" s="34">
        <v>8398.6</v>
      </c>
      <c r="E1183" s="35">
        <v>44604</v>
      </c>
      <c r="F1183" s="34">
        <v>8398.6</v>
      </c>
      <c r="G1183" s="36">
        <f>Tabla13[[#This Row],[Importe]]-Tabla13[[#This Row],[Pagado]]</f>
        <v>0</v>
      </c>
      <c r="H1183" s="38" t="s">
        <v>10</v>
      </c>
    </row>
    <row r="1184" spans="1:8" x14ac:dyDescent="0.25">
      <c r="A1184" s="31">
        <v>44603</v>
      </c>
      <c r="B1184" s="37" t="s">
        <v>4895</v>
      </c>
      <c r="C1184" s="38" t="s">
        <v>105</v>
      </c>
      <c r="D1184" s="34">
        <v>6976.1</v>
      </c>
      <c r="E1184" s="35">
        <v>44604</v>
      </c>
      <c r="F1184" s="34">
        <v>6976.1</v>
      </c>
      <c r="G1184" s="36">
        <f>Tabla13[[#This Row],[Importe]]-Tabla13[[#This Row],[Pagado]]</f>
        <v>0</v>
      </c>
      <c r="H1184" s="38" t="s">
        <v>10</v>
      </c>
    </row>
    <row r="1185" spans="1:8" x14ac:dyDescent="0.25">
      <c r="A1185" s="31">
        <v>44603</v>
      </c>
      <c r="B1185" s="37" t="s">
        <v>4896</v>
      </c>
      <c r="C1185" s="38" t="s">
        <v>89</v>
      </c>
      <c r="D1185" s="34">
        <v>7401.6</v>
      </c>
      <c r="E1185" s="35">
        <v>44604</v>
      </c>
      <c r="F1185" s="34">
        <v>7401.6</v>
      </c>
      <c r="G1185" s="36">
        <f>Tabla13[[#This Row],[Importe]]-Tabla13[[#This Row],[Pagado]]</f>
        <v>0</v>
      </c>
      <c r="H1185" s="38" t="s">
        <v>10</v>
      </c>
    </row>
    <row r="1186" spans="1:8" x14ac:dyDescent="0.25">
      <c r="A1186" s="31">
        <v>44603</v>
      </c>
      <c r="B1186" s="37" t="s">
        <v>4897</v>
      </c>
      <c r="C1186" s="38" t="s">
        <v>114</v>
      </c>
      <c r="D1186" s="34">
        <v>5441</v>
      </c>
      <c r="E1186" s="35">
        <v>44604</v>
      </c>
      <c r="F1186" s="34">
        <v>5441</v>
      </c>
      <c r="G1186" s="36">
        <f>Tabla13[[#This Row],[Importe]]-Tabla13[[#This Row],[Pagado]]</f>
        <v>0</v>
      </c>
      <c r="H1186" s="38" t="s">
        <v>10</v>
      </c>
    </row>
    <row r="1187" spans="1:8" x14ac:dyDescent="0.25">
      <c r="A1187" s="31">
        <v>44603</v>
      </c>
      <c r="B1187" s="37" t="s">
        <v>4898</v>
      </c>
      <c r="C1187" s="38" t="s">
        <v>18</v>
      </c>
      <c r="D1187" s="34">
        <v>1240.5</v>
      </c>
      <c r="E1187" s="35">
        <v>44603</v>
      </c>
      <c r="F1187" s="34">
        <v>1240.5</v>
      </c>
      <c r="G1187" s="36">
        <f>Tabla13[[#This Row],[Importe]]-Tabla13[[#This Row],[Pagado]]</f>
        <v>0</v>
      </c>
      <c r="H1187" s="38" t="s">
        <v>10</v>
      </c>
    </row>
    <row r="1188" spans="1:8" ht="31.5" x14ac:dyDescent="0.25">
      <c r="A1188" s="31">
        <v>44603</v>
      </c>
      <c r="B1188" s="37" t="s">
        <v>4899</v>
      </c>
      <c r="C1188" s="38" t="s">
        <v>39</v>
      </c>
      <c r="D1188" s="34">
        <v>15283.7</v>
      </c>
      <c r="E1188" s="35" t="s">
        <v>4900</v>
      </c>
      <c r="F1188" s="34">
        <f>6000+9283.7</f>
        <v>15283.7</v>
      </c>
      <c r="G1188" s="36">
        <f>Tabla13[[#This Row],[Importe]]-Tabla13[[#This Row],[Pagado]]</f>
        <v>0</v>
      </c>
      <c r="H1188" s="38" t="s">
        <v>10</v>
      </c>
    </row>
    <row r="1189" spans="1:8" x14ac:dyDescent="0.25">
      <c r="A1189" s="31">
        <v>44603</v>
      </c>
      <c r="B1189" s="37" t="s">
        <v>4901</v>
      </c>
      <c r="C1189" s="38" t="s">
        <v>345</v>
      </c>
      <c r="D1189" s="34">
        <v>391</v>
      </c>
      <c r="E1189" s="35">
        <v>44603</v>
      </c>
      <c r="F1189" s="34">
        <v>391</v>
      </c>
      <c r="G1189" s="36">
        <f>Tabla13[[#This Row],[Importe]]-Tabla13[[#This Row],[Pagado]]</f>
        <v>0</v>
      </c>
      <c r="H1189" s="38" t="s">
        <v>10</v>
      </c>
    </row>
    <row r="1190" spans="1:8" x14ac:dyDescent="0.25">
      <c r="A1190" s="31">
        <v>44603</v>
      </c>
      <c r="B1190" s="37" t="s">
        <v>4902</v>
      </c>
      <c r="C1190" s="38" t="s">
        <v>93</v>
      </c>
      <c r="D1190" s="34">
        <v>4927.3999999999996</v>
      </c>
      <c r="E1190" s="35">
        <v>44604</v>
      </c>
      <c r="F1190" s="34">
        <v>4927.3999999999996</v>
      </c>
      <c r="G1190" s="36">
        <f>Tabla13[[#This Row],[Importe]]-Tabla13[[#This Row],[Pagado]]</f>
        <v>0</v>
      </c>
      <c r="H1190" s="38" t="s">
        <v>10</v>
      </c>
    </row>
    <row r="1191" spans="1:8" x14ac:dyDescent="0.25">
      <c r="A1191" s="31">
        <v>44603</v>
      </c>
      <c r="B1191" s="37" t="s">
        <v>4903</v>
      </c>
      <c r="C1191" s="38" t="s">
        <v>99</v>
      </c>
      <c r="D1191" s="34">
        <v>4890</v>
      </c>
      <c r="E1191" s="35">
        <v>44604</v>
      </c>
      <c r="F1191" s="34">
        <v>4890</v>
      </c>
      <c r="G1191" s="36">
        <f>Tabla13[[#This Row],[Importe]]-Tabla13[[#This Row],[Pagado]]</f>
        <v>0</v>
      </c>
      <c r="H1191" s="38" t="s">
        <v>10</v>
      </c>
    </row>
    <row r="1192" spans="1:8" x14ac:dyDescent="0.25">
      <c r="A1192" s="31">
        <v>44603</v>
      </c>
      <c r="B1192" s="37" t="s">
        <v>4904</v>
      </c>
      <c r="C1192" s="38" t="s">
        <v>64</v>
      </c>
      <c r="D1192" s="34">
        <v>8116.8</v>
      </c>
      <c r="E1192" s="35">
        <v>44604</v>
      </c>
      <c r="F1192" s="34">
        <v>8116.8</v>
      </c>
      <c r="G1192" s="36">
        <f>Tabla13[[#This Row],[Importe]]-Tabla13[[#This Row],[Pagado]]</f>
        <v>0</v>
      </c>
      <c r="H1192" s="38" t="s">
        <v>10</v>
      </c>
    </row>
    <row r="1193" spans="1:8" x14ac:dyDescent="0.25">
      <c r="A1193" s="31">
        <v>44603</v>
      </c>
      <c r="B1193" s="37" t="s">
        <v>4905</v>
      </c>
      <c r="C1193" s="38" t="s">
        <v>60</v>
      </c>
      <c r="D1193" s="34">
        <v>3661.8</v>
      </c>
      <c r="E1193" s="35">
        <v>44606</v>
      </c>
      <c r="F1193" s="34">
        <v>3661.8</v>
      </c>
      <c r="G1193" s="36">
        <f>Tabla13[[#This Row],[Importe]]-Tabla13[[#This Row],[Pagado]]</f>
        <v>0</v>
      </c>
      <c r="H1193" s="38" t="s">
        <v>10</v>
      </c>
    </row>
    <row r="1194" spans="1:8" x14ac:dyDescent="0.25">
      <c r="A1194" s="31">
        <v>44603</v>
      </c>
      <c r="B1194" s="37" t="s">
        <v>4906</v>
      </c>
      <c r="C1194" s="38" t="s">
        <v>111</v>
      </c>
      <c r="D1194" s="34">
        <v>4659.8999999999996</v>
      </c>
      <c r="E1194" s="35">
        <v>44604</v>
      </c>
      <c r="F1194" s="34">
        <v>4659.8999999999996</v>
      </c>
      <c r="G1194" s="36">
        <f>Tabla13[[#This Row],[Importe]]-Tabla13[[#This Row],[Pagado]]</f>
        <v>0</v>
      </c>
      <c r="H1194" s="38" t="s">
        <v>10</v>
      </c>
    </row>
    <row r="1195" spans="1:8" x14ac:dyDescent="0.25">
      <c r="A1195" s="31">
        <v>44603</v>
      </c>
      <c r="B1195" s="37" t="s">
        <v>4907</v>
      </c>
      <c r="C1195" s="38" t="s">
        <v>2563</v>
      </c>
      <c r="D1195" s="34">
        <v>3819.9</v>
      </c>
      <c r="E1195" s="35">
        <v>44603</v>
      </c>
      <c r="F1195" s="34">
        <v>3819.9</v>
      </c>
      <c r="G1195" s="36">
        <f>Tabla13[[#This Row],[Importe]]-Tabla13[[#This Row],[Pagado]]</f>
        <v>0</v>
      </c>
      <c r="H1195" s="38" t="s">
        <v>10</v>
      </c>
    </row>
    <row r="1196" spans="1:8" x14ac:dyDescent="0.25">
      <c r="A1196" s="31">
        <v>44603</v>
      </c>
      <c r="B1196" s="37" t="s">
        <v>4908</v>
      </c>
      <c r="C1196" s="38" t="s">
        <v>93</v>
      </c>
      <c r="D1196" s="34">
        <v>16366</v>
      </c>
      <c r="E1196" s="35">
        <v>44604</v>
      </c>
      <c r="F1196" s="34">
        <v>16366</v>
      </c>
      <c r="G1196" s="36">
        <f>Tabla13[[#This Row],[Importe]]-Tabla13[[#This Row],[Pagado]]</f>
        <v>0</v>
      </c>
      <c r="H1196" s="38" t="s">
        <v>10</v>
      </c>
    </row>
    <row r="1197" spans="1:8" x14ac:dyDescent="0.25">
      <c r="A1197" s="31">
        <v>44603</v>
      </c>
      <c r="B1197" s="37" t="s">
        <v>4909</v>
      </c>
      <c r="C1197" s="38" t="s">
        <v>87</v>
      </c>
      <c r="D1197" s="34">
        <v>2250.3000000000002</v>
      </c>
      <c r="E1197" s="35">
        <v>44603</v>
      </c>
      <c r="F1197" s="34">
        <v>2250.3000000000002</v>
      </c>
      <c r="G1197" s="36">
        <f>Tabla13[[#This Row],[Importe]]-Tabla13[[#This Row],[Pagado]]</f>
        <v>0</v>
      </c>
      <c r="H1197" s="38" t="s">
        <v>10</v>
      </c>
    </row>
    <row r="1198" spans="1:8" x14ac:dyDescent="0.25">
      <c r="A1198" s="31">
        <v>44603</v>
      </c>
      <c r="B1198" s="37" t="s">
        <v>4910</v>
      </c>
      <c r="C1198" s="38" t="s">
        <v>22</v>
      </c>
      <c r="D1198" s="34">
        <v>19869.599999999999</v>
      </c>
      <c r="E1198" s="35">
        <v>44605</v>
      </c>
      <c r="F1198" s="34">
        <v>19869.599999999999</v>
      </c>
      <c r="G1198" s="36">
        <f>Tabla13[[#This Row],[Importe]]-Tabla13[[#This Row],[Pagado]]</f>
        <v>0</v>
      </c>
      <c r="H1198" s="38" t="s">
        <v>10</v>
      </c>
    </row>
    <row r="1199" spans="1:8" x14ac:dyDescent="0.25">
      <c r="A1199" s="31">
        <v>44603</v>
      </c>
      <c r="B1199" s="37" t="s">
        <v>4911</v>
      </c>
      <c r="C1199" s="38" t="s">
        <v>314</v>
      </c>
      <c r="D1199" s="34">
        <v>2133.8000000000002</v>
      </c>
      <c r="E1199" s="35">
        <v>44603</v>
      </c>
      <c r="F1199" s="34">
        <v>2133.8000000000002</v>
      </c>
      <c r="G1199" s="36">
        <f>Tabla13[[#This Row],[Importe]]-Tabla13[[#This Row],[Pagado]]</f>
        <v>0</v>
      </c>
      <c r="H1199" s="38" t="s">
        <v>10</v>
      </c>
    </row>
    <row r="1200" spans="1:8" x14ac:dyDescent="0.25">
      <c r="A1200" s="31">
        <v>44603</v>
      </c>
      <c r="B1200" s="37" t="s">
        <v>4912</v>
      </c>
      <c r="C1200" s="38" t="s">
        <v>149</v>
      </c>
      <c r="D1200" s="34">
        <v>1700</v>
      </c>
      <c r="E1200" s="35">
        <v>44603</v>
      </c>
      <c r="F1200" s="34">
        <v>1700</v>
      </c>
      <c r="G1200" s="36">
        <f>Tabla13[[#This Row],[Importe]]-Tabla13[[#This Row],[Pagado]]</f>
        <v>0</v>
      </c>
      <c r="H1200" s="38" t="s">
        <v>10</v>
      </c>
    </row>
    <row r="1201" spans="1:8" x14ac:dyDescent="0.25">
      <c r="A1201" s="31">
        <v>44603</v>
      </c>
      <c r="B1201" s="37" t="s">
        <v>4913</v>
      </c>
      <c r="C1201" s="38" t="s">
        <v>924</v>
      </c>
      <c r="D1201" s="34">
        <v>9060</v>
      </c>
      <c r="E1201" s="35">
        <v>44603</v>
      </c>
      <c r="F1201" s="34">
        <v>9060</v>
      </c>
      <c r="G1201" s="36">
        <f>Tabla13[[#This Row],[Importe]]-Tabla13[[#This Row],[Pagado]]</f>
        <v>0</v>
      </c>
      <c r="H1201" s="38" t="s">
        <v>10</v>
      </c>
    </row>
    <row r="1202" spans="1:8" x14ac:dyDescent="0.25">
      <c r="A1202" s="31">
        <v>44603</v>
      </c>
      <c r="B1202" s="37" t="s">
        <v>4914</v>
      </c>
      <c r="C1202" s="38" t="s">
        <v>53</v>
      </c>
      <c r="D1202" s="34">
        <v>1028.8</v>
      </c>
      <c r="E1202" s="35">
        <v>44603</v>
      </c>
      <c r="F1202" s="34">
        <v>1028.8</v>
      </c>
      <c r="G1202" s="36">
        <f>Tabla13[[#This Row],[Importe]]-Tabla13[[#This Row],[Pagado]]</f>
        <v>0</v>
      </c>
      <c r="H1202" s="38" t="s">
        <v>10</v>
      </c>
    </row>
    <row r="1203" spans="1:8" x14ac:dyDescent="0.25">
      <c r="A1203" s="31">
        <v>44603</v>
      </c>
      <c r="B1203" s="37" t="s">
        <v>4915</v>
      </c>
      <c r="C1203" s="38" t="s">
        <v>31</v>
      </c>
      <c r="D1203" s="34">
        <v>396.8</v>
      </c>
      <c r="E1203" s="35">
        <v>44603</v>
      </c>
      <c r="F1203" s="34">
        <v>396.8</v>
      </c>
      <c r="G1203" s="36">
        <f>Tabla13[[#This Row],[Importe]]-Tabla13[[#This Row],[Pagado]]</f>
        <v>0</v>
      </c>
      <c r="H1203" s="38" t="s">
        <v>10</v>
      </c>
    </row>
    <row r="1204" spans="1:8" x14ac:dyDescent="0.25">
      <c r="A1204" s="31">
        <v>44603</v>
      </c>
      <c r="B1204" s="37" t="s">
        <v>4916</v>
      </c>
      <c r="C1204" s="38" t="s">
        <v>224</v>
      </c>
      <c r="D1204" s="34">
        <v>10505.8</v>
      </c>
      <c r="E1204" s="35">
        <v>44606</v>
      </c>
      <c r="F1204" s="34">
        <v>10505.8</v>
      </c>
      <c r="G1204" s="36">
        <f>Tabla13[[#This Row],[Importe]]-Tabla13[[#This Row],[Pagado]]</f>
        <v>0</v>
      </c>
      <c r="H1204" s="38" t="s">
        <v>10</v>
      </c>
    </row>
    <row r="1205" spans="1:8" x14ac:dyDescent="0.25">
      <c r="A1205" s="31">
        <v>44603</v>
      </c>
      <c r="B1205" s="37" t="s">
        <v>4917</v>
      </c>
      <c r="C1205" s="38" t="s">
        <v>2139</v>
      </c>
      <c r="D1205" s="34">
        <v>5465.7</v>
      </c>
      <c r="E1205" s="35">
        <v>44603</v>
      </c>
      <c r="F1205" s="34">
        <v>5465.7</v>
      </c>
      <c r="G1205" s="36">
        <f>Tabla13[[#This Row],[Importe]]-Tabla13[[#This Row],[Pagado]]</f>
        <v>0</v>
      </c>
      <c r="H1205" s="38" t="s">
        <v>10</v>
      </c>
    </row>
    <row r="1206" spans="1:8" x14ac:dyDescent="0.25">
      <c r="A1206" s="31">
        <v>44603</v>
      </c>
      <c r="B1206" s="37" t="s">
        <v>4918</v>
      </c>
      <c r="C1206" s="38" t="s">
        <v>146</v>
      </c>
      <c r="D1206" s="34">
        <v>3336.2</v>
      </c>
      <c r="E1206" s="35">
        <v>44603</v>
      </c>
      <c r="F1206" s="34">
        <v>3336.2</v>
      </c>
      <c r="G1206" s="36">
        <f>Tabla13[[#This Row],[Importe]]-Tabla13[[#This Row],[Pagado]]</f>
        <v>0</v>
      </c>
      <c r="H1206" s="38" t="s">
        <v>10</v>
      </c>
    </row>
    <row r="1207" spans="1:8" x14ac:dyDescent="0.25">
      <c r="A1207" s="31">
        <v>44603</v>
      </c>
      <c r="B1207" s="37" t="s">
        <v>4919</v>
      </c>
      <c r="C1207" s="38" t="s">
        <v>647</v>
      </c>
      <c r="D1207" s="34">
        <v>1905.1</v>
      </c>
      <c r="E1207" s="35">
        <v>44603</v>
      </c>
      <c r="F1207" s="34">
        <v>1905.1</v>
      </c>
      <c r="G1207" s="36">
        <f>Tabla13[[#This Row],[Importe]]-Tabla13[[#This Row],[Pagado]]</f>
        <v>0</v>
      </c>
      <c r="H1207" s="38" t="s">
        <v>10</v>
      </c>
    </row>
    <row r="1208" spans="1:8" x14ac:dyDescent="0.25">
      <c r="A1208" s="31">
        <v>44603</v>
      </c>
      <c r="B1208" s="37" t="s">
        <v>4920</v>
      </c>
      <c r="C1208" s="38" t="s">
        <v>27</v>
      </c>
      <c r="D1208" s="34">
        <v>3797.9</v>
      </c>
      <c r="E1208" s="35">
        <v>44603</v>
      </c>
      <c r="F1208" s="34">
        <v>3797.9</v>
      </c>
      <c r="G1208" s="36">
        <f>Tabla13[[#This Row],[Importe]]-Tabla13[[#This Row],[Pagado]]</f>
        <v>0</v>
      </c>
      <c r="H1208" s="38" t="s">
        <v>10</v>
      </c>
    </row>
    <row r="1209" spans="1:8" x14ac:dyDescent="0.25">
      <c r="A1209" s="31">
        <v>44603</v>
      </c>
      <c r="B1209" s="37" t="s">
        <v>4921</v>
      </c>
      <c r="C1209" s="38" t="s">
        <v>49</v>
      </c>
      <c r="D1209" s="34">
        <v>4851.3999999999996</v>
      </c>
      <c r="E1209" s="35">
        <v>44603</v>
      </c>
      <c r="F1209" s="34">
        <v>4851.3999999999996</v>
      </c>
      <c r="G1209" s="36">
        <f>Tabla13[[#This Row],[Importe]]-Tabla13[[#This Row],[Pagado]]</f>
        <v>0</v>
      </c>
      <c r="H1209" s="38" t="s">
        <v>10</v>
      </c>
    </row>
    <row r="1210" spans="1:8" x14ac:dyDescent="0.25">
      <c r="A1210" s="31">
        <v>44603</v>
      </c>
      <c r="B1210" s="37" t="s">
        <v>4922</v>
      </c>
      <c r="C1210" s="38" t="s">
        <v>125</v>
      </c>
      <c r="D1210" s="34">
        <v>5027.7</v>
      </c>
      <c r="E1210" s="35">
        <v>44603</v>
      </c>
      <c r="F1210" s="34">
        <v>5027.7</v>
      </c>
      <c r="G1210" s="36">
        <f>Tabla13[[#This Row],[Importe]]-Tabla13[[#This Row],[Pagado]]</f>
        <v>0</v>
      </c>
      <c r="H1210" s="38" t="s">
        <v>10</v>
      </c>
    </row>
    <row r="1211" spans="1:8" x14ac:dyDescent="0.25">
      <c r="A1211" s="31">
        <v>44603</v>
      </c>
      <c r="B1211" s="37" t="s">
        <v>4923</v>
      </c>
      <c r="C1211" s="38" t="s">
        <v>35</v>
      </c>
      <c r="D1211" s="34">
        <v>2730.3</v>
      </c>
      <c r="E1211" s="35">
        <v>44603</v>
      </c>
      <c r="F1211" s="34">
        <v>2730.3</v>
      </c>
      <c r="G1211" s="36">
        <f>Tabla13[[#This Row],[Importe]]-Tabla13[[#This Row],[Pagado]]</f>
        <v>0</v>
      </c>
      <c r="H1211" s="38" t="s">
        <v>10</v>
      </c>
    </row>
    <row r="1212" spans="1:8" x14ac:dyDescent="0.25">
      <c r="A1212" s="31">
        <v>44603</v>
      </c>
      <c r="B1212" s="37" t="s">
        <v>4924</v>
      </c>
      <c r="C1212" s="38" t="s">
        <v>703</v>
      </c>
      <c r="D1212" s="34">
        <v>4719.6000000000004</v>
      </c>
      <c r="E1212" s="35">
        <v>44603</v>
      </c>
      <c r="F1212" s="34">
        <v>4719.6000000000004</v>
      </c>
      <c r="G1212" s="36">
        <f>Tabla13[[#This Row],[Importe]]-Tabla13[[#This Row],[Pagado]]</f>
        <v>0</v>
      </c>
      <c r="H1212" s="38" t="s">
        <v>10</v>
      </c>
    </row>
    <row r="1213" spans="1:8" x14ac:dyDescent="0.25">
      <c r="A1213" s="31">
        <v>44603</v>
      </c>
      <c r="B1213" s="37" t="s">
        <v>4925</v>
      </c>
      <c r="C1213" s="38" t="s">
        <v>230</v>
      </c>
      <c r="D1213" s="34">
        <v>2560</v>
      </c>
      <c r="E1213" s="35">
        <v>44603</v>
      </c>
      <c r="F1213" s="34">
        <v>2560</v>
      </c>
      <c r="G1213" s="36">
        <f>Tabla13[[#This Row],[Importe]]-Tabla13[[#This Row],[Pagado]]</f>
        <v>0</v>
      </c>
      <c r="H1213" s="38" t="s">
        <v>10</v>
      </c>
    </row>
    <row r="1214" spans="1:8" x14ac:dyDescent="0.25">
      <c r="A1214" s="31">
        <v>44603</v>
      </c>
      <c r="B1214" s="37" t="s">
        <v>4926</v>
      </c>
      <c r="C1214" s="38" t="s">
        <v>196</v>
      </c>
      <c r="D1214" s="34">
        <v>55757.3</v>
      </c>
      <c r="E1214" s="35">
        <v>44603</v>
      </c>
      <c r="F1214" s="34">
        <v>55757.3</v>
      </c>
      <c r="G1214" s="36">
        <f>Tabla13[[#This Row],[Importe]]-Tabla13[[#This Row],[Pagado]]</f>
        <v>0</v>
      </c>
      <c r="H1214" s="38" t="s">
        <v>10</v>
      </c>
    </row>
    <row r="1215" spans="1:8" x14ac:dyDescent="0.25">
      <c r="A1215" s="31">
        <v>44603</v>
      </c>
      <c r="B1215" s="37" t="s">
        <v>4927</v>
      </c>
      <c r="C1215" s="38" t="s">
        <v>373</v>
      </c>
      <c r="D1215" s="34">
        <v>2854.8</v>
      </c>
      <c r="E1215" s="35">
        <v>44603</v>
      </c>
      <c r="F1215" s="34">
        <v>2854.8</v>
      </c>
      <c r="G1215" s="36">
        <f>Tabla13[[#This Row],[Importe]]-Tabla13[[#This Row],[Pagado]]</f>
        <v>0</v>
      </c>
      <c r="H1215" s="38" t="s">
        <v>10</v>
      </c>
    </row>
    <row r="1216" spans="1:8" x14ac:dyDescent="0.25">
      <c r="A1216" s="31">
        <v>44603</v>
      </c>
      <c r="B1216" s="37" t="s">
        <v>4928</v>
      </c>
      <c r="C1216" s="38" t="s">
        <v>216</v>
      </c>
      <c r="D1216" s="34">
        <v>1381.8</v>
      </c>
      <c r="E1216" s="35">
        <v>44603</v>
      </c>
      <c r="F1216" s="34">
        <v>1381.8</v>
      </c>
      <c r="G1216" s="36">
        <f>Tabla13[[#This Row],[Importe]]-Tabla13[[#This Row],[Pagado]]</f>
        <v>0</v>
      </c>
      <c r="H1216" s="38" t="s">
        <v>10</v>
      </c>
    </row>
    <row r="1217" spans="1:8" x14ac:dyDescent="0.25">
      <c r="A1217" s="31">
        <v>44603</v>
      </c>
      <c r="B1217" s="37" t="s">
        <v>4929</v>
      </c>
      <c r="C1217" s="38" t="s">
        <v>196</v>
      </c>
      <c r="D1217" s="34">
        <v>50617.440000000002</v>
      </c>
      <c r="E1217" s="35">
        <v>44603</v>
      </c>
      <c r="F1217" s="34">
        <v>50617.440000000002</v>
      </c>
      <c r="G1217" s="36">
        <f>Tabla13[[#This Row],[Importe]]-Tabla13[[#This Row],[Pagado]]</f>
        <v>0</v>
      </c>
      <c r="H1217" s="38" t="s">
        <v>10</v>
      </c>
    </row>
    <row r="1218" spans="1:8" x14ac:dyDescent="0.25">
      <c r="A1218" s="31">
        <v>44603</v>
      </c>
      <c r="B1218" s="37" t="s">
        <v>4930</v>
      </c>
      <c r="C1218" s="38" t="s">
        <v>29</v>
      </c>
      <c r="D1218" s="34">
        <v>3816.4</v>
      </c>
      <c r="E1218" s="35">
        <v>44603</v>
      </c>
      <c r="F1218" s="34">
        <v>3816.4</v>
      </c>
      <c r="G1218" s="36">
        <f>Tabla13[[#This Row],[Importe]]-Tabla13[[#This Row],[Pagado]]</f>
        <v>0</v>
      </c>
      <c r="H1218" s="38" t="s">
        <v>10</v>
      </c>
    </row>
    <row r="1219" spans="1:8" x14ac:dyDescent="0.25">
      <c r="A1219" s="31">
        <v>44603</v>
      </c>
      <c r="B1219" s="37" t="s">
        <v>4931</v>
      </c>
      <c r="C1219" s="38" t="s">
        <v>275</v>
      </c>
      <c r="D1219" s="34">
        <v>40314.800000000003</v>
      </c>
      <c r="E1219" s="35">
        <v>44610</v>
      </c>
      <c r="F1219" s="34">
        <v>40314.800000000003</v>
      </c>
      <c r="G1219" s="36">
        <f>Tabla13[[#This Row],[Importe]]-Tabla13[[#This Row],[Pagado]]</f>
        <v>0</v>
      </c>
      <c r="H1219" s="38" t="s">
        <v>10</v>
      </c>
    </row>
    <row r="1220" spans="1:8" x14ac:dyDescent="0.25">
      <c r="A1220" s="31">
        <v>44603</v>
      </c>
      <c r="B1220" s="37" t="s">
        <v>4932</v>
      </c>
      <c r="C1220" s="38" t="s">
        <v>56</v>
      </c>
      <c r="D1220" s="34">
        <v>7876.1</v>
      </c>
      <c r="E1220" s="35">
        <v>44603</v>
      </c>
      <c r="F1220" s="34">
        <v>7876.1</v>
      </c>
      <c r="G1220" s="36">
        <f>Tabla13[[#This Row],[Importe]]-Tabla13[[#This Row],[Pagado]]</f>
        <v>0</v>
      </c>
      <c r="H1220" s="38" t="s">
        <v>10</v>
      </c>
    </row>
    <row r="1221" spans="1:8" x14ac:dyDescent="0.25">
      <c r="A1221" s="31">
        <v>44603</v>
      </c>
      <c r="B1221" s="37" t="s">
        <v>4933</v>
      </c>
      <c r="C1221" s="38" t="s">
        <v>45</v>
      </c>
      <c r="D1221" s="34">
        <v>10779.3</v>
      </c>
      <c r="E1221" s="35">
        <v>44603</v>
      </c>
      <c r="F1221" s="34">
        <v>10779.3</v>
      </c>
      <c r="G1221" s="36">
        <f>Tabla13[[#This Row],[Importe]]-Tabla13[[#This Row],[Pagado]]</f>
        <v>0</v>
      </c>
      <c r="H1221" s="38" t="s">
        <v>10</v>
      </c>
    </row>
    <row r="1222" spans="1:8" x14ac:dyDescent="0.25">
      <c r="A1222" s="31">
        <v>44603</v>
      </c>
      <c r="B1222" s="37" t="s">
        <v>4934</v>
      </c>
      <c r="C1222" s="38" t="s">
        <v>212</v>
      </c>
      <c r="D1222" s="34">
        <v>33040.699999999997</v>
      </c>
      <c r="E1222" s="35">
        <v>44609</v>
      </c>
      <c r="F1222" s="34">
        <v>33040.699999999997</v>
      </c>
      <c r="G1222" s="36">
        <f>Tabla13[[#This Row],[Importe]]-Tabla13[[#This Row],[Pagado]]</f>
        <v>0</v>
      </c>
      <c r="H1222" s="38" t="s">
        <v>10</v>
      </c>
    </row>
    <row r="1223" spans="1:8" x14ac:dyDescent="0.25">
      <c r="A1223" s="31">
        <v>44603</v>
      </c>
      <c r="B1223" s="37" t="s">
        <v>4935</v>
      </c>
      <c r="C1223" s="38" t="s">
        <v>24</v>
      </c>
      <c r="D1223" s="34">
        <v>2645.4</v>
      </c>
      <c r="E1223" s="35">
        <v>44603</v>
      </c>
      <c r="F1223" s="34">
        <v>2645.4</v>
      </c>
      <c r="G1223" s="36">
        <f>Tabla13[[#This Row],[Importe]]-Tabla13[[#This Row],[Pagado]]</f>
        <v>0</v>
      </c>
      <c r="H1223" s="38" t="s">
        <v>10</v>
      </c>
    </row>
    <row r="1224" spans="1:8" x14ac:dyDescent="0.25">
      <c r="A1224" s="31">
        <v>44603</v>
      </c>
      <c r="B1224" s="37" t="s">
        <v>4936</v>
      </c>
      <c r="C1224" s="38" t="s">
        <v>142</v>
      </c>
      <c r="D1224" s="34">
        <v>32211.8</v>
      </c>
      <c r="E1224" s="35">
        <v>44617</v>
      </c>
      <c r="F1224" s="34">
        <v>32211.8</v>
      </c>
      <c r="G1224" s="36">
        <f>Tabla13[[#This Row],[Importe]]-Tabla13[[#This Row],[Pagado]]</f>
        <v>0</v>
      </c>
      <c r="H1224" s="38" t="s">
        <v>10</v>
      </c>
    </row>
    <row r="1225" spans="1:8" x14ac:dyDescent="0.25">
      <c r="A1225" s="31">
        <v>44603</v>
      </c>
      <c r="B1225" s="37" t="s">
        <v>4937</v>
      </c>
      <c r="C1225" s="38" t="s">
        <v>191</v>
      </c>
      <c r="D1225" s="34">
        <v>1481.8</v>
      </c>
      <c r="E1225" s="35">
        <v>44603</v>
      </c>
      <c r="F1225" s="34">
        <v>1481.8</v>
      </c>
      <c r="G1225" s="36">
        <f>Tabla13[[#This Row],[Importe]]-Tabla13[[#This Row],[Pagado]]</f>
        <v>0</v>
      </c>
      <c r="H1225" s="38" t="s">
        <v>10</v>
      </c>
    </row>
    <row r="1226" spans="1:8" x14ac:dyDescent="0.25">
      <c r="A1226" s="31">
        <v>44603</v>
      </c>
      <c r="B1226" s="37" t="s">
        <v>4938</v>
      </c>
      <c r="C1226" s="38" t="s">
        <v>202</v>
      </c>
      <c r="D1226" s="34">
        <v>367.2</v>
      </c>
      <c r="E1226" s="35">
        <v>44603</v>
      </c>
      <c r="F1226" s="34">
        <v>367.2</v>
      </c>
      <c r="G1226" s="36">
        <f>Tabla13[[#This Row],[Importe]]-Tabla13[[#This Row],[Pagado]]</f>
        <v>0</v>
      </c>
      <c r="H1226" s="38" t="s">
        <v>10</v>
      </c>
    </row>
    <row r="1227" spans="1:8" x14ac:dyDescent="0.25">
      <c r="A1227" s="31">
        <v>44603</v>
      </c>
      <c r="B1227" s="37" t="s">
        <v>4939</v>
      </c>
      <c r="C1227" s="38" t="s">
        <v>31</v>
      </c>
      <c r="D1227" s="34">
        <v>4051.4</v>
      </c>
      <c r="E1227" s="35">
        <v>44603</v>
      </c>
      <c r="F1227" s="34">
        <v>4051.4</v>
      </c>
      <c r="G1227" s="36">
        <f>Tabla13[[#This Row],[Importe]]-Tabla13[[#This Row],[Pagado]]</f>
        <v>0</v>
      </c>
      <c r="H1227" s="38" t="s">
        <v>10</v>
      </c>
    </row>
    <row r="1228" spans="1:8" x14ac:dyDescent="0.25">
      <c r="A1228" s="31">
        <v>44603</v>
      </c>
      <c r="B1228" s="37" t="s">
        <v>4940</v>
      </c>
      <c r="C1228" s="38" t="s">
        <v>244</v>
      </c>
      <c r="D1228" s="34">
        <v>6302</v>
      </c>
      <c r="E1228" s="35">
        <v>44603</v>
      </c>
      <c r="F1228" s="34">
        <v>6302</v>
      </c>
      <c r="G1228" s="36">
        <f>Tabla13[[#This Row],[Importe]]-Tabla13[[#This Row],[Pagado]]</f>
        <v>0</v>
      </c>
      <c r="H1228" s="38" t="s">
        <v>10</v>
      </c>
    </row>
    <row r="1229" spans="1:8" x14ac:dyDescent="0.25">
      <c r="A1229" s="31">
        <v>44603</v>
      </c>
      <c r="B1229" s="37" t="s">
        <v>4941</v>
      </c>
      <c r="C1229" s="38" t="s">
        <v>135</v>
      </c>
      <c r="D1229" s="34">
        <v>2138.1</v>
      </c>
      <c r="E1229" s="35">
        <v>44603</v>
      </c>
      <c r="F1229" s="34">
        <v>2138.1</v>
      </c>
      <c r="G1229" s="36">
        <f>Tabla13[[#This Row],[Importe]]-Tabla13[[#This Row],[Pagado]]</f>
        <v>0</v>
      </c>
      <c r="H1229" s="38" t="s">
        <v>10</v>
      </c>
    </row>
    <row r="1230" spans="1:8" x14ac:dyDescent="0.25">
      <c r="A1230" s="31">
        <v>44603</v>
      </c>
      <c r="B1230" s="37" t="s">
        <v>4942</v>
      </c>
      <c r="C1230" s="38" t="s">
        <v>131</v>
      </c>
      <c r="D1230" s="34">
        <v>16704</v>
      </c>
      <c r="E1230" s="35">
        <v>44603</v>
      </c>
      <c r="F1230" s="34">
        <v>16704</v>
      </c>
      <c r="G1230" s="36">
        <f>Tabla13[[#This Row],[Importe]]-Tabla13[[#This Row],[Pagado]]</f>
        <v>0</v>
      </c>
      <c r="H1230" s="38" t="s">
        <v>10</v>
      </c>
    </row>
    <row r="1231" spans="1:8" x14ac:dyDescent="0.25">
      <c r="A1231" s="31">
        <v>44603</v>
      </c>
      <c r="B1231" s="37" t="s">
        <v>4943</v>
      </c>
      <c r="C1231" s="38" t="s">
        <v>2114</v>
      </c>
      <c r="D1231" s="34">
        <v>1422</v>
      </c>
      <c r="E1231" s="35">
        <v>44603</v>
      </c>
      <c r="F1231" s="34">
        <v>1422</v>
      </c>
      <c r="G1231" s="36">
        <f>Tabla13[[#This Row],[Importe]]-Tabla13[[#This Row],[Pagado]]</f>
        <v>0</v>
      </c>
      <c r="H1231" s="38" t="s">
        <v>10</v>
      </c>
    </row>
    <row r="1232" spans="1:8" x14ac:dyDescent="0.25">
      <c r="A1232" s="31">
        <v>44603</v>
      </c>
      <c r="B1232" s="37" t="s">
        <v>4944</v>
      </c>
      <c r="C1232" s="38" t="s">
        <v>154</v>
      </c>
      <c r="D1232" s="34">
        <v>49166.5</v>
      </c>
      <c r="E1232" s="35">
        <v>44609</v>
      </c>
      <c r="F1232" s="34">
        <v>49166.5</v>
      </c>
      <c r="G1232" s="36">
        <f>Tabla13[[#This Row],[Importe]]-Tabla13[[#This Row],[Pagado]]</f>
        <v>0</v>
      </c>
      <c r="H1232" s="38" t="s">
        <v>10</v>
      </c>
    </row>
    <row r="1233" spans="1:8" x14ac:dyDescent="0.25">
      <c r="A1233" s="31">
        <v>44603</v>
      </c>
      <c r="B1233" s="37" t="s">
        <v>4945</v>
      </c>
      <c r="C1233" s="38" t="s">
        <v>51</v>
      </c>
      <c r="D1233" s="34">
        <v>3315.2</v>
      </c>
      <c r="E1233" s="35">
        <v>44603</v>
      </c>
      <c r="F1233" s="34">
        <v>3315.2</v>
      </c>
      <c r="G1233" s="36">
        <f>Tabla13[[#This Row],[Importe]]-Tabla13[[#This Row],[Pagado]]</f>
        <v>0</v>
      </c>
      <c r="H1233" s="38" t="s">
        <v>10</v>
      </c>
    </row>
    <row r="1234" spans="1:8" x14ac:dyDescent="0.25">
      <c r="A1234" s="31">
        <v>44603</v>
      </c>
      <c r="B1234" s="37" t="s">
        <v>4946</v>
      </c>
      <c r="C1234" s="38" t="s">
        <v>208</v>
      </c>
      <c r="D1234" s="34">
        <v>15838.02</v>
      </c>
      <c r="E1234" s="35">
        <v>44618</v>
      </c>
      <c r="F1234" s="34">
        <v>15838.02</v>
      </c>
      <c r="G1234" s="36">
        <f>Tabla13[[#This Row],[Importe]]-Tabla13[[#This Row],[Pagado]]</f>
        <v>0</v>
      </c>
      <c r="H1234" s="38" t="s">
        <v>10</v>
      </c>
    </row>
    <row r="1235" spans="1:8" x14ac:dyDescent="0.25">
      <c r="A1235" s="31">
        <v>44603</v>
      </c>
      <c r="B1235" s="37" t="s">
        <v>4947</v>
      </c>
      <c r="C1235" s="38" t="s">
        <v>206</v>
      </c>
      <c r="D1235" s="34">
        <v>33249.599999999999</v>
      </c>
      <c r="E1235" s="35">
        <v>44609</v>
      </c>
      <c r="F1235" s="34">
        <v>33249.599999999999</v>
      </c>
      <c r="G1235" s="36">
        <f>Tabla13[[#This Row],[Importe]]-Tabla13[[#This Row],[Pagado]]</f>
        <v>0</v>
      </c>
      <c r="H1235" s="38" t="s">
        <v>10</v>
      </c>
    </row>
    <row r="1236" spans="1:8" x14ac:dyDescent="0.25">
      <c r="A1236" s="31">
        <v>44603</v>
      </c>
      <c r="B1236" s="37" t="s">
        <v>4948</v>
      </c>
      <c r="C1236" s="38" t="s">
        <v>218</v>
      </c>
      <c r="D1236" s="34">
        <v>28563.9</v>
      </c>
      <c r="E1236" s="35">
        <v>44609</v>
      </c>
      <c r="F1236" s="34">
        <v>28563.9</v>
      </c>
      <c r="G1236" s="36">
        <f>Tabla13[[#This Row],[Importe]]-Tabla13[[#This Row],[Pagado]]</f>
        <v>0</v>
      </c>
      <c r="H1236" s="38" t="s">
        <v>10</v>
      </c>
    </row>
    <row r="1237" spans="1:8" x14ac:dyDescent="0.25">
      <c r="A1237" s="31">
        <v>44603</v>
      </c>
      <c r="B1237" s="37" t="s">
        <v>4949</v>
      </c>
      <c r="C1237" s="38" t="s">
        <v>67</v>
      </c>
      <c r="D1237" s="34">
        <v>8111.5</v>
      </c>
      <c r="E1237" s="35">
        <v>44603</v>
      </c>
      <c r="F1237" s="34">
        <v>8111.5</v>
      </c>
      <c r="G1237" s="36">
        <f>Tabla13[[#This Row],[Importe]]-Tabla13[[#This Row],[Pagado]]</f>
        <v>0</v>
      </c>
      <c r="H1237" s="38" t="s">
        <v>10</v>
      </c>
    </row>
    <row r="1238" spans="1:8" x14ac:dyDescent="0.25">
      <c r="A1238" s="31">
        <v>44603</v>
      </c>
      <c r="B1238" s="37" t="s">
        <v>4950</v>
      </c>
      <c r="C1238" s="38" t="s">
        <v>67</v>
      </c>
      <c r="D1238" s="34">
        <v>1462.1</v>
      </c>
      <c r="E1238" s="35">
        <v>44603</v>
      </c>
      <c r="F1238" s="34">
        <v>1462.1</v>
      </c>
      <c r="G1238" s="36">
        <f>Tabla13[[#This Row],[Importe]]-Tabla13[[#This Row],[Pagado]]</f>
        <v>0</v>
      </c>
      <c r="H1238" s="38" t="s">
        <v>10</v>
      </c>
    </row>
    <row r="1239" spans="1:8" x14ac:dyDescent="0.25">
      <c r="A1239" s="31">
        <v>44603</v>
      </c>
      <c r="B1239" s="37" t="s">
        <v>4951</v>
      </c>
      <c r="C1239" s="38" t="s">
        <v>31</v>
      </c>
      <c r="D1239" s="34">
        <v>653.4</v>
      </c>
      <c r="E1239" s="35">
        <v>44603</v>
      </c>
      <c r="F1239" s="34">
        <v>653.4</v>
      </c>
      <c r="G1239" s="36">
        <f>Tabla13[[#This Row],[Importe]]-Tabla13[[#This Row],[Pagado]]</f>
        <v>0</v>
      </c>
      <c r="H1239" s="38" t="s">
        <v>10</v>
      </c>
    </row>
    <row r="1240" spans="1:8" x14ac:dyDescent="0.25">
      <c r="A1240" s="31">
        <v>44603</v>
      </c>
      <c r="B1240" s="37" t="s">
        <v>4952</v>
      </c>
      <c r="C1240" s="38" t="s">
        <v>62</v>
      </c>
      <c r="D1240" s="34">
        <v>3970.8</v>
      </c>
      <c r="E1240" s="35">
        <v>44603</v>
      </c>
      <c r="F1240" s="34">
        <v>3970.8</v>
      </c>
      <c r="G1240" s="36">
        <f>Tabla13[[#This Row],[Importe]]-Tabla13[[#This Row],[Pagado]]</f>
        <v>0</v>
      </c>
      <c r="H1240" s="38" t="s">
        <v>10</v>
      </c>
    </row>
    <row r="1241" spans="1:8" x14ac:dyDescent="0.25">
      <c r="A1241" s="31">
        <v>44603</v>
      </c>
      <c r="B1241" s="37" t="s">
        <v>4953</v>
      </c>
      <c r="C1241" s="38" t="s">
        <v>179</v>
      </c>
      <c r="D1241" s="34">
        <v>752</v>
      </c>
      <c r="E1241" s="35">
        <v>44603</v>
      </c>
      <c r="F1241" s="34">
        <v>752</v>
      </c>
      <c r="G1241" s="36">
        <f>Tabla13[[#This Row],[Importe]]-Tabla13[[#This Row],[Pagado]]</f>
        <v>0</v>
      </c>
      <c r="H1241" s="38" t="s">
        <v>10</v>
      </c>
    </row>
    <row r="1242" spans="1:8" x14ac:dyDescent="0.25">
      <c r="A1242" s="31">
        <v>44603</v>
      </c>
      <c r="B1242" s="37" t="s">
        <v>4954</v>
      </c>
      <c r="C1242" s="38" t="s">
        <v>840</v>
      </c>
      <c r="D1242" s="34">
        <v>5356</v>
      </c>
      <c r="E1242" s="35">
        <v>44603</v>
      </c>
      <c r="F1242" s="34">
        <v>5356</v>
      </c>
      <c r="G1242" s="36">
        <f>Tabla13[[#This Row],[Importe]]-Tabla13[[#This Row],[Pagado]]</f>
        <v>0</v>
      </c>
      <c r="H1242" s="38" t="s">
        <v>10</v>
      </c>
    </row>
    <row r="1243" spans="1:8" x14ac:dyDescent="0.25">
      <c r="A1243" s="31">
        <v>44603</v>
      </c>
      <c r="B1243" s="37" t="s">
        <v>4955</v>
      </c>
      <c r="C1243" s="38" t="s">
        <v>1064</v>
      </c>
      <c r="D1243" s="34">
        <v>1450.8</v>
      </c>
      <c r="E1243" s="35">
        <v>44603</v>
      </c>
      <c r="F1243" s="34">
        <v>1450.8</v>
      </c>
      <c r="G1243" s="36">
        <f>Tabla13[[#This Row],[Importe]]-Tabla13[[#This Row],[Pagado]]</f>
        <v>0</v>
      </c>
      <c r="H1243" s="38" t="s">
        <v>10</v>
      </c>
    </row>
    <row r="1244" spans="1:8" x14ac:dyDescent="0.25">
      <c r="A1244" s="31">
        <v>44603</v>
      </c>
      <c r="B1244" s="37" t="s">
        <v>4956</v>
      </c>
      <c r="C1244" s="38" t="s">
        <v>409</v>
      </c>
      <c r="D1244" s="34">
        <v>10729.5</v>
      </c>
      <c r="E1244" s="35">
        <v>44616</v>
      </c>
      <c r="F1244" s="34">
        <v>10729.5</v>
      </c>
      <c r="G1244" s="36">
        <f>Tabla13[[#This Row],[Importe]]-Tabla13[[#This Row],[Pagado]]</f>
        <v>0</v>
      </c>
      <c r="H1244" s="38" t="s">
        <v>10</v>
      </c>
    </row>
    <row r="1245" spans="1:8" x14ac:dyDescent="0.25">
      <c r="A1245" s="31">
        <v>44603</v>
      </c>
      <c r="B1245" s="37" t="s">
        <v>4957</v>
      </c>
      <c r="C1245" s="38" t="s">
        <v>1313</v>
      </c>
      <c r="D1245" s="34">
        <v>2090</v>
      </c>
      <c r="E1245" s="35">
        <v>44603</v>
      </c>
      <c r="F1245" s="34">
        <v>2090</v>
      </c>
      <c r="G1245" s="36">
        <f>Tabla13[[#This Row],[Importe]]-Tabla13[[#This Row],[Pagado]]</f>
        <v>0</v>
      </c>
      <c r="H1245" s="38" t="s">
        <v>10</v>
      </c>
    </row>
    <row r="1246" spans="1:8" x14ac:dyDescent="0.25">
      <c r="A1246" s="31">
        <v>44603</v>
      </c>
      <c r="B1246" s="37" t="s">
        <v>4958</v>
      </c>
      <c r="C1246" s="38" t="s">
        <v>849</v>
      </c>
      <c r="D1246" s="34">
        <v>4208</v>
      </c>
      <c r="E1246" s="35">
        <v>44603</v>
      </c>
      <c r="F1246" s="34">
        <v>4208</v>
      </c>
      <c r="G1246" s="36">
        <f>Tabla13[[#This Row],[Importe]]-Tabla13[[#This Row],[Pagado]]</f>
        <v>0</v>
      </c>
      <c r="H1246" s="38" t="s">
        <v>10</v>
      </c>
    </row>
    <row r="1247" spans="1:8" x14ac:dyDescent="0.25">
      <c r="A1247" s="31">
        <v>44603</v>
      </c>
      <c r="B1247" s="37" t="s">
        <v>4959</v>
      </c>
      <c r="C1247" s="38" t="s">
        <v>849</v>
      </c>
      <c r="D1247" s="34">
        <v>1036</v>
      </c>
      <c r="E1247" s="35">
        <v>44603</v>
      </c>
      <c r="F1247" s="34">
        <v>1036</v>
      </c>
      <c r="G1247" s="36">
        <f>Tabla13[[#This Row],[Importe]]-Tabla13[[#This Row],[Pagado]]</f>
        <v>0</v>
      </c>
      <c r="H1247" s="38" t="s">
        <v>10</v>
      </c>
    </row>
    <row r="1248" spans="1:8" x14ac:dyDescent="0.25">
      <c r="A1248" s="31">
        <v>44603</v>
      </c>
      <c r="B1248" s="37" t="s">
        <v>4960</v>
      </c>
      <c r="C1248" s="38" t="s">
        <v>31</v>
      </c>
      <c r="D1248" s="34">
        <v>1969.3</v>
      </c>
      <c r="E1248" s="35">
        <v>44603</v>
      </c>
      <c r="F1248" s="34">
        <v>1969.3</v>
      </c>
      <c r="G1248" s="36">
        <f>Tabla13[[#This Row],[Importe]]-Tabla13[[#This Row],[Pagado]]</f>
        <v>0</v>
      </c>
      <c r="H1248" s="38" t="s">
        <v>10</v>
      </c>
    </row>
    <row r="1249" spans="1:8" x14ac:dyDescent="0.25">
      <c r="A1249" s="31">
        <v>44603</v>
      </c>
      <c r="B1249" s="37" t="s">
        <v>4961</v>
      </c>
      <c r="C1249" s="38" t="s">
        <v>198</v>
      </c>
      <c r="D1249" s="34">
        <v>5527</v>
      </c>
      <c r="E1249" s="35">
        <v>44607</v>
      </c>
      <c r="F1249" s="34">
        <v>5527</v>
      </c>
      <c r="G1249" s="36">
        <f>Tabla13[[#This Row],[Importe]]-Tabla13[[#This Row],[Pagado]]</f>
        <v>0</v>
      </c>
      <c r="H1249" s="38" t="s">
        <v>10</v>
      </c>
    </row>
    <row r="1250" spans="1:8" x14ac:dyDescent="0.25">
      <c r="A1250" s="31">
        <v>44603</v>
      </c>
      <c r="B1250" s="37" t="s">
        <v>4962</v>
      </c>
      <c r="C1250" s="38" t="s">
        <v>312</v>
      </c>
      <c r="D1250" s="34">
        <v>4172</v>
      </c>
      <c r="E1250" s="35">
        <v>44603</v>
      </c>
      <c r="F1250" s="34">
        <v>4172</v>
      </c>
      <c r="G1250" s="36">
        <f>Tabla13[[#This Row],[Importe]]-Tabla13[[#This Row],[Pagado]]</f>
        <v>0</v>
      </c>
      <c r="H1250" s="38" t="s">
        <v>10</v>
      </c>
    </row>
    <row r="1251" spans="1:8" x14ac:dyDescent="0.25">
      <c r="A1251" s="31">
        <v>44603</v>
      </c>
      <c r="B1251" s="37" t="s">
        <v>4963</v>
      </c>
      <c r="C1251" s="38" t="s">
        <v>75</v>
      </c>
      <c r="D1251" s="34">
        <v>4559</v>
      </c>
      <c r="E1251" s="35">
        <v>44603</v>
      </c>
      <c r="F1251" s="34">
        <v>4559</v>
      </c>
      <c r="G1251" s="36">
        <f>Tabla13[[#This Row],[Importe]]-Tabla13[[#This Row],[Pagado]]</f>
        <v>0</v>
      </c>
      <c r="H1251" s="38" t="s">
        <v>10</v>
      </c>
    </row>
    <row r="1252" spans="1:8" x14ac:dyDescent="0.25">
      <c r="A1252" s="31">
        <v>44603</v>
      </c>
      <c r="B1252" s="37" t="s">
        <v>4964</v>
      </c>
      <c r="C1252" s="38" t="s">
        <v>357</v>
      </c>
      <c r="D1252" s="34">
        <v>3835.8</v>
      </c>
      <c r="E1252" s="35">
        <v>44604</v>
      </c>
      <c r="F1252" s="34">
        <v>3835.8</v>
      </c>
      <c r="G1252" s="36">
        <f>Tabla13[[#This Row],[Importe]]-Tabla13[[#This Row],[Pagado]]</f>
        <v>0</v>
      </c>
      <c r="H1252" s="38" t="s">
        <v>10</v>
      </c>
    </row>
    <row r="1253" spans="1:8" x14ac:dyDescent="0.25">
      <c r="A1253" s="31">
        <v>44603</v>
      </c>
      <c r="B1253" s="37" t="s">
        <v>4965</v>
      </c>
      <c r="C1253" s="38" t="s">
        <v>181</v>
      </c>
      <c r="D1253" s="34">
        <v>9062.4</v>
      </c>
      <c r="E1253" s="35">
        <v>44604</v>
      </c>
      <c r="F1253" s="34">
        <v>9062.4</v>
      </c>
      <c r="G1253" s="36">
        <f>Tabla13[[#This Row],[Importe]]-Tabla13[[#This Row],[Pagado]]</f>
        <v>0</v>
      </c>
      <c r="H1253" s="38" t="s">
        <v>10</v>
      </c>
    </row>
    <row r="1254" spans="1:8" x14ac:dyDescent="0.25">
      <c r="A1254" s="31">
        <v>44603</v>
      </c>
      <c r="B1254" s="37" t="s">
        <v>4966</v>
      </c>
      <c r="C1254" s="38" t="s">
        <v>368</v>
      </c>
      <c r="D1254" s="34">
        <v>11994.4</v>
      </c>
      <c r="E1254" s="35">
        <v>44604</v>
      </c>
      <c r="F1254" s="34">
        <v>11994.4</v>
      </c>
      <c r="G1254" s="36">
        <f>Tabla13[[#This Row],[Importe]]-Tabla13[[#This Row],[Pagado]]</f>
        <v>0</v>
      </c>
      <c r="H1254" s="38" t="s">
        <v>10</v>
      </c>
    </row>
    <row r="1255" spans="1:8" x14ac:dyDescent="0.25">
      <c r="A1255" s="31">
        <v>44603</v>
      </c>
      <c r="B1255" s="37" t="s">
        <v>4967</v>
      </c>
      <c r="C1255" s="38" t="s">
        <v>175</v>
      </c>
      <c r="D1255" s="34">
        <v>13858.6</v>
      </c>
      <c r="E1255" s="35">
        <v>44604</v>
      </c>
      <c r="F1255" s="34">
        <v>13858.6</v>
      </c>
      <c r="G1255" s="36">
        <f>Tabla13[[#This Row],[Importe]]-Tabla13[[#This Row],[Pagado]]</f>
        <v>0</v>
      </c>
      <c r="H1255" s="38" t="s">
        <v>10</v>
      </c>
    </row>
    <row r="1256" spans="1:8" x14ac:dyDescent="0.25">
      <c r="A1256" s="31">
        <v>44603</v>
      </c>
      <c r="B1256" s="37" t="s">
        <v>4968</v>
      </c>
      <c r="C1256" s="38" t="s">
        <v>31</v>
      </c>
      <c r="D1256" s="34">
        <v>723.8</v>
      </c>
      <c r="E1256" s="35">
        <v>44603</v>
      </c>
      <c r="F1256" s="34">
        <v>723.8</v>
      </c>
      <c r="G1256" s="36">
        <f>Tabla13[[#This Row],[Importe]]-Tabla13[[#This Row],[Pagado]]</f>
        <v>0</v>
      </c>
      <c r="H1256" s="38" t="s">
        <v>10</v>
      </c>
    </row>
    <row r="1257" spans="1:8" x14ac:dyDescent="0.25">
      <c r="A1257" s="31">
        <v>44603</v>
      </c>
      <c r="B1257" s="37" t="s">
        <v>4969</v>
      </c>
      <c r="C1257" s="38" t="s">
        <v>129</v>
      </c>
      <c r="D1257" s="34">
        <v>4536.5</v>
      </c>
      <c r="E1257" s="35">
        <v>44604</v>
      </c>
      <c r="F1257" s="34">
        <v>4536.5</v>
      </c>
      <c r="G1257" s="36">
        <f>Tabla13[[#This Row],[Importe]]-Tabla13[[#This Row],[Pagado]]</f>
        <v>0</v>
      </c>
      <c r="H1257" s="38" t="s">
        <v>10</v>
      </c>
    </row>
    <row r="1258" spans="1:8" x14ac:dyDescent="0.25">
      <c r="A1258" s="31">
        <v>44603</v>
      </c>
      <c r="B1258" s="37" t="s">
        <v>4970</v>
      </c>
      <c r="C1258" s="38" t="s">
        <v>173</v>
      </c>
      <c r="D1258" s="34">
        <v>29012.6</v>
      </c>
      <c r="E1258" s="35">
        <v>44604</v>
      </c>
      <c r="F1258" s="34">
        <v>29012.6</v>
      </c>
      <c r="G1258" s="36">
        <f>Tabla13[[#This Row],[Importe]]-Tabla13[[#This Row],[Pagado]]</f>
        <v>0</v>
      </c>
      <c r="H1258" s="38" t="s">
        <v>10</v>
      </c>
    </row>
    <row r="1259" spans="1:8" x14ac:dyDescent="0.25">
      <c r="A1259" s="31">
        <v>44603</v>
      </c>
      <c r="B1259" s="37" t="s">
        <v>4971</v>
      </c>
      <c r="C1259" s="38" t="s">
        <v>414</v>
      </c>
      <c r="D1259" s="34">
        <v>15622.8</v>
      </c>
      <c r="E1259" s="35">
        <v>44603</v>
      </c>
      <c r="F1259" s="34">
        <v>15622.8</v>
      </c>
      <c r="G1259" s="36">
        <f>Tabla13[[#This Row],[Importe]]-Tabla13[[#This Row],[Pagado]]</f>
        <v>0</v>
      </c>
      <c r="H1259" s="38" t="s">
        <v>10</v>
      </c>
    </row>
    <row r="1260" spans="1:8" x14ac:dyDescent="0.25">
      <c r="A1260" s="31">
        <v>44603</v>
      </c>
      <c r="B1260" s="37" t="s">
        <v>4972</v>
      </c>
      <c r="C1260" s="38" t="s">
        <v>127</v>
      </c>
      <c r="D1260" s="34">
        <v>3773.6</v>
      </c>
      <c r="E1260" s="35">
        <v>44604</v>
      </c>
      <c r="F1260" s="34">
        <v>3773.6</v>
      </c>
      <c r="G1260" s="36">
        <f>Tabla13[[#This Row],[Importe]]-Tabla13[[#This Row],[Pagado]]</f>
        <v>0</v>
      </c>
      <c r="H1260" s="38" t="s">
        <v>10</v>
      </c>
    </row>
    <row r="1261" spans="1:8" x14ac:dyDescent="0.25">
      <c r="A1261" s="31">
        <v>44603</v>
      </c>
      <c r="B1261" s="37" t="s">
        <v>4973</v>
      </c>
      <c r="C1261" s="38" t="s">
        <v>339</v>
      </c>
      <c r="D1261" s="34">
        <v>1052.7</v>
      </c>
      <c r="E1261" s="35">
        <v>44604</v>
      </c>
      <c r="F1261" s="34">
        <v>1052.7</v>
      </c>
      <c r="G1261" s="36">
        <f>Tabla13[[#This Row],[Importe]]-Tabla13[[#This Row],[Pagado]]</f>
        <v>0</v>
      </c>
      <c r="H1261" s="38" t="s">
        <v>10</v>
      </c>
    </row>
    <row r="1262" spans="1:8" x14ac:dyDescent="0.25">
      <c r="A1262" s="31">
        <v>44603</v>
      </c>
      <c r="B1262" s="37" t="s">
        <v>4974</v>
      </c>
      <c r="C1262" s="38" t="s">
        <v>71</v>
      </c>
      <c r="D1262" s="34">
        <v>2352.1999999999998</v>
      </c>
      <c r="E1262" s="35">
        <v>44603</v>
      </c>
      <c r="F1262" s="34">
        <v>2352.1999999999998</v>
      </c>
      <c r="G1262" s="36">
        <f>Tabla13[[#This Row],[Importe]]-Tabla13[[#This Row],[Pagado]]</f>
        <v>0</v>
      </c>
      <c r="H1262" s="38" t="s">
        <v>10</v>
      </c>
    </row>
    <row r="1263" spans="1:8" x14ac:dyDescent="0.25">
      <c r="A1263" s="31">
        <v>44603</v>
      </c>
      <c r="B1263" s="37" t="s">
        <v>4975</v>
      </c>
      <c r="C1263" s="38" t="s">
        <v>426</v>
      </c>
      <c r="D1263" s="34">
        <v>3756</v>
      </c>
      <c r="E1263" s="35">
        <v>44604</v>
      </c>
      <c r="F1263" s="34">
        <v>3756</v>
      </c>
      <c r="G1263" s="36">
        <f>Tabla13[[#This Row],[Importe]]-Tabla13[[#This Row],[Pagado]]</f>
        <v>0</v>
      </c>
      <c r="H1263" s="38" t="s">
        <v>10</v>
      </c>
    </row>
    <row r="1264" spans="1:8" x14ac:dyDescent="0.25">
      <c r="A1264" s="31">
        <v>44603</v>
      </c>
      <c r="B1264" s="37" t="s">
        <v>4976</v>
      </c>
      <c r="C1264" s="38" t="s">
        <v>525</v>
      </c>
      <c r="D1264" s="34">
        <v>3298.3</v>
      </c>
      <c r="E1264" s="35">
        <v>44604</v>
      </c>
      <c r="F1264" s="34">
        <v>3298.3</v>
      </c>
      <c r="G1264" s="36">
        <f>Tabla13[[#This Row],[Importe]]-Tabla13[[#This Row],[Pagado]]</f>
        <v>0</v>
      </c>
      <c r="H1264" s="38" t="s">
        <v>10</v>
      </c>
    </row>
    <row r="1265" spans="1:8" x14ac:dyDescent="0.25">
      <c r="A1265" s="31">
        <v>44603</v>
      </c>
      <c r="B1265" s="37" t="s">
        <v>4977</v>
      </c>
      <c r="C1265" s="38" t="s">
        <v>183</v>
      </c>
      <c r="D1265" s="34">
        <v>1150</v>
      </c>
      <c r="E1265" s="35">
        <v>44604</v>
      </c>
      <c r="F1265" s="34">
        <v>1150</v>
      </c>
      <c r="G1265" s="36">
        <f>Tabla13[[#This Row],[Importe]]-Tabla13[[#This Row],[Pagado]]</f>
        <v>0</v>
      </c>
      <c r="H1265" s="38" t="s">
        <v>10</v>
      </c>
    </row>
    <row r="1266" spans="1:8" x14ac:dyDescent="0.25">
      <c r="A1266" s="31">
        <v>44603</v>
      </c>
      <c r="B1266" s="37" t="s">
        <v>4978</v>
      </c>
      <c r="C1266" s="38" t="s">
        <v>51</v>
      </c>
      <c r="D1266" s="34">
        <v>627.20000000000005</v>
      </c>
      <c r="E1266" s="35">
        <v>44603</v>
      </c>
      <c r="F1266" s="34">
        <v>627.20000000000005</v>
      </c>
      <c r="G1266" s="36">
        <f>Tabla13[[#This Row],[Importe]]-Tabla13[[#This Row],[Pagado]]</f>
        <v>0</v>
      </c>
      <c r="H1266" s="38" t="s">
        <v>10</v>
      </c>
    </row>
    <row r="1267" spans="1:8" x14ac:dyDescent="0.25">
      <c r="A1267" s="31">
        <v>44603</v>
      </c>
      <c r="B1267" s="37" t="s">
        <v>4979</v>
      </c>
      <c r="C1267" s="38" t="s">
        <v>31</v>
      </c>
      <c r="D1267" s="34">
        <v>394.8</v>
      </c>
      <c r="E1267" s="35">
        <v>44603</v>
      </c>
      <c r="F1267" s="34">
        <v>394.8</v>
      </c>
      <c r="G1267" s="36">
        <f>Tabla13[[#This Row],[Importe]]-Tabla13[[#This Row],[Pagado]]</f>
        <v>0</v>
      </c>
      <c r="H1267" s="38" t="s">
        <v>10</v>
      </c>
    </row>
    <row r="1268" spans="1:8" x14ac:dyDescent="0.25">
      <c r="A1268" s="31">
        <v>44603</v>
      </c>
      <c r="B1268" s="37" t="s">
        <v>4980</v>
      </c>
      <c r="C1268" s="38" t="s">
        <v>47</v>
      </c>
      <c r="D1268" s="34">
        <v>31832.92</v>
      </c>
      <c r="E1268" s="35">
        <v>44603</v>
      </c>
      <c r="F1268" s="34">
        <v>31832.92</v>
      </c>
      <c r="G1268" s="36">
        <f>Tabla13[[#This Row],[Importe]]-Tabla13[[#This Row],[Pagado]]</f>
        <v>0</v>
      </c>
      <c r="H1268" s="38" t="s">
        <v>10</v>
      </c>
    </row>
    <row r="1269" spans="1:8" x14ac:dyDescent="0.25">
      <c r="A1269" s="31">
        <v>44603</v>
      </c>
      <c r="B1269" s="37" t="s">
        <v>4981</v>
      </c>
      <c r="C1269" s="38" t="s">
        <v>107</v>
      </c>
      <c r="D1269" s="34">
        <v>8957.9</v>
      </c>
      <c r="E1269" s="35">
        <v>44604</v>
      </c>
      <c r="F1269" s="34">
        <v>8957.9</v>
      </c>
      <c r="G1269" s="36">
        <f>Tabla13[[#This Row],[Importe]]-Tabla13[[#This Row],[Pagado]]</f>
        <v>0</v>
      </c>
      <c r="H1269" s="38" t="s">
        <v>10</v>
      </c>
    </row>
    <row r="1270" spans="1:8" x14ac:dyDescent="0.25">
      <c r="A1270" s="31">
        <v>44603</v>
      </c>
      <c r="B1270" s="37" t="s">
        <v>4982</v>
      </c>
      <c r="C1270" s="38" t="s">
        <v>4983</v>
      </c>
      <c r="D1270" s="34">
        <v>0</v>
      </c>
      <c r="E1270" s="39" t="s">
        <v>189</v>
      </c>
      <c r="F1270" s="34">
        <v>0</v>
      </c>
      <c r="G1270" s="36">
        <f>Tabla13[[#This Row],[Importe]]-Tabla13[[#This Row],[Pagado]]</f>
        <v>0</v>
      </c>
      <c r="H1270" s="38" t="s">
        <v>189</v>
      </c>
    </row>
    <row r="1271" spans="1:8" x14ac:dyDescent="0.25">
      <c r="A1271" s="31">
        <v>44603</v>
      </c>
      <c r="B1271" s="37" t="s">
        <v>4984</v>
      </c>
      <c r="C1271" s="38" t="s">
        <v>144</v>
      </c>
      <c r="D1271" s="34">
        <v>4610</v>
      </c>
      <c r="E1271" s="35">
        <v>44604</v>
      </c>
      <c r="F1271" s="34">
        <v>4610</v>
      </c>
      <c r="G1271" s="36">
        <f>Tabla13[[#This Row],[Importe]]-Tabla13[[#This Row],[Pagado]]</f>
        <v>0</v>
      </c>
      <c r="H1271" s="38" t="s">
        <v>10</v>
      </c>
    </row>
    <row r="1272" spans="1:8" x14ac:dyDescent="0.25">
      <c r="A1272" s="31">
        <v>44603</v>
      </c>
      <c r="B1272" s="37" t="s">
        <v>4985</v>
      </c>
      <c r="C1272" s="38" t="s">
        <v>407</v>
      </c>
      <c r="D1272" s="34">
        <v>25125</v>
      </c>
      <c r="E1272" s="35">
        <v>44607</v>
      </c>
      <c r="F1272" s="34">
        <v>25125</v>
      </c>
      <c r="G1272" s="36">
        <f>Tabla13[[#This Row],[Importe]]-Tabla13[[#This Row],[Pagado]]</f>
        <v>0</v>
      </c>
      <c r="H1272" s="38" t="s">
        <v>10</v>
      </c>
    </row>
    <row r="1273" spans="1:8" x14ac:dyDescent="0.25">
      <c r="A1273" s="31">
        <v>44603</v>
      </c>
      <c r="B1273" s="37" t="s">
        <v>4986</v>
      </c>
      <c r="C1273" s="38" t="s">
        <v>380</v>
      </c>
      <c r="D1273" s="34">
        <v>12333.9</v>
      </c>
      <c r="E1273" s="35">
        <v>44604</v>
      </c>
      <c r="F1273" s="34">
        <v>12333.9</v>
      </c>
      <c r="G1273" s="36">
        <f>Tabla13[[#This Row],[Importe]]-Tabla13[[#This Row],[Pagado]]</f>
        <v>0</v>
      </c>
      <c r="H1273" s="38" t="s">
        <v>10</v>
      </c>
    </row>
    <row r="1274" spans="1:8" x14ac:dyDescent="0.25">
      <c r="A1274" s="31">
        <v>44603</v>
      </c>
      <c r="B1274" s="37" t="s">
        <v>4987</v>
      </c>
      <c r="C1274" s="38" t="s">
        <v>291</v>
      </c>
      <c r="D1274" s="34">
        <v>1878</v>
      </c>
      <c r="E1274" s="35">
        <v>44604</v>
      </c>
      <c r="F1274" s="34">
        <v>1878</v>
      </c>
      <c r="G1274" s="36">
        <f>Tabla13[[#This Row],[Importe]]-Tabla13[[#This Row],[Pagado]]</f>
        <v>0</v>
      </c>
      <c r="H1274" s="38" t="s">
        <v>10</v>
      </c>
    </row>
    <row r="1275" spans="1:8" x14ac:dyDescent="0.25">
      <c r="A1275" s="31">
        <v>44603</v>
      </c>
      <c r="B1275" s="37" t="s">
        <v>4988</v>
      </c>
      <c r="C1275" s="38" t="s">
        <v>151</v>
      </c>
      <c r="D1275" s="34">
        <v>8000</v>
      </c>
      <c r="E1275" s="35">
        <v>44604</v>
      </c>
      <c r="F1275" s="34">
        <v>8000</v>
      </c>
      <c r="G1275" s="36">
        <f>Tabla13[[#This Row],[Importe]]-Tabla13[[#This Row],[Pagado]]</f>
        <v>0</v>
      </c>
      <c r="H1275" s="38" t="s">
        <v>10</v>
      </c>
    </row>
    <row r="1276" spans="1:8" x14ac:dyDescent="0.25">
      <c r="A1276" s="31">
        <v>44603</v>
      </c>
      <c r="B1276" s="37" t="s">
        <v>4989</v>
      </c>
      <c r="C1276" s="38" t="s">
        <v>269</v>
      </c>
      <c r="D1276" s="34">
        <v>3630</v>
      </c>
      <c r="E1276" s="35">
        <v>44603</v>
      </c>
      <c r="F1276" s="34">
        <v>3630</v>
      </c>
      <c r="G1276" s="36">
        <f>Tabla13[[#This Row],[Importe]]-Tabla13[[#This Row],[Pagado]]</f>
        <v>0</v>
      </c>
      <c r="H1276" s="38" t="s">
        <v>10</v>
      </c>
    </row>
    <row r="1277" spans="1:8" x14ac:dyDescent="0.25">
      <c r="A1277" s="31">
        <v>44603</v>
      </c>
      <c r="B1277" s="37" t="s">
        <v>4990</v>
      </c>
      <c r="C1277" s="38" t="s">
        <v>273</v>
      </c>
      <c r="D1277" s="34">
        <v>1299.2</v>
      </c>
      <c r="E1277" s="35">
        <v>44604</v>
      </c>
      <c r="F1277" s="34">
        <v>1299.2</v>
      </c>
      <c r="G1277" s="36">
        <f>Tabla13[[#This Row],[Importe]]-Tabla13[[#This Row],[Pagado]]</f>
        <v>0</v>
      </c>
      <c r="H1277" s="38" t="s">
        <v>10</v>
      </c>
    </row>
    <row r="1278" spans="1:8" x14ac:dyDescent="0.25">
      <c r="A1278" s="31">
        <v>44603</v>
      </c>
      <c r="B1278" s="37" t="s">
        <v>4991</v>
      </c>
      <c r="C1278" s="38" t="s">
        <v>698</v>
      </c>
      <c r="D1278" s="34">
        <v>5273.4</v>
      </c>
      <c r="E1278" s="35">
        <v>44603</v>
      </c>
      <c r="F1278" s="34">
        <v>5273.4</v>
      </c>
      <c r="G1278" s="36">
        <f>Tabla13[[#This Row],[Importe]]-Tabla13[[#This Row],[Pagado]]</f>
        <v>0</v>
      </c>
      <c r="H1278" s="38" t="s">
        <v>10</v>
      </c>
    </row>
    <row r="1279" spans="1:8" x14ac:dyDescent="0.25">
      <c r="A1279" s="31">
        <v>44603</v>
      </c>
      <c r="B1279" s="37" t="s">
        <v>4992</v>
      </c>
      <c r="C1279" s="38" t="s">
        <v>142</v>
      </c>
      <c r="D1279" s="34">
        <v>400</v>
      </c>
      <c r="E1279" s="35">
        <v>44617</v>
      </c>
      <c r="F1279" s="34">
        <v>400</v>
      </c>
      <c r="G1279" s="36">
        <f>Tabla13[[#This Row],[Importe]]-Tabla13[[#This Row],[Pagado]]</f>
        <v>0</v>
      </c>
      <c r="H1279" s="38" t="s">
        <v>10</v>
      </c>
    </row>
    <row r="1280" spans="1:8" x14ac:dyDescent="0.25">
      <c r="A1280" s="31">
        <v>44603</v>
      </c>
      <c r="B1280" s="37" t="s">
        <v>4993</v>
      </c>
      <c r="C1280" s="38" t="s">
        <v>681</v>
      </c>
      <c r="D1280" s="34">
        <v>3.16</v>
      </c>
      <c r="E1280" s="35">
        <v>44608</v>
      </c>
      <c r="F1280" s="34">
        <v>3.16</v>
      </c>
      <c r="G1280" s="36">
        <f>Tabla13[[#This Row],[Importe]]-Tabla13[[#This Row],[Pagado]]</f>
        <v>0</v>
      </c>
      <c r="H1280" s="38" t="s">
        <v>10</v>
      </c>
    </row>
    <row r="1281" spans="1:8" x14ac:dyDescent="0.25">
      <c r="A1281" s="31">
        <v>44603</v>
      </c>
      <c r="B1281" s="37" t="s">
        <v>4994</v>
      </c>
      <c r="C1281" s="38" t="s">
        <v>520</v>
      </c>
      <c r="D1281" s="34">
        <v>3599.3</v>
      </c>
      <c r="E1281" s="35">
        <v>44604</v>
      </c>
      <c r="F1281" s="34">
        <v>3599.3</v>
      </c>
      <c r="G1281" s="36">
        <f>Tabla13[[#This Row],[Importe]]-Tabla13[[#This Row],[Pagado]]</f>
        <v>0</v>
      </c>
      <c r="H1281" s="38" t="s">
        <v>10</v>
      </c>
    </row>
    <row r="1282" spans="1:8" x14ac:dyDescent="0.25">
      <c r="A1282" s="31">
        <v>44603</v>
      </c>
      <c r="B1282" s="37" t="s">
        <v>4995</v>
      </c>
      <c r="C1282" s="38" t="s">
        <v>445</v>
      </c>
      <c r="D1282" s="34">
        <v>3206</v>
      </c>
      <c r="E1282" s="35">
        <v>44603</v>
      </c>
      <c r="F1282" s="34">
        <v>3206</v>
      </c>
      <c r="G1282" s="36">
        <f>Tabla13[[#This Row],[Importe]]-Tabla13[[#This Row],[Pagado]]</f>
        <v>0</v>
      </c>
      <c r="H1282" s="38" t="s">
        <v>10</v>
      </c>
    </row>
    <row r="1283" spans="1:8" x14ac:dyDescent="0.25">
      <c r="A1283" s="31">
        <v>44603</v>
      </c>
      <c r="B1283" s="37" t="s">
        <v>4996</v>
      </c>
      <c r="C1283" s="38" t="s">
        <v>157</v>
      </c>
      <c r="D1283" s="34">
        <v>1796</v>
      </c>
      <c r="E1283" s="35">
        <v>44604</v>
      </c>
      <c r="F1283" s="34">
        <v>1796</v>
      </c>
      <c r="G1283" s="36">
        <f>Tabla13[[#This Row],[Importe]]-Tabla13[[#This Row],[Pagado]]</f>
        <v>0</v>
      </c>
      <c r="H1283" s="38" t="s">
        <v>10</v>
      </c>
    </row>
    <row r="1284" spans="1:8" x14ac:dyDescent="0.25">
      <c r="A1284" s="31">
        <v>44603</v>
      </c>
      <c r="B1284" s="37" t="s">
        <v>4997</v>
      </c>
      <c r="C1284" s="38" t="s">
        <v>319</v>
      </c>
      <c r="D1284" s="34">
        <v>4899.8999999999996</v>
      </c>
      <c r="E1284" s="35">
        <v>44604</v>
      </c>
      <c r="F1284" s="34">
        <v>4899.8999999999996</v>
      </c>
      <c r="G1284" s="36">
        <f>Tabla13[[#This Row],[Importe]]-Tabla13[[#This Row],[Pagado]]</f>
        <v>0</v>
      </c>
      <c r="H1284" s="38" t="s">
        <v>10</v>
      </c>
    </row>
    <row r="1285" spans="1:8" x14ac:dyDescent="0.25">
      <c r="A1285" s="31">
        <v>44603</v>
      </c>
      <c r="B1285" s="37" t="s">
        <v>4998</v>
      </c>
      <c r="C1285" s="38" t="s">
        <v>79</v>
      </c>
      <c r="D1285" s="34">
        <v>6815</v>
      </c>
      <c r="E1285" s="35">
        <v>44604</v>
      </c>
      <c r="F1285" s="34">
        <v>6815</v>
      </c>
      <c r="G1285" s="36">
        <f>Tabla13[[#This Row],[Importe]]-Tabla13[[#This Row],[Pagado]]</f>
        <v>0</v>
      </c>
      <c r="H1285" s="38" t="s">
        <v>10</v>
      </c>
    </row>
    <row r="1286" spans="1:8" x14ac:dyDescent="0.25">
      <c r="A1286" s="31">
        <v>44603</v>
      </c>
      <c r="B1286" s="37" t="s">
        <v>4999</v>
      </c>
      <c r="C1286" s="38" t="s">
        <v>518</v>
      </c>
      <c r="D1286" s="34">
        <v>984.4</v>
      </c>
      <c r="E1286" s="35">
        <v>44604</v>
      </c>
      <c r="F1286" s="34">
        <v>984.4</v>
      </c>
      <c r="G1286" s="36">
        <f>Tabla13[[#This Row],[Importe]]-Tabla13[[#This Row],[Pagado]]</f>
        <v>0</v>
      </c>
      <c r="H1286" s="38" t="s">
        <v>10</v>
      </c>
    </row>
    <row r="1287" spans="1:8" x14ac:dyDescent="0.25">
      <c r="A1287" s="31">
        <v>44603</v>
      </c>
      <c r="B1287" s="37" t="s">
        <v>5000</v>
      </c>
      <c r="C1287" s="38" t="s">
        <v>79</v>
      </c>
      <c r="D1287" s="34">
        <v>3788.2</v>
      </c>
      <c r="E1287" s="35">
        <v>44604</v>
      </c>
      <c r="F1287" s="34">
        <v>3788.2</v>
      </c>
      <c r="G1287" s="36">
        <f>Tabla13[[#This Row],[Importe]]-Tabla13[[#This Row],[Pagado]]</f>
        <v>0</v>
      </c>
      <c r="H1287" s="38" t="s">
        <v>10</v>
      </c>
    </row>
    <row r="1288" spans="1:8" x14ac:dyDescent="0.25">
      <c r="A1288" s="31">
        <v>44603</v>
      </c>
      <c r="B1288" s="37" t="s">
        <v>5001</v>
      </c>
      <c r="C1288" s="38" t="s">
        <v>151</v>
      </c>
      <c r="D1288" s="34">
        <v>534.4</v>
      </c>
      <c r="E1288" s="35">
        <v>44604</v>
      </c>
      <c r="F1288" s="34">
        <v>534.4</v>
      </c>
      <c r="G1288" s="36">
        <f>Tabla13[[#This Row],[Importe]]-Tabla13[[#This Row],[Pagado]]</f>
        <v>0</v>
      </c>
      <c r="H1288" s="38" t="s">
        <v>10</v>
      </c>
    </row>
    <row r="1289" spans="1:8" x14ac:dyDescent="0.25">
      <c r="A1289" s="31">
        <v>44603</v>
      </c>
      <c r="B1289" s="37" t="s">
        <v>5002</v>
      </c>
      <c r="C1289" s="38" t="s">
        <v>396</v>
      </c>
      <c r="D1289" s="34">
        <v>8120</v>
      </c>
      <c r="E1289" s="35">
        <v>44607</v>
      </c>
      <c r="F1289" s="34">
        <v>8120</v>
      </c>
      <c r="G1289" s="36">
        <f>Tabla13[[#This Row],[Importe]]-Tabla13[[#This Row],[Pagado]]</f>
        <v>0</v>
      </c>
      <c r="H1289" s="38" t="s">
        <v>10</v>
      </c>
    </row>
    <row r="1290" spans="1:8" x14ac:dyDescent="0.25">
      <c r="A1290" s="31">
        <v>44603</v>
      </c>
      <c r="B1290" s="37" t="s">
        <v>5003</v>
      </c>
      <c r="C1290" s="38" t="s">
        <v>857</v>
      </c>
      <c r="D1290" s="34">
        <v>929</v>
      </c>
      <c r="E1290" s="35">
        <v>44603</v>
      </c>
      <c r="F1290" s="34">
        <v>929</v>
      </c>
      <c r="G1290" s="36">
        <f>Tabla13[[#This Row],[Importe]]-Tabla13[[#This Row],[Pagado]]</f>
        <v>0</v>
      </c>
      <c r="H1290" s="38" t="s">
        <v>10</v>
      </c>
    </row>
    <row r="1291" spans="1:8" x14ac:dyDescent="0.25">
      <c r="A1291" s="31">
        <v>44603</v>
      </c>
      <c r="B1291" s="37" t="s">
        <v>5004</v>
      </c>
      <c r="C1291" s="38" t="s">
        <v>280</v>
      </c>
      <c r="D1291" s="34">
        <v>719.1</v>
      </c>
      <c r="E1291" s="35">
        <v>44604</v>
      </c>
      <c r="F1291" s="34">
        <v>719.1</v>
      </c>
      <c r="G1291" s="36">
        <f>Tabla13[[#This Row],[Importe]]-Tabla13[[#This Row],[Pagado]]</f>
        <v>0</v>
      </c>
      <c r="H1291" s="38" t="s">
        <v>10</v>
      </c>
    </row>
    <row r="1292" spans="1:8" x14ac:dyDescent="0.25">
      <c r="A1292" s="31">
        <v>44603</v>
      </c>
      <c r="B1292" s="37" t="s">
        <v>5005</v>
      </c>
      <c r="C1292" s="38" t="s">
        <v>284</v>
      </c>
      <c r="D1292" s="34">
        <v>8582.2000000000007</v>
      </c>
      <c r="E1292" s="35">
        <v>44604</v>
      </c>
      <c r="F1292" s="34">
        <v>8582.2000000000007</v>
      </c>
      <c r="G1292" s="36">
        <f>Tabla13[[#This Row],[Importe]]-Tabla13[[#This Row],[Pagado]]</f>
        <v>0</v>
      </c>
      <c r="H1292" s="38" t="s">
        <v>10</v>
      </c>
    </row>
    <row r="1293" spans="1:8" x14ac:dyDescent="0.25">
      <c r="A1293" s="31">
        <v>44603</v>
      </c>
      <c r="B1293" s="37" t="s">
        <v>5006</v>
      </c>
      <c r="C1293" s="38" t="s">
        <v>282</v>
      </c>
      <c r="D1293" s="34">
        <v>4869.2</v>
      </c>
      <c r="E1293" s="35">
        <v>44604</v>
      </c>
      <c r="F1293" s="34">
        <v>4869.2</v>
      </c>
      <c r="G1293" s="36">
        <f>Tabla13[[#This Row],[Importe]]-Tabla13[[#This Row],[Pagado]]</f>
        <v>0</v>
      </c>
      <c r="H1293" s="38" t="s">
        <v>10</v>
      </c>
    </row>
    <row r="1294" spans="1:8" x14ac:dyDescent="0.25">
      <c r="A1294" s="31">
        <v>44603</v>
      </c>
      <c r="B1294" s="37" t="s">
        <v>5007</v>
      </c>
      <c r="C1294" s="38" t="s">
        <v>282</v>
      </c>
      <c r="D1294" s="34">
        <v>1414.7</v>
      </c>
      <c r="E1294" s="35">
        <v>44604</v>
      </c>
      <c r="F1294" s="34">
        <v>1414.7</v>
      </c>
      <c r="G1294" s="36">
        <f>Tabla13[[#This Row],[Importe]]-Tabla13[[#This Row],[Pagado]]</f>
        <v>0</v>
      </c>
      <c r="H1294" s="38" t="s">
        <v>10</v>
      </c>
    </row>
    <row r="1295" spans="1:8" x14ac:dyDescent="0.25">
      <c r="A1295" s="31">
        <v>44603</v>
      </c>
      <c r="B1295" s="37" t="s">
        <v>5008</v>
      </c>
      <c r="C1295" s="38" t="s">
        <v>31</v>
      </c>
      <c r="D1295" s="34">
        <v>1102.8</v>
      </c>
      <c r="E1295" s="35">
        <v>44603</v>
      </c>
      <c r="F1295" s="34">
        <v>1102.8</v>
      </c>
      <c r="G1295" s="36">
        <f>Tabla13[[#This Row],[Importe]]-Tabla13[[#This Row],[Pagado]]</f>
        <v>0</v>
      </c>
      <c r="H1295" s="38" t="s">
        <v>10</v>
      </c>
    </row>
    <row r="1296" spans="1:8" x14ac:dyDescent="0.25">
      <c r="A1296" s="31">
        <v>44603</v>
      </c>
      <c r="B1296" s="37" t="s">
        <v>5009</v>
      </c>
      <c r="C1296" s="38" t="s">
        <v>31</v>
      </c>
      <c r="D1296" s="34">
        <v>769</v>
      </c>
      <c r="E1296" s="35">
        <v>44603</v>
      </c>
      <c r="F1296" s="34">
        <v>769</v>
      </c>
      <c r="G1296" s="36">
        <f>Tabla13[[#This Row],[Importe]]-Tabla13[[#This Row],[Pagado]]</f>
        <v>0</v>
      </c>
      <c r="H1296" s="38" t="s">
        <v>10</v>
      </c>
    </row>
    <row r="1297" spans="1:8" x14ac:dyDescent="0.25">
      <c r="A1297" s="31">
        <v>44603</v>
      </c>
      <c r="B1297" s="37" t="s">
        <v>5010</v>
      </c>
      <c r="C1297" s="38" t="s">
        <v>371</v>
      </c>
      <c r="D1297" s="34">
        <v>32696.5</v>
      </c>
      <c r="E1297" s="35">
        <v>44604</v>
      </c>
      <c r="F1297" s="34">
        <v>32696.5</v>
      </c>
      <c r="G1297" s="36">
        <f>Tabla13[[#This Row],[Importe]]-Tabla13[[#This Row],[Pagado]]</f>
        <v>0</v>
      </c>
      <c r="H1297" s="38" t="s">
        <v>10</v>
      </c>
    </row>
    <row r="1298" spans="1:8" x14ac:dyDescent="0.25">
      <c r="A1298" s="31">
        <v>44603</v>
      </c>
      <c r="B1298" s="37" t="s">
        <v>5011</v>
      </c>
      <c r="C1298" s="38" t="s">
        <v>31</v>
      </c>
      <c r="D1298" s="34">
        <v>813.1</v>
      </c>
      <c r="E1298" s="35">
        <v>44603</v>
      </c>
      <c r="F1298" s="34">
        <v>813.1</v>
      </c>
      <c r="G1298" s="36">
        <f>Tabla13[[#This Row],[Importe]]-Tabla13[[#This Row],[Pagado]]</f>
        <v>0</v>
      </c>
      <c r="H1298" s="38" t="s">
        <v>10</v>
      </c>
    </row>
    <row r="1299" spans="1:8" x14ac:dyDescent="0.25">
      <c r="A1299" s="31">
        <v>44603</v>
      </c>
      <c r="B1299" s="37" t="s">
        <v>5012</v>
      </c>
      <c r="C1299" s="38" t="s">
        <v>31</v>
      </c>
      <c r="D1299" s="34">
        <v>226.2</v>
      </c>
      <c r="E1299" s="35">
        <v>44603</v>
      </c>
      <c r="F1299" s="34">
        <v>226.2</v>
      </c>
      <c r="G1299" s="36">
        <f>Tabla13[[#This Row],[Importe]]-Tabla13[[#This Row],[Pagado]]</f>
        <v>0</v>
      </c>
      <c r="H1299" s="38" t="s">
        <v>10</v>
      </c>
    </row>
    <row r="1300" spans="1:8" x14ac:dyDescent="0.25">
      <c r="A1300" s="31">
        <v>44603</v>
      </c>
      <c r="B1300" s="37" t="s">
        <v>5013</v>
      </c>
      <c r="C1300" s="38" t="s">
        <v>1016</v>
      </c>
      <c r="D1300" s="34">
        <v>4512.2</v>
      </c>
      <c r="E1300" s="35">
        <v>44603</v>
      </c>
      <c r="F1300" s="34">
        <v>4512.2</v>
      </c>
      <c r="G1300" s="36">
        <f>Tabla13[[#This Row],[Importe]]-Tabla13[[#This Row],[Pagado]]</f>
        <v>0</v>
      </c>
      <c r="H1300" s="38" t="s">
        <v>10</v>
      </c>
    </row>
    <row r="1301" spans="1:8" x14ac:dyDescent="0.25">
      <c r="A1301" s="31">
        <v>44603</v>
      </c>
      <c r="B1301" s="37" t="s">
        <v>5014</v>
      </c>
      <c r="C1301" s="38" t="s">
        <v>31</v>
      </c>
      <c r="D1301" s="34">
        <v>218.4</v>
      </c>
      <c r="E1301" s="35">
        <v>44603</v>
      </c>
      <c r="F1301" s="34">
        <v>218.4</v>
      </c>
      <c r="G1301" s="36">
        <f>Tabla13[[#This Row],[Importe]]-Tabla13[[#This Row],[Pagado]]</f>
        <v>0</v>
      </c>
      <c r="H1301" s="38" t="s">
        <v>10</v>
      </c>
    </row>
    <row r="1302" spans="1:8" x14ac:dyDescent="0.25">
      <c r="A1302" s="31">
        <v>44603</v>
      </c>
      <c r="B1302" s="37" t="s">
        <v>5015</v>
      </c>
      <c r="C1302" s="38" t="s">
        <v>872</v>
      </c>
      <c r="D1302" s="34">
        <v>3112.6</v>
      </c>
      <c r="E1302" s="35">
        <v>44603</v>
      </c>
      <c r="F1302" s="34">
        <v>3112.6</v>
      </c>
      <c r="G1302" s="36">
        <f>Tabla13[[#This Row],[Importe]]-Tabla13[[#This Row],[Pagado]]</f>
        <v>0</v>
      </c>
      <c r="H1302" s="38" t="s">
        <v>10</v>
      </c>
    </row>
    <row r="1303" spans="1:8" x14ac:dyDescent="0.25">
      <c r="A1303" s="31">
        <v>44603</v>
      </c>
      <c r="B1303" s="37" t="s">
        <v>5016</v>
      </c>
      <c r="C1303" s="38" t="s">
        <v>555</v>
      </c>
      <c r="D1303" s="34">
        <v>19216</v>
      </c>
      <c r="E1303" s="35">
        <v>44604</v>
      </c>
      <c r="F1303" s="34">
        <v>19216</v>
      </c>
      <c r="G1303" s="36">
        <f>Tabla13[[#This Row],[Importe]]-Tabla13[[#This Row],[Pagado]]</f>
        <v>0</v>
      </c>
      <c r="H1303" s="38" t="s">
        <v>10</v>
      </c>
    </row>
    <row r="1304" spans="1:8" x14ac:dyDescent="0.25">
      <c r="A1304" s="31">
        <v>44603</v>
      </c>
      <c r="B1304" s="37" t="s">
        <v>5017</v>
      </c>
      <c r="C1304" s="38" t="s">
        <v>31</v>
      </c>
      <c r="D1304" s="34">
        <v>625.1</v>
      </c>
      <c r="E1304" s="35">
        <v>44603</v>
      </c>
      <c r="F1304" s="34">
        <v>625.1</v>
      </c>
      <c r="G1304" s="36">
        <f>Tabla13[[#This Row],[Importe]]-Tabla13[[#This Row],[Pagado]]</f>
        <v>0</v>
      </c>
      <c r="H1304" s="38" t="s">
        <v>10</v>
      </c>
    </row>
    <row r="1305" spans="1:8" x14ac:dyDescent="0.25">
      <c r="A1305" s="31">
        <v>44603</v>
      </c>
      <c r="B1305" s="37" t="s">
        <v>5018</v>
      </c>
      <c r="C1305" s="38" t="s">
        <v>31</v>
      </c>
      <c r="D1305" s="34">
        <v>28</v>
      </c>
      <c r="E1305" s="35">
        <v>44603</v>
      </c>
      <c r="F1305" s="34">
        <v>28</v>
      </c>
      <c r="G1305" s="36">
        <f>Tabla13[[#This Row],[Importe]]-Tabla13[[#This Row],[Pagado]]</f>
        <v>0</v>
      </c>
      <c r="H1305" s="38" t="s">
        <v>10</v>
      </c>
    </row>
    <row r="1306" spans="1:8" x14ac:dyDescent="0.25">
      <c r="A1306" s="31">
        <v>44603</v>
      </c>
      <c r="B1306" s="37" t="s">
        <v>5019</v>
      </c>
      <c r="C1306" s="38" t="s">
        <v>261</v>
      </c>
      <c r="D1306" s="34">
        <v>29009.8</v>
      </c>
      <c r="E1306" s="35">
        <v>44604</v>
      </c>
      <c r="F1306" s="34">
        <v>29009.8</v>
      </c>
      <c r="G1306" s="36">
        <f>Tabla13[[#This Row],[Importe]]-Tabla13[[#This Row],[Pagado]]</f>
        <v>0</v>
      </c>
      <c r="H1306" s="38" t="s">
        <v>10</v>
      </c>
    </row>
    <row r="1307" spans="1:8" x14ac:dyDescent="0.25">
      <c r="A1307" s="31">
        <v>44603</v>
      </c>
      <c r="B1307" s="37" t="s">
        <v>5020</v>
      </c>
      <c r="C1307" s="38" t="s">
        <v>69</v>
      </c>
      <c r="D1307" s="34">
        <v>2547.4</v>
      </c>
      <c r="E1307" s="35">
        <v>44603</v>
      </c>
      <c r="F1307" s="34">
        <v>2547.4</v>
      </c>
      <c r="G1307" s="36">
        <f>Tabla13[[#This Row],[Importe]]-Tabla13[[#This Row],[Pagado]]</f>
        <v>0</v>
      </c>
      <c r="H1307" s="38" t="s">
        <v>10</v>
      </c>
    </row>
    <row r="1308" spans="1:8" x14ac:dyDescent="0.25">
      <c r="A1308" s="31">
        <v>44603</v>
      </c>
      <c r="B1308" s="37" t="s">
        <v>5021</v>
      </c>
      <c r="C1308" s="38" t="s">
        <v>2393</v>
      </c>
      <c r="D1308" s="34">
        <v>30313.1</v>
      </c>
      <c r="E1308" s="35">
        <v>44603</v>
      </c>
      <c r="F1308" s="34">
        <v>30313.1</v>
      </c>
      <c r="G1308" s="36">
        <f>Tabla13[[#This Row],[Importe]]-Tabla13[[#This Row],[Pagado]]</f>
        <v>0</v>
      </c>
      <c r="H1308" s="38" t="s">
        <v>10</v>
      </c>
    </row>
    <row r="1309" spans="1:8" x14ac:dyDescent="0.25">
      <c r="A1309" s="31">
        <v>44603</v>
      </c>
      <c r="B1309" s="37" t="s">
        <v>5022</v>
      </c>
      <c r="C1309" s="38" t="s">
        <v>442</v>
      </c>
      <c r="D1309" s="34">
        <v>28433.200000000001</v>
      </c>
      <c r="E1309" s="35">
        <v>44603</v>
      </c>
      <c r="F1309" s="34">
        <v>28433.200000000001</v>
      </c>
      <c r="G1309" s="36">
        <f>Tabla13[[#This Row],[Importe]]-Tabla13[[#This Row],[Pagado]]</f>
        <v>0</v>
      </c>
      <c r="H1309" s="38" t="s">
        <v>10</v>
      </c>
    </row>
    <row r="1310" spans="1:8" x14ac:dyDescent="0.25">
      <c r="A1310" s="31">
        <v>44603</v>
      </c>
      <c r="B1310" s="37" t="s">
        <v>5023</v>
      </c>
      <c r="C1310" s="38" t="s">
        <v>2393</v>
      </c>
      <c r="D1310" s="34">
        <v>809.1</v>
      </c>
      <c r="E1310" s="35">
        <v>44603</v>
      </c>
      <c r="F1310" s="34">
        <v>809.1</v>
      </c>
      <c r="G1310" s="36">
        <f>Tabla13[[#This Row],[Importe]]-Tabla13[[#This Row],[Pagado]]</f>
        <v>0</v>
      </c>
      <c r="H1310" s="38" t="s">
        <v>10</v>
      </c>
    </row>
    <row r="1311" spans="1:8" x14ac:dyDescent="0.25">
      <c r="A1311" s="31">
        <v>44603</v>
      </c>
      <c r="B1311" s="37" t="s">
        <v>5024</v>
      </c>
      <c r="C1311" s="38" t="s">
        <v>31</v>
      </c>
      <c r="D1311" s="34">
        <v>400</v>
      </c>
      <c r="E1311" s="35">
        <v>44603</v>
      </c>
      <c r="F1311" s="34">
        <v>400</v>
      </c>
      <c r="G1311" s="36">
        <f>Tabla13[[#This Row],[Importe]]-Tabla13[[#This Row],[Pagado]]</f>
        <v>0</v>
      </c>
      <c r="H1311" s="38" t="s">
        <v>10</v>
      </c>
    </row>
    <row r="1312" spans="1:8" x14ac:dyDescent="0.25">
      <c r="A1312" s="31">
        <v>44603</v>
      </c>
      <c r="B1312" s="37" t="s">
        <v>5025</v>
      </c>
      <c r="C1312" s="38" t="s">
        <v>414</v>
      </c>
      <c r="D1312" s="34">
        <v>36.75</v>
      </c>
      <c r="E1312" s="35">
        <v>44622</v>
      </c>
      <c r="F1312" s="34">
        <v>36.75</v>
      </c>
      <c r="G1312" s="36">
        <f>Tabla13[[#This Row],[Importe]]-Tabla13[[#This Row],[Pagado]]</f>
        <v>0</v>
      </c>
      <c r="H1312" s="38" t="s">
        <v>10</v>
      </c>
    </row>
    <row r="1313" spans="1:8" x14ac:dyDescent="0.25">
      <c r="A1313" s="31">
        <v>44603</v>
      </c>
      <c r="B1313" s="37" t="s">
        <v>5026</v>
      </c>
      <c r="C1313" s="38" t="s">
        <v>200</v>
      </c>
      <c r="D1313" s="34">
        <v>794.3</v>
      </c>
      <c r="E1313" s="35">
        <v>44604</v>
      </c>
      <c r="F1313" s="34">
        <v>794.3</v>
      </c>
      <c r="G1313" s="36">
        <f>Tabla13[[#This Row],[Importe]]-Tabla13[[#This Row],[Pagado]]</f>
        <v>0</v>
      </c>
      <c r="H1313" s="38" t="s">
        <v>10</v>
      </c>
    </row>
    <row r="1314" spans="1:8" x14ac:dyDescent="0.25">
      <c r="A1314" s="31">
        <v>44604</v>
      </c>
      <c r="B1314" s="37" t="s">
        <v>5027</v>
      </c>
      <c r="C1314" s="38" t="s">
        <v>887</v>
      </c>
      <c r="D1314" s="34">
        <v>21885.5</v>
      </c>
      <c r="E1314" s="35">
        <v>44606</v>
      </c>
      <c r="F1314" s="34">
        <v>21885.5</v>
      </c>
      <c r="G1314" s="36">
        <f>Tabla13[[#This Row],[Importe]]-Tabla13[[#This Row],[Pagado]]</f>
        <v>0</v>
      </c>
      <c r="H1314" s="38" t="s">
        <v>10</v>
      </c>
    </row>
    <row r="1315" spans="1:8" x14ac:dyDescent="0.25">
      <c r="A1315" s="31">
        <v>44604</v>
      </c>
      <c r="B1315" s="37" t="s">
        <v>5028</v>
      </c>
      <c r="C1315" s="38" t="s">
        <v>95</v>
      </c>
      <c r="D1315" s="34">
        <v>10800</v>
      </c>
      <c r="E1315" s="35">
        <v>44604</v>
      </c>
      <c r="F1315" s="34">
        <v>10800</v>
      </c>
      <c r="G1315" s="36">
        <f>Tabla13[[#This Row],[Importe]]-Tabla13[[#This Row],[Pagado]]</f>
        <v>0</v>
      </c>
      <c r="H1315" s="38" t="s">
        <v>10</v>
      </c>
    </row>
    <row r="1316" spans="1:8" x14ac:dyDescent="0.25">
      <c r="A1316" s="31">
        <v>44604</v>
      </c>
      <c r="B1316" s="37" t="s">
        <v>5029</v>
      </c>
      <c r="C1316" s="38" t="s">
        <v>481</v>
      </c>
      <c r="D1316" s="34">
        <v>1525.7</v>
      </c>
      <c r="E1316" s="35">
        <v>44604</v>
      </c>
      <c r="F1316" s="34">
        <v>1525.7</v>
      </c>
      <c r="G1316" s="36">
        <f>Tabla13[[#This Row],[Importe]]-Tabla13[[#This Row],[Pagado]]</f>
        <v>0</v>
      </c>
      <c r="H1316" s="38" t="s">
        <v>10</v>
      </c>
    </row>
    <row r="1317" spans="1:8" x14ac:dyDescent="0.25">
      <c r="A1317" s="31">
        <v>44604</v>
      </c>
      <c r="B1317" s="37" t="s">
        <v>5030</v>
      </c>
      <c r="C1317" s="38" t="s">
        <v>475</v>
      </c>
      <c r="D1317" s="34">
        <v>69428.7</v>
      </c>
      <c r="E1317" s="35">
        <v>44605</v>
      </c>
      <c r="F1317" s="34">
        <v>69428.7</v>
      </c>
      <c r="G1317" s="36">
        <f>Tabla13[[#This Row],[Importe]]-Tabla13[[#This Row],[Pagado]]</f>
        <v>0</v>
      </c>
      <c r="H1317" s="38" t="s">
        <v>10</v>
      </c>
    </row>
    <row r="1318" spans="1:8" x14ac:dyDescent="0.25">
      <c r="A1318" s="31">
        <v>44604</v>
      </c>
      <c r="B1318" s="37" t="s">
        <v>5031</v>
      </c>
      <c r="C1318" s="38" t="s">
        <v>31</v>
      </c>
      <c r="D1318" s="34">
        <v>5565.3</v>
      </c>
      <c r="E1318" s="35">
        <v>44604</v>
      </c>
      <c r="F1318" s="34">
        <v>5565.3</v>
      </c>
      <c r="G1318" s="36">
        <f>Tabla13[[#This Row],[Importe]]-Tabla13[[#This Row],[Pagado]]</f>
        <v>0</v>
      </c>
      <c r="H1318" s="38" t="s">
        <v>10</v>
      </c>
    </row>
    <row r="1319" spans="1:8" x14ac:dyDescent="0.25">
      <c r="A1319" s="31">
        <v>44604</v>
      </c>
      <c r="B1319" s="37" t="s">
        <v>5032</v>
      </c>
      <c r="C1319" s="38" t="s">
        <v>9</v>
      </c>
      <c r="D1319" s="34">
        <v>6909.4</v>
      </c>
      <c r="E1319" s="35">
        <v>44604</v>
      </c>
      <c r="F1319" s="34">
        <v>6909.4</v>
      </c>
      <c r="G1319" s="36">
        <f>Tabla13[[#This Row],[Importe]]-Tabla13[[#This Row],[Pagado]]</f>
        <v>0</v>
      </c>
      <c r="H1319" s="38" t="s">
        <v>10</v>
      </c>
    </row>
    <row r="1320" spans="1:8" x14ac:dyDescent="0.25">
      <c r="A1320" s="31">
        <v>44604</v>
      </c>
      <c r="B1320" s="37" t="s">
        <v>5033</v>
      </c>
      <c r="C1320" s="38" t="s">
        <v>12</v>
      </c>
      <c r="D1320" s="34">
        <v>64605.9</v>
      </c>
      <c r="E1320" s="35">
        <v>44605</v>
      </c>
      <c r="F1320" s="34">
        <v>64605.9</v>
      </c>
      <c r="G1320" s="36">
        <f>Tabla13[[#This Row],[Importe]]-Tabla13[[#This Row],[Pagado]]</f>
        <v>0</v>
      </c>
      <c r="H1320" s="38" t="s">
        <v>10</v>
      </c>
    </row>
    <row r="1321" spans="1:8" x14ac:dyDescent="0.25">
      <c r="A1321" s="31">
        <v>44604</v>
      </c>
      <c r="B1321" s="37" t="s">
        <v>5034</v>
      </c>
      <c r="C1321" s="38" t="s">
        <v>1313</v>
      </c>
      <c r="D1321" s="34">
        <v>11920</v>
      </c>
      <c r="E1321" s="35">
        <v>44604</v>
      </c>
      <c r="F1321" s="34">
        <v>11920</v>
      </c>
      <c r="G1321" s="36">
        <f>Tabla13[[#This Row],[Importe]]-Tabla13[[#This Row],[Pagado]]</f>
        <v>0</v>
      </c>
      <c r="H1321" s="38" t="s">
        <v>10</v>
      </c>
    </row>
    <row r="1322" spans="1:8" x14ac:dyDescent="0.25">
      <c r="A1322" s="31">
        <v>44604</v>
      </c>
      <c r="B1322" s="37" t="s">
        <v>5035</v>
      </c>
      <c r="C1322" s="38" t="s">
        <v>120</v>
      </c>
      <c r="D1322" s="34">
        <v>4406.3999999999996</v>
      </c>
      <c r="E1322" s="35">
        <v>44606</v>
      </c>
      <c r="F1322" s="34">
        <v>4406.3999999999996</v>
      </c>
      <c r="G1322" s="36">
        <f>Tabla13[[#This Row],[Importe]]-Tabla13[[#This Row],[Pagado]]</f>
        <v>0</v>
      </c>
      <c r="H1322" s="38" t="s">
        <v>10</v>
      </c>
    </row>
    <row r="1323" spans="1:8" x14ac:dyDescent="0.25">
      <c r="A1323" s="31">
        <v>44604</v>
      </c>
      <c r="B1323" s="37" t="s">
        <v>5036</v>
      </c>
      <c r="C1323" s="38" t="s">
        <v>118</v>
      </c>
      <c r="D1323" s="34">
        <v>4210</v>
      </c>
      <c r="E1323" s="35">
        <v>44604</v>
      </c>
      <c r="F1323" s="34">
        <v>4210</v>
      </c>
      <c r="G1323" s="36">
        <f>Tabla13[[#This Row],[Importe]]-Tabla13[[#This Row],[Pagado]]</f>
        <v>0</v>
      </c>
      <c r="H1323" s="38" t="s">
        <v>10</v>
      </c>
    </row>
    <row r="1324" spans="1:8" x14ac:dyDescent="0.25">
      <c r="A1324" s="31">
        <v>44604</v>
      </c>
      <c r="B1324" s="37" t="s">
        <v>5037</v>
      </c>
      <c r="C1324" s="38" t="s">
        <v>111</v>
      </c>
      <c r="D1324" s="34">
        <v>8080.1</v>
      </c>
      <c r="E1324" s="35">
        <v>44606</v>
      </c>
      <c r="F1324" s="34">
        <v>8080.1</v>
      </c>
      <c r="G1324" s="36">
        <f>Tabla13[[#This Row],[Importe]]-Tabla13[[#This Row],[Pagado]]</f>
        <v>0</v>
      </c>
      <c r="H1324" s="38" t="s">
        <v>10</v>
      </c>
    </row>
    <row r="1325" spans="1:8" x14ac:dyDescent="0.25">
      <c r="A1325" s="31">
        <v>44604</v>
      </c>
      <c r="B1325" s="37" t="s">
        <v>5038</v>
      </c>
      <c r="C1325" s="38" t="s">
        <v>326</v>
      </c>
      <c r="D1325" s="34">
        <v>8481.9</v>
      </c>
      <c r="E1325" s="35">
        <v>44606</v>
      </c>
      <c r="F1325" s="34">
        <v>8481.9</v>
      </c>
      <c r="G1325" s="36">
        <f>Tabla13[[#This Row],[Importe]]-Tabla13[[#This Row],[Pagado]]</f>
        <v>0</v>
      </c>
      <c r="H1325" s="38" t="s">
        <v>10</v>
      </c>
    </row>
    <row r="1326" spans="1:8" x14ac:dyDescent="0.25">
      <c r="A1326" s="31">
        <v>44604</v>
      </c>
      <c r="B1326" s="37" t="s">
        <v>5039</v>
      </c>
      <c r="C1326" s="38" t="s">
        <v>60</v>
      </c>
      <c r="D1326" s="34">
        <v>3539.4</v>
      </c>
      <c r="E1326" s="35">
        <v>44607</v>
      </c>
      <c r="F1326" s="34">
        <v>3539.4</v>
      </c>
      <c r="G1326" s="36">
        <f>Tabla13[[#This Row],[Importe]]-Tabla13[[#This Row],[Pagado]]</f>
        <v>0</v>
      </c>
      <c r="H1326" s="38" t="s">
        <v>10</v>
      </c>
    </row>
    <row r="1327" spans="1:8" x14ac:dyDescent="0.25">
      <c r="A1327" s="31">
        <v>44604</v>
      </c>
      <c r="B1327" s="37" t="s">
        <v>5040</v>
      </c>
      <c r="C1327" s="38" t="s">
        <v>89</v>
      </c>
      <c r="D1327" s="34">
        <v>6361.6</v>
      </c>
      <c r="E1327" s="35">
        <v>44606</v>
      </c>
      <c r="F1327" s="34">
        <v>6361.6</v>
      </c>
      <c r="G1327" s="36">
        <f>Tabla13[[#This Row],[Importe]]-Tabla13[[#This Row],[Pagado]]</f>
        <v>0</v>
      </c>
      <c r="H1327" s="38" t="s">
        <v>10</v>
      </c>
    </row>
    <row r="1328" spans="1:8" x14ac:dyDescent="0.25">
      <c r="A1328" s="31">
        <v>44604</v>
      </c>
      <c r="B1328" s="37" t="s">
        <v>5041</v>
      </c>
      <c r="C1328" s="38" t="s">
        <v>348</v>
      </c>
      <c r="D1328" s="34">
        <v>6336</v>
      </c>
      <c r="E1328" s="35">
        <v>44604</v>
      </c>
      <c r="F1328" s="34">
        <v>6336</v>
      </c>
      <c r="G1328" s="36">
        <f>Tabla13[[#This Row],[Importe]]-Tabla13[[#This Row],[Pagado]]</f>
        <v>0</v>
      </c>
      <c r="H1328" s="38" t="s">
        <v>10</v>
      </c>
    </row>
    <row r="1329" spans="1:8" x14ac:dyDescent="0.25">
      <c r="A1329" s="31">
        <v>44604</v>
      </c>
      <c r="B1329" s="37" t="s">
        <v>5042</v>
      </c>
      <c r="C1329" s="38" t="s">
        <v>5043</v>
      </c>
      <c r="D1329" s="34">
        <v>7655.1</v>
      </c>
      <c r="E1329" s="35">
        <v>44606</v>
      </c>
      <c r="F1329" s="34">
        <v>7655.1</v>
      </c>
      <c r="G1329" s="36">
        <f>Tabla13[[#This Row],[Importe]]-Tabla13[[#This Row],[Pagado]]</f>
        <v>0</v>
      </c>
      <c r="H1329" s="38" t="s">
        <v>10</v>
      </c>
    </row>
    <row r="1330" spans="1:8" x14ac:dyDescent="0.25">
      <c r="A1330" s="31">
        <v>44604</v>
      </c>
      <c r="B1330" s="37" t="s">
        <v>5044</v>
      </c>
      <c r="C1330" s="38" t="s">
        <v>93</v>
      </c>
      <c r="D1330" s="34">
        <v>13415.2</v>
      </c>
      <c r="E1330" s="35">
        <v>44606</v>
      </c>
      <c r="F1330" s="34">
        <v>13415.2</v>
      </c>
      <c r="G1330" s="36">
        <f>Tabla13[[#This Row],[Importe]]-Tabla13[[#This Row],[Pagado]]</f>
        <v>0</v>
      </c>
      <c r="H1330" s="38" t="s">
        <v>10</v>
      </c>
    </row>
    <row r="1331" spans="1:8" x14ac:dyDescent="0.25">
      <c r="A1331" s="31">
        <v>44604</v>
      </c>
      <c r="B1331" s="37" t="s">
        <v>5045</v>
      </c>
      <c r="C1331" s="38" t="s">
        <v>99</v>
      </c>
      <c r="D1331" s="34">
        <v>9461.2000000000007</v>
      </c>
      <c r="E1331" s="35">
        <v>44606</v>
      </c>
      <c r="F1331" s="34">
        <v>9461.2000000000007</v>
      </c>
      <c r="G1331" s="36">
        <f>Tabla13[[#This Row],[Importe]]-Tabla13[[#This Row],[Pagado]]</f>
        <v>0</v>
      </c>
      <c r="H1331" s="38" t="s">
        <v>10</v>
      </c>
    </row>
    <row r="1332" spans="1:8" x14ac:dyDescent="0.25">
      <c r="A1332" s="31">
        <v>44604</v>
      </c>
      <c r="B1332" s="37" t="s">
        <v>5046</v>
      </c>
      <c r="C1332" s="38" t="s">
        <v>345</v>
      </c>
      <c r="D1332" s="34">
        <v>745.2</v>
      </c>
      <c r="E1332" s="35">
        <v>44604</v>
      </c>
      <c r="F1332" s="34">
        <v>745.2</v>
      </c>
      <c r="G1332" s="36">
        <f>Tabla13[[#This Row],[Importe]]-Tabla13[[#This Row],[Pagado]]</f>
        <v>0</v>
      </c>
      <c r="H1332" s="38" t="s">
        <v>10</v>
      </c>
    </row>
    <row r="1333" spans="1:8" x14ac:dyDescent="0.25">
      <c r="A1333" s="31">
        <v>44604</v>
      </c>
      <c r="B1333" s="37" t="s">
        <v>5047</v>
      </c>
      <c r="C1333" s="38" t="s">
        <v>105</v>
      </c>
      <c r="D1333" s="34">
        <v>12545.4</v>
      </c>
      <c r="E1333" s="35">
        <v>44606</v>
      </c>
      <c r="F1333" s="34">
        <v>12545.4</v>
      </c>
      <c r="G1333" s="36">
        <f>Tabla13[[#This Row],[Importe]]-Tabla13[[#This Row],[Pagado]]</f>
        <v>0</v>
      </c>
      <c r="H1333" s="38" t="s">
        <v>10</v>
      </c>
    </row>
    <row r="1334" spans="1:8" x14ac:dyDescent="0.25">
      <c r="A1334" s="31">
        <v>44604</v>
      </c>
      <c r="B1334" s="37" t="s">
        <v>5048</v>
      </c>
      <c r="C1334" s="38" t="s">
        <v>97</v>
      </c>
      <c r="D1334" s="34">
        <v>7374.5</v>
      </c>
      <c r="E1334" s="35">
        <v>44606</v>
      </c>
      <c r="F1334" s="34">
        <v>7374.5</v>
      </c>
      <c r="G1334" s="36">
        <f>Tabla13[[#This Row],[Importe]]-Tabla13[[#This Row],[Pagado]]</f>
        <v>0</v>
      </c>
      <c r="H1334" s="38" t="s">
        <v>10</v>
      </c>
    </row>
    <row r="1335" spans="1:8" x14ac:dyDescent="0.25">
      <c r="A1335" s="31">
        <v>44604</v>
      </c>
      <c r="B1335" s="37" t="s">
        <v>5049</v>
      </c>
      <c r="C1335" s="38" t="s">
        <v>64</v>
      </c>
      <c r="D1335" s="34">
        <v>8404.2999999999993</v>
      </c>
      <c r="E1335" s="35">
        <v>44606</v>
      </c>
      <c r="F1335" s="34">
        <v>8404.2999999999993</v>
      </c>
      <c r="G1335" s="36">
        <f>Tabla13[[#This Row],[Importe]]-Tabla13[[#This Row],[Pagado]]</f>
        <v>0</v>
      </c>
      <c r="H1335" s="38" t="s">
        <v>10</v>
      </c>
    </row>
    <row r="1336" spans="1:8" x14ac:dyDescent="0.25">
      <c r="A1336" s="31">
        <v>44604</v>
      </c>
      <c r="B1336" s="37" t="s">
        <v>5050</v>
      </c>
      <c r="C1336" s="38" t="s">
        <v>114</v>
      </c>
      <c r="D1336" s="34">
        <v>8596.6</v>
      </c>
      <c r="E1336" s="35">
        <v>44606</v>
      </c>
      <c r="F1336" s="34">
        <v>8596.6</v>
      </c>
      <c r="G1336" s="36">
        <f>Tabla13[[#This Row],[Importe]]-Tabla13[[#This Row],[Pagado]]</f>
        <v>0</v>
      </c>
      <c r="H1336" s="38" t="s">
        <v>10</v>
      </c>
    </row>
    <row r="1337" spans="1:8" x14ac:dyDescent="0.25">
      <c r="A1337" s="31">
        <v>44604</v>
      </c>
      <c r="B1337" s="37" t="s">
        <v>5051</v>
      </c>
      <c r="C1337" s="38" t="s">
        <v>22</v>
      </c>
      <c r="D1337" s="34">
        <v>22455.3</v>
      </c>
      <c r="E1337" s="35">
        <v>44605</v>
      </c>
      <c r="F1337" s="34">
        <v>22455.3</v>
      </c>
      <c r="G1337" s="36">
        <f>Tabla13[[#This Row],[Importe]]-Tabla13[[#This Row],[Pagado]]</f>
        <v>0</v>
      </c>
      <c r="H1337" s="38" t="s">
        <v>10</v>
      </c>
    </row>
    <row r="1338" spans="1:8" x14ac:dyDescent="0.25">
      <c r="A1338" s="31">
        <v>44604</v>
      </c>
      <c r="B1338" s="37" t="s">
        <v>5052</v>
      </c>
      <c r="C1338" s="38" t="s">
        <v>289</v>
      </c>
      <c r="D1338" s="34">
        <v>9737.4</v>
      </c>
      <c r="E1338" s="35">
        <v>44604</v>
      </c>
      <c r="F1338" s="34">
        <v>9737.4</v>
      </c>
      <c r="G1338" s="36">
        <f>Tabla13[[#This Row],[Importe]]-Tabla13[[#This Row],[Pagado]]</f>
        <v>0</v>
      </c>
      <c r="H1338" s="38" t="s">
        <v>10</v>
      </c>
    </row>
    <row r="1339" spans="1:8" ht="31.5" x14ac:dyDescent="0.25">
      <c r="A1339" s="31">
        <v>44604</v>
      </c>
      <c r="B1339" s="37" t="s">
        <v>5053</v>
      </c>
      <c r="C1339" s="38" t="s">
        <v>39</v>
      </c>
      <c r="D1339" s="34">
        <v>29830.400000000001</v>
      </c>
      <c r="E1339" s="35" t="s">
        <v>5054</v>
      </c>
      <c r="F1339" s="34">
        <f>5000+24830.4</f>
        <v>29830.400000000001</v>
      </c>
      <c r="G1339" s="36">
        <f>Tabla13[[#This Row],[Importe]]-Tabla13[[#This Row],[Pagado]]</f>
        <v>0</v>
      </c>
      <c r="H1339" s="38" t="s">
        <v>10</v>
      </c>
    </row>
    <row r="1340" spans="1:8" x14ac:dyDescent="0.25">
      <c r="A1340" s="31">
        <v>44604</v>
      </c>
      <c r="B1340" s="37" t="s">
        <v>5055</v>
      </c>
      <c r="C1340" s="38" t="s">
        <v>224</v>
      </c>
      <c r="D1340" s="34">
        <v>904.4</v>
      </c>
      <c r="E1340" s="35">
        <v>44604</v>
      </c>
      <c r="F1340" s="34">
        <v>904.4</v>
      </c>
      <c r="G1340" s="36">
        <f>Tabla13[[#This Row],[Importe]]-Tabla13[[#This Row],[Pagado]]</f>
        <v>0</v>
      </c>
      <c r="H1340" s="38" t="s">
        <v>10</v>
      </c>
    </row>
    <row r="1341" spans="1:8" x14ac:dyDescent="0.25">
      <c r="A1341" s="31">
        <v>44604</v>
      </c>
      <c r="B1341" s="37" t="s">
        <v>5056</v>
      </c>
      <c r="C1341" s="38" t="s">
        <v>5057</v>
      </c>
      <c r="D1341" s="34">
        <v>0</v>
      </c>
      <c r="E1341" s="39" t="s">
        <v>189</v>
      </c>
      <c r="F1341" s="34">
        <v>0</v>
      </c>
      <c r="G1341" s="36">
        <f>Tabla13[[#This Row],[Importe]]-Tabla13[[#This Row],[Pagado]]</f>
        <v>0</v>
      </c>
      <c r="H1341" s="38" t="s">
        <v>189</v>
      </c>
    </row>
    <row r="1342" spans="1:8" x14ac:dyDescent="0.25">
      <c r="A1342" s="31">
        <v>44604</v>
      </c>
      <c r="B1342" s="37" t="s">
        <v>5058</v>
      </c>
      <c r="C1342" s="38" t="s">
        <v>161</v>
      </c>
      <c r="D1342" s="34">
        <v>4321.7</v>
      </c>
      <c r="E1342" s="35">
        <v>44604</v>
      </c>
      <c r="F1342" s="34">
        <v>4321.7</v>
      </c>
      <c r="G1342" s="36">
        <f>Tabla13[[#This Row],[Importe]]-Tabla13[[#This Row],[Pagado]]</f>
        <v>0</v>
      </c>
      <c r="H1342" s="38" t="s">
        <v>10</v>
      </c>
    </row>
    <row r="1343" spans="1:8" x14ac:dyDescent="0.25">
      <c r="A1343" s="31">
        <v>44604</v>
      </c>
      <c r="B1343" s="37" t="s">
        <v>5059</v>
      </c>
      <c r="C1343" s="38" t="s">
        <v>5060</v>
      </c>
      <c r="D1343" s="34">
        <v>0</v>
      </c>
      <c r="E1343" s="39" t="s">
        <v>189</v>
      </c>
      <c r="F1343" s="34">
        <v>0</v>
      </c>
      <c r="G1343" s="36">
        <f>Tabla13[[#This Row],[Importe]]-Tabla13[[#This Row],[Pagado]]</f>
        <v>0</v>
      </c>
      <c r="H1343" s="40" t="s">
        <v>5061</v>
      </c>
    </row>
    <row r="1344" spans="1:8" x14ac:dyDescent="0.25">
      <c r="A1344" s="31">
        <v>44604</v>
      </c>
      <c r="B1344" s="37" t="s">
        <v>5062</v>
      </c>
      <c r="C1344" s="38" t="s">
        <v>924</v>
      </c>
      <c r="D1344" s="34">
        <v>8771.6</v>
      </c>
      <c r="E1344" s="35">
        <v>44604</v>
      </c>
      <c r="F1344" s="34">
        <v>8771.6</v>
      </c>
      <c r="G1344" s="36">
        <f>Tabla13[[#This Row],[Importe]]-Tabla13[[#This Row],[Pagado]]</f>
        <v>0</v>
      </c>
      <c r="H1344" s="38" t="s">
        <v>10</v>
      </c>
    </row>
    <row r="1345" spans="1:8" x14ac:dyDescent="0.25">
      <c r="A1345" s="31">
        <v>44604</v>
      </c>
      <c r="B1345" s="37" t="s">
        <v>5063</v>
      </c>
      <c r="C1345" s="38" t="s">
        <v>275</v>
      </c>
      <c r="D1345" s="34">
        <v>27420</v>
      </c>
      <c r="E1345" s="35">
        <v>44610</v>
      </c>
      <c r="F1345" s="34">
        <v>27420</v>
      </c>
      <c r="G1345" s="36">
        <f>Tabla13[[#This Row],[Importe]]-Tabla13[[#This Row],[Pagado]]</f>
        <v>0</v>
      </c>
      <c r="H1345" s="38" t="s">
        <v>10</v>
      </c>
    </row>
    <row r="1346" spans="1:8" x14ac:dyDescent="0.25">
      <c r="A1346" s="31">
        <v>44604</v>
      </c>
      <c r="B1346" s="37" t="s">
        <v>5064</v>
      </c>
      <c r="C1346" s="38" t="s">
        <v>51</v>
      </c>
      <c r="D1346" s="34">
        <v>643.9</v>
      </c>
      <c r="E1346" s="35">
        <v>44604</v>
      </c>
      <c r="F1346" s="34">
        <v>643.9</v>
      </c>
      <c r="G1346" s="36">
        <f>Tabla13[[#This Row],[Importe]]-Tabla13[[#This Row],[Pagado]]</f>
        <v>0</v>
      </c>
      <c r="H1346" s="38" t="s">
        <v>10</v>
      </c>
    </row>
    <row r="1347" spans="1:8" x14ac:dyDescent="0.25">
      <c r="A1347" s="31">
        <v>44604</v>
      </c>
      <c r="B1347" s="37" t="s">
        <v>5065</v>
      </c>
      <c r="C1347" s="38" t="s">
        <v>16</v>
      </c>
      <c r="D1347" s="34">
        <v>5463.4</v>
      </c>
      <c r="E1347" s="35">
        <v>44604</v>
      </c>
      <c r="F1347" s="34">
        <v>5463.4</v>
      </c>
      <c r="G1347" s="36">
        <f>Tabla13[[#This Row],[Importe]]-Tabla13[[#This Row],[Pagado]]</f>
        <v>0</v>
      </c>
      <c r="H1347" s="38" t="s">
        <v>10</v>
      </c>
    </row>
    <row r="1348" spans="1:8" x14ac:dyDescent="0.25">
      <c r="A1348" s="31">
        <v>44604</v>
      </c>
      <c r="B1348" s="37" t="s">
        <v>5066</v>
      </c>
      <c r="C1348" s="38" t="s">
        <v>2563</v>
      </c>
      <c r="D1348" s="34">
        <v>4681.8</v>
      </c>
      <c r="E1348" s="35">
        <v>44604</v>
      </c>
      <c r="F1348" s="34">
        <v>4681.8</v>
      </c>
      <c r="G1348" s="36">
        <f>Tabla13[[#This Row],[Importe]]-Tabla13[[#This Row],[Pagado]]</f>
        <v>0</v>
      </c>
      <c r="H1348" s="38" t="s">
        <v>10</v>
      </c>
    </row>
    <row r="1349" spans="1:8" x14ac:dyDescent="0.25">
      <c r="A1349" s="31">
        <v>44604</v>
      </c>
      <c r="B1349" s="37" t="s">
        <v>5067</v>
      </c>
      <c r="C1349" s="38" t="s">
        <v>27</v>
      </c>
      <c r="D1349" s="34">
        <v>1401.5</v>
      </c>
      <c r="E1349" s="35">
        <v>44604</v>
      </c>
      <c r="F1349" s="34">
        <v>1401.5</v>
      </c>
      <c r="G1349" s="36">
        <f>Tabla13[[#This Row],[Importe]]-Tabla13[[#This Row],[Pagado]]</f>
        <v>0</v>
      </c>
      <c r="H1349" s="38" t="s">
        <v>10</v>
      </c>
    </row>
    <row r="1350" spans="1:8" x14ac:dyDescent="0.25">
      <c r="A1350" s="31">
        <v>44604</v>
      </c>
      <c r="B1350" s="37" t="s">
        <v>5068</v>
      </c>
      <c r="C1350" s="38" t="s">
        <v>24</v>
      </c>
      <c r="D1350" s="34">
        <v>4567.3999999999996</v>
      </c>
      <c r="E1350" s="35">
        <v>44604</v>
      </c>
      <c r="F1350" s="34">
        <v>4567.3999999999996</v>
      </c>
      <c r="G1350" s="36">
        <f>Tabla13[[#This Row],[Importe]]-Tabla13[[#This Row],[Pagado]]</f>
        <v>0</v>
      </c>
      <c r="H1350" s="38" t="s">
        <v>10</v>
      </c>
    </row>
    <row r="1351" spans="1:8" x14ac:dyDescent="0.25">
      <c r="A1351" s="31">
        <v>44604</v>
      </c>
      <c r="B1351" s="37" t="s">
        <v>5069</v>
      </c>
      <c r="C1351" s="38" t="s">
        <v>2114</v>
      </c>
      <c r="D1351" s="34">
        <v>1537.2</v>
      </c>
      <c r="E1351" s="35">
        <v>44604</v>
      </c>
      <c r="F1351" s="34">
        <v>1537.2</v>
      </c>
      <c r="G1351" s="36">
        <f>Tabla13[[#This Row],[Importe]]-Tabla13[[#This Row],[Pagado]]</f>
        <v>0</v>
      </c>
      <c r="H1351" s="38" t="s">
        <v>10</v>
      </c>
    </row>
    <row r="1352" spans="1:8" x14ac:dyDescent="0.25">
      <c r="A1352" s="31">
        <v>44604</v>
      </c>
      <c r="B1352" s="37" t="s">
        <v>5070</v>
      </c>
      <c r="C1352" s="38" t="s">
        <v>24</v>
      </c>
      <c r="D1352" s="34">
        <v>644</v>
      </c>
      <c r="E1352" s="35">
        <v>44604</v>
      </c>
      <c r="F1352" s="34">
        <v>644</v>
      </c>
      <c r="G1352" s="36">
        <f>Tabla13[[#This Row],[Importe]]-Tabla13[[#This Row],[Pagado]]</f>
        <v>0</v>
      </c>
      <c r="H1352" s="38" t="s">
        <v>10</v>
      </c>
    </row>
    <row r="1353" spans="1:8" x14ac:dyDescent="0.25">
      <c r="A1353" s="31">
        <v>44604</v>
      </c>
      <c r="B1353" s="37" t="s">
        <v>5071</v>
      </c>
      <c r="C1353" s="38" t="s">
        <v>4136</v>
      </c>
      <c r="D1353" s="34">
        <v>1836.7</v>
      </c>
      <c r="E1353" s="35">
        <v>44604</v>
      </c>
      <c r="F1353" s="34">
        <v>1836.7</v>
      </c>
      <c r="G1353" s="36">
        <f>Tabla13[[#This Row],[Importe]]-Tabla13[[#This Row],[Pagado]]</f>
        <v>0</v>
      </c>
      <c r="H1353" s="38" t="s">
        <v>10</v>
      </c>
    </row>
    <row r="1354" spans="1:8" x14ac:dyDescent="0.25">
      <c r="A1354" s="31">
        <v>44604</v>
      </c>
      <c r="B1354" s="37" t="s">
        <v>5072</v>
      </c>
      <c r="C1354" s="38" t="s">
        <v>131</v>
      </c>
      <c r="D1354" s="34">
        <v>15957</v>
      </c>
      <c r="E1354" s="35">
        <v>44604</v>
      </c>
      <c r="F1354" s="34">
        <v>15957</v>
      </c>
      <c r="G1354" s="36">
        <f>Tabla13[[#This Row],[Importe]]-Tabla13[[#This Row],[Pagado]]</f>
        <v>0</v>
      </c>
      <c r="H1354" s="38" t="s">
        <v>10</v>
      </c>
    </row>
    <row r="1355" spans="1:8" x14ac:dyDescent="0.25">
      <c r="A1355" s="31">
        <v>44604</v>
      </c>
      <c r="B1355" s="37" t="s">
        <v>5073</v>
      </c>
      <c r="C1355" s="38" t="s">
        <v>414</v>
      </c>
      <c r="D1355" s="34">
        <v>35.93</v>
      </c>
      <c r="E1355" s="35">
        <v>44622</v>
      </c>
      <c r="F1355" s="34">
        <v>35.93</v>
      </c>
      <c r="G1355" s="36">
        <f>Tabla13[[#This Row],[Importe]]-Tabla13[[#This Row],[Pagado]]</f>
        <v>0</v>
      </c>
      <c r="H1355" s="38" t="s">
        <v>10</v>
      </c>
    </row>
    <row r="1356" spans="1:8" x14ac:dyDescent="0.25">
      <c r="A1356" s="31">
        <v>44604</v>
      </c>
      <c r="B1356" s="37" t="s">
        <v>5074</v>
      </c>
      <c r="C1356" s="38" t="s">
        <v>230</v>
      </c>
      <c r="D1356" s="34">
        <v>4916.8</v>
      </c>
      <c r="E1356" s="35">
        <v>44604</v>
      </c>
      <c r="F1356" s="34">
        <v>4916.8</v>
      </c>
      <c r="G1356" s="36">
        <f>Tabla13[[#This Row],[Importe]]-Tabla13[[#This Row],[Pagado]]</f>
        <v>0</v>
      </c>
      <c r="H1356" s="38" t="s">
        <v>10</v>
      </c>
    </row>
    <row r="1357" spans="1:8" x14ac:dyDescent="0.25">
      <c r="A1357" s="31">
        <v>44604</v>
      </c>
      <c r="B1357" s="37" t="s">
        <v>5075</v>
      </c>
      <c r="C1357" s="38" t="s">
        <v>33</v>
      </c>
      <c r="D1357" s="34">
        <v>7358.7</v>
      </c>
      <c r="E1357" s="35">
        <v>44604</v>
      </c>
      <c r="F1357" s="34">
        <v>7358.7</v>
      </c>
      <c r="G1357" s="36">
        <f>Tabla13[[#This Row],[Importe]]-Tabla13[[#This Row],[Pagado]]</f>
        <v>0</v>
      </c>
      <c r="H1357" s="38" t="s">
        <v>10</v>
      </c>
    </row>
    <row r="1358" spans="1:8" x14ac:dyDescent="0.25">
      <c r="A1358" s="31">
        <v>44604</v>
      </c>
      <c r="B1358" s="37" t="s">
        <v>5076</v>
      </c>
      <c r="C1358" s="38" t="s">
        <v>131</v>
      </c>
      <c r="D1358" s="34">
        <v>1557</v>
      </c>
      <c r="E1358" s="35">
        <v>44604</v>
      </c>
      <c r="F1358" s="34">
        <v>1557</v>
      </c>
      <c r="G1358" s="36">
        <f>Tabla13[[#This Row],[Importe]]-Tabla13[[#This Row],[Pagado]]</f>
        <v>0</v>
      </c>
      <c r="H1358" s="38" t="s">
        <v>10</v>
      </c>
    </row>
    <row r="1359" spans="1:8" x14ac:dyDescent="0.25">
      <c r="A1359" s="31">
        <v>44604</v>
      </c>
      <c r="B1359" s="37" t="s">
        <v>5077</v>
      </c>
      <c r="C1359" s="38" t="s">
        <v>326</v>
      </c>
      <c r="D1359" s="34">
        <v>2883.3</v>
      </c>
      <c r="E1359" s="35">
        <v>44604</v>
      </c>
      <c r="F1359" s="34">
        <v>2883.3</v>
      </c>
      <c r="G1359" s="36">
        <f>Tabla13[[#This Row],[Importe]]-Tabla13[[#This Row],[Pagado]]</f>
        <v>0</v>
      </c>
      <c r="H1359" s="38" t="s">
        <v>10</v>
      </c>
    </row>
    <row r="1360" spans="1:8" x14ac:dyDescent="0.25">
      <c r="A1360" s="31">
        <v>44604</v>
      </c>
      <c r="B1360" s="37" t="s">
        <v>5078</v>
      </c>
      <c r="C1360" s="38" t="s">
        <v>969</v>
      </c>
      <c r="D1360" s="34">
        <v>7494.72</v>
      </c>
      <c r="E1360" s="35">
        <v>44604</v>
      </c>
      <c r="F1360" s="34">
        <v>7494.72</v>
      </c>
      <c r="G1360" s="36">
        <f>Tabla13[[#This Row],[Importe]]-Tabla13[[#This Row],[Pagado]]</f>
        <v>0</v>
      </c>
      <c r="H1360" s="38" t="s">
        <v>10</v>
      </c>
    </row>
    <row r="1361" spans="1:8" x14ac:dyDescent="0.25">
      <c r="A1361" s="31">
        <v>44604</v>
      </c>
      <c r="B1361" s="37" t="s">
        <v>5079</v>
      </c>
      <c r="C1361" s="38" t="s">
        <v>29</v>
      </c>
      <c r="D1361" s="34">
        <v>4244.1000000000004</v>
      </c>
      <c r="E1361" s="35">
        <v>44604</v>
      </c>
      <c r="F1361" s="34">
        <v>4244.1000000000004</v>
      </c>
      <c r="G1361" s="36">
        <f>Tabla13[[#This Row],[Importe]]-Tabla13[[#This Row],[Pagado]]</f>
        <v>0</v>
      </c>
      <c r="H1361" s="38" t="s">
        <v>10</v>
      </c>
    </row>
    <row r="1362" spans="1:8" x14ac:dyDescent="0.25">
      <c r="A1362" s="31">
        <v>44604</v>
      </c>
      <c r="B1362" s="37" t="s">
        <v>5080</v>
      </c>
      <c r="C1362" s="38" t="s">
        <v>31</v>
      </c>
      <c r="D1362" s="34">
        <v>1946.1</v>
      </c>
      <c r="E1362" s="35">
        <v>44604</v>
      </c>
      <c r="F1362" s="34">
        <v>1946.1</v>
      </c>
      <c r="G1362" s="36">
        <f>Tabla13[[#This Row],[Importe]]-Tabla13[[#This Row],[Pagado]]</f>
        <v>0</v>
      </c>
      <c r="H1362" s="38" t="s">
        <v>10</v>
      </c>
    </row>
    <row r="1363" spans="1:8" x14ac:dyDescent="0.25">
      <c r="A1363" s="31">
        <v>44604</v>
      </c>
      <c r="B1363" s="37" t="s">
        <v>5081</v>
      </c>
      <c r="C1363" s="38" t="s">
        <v>49</v>
      </c>
      <c r="D1363" s="34">
        <v>3983.9</v>
      </c>
      <c r="E1363" s="35">
        <v>44604</v>
      </c>
      <c r="F1363" s="34">
        <v>3983.9</v>
      </c>
      <c r="G1363" s="36">
        <f>Tabla13[[#This Row],[Importe]]-Tabla13[[#This Row],[Pagado]]</f>
        <v>0</v>
      </c>
      <c r="H1363" s="38" t="s">
        <v>10</v>
      </c>
    </row>
    <row r="1364" spans="1:8" x14ac:dyDescent="0.25">
      <c r="A1364" s="31">
        <v>44604</v>
      </c>
      <c r="B1364" s="37" t="s">
        <v>5082</v>
      </c>
      <c r="C1364" s="38" t="s">
        <v>135</v>
      </c>
      <c r="D1364" s="34">
        <v>1109.2</v>
      </c>
      <c r="E1364" s="35">
        <v>44604</v>
      </c>
      <c r="F1364" s="34">
        <v>1109.2</v>
      </c>
      <c r="G1364" s="36">
        <f>Tabla13[[#This Row],[Importe]]-Tabla13[[#This Row],[Pagado]]</f>
        <v>0</v>
      </c>
      <c r="H1364" s="38" t="s">
        <v>10</v>
      </c>
    </row>
    <row r="1365" spans="1:8" x14ac:dyDescent="0.25">
      <c r="A1365" s="31">
        <v>44604</v>
      </c>
      <c r="B1365" s="37" t="s">
        <v>5083</v>
      </c>
      <c r="C1365" s="38" t="s">
        <v>382</v>
      </c>
      <c r="D1365" s="34">
        <v>4738</v>
      </c>
      <c r="E1365" s="35">
        <v>44604</v>
      </c>
      <c r="F1365" s="34">
        <v>4738</v>
      </c>
      <c r="G1365" s="36">
        <f>Tabla13[[#This Row],[Importe]]-Tabla13[[#This Row],[Pagado]]</f>
        <v>0</v>
      </c>
      <c r="H1365" s="38" t="s">
        <v>10</v>
      </c>
    </row>
    <row r="1366" spans="1:8" x14ac:dyDescent="0.25">
      <c r="A1366" s="31">
        <v>44604</v>
      </c>
      <c r="B1366" s="37" t="s">
        <v>5084</v>
      </c>
      <c r="C1366" s="38" t="s">
        <v>45</v>
      </c>
      <c r="D1366" s="34">
        <v>6491.4</v>
      </c>
      <c r="E1366" s="35">
        <v>44604</v>
      </c>
      <c r="F1366" s="34">
        <v>6491.4</v>
      </c>
      <c r="G1366" s="36">
        <f>Tabla13[[#This Row],[Importe]]-Tabla13[[#This Row],[Pagado]]</f>
        <v>0</v>
      </c>
      <c r="H1366" s="38" t="s">
        <v>10</v>
      </c>
    </row>
    <row r="1367" spans="1:8" x14ac:dyDescent="0.25">
      <c r="A1367" s="31">
        <v>44604</v>
      </c>
      <c r="B1367" s="37" t="s">
        <v>5085</v>
      </c>
      <c r="C1367" s="38" t="s">
        <v>45</v>
      </c>
      <c r="D1367" s="34">
        <v>4515.2</v>
      </c>
      <c r="E1367" s="35">
        <v>44604</v>
      </c>
      <c r="F1367" s="34">
        <v>4515.2</v>
      </c>
      <c r="G1367" s="36">
        <f>Tabla13[[#This Row],[Importe]]-Tabla13[[#This Row],[Pagado]]</f>
        <v>0</v>
      </c>
      <c r="H1367" s="38" t="s">
        <v>10</v>
      </c>
    </row>
    <row r="1368" spans="1:8" x14ac:dyDescent="0.25">
      <c r="A1368" s="31">
        <v>44604</v>
      </c>
      <c r="B1368" s="37" t="s">
        <v>5086</v>
      </c>
      <c r="C1368" s="38" t="s">
        <v>392</v>
      </c>
      <c r="D1368" s="34">
        <v>1410</v>
      </c>
      <c r="E1368" s="35">
        <v>44604</v>
      </c>
      <c r="F1368" s="34">
        <v>1410</v>
      </c>
      <c r="G1368" s="36">
        <f>Tabla13[[#This Row],[Importe]]-Tabla13[[#This Row],[Pagado]]</f>
        <v>0</v>
      </c>
      <c r="H1368" s="38" t="s">
        <v>10</v>
      </c>
    </row>
    <row r="1369" spans="1:8" ht="31.5" x14ac:dyDescent="0.25">
      <c r="A1369" s="31">
        <v>44604</v>
      </c>
      <c r="B1369" s="37" t="s">
        <v>5087</v>
      </c>
      <c r="C1369" s="38" t="s">
        <v>75</v>
      </c>
      <c r="D1369" s="34">
        <v>17079.8</v>
      </c>
      <c r="E1369" s="35" t="s">
        <v>4900</v>
      </c>
      <c r="F1369" s="34">
        <f>8121.6+8958.2</f>
        <v>17079.800000000003</v>
      </c>
      <c r="G1369" s="36">
        <f>Tabla13[[#This Row],[Importe]]-Tabla13[[#This Row],[Pagado]]</f>
        <v>0</v>
      </c>
      <c r="H1369" s="38" t="s">
        <v>10</v>
      </c>
    </row>
    <row r="1370" spans="1:8" x14ac:dyDescent="0.25">
      <c r="A1370" s="31">
        <v>44604</v>
      </c>
      <c r="B1370" s="37" t="s">
        <v>5088</v>
      </c>
      <c r="C1370" s="38" t="s">
        <v>452</v>
      </c>
      <c r="D1370" s="34">
        <v>6897</v>
      </c>
      <c r="E1370" s="35">
        <v>44604</v>
      </c>
      <c r="F1370" s="34">
        <v>6897</v>
      </c>
      <c r="G1370" s="36">
        <f>Tabla13[[#This Row],[Importe]]-Tabla13[[#This Row],[Pagado]]</f>
        <v>0</v>
      </c>
      <c r="H1370" s="38" t="s">
        <v>10</v>
      </c>
    </row>
    <row r="1371" spans="1:8" x14ac:dyDescent="0.25">
      <c r="A1371" s="31">
        <v>44604</v>
      </c>
      <c r="B1371" s="37" t="s">
        <v>5089</v>
      </c>
      <c r="C1371" s="38" t="s">
        <v>233</v>
      </c>
      <c r="D1371" s="34">
        <v>4273.3999999999996</v>
      </c>
      <c r="E1371" s="35">
        <v>44604</v>
      </c>
      <c r="F1371" s="34">
        <v>4273.3999999999996</v>
      </c>
      <c r="G1371" s="36">
        <f>Tabla13[[#This Row],[Importe]]-Tabla13[[#This Row],[Pagado]]</f>
        <v>0</v>
      </c>
      <c r="H1371" s="38" t="s">
        <v>10</v>
      </c>
    </row>
    <row r="1372" spans="1:8" x14ac:dyDescent="0.25">
      <c r="A1372" s="31">
        <v>44604</v>
      </c>
      <c r="B1372" s="37" t="s">
        <v>5090</v>
      </c>
      <c r="C1372" s="38" t="s">
        <v>275</v>
      </c>
      <c r="D1372" s="34">
        <v>25857.7</v>
      </c>
      <c r="E1372" s="35">
        <v>44610</v>
      </c>
      <c r="F1372" s="34">
        <v>25857.7</v>
      </c>
      <c r="G1372" s="36">
        <f>Tabla13[[#This Row],[Importe]]-Tabla13[[#This Row],[Pagado]]</f>
        <v>0</v>
      </c>
      <c r="H1372" s="38" t="s">
        <v>10</v>
      </c>
    </row>
    <row r="1373" spans="1:8" x14ac:dyDescent="0.25">
      <c r="A1373" s="31">
        <v>44604</v>
      </c>
      <c r="B1373" s="37" t="s">
        <v>5091</v>
      </c>
      <c r="C1373" s="38" t="s">
        <v>419</v>
      </c>
      <c r="D1373" s="34">
        <v>8499.2999999999993</v>
      </c>
      <c r="E1373" s="35">
        <v>44604</v>
      </c>
      <c r="F1373" s="34">
        <v>8499.2999999999993</v>
      </c>
      <c r="G1373" s="36">
        <f>Tabla13[[#This Row],[Importe]]-Tabla13[[#This Row],[Pagado]]</f>
        <v>0</v>
      </c>
      <c r="H1373" s="38" t="s">
        <v>10</v>
      </c>
    </row>
    <row r="1374" spans="1:8" x14ac:dyDescent="0.25">
      <c r="A1374" s="31">
        <v>44604</v>
      </c>
      <c r="B1374" s="37" t="s">
        <v>5092</v>
      </c>
      <c r="C1374" s="38" t="s">
        <v>127</v>
      </c>
      <c r="D1374" s="34">
        <v>3001.4</v>
      </c>
      <c r="E1374" s="35">
        <v>44604</v>
      </c>
      <c r="F1374" s="34">
        <v>3001.4</v>
      </c>
      <c r="G1374" s="36">
        <f>Tabla13[[#This Row],[Importe]]-Tabla13[[#This Row],[Pagado]]</f>
        <v>0</v>
      </c>
      <c r="H1374" s="38" t="s">
        <v>10</v>
      </c>
    </row>
    <row r="1375" spans="1:8" x14ac:dyDescent="0.25">
      <c r="A1375" s="31">
        <v>44604</v>
      </c>
      <c r="B1375" s="37" t="s">
        <v>5093</v>
      </c>
      <c r="C1375" s="38" t="s">
        <v>339</v>
      </c>
      <c r="D1375" s="34">
        <v>897.7</v>
      </c>
      <c r="E1375" s="35">
        <v>44604</v>
      </c>
      <c r="F1375" s="34">
        <v>897.7</v>
      </c>
      <c r="G1375" s="36">
        <f>Tabla13[[#This Row],[Importe]]-Tabla13[[#This Row],[Pagado]]</f>
        <v>0</v>
      </c>
      <c r="H1375" s="38" t="s">
        <v>10</v>
      </c>
    </row>
    <row r="1376" spans="1:8" x14ac:dyDescent="0.25">
      <c r="A1376" s="31">
        <v>44604</v>
      </c>
      <c r="B1376" s="37" t="s">
        <v>5094</v>
      </c>
      <c r="C1376" s="38" t="s">
        <v>129</v>
      </c>
      <c r="D1376" s="34">
        <v>4332.8999999999996</v>
      </c>
      <c r="E1376" s="35">
        <v>44604</v>
      </c>
      <c r="F1376" s="34">
        <v>4332.8999999999996</v>
      </c>
      <c r="G1376" s="36">
        <f>Tabla13[[#This Row],[Importe]]-Tabla13[[#This Row],[Pagado]]</f>
        <v>0</v>
      </c>
      <c r="H1376" s="38" t="s">
        <v>10</v>
      </c>
    </row>
    <row r="1377" spans="1:8" x14ac:dyDescent="0.25">
      <c r="A1377" s="31">
        <v>44604</v>
      </c>
      <c r="B1377" s="37" t="s">
        <v>5095</v>
      </c>
      <c r="C1377" s="38" t="s">
        <v>31</v>
      </c>
      <c r="D1377" s="34">
        <v>1437.2</v>
      </c>
      <c r="E1377" s="35">
        <v>44604</v>
      </c>
      <c r="F1377" s="34">
        <v>1437.2</v>
      </c>
      <c r="G1377" s="36">
        <f>Tabla13[[#This Row],[Importe]]-Tabla13[[#This Row],[Pagado]]</f>
        <v>0</v>
      </c>
      <c r="H1377" s="38" t="s">
        <v>10</v>
      </c>
    </row>
    <row r="1378" spans="1:8" x14ac:dyDescent="0.25">
      <c r="A1378" s="31">
        <v>44604</v>
      </c>
      <c r="B1378" s="37" t="s">
        <v>5096</v>
      </c>
      <c r="C1378" s="38" t="s">
        <v>357</v>
      </c>
      <c r="D1378" s="34">
        <v>446.5</v>
      </c>
      <c r="E1378" s="35">
        <v>44604</v>
      </c>
      <c r="F1378" s="34">
        <v>446.5</v>
      </c>
      <c r="G1378" s="36">
        <f>Tabla13[[#This Row],[Importe]]-Tabla13[[#This Row],[Pagado]]</f>
        <v>0</v>
      </c>
      <c r="H1378" s="38" t="s">
        <v>10</v>
      </c>
    </row>
    <row r="1379" spans="1:8" x14ac:dyDescent="0.25">
      <c r="A1379" s="31">
        <v>44604</v>
      </c>
      <c r="B1379" s="37" t="s">
        <v>5097</v>
      </c>
      <c r="C1379" s="38" t="s">
        <v>157</v>
      </c>
      <c r="D1379" s="34">
        <v>1955.6</v>
      </c>
      <c r="E1379" s="35">
        <v>44605</v>
      </c>
      <c r="F1379" s="34">
        <v>1955.6</v>
      </c>
      <c r="G1379" s="36">
        <f>Tabla13[[#This Row],[Importe]]-Tabla13[[#This Row],[Pagado]]</f>
        <v>0</v>
      </c>
      <c r="H1379" s="38" t="s">
        <v>10</v>
      </c>
    </row>
    <row r="1380" spans="1:8" x14ac:dyDescent="0.25">
      <c r="A1380" s="31">
        <v>44604</v>
      </c>
      <c r="B1380" s="37" t="s">
        <v>5098</v>
      </c>
      <c r="C1380" s="38" t="s">
        <v>140</v>
      </c>
      <c r="D1380" s="34">
        <v>1430.3</v>
      </c>
      <c r="E1380" s="35">
        <v>44604</v>
      </c>
      <c r="F1380" s="34">
        <v>1430.3</v>
      </c>
      <c r="G1380" s="36">
        <f>Tabla13[[#This Row],[Importe]]-Tabla13[[#This Row],[Pagado]]</f>
        <v>0</v>
      </c>
      <c r="H1380" s="38" t="s">
        <v>10</v>
      </c>
    </row>
    <row r="1381" spans="1:8" x14ac:dyDescent="0.25">
      <c r="A1381" s="31">
        <v>44604</v>
      </c>
      <c r="B1381" s="37" t="s">
        <v>5099</v>
      </c>
      <c r="C1381" s="38" t="s">
        <v>191</v>
      </c>
      <c r="D1381" s="34">
        <v>1550</v>
      </c>
      <c r="E1381" s="35">
        <v>44604</v>
      </c>
      <c r="F1381" s="34">
        <v>1550</v>
      </c>
      <c r="G1381" s="36">
        <f>Tabla13[[#This Row],[Importe]]-Tabla13[[#This Row],[Pagado]]</f>
        <v>0</v>
      </c>
      <c r="H1381" s="38" t="s">
        <v>10</v>
      </c>
    </row>
    <row r="1382" spans="1:8" x14ac:dyDescent="0.25">
      <c r="A1382" s="31">
        <v>44604</v>
      </c>
      <c r="B1382" s="37" t="s">
        <v>5100</v>
      </c>
      <c r="C1382" s="38" t="s">
        <v>520</v>
      </c>
      <c r="D1382" s="34">
        <v>6196.8</v>
      </c>
      <c r="E1382" s="35">
        <v>44605</v>
      </c>
      <c r="F1382" s="34">
        <v>6196.8</v>
      </c>
      <c r="G1382" s="36">
        <f>Tabla13[[#This Row],[Importe]]-Tabla13[[#This Row],[Pagado]]</f>
        <v>0</v>
      </c>
      <c r="H1382" s="38" t="s">
        <v>10</v>
      </c>
    </row>
    <row r="1383" spans="1:8" x14ac:dyDescent="0.25">
      <c r="A1383" s="31">
        <v>44604</v>
      </c>
      <c r="B1383" s="37" t="s">
        <v>5101</v>
      </c>
      <c r="C1383" s="38" t="s">
        <v>520</v>
      </c>
      <c r="D1383" s="34">
        <v>20429.400000000001</v>
      </c>
      <c r="E1383" s="35">
        <v>44605</v>
      </c>
      <c r="F1383" s="34">
        <v>20429.400000000001</v>
      </c>
      <c r="G1383" s="36">
        <f>Tabla13[[#This Row],[Importe]]-Tabla13[[#This Row],[Pagado]]</f>
        <v>0</v>
      </c>
      <c r="H1383" s="38" t="s">
        <v>10</v>
      </c>
    </row>
    <row r="1384" spans="1:8" x14ac:dyDescent="0.25">
      <c r="A1384" s="31">
        <v>44604</v>
      </c>
      <c r="B1384" s="37" t="s">
        <v>5102</v>
      </c>
      <c r="C1384" s="38" t="s">
        <v>371</v>
      </c>
      <c r="D1384" s="34">
        <v>28306.1</v>
      </c>
      <c r="E1384" s="35">
        <v>44604</v>
      </c>
      <c r="F1384" s="34">
        <v>28306.1</v>
      </c>
      <c r="G1384" s="36">
        <f>Tabla13[[#This Row],[Importe]]-Tabla13[[#This Row],[Pagado]]</f>
        <v>0</v>
      </c>
      <c r="H1384" s="38" t="s">
        <v>10</v>
      </c>
    </row>
    <row r="1385" spans="1:8" x14ac:dyDescent="0.25">
      <c r="A1385" s="31">
        <v>44604</v>
      </c>
      <c r="B1385" s="37" t="s">
        <v>5103</v>
      </c>
      <c r="C1385" s="38" t="s">
        <v>31</v>
      </c>
      <c r="D1385" s="34">
        <v>1245.5</v>
      </c>
      <c r="E1385" s="35">
        <v>44604</v>
      </c>
      <c r="F1385" s="34">
        <v>1245.5</v>
      </c>
      <c r="G1385" s="36">
        <f>Tabla13[[#This Row],[Importe]]-Tabla13[[#This Row],[Pagado]]</f>
        <v>0</v>
      </c>
      <c r="H1385" s="38" t="s">
        <v>10</v>
      </c>
    </row>
    <row r="1386" spans="1:8" x14ac:dyDescent="0.25">
      <c r="A1386" s="31">
        <v>44604</v>
      </c>
      <c r="B1386" s="37" t="s">
        <v>5104</v>
      </c>
      <c r="C1386" s="38" t="s">
        <v>159</v>
      </c>
      <c r="D1386" s="34">
        <v>6000.6</v>
      </c>
      <c r="E1386" s="35">
        <v>44605</v>
      </c>
      <c r="F1386" s="34">
        <v>6000.6</v>
      </c>
      <c r="G1386" s="36">
        <f>Tabla13[[#This Row],[Importe]]-Tabla13[[#This Row],[Pagado]]</f>
        <v>0</v>
      </c>
      <c r="H1386" s="38" t="s">
        <v>10</v>
      </c>
    </row>
    <row r="1387" spans="1:8" x14ac:dyDescent="0.25">
      <c r="A1387" s="31">
        <v>44604</v>
      </c>
      <c r="B1387" s="37" t="s">
        <v>5105</v>
      </c>
      <c r="C1387" s="38" t="s">
        <v>966</v>
      </c>
      <c r="D1387" s="34">
        <v>1954.92</v>
      </c>
      <c r="E1387" s="35">
        <v>44605</v>
      </c>
      <c r="F1387" s="34">
        <v>1954.92</v>
      </c>
      <c r="G1387" s="36">
        <f>Tabla13[[#This Row],[Importe]]-Tabla13[[#This Row],[Pagado]]</f>
        <v>0</v>
      </c>
      <c r="H1387" s="38" t="s">
        <v>10</v>
      </c>
    </row>
    <row r="1388" spans="1:8" x14ac:dyDescent="0.25">
      <c r="A1388" s="31">
        <v>44604</v>
      </c>
      <c r="B1388" s="37" t="s">
        <v>5106</v>
      </c>
      <c r="C1388" s="38" t="s">
        <v>142</v>
      </c>
      <c r="D1388" s="34">
        <v>55111.8</v>
      </c>
      <c r="E1388" s="35">
        <v>44617</v>
      </c>
      <c r="F1388" s="34">
        <v>55111.8</v>
      </c>
      <c r="G1388" s="36">
        <f>Tabla13[[#This Row],[Importe]]-Tabla13[[#This Row],[Pagado]]</f>
        <v>0</v>
      </c>
      <c r="H1388" s="38" t="s">
        <v>10</v>
      </c>
    </row>
    <row r="1389" spans="1:8" x14ac:dyDescent="0.25">
      <c r="A1389" s="31">
        <v>44604</v>
      </c>
      <c r="B1389" s="37" t="s">
        <v>5107</v>
      </c>
      <c r="C1389" s="38" t="s">
        <v>53</v>
      </c>
      <c r="D1389" s="34">
        <v>3478</v>
      </c>
      <c r="E1389" s="35">
        <v>44604</v>
      </c>
      <c r="F1389" s="34">
        <v>3478</v>
      </c>
      <c r="G1389" s="36">
        <f>Tabla13[[#This Row],[Importe]]-Tabla13[[#This Row],[Pagado]]</f>
        <v>0</v>
      </c>
      <c r="H1389" s="38" t="s">
        <v>10</v>
      </c>
    </row>
    <row r="1390" spans="1:8" x14ac:dyDescent="0.25">
      <c r="A1390" s="31">
        <v>44604</v>
      </c>
      <c r="B1390" s="37" t="s">
        <v>5108</v>
      </c>
      <c r="C1390" s="38" t="s">
        <v>525</v>
      </c>
      <c r="D1390" s="34">
        <v>3181.9</v>
      </c>
      <c r="E1390" s="35">
        <v>44605</v>
      </c>
      <c r="F1390" s="34">
        <v>3181.9</v>
      </c>
      <c r="G1390" s="36">
        <f>Tabla13[[#This Row],[Importe]]-Tabla13[[#This Row],[Pagado]]</f>
        <v>0</v>
      </c>
      <c r="H1390" s="38" t="s">
        <v>10</v>
      </c>
    </row>
    <row r="1391" spans="1:8" x14ac:dyDescent="0.25">
      <c r="A1391" s="31">
        <v>44604</v>
      </c>
      <c r="B1391" s="37" t="s">
        <v>5109</v>
      </c>
      <c r="C1391" s="38" t="s">
        <v>47</v>
      </c>
      <c r="D1391" s="34">
        <v>31553</v>
      </c>
      <c r="E1391" s="35">
        <v>44604</v>
      </c>
      <c r="F1391" s="34">
        <v>31553</v>
      </c>
      <c r="G1391" s="36">
        <f>Tabla13[[#This Row],[Importe]]-Tabla13[[#This Row],[Pagado]]</f>
        <v>0</v>
      </c>
      <c r="H1391" s="38" t="s">
        <v>10</v>
      </c>
    </row>
    <row r="1392" spans="1:8" x14ac:dyDescent="0.25">
      <c r="A1392" s="31">
        <v>44604</v>
      </c>
      <c r="B1392" s="37" t="s">
        <v>5110</v>
      </c>
      <c r="C1392" s="38" t="s">
        <v>142</v>
      </c>
      <c r="D1392" s="34">
        <v>149188.5</v>
      </c>
      <c r="E1392" s="35">
        <v>44617</v>
      </c>
      <c r="F1392" s="34">
        <v>149188.5</v>
      </c>
      <c r="G1392" s="36">
        <f>Tabla13[[#This Row],[Importe]]-Tabla13[[#This Row],[Pagado]]</f>
        <v>0</v>
      </c>
      <c r="H1392" s="38" t="s">
        <v>10</v>
      </c>
    </row>
    <row r="1393" spans="1:8" x14ac:dyDescent="0.25">
      <c r="A1393" s="31">
        <v>44604</v>
      </c>
      <c r="B1393" s="37" t="s">
        <v>5111</v>
      </c>
      <c r="C1393" s="38" t="s">
        <v>151</v>
      </c>
      <c r="D1393" s="34">
        <v>6726.4</v>
      </c>
      <c r="E1393" s="35">
        <v>44605</v>
      </c>
      <c r="F1393" s="34">
        <v>6726.4</v>
      </c>
      <c r="G1393" s="36">
        <f>Tabla13[[#This Row],[Importe]]-Tabla13[[#This Row],[Pagado]]</f>
        <v>0</v>
      </c>
      <c r="H1393" s="38" t="s">
        <v>10</v>
      </c>
    </row>
    <row r="1394" spans="1:8" x14ac:dyDescent="0.25">
      <c r="A1394" s="31">
        <v>44604</v>
      </c>
      <c r="B1394" s="37" t="s">
        <v>5112</v>
      </c>
      <c r="C1394" s="38" t="s">
        <v>56</v>
      </c>
      <c r="D1394" s="34">
        <v>3236.5</v>
      </c>
      <c r="E1394" s="35">
        <v>44604</v>
      </c>
      <c r="F1394" s="34">
        <v>3236.5</v>
      </c>
      <c r="G1394" s="36">
        <f>Tabla13[[#This Row],[Importe]]-Tabla13[[#This Row],[Pagado]]</f>
        <v>0</v>
      </c>
      <c r="H1394" s="38" t="s">
        <v>10</v>
      </c>
    </row>
    <row r="1395" spans="1:8" x14ac:dyDescent="0.25">
      <c r="A1395" s="31">
        <v>44604</v>
      </c>
      <c r="B1395" s="37" t="s">
        <v>5113</v>
      </c>
      <c r="C1395" s="38" t="s">
        <v>47</v>
      </c>
      <c r="D1395" s="34">
        <v>2792</v>
      </c>
      <c r="E1395" s="35">
        <v>44604</v>
      </c>
      <c r="F1395" s="34">
        <v>2792</v>
      </c>
      <c r="G1395" s="36">
        <f>Tabla13[[#This Row],[Importe]]-Tabla13[[#This Row],[Pagado]]</f>
        <v>0</v>
      </c>
      <c r="H1395" s="38" t="s">
        <v>10</v>
      </c>
    </row>
    <row r="1396" spans="1:8" x14ac:dyDescent="0.25">
      <c r="A1396" s="31">
        <v>44604</v>
      </c>
      <c r="B1396" s="37" t="s">
        <v>5114</v>
      </c>
      <c r="C1396" s="38" t="s">
        <v>275</v>
      </c>
      <c r="D1396" s="34">
        <v>145007.07999999999</v>
      </c>
      <c r="E1396" s="35">
        <v>44610</v>
      </c>
      <c r="F1396" s="34">
        <v>145007.07999999999</v>
      </c>
      <c r="G1396" s="36">
        <f>Tabla13[[#This Row],[Importe]]-Tabla13[[#This Row],[Pagado]]</f>
        <v>0</v>
      </c>
      <c r="H1396" s="38" t="s">
        <v>10</v>
      </c>
    </row>
    <row r="1397" spans="1:8" x14ac:dyDescent="0.25">
      <c r="A1397" s="31">
        <v>44604</v>
      </c>
      <c r="B1397" s="37" t="s">
        <v>5115</v>
      </c>
      <c r="C1397" s="38" t="s">
        <v>647</v>
      </c>
      <c r="D1397" s="34">
        <v>753.2</v>
      </c>
      <c r="E1397" s="35">
        <v>44604</v>
      </c>
      <c r="F1397" s="34">
        <v>753.2</v>
      </c>
      <c r="G1397" s="36">
        <f>Tabla13[[#This Row],[Importe]]-Tabla13[[#This Row],[Pagado]]</f>
        <v>0</v>
      </c>
      <c r="H1397" s="38" t="s">
        <v>10</v>
      </c>
    </row>
    <row r="1398" spans="1:8" x14ac:dyDescent="0.25">
      <c r="A1398" s="31">
        <v>44604</v>
      </c>
      <c r="B1398" s="37" t="s">
        <v>5116</v>
      </c>
      <c r="C1398" s="38" t="s">
        <v>58</v>
      </c>
      <c r="D1398" s="34">
        <v>3865.6</v>
      </c>
      <c r="E1398" s="35">
        <v>44604</v>
      </c>
      <c r="F1398" s="34">
        <v>3865.6</v>
      </c>
      <c r="G1398" s="36">
        <f>Tabla13[[#This Row],[Importe]]-Tabla13[[#This Row],[Pagado]]</f>
        <v>0</v>
      </c>
      <c r="H1398" s="38" t="s">
        <v>10</v>
      </c>
    </row>
    <row r="1399" spans="1:8" x14ac:dyDescent="0.25">
      <c r="A1399" s="31">
        <v>44604</v>
      </c>
      <c r="B1399" s="37" t="s">
        <v>5117</v>
      </c>
      <c r="C1399" s="38" t="s">
        <v>79</v>
      </c>
      <c r="D1399" s="34">
        <v>15895.4</v>
      </c>
      <c r="E1399" s="35">
        <v>44604</v>
      </c>
      <c r="F1399" s="34">
        <v>15895.4</v>
      </c>
      <c r="G1399" s="36">
        <f>Tabla13[[#This Row],[Importe]]-Tabla13[[#This Row],[Pagado]]</f>
        <v>0</v>
      </c>
      <c r="H1399" s="38" t="s">
        <v>10</v>
      </c>
    </row>
    <row r="1400" spans="1:8" x14ac:dyDescent="0.25">
      <c r="A1400" s="31">
        <v>44604</v>
      </c>
      <c r="B1400" s="37" t="s">
        <v>5118</v>
      </c>
      <c r="C1400" s="38" t="s">
        <v>1064</v>
      </c>
      <c r="D1400" s="34">
        <v>2162.3000000000002</v>
      </c>
      <c r="E1400" s="35">
        <v>44604</v>
      </c>
      <c r="F1400" s="34">
        <v>2162.3000000000002</v>
      </c>
      <c r="G1400" s="36">
        <f>Tabla13[[#This Row],[Importe]]-Tabla13[[#This Row],[Pagado]]</f>
        <v>0</v>
      </c>
      <c r="H1400" s="38" t="s">
        <v>10</v>
      </c>
    </row>
    <row r="1401" spans="1:8" ht="31.5" x14ac:dyDescent="0.25">
      <c r="A1401" s="31">
        <v>44604</v>
      </c>
      <c r="B1401" s="37" t="s">
        <v>5119</v>
      </c>
      <c r="C1401" s="38" t="s">
        <v>275</v>
      </c>
      <c r="D1401" s="34">
        <v>21442.6</v>
      </c>
      <c r="E1401" s="35" t="s">
        <v>5120</v>
      </c>
      <c r="F1401" s="34">
        <f>18599.91+2842.69</f>
        <v>21442.6</v>
      </c>
      <c r="G1401" s="36">
        <f>Tabla13[[#This Row],[Importe]]-Tabla13[[#This Row],[Pagado]]</f>
        <v>0</v>
      </c>
      <c r="H1401" s="38" t="s">
        <v>10</v>
      </c>
    </row>
    <row r="1402" spans="1:8" x14ac:dyDescent="0.25">
      <c r="A1402" s="31">
        <v>44604</v>
      </c>
      <c r="B1402" s="37" t="s">
        <v>5121</v>
      </c>
      <c r="C1402" s="38" t="s">
        <v>31</v>
      </c>
      <c r="D1402" s="34">
        <v>1325.4</v>
      </c>
      <c r="E1402" s="35">
        <v>44604</v>
      </c>
      <c r="F1402" s="34">
        <v>1325.4</v>
      </c>
      <c r="G1402" s="36">
        <f>Tabla13[[#This Row],[Importe]]-Tabla13[[#This Row],[Pagado]]</f>
        <v>0</v>
      </c>
      <c r="H1402" s="38" t="s">
        <v>10</v>
      </c>
    </row>
    <row r="1403" spans="1:8" x14ac:dyDescent="0.25">
      <c r="A1403" s="31">
        <v>44604</v>
      </c>
      <c r="B1403" s="37" t="s">
        <v>5122</v>
      </c>
      <c r="C1403" s="38" t="s">
        <v>85</v>
      </c>
      <c r="D1403" s="34">
        <v>1507.7</v>
      </c>
      <c r="E1403" s="35">
        <v>44604</v>
      </c>
      <c r="F1403" s="34">
        <v>1507.7</v>
      </c>
      <c r="G1403" s="36">
        <f>Tabla13[[#This Row],[Importe]]-Tabla13[[#This Row],[Pagado]]</f>
        <v>0</v>
      </c>
      <c r="H1403" s="38" t="s">
        <v>10</v>
      </c>
    </row>
    <row r="1404" spans="1:8" x14ac:dyDescent="0.25">
      <c r="A1404" s="31">
        <v>44604</v>
      </c>
      <c r="B1404" s="37" t="s">
        <v>5123</v>
      </c>
      <c r="C1404" s="38" t="s">
        <v>371</v>
      </c>
      <c r="D1404" s="34">
        <v>28262.7</v>
      </c>
      <c r="E1404" s="35">
        <v>44604</v>
      </c>
      <c r="F1404" s="34">
        <v>28262.7</v>
      </c>
      <c r="G1404" s="36">
        <f>Tabla13[[#This Row],[Importe]]-Tabla13[[#This Row],[Pagado]]</f>
        <v>0</v>
      </c>
      <c r="H1404" s="38" t="s">
        <v>10</v>
      </c>
    </row>
    <row r="1405" spans="1:8" x14ac:dyDescent="0.25">
      <c r="A1405" s="31">
        <v>44604</v>
      </c>
      <c r="B1405" s="37" t="s">
        <v>5124</v>
      </c>
      <c r="C1405" s="38" t="s">
        <v>142</v>
      </c>
      <c r="D1405" s="34">
        <v>4932</v>
      </c>
      <c r="E1405" s="35">
        <v>44617</v>
      </c>
      <c r="F1405" s="34">
        <v>4932</v>
      </c>
      <c r="G1405" s="36">
        <f>Tabla13[[#This Row],[Importe]]-Tabla13[[#This Row],[Pagado]]</f>
        <v>0</v>
      </c>
      <c r="H1405" s="38" t="s">
        <v>10</v>
      </c>
    </row>
    <row r="1406" spans="1:8" x14ac:dyDescent="0.25">
      <c r="A1406" s="31">
        <v>44604</v>
      </c>
      <c r="B1406" s="37" t="s">
        <v>5125</v>
      </c>
      <c r="C1406" s="38" t="s">
        <v>5126</v>
      </c>
      <c r="D1406" s="34">
        <v>30454.6</v>
      </c>
      <c r="E1406" s="35">
        <v>44604</v>
      </c>
      <c r="F1406" s="34">
        <v>30454.6</v>
      </c>
      <c r="G1406" s="36">
        <f>Tabla13[[#This Row],[Importe]]-Tabla13[[#This Row],[Pagado]]</f>
        <v>0</v>
      </c>
      <c r="H1406" s="38" t="s">
        <v>10</v>
      </c>
    </row>
    <row r="1407" spans="1:8" x14ac:dyDescent="0.25">
      <c r="A1407" s="31">
        <v>44604</v>
      </c>
      <c r="B1407" s="37" t="s">
        <v>5127</v>
      </c>
      <c r="C1407" s="38" t="s">
        <v>71</v>
      </c>
      <c r="D1407" s="34">
        <v>755.2</v>
      </c>
      <c r="E1407" s="35">
        <v>44604</v>
      </c>
      <c r="F1407" s="34">
        <v>755.2</v>
      </c>
      <c r="G1407" s="36">
        <f>Tabla13[[#This Row],[Importe]]-Tabla13[[#This Row],[Pagado]]</f>
        <v>0</v>
      </c>
      <c r="H1407" s="38" t="s">
        <v>10</v>
      </c>
    </row>
    <row r="1408" spans="1:8" x14ac:dyDescent="0.25">
      <c r="A1408" s="31">
        <v>44604</v>
      </c>
      <c r="B1408" s="37" t="s">
        <v>5128</v>
      </c>
      <c r="C1408" s="38" t="s">
        <v>16</v>
      </c>
      <c r="D1408" s="34">
        <v>542.79999999999995</v>
      </c>
      <c r="E1408" s="35">
        <v>44604</v>
      </c>
      <c r="F1408" s="34">
        <v>542.79999999999995</v>
      </c>
      <c r="G1408" s="36">
        <f>Tabla13[[#This Row],[Importe]]-Tabla13[[#This Row],[Pagado]]</f>
        <v>0</v>
      </c>
      <c r="H1408" s="38" t="s">
        <v>10</v>
      </c>
    </row>
    <row r="1409" spans="1:8" x14ac:dyDescent="0.25">
      <c r="A1409" s="31">
        <v>44604</v>
      </c>
      <c r="B1409" s="37" t="s">
        <v>5129</v>
      </c>
      <c r="C1409" s="38" t="s">
        <v>409</v>
      </c>
      <c r="D1409" s="34">
        <v>4403.7</v>
      </c>
      <c r="E1409" s="35">
        <v>44608</v>
      </c>
      <c r="F1409" s="34">
        <v>4403.7</v>
      </c>
      <c r="G1409" s="36">
        <f>Tabla13[[#This Row],[Importe]]-Tabla13[[#This Row],[Pagado]]</f>
        <v>0</v>
      </c>
      <c r="H1409" s="38" t="s">
        <v>10</v>
      </c>
    </row>
    <row r="1410" spans="1:8" x14ac:dyDescent="0.25">
      <c r="A1410" s="31">
        <v>44604</v>
      </c>
      <c r="B1410" s="37" t="s">
        <v>5130</v>
      </c>
      <c r="C1410" s="38" t="s">
        <v>371</v>
      </c>
      <c r="D1410" s="34">
        <v>29037.7</v>
      </c>
      <c r="E1410" s="35">
        <v>44604</v>
      </c>
      <c r="F1410" s="34">
        <v>29037.7</v>
      </c>
      <c r="G1410" s="36">
        <f>Tabla13[[#This Row],[Importe]]-Tabla13[[#This Row],[Pagado]]</f>
        <v>0</v>
      </c>
      <c r="H1410" s="38" t="s">
        <v>10</v>
      </c>
    </row>
    <row r="1411" spans="1:8" x14ac:dyDescent="0.25">
      <c r="A1411" s="31">
        <v>44604</v>
      </c>
      <c r="B1411" s="37" t="s">
        <v>5131</v>
      </c>
      <c r="C1411" s="38" t="s">
        <v>647</v>
      </c>
      <c r="D1411" s="34">
        <v>29592</v>
      </c>
      <c r="E1411" s="35">
        <v>44604</v>
      </c>
      <c r="F1411" s="34">
        <v>29592</v>
      </c>
      <c r="G1411" s="36">
        <f>Tabla13[[#This Row],[Importe]]-Tabla13[[#This Row],[Pagado]]</f>
        <v>0</v>
      </c>
      <c r="H1411" s="38" t="s">
        <v>10</v>
      </c>
    </row>
    <row r="1412" spans="1:8" x14ac:dyDescent="0.25">
      <c r="A1412" s="31">
        <v>44604</v>
      </c>
      <c r="B1412" s="37" t="s">
        <v>5132</v>
      </c>
      <c r="C1412" s="38" t="s">
        <v>647</v>
      </c>
      <c r="D1412" s="34">
        <v>2864.4</v>
      </c>
      <c r="E1412" s="35">
        <v>44604</v>
      </c>
      <c r="F1412" s="34">
        <v>2864.4</v>
      </c>
      <c r="G1412" s="36">
        <f>Tabla13[[#This Row],[Importe]]-Tabla13[[#This Row],[Pagado]]</f>
        <v>0</v>
      </c>
      <c r="H1412" s="38" t="s">
        <v>10</v>
      </c>
    </row>
    <row r="1413" spans="1:8" x14ac:dyDescent="0.25">
      <c r="A1413" s="31">
        <v>44604</v>
      </c>
      <c r="B1413" s="37" t="s">
        <v>5133</v>
      </c>
      <c r="C1413" s="38" t="s">
        <v>191</v>
      </c>
      <c r="D1413" s="34">
        <v>487.6</v>
      </c>
      <c r="E1413" s="35">
        <v>44604</v>
      </c>
      <c r="F1413" s="34">
        <v>487.6</v>
      </c>
      <c r="G1413" s="36">
        <f>Tabla13[[#This Row],[Importe]]-Tabla13[[#This Row],[Pagado]]</f>
        <v>0</v>
      </c>
      <c r="H1413" s="38" t="s">
        <v>10</v>
      </c>
    </row>
    <row r="1414" spans="1:8" x14ac:dyDescent="0.25">
      <c r="A1414" s="31">
        <v>44604</v>
      </c>
      <c r="B1414" s="37" t="s">
        <v>5134</v>
      </c>
      <c r="C1414" s="38" t="s">
        <v>647</v>
      </c>
      <c r="D1414" s="34">
        <v>1042.8</v>
      </c>
      <c r="E1414" s="35">
        <v>44604</v>
      </c>
      <c r="F1414" s="34">
        <v>1042.8</v>
      </c>
      <c r="G1414" s="36">
        <f>Tabla13[[#This Row],[Importe]]-Tabla13[[#This Row],[Pagado]]</f>
        <v>0</v>
      </c>
      <c r="H1414" s="38" t="s">
        <v>10</v>
      </c>
    </row>
    <row r="1415" spans="1:8" x14ac:dyDescent="0.25">
      <c r="A1415" s="31">
        <v>44604</v>
      </c>
      <c r="B1415" s="37" t="s">
        <v>5135</v>
      </c>
      <c r="C1415" s="38" t="s">
        <v>31</v>
      </c>
      <c r="D1415" s="34">
        <v>56568.800000000003</v>
      </c>
      <c r="E1415" s="35">
        <v>44604</v>
      </c>
      <c r="F1415" s="34">
        <v>56568.800000000003</v>
      </c>
      <c r="G1415" s="36">
        <f>Tabla13[[#This Row],[Importe]]-Tabla13[[#This Row],[Pagado]]</f>
        <v>0</v>
      </c>
      <c r="H1415" s="38" t="s">
        <v>10</v>
      </c>
    </row>
    <row r="1416" spans="1:8" ht="31.5" x14ac:dyDescent="0.25">
      <c r="A1416" s="31">
        <v>44604</v>
      </c>
      <c r="B1416" s="37" t="s">
        <v>5136</v>
      </c>
      <c r="C1416" s="38" t="s">
        <v>475</v>
      </c>
      <c r="D1416" s="34">
        <v>23720.1</v>
      </c>
      <c r="E1416" s="35" t="s">
        <v>5137</v>
      </c>
      <c r="F1416" s="34">
        <f>8500+15220.1</f>
        <v>23720.1</v>
      </c>
      <c r="G1416" s="36">
        <f>Tabla13[[#This Row],[Importe]]-Tabla13[[#This Row],[Pagado]]</f>
        <v>0</v>
      </c>
      <c r="H1416" s="38" t="s">
        <v>10</v>
      </c>
    </row>
    <row r="1417" spans="1:8" x14ac:dyDescent="0.25">
      <c r="A1417" s="31">
        <v>44604</v>
      </c>
      <c r="B1417" s="37" t="s">
        <v>5138</v>
      </c>
      <c r="C1417" s="38" t="s">
        <v>87</v>
      </c>
      <c r="D1417" s="34">
        <v>2474</v>
      </c>
      <c r="E1417" s="35">
        <v>44605</v>
      </c>
      <c r="F1417" s="34">
        <v>2474</v>
      </c>
      <c r="G1417" s="36">
        <f>Tabla13[[#This Row],[Importe]]-Tabla13[[#This Row],[Pagado]]</f>
        <v>0</v>
      </c>
      <c r="H1417" s="38" t="s">
        <v>10</v>
      </c>
    </row>
    <row r="1418" spans="1:8" x14ac:dyDescent="0.25">
      <c r="A1418" s="31">
        <v>44604</v>
      </c>
      <c r="B1418" s="37" t="s">
        <v>5139</v>
      </c>
      <c r="C1418" s="38" t="s">
        <v>314</v>
      </c>
      <c r="D1418" s="34">
        <v>4432.1000000000004</v>
      </c>
      <c r="E1418" s="35">
        <v>44605</v>
      </c>
      <c r="F1418" s="34">
        <v>4432.1000000000004</v>
      </c>
      <c r="G1418" s="36">
        <f>Tabla13[[#This Row],[Importe]]-Tabla13[[#This Row],[Pagado]]</f>
        <v>0</v>
      </c>
      <c r="H1418" s="38" t="s">
        <v>10</v>
      </c>
    </row>
    <row r="1419" spans="1:8" x14ac:dyDescent="0.25">
      <c r="A1419" s="31">
        <v>44604</v>
      </c>
      <c r="B1419" s="37" t="s">
        <v>5140</v>
      </c>
      <c r="C1419" s="38" t="s">
        <v>35</v>
      </c>
      <c r="D1419" s="34">
        <v>2468.4</v>
      </c>
      <c r="E1419" s="35">
        <v>44604</v>
      </c>
      <c r="F1419" s="34">
        <v>2468.4</v>
      </c>
      <c r="G1419" s="36">
        <f>Tabla13[[#This Row],[Importe]]-Tabla13[[#This Row],[Pagado]]</f>
        <v>0</v>
      </c>
      <c r="H1419" s="38" t="s">
        <v>10</v>
      </c>
    </row>
    <row r="1420" spans="1:8" x14ac:dyDescent="0.25">
      <c r="A1420" s="31">
        <v>44604</v>
      </c>
      <c r="B1420" s="37" t="s">
        <v>5141</v>
      </c>
      <c r="C1420" s="38" t="s">
        <v>179</v>
      </c>
      <c r="D1420" s="34">
        <v>470</v>
      </c>
      <c r="E1420" s="35">
        <v>44604</v>
      </c>
      <c r="F1420" s="34">
        <v>470</v>
      </c>
      <c r="G1420" s="36">
        <f>Tabla13[[#This Row],[Importe]]-Tabla13[[#This Row],[Pagado]]</f>
        <v>0</v>
      </c>
      <c r="H1420" s="38" t="s">
        <v>10</v>
      </c>
    </row>
    <row r="1421" spans="1:8" x14ac:dyDescent="0.25">
      <c r="A1421" s="31">
        <v>44604</v>
      </c>
      <c r="B1421" s="37" t="s">
        <v>5142</v>
      </c>
      <c r="C1421" s="38" t="s">
        <v>1421</v>
      </c>
      <c r="D1421" s="34">
        <v>19842.400000000001</v>
      </c>
      <c r="E1421" s="35">
        <v>44604</v>
      </c>
      <c r="F1421" s="34">
        <v>19842.400000000001</v>
      </c>
      <c r="G1421" s="36">
        <f>Tabla13[[#This Row],[Importe]]-Tabla13[[#This Row],[Pagado]]</f>
        <v>0</v>
      </c>
      <c r="H1421" s="38" t="s">
        <v>10</v>
      </c>
    </row>
    <row r="1422" spans="1:8" x14ac:dyDescent="0.25">
      <c r="A1422" s="31">
        <v>44604</v>
      </c>
      <c r="B1422" s="37" t="s">
        <v>5143</v>
      </c>
      <c r="C1422" s="38" t="s">
        <v>284</v>
      </c>
      <c r="D1422" s="34">
        <v>11750</v>
      </c>
      <c r="E1422" s="35">
        <v>44606</v>
      </c>
      <c r="F1422" s="34">
        <v>11750</v>
      </c>
      <c r="G1422" s="36">
        <f>Tabla13[[#This Row],[Importe]]-Tabla13[[#This Row],[Pagado]]</f>
        <v>0</v>
      </c>
      <c r="H1422" s="38" t="s">
        <v>10</v>
      </c>
    </row>
    <row r="1423" spans="1:8" x14ac:dyDescent="0.25">
      <c r="A1423" s="31">
        <v>44604</v>
      </c>
      <c r="B1423" s="37" t="s">
        <v>5144</v>
      </c>
      <c r="C1423" s="38" t="s">
        <v>280</v>
      </c>
      <c r="D1423" s="34">
        <v>1367.7</v>
      </c>
      <c r="E1423" s="35">
        <v>44606</v>
      </c>
      <c r="F1423" s="34">
        <v>1367.7</v>
      </c>
      <c r="G1423" s="36">
        <f>Tabla13[[#This Row],[Importe]]-Tabla13[[#This Row],[Pagado]]</f>
        <v>0</v>
      </c>
      <c r="H1423" s="38" t="s">
        <v>10</v>
      </c>
    </row>
    <row r="1424" spans="1:8" x14ac:dyDescent="0.25">
      <c r="A1424" s="31">
        <v>44604</v>
      </c>
      <c r="B1424" s="37" t="s">
        <v>5145</v>
      </c>
      <c r="C1424" s="38" t="s">
        <v>1421</v>
      </c>
      <c r="D1424" s="34">
        <v>6142.7</v>
      </c>
      <c r="E1424" s="35">
        <v>44604</v>
      </c>
      <c r="F1424" s="34">
        <v>6142.7</v>
      </c>
      <c r="G1424" s="36">
        <f>Tabla13[[#This Row],[Importe]]-Tabla13[[#This Row],[Pagado]]</f>
        <v>0</v>
      </c>
      <c r="H1424" s="38" t="s">
        <v>10</v>
      </c>
    </row>
    <row r="1425" spans="1:8" x14ac:dyDescent="0.25">
      <c r="A1425" s="31">
        <v>44604</v>
      </c>
      <c r="B1425" s="37" t="s">
        <v>5146</v>
      </c>
      <c r="C1425" s="38" t="s">
        <v>282</v>
      </c>
      <c r="D1425" s="34">
        <v>3548.5</v>
      </c>
      <c r="E1425" s="35">
        <v>44606</v>
      </c>
      <c r="F1425" s="34">
        <v>3548.5</v>
      </c>
      <c r="G1425" s="36">
        <f>Tabla13[[#This Row],[Importe]]-Tabla13[[#This Row],[Pagado]]</f>
        <v>0</v>
      </c>
      <c r="H1425" s="38" t="s">
        <v>10</v>
      </c>
    </row>
    <row r="1426" spans="1:8" x14ac:dyDescent="0.25">
      <c r="A1426" s="31">
        <v>44604</v>
      </c>
      <c r="B1426" s="37" t="s">
        <v>5147</v>
      </c>
      <c r="C1426" s="38" t="s">
        <v>181</v>
      </c>
      <c r="D1426" s="34">
        <v>12824.4</v>
      </c>
      <c r="E1426" s="35">
        <v>44606</v>
      </c>
      <c r="F1426" s="34">
        <v>12824.4</v>
      </c>
      <c r="G1426" s="36">
        <f>Tabla13[[#This Row],[Importe]]-Tabla13[[#This Row],[Pagado]]</f>
        <v>0</v>
      </c>
      <c r="H1426" s="38" t="s">
        <v>10</v>
      </c>
    </row>
    <row r="1427" spans="1:8" x14ac:dyDescent="0.25">
      <c r="A1427" s="31">
        <v>44604</v>
      </c>
      <c r="B1427" s="37" t="s">
        <v>5148</v>
      </c>
      <c r="C1427" s="38" t="s">
        <v>107</v>
      </c>
      <c r="D1427" s="34">
        <v>21291.200000000001</v>
      </c>
      <c r="E1427" s="35">
        <v>44605</v>
      </c>
      <c r="F1427" s="34">
        <v>21291.200000000001</v>
      </c>
      <c r="G1427" s="36">
        <f>Tabla13[[#This Row],[Importe]]-Tabla13[[#This Row],[Pagado]]</f>
        <v>0</v>
      </c>
      <c r="H1427" s="38" t="s">
        <v>10</v>
      </c>
    </row>
    <row r="1428" spans="1:8" x14ac:dyDescent="0.25">
      <c r="A1428" s="31">
        <v>44604</v>
      </c>
      <c r="B1428" s="37" t="s">
        <v>5149</v>
      </c>
      <c r="C1428" s="38" t="s">
        <v>144</v>
      </c>
      <c r="D1428" s="34">
        <v>3905</v>
      </c>
      <c r="E1428" s="35">
        <v>44605</v>
      </c>
      <c r="F1428" s="34">
        <v>3905</v>
      </c>
      <c r="G1428" s="36">
        <f>Tabla13[[#This Row],[Importe]]-Tabla13[[#This Row],[Pagado]]</f>
        <v>0</v>
      </c>
      <c r="H1428" s="38" t="s">
        <v>10</v>
      </c>
    </row>
    <row r="1429" spans="1:8" x14ac:dyDescent="0.25">
      <c r="A1429" s="31">
        <v>44604</v>
      </c>
      <c r="B1429" s="37" t="s">
        <v>5150</v>
      </c>
      <c r="C1429" s="38" t="s">
        <v>473</v>
      </c>
      <c r="D1429" s="34">
        <v>7678.8</v>
      </c>
      <c r="E1429" s="35">
        <v>44606</v>
      </c>
      <c r="F1429" s="34">
        <v>7678.8</v>
      </c>
      <c r="G1429" s="36">
        <f>Tabla13[[#This Row],[Importe]]-Tabla13[[#This Row],[Pagado]]</f>
        <v>0</v>
      </c>
      <c r="H1429" s="38" t="s">
        <v>10</v>
      </c>
    </row>
    <row r="1430" spans="1:8" x14ac:dyDescent="0.25">
      <c r="A1430" s="31">
        <v>44604</v>
      </c>
      <c r="B1430" s="37" t="s">
        <v>5151</v>
      </c>
      <c r="C1430" s="38" t="s">
        <v>200</v>
      </c>
      <c r="D1430" s="34">
        <v>907.1</v>
      </c>
      <c r="E1430" s="35">
        <v>44606</v>
      </c>
      <c r="F1430" s="34">
        <v>907.1</v>
      </c>
      <c r="G1430" s="36">
        <f>Tabla13[[#This Row],[Importe]]-Tabla13[[#This Row],[Pagado]]</f>
        <v>0</v>
      </c>
      <c r="H1430" s="38" t="s">
        <v>10</v>
      </c>
    </row>
    <row r="1431" spans="1:8" x14ac:dyDescent="0.25">
      <c r="A1431" s="31">
        <v>44604</v>
      </c>
      <c r="B1431" s="37" t="s">
        <v>5152</v>
      </c>
      <c r="C1431" s="38" t="s">
        <v>1021</v>
      </c>
      <c r="D1431" s="34">
        <v>1414.5</v>
      </c>
      <c r="E1431" s="35">
        <v>44604</v>
      </c>
      <c r="F1431" s="34">
        <v>1414.5</v>
      </c>
      <c r="G1431" s="36">
        <f>Tabla13[[#This Row],[Importe]]-Tabla13[[#This Row],[Pagado]]</f>
        <v>0</v>
      </c>
      <c r="H1431" s="38" t="s">
        <v>10</v>
      </c>
    </row>
    <row r="1432" spans="1:8" x14ac:dyDescent="0.25">
      <c r="A1432" s="31">
        <v>44604</v>
      </c>
      <c r="B1432" s="37" t="s">
        <v>5153</v>
      </c>
      <c r="C1432" s="38" t="s">
        <v>426</v>
      </c>
      <c r="D1432" s="34">
        <v>2603.6999999999998</v>
      </c>
      <c r="E1432" s="35">
        <v>44606</v>
      </c>
      <c r="F1432" s="34">
        <v>2603.6999999999998</v>
      </c>
      <c r="G1432" s="36">
        <f>Tabla13[[#This Row],[Importe]]-Tabla13[[#This Row],[Pagado]]</f>
        <v>0</v>
      </c>
      <c r="H1432" s="38" t="s">
        <v>10</v>
      </c>
    </row>
    <row r="1433" spans="1:8" x14ac:dyDescent="0.25">
      <c r="A1433" s="31">
        <v>44604</v>
      </c>
      <c r="B1433" s="37" t="s">
        <v>5154</v>
      </c>
      <c r="C1433" s="38" t="s">
        <v>298</v>
      </c>
      <c r="D1433" s="34">
        <v>8852.4</v>
      </c>
      <c r="E1433" s="35">
        <v>44604</v>
      </c>
      <c r="F1433" s="34">
        <v>8852.4</v>
      </c>
      <c r="G1433" s="36">
        <f>Tabla13[[#This Row],[Importe]]-Tabla13[[#This Row],[Pagado]]</f>
        <v>0</v>
      </c>
      <c r="H1433" s="38" t="s">
        <v>10</v>
      </c>
    </row>
    <row r="1434" spans="1:8" x14ac:dyDescent="0.25">
      <c r="A1434" s="31">
        <v>44604</v>
      </c>
      <c r="B1434" s="37" t="s">
        <v>5155</v>
      </c>
      <c r="C1434" s="38" t="s">
        <v>146</v>
      </c>
      <c r="D1434" s="34">
        <v>7705</v>
      </c>
      <c r="E1434" s="35">
        <v>44605</v>
      </c>
      <c r="F1434" s="34">
        <v>7705</v>
      </c>
      <c r="G1434" s="36">
        <f>Tabla13[[#This Row],[Importe]]-Tabla13[[#This Row],[Pagado]]</f>
        <v>0</v>
      </c>
      <c r="H1434" s="38" t="s">
        <v>10</v>
      </c>
    </row>
    <row r="1435" spans="1:8" x14ac:dyDescent="0.25">
      <c r="A1435" s="31">
        <v>44604</v>
      </c>
      <c r="B1435" s="37" t="s">
        <v>5156</v>
      </c>
      <c r="C1435" s="38" t="s">
        <v>450</v>
      </c>
      <c r="D1435" s="34">
        <v>3414</v>
      </c>
      <c r="E1435" s="35">
        <v>44604</v>
      </c>
      <c r="F1435" s="34">
        <v>3414</v>
      </c>
      <c r="G1435" s="36">
        <f>Tabla13[[#This Row],[Importe]]-Tabla13[[#This Row],[Pagado]]</f>
        <v>0</v>
      </c>
      <c r="H1435" s="38" t="s">
        <v>10</v>
      </c>
    </row>
    <row r="1436" spans="1:8" x14ac:dyDescent="0.25">
      <c r="A1436" s="31">
        <v>44604</v>
      </c>
      <c r="B1436" s="37" t="s">
        <v>5157</v>
      </c>
      <c r="C1436" s="38" t="s">
        <v>31</v>
      </c>
      <c r="D1436" s="34">
        <v>866.4</v>
      </c>
      <c r="E1436" s="35">
        <v>44604</v>
      </c>
      <c r="F1436" s="34">
        <v>866.4</v>
      </c>
      <c r="G1436" s="36">
        <f>Tabla13[[#This Row],[Importe]]-Tabla13[[#This Row],[Pagado]]</f>
        <v>0</v>
      </c>
      <c r="H1436" s="38" t="s">
        <v>10</v>
      </c>
    </row>
    <row r="1437" spans="1:8" x14ac:dyDescent="0.25">
      <c r="A1437" s="31">
        <v>44604</v>
      </c>
      <c r="B1437" s="37" t="s">
        <v>5158</v>
      </c>
      <c r="C1437" s="38" t="s">
        <v>51</v>
      </c>
      <c r="D1437" s="34">
        <v>4136.8</v>
      </c>
      <c r="E1437" s="35">
        <v>44604</v>
      </c>
      <c r="F1437" s="34">
        <v>4136.8</v>
      </c>
      <c r="G1437" s="36">
        <f>Tabla13[[#This Row],[Importe]]-Tabla13[[#This Row],[Pagado]]</f>
        <v>0</v>
      </c>
      <c r="H1437" s="38" t="s">
        <v>10</v>
      </c>
    </row>
    <row r="1438" spans="1:8" x14ac:dyDescent="0.25">
      <c r="A1438" s="31">
        <v>44604</v>
      </c>
      <c r="B1438" s="37" t="s">
        <v>5159</v>
      </c>
      <c r="C1438" s="38" t="s">
        <v>857</v>
      </c>
      <c r="D1438" s="34">
        <v>1049.5999999999999</v>
      </c>
      <c r="E1438" s="35">
        <v>44604</v>
      </c>
      <c r="F1438" s="34">
        <v>1049.5999999999999</v>
      </c>
      <c r="G1438" s="36">
        <f>Tabla13[[#This Row],[Importe]]-Tabla13[[#This Row],[Pagado]]</f>
        <v>0</v>
      </c>
      <c r="H1438" s="38" t="s">
        <v>10</v>
      </c>
    </row>
    <row r="1439" spans="1:8" x14ac:dyDescent="0.25">
      <c r="A1439" s="31">
        <v>44604</v>
      </c>
      <c r="B1439" s="37" t="s">
        <v>5160</v>
      </c>
      <c r="C1439" s="38" t="s">
        <v>31</v>
      </c>
      <c r="D1439" s="34">
        <v>280</v>
      </c>
      <c r="E1439" s="35">
        <v>44604</v>
      </c>
      <c r="F1439" s="34">
        <v>280</v>
      </c>
      <c r="G1439" s="36">
        <f>Tabla13[[#This Row],[Importe]]-Tabla13[[#This Row],[Pagado]]</f>
        <v>0</v>
      </c>
      <c r="H1439" s="38" t="s">
        <v>10</v>
      </c>
    </row>
    <row r="1440" spans="1:8" x14ac:dyDescent="0.25">
      <c r="A1440" s="31">
        <v>44604</v>
      </c>
      <c r="B1440" s="37" t="s">
        <v>5161</v>
      </c>
      <c r="C1440" s="38" t="s">
        <v>12</v>
      </c>
      <c r="D1440" s="34">
        <v>639.6</v>
      </c>
      <c r="E1440" s="35">
        <v>44604</v>
      </c>
      <c r="F1440" s="34">
        <v>639.6</v>
      </c>
      <c r="G1440" s="36">
        <f>Tabla13[[#This Row],[Importe]]-Tabla13[[#This Row],[Pagado]]</f>
        <v>0</v>
      </c>
      <c r="H1440" s="38" t="s">
        <v>10</v>
      </c>
    </row>
    <row r="1441" spans="1:8" x14ac:dyDescent="0.25">
      <c r="A1441" s="31">
        <v>44604</v>
      </c>
      <c r="B1441" s="37" t="s">
        <v>5162</v>
      </c>
      <c r="C1441" s="38" t="s">
        <v>31</v>
      </c>
      <c r="D1441" s="34">
        <v>173.9</v>
      </c>
      <c r="E1441" s="35">
        <v>44604</v>
      </c>
      <c r="F1441" s="34">
        <v>173.9</v>
      </c>
      <c r="G1441" s="36">
        <f>Tabla13[[#This Row],[Importe]]-Tabla13[[#This Row],[Pagado]]</f>
        <v>0</v>
      </c>
      <c r="H1441" s="38" t="s">
        <v>10</v>
      </c>
    </row>
    <row r="1442" spans="1:8" x14ac:dyDescent="0.25">
      <c r="A1442" s="31">
        <v>44604</v>
      </c>
      <c r="B1442" s="37" t="s">
        <v>5163</v>
      </c>
      <c r="C1442" s="38" t="s">
        <v>303</v>
      </c>
      <c r="D1442" s="34">
        <v>6361.6</v>
      </c>
      <c r="E1442" s="35">
        <v>44604</v>
      </c>
      <c r="F1442" s="34">
        <v>6361.6</v>
      </c>
      <c r="G1442" s="36">
        <f>Tabla13[[#This Row],[Importe]]-Tabla13[[#This Row],[Pagado]]</f>
        <v>0</v>
      </c>
      <c r="H1442" s="38" t="s">
        <v>10</v>
      </c>
    </row>
    <row r="1443" spans="1:8" x14ac:dyDescent="0.25">
      <c r="A1443" s="31">
        <v>44604</v>
      </c>
      <c r="B1443" s="37" t="s">
        <v>5164</v>
      </c>
      <c r="C1443" s="38" t="s">
        <v>196</v>
      </c>
      <c r="D1443" s="34">
        <v>57701.599999999999</v>
      </c>
      <c r="E1443" s="35">
        <v>44610</v>
      </c>
      <c r="F1443" s="34">
        <v>57701.599999999999</v>
      </c>
      <c r="G1443" s="36">
        <f>Tabla13[[#This Row],[Importe]]-Tabla13[[#This Row],[Pagado]]</f>
        <v>0</v>
      </c>
      <c r="H1443" s="38" t="s">
        <v>10</v>
      </c>
    </row>
    <row r="1444" spans="1:8" x14ac:dyDescent="0.25">
      <c r="A1444" s="31">
        <v>44604</v>
      </c>
      <c r="B1444" s="37" t="s">
        <v>5165</v>
      </c>
      <c r="C1444" s="38" t="s">
        <v>31</v>
      </c>
      <c r="D1444" s="34">
        <v>2124.4</v>
      </c>
      <c r="E1444" s="35">
        <v>44604</v>
      </c>
      <c r="F1444" s="34">
        <v>2124.4</v>
      </c>
      <c r="G1444" s="36">
        <f>Tabla13[[#This Row],[Importe]]-Tabla13[[#This Row],[Pagado]]</f>
        <v>0</v>
      </c>
      <c r="H1444" s="38" t="s">
        <v>10</v>
      </c>
    </row>
    <row r="1445" spans="1:8" x14ac:dyDescent="0.25">
      <c r="A1445" s="31">
        <v>44604</v>
      </c>
      <c r="B1445" s="37" t="s">
        <v>5166</v>
      </c>
      <c r="C1445" s="38" t="s">
        <v>459</v>
      </c>
      <c r="D1445" s="34">
        <v>213</v>
      </c>
      <c r="E1445" s="35">
        <v>44604</v>
      </c>
      <c r="F1445" s="34">
        <v>213</v>
      </c>
      <c r="G1445" s="36">
        <f>Tabla13[[#This Row],[Importe]]-Tabla13[[#This Row],[Pagado]]</f>
        <v>0</v>
      </c>
      <c r="H1445" s="38" t="s">
        <v>10</v>
      </c>
    </row>
    <row r="1446" spans="1:8" x14ac:dyDescent="0.25">
      <c r="A1446" s="31">
        <v>44604</v>
      </c>
      <c r="B1446" s="37" t="s">
        <v>5167</v>
      </c>
      <c r="C1446" s="38" t="s">
        <v>216</v>
      </c>
      <c r="D1446" s="34">
        <v>191.9</v>
      </c>
      <c r="E1446" s="35">
        <v>44604</v>
      </c>
      <c r="F1446" s="34">
        <v>191.9</v>
      </c>
      <c r="G1446" s="36">
        <f>Tabla13[[#This Row],[Importe]]-Tabla13[[#This Row],[Pagado]]</f>
        <v>0</v>
      </c>
      <c r="H1446" s="38" t="s">
        <v>10</v>
      </c>
    </row>
    <row r="1447" spans="1:8" x14ac:dyDescent="0.25">
      <c r="A1447" s="31">
        <v>44604</v>
      </c>
      <c r="B1447" s="37" t="s">
        <v>5168</v>
      </c>
      <c r="C1447" s="38" t="s">
        <v>457</v>
      </c>
      <c r="D1447" s="34">
        <v>198</v>
      </c>
      <c r="E1447" s="35">
        <v>44604</v>
      </c>
      <c r="F1447" s="34">
        <v>198</v>
      </c>
      <c r="G1447" s="36">
        <f>Tabla13[[#This Row],[Importe]]-Tabla13[[#This Row],[Pagado]]</f>
        <v>0</v>
      </c>
      <c r="H1447" s="38" t="s">
        <v>10</v>
      </c>
    </row>
    <row r="1448" spans="1:8" x14ac:dyDescent="0.25">
      <c r="A1448" s="31">
        <v>44604</v>
      </c>
      <c r="B1448" s="37" t="s">
        <v>5169</v>
      </c>
      <c r="C1448" s="38" t="s">
        <v>461</v>
      </c>
      <c r="D1448" s="34">
        <v>394</v>
      </c>
      <c r="E1448" s="35">
        <v>44605</v>
      </c>
      <c r="F1448" s="34">
        <v>394</v>
      </c>
      <c r="G1448" s="36">
        <f>Tabla13[[#This Row],[Importe]]-Tabla13[[#This Row],[Pagado]]</f>
        <v>0</v>
      </c>
      <c r="H1448" s="38" t="s">
        <v>10</v>
      </c>
    </row>
    <row r="1449" spans="1:8" x14ac:dyDescent="0.25">
      <c r="A1449" s="31">
        <v>44604</v>
      </c>
      <c r="B1449" s="37" t="s">
        <v>5170</v>
      </c>
      <c r="C1449" s="38" t="s">
        <v>1706</v>
      </c>
      <c r="D1449" s="34">
        <v>4838.3999999999996</v>
      </c>
      <c r="E1449" s="35">
        <v>44604</v>
      </c>
      <c r="F1449" s="34">
        <v>4838.3999999999996</v>
      </c>
      <c r="G1449" s="36">
        <f>Tabla13[[#This Row],[Importe]]-Tabla13[[#This Row],[Pagado]]</f>
        <v>0</v>
      </c>
      <c r="H1449" s="38" t="s">
        <v>10</v>
      </c>
    </row>
    <row r="1450" spans="1:8" x14ac:dyDescent="0.25">
      <c r="A1450" s="31">
        <v>44604</v>
      </c>
      <c r="B1450" s="37" t="s">
        <v>5171</v>
      </c>
      <c r="C1450" s="38" t="s">
        <v>31</v>
      </c>
      <c r="D1450" s="34">
        <v>23</v>
      </c>
      <c r="E1450" s="35">
        <v>44604</v>
      </c>
      <c r="F1450" s="34">
        <v>23</v>
      </c>
      <c r="G1450" s="36">
        <f>Tabla13[[#This Row],[Importe]]-Tabla13[[#This Row],[Pagado]]</f>
        <v>0</v>
      </c>
      <c r="H1450" s="38" t="s">
        <v>10</v>
      </c>
    </row>
    <row r="1451" spans="1:8" x14ac:dyDescent="0.25">
      <c r="A1451" s="31">
        <v>44604</v>
      </c>
      <c r="B1451" s="37" t="s">
        <v>5172</v>
      </c>
      <c r="C1451" s="38" t="s">
        <v>843</v>
      </c>
      <c r="D1451" s="34">
        <v>15317.4</v>
      </c>
      <c r="E1451" s="35">
        <v>44606</v>
      </c>
      <c r="F1451" s="34">
        <v>15317.4</v>
      </c>
      <c r="G1451" s="36">
        <f>Tabla13[[#This Row],[Importe]]-Tabla13[[#This Row],[Pagado]]</f>
        <v>0</v>
      </c>
      <c r="H1451" s="38" t="s">
        <v>10</v>
      </c>
    </row>
    <row r="1452" spans="1:8" x14ac:dyDescent="0.25">
      <c r="A1452" s="31">
        <v>44604</v>
      </c>
      <c r="B1452" s="37" t="s">
        <v>5173</v>
      </c>
      <c r="C1452" s="38" t="s">
        <v>214</v>
      </c>
      <c r="D1452" s="34">
        <v>6596.8</v>
      </c>
      <c r="E1452" s="35">
        <v>44606</v>
      </c>
      <c r="F1452" s="34">
        <v>6596.8</v>
      </c>
      <c r="G1452" s="36">
        <f>Tabla13[[#This Row],[Importe]]-Tabla13[[#This Row],[Pagado]]</f>
        <v>0</v>
      </c>
      <c r="H1452" s="38" t="s">
        <v>10</v>
      </c>
    </row>
    <row r="1453" spans="1:8" x14ac:dyDescent="0.25">
      <c r="A1453" s="31">
        <v>44604</v>
      </c>
      <c r="B1453" s="37" t="s">
        <v>5174</v>
      </c>
      <c r="C1453" s="38" t="s">
        <v>555</v>
      </c>
      <c r="D1453" s="34">
        <v>31470</v>
      </c>
      <c r="E1453" s="35">
        <v>44606</v>
      </c>
      <c r="F1453" s="34">
        <v>31470</v>
      </c>
      <c r="G1453" s="36">
        <f>Tabla13[[#This Row],[Importe]]-Tabla13[[#This Row],[Pagado]]</f>
        <v>0</v>
      </c>
      <c r="H1453" s="38" t="s">
        <v>10</v>
      </c>
    </row>
    <row r="1454" spans="1:8" x14ac:dyDescent="0.25">
      <c r="A1454" s="31">
        <v>44604</v>
      </c>
      <c r="B1454" s="37" t="s">
        <v>5175</v>
      </c>
      <c r="C1454" s="38" t="s">
        <v>142</v>
      </c>
      <c r="D1454" s="34">
        <v>16409.900000000001</v>
      </c>
      <c r="E1454" s="35">
        <v>44617</v>
      </c>
      <c r="F1454" s="34">
        <v>16409.900000000001</v>
      </c>
      <c r="G1454" s="36">
        <f>Tabla13[[#This Row],[Importe]]-Tabla13[[#This Row],[Pagado]]</f>
        <v>0</v>
      </c>
      <c r="H1454" s="38" t="s">
        <v>10</v>
      </c>
    </row>
    <row r="1455" spans="1:8" x14ac:dyDescent="0.25">
      <c r="A1455" s="31">
        <v>44605</v>
      </c>
      <c r="B1455" s="37" t="s">
        <v>5176</v>
      </c>
      <c r="C1455" s="38" t="s">
        <v>9</v>
      </c>
      <c r="D1455" s="34">
        <v>2083.5</v>
      </c>
      <c r="E1455" s="35">
        <v>44605</v>
      </c>
      <c r="F1455" s="34">
        <v>2083.5</v>
      </c>
      <c r="G1455" s="36">
        <f>Tabla13[[#This Row],[Importe]]-Tabla13[[#This Row],[Pagado]]</f>
        <v>0</v>
      </c>
      <c r="H1455" s="38" t="s">
        <v>10</v>
      </c>
    </row>
    <row r="1456" spans="1:8" x14ac:dyDescent="0.25">
      <c r="A1456" s="31">
        <v>44605</v>
      </c>
      <c r="B1456" s="37" t="s">
        <v>5177</v>
      </c>
      <c r="C1456" s="38" t="s">
        <v>16</v>
      </c>
      <c r="D1456" s="34">
        <v>8690.1</v>
      </c>
      <c r="E1456" s="35">
        <v>44605</v>
      </c>
      <c r="F1456" s="34">
        <v>8690.1</v>
      </c>
      <c r="G1456" s="36">
        <f>Tabla13[[#This Row],[Importe]]-Tabla13[[#This Row],[Pagado]]</f>
        <v>0</v>
      </c>
      <c r="H1456" s="38" t="s">
        <v>10</v>
      </c>
    </row>
    <row r="1457" spans="1:8" x14ac:dyDescent="0.25">
      <c r="A1457" s="31">
        <v>44605</v>
      </c>
      <c r="B1457" s="37" t="s">
        <v>5178</v>
      </c>
      <c r="C1457" s="38" t="s">
        <v>20</v>
      </c>
      <c r="D1457" s="34">
        <v>6802.8</v>
      </c>
      <c r="E1457" s="35">
        <v>44605</v>
      </c>
      <c r="F1457" s="34">
        <v>6802.8</v>
      </c>
      <c r="G1457" s="36">
        <f>Tabla13[[#This Row],[Importe]]-Tabla13[[#This Row],[Pagado]]</f>
        <v>0</v>
      </c>
      <c r="H1457" s="38" t="s">
        <v>10</v>
      </c>
    </row>
    <row r="1458" spans="1:8" ht="31.5" x14ac:dyDescent="0.25">
      <c r="A1458" s="31">
        <v>44605</v>
      </c>
      <c r="B1458" s="37" t="s">
        <v>5179</v>
      </c>
      <c r="C1458" s="38" t="s">
        <v>22</v>
      </c>
      <c r="D1458" s="34">
        <v>48054</v>
      </c>
      <c r="E1458" s="35" t="s">
        <v>5180</v>
      </c>
      <c r="F1458" s="34">
        <f>40000+8054</f>
        <v>48054</v>
      </c>
      <c r="G1458" s="36">
        <f>Tabla13[[#This Row],[Importe]]-Tabla13[[#This Row],[Pagado]]</f>
        <v>0</v>
      </c>
      <c r="H1458" s="38" t="s">
        <v>10</v>
      </c>
    </row>
    <row r="1459" spans="1:8" ht="31.5" x14ac:dyDescent="0.25">
      <c r="A1459" s="31">
        <v>44605</v>
      </c>
      <c r="B1459" s="37" t="s">
        <v>5181</v>
      </c>
      <c r="C1459" s="38" t="s">
        <v>475</v>
      </c>
      <c r="D1459" s="34">
        <v>48619.9</v>
      </c>
      <c r="E1459" s="35" t="s">
        <v>4504</v>
      </c>
      <c r="F1459" s="34">
        <f>43000+5619.9</f>
        <v>48619.9</v>
      </c>
      <c r="G1459" s="36">
        <f>Tabla13[[#This Row],[Importe]]-Tabla13[[#This Row],[Pagado]]</f>
        <v>0</v>
      </c>
      <c r="H1459" s="38" t="s">
        <v>10</v>
      </c>
    </row>
    <row r="1460" spans="1:8" x14ac:dyDescent="0.25">
      <c r="A1460" s="31">
        <v>44605</v>
      </c>
      <c r="B1460" s="37" t="s">
        <v>5182</v>
      </c>
      <c r="C1460" s="38" t="s">
        <v>51</v>
      </c>
      <c r="D1460" s="34">
        <v>850.7</v>
      </c>
      <c r="E1460" s="35">
        <v>44605</v>
      </c>
      <c r="F1460" s="34">
        <v>850.7</v>
      </c>
      <c r="G1460" s="36">
        <f>Tabla13[[#This Row],[Importe]]-Tabla13[[#This Row],[Pagado]]</f>
        <v>0</v>
      </c>
      <c r="H1460" s="38" t="s">
        <v>10</v>
      </c>
    </row>
    <row r="1461" spans="1:8" x14ac:dyDescent="0.25">
      <c r="A1461" s="31">
        <v>44605</v>
      </c>
      <c r="B1461" s="37" t="s">
        <v>5183</v>
      </c>
      <c r="C1461" s="38" t="s">
        <v>56</v>
      </c>
      <c r="D1461" s="34">
        <v>9724</v>
      </c>
      <c r="E1461" s="35">
        <v>44605</v>
      </c>
      <c r="F1461" s="34">
        <v>9724</v>
      </c>
      <c r="G1461" s="36">
        <f>Tabla13[[#This Row],[Importe]]-Tabla13[[#This Row],[Pagado]]</f>
        <v>0</v>
      </c>
      <c r="H1461" s="38" t="s">
        <v>10</v>
      </c>
    </row>
    <row r="1462" spans="1:8" x14ac:dyDescent="0.25">
      <c r="A1462" s="31">
        <v>44605</v>
      </c>
      <c r="B1462" s="37" t="s">
        <v>5184</v>
      </c>
      <c r="C1462" s="38" t="s">
        <v>481</v>
      </c>
      <c r="D1462" s="34">
        <v>179.2</v>
      </c>
      <c r="E1462" s="35">
        <v>44605</v>
      </c>
      <c r="F1462" s="34">
        <v>179.2</v>
      </c>
      <c r="G1462" s="36">
        <f>Tabla13[[#This Row],[Importe]]-Tabla13[[#This Row],[Pagado]]</f>
        <v>0</v>
      </c>
      <c r="H1462" s="38" t="s">
        <v>10</v>
      </c>
    </row>
    <row r="1463" spans="1:8" x14ac:dyDescent="0.25">
      <c r="A1463" s="31">
        <v>44605</v>
      </c>
      <c r="B1463" s="37" t="s">
        <v>5185</v>
      </c>
      <c r="C1463" s="38" t="s">
        <v>481</v>
      </c>
      <c r="D1463" s="34">
        <v>160</v>
      </c>
      <c r="E1463" s="35">
        <v>44605</v>
      </c>
      <c r="F1463" s="34">
        <v>160</v>
      </c>
      <c r="G1463" s="36">
        <f>Tabla13[[#This Row],[Importe]]-Tabla13[[#This Row],[Pagado]]</f>
        <v>0</v>
      </c>
      <c r="H1463" s="38" t="s">
        <v>10</v>
      </c>
    </row>
    <row r="1464" spans="1:8" x14ac:dyDescent="0.25">
      <c r="A1464" s="31">
        <v>44605</v>
      </c>
      <c r="B1464" s="37" t="s">
        <v>5186</v>
      </c>
      <c r="C1464" s="38" t="s">
        <v>37</v>
      </c>
      <c r="D1464" s="34">
        <v>3196</v>
      </c>
      <c r="E1464" s="35">
        <v>44605</v>
      </c>
      <c r="F1464" s="34">
        <v>3196</v>
      </c>
      <c r="G1464" s="36">
        <f>Tabla13[[#This Row],[Importe]]-Tabla13[[#This Row],[Pagado]]</f>
        <v>0</v>
      </c>
      <c r="H1464" s="38" t="s">
        <v>10</v>
      </c>
    </row>
    <row r="1465" spans="1:8" x14ac:dyDescent="0.25">
      <c r="A1465" s="31">
        <v>44605</v>
      </c>
      <c r="B1465" s="37" t="s">
        <v>5187</v>
      </c>
      <c r="C1465" s="38" t="s">
        <v>105</v>
      </c>
      <c r="D1465" s="34">
        <v>1395.2</v>
      </c>
      <c r="E1465" s="35">
        <v>44605</v>
      </c>
      <c r="F1465" s="34">
        <v>1395.2</v>
      </c>
      <c r="G1465" s="36">
        <f>Tabla13[[#This Row],[Importe]]-Tabla13[[#This Row],[Pagado]]</f>
        <v>0</v>
      </c>
      <c r="H1465" s="38" t="s">
        <v>10</v>
      </c>
    </row>
    <row r="1466" spans="1:8" x14ac:dyDescent="0.25">
      <c r="A1466" s="31">
        <v>44605</v>
      </c>
      <c r="B1466" s="37" t="s">
        <v>5188</v>
      </c>
      <c r="C1466" s="38" t="s">
        <v>216</v>
      </c>
      <c r="D1466" s="34">
        <v>1198.5</v>
      </c>
      <c r="E1466" s="35">
        <v>44605</v>
      </c>
      <c r="F1466" s="34">
        <v>1198.5</v>
      </c>
      <c r="G1466" s="36">
        <f>Tabla13[[#This Row],[Importe]]-Tabla13[[#This Row],[Pagado]]</f>
        <v>0</v>
      </c>
      <c r="H1466" s="38" t="s">
        <v>10</v>
      </c>
    </row>
    <row r="1467" spans="1:8" x14ac:dyDescent="0.25">
      <c r="A1467" s="31">
        <v>44605</v>
      </c>
      <c r="B1467" s="37" t="s">
        <v>5189</v>
      </c>
      <c r="C1467" s="38" t="s">
        <v>27</v>
      </c>
      <c r="D1467" s="34">
        <v>3974.4</v>
      </c>
      <c r="E1467" s="35">
        <v>44605</v>
      </c>
      <c r="F1467" s="34">
        <v>3974.4</v>
      </c>
      <c r="G1467" s="36">
        <f>Tabla13[[#This Row],[Importe]]-Tabla13[[#This Row],[Pagado]]</f>
        <v>0</v>
      </c>
      <c r="H1467" s="38" t="s">
        <v>10</v>
      </c>
    </row>
    <row r="1468" spans="1:8" x14ac:dyDescent="0.25">
      <c r="A1468" s="31">
        <v>44605</v>
      </c>
      <c r="B1468" s="37" t="s">
        <v>5190</v>
      </c>
      <c r="C1468" s="38" t="s">
        <v>29</v>
      </c>
      <c r="D1468" s="34">
        <v>6058.3</v>
      </c>
      <c r="E1468" s="35">
        <v>44605</v>
      </c>
      <c r="F1468" s="34">
        <v>6058.3</v>
      </c>
      <c r="G1468" s="36">
        <f>Tabla13[[#This Row],[Importe]]-Tabla13[[#This Row],[Pagado]]</f>
        <v>0</v>
      </c>
      <c r="H1468" s="38" t="s">
        <v>10</v>
      </c>
    </row>
    <row r="1469" spans="1:8" x14ac:dyDescent="0.25">
      <c r="A1469" s="31">
        <v>44605</v>
      </c>
      <c r="B1469" s="37" t="s">
        <v>5191</v>
      </c>
      <c r="C1469" s="38" t="s">
        <v>224</v>
      </c>
      <c r="D1469" s="34">
        <v>1376.4</v>
      </c>
      <c r="E1469" s="35">
        <v>44605</v>
      </c>
      <c r="F1469" s="34">
        <v>1376.4</v>
      </c>
      <c r="G1469" s="36">
        <f>Tabla13[[#This Row],[Importe]]-Tabla13[[#This Row],[Pagado]]</f>
        <v>0</v>
      </c>
      <c r="H1469" s="38" t="s">
        <v>10</v>
      </c>
    </row>
    <row r="1470" spans="1:8" x14ac:dyDescent="0.25">
      <c r="A1470" s="31">
        <v>44605</v>
      </c>
      <c r="B1470" s="37" t="s">
        <v>5192</v>
      </c>
      <c r="C1470" s="38" t="s">
        <v>3971</v>
      </c>
      <c r="D1470" s="34">
        <v>1731.1</v>
      </c>
      <c r="E1470" s="35">
        <v>44605</v>
      </c>
      <c r="F1470" s="34">
        <v>1731.1</v>
      </c>
      <c r="G1470" s="36">
        <f>Tabla13[[#This Row],[Importe]]-Tabla13[[#This Row],[Pagado]]</f>
        <v>0</v>
      </c>
      <c r="H1470" s="38" t="s">
        <v>10</v>
      </c>
    </row>
    <row r="1471" spans="1:8" x14ac:dyDescent="0.25">
      <c r="A1471" s="31">
        <v>44605</v>
      </c>
      <c r="B1471" s="37" t="s">
        <v>5193</v>
      </c>
      <c r="C1471" s="38" t="s">
        <v>45</v>
      </c>
      <c r="D1471" s="34">
        <v>7432.2</v>
      </c>
      <c r="E1471" s="35">
        <v>44605</v>
      </c>
      <c r="F1471" s="34">
        <v>7432.2</v>
      </c>
      <c r="G1471" s="36">
        <f>Tabla13[[#This Row],[Importe]]-Tabla13[[#This Row],[Pagado]]</f>
        <v>0</v>
      </c>
      <c r="H1471" s="38" t="s">
        <v>10</v>
      </c>
    </row>
    <row r="1472" spans="1:8" x14ac:dyDescent="0.25">
      <c r="A1472" s="31">
        <v>44605</v>
      </c>
      <c r="B1472" s="37" t="s">
        <v>5194</v>
      </c>
      <c r="C1472" s="38" t="s">
        <v>24</v>
      </c>
      <c r="D1472" s="34">
        <v>1491</v>
      </c>
      <c r="E1472" s="35">
        <v>44605</v>
      </c>
      <c r="F1472" s="34">
        <v>1491</v>
      </c>
      <c r="G1472" s="36">
        <f>Tabla13[[#This Row],[Importe]]-Tabla13[[#This Row],[Pagado]]</f>
        <v>0</v>
      </c>
      <c r="H1472" s="38" t="s">
        <v>10</v>
      </c>
    </row>
    <row r="1473" spans="1:8" x14ac:dyDescent="0.25">
      <c r="A1473" s="31">
        <v>44605</v>
      </c>
      <c r="B1473" s="37" t="s">
        <v>5195</v>
      </c>
      <c r="C1473" s="38" t="s">
        <v>326</v>
      </c>
      <c r="D1473" s="34">
        <v>6253.6</v>
      </c>
      <c r="E1473" s="35">
        <v>44605</v>
      </c>
      <c r="F1473" s="34">
        <v>6253.6</v>
      </c>
      <c r="G1473" s="36">
        <f>Tabla13[[#This Row],[Importe]]-Tabla13[[#This Row],[Pagado]]</f>
        <v>0</v>
      </c>
      <c r="H1473" s="38" t="s">
        <v>10</v>
      </c>
    </row>
    <row r="1474" spans="1:8" x14ac:dyDescent="0.25">
      <c r="A1474" s="31">
        <v>44605</v>
      </c>
      <c r="B1474" s="37" t="s">
        <v>5196</v>
      </c>
      <c r="C1474" s="38" t="s">
        <v>49</v>
      </c>
      <c r="D1474" s="34">
        <v>2422.1999999999998</v>
      </c>
      <c r="E1474" s="35">
        <v>44605</v>
      </c>
      <c r="F1474" s="34">
        <v>2422.1999999999998</v>
      </c>
      <c r="G1474" s="36">
        <f>Tabla13[[#This Row],[Importe]]-Tabla13[[#This Row],[Pagado]]</f>
        <v>0</v>
      </c>
      <c r="H1474" s="38" t="s">
        <v>10</v>
      </c>
    </row>
    <row r="1475" spans="1:8" x14ac:dyDescent="0.25">
      <c r="A1475" s="31">
        <v>44605</v>
      </c>
      <c r="B1475" s="37" t="s">
        <v>5197</v>
      </c>
      <c r="C1475" s="38" t="s">
        <v>804</v>
      </c>
      <c r="D1475" s="34">
        <v>14431.2</v>
      </c>
      <c r="E1475" s="35">
        <v>44605</v>
      </c>
      <c r="F1475" s="34">
        <v>14431.2</v>
      </c>
      <c r="G1475" s="36">
        <f>Tabla13[[#This Row],[Importe]]-Tabla13[[#This Row],[Pagado]]</f>
        <v>0</v>
      </c>
      <c r="H1475" s="38" t="s">
        <v>10</v>
      </c>
    </row>
    <row r="1476" spans="1:8" x14ac:dyDescent="0.25">
      <c r="A1476" s="31">
        <v>44605</v>
      </c>
      <c r="B1476" s="37" t="s">
        <v>5198</v>
      </c>
      <c r="C1476" s="38" t="s">
        <v>191</v>
      </c>
      <c r="D1476" s="34">
        <v>3019.4</v>
      </c>
      <c r="E1476" s="35">
        <v>44605</v>
      </c>
      <c r="F1476" s="34">
        <v>3019.4</v>
      </c>
      <c r="G1476" s="36">
        <f>Tabla13[[#This Row],[Importe]]-Tabla13[[#This Row],[Pagado]]</f>
        <v>0</v>
      </c>
      <c r="H1476" s="38" t="s">
        <v>10</v>
      </c>
    </row>
    <row r="1477" spans="1:8" x14ac:dyDescent="0.25">
      <c r="A1477" s="31">
        <v>44605</v>
      </c>
      <c r="B1477" s="37" t="s">
        <v>5199</v>
      </c>
      <c r="C1477" s="38" t="s">
        <v>12</v>
      </c>
      <c r="D1477" s="34">
        <v>51748.25</v>
      </c>
      <c r="E1477" s="35">
        <v>44605</v>
      </c>
      <c r="F1477" s="34">
        <v>51748.25</v>
      </c>
      <c r="G1477" s="36">
        <f>Tabla13[[#This Row],[Importe]]-Tabla13[[#This Row],[Pagado]]</f>
        <v>0</v>
      </c>
      <c r="H1477" s="38" t="s">
        <v>10</v>
      </c>
    </row>
    <row r="1478" spans="1:8" x14ac:dyDescent="0.25">
      <c r="A1478" s="31">
        <v>44605</v>
      </c>
      <c r="B1478" s="37" t="s">
        <v>5200</v>
      </c>
      <c r="C1478" s="38" t="s">
        <v>5201</v>
      </c>
      <c r="D1478" s="34">
        <v>883.6</v>
      </c>
      <c r="E1478" s="35">
        <v>44605</v>
      </c>
      <c r="F1478" s="34">
        <v>883.6</v>
      </c>
      <c r="G1478" s="36">
        <f>Tabla13[[#This Row],[Importe]]-Tabla13[[#This Row],[Pagado]]</f>
        <v>0</v>
      </c>
      <c r="H1478" s="38" t="s">
        <v>10</v>
      </c>
    </row>
    <row r="1479" spans="1:8" x14ac:dyDescent="0.25">
      <c r="A1479" s="31">
        <v>44605</v>
      </c>
      <c r="B1479" s="37" t="s">
        <v>5202</v>
      </c>
      <c r="C1479" s="38" t="s">
        <v>670</v>
      </c>
      <c r="D1479" s="34">
        <v>3994.3</v>
      </c>
      <c r="E1479" s="35">
        <v>44605</v>
      </c>
      <c r="F1479" s="34">
        <v>3994.3</v>
      </c>
      <c r="G1479" s="36">
        <f>Tabla13[[#This Row],[Importe]]-Tabla13[[#This Row],[Pagado]]</f>
        <v>0</v>
      </c>
      <c r="H1479" s="38" t="s">
        <v>10</v>
      </c>
    </row>
    <row r="1480" spans="1:8" x14ac:dyDescent="0.25">
      <c r="A1480" s="31">
        <v>44605</v>
      </c>
      <c r="B1480" s="37" t="s">
        <v>5203</v>
      </c>
      <c r="C1480" s="38" t="s">
        <v>373</v>
      </c>
      <c r="D1480" s="34">
        <v>1488.4</v>
      </c>
      <c r="E1480" s="35">
        <v>44605</v>
      </c>
      <c r="F1480" s="34">
        <v>1488.4</v>
      </c>
      <c r="G1480" s="36">
        <f>Tabla13[[#This Row],[Importe]]-Tabla13[[#This Row],[Pagado]]</f>
        <v>0</v>
      </c>
      <c r="H1480" s="38" t="s">
        <v>10</v>
      </c>
    </row>
    <row r="1481" spans="1:8" x14ac:dyDescent="0.25">
      <c r="A1481" s="31">
        <v>44605</v>
      </c>
      <c r="B1481" s="37" t="s">
        <v>5204</v>
      </c>
      <c r="C1481" s="38" t="s">
        <v>31</v>
      </c>
      <c r="D1481" s="34">
        <v>437.1</v>
      </c>
      <c r="E1481" s="35">
        <v>44605</v>
      </c>
      <c r="F1481" s="34">
        <v>437.1</v>
      </c>
      <c r="G1481" s="36">
        <f>Tabla13[[#This Row],[Importe]]-Tabla13[[#This Row],[Pagado]]</f>
        <v>0</v>
      </c>
      <c r="H1481" s="38" t="s">
        <v>10</v>
      </c>
    </row>
    <row r="1482" spans="1:8" x14ac:dyDescent="0.25">
      <c r="A1482" s="31">
        <v>44605</v>
      </c>
      <c r="B1482" s="37" t="s">
        <v>5205</v>
      </c>
      <c r="C1482" s="38" t="s">
        <v>2139</v>
      </c>
      <c r="D1482" s="34">
        <v>637.20000000000005</v>
      </c>
      <c r="E1482" s="35">
        <v>44605</v>
      </c>
      <c r="F1482" s="34">
        <v>637.20000000000005</v>
      </c>
      <c r="G1482" s="36">
        <f>Tabla13[[#This Row],[Importe]]-Tabla13[[#This Row],[Pagado]]</f>
        <v>0</v>
      </c>
      <c r="H1482" s="38" t="s">
        <v>10</v>
      </c>
    </row>
    <row r="1483" spans="1:8" x14ac:dyDescent="0.25">
      <c r="A1483" s="31">
        <v>44605</v>
      </c>
      <c r="B1483" s="37" t="s">
        <v>5206</v>
      </c>
      <c r="C1483" s="38" t="s">
        <v>244</v>
      </c>
      <c r="D1483" s="34">
        <v>823.4</v>
      </c>
      <c r="E1483" s="35">
        <v>44605</v>
      </c>
      <c r="F1483" s="34">
        <v>823.4</v>
      </c>
      <c r="G1483" s="36">
        <f>Tabla13[[#This Row],[Importe]]-Tabla13[[#This Row],[Pagado]]</f>
        <v>0</v>
      </c>
      <c r="H1483" s="38" t="s">
        <v>10</v>
      </c>
    </row>
    <row r="1484" spans="1:8" x14ac:dyDescent="0.25">
      <c r="A1484" s="31">
        <v>44605</v>
      </c>
      <c r="B1484" s="37" t="s">
        <v>5207</v>
      </c>
      <c r="C1484" s="38" t="s">
        <v>53</v>
      </c>
      <c r="D1484" s="34">
        <v>1461.7</v>
      </c>
      <c r="E1484" s="35">
        <v>44605</v>
      </c>
      <c r="F1484" s="34">
        <v>1461.7</v>
      </c>
      <c r="G1484" s="36">
        <f>Tabla13[[#This Row],[Importe]]-Tabla13[[#This Row],[Pagado]]</f>
        <v>0</v>
      </c>
      <c r="H1484" s="38" t="s">
        <v>10</v>
      </c>
    </row>
    <row r="1485" spans="1:8" x14ac:dyDescent="0.25">
      <c r="A1485" s="31">
        <v>44605</v>
      </c>
      <c r="B1485" s="37" t="s">
        <v>5208</v>
      </c>
      <c r="C1485" s="38" t="s">
        <v>71</v>
      </c>
      <c r="D1485" s="34">
        <v>3197</v>
      </c>
      <c r="E1485" s="35">
        <v>44605</v>
      </c>
      <c r="F1485" s="34">
        <v>3197</v>
      </c>
      <c r="G1485" s="36">
        <f>Tabla13[[#This Row],[Importe]]-Tabla13[[#This Row],[Pagado]]</f>
        <v>0</v>
      </c>
      <c r="H1485" s="38" t="s">
        <v>10</v>
      </c>
    </row>
    <row r="1486" spans="1:8" x14ac:dyDescent="0.25">
      <c r="A1486" s="31">
        <v>44605</v>
      </c>
      <c r="B1486" s="37" t="s">
        <v>5209</v>
      </c>
      <c r="C1486" s="38" t="s">
        <v>161</v>
      </c>
      <c r="D1486" s="34">
        <v>848.7</v>
      </c>
      <c r="E1486" s="35">
        <v>44605</v>
      </c>
      <c r="F1486" s="34">
        <v>848.7</v>
      </c>
      <c r="G1486" s="36">
        <f>Tabla13[[#This Row],[Importe]]-Tabla13[[#This Row],[Pagado]]</f>
        <v>0</v>
      </c>
      <c r="H1486" s="38" t="s">
        <v>10</v>
      </c>
    </row>
    <row r="1487" spans="1:8" x14ac:dyDescent="0.25">
      <c r="A1487" s="31">
        <v>44605</v>
      </c>
      <c r="B1487" s="37" t="s">
        <v>5210</v>
      </c>
      <c r="C1487" s="38" t="s">
        <v>71</v>
      </c>
      <c r="D1487" s="34">
        <v>3600</v>
      </c>
      <c r="E1487" s="35">
        <v>44605</v>
      </c>
      <c r="F1487" s="34">
        <v>3600</v>
      </c>
      <c r="G1487" s="36">
        <f>Tabla13[[#This Row],[Importe]]-Tabla13[[#This Row],[Pagado]]</f>
        <v>0</v>
      </c>
      <c r="H1487" s="38" t="s">
        <v>10</v>
      </c>
    </row>
    <row r="1488" spans="1:8" x14ac:dyDescent="0.25">
      <c r="A1488" s="31">
        <v>44605</v>
      </c>
      <c r="B1488" s="37" t="s">
        <v>5211</v>
      </c>
      <c r="C1488" s="38" t="s">
        <v>58</v>
      </c>
      <c r="D1488" s="34">
        <v>3308.8</v>
      </c>
      <c r="E1488" s="35">
        <v>44605</v>
      </c>
      <c r="F1488" s="34">
        <v>3308.8</v>
      </c>
      <c r="G1488" s="36">
        <f>Tabla13[[#This Row],[Importe]]-Tabla13[[#This Row],[Pagado]]</f>
        <v>0</v>
      </c>
      <c r="H1488" s="38" t="s">
        <v>10</v>
      </c>
    </row>
    <row r="1489" spans="1:8" x14ac:dyDescent="0.25">
      <c r="A1489" s="31">
        <v>44605</v>
      </c>
      <c r="B1489" s="37" t="s">
        <v>5212</v>
      </c>
      <c r="C1489" s="38" t="s">
        <v>67</v>
      </c>
      <c r="D1489" s="34">
        <v>1823.6</v>
      </c>
      <c r="E1489" s="35">
        <v>44605</v>
      </c>
      <c r="F1489" s="34">
        <v>1823.6</v>
      </c>
      <c r="G1489" s="36">
        <f>Tabla13[[#This Row],[Importe]]-Tabla13[[#This Row],[Pagado]]</f>
        <v>0</v>
      </c>
      <c r="H1489" s="38" t="s">
        <v>10</v>
      </c>
    </row>
    <row r="1490" spans="1:8" x14ac:dyDescent="0.25">
      <c r="A1490" s="31">
        <v>44605</v>
      </c>
      <c r="B1490" s="37" t="s">
        <v>5213</v>
      </c>
      <c r="C1490" s="38" t="s">
        <v>67</v>
      </c>
      <c r="D1490" s="34">
        <v>176.8</v>
      </c>
      <c r="E1490" s="35">
        <v>44605</v>
      </c>
      <c r="F1490" s="34">
        <v>176.8</v>
      </c>
      <c r="G1490" s="36">
        <f>Tabla13[[#This Row],[Importe]]-Tabla13[[#This Row],[Pagado]]</f>
        <v>0</v>
      </c>
      <c r="H1490" s="38" t="s">
        <v>10</v>
      </c>
    </row>
    <row r="1491" spans="1:8" x14ac:dyDescent="0.25">
      <c r="A1491" s="31">
        <v>44605</v>
      </c>
      <c r="B1491" s="37" t="s">
        <v>5214</v>
      </c>
      <c r="C1491" s="38" t="s">
        <v>421</v>
      </c>
      <c r="D1491" s="34">
        <v>4155.6000000000004</v>
      </c>
      <c r="E1491" s="35">
        <v>44605</v>
      </c>
      <c r="F1491" s="34">
        <v>4155.6000000000004</v>
      </c>
      <c r="G1491" s="36">
        <f>Tabla13[[#This Row],[Importe]]-Tabla13[[#This Row],[Pagado]]</f>
        <v>0</v>
      </c>
      <c r="H1491" s="38" t="s">
        <v>10</v>
      </c>
    </row>
    <row r="1492" spans="1:8" x14ac:dyDescent="0.25">
      <c r="A1492" s="31">
        <v>44605</v>
      </c>
      <c r="B1492" s="37" t="s">
        <v>5215</v>
      </c>
      <c r="C1492" s="38" t="s">
        <v>214</v>
      </c>
      <c r="D1492" s="34">
        <v>1203.2</v>
      </c>
      <c r="E1492" s="35">
        <v>44605</v>
      </c>
      <c r="F1492" s="34">
        <v>1203.2</v>
      </c>
      <c r="G1492" s="36">
        <f>Tabla13[[#This Row],[Importe]]-Tabla13[[#This Row],[Pagado]]</f>
        <v>0</v>
      </c>
      <c r="H1492" s="38" t="s">
        <v>10</v>
      </c>
    </row>
    <row r="1493" spans="1:8" x14ac:dyDescent="0.25">
      <c r="A1493" s="31">
        <v>44605</v>
      </c>
      <c r="B1493" s="37" t="s">
        <v>5216</v>
      </c>
      <c r="C1493" s="38" t="s">
        <v>5217</v>
      </c>
      <c r="D1493" s="34">
        <v>3446.1</v>
      </c>
      <c r="E1493" s="35">
        <v>44605</v>
      </c>
      <c r="F1493" s="34">
        <v>3446.1</v>
      </c>
      <c r="G1493" s="36">
        <f>Tabla13[[#This Row],[Importe]]-Tabla13[[#This Row],[Pagado]]</f>
        <v>0</v>
      </c>
      <c r="H1493" s="38" t="s">
        <v>10</v>
      </c>
    </row>
    <row r="1494" spans="1:8" x14ac:dyDescent="0.25">
      <c r="A1494" s="31">
        <v>44605</v>
      </c>
      <c r="B1494" s="37" t="s">
        <v>5218</v>
      </c>
      <c r="C1494" s="38" t="s">
        <v>1021</v>
      </c>
      <c r="D1494" s="34">
        <v>1063.8</v>
      </c>
      <c r="E1494" s="35">
        <v>44605</v>
      </c>
      <c r="F1494" s="34">
        <v>1063.8</v>
      </c>
      <c r="G1494" s="36">
        <f>Tabla13[[#This Row],[Importe]]-Tabla13[[#This Row],[Pagado]]</f>
        <v>0</v>
      </c>
      <c r="H1494" s="38" t="s">
        <v>10</v>
      </c>
    </row>
    <row r="1495" spans="1:8" x14ac:dyDescent="0.25">
      <c r="A1495" s="31">
        <v>44606</v>
      </c>
      <c r="B1495" s="37" t="s">
        <v>5219</v>
      </c>
      <c r="C1495" s="38" t="s">
        <v>5220</v>
      </c>
      <c r="D1495" s="34">
        <v>0</v>
      </c>
      <c r="E1495" s="39" t="s">
        <v>189</v>
      </c>
      <c r="F1495" s="34">
        <v>0</v>
      </c>
      <c r="G1495" s="36">
        <f>Tabla13[[#This Row],[Importe]]-Tabla13[[#This Row],[Pagado]]</f>
        <v>0</v>
      </c>
      <c r="H1495" s="38" t="s">
        <v>189</v>
      </c>
    </row>
    <row r="1496" spans="1:8" x14ac:dyDescent="0.25">
      <c r="A1496" s="31">
        <v>44606</v>
      </c>
      <c r="B1496" s="37" t="s">
        <v>5221</v>
      </c>
      <c r="C1496" s="38" t="s">
        <v>887</v>
      </c>
      <c r="D1496" s="34">
        <v>7619.5</v>
      </c>
      <c r="E1496" s="35">
        <v>44607</v>
      </c>
      <c r="F1496" s="34">
        <v>7619.5</v>
      </c>
      <c r="G1496" s="36">
        <f>Tabla13[[#This Row],[Importe]]-Tabla13[[#This Row],[Pagado]]</f>
        <v>0</v>
      </c>
      <c r="H1496" s="38" t="s">
        <v>10</v>
      </c>
    </row>
    <row r="1497" spans="1:8" ht="31.5" x14ac:dyDescent="0.25">
      <c r="A1497" s="31">
        <v>44606</v>
      </c>
      <c r="B1497" s="37" t="s">
        <v>5222</v>
      </c>
      <c r="C1497" s="38" t="s">
        <v>475</v>
      </c>
      <c r="D1497" s="34">
        <v>87906.7</v>
      </c>
      <c r="E1497" s="35" t="s">
        <v>5223</v>
      </c>
      <c r="F1497" s="34">
        <f>30800+57106.7</f>
        <v>87906.7</v>
      </c>
      <c r="G1497" s="36">
        <f>Tabla13[[#This Row],[Importe]]-Tabla13[[#This Row],[Pagado]]</f>
        <v>0</v>
      </c>
      <c r="H1497" s="38" t="s">
        <v>10</v>
      </c>
    </row>
    <row r="1498" spans="1:8" x14ac:dyDescent="0.25">
      <c r="A1498" s="31">
        <v>44606</v>
      </c>
      <c r="B1498" s="37" t="s">
        <v>5224</v>
      </c>
      <c r="C1498" s="38" t="s">
        <v>12</v>
      </c>
      <c r="D1498" s="34">
        <v>42054</v>
      </c>
      <c r="E1498" s="35">
        <v>44607</v>
      </c>
      <c r="F1498" s="34">
        <v>42054</v>
      </c>
      <c r="G1498" s="36">
        <f>Tabla13[[#This Row],[Importe]]-Tabla13[[#This Row],[Pagado]]</f>
        <v>0</v>
      </c>
      <c r="H1498" s="38" t="s">
        <v>10</v>
      </c>
    </row>
    <row r="1499" spans="1:8" x14ac:dyDescent="0.25">
      <c r="A1499" s="31">
        <v>44606</v>
      </c>
      <c r="B1499" s="37" t="s">
        <v>5225</v>
      </c>
      <c r="C1499" s="38" t="s">
        <v>481</v>
      </c>
      <c r="D1499" s="34">
        <v>2214</v>
      </c>
      <c r="E1499" s="35">
        <v>44606</v>
      </c>
      <c r="F1499" s="34">
        <v>2214</v>
      </c>
      <c r="G1499" s="36">
        <f>Tabla13[[#This Row],[Importe]]-Tabla13[[#This Row],[Pagado]]</f>
        <v>0</v>
      </c>
      <c r="H1499" s="38" t="s">
        <v>10</v>
      </c>
    </row>
    <row r="1500" spans="1:8" x14ac:dyDescent="0.25">
      <c r="A1500" s="31">
        <v>44606</v>
      </c>
      <c r="B1500" s="37" t="s">
        <v>5226</v>
      </c>
      <c r="C1500" s="38" t="s">
        <v>79</v>
      </c>
      <c r="D1500" s="34">
        <v>11712.4</v>
      </c>
      <c r="E1500" s="35">
        <v>44606</v>
      </c>
      <c r="F1500" s="34">
        <v>11712.4</v>
      </c>
      <c r="G1500" s="36">
        <f>Tabla13[[#This Row],[Importe]]-Tabla13[[#This Row],[Pagado]]</f>
        <v>0</v>
      </c>
      <c r="H1500" s="38" t="s">
        <v>10</v>
      </c>
    </row>
    <row r="1501" spans="1:8" x14ac:dyDescent="0.25">
      <c r="A1501" s="31">
        <v>44606</v>
      </c>
      <c r="B1501" s="37" t="s">
        <v>5227</v>
      </c>
      <c r="C1501" s="38" t="s">
        <v>20</v>
      </c>
      <c r="D1501" s="34">
        <v>1419.4</v>
      </c>
      <c r="E1501" s="35">
        <v>44606</v>
      </c>
      <c r="F1501" s="34">
        <v>1419.4</v>
      </c>
      <c r="G1501" s="36">
        <f>Tabla13[[#This Row],[Importe]]-Tabla13[[#This Row],[Pagado]]</f>
        <v>0</v>
      </c>
      <c r="H1501" s="38" t="s">
        <v>10</v>
      </c>
    </row>
    <row r="1502" spans="1:8" x14ac:dyDescent="0.25">
      <c r="A1502" s="31">
        <v>44606</v>
      </c>
      <c r="B1502" s="37" t="s">
        <v>5228</v>
      </c>
      <c r="C1502" s="38" t="s">
        <v>22</v>
      </c>
      <c r="D1502" s="34">
        <v>53077.3</v>
      </c>
      <c r="E1502" s="35">
        <v>44607</v>
      </c>
      <c r="F1502" s="34">
        <v>53077.3</v>
      </c>
      <c r="G1502" s="36">
        <f>Tabla13[[#This Row],[Importe]]-Tabla13[[#This Row],[Pagado]]</f>
        <v>0</v>
      </c>
      <c r="H1502" s="38" t="s">
        <v>10</v>
      </c>
    </row>
    <row r="1503" spans="1:8" x14ac:dyDescent="0.25">
      <c r="A1503" s="31">
        <v>44606</v>
      </c>
      <c r="B1503" s="37" t="s">
        <v>5229</v>
      </c>
      <c r="C1503" s="38" t="s">
        <v>934</v>
      </c>
      <c r="D1503" s="34">
        <v>3159.84</v>
      </c>
      <c r="E1503" s="35">
        <v>44606</v>
      </c>
      <c r="F1503" s="34">
        <v>3159.84</v>
      </c>
      <c r="G1503" s="36">
        <f>Tabla13[[#This Row],[Importe]]-Tabla13[[#This Row],[Pagado]]</f>
        <v>0</v>
      </c>
      <c r="H1503" s="38" t="s">
        <v>10</v>
      </c>
    </row>
    <row r="1504" spans="1:8" x14ac:dyDescent="0.25">
      <c r="A1504" s="31">
        <v>44606</v>
      </c>
      <c r="B1504" s="37" t="s">
        <v>5230</v>
      </c>
      <c r="C1504" s="38" t="s">
        <v>5231</v>
      </c>
      <c r="D1504" s="34">
        <v>549.9</v>
      </c>
      <c r="E1504" s="35">
        <v>44606</v>
      </c>
      <c r="F1504" s="34">
        <v>549.9</v>
      </c>
      <c r="G1504" s="36">
        <f>Tabla13[[#This Row],[Importe]]-Tabla13[[#This Row],[Pagado]]</f>
        <v>0</v>
      </c>
      <c r="H1504" s="38" t="s">
        <v>10</v>
      </c>
    </row>
    <row r="1505" spans="1:8" x14ac:dyDescent="0.25">
      <c r="A1505" s="31">
        <v>44606</v>
      </c>
      <c r="B1505" s="37" t="s">
        <v>5232</v>
      </c>
      <c r="C1505" s="38" t="s">
        <v>371</v>
      </c>
      <c r="D1505" s="34">
        <v>7644</v>
      </c>
      <c r="E1505" s="35">
        <v>44606</v>
      </c>
      <c r="F1505" s="34">
        <v>7644</v>
      </c>
      <c r="G1505" s="36">
        <f>Tabla13[[#This Row],[Importe]]-Tabla13[[#This Row],[Pagado]]</f>
        <v>0</v>
      </c>
      <c r="H1505" s="38" t="s">
        <v>10</v>
      </c>
    </row>
    <row r="1506" spans="1:8" x14ac:dyDescent="0.25">
      <c r="A1506" s="31">
        <v>44606</v>
      </c>
      <c r="B1506" s="37" t="s">
        <v>5233</v>
      </c>
      <c r="C1506" s="38" t="s">
        <v>9</v>
      </c>
      <c r="D1506" s="34">
        <v>4823.1000000000004</v>
      </c>
      <c r="E1506" s="35">
        <v>44606</v>
      </c>
      <c r="F1506" s="34">
        <v>4823.1000000000004</v>
      </c>
      <c r="G1506" s="36">
        <f>Tabla13[[#This Row],[Importe]]-Tabla13[[#This Row],[Pagado]]</f>
        <v>0</v>
      </c>
      <c r="H1506" s="38" t="s">
        <v>10</v>
      </c>
    </row>
    <row r="1507" spans="1:8" x14ac:dyDescent="0.25">
      <c r="A1507" s="31">
        <v>44606</v>
      </c>
      <c r="B1507" s="37" t="s">
        <v>5234</v>
      </c>
      <c r="C1507" s="38" t="s">
        <v>111</v>
      </c>
      <c r="D1507" s="34">
        <v>4326.7</v>
      </c>
      <c r="E1507" s="35">
        <v>44607</v>
      </c>
      <c r="F1507" s="34">
        <v>4326.7</v>
      </c>
      <c r="G1507" s="36">
        <f>Tabla13[[#This Row],[Importe]]-Tabla13[[#This Row],[Pagado]]</f>
        <v>0</v>
      </c>
      <c r="H1507" s="38" t="s">
        <v>10</v>
      </c>
    </row>
    <row r="1508" spans="1:8" x14ac:dyDescent="0.25">
      <c r="A1508" s="31">
        <v>44606</v>
      </c>
      <c r="B1508" s="37" t="s">
        <v>5235</v>
      </c>
      <c r="C1508" s="38" t="s">
        <v>49</v>
      </c>
      <c r="D1508" s="34">
        <v>2828.6</v>
      </c>
      <c r="E1508" s="35">
        <v>44606</v>
      </c>
      <c r="F1508" s="34">
        <v>2828.6</v>
      </c>
      <c r="G1508" s="36">
        <f>Tabla13[[#This Row],[Importe]]-Tabla13[[#This Row],[Pagado]]</f>
        <v>0</v>
      </c>
      <c r="H1508" s="38" t="s">
        <v>10</v>
      </c>
    </row>
    <row r="1509" spans="1:8" x14ac:dyDescent="0.25">
      <c r="A1509" s="31">
        <v>44606</v>
      </c>
      <c r="B1509" s="37" t="s">
        <v>5236</v>
      </c>
      <c r="C1509" s="38" t="s">
        <v>326</v>
      </c>
      <c r="D1509" s="34">
        <v>4037.6</v>
      </c>
      <c r="E1509" s="35">
        <v>44608</v>
      </c>
      <c r="F1509" s="34">
        <v>4037.6</v>
      </c>
      <c r="G1509" s="36">
        <f>Tabla13[[#This Row],[Importe]]-Tabla13[[#This Row],[Pagado]]</f>
        <v>0</v>
      </c>
      <c r="H1509" s="38" t="s">
        <v>10</v>
      </c>
    </row>
    <row r="1510" spans="1:8" x14ac:dyDescent="0.25">
      <c r="A1510" s="31">
        <v>44606</v>
      </c>
      <c r="B1510" s="37" t="s">
        <v>5237</v>
      </c>
      <c r="C1510" s="38" t="s">
        <v>109</v>
      </c>
      <c r="D1510" s="34">
        <v>4606</v>
      </c>
      <c r="E1510" s="35">
        <v>44607</v>
      </c>
      <c r="F1510" s="34">
        <v>4606</v>
      </c>
      <c r="G1510" s="36">
        <f>Tabla13[[#This Row],[Importe]]-Tabla13[[#This Row],[Pagado]]</f>
        <v>0</v>
      </c>
      <c r="H1510" s="38" t="s">
        <v>10</v>
      </c>
    </row>
    <row r="1511" spans="1:8" x14ac:dyDescent="0.25">
      <c r="A1511" s="31">
        <v>44606</v>
      </c>
      <c r="B1511" s="37" t="s">
        <v>5238</v>
      </c>
      <c r="C1511" s="38" t="s">
        <v>60</v>
      </c>
      <c r="D1511" s="34">
        <v>3743.4</v>
      </c>
      <c r="E1511" s="35">
        <v>44610</v>
      </c>
      <c r="F1511" s="34">
        <v>3743.4</v>
      </c>
      <c r="G1511" s="36">
        <f>Tabla13[[#This Row],[Importe]]-Tabla13[[#This Row],[Pagado]]</f>
        <v>0</v>
      </c>
      <c r="H1511" s="38" t="s">
        <v>10</v>
      </c>
    </row>
    <row r="1512" spans="1:8" x14ac:dyDescent="0.25">
      <c r="A1512" s="31">
        <v>44606</v>
      </c>
      <c r="B1512" s="37" t="s">
        <v>5239</v>
      </c>
      <c r="C1512" s="38" t="s">
        <v>5240</v>
      </c>
      <c r="D1512" s="34">
        <v>3814.8</v>
      </c>
      <c r="E1512" s="35">
        <v>44607</v>
      </c>
      <c r="F1512" s="34">
        <v>3814.8</v>
      </c>
      <c r="G1512" s="36">
        <f>Tabla13[[#This Row],[Importe]]-Tabla13[[#This Row],[Pagado]]</f>
        <v>0</v>
      </c>
      <c r="H1512" s="38" t="s">
        <v>10</v>
      </c>
    </row>
    <row r="1513" spans="1:8" x14ac:dyDescent="0.25">
      <c r="A1513" s="31">
        <v>44606</v>
      </c>
      <c r="B1513" s="37" t="s">
        <v>5241</v>
      </c>
      <c r="C1513" s="38" t="s">
        <v>31</v>
      </c>
      <c r="D1513" s="34">
        <v>4111.2</v>
      </c>
      <c r="E1513" s="35">
        <v>44606</v>
      </c>
      <c r="F1513" s="34">
        <v>4111.2</v>
      </c>
      <c r="G1513" s="36">
        <f>Tabla13[[#This Row],[Importe]]-Tabla13[[#This Row],[Pagado]]</f>
        <v>0</v>
      </c>
      <c r="H1513" s="38" t="s">
        <v>10</v>
      </c>
    </row>
    <row r="1514" spans="1:8" x14ac:dyDescent="0.25">
      <c r="A1514" s="31">
        <v>44606</v>
      </c>
      <c r="B1514" s="37" t="s">
        <v>5242</v>
      </c>
      <c r="C1514" s="38" t="s">
        <v>2563</v>
      </c>
      <c r="D1514" s="34">
        <v>4319.7</v>
      </c>
      <c r="E1514" s="35">
        <v>44606</v>
      </c>
      <c r="F1514" s="34">
        <v>4319.7</v>
      </c>
      <c r="G1514" s="36">
        <f>Tabla13[[#This Row],[Importe]]-Tabla13[[#This Row],[Pagado]]</f>
        <v>0</v>
      </c>
      <c r="H1514" s="38" t="s">
        <v>10</v>
      </c>
    </row>
    <row r="1515" spans="1:8" x14ac:dyDescent="0.25">
      <c r="A1515" s="31">
        <v>44606</v>
      </c>
      <c r="B1515" s="37" t="s">
        <v>5243</v>
      </c>
      <c r="C1515" s="38" t="s">
        <v>89</v>
      </c>
      <c r="D1515" s="34">
        <v>4540.8</v>
      </c>
      <c r="E1515" s="35">
        <v>44607</v>
      </c>
      <c r="F1515" s="34">
        <v>4540.8</v>
      </c>
      <c r="G1515" s="36">
        <f>Tabla13[[#This Row],[Importe]]-Tabla13[[#This Row],[Pagado]]</f>
        <v>0</v>
      </c>
      <c r="H1515" s="38" t="s">
        <v>10</v>
      </c>
    </row>
    <row r="1516" spans="1:8" x14ac:dyDescent="0.25">
      <c r="A1516" s="31">
        <v>44606</v>
      </c>
      <c r="B1516" s="37" t="s">
        <v>5244</v>
      </c>
      <c r="C1516" s="38" t="s">
        <v>97</v>
      </c>
      <c r="D1516" s="34">
        <v>7854.7</v>
      </c>
      <c r="E1516" s="35">
        <v>44607</v>
      </c>
      <c r="F1516" s="34">
        <v>7854.7</v>
      </c>
      <c r="G1516" s="36">
        <f>Tabla13[[#This Row],[Importe]]-Tabla13[[#This Row],[Pagado]]</f>
        <v>0</v>
      </c>
      <c r="H1516" s="38" t="s">
        <v>10</v>
      </c>
    </row>
    <row r="1517" spans="1:8" x14ac:dyDescent="0.25">
      <c r="A1517" s="31">
        <v>44606</v>
      </c>
      <c r="B1517" s="37" t="s">
        <v>5245</v>
      </c>
      <c r="C1517" s="38" t="s">
        <v>93</v>
      </c>
      <c r="D1517" s="34">
        <v>6535</v>
      </c>
      <c r="E1517" s="35">
        <v>44607</v>
      </c>
      <c r="F1517" s="34">
        <v>6535</v>
      </c>
      <c r="G1517" s="36">
        <f>Tabla13[[#This Row],[Importe]]-Tabla13[[#This Row],[Pagado]]</f>
        <v>0</v>
      </c>
      <c r="H1517" s="38" t="s">
        <v>10</v>
      </c>
    </row>
    <row r="1518" spans="1:8" x14ac:dyDescent="0.25">
      <c r="A1518" s="31">
        <v>44606</v>
      </c>
      <c r="B1518" s="37" t="s">
        <v>5246</v>
      </c>
      <c r="C1518" s="38" t="s">
        <v>345</v>
      </c>
      <c r="D1518" s="34">
        <v>823.4</v>
      </c>
      <c r="E1518" s="35">
        <v>44606</v>
      </c>
      <c r="F1518" s="34">
        <v>823.4</v>
      </c>
      <c r="G1518" s="36">
        <f>Tabla13[[#This Row],[Importe]]-Tabla13[[#This Row],[Pagado]]</f>
        <v>0</v>
      </c>
      <c r="H1518" s="38" t="s">
        <v>10</v>
      </c>
    </row>
    <row r="1519" spans="1:8" ht="31.5" x14ac:dyDescent="0.25">
      <c r="A1519" s="31">
        <v>44606</v>
      </c>
      <c r="B1519" s="37" t="s">
        <v>5247</v>
      </c>
      <c r="C1519" s="38" t="s">
        <v>99</v>
      </c>
      <c r="D1519" s="34">
        <v>5180.1000000000004</v>
      </c>
      <c r="E1519" s="35" t="s">
        <v>5248</v>
      </c>
      <c r="F1519" s="34">
        <f>4400+780.1</f>
        <v>5180.1000000000004</v>
      </c>
      <c r="G1519" s="36">
        <f>Tabla13[[#This Row],[Importe]]-Tabla13[[#This Row],[Pagado]]</f>
        <v>0</v>
      </c>
      <c r="H1519" s="38" t="s">
        <v>10</v>
      </c>
    </row>
    <row r="1520" spans="1:8" x14ac:dyDescent="0.25">
      <c r="A1520" s="31">
        <v>44606</v>
      </c>
      <c r="B1520" s="37" t="s">
        <v>5249</v>
      </c>
      <c r="C1520" s="38" t="s">
        <v>114</v>
      </c>
      <c r="D1520" s="34">
        <v>5273.5</v>
      </c>
      <c r="E1520" s="35">
        <v>44607</v>
      </c>
      <c r="F1520" s="34">
        <v>5273.5</v>
      </c>
      <c r="G1520" s="36">
        <f>Tabla13[[#This Row],[Importe]]-Tabla13[[#This Row],[Pagado]]</f>
        <v>0</v>
      </c>
      <c r="H1520" s="38" t="s">
        <v>10</v>
      </c>
    </row>
    <row r="1521" spans="1:8" x14ac:dyDescent="0.25">
      <c r="A1521" s="31">
        <v>44606</v>
      </c>
      <c r="B1521" s="37" t="s">
        <v>5250</v>
      </c>
      <c r="C1521" s="38" t="s">
        <v>105</v>
      </c>
      <c r="D1521" s="34">
        <v>5338.8</v>
      </c>
      <c r="E1521" s="35">
        <v>44607</v>
      </c>
      <c r="F1521" s="34">
        <v>5338.8</v>
      </c>
      <c r="G1521" s="36">
        <f>Tabla13[[#This Row],[Importe]]-Tabla13[[#This Row],[Pagado]]</f>
        <v>0</v>
      </c>
      <c r="H1521" s="38" t="s">
        <v>10</v>
      </c>
    </row>
    <row r="1522" spans="1:8" x14ac:dyDescent="0.25">
      <c r="A1522" s="31">
        <v>44606</v>
      </c>
      <c r="B1522" s="37" t="s">
        <v>5251</v>
      </c>
      <c r="C1522" s="38" t="s">
        <v>120</v>
      </c>
      <c r="D1522" s="34">
        <v>3570</v>
      </c>
      <c r="E1522" s="35">
        <v>44608</v>
      </c>
      <c r="F1522" s="34">
        <v>3570</v>
      </c>
      <c r="G1522" s="36">
        <f>Tabla13[[#This Row],[Importe]]-Tabla13[[#This Row],[Pagado]]</f>
        <v>0</v>
      </c>
      <c r="H1522" s="38" t="s">
        <v>10</v>
      </c>
    </row>
    <row r="1523" spans="1:8" x14ac:dyDescent="0.25">
      <c r="A1523" s="31">
        <v>44606</v>
      </c>
      <c r="B1523" s="37" t="s">
        <v>5252</v>
      </c>
      <c r="C1523" s="38" t="s">
        <v>64</v>
      </c>
      <c r="D1523" s="34">
        <v>3921.9</v>
      </c>
      <c r="E1523" s="35">
        <v>44607</v>
      </c>
      <c r="F1523" s="34">
        <v>3921.9</v>
      </c>
      <c r="G1523" s="36">
        <f>Tabla13[[#This Row],[Importe]]-Tabla13[[#This Row],[Pagado]]</f>
        <v>0</v>
      </c>
      <c r="H1523" s="38" t="s">
        <v>10</v>
      </c>
    </row>
    <row r="1524" spans="1:8" x14ac:dyDescent="0.25">
      <c r="A1524" s="31">
        <v>44606</v>
      </c>
      <c r="B1524" s="37" t="s">
        <v>5253</v>
      </c>
      <c r="C1524" s="38" t="s">
        <v>16</v>
      </c>
      <c r="D1524" s="34">
        <v>4362.8</v>
      </c>
      <c r="E1524" s="35">
        <v>44606</v>
      </c>
      <c r="F1524" s="34">
        <v>4362.8</v>
      </c>
      <c r="G1524" s="36">
        <f>Tabla13[[#This Row],[Importe]]-Tabla13[[#This Row],[Pagado]]</f>
        <v>0</v>
      </c>
      <c r="H1524" s="38" t="s">
        <v>10</v>
      </c>
    </row>
    <row r="1525" spans="1:8" x14ac:dyDescent="0.25">
      <c r="A1525" s="31">
        <v>44606</v>
      </c>
      <c r="B1525" s="37" t="s">
        <v>5254</v>
      </c>
      <c r="C1525" s="38" t="s">
        <v>39</v>
      </c>
      <c r="D1525" s="34">
        <v>20817.599999999999</v>
      </c>
      <c r="E1525" s="35">
        <v>44608</v>
      </c>
      <c r="F1525" s="34">
        <v>20817.599999999999</v>
      </c>
      <c r="G1525" s="36">
        <f>Tabla13[[#This Row],[Importe]]-Tabla13[[#This Row],[Pagado]]</f>
        <v>0</v>
      </c>
      <c r="H1525" s="38" t="s">
        <v>10</v>
      </c>
    </row>
    <row r="1526" spans="1:8" x14ac:dyDescent="0.25">
      <c r="A1526" s="31">
        <v>44606</v>
      </c>
      <c r="B1526" s="37" t="s">
        <v>5255</v>
      </c>
      <c r="C1526" s="38" t="s">
        <v>83</v>
      </c>
      <c r="D1526" s="34">
        <v>6977</v>
      </c>
      <c r="E1526" s="35">
        <v>44606</v>
      </c>
      <c r="F1526" s="34">
        <v>6977</v>
      </c>
      <c r="G1526" s="36">
        <f>Tabla13[[#This Row],[Importe]]-Tabla13[[#This Row],[Pagado]]</f>
        <v>0</v>
      </c>
      <c r="H1526" s="38" t="s">
        <v>10</v>
      </c>
    </row>
    <row r="1527" spans="1:8" x14ac:dyDescent="0.25">
      <c r="A1527" s="31">
        <v>44606</v>
      </c>
      <c r="B1527" s="37" t="s">
        <v>5256</v>
      </c>
      <c r="C1527" s="38" t="s">
        <v>27</v>
      </c>
      <c r="D1527" s="34">
        <v>4736.5</v>
      </c>
      <c r="E1527" s="35">
        <v>44606</v>
      </c>
      <c r="F1527" s="34">
        <v>4736.5</v>
      </c>
      <c r="G1527" s="36">
        <f>Tabla13[[#This Row],[Importe]]-Tabla13[[#This Row],[Pagado]]</f>
        <v>0</v>
      </c>
      <c r="H1527" s="38" t="s">
        <v>10</v>
      </c>
    </row>
    <row r="1528" spans="1:8" x14ac:dyDescent="0.25">
      <c r="A1528" s="31">
        <v>44606</v>
      </c>
      <c r="B1528" s="37" t="s">
        <v>5257</v>
      </c>
      <c r="C1528" s="38" t="s">
        <v>31</v>
      </c>
      <c r="D1528" s="34">
        <v>766.1</v>
      </c>
      <c r="E1528" s="35">
        <v>44606</v>
      </c>
      <c r="F1528" s="34">
        <v>766.1</v>
      </c>
      <c r="G1528" s="36">
        <f>Tabla13[[#This Row],[Importe]]-Tabla13[[#This Row],[Pagado]]</f>
        <v>0</v>
      </c>
      <c r="H1528" s="38" t="s">
        <v>10</v>
      </c>
    </row>
    <row r="1529" spans="1:8" x14ac:dyDescent="0.25">
      <c r="A1529" s="31">
        <v>44606</v>
      </c>
      <c r="B1529" s="37" t="s">
        <v>5258</v>
      </c>
      <c r="C1529" s="38" t="s">
        <v>87</v>
      </c>
      <c r="D1529" s="34">
        <v>1980.5</v>
      </c>
      <c r="E1529" s="35">
        <v>44606</v>
      </c>
      <c r="F1529" s="34">
        <v>1980.5</v>
      </c>
      <c r="G1529" s="36">
        <f>Tabla13[[#This Row],[Importe]]-Tabla13[[#This Row],[Pagado]]</f>
        <v>0</v>
      </c>
      <c r="H1529" s="38" t="s">
        <v>10</v>
      </c>
    </row>
    <row r="1530" spans="1:8" x14ac:dyDescent="0.25">
      <c r="A1530" s="31">
        <v>44606</v>
      </c>
      <c r="B1530" s="37" t="s">
        <v>5259</v>
      </c>
      <c r="C1530" s="38" t="s">
        <v>2780</v>
      </c>
      <c r="D1530" s="34">
        <v>19139.2</v>
      </c>
      <c r="E1530" s="35">
        <v>44606</v>
      </c>
      <c r="F1530" s="34">
        <v>19139.2</v>
      </c>
      <c r="G1530" s="36">
        <f>Tabla13[[#This Row],[Importe]]-Tabla13[[#This Row],[Pagado]]</f>
        <v>0</v>
      </c>
      <c r="H1530" s="38" t="s">
        <v>10</v>
      </c>
    </row>
    <row r="1531" spans="1:8" x14ac:dyDescent="0.25">
      <c r="A1531" s="31">
        <v>44606</v>
      </c>
      <c r="B1531" s="37" t="s">
        <v>5260</v>
      </c>
      <c r="C1531" s="38" t="s">
        <v>146</v>
      </c>
      <c r="D1531" s="34">
        <v>1541</v>
      </c>
      <c r="E1531" s="35">
        <v>44606</v>
      </c>
      <c r="F1531" s="34">
        <v>1541</v>
      </c>
      <c r="G1531" s="36">
        <f>Tabla13[[#This Row],[Importe]]-Tabla13[[#This Row],[Pagado]]</f>
        <v>0</v>
      </c>
      <c r="H1531" s="38" t="s">
        <v>10</v>
      </c>
    </row>
    <row r="1532" spans="1:8" x14ac:dyDescent="0.25">
      <c r="A1532" s="31">
        <v>44606</v>
      </c>
      <c r="B1532" s="37" t="s">
        <v>5261</v>
      </c>
      <c r="C1532" s="38" t="s">
        <v>275</v>
      </c>
      <c r="D1532" s="34">
        <v>84362.84</v>
      </c>
      <c r="E1532" s="35">
        <v>44617</v>
      </c>
      <c r="F1532" s="34">
        <v>84362.84</v>
      </c>
      <c r="G1532" s="36">
        <f>Tabla13[[#This Row],[Importe]]-Tabla13[[#This Row],[Pagado]]</f>
        <v>0</v>
      </c>
      <c r="H1532" s="38" t="s">
        <v>10</v>
      </c>
    </row>
    <row r="1533" spans="1:8" ht="31.5" x14ac:dyDescent="0.25">
      <c r="A1533" s="31">
        <v>44606</v>
      </c>
      <c r="B1533" s="37" t="s">
        <v>5262</v>
      </c>
      <c r="C1533" s="38" t="s">
        <v>224</v>
      </c>
      <c r="D1533" s="34">
        <v>12860.3</v>
      </c>
      <c r="E1533" s="35" t="s">
        <v>5263</v>
      </c>
      <c r="F1533" s="34">
        <f>1000+11860.3</f>
        <v>12860.3</v>
      </c>
      <c r="G1533" s="36">
        <f>Tabla13[[#This Row],[Importe]]-Tabla13[[#This Row],[Pagado]]</f>
        <v>0</v>
      </c>
      <c r="H1533" s="38" t="s">
        <v>10</v>
      </c>
    </row>
    <row r="1534" spans="1:8" x14ac:dyDescent="0.25">
      <c r="A1534" s="31">
        <v>44606</v>
      </c>
      <c r="B1534" s="37" t="s">
        <v>5264</v>
      </c>
      <c r="C1534" s="38" t="s">
        <v>230</v>
      </c>
      <c r="D1534" s="34">
        <v>3575.1</v>
      </c>
      <c r="E1534" s="35">
        <v>44606</v>
      </c>
      <c r="F1534" s="34">
        <v>3575.1</v>
      </c>
      <c r="G1534" s="36">
        <f>Tabla13[[#This Row],[Importe]]-Tabla13[[#This Row],[Pagado]]</f>
        <v>0</v>
      </c>
      <c r="H1534" s="38" t="s">
        <v>10</v>
      </c>
    </row>
    <row r="1535" spans="1:8" x14ac:dyDescent="0.25">
      <c r="A1535" s="31">
        <v>44606</v>
      </c>
      <c r="B1535" s="37" t="s">
        <v>5265</v>
      </c>
      <c r="C1535" s="38" t="s">
        <v>47</v>
      </c>
      <c r="D1535" s="34">
        <v>45904.54</v>
      </c>
      <c r="E1535" s="35">
        <v>44606</v>
      </c>
      <c r="F1535" s="34">
        <v>45904.54</v>
      </c>
      <c r="G1535" s="36">
        <f>Tabla13[[#This Row],[Importe]]-Tabla13[[#This Row],[Pagado]]</f>
        <v>0</v>
      </c>
      <c r="H1535" s="38" t="s">
        <v>10</v>
      </c>
    </row>
    <row r="1536" spans="1:8" x14ac:dyDescent="0.25">
      <c r="A1536" s="31">
        <v>44606</v>
      </c>
      <c r="B1536" s="37" t="s">
        <v>5266</v>
      </c>
      <c r="C1536" s="38" t="s">
        <v>56</v>
      </c>
      <c r="D1536" s="34">
        <v>6039</v>
      </c>
      <c r="E1536" s="35">
        <v>44606</v>
      </c>
      <c r="F1536" s="34">
        <v>6039</v>
      </c>
      <c r="G1536" s="36">
        <f>Tabla13[[#This Row],[Importe]]-Tabla13[[#This Row],[Pagado]]</f>
        <v>0</v>
      </c>
      <c r="H1536" s="38" t="s">
        <v>10</v>
      </c>
    </row>
    <row r="1537" spans="1:8" x14ac:dyDescent="0.25">
      <c r="A1537" s="31">
        <v>44606</v>
      </c>
      <c r="B1537" s="37" t="s">
        <v>5267</v>
      </c>
      <c r="C1537" s="38" t="s">
        <v>149</v>
      </c>
      <c r="D1537" s="34">
        <v>560</v>
      </c>
      <c r="E1537" s="35">
        <v>44606</v>
      </c>
      <c r="F1537" s="34">
        <v>560</v>
      </c>
      <c r="G1537" s="36">
        <f>Tabla13[[#This Row],[Importe]]-Tabla13[[#This Row],[Pagado]]</f>
        <v>0</v>
      </c>
      <c r="H1537" s="38" t="s">
        <v>10</v>
      </c>
    </row>
    <row r="1538" spans="1:8" x14ac:dyDescent="0.25">
      <c r="A1538" s="31">
        <v>44606</v>
      </c>
      <c r="B1538" s="37" t="s">
        <v>5268</v>
      </c>
      <c r="C1538" s="38" t="s">
        <v>161</v>
      </c>
      <c r="D1538" s="34">
        <v>3705.2</v>
      </c>
      <c r="E1538" s="35">
        <v>44606</v>
      </c>
      <c r="F1538" s="34">
        <v>3705.2</v>
      </c>
      <c r="G1538" s="36">
        <f>Tabla13[[#This Row],[Importe]]-Tabla13[[#This Row],[Pagado]]</f>
        <v>0</v>
      </c>
      <c r="H1538" s="38" t="s">
        <v>10</v>
      </c>
    </row>
    <row r="1539" spans="1:8" x14ac:dyDescent="0.25">
      <c r="A1539" s="31">
        <v>44606</v>
      </c>
      <c r="B1539" s="37" t="s">
        <v>5269</v>
      </c>
      <c r="C1539" s="38" t="s">
        <v>339</v>
      </c>
      <c r="D1539" s="34">
        <v>572</v>
      </c>
      <c r="E1539" s="35">
        <v>44606</v>
      </c>
      <c r="F1539" s="34">
        <v>572</v>
      </c>
      <c r="G1539" s="36">
        <f>Tabla13[[#This Row],[Importe]]-Tabla13[[#This Row],[Pagado]]</f>
        <v>0</v>
      </c>
      <c r="H1539" s="38" t="s">
        <v>10</v>
      </c>
    </row>
    <row r="1540" spans="1:8" x14ac:dyDescent="0.25">
      <c r="A1540" s="31">
        <v>44606</v>
      </c>
      <c r="B1540" s="37" t="s">
        <v>5270</v>
      </c>
      <c r="C1540" s="38" t="s">
        <v>127</v>
      </c>
      <c r="D1540" s="34">
        <v>7609.8</v>
      </c>
      <c r="E1540" s="35">
        <v>44606</v>
      </c>
      <c r="F1540" s="34">
        <v>7609.8</v>
      </c>
      <c r="G1540" s="36">
        <f>Tabla13[[#This Row],[Importe]]-Tabla13[[#This Row],[Pagado]]</f>
        <v>0</v>
      </c>
      <c r="H1540" s="38" t="s">
        <v>10</v>
      </c>
    </row>
    <row r="1541" spans="1:8" x14ac:dyDescent="0.25">
      <c r="A1541" s="31">
        <v>44606</v>
      </c>
      <c r="B1541" s="37" t="s">
        <v>5271</v>
      </c>
      <c r="C1541" s="38" t="s">
        <v>129</v>
      </c>
      <c r="D1541" s="34">
        <v>4114.8</v>
      </c>
      <c r="E1541" s="35">
        <v>44606</v>
      </c>
      <c r="F1541" s="34">
        <v>4114.8</v>
      </c>
      <c r="G1541" s="36">
        <f>Tabla13[[#This Row],[Importe]]-Tabla13[[#This Row],[Pagado]]</f>
        <v>0</v>
      </c>
      <c r="H1541" s="38" t="s">
        <v>10</v>
      </c>
    </row>
    <row r="1542" spans="1:8" x14ac:dyDescent="0.25">
      <c r="A1542" s="31">
        <v>44606</v>
      </c>
      <c r="B1542" s="37" t="s">
        <v>5272</v>
      </c>
      <c r="C1542" s="38" t="s">
        <v>140</v>
      </c>
      <c r="D1542" s="34">
        <v>4469.5</v>
      </c>
      <c r="E1542" s="35">
        <v>44606</v>
      </c>
      <c r="F1542" s="34">
        <v>4469.5</v>
      </c>
      <c r="G1542" s="36">
        <f>Tabla13[[#This Row],[Importe]]-Tabla13[[#This Row],[Pagado]]</f>
        <v>0</v>
      </c>
      <c r="H1542" s="38" t="s">
        <v>10</v>
      </c>
    </row>
    <row r="1543" spans="1:8" x14ac:dyDescent="0.25">
      <c r="A1543" s="31">
        <v>44606</v>
      </c>
      <c r="B1543" s="37" t="s">
        <v>5273</v>
      </c>
      <c r="C1543" s="38" t="s">
        <v>357</v>
      </c>
      <c r="D1543" s="34">
        <v>883.6</v>
      </c>
      <c r="E1543" s="35">
        <v>44606</v>
      </c>
      <c r="F1543" s="34">
        <v>883.6</v>
      </c>
      <c r="G1543" s="36">
        <f>Tabla13[[#This Row],[Importe]]-Tabla13[[#This Row],[Pagado]]</f>
        <v>0</v>
      </c>
      <c r="H1543" s="38" t="s">
        <v>10</v>
      </c>
    </row>
    <row r="1544" spans="1:8" x14ac:dyDescent="0.25">
      <c r="A1544" s="31">
        <v>44606</v>
      </c>
      <c r="B1544" s="37" t="s">
        <v>5274</v>
      </c>
      <c r="C1544" s="38" t="s">
        <v>333</v>
      </c>
      <c r="D1544" s="34">
        <v>907.1</v>
      </c>
      <c r="E1544" s="35">
        <v>44606</v>
      </c>
      <c r="F1544" s="34">
        <v>907.1</v>
      </c>
      <c r="G1544" s="36">
        <f>Tabla13[[#This Row],[Importe]]-Tabla13[[#This Row],[Pagado]]</f>
        <v>0</v>
      </c>
      <c r="H1544" s="38" t="s">
        <v>10</v>
      </c>
    </row>
    <row r="1545" spans="1:8" x14ac:dyDescent="0.25">
      <c r="A1545" s="31">
        <v>44606</v>
      </c>
      <c r="B1545" s="37" t="s">
        <v>5275</v>
      </c>
      <c r="C1545" s="38" t="s">
        <v>382</v>
      </c>
      <c r="D1545" s="34">
        <v>5018.6000000000004</v>
      </c>
      <c r="E1545" s="35">
        <v>44606</v>
      </c>
      <c r="F1545" s="34">
        <v>5018.6000000000004</v>
      </c>
      <c r="G1545" s="36">
        <f>Tabla13[[#This Row],[Importe]]-Tabla13[[#This Row],[Pagado]]</f>
        <v>0</v>
      </c>
      <c r="H1545" s="38" t="s">
        <v>10</v>
      </c>
    </row>
    <row r="1546" spans="1:8" x14ac:dyDescent="0.25">
      <c r="A1546" s="31">
        <v>44606</v>
      </c>
      <c r="B1546" s="37" t="s">
        <v>5276</v>
      </c>
      <c r="C1546" s="38" t="s">
        <v>24</v>
      </c>
      <c r="D1546" s="34">
        <v>498.2</v>
      </c>
      <c r="E1546" s="35">
        <v>44606</v>
      </c>
      <c r="F1546" s="34">
        <v>498.2</v>
      </c>
      <c r="G1546" s="36">
        <f>Tabla13[[#This Row],[Importe]]-Tabla13[[#This Row],[Pagado]]</f>
        <v>0</v>
      </c>
      <c r="H1546" s="38" t="s">
        <v>10</v>
      </c>
    </row>
    <row r="1547" spans="1:8" x14ac:dyDescent="0.25">
      <c r="A1547" s="31">
        <v>44606</v>
      </c>
      <c r="B1547" s="37" t="s">
        <v>5277</v>
      </c>
      <c r="C1547" s="38" t="s">
        <v>365</v>
      </c>
      <c r="D1547" s="34">
        <v>685.9</v>
      </c>
      <c r="E1547" s="35">
        <v>44606</v>
      </c>
      <c r="F1547" s="34">
        <v>685.9</v>
      </c>
      <c r="G1547" s="36">
        <f>Tabla13[[#This Row],[Importe]]-Tabla13[[#This Row],[Pagado]]</f>
        <v>0</v>
      </c>
      <c r="H1547" s="38" t="s">
        <v>10</v>
      </c>
    </row>
    <row r="1548" spans="1:8" x14ac:dyDescent="0.25">
      <c r="A1548" s="31">
        <v>44606</v>
      </c>
      <c r="B1548" s="37" t="s">
        <v>5278</v>
      </c>
      <c r="C1548" s="38" t="s">
        <v>216</v>
      </c>
      <c r="D1548" s="34">
        <v>1776.6</v>
      </c>
      <c r="E1548" s="35">
        <v>44606</v>
      </c>
      <c r="F1548" s="34">
        <v>1776.6</v>
      </c>
      <c r="G1548" s="36">
        <f>Tabla13[[#This Row],[Importe]]-Tabla13[[#This Row],[Pagado]]</f>
        <v>0</v>
      </c>
      <c r="H1548" s="38" t="s">
        <v>10</v>
      </c>
    </row>
    <row r="1549" spans="1:8" x14ac:dyDescent="0.25">
      <c r="A1549" s="31">
        <v>44606</v>
      </c>
      <c r="B1549" s="37" t="s">
        <v>5279</v>
      </c>
      <c r="C1549" s="38" t="s">
        <v>45</v>
      </c>
      <c r="D1549" s="34">
        <v>7297.9</v>
      </c>
      <c r="E1549" s="35">
        <v>44606</v>
      </c>
      <c r="F1549" s="34">
        <v>7297.9</v>
      </c>
      <c r="G1549" s="36">
        <f>Tabla13[[#This Row],[Importe]]-Tabla13[[#This Row],[Pagado]]</f>
        <v>0</v>
      </c>
      <c r="H1549" s="38" t="s">
        <v>10</v>
      </c>
    </row>
    <row r="1550" spans="1:8" x14ac:dyDescent="0.25">
      <c r="A1550" s="31">
        <v>44606</v>
      </c>
      <c r="B1550" s="37" t="s">
        <v>5280</v>
      </c>
      <c r="C1550" s="38" t="s">
        <v>45</v>
      </c>
      <c r="D1550" s="34">
        <v>1250.5</v>
      </c>
      <c r="E1550" s="35">
        <v>44606</v>
      </c>
      <c r="F1550" s="34">
        <v>1250.5</v>
      </c>
      <c r="G1550" s="36">
        <f>Tabla13[[#This Row],[Importe]]-Tabla13[[#This Row],[Pagado]]</f>
        <v>0</v>
      </c>
      <c r="H1550" s="38" t="s">
        <v>10</v>
      </c>
    </row>
    <row r="1551" spans="1:8" x14ac:dyDescent="0.25">
      <c r="A1551" s="31">
        <v>44606</v>
      </c>
      <c r="B1551" s="37" t="s">
        <v>5281</v>
      </c>
      <c r="C1551" s="38" t="s">
        <v>202</v>
      </c>
      <c r="D1551" s="34">
        <v>3297.7</v>
      </c>
      <c r="E1551" s="35">
        <v>44606</v>
      </c>
      <c r="F1551" s="34">
        <v>3297.7</v>
      </c>
      <c r="G1551" s="36">
        <f>Tabla13[[#This Row],[Importe]]-Tabla13[[#This Row],[Pagado]]</f>
        <v>0</v>
      </c>
      <c r="H1551" s="38" t="s">
        <v>10</v>
      </c>
    </row>
    <row r="1552" spans="1:8" x14ac:dyDescent="0.25">
      <c r="A1552" s="31">
        <v>44606</v>
      </c>
      <c r="B1552" s="37" t="s">
        <v>5282</v>
      </c>
      <c r="C1552" s="38" t="s">
        <v>208</v>
      </c>
      <c r="D1552" s="34">
        <v>8105.9</v>
      </c>
      <c r="E1552" s="35">
        <v>44618</v>
      </c>
      <c r="F1552" s="34">
        <v>8105.9</v>
      </c>
      <c r="G1552" s="36">
        <f>Tabla13[[#This Row],[Importe]]-Tabla13[[#This Row],[Pagado]]</f>
        <v>0</v>
      </c>
      <c r="H1552" s="38" t="s">
        <v>10</v>
      </c>
    </row>
    <row r="1553" spans="1:8" x14ac:dyDescent="0.25">
      <c r="A1553" s="31">
        <v>44606</v>
      </c>
      <c r="B1553" s="37" t="s">
        <v>5283</v>
      </c>
      <c r="C1553" s="38" t="s">
        <v>154</v>
      </c>
      <c r="D1553" s="34">
        <v>41876.5</v>
      </c>
      <c r="E1553" s="35">
        <v>44610</v>
      </c>
      <c r="F1553" s="34">
        <v>41876.5</v>
      </c>
      <c r="G1553" s="36">
        <f>Tabla13[[#This Row],[Importe]]-Tabla13[[#This Row],[Pagado]]</f>
        <v>0</v>
      </c>
      <c r="H1553" s="38" t="s">
        <v>10</v>
      </c>
    </row>
    <row r="1554" spans="1:8" x14ac:dyDescent="0.25">
      <c r="A1554" s="31">
        <v>44606</v>
      </c>
      <c r="B1554" s="37" t="s">
        <v>5284</v>
      </c>
      <c r="C1554" s="38" t="s">
        <v>218</v>
      </c>
      <c r="D1554" s="34">
        <v>6661.1</v>
      </c>
      <c r="E1554" s="35">
        <v>44609</v>
      </c>
      <c r="F1554" s="34">
        <v>6661.1</v>
      </c>
      <c r="G1554" s="36">
        <f>Tabla13[[#This Row],[Importe]]-Tabla13[[#This Row],[Pagado]]</f>
        <v>0</v>
      </c>
      <c r="H1554" s="38" t="s">
        <v>10</v>
      </c>
    </row>
    <row r="1555" spans="1:8" x14ac:dyDescent="0.25">
      <c r="A1555" s="31">
        <v>44606</v>
      </c>
      <c r="B1555" s="37" t="s">
        <v>5285</v>
      </c>
      <c r="C1555" s="38" t="s">
        <v>5286</v>
      </c>
      <c r="D1555" s="34">
        <v>0</v>
      </c>
      <c r="E1555" s="39" t="s">
        <v>189</v>
      </c>
      <c r="F1555" s="34">
        <v>0</v>
      </c>
      <c r="G1555" s="36">
        <f>Tabla13[[#This Row],[Importe]]-Tabla13[[#This Row],[Pagado]]</f>
        <v>0</v>
      </c>
      <c r="H1555" s="38" t="s">
        <v>189</v>
      </c>
    </row>
    <row r="1556" spans="1:8" x14ac:dyDescent="0.25">
      <c r="A1556" s="31">
        <v>44606</v>
      </c>
      <c r="B1556" s="37" t="s">
        <v>5287</v>
      </c>
      <c r="C1556" s="38" t="s">
        <v>206</v>
      </c>
      <c r="D1556" s="34">
        <v>33088.199999999997</v>
      </c>
      <c r="E1556" s="35">
        <v>44609</v>
      </c>
      <c r="F1556" s="34">
        <v>33088.199999999997</v>
      </c>
      <c r="G1556" s="36">
        <f>Tabla13[[#This Row],[Importe]]-Tabla13[[#This Row],[Pagado]]</f>
        <v>0</v>
      </c>
      <c r="H1556" s="38" t="s">
        <v>10</v>
      </c>
    </row>
    <row r="1557" spans="1:8" x14ac:dyDescent="0.25">
      <c r="A1557" s="31">
        <v>44606</v>
      </c>
      <c r="B1557" s="37" t="s">
        <v>5288</v>
      </c>
      <c r="C1557" s="38" t="s">
        <v>222</v>
      </c>
      <c r="D1557" s="34">
        <v>6849.5</v>
      </c>
      <c r="E1557" s="35">
        <v>44606</v>
      </c>
      <c r="F1557" s="34">
        <v>6849.5</v>
      </c>
      <c r="G1557" s="36">
        <f>Tabla13[[#This Row],[Importe]]-Tabla13[[#This Row],[Pagado]]</f>
        <v>0</v>
      </c>
      <c r="H1557" s="38" t="s">
        <v>10</v>
      </c>
    </row>
    <row r="1558" spans="1:8" x14ac:dyDescent="0.25">
      <c r="A1558" s="31">
        <v>44606</v>
      </c>
      <c r="B1558" s="37" t="s">
        <v>5289</v>
      </c>
      <c r="C1558" s="38" t="s">
        <v>373</v>
      </c>
      <c r="D1558" s="34">
        <v>450.5</v>
      </c>
      <c r="E1558" s="35">
        <v>44606</v>
      </c>
      <c r="F1558" s="34">
        <v>450.5</v>
      </c>
      <c r="G1558" s="36">
        <f>Tabla13[[#This Row],[Importe]]-Tabla13[[#This Row],[Pagado]]</f>
        <v>0</v>
      </c>
      <c r="H1558" s="38" t="s">
        <v>10</v>
      </c>
    </row>
    <row r="1559" spans="1:8" x14ac:dyDescent="0.25">
      <c r="A1559" s="31">
        <v>44606</v>
      </c>
      <c r="B1559" s="37" t="s">
        <v>5290</v>
      </c>
      <c r="C1559" s="38" t="s">
        <v>173</v>
      </c>
      <c r="D1559" s="34">
        <v>39675.800000000003</v>
      </c>
      <c r="E1559" s="35">
        <v>44607</v>
      </c>
      <c r="F1559" s="34">
        <v>39675.800000000003</v>
      </c>
      <c r="G1559" s="36">
        <f>Tabla13[[#This Row],[Importe]]-Tabla13[[#This Row],[Pagado]]</f>
        <v>0</v>
      </c>
      <c r="H1559" s="38" t="s">
        <v>10</v>
      </c>
    </row>
    <row r="1560" spans="1:8" x14ac:dyDescent="0.25">
      <c r="A1560" s="31">
        <v>44606</v>
      </c>
      <c r="B1560" s="37" t="s">
        <v>5291</v>
      </c>
      <c r="C1560" s="38" t="s">
        <v>4136</v>
      </c>
      <c r="D1560" s="34">
        <v>2294.6999999999998</v>
      </c>
      <c r="E1560" s="35">
        <v>44606</v>
      </c>
      <c r="F1560" s="34">
        <v>2294.6999999999998</v>
      </c>
      <c r="G1560" s="36">
        <f>Tabla13[[#This Row],[Importe]]-Tabla13[[#This Row],[Pagado]]</f>
        <v>0</v>
      </c>
      <c r="H1560" s="38" t="s">
        <v>10</v>
      </c>
    </row>
    <row r="1561" spans="1:8" x14ac:dyDescent="0.25">
      <c r="A1561" s="31">
        <v>44606</v>
      </c>
      <c r="B1561" s="37" t="s">
        <v>5292</v>
      </c>
      <c r="C1561" s="38" t="s">
        <v>58</v>
      </c>
      <c r="D1561" s="34">
        <v>4374.3999999999996</v>
      </c>
      <c r="E1561" s="35">
        <v>44606</v>
      </c>
      <c r="F1561" s="34">
        <v>4374.3999999999996</v>
      </c>
      <c r="G1561" s="36">
        <f>Tabla13[[#This Row],[Importe]]-Tabla13[[#This Row],[Pagado]]</f>
        <v>0</v>
      </c>
      <c r="H1561" s="38" t="s">
        <v>10</v>
      </c>
    </row>
    <row r="1562" spans="1:8" x14ac:dyDescent="0.25">
      <c r="A1562" s="31">
        <v>44606</v>
      </c>
      <c r="B1562" s="37" t="s">
        <v>5293</v>
      </c>
      <c r="C1562" s="38" t="s">
        <v>142</v>
      </c>
      <c r="D1562" s="34">
        <v>38081.4</v>
      </c>
      <c r="E1562" s="35">
        <v>44617</v>
      </c>
      <c r="F1562" s="34">
        <v>38081.4</v>
      </c>
      <c r="G1562" s="36">
        <f>Tabla13[[#This Row],[Importe]]-Tabla13[[#This Row],[Pagado]]</f>
        <v>0</v>
      </c>
      <c r="H1562" s="38" t="s">
        <v>10</v>
      </c>
    </row>
    <row r="1563" spans="1:8" x14ac:dyDescent="0.25">
      <c r="A1563" s="31">
        <v>44606</v>
      </c>
      <c r="B1563" s="37" t="s">
        <v>5294</v>
      </c>
      <c r="C1563" s="38" t="s">
        <v>62</v>
      </c>
      <c r="D1563" s="34">
        <v>2459.5</v>
      </c>
      <c r="E1563" s="35">
        <v>44606</v>
      </c>
      <c r="F1563" s="34">
        <v>2459.5</v>
      </c>
      <c r="G1563" s="36">
        <f>Tabla13[[#This Row],[Importe]]-Tabla13[[#This Row],[Pagado]]</f>
        <v>0</v>
      </c>
      <c r="H1563" s="38" t="s">
        <v>10</v>
      </c>
    </row>
    <row r="1564" spans="1:8" x14ac:dyDescent="0.25">
      <c r="A1564" s="31">
        <v>44606</v>
      </c>
      <c r="B1564" s="37" t="s">
        <v>5295</v>
      </c>
      <c r="C1564" s="38" t="s">
        <v>62</v>
      </c>
      <c r="D1564" s="34">
        <v>3043.9</v>
      </c>
      <c r="E1564" s="35">
        <v>44606</v>
      </c>
      <c r="F1564" s="34">
        <v>3043.9</v>
      </c>
      <c r="G1564" s="36">
        <f>Tabla13[[#This Row],[Importe]]-Tabla13[[#This Row],[Pagado]]</f>
        <v>0</v>
      </c>
      <c r="H1564" s="38" t="s">
        <v>10</v>
      </c>
    </row>
    <row r="1565" spans="1:8" ht="31.5" x14ac:dyDescent="0.25">
      <c r="A1565" s="31">
        <v>44606</v>
      </c>
      <c r="B1565" s="37" t="s">
        <v>5296</v>
      </c>
      <c r="C1565" s="38" t="s">
        <v>592</v>
      </c>
      <c r="D1565" s="34">
        <v>28777.200000000001</v>
      </c>
      <c r="E1565" s="35" t="s">
        <v>5297</v>
      </c>
      <c r="F1565" s="34">
        <f>10000+18777.2</f>
        <v>28777.200000000001</v>
      </c>
      <c r="G1565" s="36">
        <f>Tabla13[[#This Row],[Importe]]-Tabla13[[#This Row],[Pagado]]</f>
        <v>0</v>
      </c>
      <c r="H1565" s="38" t="s">
        <v>10</v>
      </c>
    </row>
    <row r="1566" spans="1:8" x14ac:dyDescent="0.25">
      <c r="A1566" s="31">
        <v>44606</v>
      </c>
      <c r="B1566" s="37" t="s">
        <v>5298</v>
      </c>
      <c r="C1566" s="38" t="s">
        <v>703</v>
      </c>
      <c r="D1566" s="34">
        <v>3438</v>
      </c>
      <c r="E1566" s="35">
        <v>44606</v>
      </c>
      <c r="F1566" s="34">
        <v>3438</v>
      </c>
      <c r="G1566" s="36">
        <f>Tabla13[[#This Row],[Importe]]-Tabla13[[#This Row],[Pagado]]</f>
        <v>0</v>
      </c>
      <c r="H1566" s="38" t="s">
        <v>10</v>
      </c>
    </row>
    <row r="1567" spans="1:8" x14ac:dyDescent="0.25">
      <c r="A1567" s="31">
        <v>44606</v>
      </c>
      <c r="B1567" s="37" t="s">
        <v>5299</v>
      </c>
      <c r="C1567" s="38" t="s">
        <v>878</v>
      </c>
      <c r="D1567" s="34">
        <v>2727</v>
      </c>
      <c r="E1567" s="35">
        <v>44606</v>
      </c>
      <c r="F1567" s="34">
        <v>2727</v>
      </c>
      <c r="G1567" s="36">
        <f>Tabla13[[#This Row],[Importe]]-Tabla13[[#This Row],[Pagado]]</f>
        <v>0</v>
      </c>
      <c r="H1567" s="38" t="s">
        <v>10</v>
      </c>
    </row>
    <row r="1568" spans="1:8" x14ac:dyDescent="0.25">
      <c r="A1568" s="31">
        <v>44606</v>
      </c>
      <c r="B1568" s="37" t="s">
        <v>5300</v>
      </c>
      <c r="C1568" s="38" t="s">
        <v>1174</v>
      </c>
      <c r="D1568" s="34">
        <v>21210</v>
      </c>
      <c r="E1568" s="35">
        <v>44606</v>
      </c>
      <c r="F1568" s="34">
        <v>21210</v>
      </c>
      <c r="G1568" s="36">
        <f>Tabla13[[#This Row],[Importe]]-Tabla13[[#This Row],[Pagado]]</f>
        <v>0</v>
      </c>
      <c r="H1568" s="38" t="s">
        <v>10</v>
      </c>
    </row>
    <row r="1569" spans="1:8" x14ac:dyDescent="0.25">
      <c r="A1569" s="31">
        <v>44606</v>
      </c>
      <c r="B1569" s="37" t="s">
        <v>5301</v>
      </c>
      <c r="C1569" s="38" t="s">
        <v>131</v>
      </c>
      <c r="D1569" s="34">
        <v>8640</v>
      </c>
      <c r="E1569" s="35">
        <v>44606</v>
      </c>
      <c r="F1569" s="34">
        <v>8640</v>
      </c>
      <c r="G1569" s="36">
        <f>Tabla13[[#This Row],[Importe]]-Tabla13[[#This Row],[Pagado]]</f>
        <v>0</v>
      </c>
      <c r="H1569" s="38" t="s">
        <v>10</v>
      </c>
    </row>
    <row r="1570" spans="1:8" x14ac:dyDescent="0.25">
      <c r="A1570" s="31">
        <v>44606</v>
      </c>
      <c r="B1570" s="37" t="s">
        <v>5302</v>
      </c>
      <c r="C1570" s="38" t="s">
        <v>31</v>
      </c>
      <c r="D1570" s="34">
        <v>12060</v>
      </c>
      <c r="E1570" s="35">
        <v>44606</v>
      </c>
      <c r="F1570" s="34">
        <v>12060</v>
      </c>
      <c r="G1570" s="36">
        <f>Tabla13[[#This Row],[Importe]]-Tabla13[[#This Row],[Pagado]]</f>
        <v>0</v>
      </c>
      <c r="H1570" s="38" t="s">
        <v>10</v>
      </c>
    </row>
    <row r="1571" spans="1:8" x14ac:dyDescent="0.25">
      <c r="A1571" s="31">
        <v>44606</v>
      </c>
      <c r="B1571" s="37" t="s">
        <v>5303</v>
      </c>
      <c r="C1571" s="38" t="s">
        <v>133</v>
      </c>
      <c r="D1571" s="34">
        <v>11771.4</v>
      </c>
      <c r="E1571" s="35">
        <v>44607</v>
      </c>
      <c r="F1571" s="34">
        <v>11771.4</v>
      </c>
      <c r="G1571" s="36">
        <f>Tabla13[[#This Row],[Importe]]-Tabla13[[#This Row],[Pagado]]</f>
        <v>0</v>
      </c>
      <c r="H1571" s="38" t="s">
        <v>10</v>
      </c>
    </row>
    <row r="1572" spans="1:8" x14ac:dyDescent="0.25">
      <c r="A1572" s="31">
        <v>44606</v>
      </c>
      <c r="B1572" s="37" t="s">
        <v>5304</v>
      </c>
      <c r="C1572" s="38" t="s">
        <v>541</v>
      </c>
      <c r="D1572" s="34">
        <v>5709.6</v>
      </c>
      <c r="E1572" s="35">
        <v>44607</v>
      </c>
      <c r="F1572" s="34">
        <v>5709.6</v>
      </c>
      <c r="G1572" s="36">
        <f>Tabla13[[#This Row],[Importe]]-Tabla13[[#This Row],[Pagado]]</f>
        <v>0</v>
      </c>
      <c r="H1572" s="38" t="s">
        <v>10</v>
      </c>
    </row>
    <row r="1573" spans="1:8" x14ac:dyDescent="0.25">
      <c r="A1573" s="31">
        <v>44606</v>
      </c>
      <c r="B1573" s="37" t="s">
        <v>5305</v>
      </c>
      <c r="C1573" s="38" t="s">
        <v>3999</v>
      </c>
      <c r="D1573" s="34">
        <v>1800</v>
      </c>
      <c r="E1573" s="35">
        <v>44606</v>
      </c>
      <c r="F1573" s="34">
        <v>1800</v>
      </c>
      <c r="G1573" s="36">
        <f>Tabla13[[#This Row],[Importe]]-Tabla13[[#This Row],[Pagado]]</f>
        <v>0</v>
      </c>
      <c r="H1573" s="38" t="s">
        <v>10</v>
      </c>
    </row>
    <row r="1574" spans="1:8" x14ac:dyDescent="0.25">
      <c r="A1574" s="31">
        <v>44606</v>
      </c>
      <c r="B1574" s="37" t="s">
        <v>5306</v>
      </c>
      <c r="C1574" s="38" t="s">
        <v>275</v>
      </c>
      <c r="D1574" s="34">
        <v>69959.3</v>
      </c>
      <c r="E1574" s="35">
        <v>44617</v>
      </c>
      <c r="F1574" s="34">
        <v>69959.3</v>
      </c>
      <c r="G1574" s="36">
        <f>Tabla13[[#This Row],[Importe]]-Tabla13[[#This Row],[Pagado]]</f>
        <v>0</v>
      </c>
      <c r="H1574" s="38" t="s">
        <v>10</v>
      </c>
    </row>
    <row r="1575" spans="1:8" x14ac:dyDescent="0.25">
      <c r="A1575" s="31">
        <v>44606</v>
      </c>
      <c r="B1575" s="37" t="s">
        <v>5307</v>
      </c>
      <c r="C1575" s="38" t="s">
        <v>2393</v>
      </c>
      <c r="D1575" s="34">
        <v>39400</v>
      </c>
      <c r="E1575" s="35">
        <v>44606</v>
      </c>
      <c r="F1575" s="34">
        <v>39400</v>
      </c>
      <c r="G1575" s="36">
        <f>Tabla13[[#This Row],[Importe]]-Tabla13[[#This Row],[Pagado]]</f>
        <v>0</v>
      </c>
      <c r="H1575" s="38" t="s">
        <v>10</v>
      </c>
    </row>
    <row r="1576" spans="1:8" x14ac:dyDescent="0.25">
      <c r="A1576" s="31">
        <v>44606</v>
      </c>
      <c r="B1576" s="37" t="s">
        <v>5308</v>
      </c>
      <c r="C1576" s="38" t="s">
        <v>249</v>
      </c>
      <c r="D1576" s="34">
        <v>5400.3</v>
      </c>
      <c r="E1576" s="35">
        <v>44606</v>
      </c>
      <c r="F1576" s="34">
        <v>5400.3</v>
      </c>
      <c r="G1576" s="36">
        <f>Tabla13[[#This Row],[Importe]]-Tabla13[[#This Row],[Pagado]]</f>
        <v>0</v>
      </c>
      <c r="H1576" s="38" t="s">
        <v>10</v>
      </c>
    </row>
    <row r="1577" spans="1:8" x14ac:dyDescent="0.25">
      <c r="A1577" s="31">
        <v>44606</v>
      </c>
      <c r="B1577" s="37" t="s">
        <v>5309</v>
      </c>
      <c r="C1577" s="38" t="s">
        <v>240</v>
      </c>
      <c r="D1577" s="34">
        <v>6390</v>
      </c>
      <c r="E1577" s="35">
        <v>44606</v>
      </c>
      <c r="F1577" s="34">
        <v>6390</v>
      </c>
      <c r="G1577" s="36">
        <f>Tabla13[[#This Row],[Importe]]-Tabla13[[#This Row],[Pagado]]</f>
        <v>0</v>
      </c>
      <c r="H1577" s="38" t="s">
        <v>10</v>
      </c>
    </row>
    <row r="1578" spans="1:8" x14ac:dyDescent="0.25">
      <c r="A1578" s="31">
        <v>44606</v>
      </c>
      <c r="B1578" s="37" t="s">
        <v>5310</v>
      </c>
      <c r="C1578" s="38" t="s">
        <v>179</v>
      </c>
      <c r="D1578" s="34">
        <v>940</v>
      </c>
      <c r="E1578" s="35">
        <v>44606</v>
      </c>
      <c r="F1578" s="34">
        <v>940</v>
      </c>
      <c r="G1578" s="36">
        <f>Tabla13[[#This Row],[Importe]]-Tabla13[[#This Row],[Pagado]]</f>
        <v>0</v>
      </c>
      <c r="H1578" s="38" t="s">
        <v>10</v>
      </c>
    </row>
    <row r="1579" spans="1:8" x14ac:dyDescent="0.25">
      <c r="A1579" s="31">
        <v>44606</v>
      </c>
      <c r="B1579" s="37" t="s">
        <v>5311</v>
      </c>
      <c r="C1579" s="38" t="s">
        <v>520</v>
      </c>
      <c r="D1579" s="34">
        <v>5917</v>
      </c>
      <c r="E1579" s="35">
        <v>44607</v>
      </c>
      <c r="F1579" s="34">
        <v>5917</v>
      </c>
      <c r="G1579" s="36">
        <f>Tabla13[[#This Row],[Importe]]-Tabla13[[#This Row],[Pagado]]</f>
        <v>0</v>
      </c>
      <c r="H1579" s="38" t="s">
        <v>10</v>
      </c>
    </row>
    <row r="1580" spans="1:8" x14ac:dyDescent="0.25">
      <c r="A1580" s="31">
        <v>44606</v>
      </c>
      <c r="B1580" s="37" t="s">
        <v>5312</v>
      </c>
      <c r="C1580" s="38" t="s">
        <v>518</v>
      </c>
      <c r="D1580" s="34">
        <v>1517</v>
      </c>
      <c r="E1580" s="35">
        <v>44607</v>
      </c>
      <c r="F1580" s="34">
        <v>1517</v>
      </c>
      <c r="G1580" s="36">
        <f>Tabla13[[#This Row],[Importe]]-Tabla13[[#This Row],[Pagado]]</f>
        <v>0</v>
      </c>
      <c r="H1580" s="38" t="s">
        <v>10</v>
      </c>
    </row>
    <row r="1581" spans="1:8" x14ac:dyDescent="0.25">
      <c r="A1581" s="31">
        <v>44606</v>
      </c>
      <c r="B1581" s="37" t="s">
        <v>5313</v>
      </c>
      <c r="C1581" s="38" t="s">
        <v>518</v>
      </c>
      <c r="D1581" s="34">
        <v>1132.2</v>
      </c>
      <c r="E1581" s="35">
        <v>44607</v>
      </c>
      <c r="F1581" s="34">
        <v>1132.2</v>
      </c>
      <c r="G1581" s="36">
        <f>Tabla13[[#This Row],[Importe]]-Tabla13[[#This Row],[Pagado]]</f>
        <v>0</v>
      </c>
      <c r="H1581" s="38" t="s">
        <v>10</v>
      </c>
    </row>
    <row r="1582" spans="1:8" x14ac:dyDescent="0.25">
      <c r="A1582" s="31">
        <v>44606</v>
      </c>
      <c r="B1582" s="37" t="s">
        <v>5314</v>
      </c>
      <c r="C1582" s="38" t="s">
        <v>159</v>
      </c>
      <c r="D1582" s="34">
        <v>1248.2</v>
      </c>
      <c r="E1582" s="35">
        <v>44607</v>
      </c>
      <c r="F1582" s="34">
        <v>1248.2</v>
      </c>
      <c r="G1582" s="36">
        <f>Tabla13[[#This Row],[Importe]]-Tabla13[[#This Row],[Pagado]]</f>
        <v>0</v>
      </c>
      <c r="H1582" s="38" t="s">
        <v>10</v>
      </c>
    </row>
    <row r="1583" spans="1:8" x14ac:dyDescent="0.25">
      <c r="A1583" s="31">
        <v>44606</v>
      </c>
      <c r="B1583" s="37" t="s">
        <v>5315</v>
      </c>
      <c r="C1583" s="38" t="s">
        <v>414</v>
      </c>
      <c r="D1583" s="34">
        <v>4700</v>
      </c>
      <c r="E1583" s="35">
        <v>44638</v>
      </c>
      <c r="F1583" s="34">
        <v>4700</v>
      </c>
      <c r="G1583" s="36">
        <f>Tabla13[[#This Row],[Importe]]-Tabla13[[#This Row],[Pagado]]</f>
        <v>0</v>
      </c>
      <c r="H1583" s="38" t="s">
        <v>10</v>
      </c>
    </row>
    <row r="1584" spans="1:8" x14ac:dyDescent="0.25">
      <c r="A1584" s="31">
        <v>44606</v>
      </c>
      <c r="B1584" s="37" t="s">
        <v>5316</v>
      </c>
      <c r="C1584" s="38" t="s">
        <v>14</v>
      </c>
      <c r="D1584" s="34">
        <v>19377.900000000001</v>
      </c>
      <c r="E1584" s="35">
        <v>44606</v>
      </c>
      <c r="F1584" s="34">
        <v>19377.900000000001</v>
      </c>
      <c r="G1584" s="36">
        <f>Tabla13[[#This Row],[Importe]]-Tabla13[[#This Row],[Pagado]]</f>
        <v>0</v>
      </c>
      <c r="H1584" s="38" t="s">
        <v>10</v>
      </c>
    </row>
    <row r="1585" spans="1:8" x14ac:dyDescent="0.25">
      <c r="A1585" s="31">
        <v>44606</v>
      </c>
      <c r="B1585" s="37" t="s">
        <v>5317</v>
      </c>
      <c r="C1585" s="38" t="s">
        <v>380</v>
      </c>
      <c r="D1585" s="34">
        <v>6921.6</v>
      </c>
      <c r="E1585" s="35">
        <v>44607</v>
      </c>
      <c r="F1585" s="34">
        <v>6921.6</v>
      </c>
      <c r="G1585" s="36">
        <f>Tabla13[[#This Row],[Importe]]-Tabla13[[#This Row],[Pagado]]</f>
        <v>0</v>
      </c>
      <c r="H1585" s="38" t="s">
        <v>10</v>
      </c>
    </row>
    <row r="1586" spans="1:8" x14ac:dyDescent="0.25">
      <c r="A1586" s="31">
        <v>44606</v>
      </c>
      <c r="B1586" s="37" t="s">
        <v>5318</v>
      </c>
      <c r="C1586" s="38" t="s">
        <v>525</v>
      </c>
      <c r="D1586" s="34">
        <v>2839.7</v>
      </c>
      <c r="E1586" s="35">
        <v>44607</v>
      </c>
      <c r="F1586" s="34">
        <v>2839.7</v>
      </c>
      <c r="G1586" s="36">
        <f>Tabla13[[#This Row],[Importe]]-Tabla13[[#This Row],[Pagado]]</f>
        <v>0</v>
      </c>
      <c r="H1586" s="38" t="s">
        <v>10</v>
      </c>
    </row>
    <row r="1587" spans="1:8" x14ac:dyDescent="0.25">
      <c r="A1587" s="31">
        <v>44606</v>
      </c>
      <c r="B1587" s="37" t="s">
        <v>5319</v>
      </c>
      <c r="C1587" s="38" t="s">
        <v>319</v>
      </c>
      <c r="D1587" s="34">
        <v>3528.2</v>
      </c>
      <c r="E1587" s="35">
        <v>44607</v>
      </c>
      <c r="F1587" s="34">
        <v>3528.2</v>
      </c>
      <c r="G1587" s="36">
        <f>Tabla13[[#This Row],[Importe]]-Tabla13[[#This Row],[Pagado]]</f>
        <v>0</v>
      </c>
      <c r="H1587" s="38" t="s">
        <v>10</v>
      </c>
    </row>
    <row r="1588" spans="1:8" ht="31.5" x14ac:dyDescent="0.25">
      <c r="A1588" s="31">
        <v>44606</v>
      </c>
      <c r="B1588" s="37" t="s">
        <v>5320</v>
      </c>
      <c r="C1588" s="38" t="s">
        <v>79</v>
      </c>
      <c r="D1588" s="34">
        <v>5938.1</v>
      </c>
      <c r="E1588" s="35" t="s">
        <v>5054</v>
      </c>
      <c r="F1588" s="34">
        <f>4338.1+1600</f>
        <v>5938.1</v>
      </c>
      <c r="G1588" s="36">
        <f>Tabla13[[#This Row],[Importe]]-Tabla13[[#This Row],[Pagado]]</f>
        <v>0</v>
      </c>
      <c r="H1588" s="38" t="s">
        <v>10</v>
      </c>
    </row>
    <row r="1589" spans="1:8" x14ac:dyDescent="0.25">
      <c r="A1589" s="31">
        <v>44606</v>
      </c>
      <c r="B1589" s="37" t="s">
        <v>5321</v>
      </c>
      <c r="C1589" s="38" t="s">
        <v>75</v>
      </c>
      <c r="D1589" s="34">
        <v>6349.7</v>
      </c>
      <c r="E1589" s="35">
        <v>44606</v>
      </c>
      <c r="F1589" s="34">
        <v>6349.7</v>
      </c>
      <c r="G1589" s="36">
        <f>Tabla13[[#This Row],[Importe]]-Tabla13[[#This Row],[Pagado]]</f>
        <v>0</v>
      </c>
      <c r="H1589" s="38" t="s">
        <v>10</v>
      </c>
    </row>
    <row r="1590" spans="1:8" x14ac:dyDescent="0.25">
      <c r="A1590" s="31">
        <v>44606</v>
      </c>
      <c r="B1590" s="37" t="s">
        <v>5322</v>
      </c>
      <c r="C1590" s="38" t="s">
        <v>135</v>
      </c>
      <c r="D1590" s="34">
        <v>1490.6</v>
      </c>
      <c r="E1590" s="35">
        <v>44606</v>
      </c>
      <c r="F1590" s="34">
        <v>1490.6</v>
      </c>
      <c r="G1590" s="36">
        <f>Tabla13[[#This Row],[Importe]]-Tabla13[[#This Row],[Pagado]]</f>
        <v>0</v>
      </c>
      <c r="H1590" s="38" t="s">
        <v>10</v>
      </c>
    </row>
    <row r="1591" spans="1:8" x14ac:dyDescent="0.25">
      <c r="A1591" s="31">
        <v>44606</v>
      </c>
      <c r="B1591" s="37" t="s">
        <v>5323</v>
      </c>
      <c r="C1591" s="38" t="s">
        <v>214</v>
      </c>
      <c r="D1591" s="34">
        <v>1024.5999999999999</v>
      </c>
      <c r="E1591" s="35">
        <v>44606</v>
      </c>
      <c r="F1591" s="34">
        <v>1024.5999999999999</v>
      </c>
      <c r="G1591" s="36">
        <f>Tabla13[[#This Row],[Importe]]-Tabla13[[#This Row],[Pagado]]</f>
        <v>0</v>
      </c>
      <c r="H1591" s="38" t="s">
        <v>10</v>
      </c>
    </row>
    <row r="1592" spans="1:8" x14ac:dyDescent="0.25">
      <c r="A1592" s="31">
        <v>44606</v>
      </c>
      <c r="B1592" s="37" t="s">
        <v>5324</v>
      </c>
      <c r="C1592" s="38" t="s">
        <v>107</v>
      </c>
      <c r="D1592" s="34">
        <v>12444.4</v>
      </c>
      <c r="E1592" s="35">
        <v>44606</v>
      </c>
      <c r="F1592" s="34">
        <v>12444.4</v>
      </c>
      <c r="G1592" s="36">
        <f>Tabla13[[#This Row],[Importe]]-Tabla13[[#This Row],[Pagado]]</f>
        <v>0</v>
      </c>
      <c r="H1592" s="38" t="s">
        <v>10</v>
      </c>
    </row>
    <row r="1593" spans="1:8" x14ac:dyDescent="0.25">
      <c r="A1593" s="31">
        <v>44606</v>
      </c>
      <c r="B1593" s="37" t="s">
        <v>5325</v>
      </c>
      <c r="C1593" s="38" t="s">
        <v>69</v>
      </c>
      <c r="D1593" s="34">
        <v>1348.9</v>
      </c>
      <c r="E1593" s="35">
        <v>44606</v>
      </c>
      <c r="F1593" s="34">
        <v>1348.9</v>
      </c>
      <c r="G1593" s="36">
        <f>Tabla13[[#This Row],[Importe]]-Tabla13[[#This Row],[Pagado]]</f>
        <v>0</v>
      </c>
      <c r="H1593" s="38" t="s">
        <v>10</v>
      </c>
    </row>
    <row r="1594" spans="1:8" x14ac:dyDescent="0.25">
      <c r="A1594" s="31">
        <v>44606</v>
      </c>
      <c r="B1594" s="37" t="s">
        <v>5326</v>
      </c>
      <c r="C1594" s="38" t="s">
        <v>269</v>
      </c>
      <c r="D1594" s="34">
        <v>3128.2</v>
      </c>
      <c r="E1594" s="35">
        <v>44606</v>
      </c>
      <c r="F1594" s="34">
        <v>3128.2</v>
      </c>
      <c r="G1594" s="36">
        <f>Tabla13[[#This Row],[Importe]]-Tabla13[[#This Row],[Pagado]]</f>
        <v>0</v>
      </c>
      <c r="H1594" s="38" t="s">
        <v>10</v>
      </c>
    </row>
    <row r="1595" spans="1:8" x14ac:dyDescent="0.25">
      <c r="A1595" s="31">
        <v>44606</v>
      </c>
      <c r="B1595" s="37" t="s">
        <v>5327</v>
      </c>
      <c r="C1595" s="38" t="s">
        <v>53</v>
      </c>
      <c r="D1595" s="34">
        <v>1874</v>
      </c>
      <c r="E1595" s="35">
        <v>44606</v>
      </c>
      <c r="F1595" s="34">
        <v>1874</v>
      </c>
      <c r="G1595" s="36">
        <f>Tabla13[[#This Row],[Importe]]-Tabla13[[#This Row],[Pagado]]</f>
        <v>0</v>
      </c>
      <c r="H1595" s="38" t="s">
        <v>10</v>
      </c>
    </row>
    <row r="1596" spans="1:8" x14ac:dyDescent="0.25">
      <c r="A1596" s="31">
        <v>44606</v>
      </c>
      <c r="B1596" s="37" t="s">
        <v>5328</v>
      </c>
      <c r="C1596" s="38" t="s">
        <v>670</v>
      </c>
      <c r="D1596" s="34">
        <v>3846.8</v>
      </c>
      <c r="E1596" s="35">
        <v>44606</v>
      </c>
      <c r="F1596" s="34">
        <v>3846.8</v>
      </c>
      <c r="G1596" s="36">
        <f>Tabla13[[#This Row],[Importe]]-Tabla13[[#This Row],[Pagado]]</f>
        <v>0</v>
      </c>
      <c r="H1596" s="38" t="s">
        <v>10</v>
      </c>
    </row>
    <row r="1597" spans="1:8" x14ac:dyDescent="0.25">
      <c r="A1597" s="31">
        <v>44606</v>
      </c>
      <c r="B1597" s="37" t="s">
        <v>5329</v>
      </c>
      <c r="C1597" s="38" t="s">
        <v>440</v>
      </c>
      <c r="D1597" s="34">
        <v>10219.719999999999</v>
      </c>
      <c r="E1597" s="35">
        <v>44617</v>
      </c>
      <c r="F1597" s="34">
        <v>10219.719999999999</v>
      </c>
      <c r="G1597" s="36">
        <f>Tabla13[[#This Row],[Importe]]-Tabla13[[#This Row],[Pagado]]</f>
        <v>0</v>
      </c>
      <c r="H1597" s="38" t="s">
        <v>10</v>
      </c>
    </row>
    <row r="1598" spans="1:8" x14ac:dyDescent="0.25">
      <c r="A1598" s="31">
        <v>44606</v>
      </c>
      <c r="B1598" s="37" t="s">
        <v>5330</v>
      </c>
      <c r="C1598" s="38" t="s">
        <v>475</v>
      </c>
      <c r="D1598" s="34">
        <v>32123.8</v>
      </c>
      <c r="E1598" s="35">
        <v>44608</v>
      </c>
      <c r="F1598" s="34">
        <v>32123.8</v>
      </c>
      <c r="G1598" s="36">
        <f>Tabla13[[#This Row],[Importe]]-Tabla13[[#This Row],[Pagado]]</f>
        <v>0</v>
      </c>
      <c r="H1598" s="38" t="s">
        <v>10</v>
      </c>
    </row>
    <row r="1599" spans="1:8" x14ac:dyDescent="0.25">
      <c r="A1599" s="31">
        <v>44606</v>
      </c>
      <c r="B1599" s="37" t="s">
        <v>5331</v>
      </c>
      <c r="C1599" s="38" t="s">
        <v>1421</v>
      </c>
      <c r="D1599" s="34">
        <v>27614.6</v>
      </c>
      <c r="E1599" s="35">
        <v>44606</v>
      </c>
      <c r="F1599" s="34">
        <v>27614.6</v>
      </c>
      <c r="G1599" s="36">
        <f>Tabla13[[#This Row],[Importe]]-Tabla13[[#This Row],[Pagado]]</f>
        <v>0</v>
      </c>
      <c r="H1599" s="38" t="s">
        <v>10</v>
      </c>
    </row>
    <row r="1600" spans="1:8" x14ac:dyDescent="0.25">
      <c r="A1600" s="31">
        <v>44606</v>
      </c>
      <c r="B1600" s="37" t="s">
        <v>5332</v>
      </c>
      <c r="C1600" s="38" t="s">
        <v>843</v>
      </c>
      <c r="D1600" s="34">
        <v>14700</v>
      </c>
      <c r="E1600" s="35">
        <v>44607</v>
      </c>
      <c r="F1600" s="34">
        <v>14700</v>
      </c>
      <c r="G1600" s="36">
        <f>Tabla13[[#This Row],[Importe]]-Tabla13[[#This Row],[Pagado]]</f>
        <v>0</v>
      </c>
      <c r="H1600" s="38" t="s">
        <v>10</v>
      </c>
    </row>
    <row r="1601" spans="1:8" x14ac:dyDescent="0.25">
      <c r="A1601" s="31">
        <v>44606</v>
      </c>
      <c r="B1601" s="37" t="s">
        <v>5333</v>
      </c>
      <c r="C1601" s="38" t="s">
        <v>5217</v>
      </c>
      <c r="D1601" s="34">
        <v>1736.2</v>
      </c>
      <c r="E1601" s="35">
        <v>44606</v>
      </c>
      <c r="F1601" s="34">
        <v>1736.2</v>
      </c>
      <c r="G1601" s="36">
        <f>Tabla13[[#This Row],[Importe]]-Tabla13[[#This Row],[Pagado]]</f>
        <v>0</v>
      </c>
      <c r="H1601" s="38" t="s">
        <v>10</v>
      </c>
    </row>
    <row r="1602" spans="1:8" x14ac:dyDescent="0.25">
      <c r="A1602" s="31">
        <v>44606</v>
      </c>
      <c r="B1602" s="37" t="s">
        <v>5334</v>
      </c>
      <c r="C1602" s="38" t="s">
        <v>196</v>
      </c>
      <c r="D1602" s="34">
        <v>100500.86</v>
      </c>
      <c r="E1602" s="35">
        <v>44610</v>
      </c>
      <c r="F1602" s="34">
        <v>100500.86</v>
      </c>
      <c r="G1602" s="36">
        <f>Tabla13[[#This Row],[Importe]]-Tabla13[[#This Row],[Pagado]]</f>
        <v>0</v>
      </c>
      <c r="H1602" s="38" t="s">
        <v>10</v>
      </c>
    </row>
    <row r="1603" spans="1:8" x14ac:dyDescent="0.25">
      <c r="A1603" s="31">
        <v>44606</v>
      </c>
      <c r="B1603" s="37" t="s">
        <v>5335</v>
      </c>
      <c r="C1603" s="38" t="s">
        <v>303</v>
      </c>
      <c r="D1603" s="34">
        <v>34028</v>
      </c>
      <c r="E1603" s="35">
        <v>44613</v>
      </c>
      <c r="F1603" s="34">
        <v>34028</v>
      </c>
      <c r="G1603" s="36">
        <f>Tabla13[[#This Row],[Importe]]-Tabla13[[#This Row],[Pagado]]</f>
        <v>0</v>
      </c>
      <c r="H1603" s="38" t="s">
        <v>10</v>
      </c>
    </row>
    <row r="1604" spans="1:8" x14ac:dyDescent="0.25">
      <c r="A1604" s="31">
        <v>44606</v>
      </c>
      <c r="B1604" s="37" t="s">
        <v>5336</v>
      </c>
      <c r="C1604" s="38" t="s">
        <v>289</v>
      </c>
      <c r="D1604" s="34">
        <v>6964.4</v>
      </c>
      <c r="E1604" s="35">
        <v>44606</v>
      </c>
      <c r="F1604" s="34">
        <v>6964.4</v>
      </c>
      <c r="G1604" s="36">
        <f>Tabla13[[#This Row],[Importe]]-Tabla13[[#This Row],[Pagado]]</f>
        <v>0</v>
      </c>
      <c r="H1604" s="38" t="s">
        <v>10</v>
      </c>
    </row>
    <row r="1605" spans="1:8" x14ac:dyDescent="0.25">
      <c r="A1605" s="31">
        <v>44606</v>
      </c>
      <c r="B1605" s="37" t="s">
        <v>5337</v>
      </c>
      <c r="C1605" s="38" t="s">
        <v>872</v>
      </c>
      <c r="D1605" s="34">
        <v>1091.5</v>
      </c>
      <c r="E1605" s="35">
        <v>44606</v>
      </c>
      <c r="F1605" s="34">
        <v>1091.5</v>
      </c>
      <c r="G1605" s="36">
        <f>Tabla13[[#This Row],[Importe]]-Tabla13[[#This Row],[Pagado]]</f>
        <v>0</v>
      </c>
      <c r="H1605" s="38" t="s">
        <v>10</v>
      </c>
    </row>
    <row r="1606" spans="1:8" x14ac:dyDescent="0.25">
      <c r="A1606" s="31">
        <v>44606</v>
      </c>
      <c r="B1606" s="37" t="s">
        <v>5338</v>
      </c>
      <c r="C1606" s="38" t="s">
        <v>212</v>
      </c>
      <c r="D1606" s="34">
        <v>31100.3</v>
      </c>
      <c r="E1606" s="35">
        <v>44609</v>
      </c>
      <c r="F1606" s="34">
        <v>31100.3</v>
      </c>
      <c r="G1606" s="36">
        <f>Tabla13[[#This Row],[Importe]]-Tabla13[[#This Row],[Pagado]]</f>
        <v>0</v>
      </c>
      <c r="H1606" s="38" t="s">
        <v>10</v>
      </c>
    </row>
    <row r="1607" spans="1:8" x14ac:dyDescent="0.25">
      <c r="A1607" s="31">
        <v>44606</v>
      </c>
      <c r="B1607" s="37" t="s">
        <v>5339</v>
      </c>
      <c r="C1607" s="38" t="s">
        <v>2961</v>
      </c>
      <c r="D1607" s="34">
        <v>57020.4</v>
      </c>
      <c r="E1607" s="35">
        <v>44615</v>
      </c>
      <c r="F1607" s="34">
        <v>57020.4</v>
      </c>
      <c r="G1607" s="36">
        <f>Tabla13[[#This Row],[Importe]]-Tabla13[[#This Row],[Pagado]]</f>
        <v>0</v>
      </c>
      <c r="H1607" s="38" t="s">
        <v>10</v>
      </c>
    </row>
    <row r="1608" spans="1:8" x14ac:dyDescent="0.25">
      <c r="A1608" s="31">
        <v>44606</v>
      </c>
      <c r="B1608" s="37" t="s">
        <v>5340</v>
      </c>
      <c r="C1608" s="38" t="s">
        <v>175</v>
      </c>
      <c r="D1608" s="34">
        <v>15587</v>
      </c>
      <c r="E1608" s="35">
        <v>44607</v>
      </c>
      <c r="F1608" s="34">
        <v>15587</v>
      </c>
      <c r="G1608" s="36">
        <f>Tabla13[[#This Row],[Importe]]-Tabla13[[#This Row],[Pagado]]</f>
        <v>0</v>
      </c>
      <c r="H1608" s="38" t="s">
        <v>10</v>
      </c>
    </row>
    <row r="1609" spans="1:8" x14ac:dyDescent="0.25">
      <c r="A1609" s="31">
        <v>44606</v>
      </c>
      <c r="B1609" s="37" t="s">
        <v>5341</v>
      </c>
      <c r="C1609" s="38" t="s">
        <v>282</v>
      </c>
      <c r="D1609" s="34">
        <v>3722.4</v>
      </c>
      <c r="E1609" s="35">
        <v>44607</v>
      </c>
      <c r="F1609" s="34">
        <v>3722.4</v>
      </c>
      <c r="G1609" s="36">
        <f>Tabla13[[#This Row],[Importe]]-Tabla13[[#This Row],[Pagado]]</f>
        <v>0</v>
      </c>
      <c r="H1609" s="38" t="s">
        <v>10</v>
      </c>
    </row>
    <row r="1610" spans="1:8" x14ac:dyDescent="0.25">
      <c r="A1610" s="31">
        <v>44606</v>
      </c>
      <c r="B1610" s="37" t="s">
        <v>5342</v>
      </c>
      <c r="C1610" s="38" t="s">
        <v>280</v>
      </c>
      <c r="D1610" s="34">
        <v>1292.5</v>
      </c>
      <c r="E1610" s="35">
        <v>44607</v>
      </c>
      <c r="F1610" s="34">
        <v>1292.5</v>
      </c>
      <c r="G1610" s="36">
        <f>Tabla13[[#This Row],[Importe]]-Tabla13[[#This Row],[Pagado]]</f>
        <v>0</v>
      </c>
      <c r="H1610" s="38" t="s">
        <v>10</v>
      </c>
    </row>
    <row r="1611" spans="1:8" x14ac:dyDescent="0.25">
      <c r="A1611" s="31">
        <v>44606</v>
      </c>
      <c r="B1611" s="37" t="s">
        <v>5343</v>
      </c>
      <c r="C1611" s="38" t="s">
        <v>284</v>
      </c>
      <c r="D1611" s="34">
        <v>5738.7</v>
      </c>
      <c r="E1611" s="35">
        <v>44607</v>
      </c>
      <c r="F1611" s="34">
        <v>5738.7</v>
      </c>
      <c r="G1611" s="36">
        <f>Tabla13[[#This Row],[Importe]]-Tabla13[[#This Row],[Pagado]]</f>
        <v>0</v>
      </c>
      <c r="H1611" s="38" t="s">
        <v>10</v>
      </c>
    </row>
    <row r="1612" spans="1:8" x14ac:dyDescent="0.25">
      <c r="A1612" s="31">
        <v>44606</v>
      </c>
      <c r="B1612" s="37" t="s">
        <v>5344</v>
      </c>
      <c r="C1612" s="38" t="s">
        <v>5345</v>
      </c>
      <c r="D1612" s="34">
        <v>2204.3000000000002</v>
      </c>
      <c r="E1612" s="35">
        <v>44607</v>
      </c>
      <c r="F1612" s="34">
        <v>2204.3000000000002</v>
      </c>
      <c r="G1612" s="36">
        <f>Tabla13[[#This Row],[Importe]]-Tabla13[[#This Row],[Pagado]]</f>
        <v>0</v>
      </c>
      <c r="H1612" s="38" t="s">
        <v>10</v>
      </c>
    </row>
    <row r="1613" spans="1:8" x14ac:dyDescent="0.25">
      <c r="A1613" s="31">
        <v>44606</v>
      </c>
      <c r="B1613" s="37" t="s">
        <v>5346</v>
      </c>
      <c r="C1613" s="38" t="s">
        <v>368</v>
      </c>
      <c r="D1613" s="34">
        <v>7787.8</v>
      </c>
      <c r="E1613" s="35">
        <v>44607</v>
      </c>
      <c r="F1613" s="34">
        <v>7787.8</v>
      </c>
      <c r="G1613" s="36">
        <f>Tabla13[[#This Row],[Importe]]-Tabla13[[#This Row],[Pagado]]</f>
        <v>0</v>
      </c>
      <c r="H1613" s="38" t="s">
        <v>10</v>
      </c>
    </row>
    <row r="1614" spans="1:8" x14ac:dyDescent="0.25">
      <c r="A1614" s="31">
        <v>44606</v>
      </c>
      <c r="B1614" s="37" t="s">
        <v>5347</v>
      </c>
      <c r="C1614" s="38" t="s">
        <v>291</v>
      </c>
      <c r="D1614" s="34">
        <v>3845</v>
      </c>
      <c r="E1614" s="35">
        <v>44607</v>
      </c>
      <c r="F1614" s="34">
        <v>3845</v>
      </c>
      <c r="G1614" s="36">
        <f>Tabla13[[#This Row],[Importe]]-Tabla13[[#This Row],[Pagado]]</f>
        <v>0</v>
      </c>
      <c r="H1614" s="38" t="s">
        <v>10</v>
      </c>
    </row>
    <row r="1615" spans="1:8" x14ac:dyDescent="0.25">
      <c r="A1615" s="31">
        <v>44607</v>
      </c>
      <c r="B1615" s="37" t="s">
        <v>5348</v>
      </c>
      <c r="C1615" s="38" t="s">
        <v>887</v>
      </c>
      <c r="D1615" s="34">
        <v>8501.5</v>
      </c>
      <c r="E1615" s="35">
        <v>44608</v>
      </c>
      <c r="F1615" s="34">
        <v>8501.5</v>
      </c>
      <c r="G1615" s="36">
        <f>Tabla13[[#This Row],[Importe]]-Tabla13[[#This Row],[Pagado]]</f>
        <v>0</v>
      </c>
      <c r="H1615" s="38" t="s">
        <v>10</v>
      </c>
    </row>
    <row r="1616" spans="1:8" x14ac:dyDescent="0.25">
      <c r="A1616" s="31">
        <v>44607</v>
      </c>
      <c r="B1616" s="37" t="s">
        <v>5349</v>
      </c>
      <c r="C1616" s="38" t="s">
        <v>83</v>
      </c>
      <c r="D1616" s="34">
        <v>4326</v>
      </c>
      <c r="E1616" s="35">
        <v>44607</v>
      </c>
      <c r="F1616" s="34">
        <v>4326</v>
      </c>
      <c r="G1616" s="36">
        <f>Tabla13[[#This Row],[Importe]]-Tabla13[[#This Row],[Pagado]]</f>
        <v>0</v>
      </c>
      <c r="H1616" s="38" t="s">
        <v>10</v>
      </c>
    </row>
    <row r="1617" spans="1:8" x14ac:dyDescent="0.25">
      <c r="A1617" s="31">
        <v>44607</v>
      </c>
      <c r="B1617" s="37" t="s">
        <v>5350</v>
      </c>
      <c r="C1617" s="38" t="s">
        <v>85</v>
      </c>
      <c r="D1617" s="34">
        <v>1727.2</v>
      </c>
      <c r="E1617" s="35">
        <v>44607</v>
      </c>
      <c r="F1617" s="34">
        <v>1727.2</v>
      </c>
      <c r="G1617" s="36">
        <f>Tabla13[[#This Row],[Importe]]-Tabla13[[#This Row],[Pagado]]</f>
        <v>0</v>
      </c>
      <c r="H1617" s="38" t="s">
        <v>10</v>
      </c>
    </row>
    <row r="1618" spans="1:8" x14ac:dyDescent="0.25">
      <c r="A1618" s="31">
        <v>44607</v>
      </c>
      <c r="B1618" s="37" t="s">
        <v>5351</v>
      </c>
      <c r="C1618" s="38" t="s">
        <v>314</v>
      </c>
      <c r="D1618" s="34">
        <v>1920</v>
      </c>
      <c r="E1618" s="35">
        <v>44607</v>
      </c>
      <c r="F1618" s="34">
        <v>1920</v>
      </c>
      <c r="G1618" s="36">
        <f>Tabla13[[#This Row],[Importe]]-Tabla13[[#This Row],[Pagado]]</f>
        <v>0</v>
      </c>
      <c r="H1618" s="38" t="s">
        <v>10</v>
      </c>
    </row>
    <row r="1619" spans="1:8" x14ac:dyDescent="0.25">
      <c r="A1619" s="31">
        <v>44607</v>
      </c>
      <c r="B1619" s="37" t="s">
        <v>5352</v>
      </c>
      <c r="C1619" s="38" t="s">
        <v>87</v>
      </c>
      <c r="D1619" s="34">
        <v>1997.6</v>
      </c>
      <c r="E1619" s="35">
        <v>44607</v>
      </c>
      <c r="F1619" s="34">
        <v>1997.6</v>
      </c>
      <c r="G1619" s="36">
        <f>Tabla13[[#This Row],[Importe]]-Tabla13[[#This Row],[Pagado]]</f>
        <v>0</v>
      </c>
      <c r="H1619" s="38" t="s">
        <v>10</v>
      </c>
    </row>
    <row r="1620" spans="1:8" x14ac:dyDescent="0.25">
      <c r="A1620" s="31">
        <v>44607</v>
      </c>
      <c r="B1620" s="37" t="s">
        <v>5353</v>
      </c>
      <c r="C1620" s="38" t="s">
        <v>473</v>
      </c>
      <c r="D1620" s="34">
        <v>4410.8</v>
      </c>
      <c r="E1620" s="35">
        <v>44607</v>
      </c>
      <c r="F1620" s="34">
        <v>4410.8</v>
      </c>
      <c r="G1620" s="36">
        <f>Tabla13[[#This Row],[Importe]]-Tabla13[[#This Row],[Pagado]]</f>
        <v>0</v>
      </c>
      <c r="H1620" s="38" t="s">
        <v>10</v>
      </c>
    </row>
    <row r="1621" spans="1:8" x14ac:dyDescent="0.25">
      <c r="A1621" s="31">
        <v>44607</v>
      </c>
      <c r="B1621" s="37" t="s">
        <v>5354</v>
      </c>
      <c r="C1621" s="38" t="s">
        <v>109</v>
      </c>
      <c r="D1621" s="34">
        <v>3939.6</v>
      </c>
      <c r="E1621" s="35">
        <v>44608</v>
      </c>
      <c r="F1621" s="34">
        <v>3939.6</v>
      </c>
      <c r="G1621" s="36">
        <f>Tabla13[[#This Row],[Importe]]-Tabla13[[#This Row],[Pagado]]</f>
        <v>0</v>
      </c>
      <c r="H1621" s="38" t="s">
        <v>10</v>
      </c>
    </row>
    <row r="1622" spans="1:8" x14ac:dyDescent="0.25">
      <c r="A1622" s="31">
        <v>44607</v>
      </c>
      <c r="B1622" s="37" t="s">
        <v>5355</v>
      </c>
      <c r="C1622" s="38" t="s">
        <v>481</v>
      </c>
      <c r="D1622" s="34">
        <v>1040</v>
      </c>
      <c r="E1622" s="35">
        <v>44607</v>
      </c>
      <c r="F1622" s="34">
        <v>1040</v>
      </c>
      <c r="G1622" s="36">
        <f>Tabla13[[#This Row],[Importe]]-Tabla13[[#This Row],[Pagado]]</f>
        <v>0</v>
      </c>
      <c r="H1622" s="38" t="s">
        <v>10</v>
      </c>
    </row>
    <row r="1623" spans="1:8" x14ac:dyDescent="0.25">
      <c r="A1623" s="31">
        <v>44607</v>
      </c>
      <c r="B1623" s="37" t="s">
        <v>5356</v>
      </c>
      <c r="C1623" s="38" t="s">
        <v>75</v>
      </c>
      <c r="D1623" s="34">
        <v>6566.4</v>
      </c>
      <c r="E1623" s="35">
        <v>44607</v>
      </c>
      <c r="F1623" s="34">
        <v>6566.4</v>
      </c>
      <c r="G1623" s="36">
        <f>Tabla13[[#This Row],[Importe]]-Tabla13[[#This Row],[Pagado]]</f>
        <v>0</v>
      </c>
      <c r="H1623" s="38" t="s">
        <v>10</v>
      </c>
    </row>
    <row r="1624" spans="1:8" x14ac:dyDescent="0.25">
      <c r="A1624" s="31">
        <v>44607</v>
      </c>
      <c r="B1624" s="37" t="s">
        <v>5357</v>
      </c>
      <c r="C1624" s="38" t="s">
        <v>97</v>
      </c>
      <c r="D1624" s="34">
        <v>4067</v>
      </c>
      <c r="E1624" s="35">
        <v>44609</v>
      </c>
      <c r="F1624" s="34">
        <v>4067</v>
      </c>
      <c r="G1624" s="36">
        <f>Tabla13[[#This Row],[Importe]]-Tabla13[[#This Row],[Pagado]]</f>
        <v>0</v>
      </c>
      <c r="H1624" s="38" t="s">
        <v>10</v>
      </c>
    </row>
    <row r="1625" spans="1:8" x14ac:dyDescent="0.25">
      <c r="A1625" s="31">
        <v>44607</v>
      </c>
      <c r="B1625" s="37" t="s">
        <v>5358</v>
      </c>
      <c r="C1625" s="38" t="s">
        <v>64</v>
      </c>
      <c r="D1625" s="34">
        <v>3677.1</v>
      </c>
      <c r="E1625" s="35">
        <v>44608</v>
      </c>
      <c r="F1625" s="34">
        <v>3677.1</v>
      </c>
      <c r="G1625" s="36">
        <f>Tabla13[[#This Row],[Importe]]-Tabla13[[#This Row],[Pagado]]</f>
        <v>0</v>
      </c>
      <c r="H1625" s="38" t="s">
        <v>10</v>
      </c>
    </row>
    <row r="1626" spans="1:8" x14ac:dyDescent="0.25">
      <c r="A1626" s="31">
        <v>44607</v>
      </c>
      <c r="B1626" s="37" t="s">
        <v>5359</v>
      </c>
      <c r="C1626" s="38" t="s">
        <v>169</v>
      </c>
      <c r="D1626" s="34">
        <v>864</v>
      </c>
      <c r="E1626" s="35">
        <v>44607</v>
      </c>
      <c r="F1626" s="34">
        <v>864</v>
      </c>
      <c r="G1626" s="36">
        <f>Tabla13[[#This Row],[Importe]]-Tabla13[[#This Row],[Pagado]]</f>
        <v>0</v>
      </c>
      <c r="H1626" s="38" t="s">
        <v>10</v>
      </c>
    </row>
    <row r="1627" spans="1:8" x14ac:dyDescent="0.25">
      <c r="A1627" s="31">
        <v>44607</v>
      </c>
      <c r="B1627" s="37" t="s">
        <v>5360</v>
      </c>
      <c r="C1627" s="38" t="s">
        <v>146</v>
      </c>
      <c r="D1627" s="34">
        <v>1654.4</v>
      </c>
      <c r="E1627" s="35">
        <v>44607</v>
      </c>
      <c r="F1627" s="34">
        <v>1654.4</v>
      </c>
      <c r="G1627" s="36">
        <f>Tabla13[[#This Row],[Importe]]-Tabla13[[#This Row],[Pagado]]</f>
        <v>0</v>
      </c>
      <c r="H1627" s="38" t="s">
        <v>10</v>
      </c>
    </row>
    <row r="1628" spans="1:8" x14ac:dyDescent="0.25">
      <c r="A1628" s="31">
        <v>44607</v>
      </c>
      <c r="B1628" s="37" t="s">
        <v>5361</v>
      </c>
      <c r="C1628" s="38" t="s">
        <v>9</v>
      </c>
      <c r="D1628" s="34">
        <v>5256.5</v>
      </c>
      <c r="E1628" s="35">
        <v>44607</v>
      </c>
      <c r="F1628" s="34">
        <v>5256.5</v>
      </c>
      <c r="G1628" s="36">
        <f>Tabla13[[#This Row],[Importe]]-Tabla13[[#This Row],[Pagado]]</f>
        <v>0</v>
      </c>
      <c r="H1628" s="38" t="s">
        <v>10</v>
      </c>
    </row>
    <row r="1629" spans="1:8" ht="31.5" x14ac:dyDescent="0.25">
      <c r="A1629" s="31">
        <v>44607</v>
      </c>
      <c r="B1629" s="37" t="s">
        <v>5362</v>
      </c>
      <c r="C1629" s="38" t="s">
        <v>39</v>
      </c>
      <c r="D1629" s="34">
        <v>21271.4</v>
      </c>
      <c r="E1629" s="35" t="s">
        <v>5363</v>
      </c>
      <c r="F1629" s="34">
        <f>5000+16271.4</f>
        <v>21271.4</v>
      </c>
      <c r="G1629" s="36">
        <f>Tabla13[[#This Row],[Importe]]-Tabla13[[#This Row],[Pagado]]</f>
        <v>0</v>
      </c>
      <c r="H1629" s="38" t="s">
        <v>10</v>
      </c>
    </row>
    <row r="1630" spans="1:8" x14ac:dyDescent="0.25">
      <c r="A1630" s="31">
        <v>44607</v>
      </c>
      <c r="B1630" s="37" t="s">
        <v>5364</v>
      </c>
      <c r="C1630" s="38" t="s">
        <v>348</v>
      </c>
      <c r="D1630" s="34">
        <v>2445.3000000000002</v>
      </c>
      <c r="E1630" s="35">
        <v>44608</v>
      </c>
      <c r="F1630" s="34">
        <v>2445.3000000000002</v>
      </c>
      <c r="G1630" s="36">
        <f>Tabla13[[#This Row],[Importe]]-Tabla13[[#This Row],[Pagado]]</f>
        <v>0</v>
      </c>
      <c r="H1630" s="38" t="s">
        <v>10</v>
      </c>
    </row>
    <row r="1631" spans="1:8" x14ac:dyDescent="0.25">
      <c r="A1631" s="31">
        <v>44607</v>
      </c>
      <c r="B1631" s="37" t="s">
        <v>5365</v>
      </c>
      <c r="C1631" s="38" t="s">
        <v>125</v>
      </c>
      <c r="D1631" s="34">
        <v>2797.9</v>
      </c>
      <c r="E1631" s="35">
        <v>44607</v>
      </c>
      <c r="F1631" s="34">
        <v>2797.9</v>
      </c>
      <c r="G1631" s="36">
        <f>Tabla13[[#This Row],[Importe]]-Tabla13[[#This Row],[Pagado]]</f>
        <v>0</v>
      </c>
      <c r="H1631" s="38" t="s">
        <v>10</v>
      </c>
    </row>
    <row r="1632" spans="1:8" x14ac:dyDescent="0.25">
      <c r="A1632" s="31">
        <v>44607</v>
      </c>
      <c r="B1632" s="37" t="s">
        <v>5366</v>
      </c>
      <c r="C1632" s="38" t="s">
        <v>89</v>
      </c>
      <c r="D1632" s="34">
        <v>3560.7</v>
      </c>
      <c r="E1632" s="35">
        <v>44608</v>
      </c>
      <c r="F1632" s="34">
        <v>3560.7</v>
      </c>
      <c r="G1632" s="36">
        <f>Tabla13[[#This Row],[Importe]]-Tabla13[[#This Row],[Pagado]]</f>
        <v>0</v>
      </c>
      <c r="H1632" s="38" t="s">
        <v>10</v>
      </c>
    </row>
    <row r="1633" spans="1:8" x14ac:dyDescent="0.25">
      <c r="A1633" s="31">
        <v>44607</v>
      </c>
      <c r="B1633" s="37" t="s">
        <v>5367</v>
      </c>
      <c r="C1633" s="38" t="s">
        <v>312</v>
      </c>
      <c r="D1633" s="34">
        <v>4050.6</v>
      </c>
      <c r="E1633" s="35">
        <v>44607</v>
      </c>
      <c r="F1633" s="34">
        <v>4050.6</v>
      </c>
      <c r="G1633" s="36">
        <f>Tabla13[[#This Row],[Importe]]-Tabla13[[#This Row],[Pagado]]</f>
        <v>0</v>
      </c>
      <c r="H1633" s="38" t="s">
        <v>10</v>
      </c>
    </row>
    <row r="1634" spans="1:8" x14ac:dyDescent="0.25">
      <c r="A1634" s="31">
        <v>44607</v>
      </c>
      <c r="B1634" s="37" t="s">
        <v>5368</v>
      </c>
      <c r="C1634" s="38" t="s">
        <v>114</v>
      </c>
      <c r="D1634" s="34">
        <v>4130.7</v>
      </c>
      <c r="E1634" s="35">
        <v>44608</v>
      </c>
      <c r="F1634" s="34">
        <v>4130.7</v>
      </c>
      <c r="G1634" s="36">
        <f>Tabla13[[#This Row],[Importe]]-Tabla13[[#This Row],[Pagado]]</f>
        <v>0</v>
      </c>
      <c r="H1634" s="38" t="s">
        <v>10</v>
      </c>
    </row>
    <row r="1635" spans="1:8" x14ac:dyDescent="0.25">
      <c r="A1635" s="31">
        <v>44607</v>
      </c>
      <c r="B1635" s="37" t="s">
        <v>5369</v>
      </c>
      <c r="C1635" s="38" t="s">
        <v>22</v>
      </c>
      <c r="D1635" s="34">
        <v>40085.5</v>
      </c>
      <c r="E1635" s="35">
        <v>44609</v>
      </c>
      <c r="F1635" s="34">
        <v>40085.5</v>
      </c>
      <c r="G1635" s="36">
        <f>Tabla13[[#This Row],[Importe]]-Tabla13[[#This Row],[Pagado]]</f>
        <v>0</v>
      </c>
      <c r="H1635" s="38" t="s">
        <v>10</v>
      </c>
    </row>
    <row r="1636" spans="1:8" x14ac:dyDescent="0.25">
      <c r="A1636" s="31">
        <v>44607</v>
      </c>
      <c r="B1636" s="37" t="s">
        <v>5370</v>
      </c>
      <c r="C1636" s="38" t="s">
        <v>31</v>
      </c>
      <c r="D1636" s="34">
        <v>3860.7</v>
      </c>
      <c r="E1636" s="35">
        <v>44607</v>
      </c>
      <c r="F1636" s="34">
        <v>3860.7</v>
      </c>
      <c r="G1636" s="36">
        <f>Tabla13[[#This Row],[Importe]]-Tabla13[[#This Row],[Pagado]]</f>
        <v>0</v>
      </c>
      <c r="H1636" s="38" t="s">
        <v>10</v>
      </c>
    </row>
    <row r="1637" spans="1:8" x14ac:dyDescent="0.25">
      <c r="A1637" s="31">
        <v>44607</v>
      </c>
      <c r="B1637" s="37" t="s">
        <v>5371</v>
      </c>
      <c r="C1637" s="38" t="s">
        <v>198</v>
      </c>
      <c r="D1637" s="34">
        <v>4505.5</v>
      </c>
      <c r="E1637" s="35">
        <v>44607</v>
      </c>
      <c r="F1637" s="34">
        <v>4505.5</v>
      </c>
      <c r="G1637" s="36">
        <f>Tabla13[[#This Row],[Importe]]-Tabla13[[#This Row],[Pagado]]</f>
        <v>0</v>
      </c>
      <c r="H1637" s="38" t="s">
        <v>10</v>
      </c>
    </row>
    <row r="1638" spans="1:8" x14ac:dyDescent="0.25">
      <c r="A1638" s="31">
        <v>44607</v>
      </c>
      <c r="B1638" s="37" t="s">
        <v>5372</v>
      </c>
      <c r="C1638" s="38" t="s">
        <v>484</v>
      </c>
      <c r="D1638" s="34">
        <v>3315.2</v>
      </c>
      <c r="E1638" s="35">
        <v>44607</v>
      </c>
      <c r="F1638" s="34">
        <v>3315.2</v>
      </c>
      <c r="G1638" s="36">
        <f>Tabla13[[#This Row],[Importe]]-Tabla13[[#This Row],[Pagado]]</f>
        <v>0</v>
      </c>
      <c r="H1638" s="38" t="s">
        <v>10</v>
      </c>
    </row>
    <row r="1639" spans="1:8" x14ac:dyDescent="0.25">
      <c r="A1639" s="31">
        <v>44607</v>
      </c>
      <c r="B1639" s="37" t="s">
        <v>5373</v>
      </c>
      <c r="C1639" s="38" t="s">
        <v>345</v>
      </c>
      <c r="D1639" s="34">
        <v>423</v>
      </c>
      <c r="E1639" s="35">
        <v>44607</v>
      </c>
      <c r="F1639" s="34">
        <v>423</v>
      </c>
      <c r="G1639" s="36">
        <f>Tabla13[[#This Row],[Importe]]-Tabla13[[#This Row],[Pagado]]</f>
        <v>0</v>
      </c>
      <c r="H1639" s="38" t="s">
        <v>10</v>
      </c>
    </row>
    <row r="1640" spans="1:8" x14ac:dyDescent="0.25">
      <c r="A1640" s="31">
        <v>44607</v>
      </c>
      <c r="B1640" s="37" t="s">
        <v>5374</v>
      </c>
      <c r="C1640" s="38" t="s">
        <v>5375</v>
      </c>
      <c r="D1640" s="34">
        <v>0</v>
      </c>
      <c r="E1640" s="39" t="s">
        <v>189</v>
      </c>
      <c r="F1640" s="34">
        <v>0</v>
      </c>
      <c r="G1640" s="36">
        <f>Tabla13[[#This Row],[Importe]]-Tabla13[[#This Row],[Pagado]]</f>
        <v>0</v>
      </c>
      <c r="H1640" s="40" t="s">
        <v>5376</v>
      </c>
    </row>
    <row r="1641" spans="1:8" x14ac:dyDescent="0.25">
      <c r="A1641" s="31">
        <v>44607</v>
      </c>
      <c r="B1641" s="37" t="s">
        <v>5377</v>
      </c>
      <c r="C1641" s="38" t="s">
        <v>105</v>
      </c>
      <c r="D1641" s="34">
        <v>10975.3</v>
      </c>
      <c r="E1641" s="35">
        <v>44609</v>
      </c>
      <c r="F1641" s="34">
        <v>10975.3</v>
      </c>
      <c r="G1641" s="36">
        <f>Tabla13[[#This Row],[Importe]]-Tabla13[[#This Row],[Pagado]]</f>
        <v>0</v>
      </c>
      <c r="H1641" s="38" t="s">
        <v>10</v>
      </c>
    </row>
    <row r="1642" spans="1:8" x14ac:dyDescent="0.25">
      <c r="A1642" s="31">
        <v>44607</v>
      </c>
      <c r="B1642" s="37" t="s">
        <v>5378</v>
      </c>
      <c r="C1642" s="38" t="s">
        <v>426</v>
      </c>
      <c r="D1642" s="34">
        <v>4794.5</v>
      </c>
      <c r="E1642" s="35">
        <v>44607</v>
      </c>
      <c r="F1642" s="34">
        <v>4794.5</v>
      </c>
      <c r="G1642" s="36">
        <f>Tabla13[[#This Row],[Importe]]-Tabla13[[#This Row],[Pagado]]</f>
        <v>0</v>
      </c>
      <c r="H1642" s="38" t="s">
        <v>10</v>
      </c>
    </row>
    <row r="1643" spans="1:8" x14ac:dyDescent="0.25">
      <c r="A1643" s="31">
        <v>44607</v>
      </c>
      <c r="B1643" s="37" t="s">
        <v>5379</v>
      </c>
      <c r="C1643" s="38" t="s">
        <v>140</v>
      </c>
      <c r="D1643" s="34">
        <v>1128</v>
      </c>
      <c r="E1643" s="35">
        <v>44607</v>
      </c>
      <c r="F1643" s="34">
        <v>1128</v>
      </c>
      <c r="G1643" s="36">
        <f>Tabla13[[#This Row],[Importe]]-Tabla13[[#This Row],[Pagado]]</f>
        <v>0</v>
      </c>
      <c r="H1643" s="38" t="s">
        <v>10</v>
      </c>
    </row>
    <row r="1644" spans="1:8" x14ac:dyDescent="0.25">
      <c r="A1644" s="31">
        <v>44607</v>
      </c>
      <c r="B1644" s="37" t="s">
        <v>5380</v>
      </c>
      <c r="C1644" s="38" t="s">
        <v>357</v>
      </c>
      <c r="D1644" s="34">
        <v>3498</v>
      </c>
      <c r="E1644" s="35">
        <v>44607</v>
      </c>
      <c r="F1644" s="34">
        <v>3498</v>
      </c>
      <c r="G1644" s="36">
        <f>Tabla13[[#This Row],[Importe]]-Tabla13[[#This Row],[Pagado]]</f>
        <v>0</v>
      </c>
      <c r="H1644" s="38" t="s">
        <v>10</v>
      </c>
    </row>
    <row r="1645" spans="1:8" x14ac:dyDescent="0.25">
      <c r="A1645" s="31">
        <v>44607</v>
      </c>
      <c r="B1645" s="37" t="s">
        <v>5381</v>
      </c>
      <c r="C1645" s="38" t="s">
        <v>339</v>
      </c>
      <c r="D1645" s="34">
        <v>3546</v>
      </c>
      <c r="E1645" s="35">
        <v>44607</v>
      </c>
      <c r="F1645" s="34">
        <v>3546</v>
      </c>
      <c r="G1645" s="36">
        <f>Tabla13[[#This Row],[Importe]]-Tabla13[[#This Row],[Pagado]]</f>
        <v>0</v>
      </c>
      <c r="H1645" s="38" t="s">
        <v>10</v>
      </c>
    </row>
    <row r="1646" spans="1:8" x14ac:dyDescent="0.25">
      <c r="A1646" s="31">
        <v>44607</v>
      </c>
      <c r="B1646" s="37" t="s">
        <v>5382</v>
      </c>
      <c r="C1646" s="38" t="s">
        <v>12</v>
      </c>
      <c r="D1646" s="34">
        <v>14445.25</v>
      </c>
      <c r="E1646" s="35">
        <v>44608</v>
      </c>
      <c r="F1646" s="34">
        <v>14445.25</v>
      </c>
      <c r="G1646" s="36">
        <f>Tabla13[[#This Row],[Importe]]-Tabla13[[#This Row],[Pagado]]</f>
        <v>0</v>
      </c>
      <c r="H1646" s="38" t="s">
        <v>10</v>
      </c>
    </row>
    <row r="1647" spans="1:8" x14ac:dyDescent="0.25">
      <c r="A1647" s="31">
        <v>44607</v>
      </c>
      <c r="B1647" s="37" t="s">
        <v>5383</v>
      </c>
      <c r="C1647" s="38" t="s">
        <v>93</v>
      </c>
      <c r="D1647" s="34">
        <v>5937.4</v>
      </c>
      <c r="E1647" s="35">
        <v>44608</v>
      </c>
      <c r="F1647" s="34">
        <v>5937.4</v>
      </c>
      <c r="G1647" s="36">
        <f>Tabla13[[#This Row],[Importe]]-Tabla13[[#This Row],[Pagado]]</f>
        <v>0</v>
      </c>
      <c r="H1647" s="38" t="s">
        <v>10</v>
      </c>
    </row>
    <row r="1648" spans="1:8" x14ac:dyDescent="0.25">
      <c r="A1648" s="31">
        <v>44607</v>
      </c>
      <c r="B1648" s="37" t="s">
        <v>5384</v>
      </c>
      <c r="C1648" s="38" t="s">
        <v>49</v>
      </c>
      <c r="D1648" s="34">
        <v>2155.6</v>
      </c>
      <c r="E1648" s="35">
        <v>44607</v>
      </c>
      <c r="F1648" s="34">
        <v>2155.6</v>
      </c>
      <c r="G1648" s="36">
        <f>Tabla13[[#This Row],[Importe]]-Tabla13[[#This Row],[Pagado]]</f>
        <v>0</v>
      </c>
      <c r="H1648" s="38" t="s">
        <v>10</v>
      </c>
    </row>
    <row r="1649" spans="1:8" x14ac:dyDescent="0.25">
      <c r="A1649" s="31">
        <v>44607</v>
      </c>
      <c r="B1649" s="37" t="s">
        <v>5385</v>
      </c>
      <c r="C1649" s="38" t="s">
        <v>144</v>
      </c>
      <c r="D1649" s="34">
        <v>2299</v>
      </c>
      <c r="E1649" s="35">
        <v>44607</v>
      </c>
      <c r="F1649" s="34">
        <v>2299</v>
      </c>
      <c r="G1649" s="36">
        <f>Tabla13[[#This Row],[Importe]]-Tabla13[[#This Row],[Pagado]]</f>
        <v>0</v>
      </c>
      <c r="H1649" s="38" t="s">
        <v>10</v>
      </c>
    </row>
    <row r="1650" spans="1:8" x14ac:dyDescent="0.25">
      <c r="A1650" s="31">
        <v>44607</v>
      </c>
      <c r="B1650" s="37" t="s">
        <v>5386</v>
      </c>
      <c r="C1650" s="38" t="s">
        <v>181</v>
      </c>
      <c r="D1650" s="34">
        <v>7992.8</v>
      </c>
      <c r="E1650" s="35">
        <v>44607</v>
      </c>
      <c r="F1650" s="34">
        <v>7992.8</v>
      </c>
      <c r="G1650" s="36">
        <f>Tabla13[[#This Row],[Importe]]-Tabla13[[#This Row],[Pagado]]</f>
        <v>0</v>
      </c>
      <c r="H1650" s="38" t="s">
        <v>10</v>
      </c>
    </row>
    <row r="1651" spans="1:8" x14ac:dyDescent="0.25">
      <c r="A1651" s="31">
        <v>44607</v>
      </c>
      <c r="B1651" s="37" t="s">
        <v>5387</v>
      </c>
      <c r="C1651" s="38" t="s">
        <v>214</v>
      </c>
      <c r="D1651" s="34">
        <v>7772</v>
      </c>
      <c r="E1651" s="35">
        <v>44607</v>
      </c>
      <c r="F1651" s="34">
        <v>7772</v>
      </c>
      <c r="G1651" s="36">
        <f>Tabla13[[#This Row],[Importe]]-Tabla13[[#This Row],[Pagado]]</f>
        <v>0</v>
      </c>
      <c r="H1651" s="38" t="s">
        <v>10</v>
      </c>
    </row>
    <row r="1652" spans="1:8" x14ac:dyDescent="0.25">
      <c r="A1652" s="31">
        <v>44607</v>
      </c>
      <c r="B1652" s="37" t="s">
        <v>5388</v>
      </c>
      <c r="C1652" s="38" t="s">
        <v>466</v>
      </c>
      <c r="D1652" s="34">
        <v>14400</v>
      </c>
      <c r="E1652" s="35">
        <v>44607</v>
      </c>
      <c r="F1652" s="34">
        <v>14400</v>
      </c>
      <c r="G1652" s="36">
        <f>Tabla13[[#This Row],[Importe]]-Tabla13[[#This Row],[Pagado]]</f>
        <v>0</v>
      </c>
      <c r="H1652" s="38" t="s">
        <v>10</v>
      </c>
    </row>
    <row r="1653" spans="1:8" x14ac:dyDescent="0.25">
      <c r="A1653" s="31">
        <v>44607</v>
      </c>
      <c r="B1653" s="37" t="s">
        <v>5389</v>
      </c>
      <c r="C1653" s="38" t="s">
        <v>16</v>
      </c>
      <c r="D1653" s="34">
        <v>4489.6000000000004</v>
      </c>
      <c r="E1653" s="35">
        <v>44607</v>
      </c>
      <c r="F1653" s="34">
        <v>4489.6000000000004</v>
      </c>
      <c r="G1653" s="36">
        <f>Tabla13[[#This Row],[Importe]]-Tabla13[[#This Row],[Pagado]]</f>
        <v>0</v>
      </c>
      <c r="H1653" s="38" t="s">
        <v>10</v>
      </c>
    </row>
    <row r="1654" spans="1:8" x14ac:dyDescent="0.25">
      <c r="A1654" s="31">
        <v>44607</v>
      </c>
      <c r="B1654" s="37" t="s">
        <v>5390</v>
      </c>
      <c r="C1654" s="38" t="s">
        <v>53</v>
      </c>
      <c r="D1654" s="34">
        <v>1555.2</v>
      </c>
      <c r="E1654" s="35">
        <v>44607</v>
      </c>
      <c r="F1654" s="34">
        <v>1555.2</v>
      </c>
      <c r="G1654" s="36">
        <f>Tabla13[[#This Row],[Importe]]-Tabla13[[#This Row],[Pagado]]</f>
        <v>0</v>
      </c>
      <c r="H1654" s="38" t="s">
        <v>10</v>
      </c>
    </row>
    <row r="1655" spans="1:8" x14ac:dyDescent="0.25">
      <c r="A1655" s="31">
        <v>44607</v>
      </c>
      <c r="B1655" s="37" t="s">
        <v>5391</v>
      </c>
      <c r="C1655" s="38" t="s">
        <v>2961</v>
      </c>
      <c r="D1655" s="34">
        <v>52830</v>
      </c>
      <c r="E1655" s="35">
        <v>44615</v>
      </c>
      <c r="F1655" s="34">
        <v>52830</v>
      </c>
      <c r="G1655" s="36">
        <f>Tabla13[[#This Row],[Importe]]-Tabla13[[#This Row],[Pagado]]</f>
        <v>0</v>
      </c>
      <c r="H1655" s="38" t="s">
        <v>10</v>
      </c>
    </row>
    <row r="1656" spans="1:8" x14ac:dyDescent="0.25">
      <c r="A1656" s="31">
        <v>44607</v>
      </c>
      <c r="B1656" s="37" t="s">
        <v>5392</v>
      </c>
      <c r="C1656" s="38" t="s">
        <v>359</v>
      </c>
      <c r="D1656" s="34">
        <v>2167.1999999999998</v>
      </c>
      <c r="E1656" s="35">
        <v>44607</v>
      </c>
      <c r="F1656" s="34">
        <v>2167.1999999999998</v>
      </c>
      <c r="G1656" s="36">
        <f>Tabla13[[#This Row],[Importe]]-Tabla13[[#This Row],[Pagado]]</f>
        <v>0</v>
      </c>
      <c r="H1656" s="38" t="s">
        <v>10</v>
      </c>
    </row>
    <row r="1657" spans="1:8" x14ac:dyDescent="0.25">
      <c r="A1657" s="31">
        <v>44607</v>
      </c>
      <c r="B1657" s="37" t="s">
        <v>5393</v>
      </c>
      <c r="C1657" s="38" t="s">
        <v>142</v>
      </c>
      <c r="D1657" s="34">
        <v>42433.4</v>
      </c>
      <c r="E1657" s="35">
        <v>44617</v>
      </c>
      <c r="F1657" s="34">
        <v>42433.4</v>
      </c>
      <c r="G1657" s="36">
        <f>Tabla13[[#This Row],[Importe]]-Tabla13[[#This Row],[Pagado]]</f>
        <v>0</v>
      </c>
      <c r="H1657" s="38" t="s">
        <v>10</v>
      </c>
    </row>
    <row r="1658" spans="1:8" x14ac:dyDescent="0.25">
      <c r="A1658" s="31">
        <v>44607</v>
      </c>
      <c r="B1658" s="37" t="s">
        <v>5394</v>
      </c>
      <c r="C1658" s="38" t="s">
        <v>1021</v>
      </c>
      <c r="D1658" s="34">
        <v>11766</v>
      </c>
      <c r="E1658" s="35">
        <v>44607</v>
      </c>
      <c r="F1658" s="34">
        <v>11766</v>
      </c>
      <c r="G1658" s="36">
        <f>Tabla13[[#This Row],[Importe]]-Tabla13[[#This Row],[Pagado]]</f>
        <v>0</v>
      </c>
      <c r="H1658" s="38" t="s">
        <v>10</v>
      </c>
    </row>
    <row r="1659" spans="1:8" x14ac:dyDescent="0.25">
      <c r="A1659" s="31">
        <v>44607</v>
      </c>
      <c r="B1659" s="37" t="s">
        <v>5395</v>
      </c>
      <c r="C1659" s="38" t="s">
        <v>373</v>
      </c>
      <c r="D1659" s="34">
        <v>2623</v>
      </c>
      <c r="E1659" s="35">
        <v>44607</v>
      </c>
      <c r="F1659" s="34">
        <v>2623</v>
      </c>
      <c r="G1659" s="36">
        <f>Tabla13[[#This Row],[Importe]]-Tabla13[[#This Row],[Pagado]]</f>
        <v>0</v>
      </c>
      <c r="H1659" s="38" t="s">
        <v>10</v>
      </c>
    </row>
    <row r="1660" spans="1:8" x14ac:dyDescent="0.25">
      <c r="A1660" s="31">
        <v>44607</v>
      </c>
      <c r="B1660" s="37" t="s">
        <v>5396</v>
      </c>
      <c r="C1660" s="38" t="s">
        <v>230</v>
      </c>
      <c r="D1660" s="34">
        <v>1252.8</v>
      </c>
      <c r="E1660" s="35">
        <v>44607</v>
      </c>
      <c r="F1660" s="34">
        <v>1252.8</v>
      </c>
      <c r="G1660" s="36">
        <f>Tabla13[[#This Row],[Importe]]-Tabla13[[#This Row],[Pagado]]</f>
        <v>0</v>
      </c>
      <c r="H1660" s="38" t="s">
        <v>10</v>
      </c>
    </row>
    <row r="1661" spans="1:8" x14ac:dyDescent="0.25">
      <c r="A1661" s="31">
        <v>44607</v>
      </c>
      <c r="B1661" s="37" t="s">
        <v>5397</v>
      </c>
      <c r="C1661" s="38" t="s">
        <v>2139</v>
      </c>
      <c r="D1661" s="34">
        <v>1144.8</v>
      </c>
      <c r="E1661" s="35">
        <v>44607</v>
      </c>
      <c r="F1661" s="34">
        <v>1144.8</v>
      </c>
      <c r="G1661" s="36">
        <f>Tabla13[[#This Row],[Importe]]-Tabla13[[#This Row],[Pagado]]</f>
        <v>0</v>
      </c>
      <c r="H1661" s="38" t="s">
        <v>10</v>
      </c>
    </row>
    <row r="1662" spans="1:8" x14ac:dyDescent="0.25">
      <c r="A1662" s="31">
        <v>44607</v>
      </c>
      <c r="B1662" s="37" t="s">
        <v>5398</v>
      </c>
      <c r="C1662" s="38" t="s">
        <v>475</v>
      </c>
      <c r="D1662" s="34">
        <v>420</v>
      </c>
      <c r="E1662" s="35">
        <v>44607</v>
      </c>
      <c r="F1662" s="34">
        <v>420</v>
      </c>
      <c r="G1662" s="36">
        <f>Tabla13[[#This Row],[Importe]]-Tabla13[[#This Row],[Pagado]]</f>
        <v>0</v>
      </c>
      <c r="H1662" s="38" t="s">
        <v>10</v>
      </c>
    </row>
    <row r="1663" spans="1:8" x14ac:dyDescent="0.25">
      <c r="A1663" s="31">
        <v>44607</v>
      </c>
      <c r="B1663" s="37" t="s">
        <v>5399</v>
      </c>
      <c r="C1663" s="38" t="s">
        <v>845</v>
      </c>
      <c r="D1663" s="34">
        <v>1004.7</v>
      </c>
      <c r="E1663" s="35">
        <v>44607</v>
      </c>
      <c r="F1663" s="34">
        <v>1004.7</v>
      </c>
      <c r="G1663" s="36">
        <f>Tabla13[[#This Row],[Importe]]-Tabla13[[#This Row],[Pagado]]</f>
        <v>0</v>
      </c>
      <c r="H1663" s="38" t="s">
        <v>10</v>
      </c>
    </row>
    <row r="1664" spans="1:8" x14ac:dyDescent="0.25">
      <c r="A1664" s="31">
        <v>44607</v>
      </c>
      <c r="B1664" s="37" t="s">
        <v>5400</v>
      </c>
      <c r="C1664" s="38" t="s">
        <v>45</v>
      </c>
      <c r="D1664" s="34">
        <v>8598.2999999999993</v>
      </c>
      <c r="E1664" s="35">
        <v>44607</v>
      </c>
      <c r="F1664" s="34">
        <v>8598.2999999999993</v>
      </c>
      <c r="G1664" s="36">
        <f>Tabla13[[#This Row],[Importe]]-Tabla13[[#This Row],[Pagado]]</f>
        <v>0</v>
      </c>
      <c r="H1664" s="38" t="s">
        <v>10</v>
      </c>
    </row>
    <row r="1665" spans="1:8" x14ac:dyDescent="0.25">
      <c r="A1665" s="31">
        <v>44607</v>
      </c>
      <c r="B1665" s="37" t="s">
        <v>5401</v>
      </c>
      <c r="C1665" s="38" t="s">
        <v>27</v>
      </c>
      <c r="D1665" s="34">
        <v>3632.1</v>
      </c>
      <c r="E1665" s="35">
        <v>44607</v>
      </c>
      <c r="F1665" s="34">
        <v>3632.1</v>
      </c>
      <c r="G1665" s="36">
        <f>Tabla13[[#This Row],[Importe]]-Tabla13[[#This Row],[Pagado]]</f>
        <v>0</v>
      </c>
      <c r="H1665" s="38" t="s">
        <v>10</v>
      </c>
    </row>
    <row r="1666" spans="1:8" x14ac:dyDescent="0.25">
      <c r="A1666" s="31">
        <v>44607</v>
      </c>
      <c r="B1666" s="37" t="s">
        <v>5402</v>
      </c>
      <c r="C1666" s="38" t="s">
        <v>56</v>
      </c>
      <c r="D1666" s="34">
        <v>3190.3</v>
      </c>
      <c r="E1666" s="35">
        <v>44607</v>
      </c>
      <c r="F1666" s="34">
        <v>3190.3</v>
      </c>
      <c r="G1666" s="36">
        <f>Tabla13[[#This Row],[Importe]]-Tabla13[[#This Row],[Pagado]]</f>
        <v>0</v>
      </c>
      <c r="H1666" s="38" t="s">
        <v>10</v>
      </c>
    </row>
    <row r="1667" spans="1:8" x14ac:dyDescent="0.25">
      <c r="A1667" s="31">
        <v>44607</v>
      </c>
      <c r="B1667" s="37" t="s">
        <v>5403</v>
      </c>
      <c r="C1667" s="38" t="s">
        <v>56</v>
      </c>
      <c r="D1667" s="34">
        <v>266</v>
      </c>
      <c r="E1667" s="35">
        <v>44607</v>
      </c>
      <c r="F1667" s="34">
        <v>266</v>
      </c>
      <c r="G1667" s="36">
        <f>Tabla13[[#This Row],[Importe]]-Tabla13[[#This Row],[Pagado]]</f>
        <v>0</v>
      </c>
      <c r="H1667" s="38" t="s">
        <v>10</v>
      </c>
    </row>
    <row r="1668" spans="1:8" x14ac:dyDescent="0.25">
      <c r="A1668" s="31">
        <v>44607</v>
      </c>
      <c r="B1668" s="37" t="s">
        <v>5404</v>
      </c>
      <c r="C1668" s="38" t="s">
        <v>216</v>
      </c>
      <c r="D1668" s="34">
        <v>1009.2</v>
      </c>
      <c r="E1668" s="35">
        <v>44607</v>
      </c>
      <c r="F1668" s="34">
        <v>1009.2</v>
      </c>
      <c r="G1668" s="36">
        <f>Tabla13[[#This Row],[Importe]]-Tabla13[[#This Row],[Pagado]]</f>
        <v>0</v>
      </c>
      <c r="H1668" s="38" t="s">
        <v>10</v>
      </c>
    </row>
    <row r="1669" spans="1:8" x14ac:dyDescent="0.25">
      <c r="A1669" s="31">
        <v>44607</v>
      </c>
      <c r="B1669" s="37" t="s">
        <v>5405</v>
      </c>
      <c r="C1669" s="38" t="s">
        <v>263</v>
      </c>
      <c r="D1669" s="34">
        <v>27939.599999999999</v>
      </c>
      <c r="E1669" s="35">
        <v>44622</v>
      </c>
      <c r="F1669" s="34">
        <v>27939.599999999999</v>
      </c>
      <c r="G1669" s="36">
        <f>Tabla13[[#This Row],[Importe]]-Tabla13[[#This Row],[Pagado]]</f>
        <v>0</v>
      </c>
      <c r="H1669" s="38" t="s">
        <v>10</v>
      </c>
    </row>
    <row r="1670" spans="1:8" x14ac:dyDescent="0.25">
      <c r="A1670" s="31">
        <v>44607</v>
      </c>
      <c r="B1670" s="37" t="s">
        <v>5406</v>
      </c>
      <c r="C1670" s="38" t="s">
        <v>804</v>
      </c>
      <c r="D1670" s="34">
        <v>12338.9</v>
      </c>
      <c r="E1670" s="35">
        <v>44607</v>
      </c>
      <c r="F1670" s="34">
        <v>12338.9</v>
      </c>
      <c r="G1670" s="36">
        <f>Tabla13[[#This Row],[Importe]]-Tabla13[[#This Row],[Pagado]]</f>
        <v>0</v>
      </c>
      <c r="H1670" s="38" t="s">
        <v>10</v>
      </c>
    </row>
    <row r="1671" spans="1:8" x14ac:dyDescent="0.25">
      <c r="A1671" s="31">
        <v>44607</v>
      </c>
      <c r="B1671" s="37" t="s">
        <v>5407</v>
      </c>
      <c r="C1671" s="38" t="s">
        <v>275</v>
      </c>
      <c r="D1671" s="34">
        <v>27174</v>
      </c>
      <c r="E1671" s="35">
        <v>44617</v>
      </c>
      <c r="F1671" s="34">
        <v>27174</v>
      </c>
      <c r="G1671" s="36">
        <f>Tabla13[[#This Row],[Importe]]-Tabla13[[#This Row],[Pagado]]</f>
        <v>0</v>
      </c>
      <c r="H1671" s="38" t="s">
        <v>10</v>
      </c>
    </row>
    <row r="1672" spans="1:8" x14ac:dyDescent="0.25">
      <c r="A1672" s="31">
        <v>44607</v>
      </c>
      <c r="B1672" s="37" t="s">
        <v>5408</v>
      </c>
      <c r="C1672" s="38" t="s">
        <v>2114</v>
      </c>
      <c r="D1672" s="34">
        <v>1320</v>
      </c>
      <c r="E1672" s="35">
        <v>44607</v>
      </c>
      <c r="F1672" s="34">
        <v>1320</v>
      </c>
      <c r="G1672" s="36">
        <f>Tabla13[[#This Row],[Importe]]-Tabla13[[#This Row],[Pagado]]</f>
        <v>0</v>
      </c>
      <c r="H1672" s="38" t="s">
        <v>10</v>
      </c>
    </row>
    <row r="1673" spans="1:8" x14ac:dyDescent="0.25">
      <c r="A1673" s="31">
        <v>44607</v>
      </c>
      <c r="B1673" s="37" t="s">
        <v>5409</v>
      </c>
      <c r="C1673" s="38" t="s">
        <v>179</v>
      </c>
      <c r="D1673" s="34">
        <v>873.6</v>
      </c>
      <c r="E1673" s="35">
        <v>44607</v>
      </c>
      <c r="F1673" s="34">
        <v>873.6</v>
      </c>
      <c r="G1673" s="36">
        <f>Tabla13[[#This Row],[Importe]]-Tabla13[[#This Row],[Pagado]]</f>
        <v>0</v>
      </c>
      <c r="H1673" s="38" t="s">
        <v>10</v>
      </c>
    </row>
    <row r="1674" spans="1:8" x14ac:dyDescent="0.25">
      <c r="A1674" s="31">
        <v>44607</v>
      </c>
      <c r="B1674" s="37" t="s">
        <v>5410</v>
      </c>
      <c r="C1674" s="38" t="s">
        <v>407</v>
      </c>
      <c r="D1674" s="34">
        <v>6868</v>
      </c>
      <c r="E1674" s="35">
        <v>44608</v>
      </c>
      <c r="F1674" s="34">
        <v>6868</v>
      </c>
      <c r="G1674" s="36">
        <f>Tabla13[[#This Row],[Importe]]-Tabla13[[#This Row],[Pagado]]</f>
        <v>0</v>
      </c>
      <c r="H1674" s="38" t="s">
        <v>10</v>
      </c>
    </row>
    <row r="1675" spans="1:8" x14ac:dyDescent="0.25">
      <c r="A1675" s="31">
        <v>44607</v>
      </c>
      <c r="B1675" s="37" t="s">
        <v>5411</v>
      </c>
      <c r="C1675" s="38" t="s">
        <v>131</v>
      </c>
      <c r="D1675" s="34">
        <v>8197.2000000000007</v>
      </c>
      <c r="E1675" s="35">
        <v>44607</v>
      </c>
      <c r="F1675" s="34">
        <v>8197.2000000000007</v>
      </c>
      <c r="G1675" s="36">
        <f>Tabla13[[#This Row],[Importe]]-Tabla13[[#This Row],[Pagado]]</f>
        <v>0</v>
      </c>
      <c r="H1675" s="38" t="s">
        <v>10</v>
      </c>
    </row>
    <row r="1676" spans="1:8" x14ac:dyDescent="0.25">
      <c r="A1676" s="31">
        <v>44607</v>
      </c>
      <c r="B1676" s="37" t="s">
        <v>5412</v>
      </c>
      <c r="C1676" s="38" t="s">
        <v>135</v>
      </c>
      <c r="D1676" s="34">
        <v>1243.2</v>
      </c>
      <c r="E1676" s="35">
        <v>44607</v>
      </c>
      <c r="F1676" s="34">
        <v>1243.2</v>
      </c>
      <c r="G1676" s="36">
        <f>Tabla13[[#This Row],[Importe]]-Tabla13[[#This Row],[Pagado]]</f>
        <v>0</v>
      </c>
      <c r="H1676" s="38" t="s">
        <v>10</v>
      </c>
    </row>
    <row r="1677" spans="1:8" x14ac:dyDescent="0.25">
      <c r="A1677" s="31">
        <v>44607</v>
      </c>
      <c r="B1677" s="37" t="s">
        <v>5413</v>
      </c>
      <c r="C1677" s="38" t="s">
        <v>31</v>
      </c>
      <c r="D1677" s="34">
        <v>921.6</v>
      </c>
      <c r="E1677" s="35">
        <v>44607</v>
      </c>
      <c r="F1677" s="34">
        <v>921.6</v>
      </c>
      <c r="G1677" s="36">
        <f>Tabla13[[#This Row],[Importe]]-Tabla13[[#This Row],[Pagado]]</f>
        <v>0</v>
      </c>
      <c r="H1677" s="38" t="s">
        <v>10</v>
      </c>
    </row>
    <row r="1678" spans="1:8" x14ac:dyDescent="0.25">
      <c r="A1678" s="31">
        <v>44607</v>
      </c>
      <c r="B1678" s="37" t="s">
        <v>5414</v>
      </c>
      <c r="C1678" s="38" t="s">
        <v>392</v>
      </c>
      <c r="D1678" s="34">
        <v>8295.7000000000007</v>
      </c>
      <c r="E1678" s="35">
        <v>44617</v>
      </c>
      <c r="F1678" s="34">
        <v>8295.7000000000007</v>
      </c>
      <c r="G1678" s="36">
        <f>Tabla13[[#This Row],[Importe]]-Tabla13[[#This Row],[Pagado]]</f>
        <v>0</v>
      </c>
      <c r="H1678" s="38" t="s">
        <v>10</v>
      </c>
    </row>
    <row r="1679" spans="1:8" x14ac:dyDescent="0.25">
      <c r="A1679" s="31">
        <v>44607</v>
      </c>
      <c r="B1679" s="37" t="s">
        <v>5415</v>
      </c>
      <c r="C1679" s="38" t="s">
        <v>392</v>
      </c>
      <c r="D1679" s="34">
        <v>5844.5</v>
      </c>
      <c r="E1679" s="35">
        <v>44613</v>
      </c>
      <c r="F1679" s="34">
        <v>5844.5</v>
      </c>
      <c r="G1679" s="36">
        <f>Tabla13[[#This Row],[Importe]]-Tabla13[[#This Row],[Pagado]]</f>
        <v>0</v>
      </c>
      <c r="H1679" s="38" t="s">
        <v>10</v>
      </c>
    </row>
    <row r="1680" spans="1:8" x14ac:dyDescent="0.25">
      <c r="A1680" s="31">
        <v>44607</v>
      </c>
      <c r="B1680" s="37" t="s">
        <v>5416</v>
      </c>
      <c r="C1680" s="38" t="s">
        <v>419</v>
      </c>
      <c r="D1680" s="34">
        <v>6619.8</v>
      </c>
      <c r="E1680" s="35">
        <v>44607</v>
      </c>
      <c r="F1680" s="34">
        <v>6619.8</v>
      </c>
      <c r="G1680" s="36">
        <f>Tabla13[[#This Row],[Importe]]-Tabla13[[#This Row],[Pagado]]</f>
        <v>0</v>
      </c>
      <c r="H1680" s="38" t="s">
        <v>10</v>
      </c>
    </row>
    <row r="1681" spans="1:8" x14ac:dyDescent="0.25">
      <c r="A1681" s="31">
        <v>44607</v>
      </c>
      <c r="B1681" s="37" t="s">
        <v>5417</v>
      </c>
      <c r="C1681" s="38" t="s">
        <v>392</v>
      </c>
      <c r="D1681" s="34">
        <v>988</v>
      </c>
      <c r="E1681" s="35">
        <v>44607</v>
      </c>
      <c r="F1681" s="34">
        <v>988</v>
      </c>
      <c r="G1681" s="36">
        <f>Tabla13[[#This Row],[Importe]]-Tabla13[[#This Row],[Pagado]]</f>
        <v>0</v>
      </c>
      <c r="H1681" s="38" t="s">
        <v>10</v>
      </c>
    </row>
    <row r="1682" spans="1:8" x14ac:dyDescent="0.25">
      <c r="A1682" s="31">
        <v>44607</v>
      </c>
      <c r="B1682" s="37" t="s">
        <v>5418</v>
      </c>
      <c r="C1682" s="38" t="s">
        <v>273</v>
      </c>
      <c r="D1682" s="34">
        <v>1338.4</v>
      </c>
      <c r="E1682" s="35">
        <v>44607</v>
      </c>
      <c r="F1682" s="34">
        <v>1338.4</v>
      </c>
      <c r="G1682" s="36">
        <f>Tabla13[[#This Row],[Importe]]-Tabla13[[#This Row],[Pagado]]</f>
        <v>0</v>
      </c>
      <c r="H1682" s="38" t="s">
        <v>10</v>
      </c>
    </row>
    <row r="1683" spans="1:8" x14ac:dyDescent="0.25">
      <c r="A1683" s="31">
        <v>44607</v>
      </c>
      <c r="B1683" s="37" t="s">
        <v>5419</v>
      </c>
      <c r="C1683" s="38" t="s">
        <v>244</v>
      </c>
      <c r="D1683" s="34">
        <v>911.8</v>
      </c>
      <c r="E1683" s="35">
        <v>44607</v>
      </c>
      <c r="F1683" s="34">
        <v>911.8</v>
      </c>
      <c r="G1683" s="36">
        <f>Tabla13[[#This Row],[Importe]]-Tabla13[[#This Row],[Pagado]]</f>
        <v>0</v>
      </c>
      <c r="H1683" s="38" t="s">
        <v>10</v>
      </c>
    </row>
    <row r="1684" spans="1:8" x14ac:dyDescent="0.25">
      <c r="A1684" s="31">
        <v>44607</v>
      </c>
      <c r="B1684" s="37" t="s">
        <v>5420</v>
      </c>
      <c r="C1684" s="38" t="s">
        <v>857</v>
      </c>
      <c r="D1684" s="34">
        <v>871.5</v>
      </c>
      <c r="E1684" s="35">
        <v>44607</v>
      </c>
      <c r="F1684" s="34">
        <v>871.5</v>
      </c>
      <c r="G1684" s="36">
        <f>Tabla13[[#This Row],[Importe]]-Tabla13[[#This Row],[Pagado]]</f>
        <v>0</v>
      </c>
      <c r="H1684" s="38" t="s">
        <v>10</v>
      </c>
    </row>
    <row r="1685" spans="1:8" x14ac:dyDescent="0.25">
      <c r="A1685" s="31">
        <v>44607</v>
      </c>
      <c r="B1685" s="37" t="s">
        <v>5421</v>
      </c>
      <c r="C1685" s="38" t="s">
        <v>71</v>
      </c>
      <c r="D1685" s="34">
        <v>7664.7</v>
      </c>
      <c r="E1685" s="35">
        <v>44607</v>
      </c>
      <c r="F1685" s="34">
        <v>7664.7</v>
      </c>
      <c r="G1685" s="36">
        <f>Tabla13[[#This Row],[Importe]]-Tabla13[[#This Row],[Pagado]]</f>
        <v>0</v>
      </c>
      <c r="H1685" s="38" t="s">
        <v>10</v>
      </c>
    </row>
    <row r="1686" spans="1:8" x14ac:dyDescent="0.25">
      <c r="A1686" s="31">
        <v>44607</v>
      </c>
      <c r="B1686" s="37" t="s">
        <v>5422</v>
      </c>
      <c r="C1686" s="38" t="s">
        <v>31</v>
      </c>
      <c r="D1686" s="34">
        <v>1795.2</v>
      </c>
      <c r="E1686" s="35">
        <v>44607</v>
      </c>
      <c r="F1686" s="34">
        <v>1795.2</v>
      </c>
      <c r="G1686" s="36">
        <f>Tabla13[[#This Row],[Importe]]-Tabla13[[#This Row],[Pagado]]</f>
        <v>0</v>
      </c>
      <c r="H1686" s="38" t="s">
        <v>10</v>
      </c>
    </row>
    <row r="1687" spans="1:8" x14ac:dyDescent="0.25">
      <c r="A1687" s="31">
        <v>44607</v>
      </c>
      <c r="B1687" s="37" t="s">
        <v>5423</v>
      </c>
      <c r="C1687" s="38" t="s">
        <v>67</v>
      </c>
      <c r="D1687" s="34">
        <v>1702.4</v>
      </c>
      <c r="E1687" s="35">
        <v>44607</v>
      </c>
      <c r="F1687" s="34">
        <v>1702.4</v>
      </c>
      <c r="G1687" s="36">
        <f>Tabla13[[#This Row],[Importe]]-Tabla13[[#This Row],[Pagado]]</f>
        <v>0</v>
      </c>
      <c r="H1687" s="38" t="s">
        <v>10</v>
      </c>
    </row>
    <row r="1688" spans="1:8" x14ac:dyDescent="0.25">
      <c r="A1688" s="31">
        <v>44607</v>
      </c>
      <c r="B1688" s="37" t="s">
        <v>5424</v>
      </c>
      <c r="C1688" s="38" t="s">
        <v>681</v>
      </c>
      <c r="D1688" s="34">
        <v>8.9499999999999993</v>
      </c>
      <c r="E1688" s="35">
        <v>44615</v>
      </c>
      <c r="F1688" s="34">
        <v>8.9499999999999993</v>
      </c>
      <c r="G1688" s="36">
        <f>Tabla13[[#This Row],[Importe]]-Tabla13[[#This Row],[Pagado]]</f>
        <v>0</v>
      </c>
      <c r="H1688" s="38" t="s">
        <v>10</v>
      </c>
    </row>
    <row r="1689" spans="1:8" x14ac:dyDescent="0.25">
      <c r="A1689" s="31">
        <v>44607</v>
      </c>
      <c r="B1689" s="37" t="s">
        <v>5425</v>
      </c>
      <c r="C1689" s="38" t="s">
        <v>442</v>
      </c>
      <c r="D1689" s="34">
        <v>1752.8</v>
      </c>
      <c r="E1689" s="35">
        <v>44607</v>
      </c>
      <c r="F1689" s="34">
        <v>1752.8</v>
      </c>
      <c r="G1689" s="36">
        <f>Tabla13[[#This Row],[Importe]]-Tabla13[[#This Row],[Pagado]]</f>
        <v>0</v>
      </c>
      <c r="H1689" s="38" t="s">
        <v>10</v>
      </c>
    </row>
    <row r="1690" spans="1:8" x14ac:dyDescent="0.25">
      <c r="A1690" s="31">
        <v>44607</v>
      </c>
      <c r="B1690" s="37" t="s">
        <v>5426</v>
      </c>
      <c r="C1690" s="38" t="s">
        <v>414</v>
      </c>
      <c r="D1690" s="34">
        <v>12240</v>
      </c>
      <c r="E1690" s="35">
        <v>44607</v>
      </c>
      <c r="F1690" s="34">
        <v>12240</v>
      </c>
      <c r="G1690" s="36">
        <f>Tabla13[[#This Row],[Importe]]-Tabla13[[#This Row],[Pagado]]</f>
        <v>0</v>
      </c>
      <c r="H1690" s="38" t="s">
        <v>10</v>
      </c>
    </row>
    <row r="1691" spans="1:8" x14ac:dyDescent="0.25">
      <c r="A1691" s="31">
        <v>44607</v>
      </c>
      <c r="B1691" s="37" t="s">
        <v>5427</v>
      </c>
      <c r="C1691" s="38" t="s">
        <v>1313</v>
      </c>
      <c r="D1691" s="34">
        <v>6349.8</v>
      </c>
      <c r="E1691" s="35">
        <v>44607</v>
      </c>
      <c r="F1691" s="34">
        <v>6349.8</v>
      </c>
      <c r="G1691" s="36">
        <f>Tabla13[[#This Row],[Importe]]-Tabla13[[#This Row],[Pagado]]</f>
        <v>0</v>
      </c>
      <c r="H1691" s="38" t="s">
        <v>10</v>
      </c>
    </row>
    <row r="1692" spans="1:8" x14ac:dyDescent="0.25">
      <c r="A1692" s="31">
        <v>44607</v>
      </c>
      <c r="B1692" s="37" t="s">
        <v>5428</v>
      </c>
      <c r="C1692" s="38" t="s">
        <v>1313</v>
      </c>
      <c r="D1692" s="34">
        <v>870.2</v>
      </c>
      <c r="E1692" s="35">
        <v>44607</v>
      </c>
      <c r="F1692" s="34">
        <v>870.2</v>
      </c>
      <c r="G1692" s="36">
        <f>Tabla13[[#This Row],[Importe]]-Tabla13[[#This Row],[Pagado]]</f>
        <v>0</v>
      </c>
      <c r="H1692" s="38" t="s">
        <v>10</v>
      </c>
    </row>
    <row r="1693" spans="1:8" x14ac:dyDescent="0.25">
      <c r="A1693" s="31">
        <v>44607</v>
      </c>
      <c r="B1693" s="37" t="s">
        <v>5429</v>
      </c>
      <c r="C1693" s="38" t="s">
        <v>1302</v>
      </c>
      <c r="D1693" s="34">
        <v>29901.200000000001</v>
      </c>
      <c r="E1693" s="35">
        <v>44607</v>
      </c>
      <c r="F1693" s="34">
        <v>29901.200000000001</v>
      </c>
      <c r="G1693" s="36">
        <f>Tabla13[[#This Row],[Importe]]-Tabla13[[#This Row],[Pagado]]</f>
        <v>0</v>
      </c>
      <c r="H1693" s="38" t="s">
        <v>10</v>
      </c>
    </row>
    <row r="1694" spans="1:8" x14ac:dyDescent="0.25">
      <c r="A1694" s="31">
        <v>44607</v>
      </c>
      <c r="B1694" s="37" t="s">
        <v>5430</v>
      </c>
      <c r="C1694" s="38" t="s">
        <v>142</v>
      </c>
      <c r="D1694" s="34">
        <v>46641.599999999999</v>
      </c>
      <c r="E1694" s="35">
        <v>44617</v>
      </c>
      <c r="F1694" s="34">
        <v>46641.599999999999</v>
      </c>
      <c r="G1694" s="36">
        <f>Tabla13[[#This Row],[Importe]]-Tabla13[[#This Row],[Pagado]]</f>
        <v>0</v>
      </c>
      <c r="H1694" s="38" t="s">
        <v>10</v>
      </c>
    </row>
    <row r="1695" spans="1:8" x14ac:dyDescent="0.25">
      <c r="A1695" s="31">
        <v>44607</v>
      </c>
      <c r="B1695" s="37" t="s">
        <v>5431</v>
      </c>
      <c r="C1695" s="38" t="s">
        <v>31</v>
      </c>
      <c r="D1695" s="34">
        <v>1041.5999999999999</v>
      </c>
      <c r="E1695" s="35">
        <v>44607</v>
      </c>
      <c r="F1695" s="34">
        <v>1041.5999999999999</v>
      </c>
      <c r="G1695" s="36">
        <f>Tabla13[[#This Row],[Importe]]-Tabla13[[#This Row],[Pagado]]</f>
        <v>0</v>
      </c>
      <c r="H1695" s="38" t="s">
        <v>10</v>
      </c>
    </row>
    <row r="1696" spans="1:8" x14ac:dyDescent="0.25">
      <c r="A1696" s="31">
        <v>44607</v>
      </c>
      <c r="B1696" s="37" t="s">
        <v>5432</v>
      </c>
      <c r="C1696" s="38" t="s">
        <v>107</v>
      </c>
      <c r="D1696" s="34">
        <v>8144.8</v>
      </c>
      <c r="E1696" s="35">
        <v>44607</v>
      </c>
      <c r="F1696" s="34">
        <v>8144.8</v>
      </c>
      <c r="G1696" s="36">
        <f>Tabla13[[#This Row],[Importe]]-Tabla13[[#This Row],[Pagado]]</f>
        <v>0</v>
      </c>
      <c r="H1696" s="38" t="s">
        <v>10</v>
      </c>
    </row>
    <row r="1697" spans="1:8" x14ac:dyDescent="0.25">
      <c r="A1697" s="31">
        <v>44607</v>
      </c>
      <c r="B1697" s="37" t="s">
        <v>5433</v>
      </c>
      <c r="C1697" s="38" t="s">
        <v>664</v>
      </c>
      <c r="D1697" s="34">
        <v>4902.3999999999996</v>
      </c>
      <c r="E1697" s="35">
        <v>44607</v>
      </c>
      <c r="F1697" s="34">
        <v>4902.3999999999996</v>
      </c>
      <c r="G1697" s="36">
        <f>Tabla13[[#This Row],[Importe]]-Tabla13[[#This Row],[Pagado]]</f>
        <v>0</v>
      </c>
      <c r="H1697" s="38" t="s">
        <v>10</v>
      </c>
    </row>
    <row r="1698" spans="1:8" x14ac:dyDescent="0.25">
      <c r="A1698" s="31">
        <v>44607</v>
      </c>
      <c r="B1698" s="37" t="s">
        <v>5434</v>
      </c>
      <c r="C1698" s="38" t="s">
        <v>58</v>
      </c>
      <c r="D1698" s="34">
        <v>2923.8</v>
      </c>
      <c r="E1698" s="35">
        <v>44607</v>
      </c>
      <c r="F1698" s="34">
        <v>2923.8</v>
      </c>
      <c r="G1698" s="36">
        <f>Tabla13[[#This Row],[Importe]]-Tabla13[[#This Row],[Pagado]]</f>
        <v>0</v>
      </c>
      <c r="H1698" s="38" t="s">
        <v>10</v>
      </c>
    </row>
    <row r="1699" spans="1:8" x14ac:dyDescent="0.25">
      <c r="A1699" s="31">
        <v>44607</v>
      </c>
      <c r="B1699" s="37" t="s">
        <v>5435</v>
      </c>
      <c r="C1699" s="38" t="s">
        <v>520</v>
      </c>
      <c r="D1699" s="34">
        <v>12183.9</v>
      </c>
      <c r="E1699" s="35">
        <v>44608</v>
      </c>
      <c r="F1699" s="34">
        <v>12183.9</v>
      </c>
      <c r="G1699" s="36">
        <f>Tabla13[[#This Row],[Importe]]-Tabla13[[#This Row],[Pagado]]</f>
        <v>0</v>
      </c>
      <c r="H1699" s="38" t="s">
        <v>10</v>
      </c>
    </row>
    <row r="1700" spans="1:8" x14ac:dyDescent="0.25">
      <c r="A1700" s="31">
        <v>44607</v>
      </c>
      <c r="B1700" s="37" t="s">
        <v>5436</v>
      </c>
      <c r="C1700" s="38" t="s">
        <v>518</v>
      </c>
      <c r="D1700" s="34">
        <v>1128</v>
      </c>
      <c r="E1700" s="35">
        <v>44608</v>
      </c>
      <c r="F1700" s="34">
        <v>1128</v>
      </c>
      <c r="G1700" s="36">
        <f>Tabla13[[#This Row],[Importe]]-Tabla13[[#This Row],[Pagado]]</f>
        <v>0</v>
      </c>
      <c r="H1700" s="38" t="s">
        <v>10</v>
      </c>
    </row>
    <row r="1701" spans="1:8" x14ac:dyDescent="0.25">
      <c r="A1701" s="31">
        <v>44607</v>
      </c>
      <c r="B1701" s="37" t="s">
        <v>5437</v>
      </c>
      <c r="C1701" s="38" t="s">
        <v>433</v>
      </c>
      <c r="D1701" s="34">
        <v>25280</v>
      </c>
      <c r="E1701" s="35" t="s">
        <v>5438</v>
      </c>
      <c r="F1701" s="34">
        <v>25280</v>
      </c>
      <c r="G1701" s="36">
        <f>Tabla13[[#This Row],[Importe]]-Tabla13[[#This Row],[Pagado]]</f>
        <v>0</v>
      </c>
      <c r="H1701" s="38" t="s">
        <v>10</v>
      </c>
    </row>
    <row r="1702" spans="1:8" x14ac:dyDescent="0.25">
      <c r="A1702" s="31">
        <v>44607</v>
      </c>
      <c r="B1702" s="37" t="s">
        <v>5439</v>
      </c>
      <c r="C1702" s="38" t="s">
        <v>159</v>
      </c>
      <c r="D1702" s="34">
        <v>1181.4000000000001</v>
      </c>
      <c r="E1702" s="35">
        <v>44608</v>
      </c>
      <c r="F1702" s="34">
        <v>1181.4000000000001</v>
      </c>
      <c r="G1702" s="36">
        <f>Tabla13[[#This Row],[Importe]]-Tabla13[[#This Row],[Pagado]]</f>
        <v>0</v>
      </c>
      <c r="H1702" s="38" t="s">
        <v>10</v>
      </c>
    </row>
    <row r="1703" spans="1:8" x14ac:dyDescent="0.25">
      <c r="A1703" s="31">
        <v>44607</v>
      </c>
      <c r="B1703" s="37" t="s">
        <v>5440</v>
      </c>
      <c r="C1703" s="38" t="s">
        <v>525</v>
      </c>
      <c r="D1703" s="34">
        <v>2361.6</v>
      </c>
      <c r="E1703" s="35">
        <v>44608</v>
      </c>
      <c r="F1703" s="34">
        <v>2361.6</v>
      </c>
      <c r="G1703" s="36">
        <f>Tabla13[[#This Row],[Importe]]-Tabla13[[#This Row],[Pagado]]</f>
        <v>0</v>
      </c>
      <c r="H1703" s="38" t="s">
        <v>10</v>
      </c>
    </row>
    <row r="1704" spans="1:8" x14ac:dyDescent="0.25">
      <c r="A1704" s="31">
        <v>44607</v>
      </c>
      <c r="B1704" s="37" t="s">
        <v>5441</v>
      </c>
      <c r="C1704" s="38" t="s">
        <v>157</v>
      </c>
      <c r="D1704" s="34">
        <v>1232.8</v>
      </c>
      <c r="E1704" s="35">
        <v>44608</v>
      </c>
      <c r="F1704" s="34">
        <v>1232.8</v>
      </c>
      <c r="G1704" s="36">
        <f>Tabla13[[#This Row],[Importe]]-Tabla13[[#This Row],[Pagado]]</f>
        <v>0</v>
      </c>
      <c r="H1704" s="38" t="s">
        <v>10</v>
      </c>
    </row>
    <row r="1705" spans="1:8" x14ac:dyDescent="0.25">
      <c r="A1705" s="31">
        <v>44607</v>
      </c>
      <c r="B1705" s="37" t="s">
        <v>5442</v>
      </c>
      <c r="C1705" s="38" t="s">
        <v>151</v>
      </c>
      <c r="D1705" s="34">
        <v>7954.8</v>
      </c>
      <c r="E1705" s="35">
        <v>44608</v>
      </c>
      <c r="F1705" s="34">
        <v>7954.8</v>
      </c>
      <c r="G1705" s="36">
        <f>Tabla13[[#This Row],[Importe]]-Tabla13[[#This Row],[Pagado]]</f>
        <v>0</v>
      </c>
      <c r="H1705" s="38" t="s">
        <v>10</v>
      </c>
    </row>
    <row r="1706" spans="1:8" x14ac:dyDescent="0.25">
      <c r="A1706" s="31">
        <v>44607</v>
      </c>
      <c r="B1706" s="37" t="s">
        <v>5443</v>
      </c>
      <c r="C1706" s="38" t="s">
        <v>53</v>
      </c>
      <c r="D1706" s="34">
        <v>2044.8</v>
      </c>
      <c r="E1706" s="35">
        <v>44607</v>
      </c>
      <c r="F1706" s="34">
        <v>2044.8</v>
      </c>
      <c r="G1706" s="36">
        <f>Tabla13[[#This Row],[Importe]]-Tabla13[[#This Row],[Pagado]]</f>
        <v>0</v>
      </c>
      <c r="H1706" s="38" t="s">
        <v>10</v>
      </c>
    </row>
    <row r="1707" spans="1:8" x14ac:dyDescent="0.25">
      <c r="A1707" s="31">
        <v>44607</v>
      </c>
      <c r="B1707" s="37" t="s">
        <v>5444</v>
      </c>
      <c r="C1707" s="38" t="s">
        <v>448</v>
      </c>
      <c r="D1707" s="34">
        <v>16675.599999999999</v>
      </c>
      <c r="E1707" s="35">
        <v>44608</v>
      </c>
      <c r="F1707" s="34">
        <v>16675.599999999999</v>
      </c>
      <c r="G1707" s="36">
        <f>Tabla13[[#This Row],[Importe]]-Tabla13[[#This Row],[Pagado]]</f>
        <v>0</v>
      </c>
      <c r="H1707" s="38" t="s">
        <v>10</v>
      </c>
    </row>
    <row r="1708" spans="1:8" x14ac:dyDescent="0.25">
      <c r="A1708" s="31">
        <v>44607</v>
      </c>
      <c r="B1708" s="37" t="s">
        <v>5445</v>
      </c>
      <c r="C1708" s="38" t="s">
        <v>421</v>
      </c>
      <c r="D1708" s="34">
        <v>4411.8</v>
      </c>
      <c r="E1708" s="35">
        <v>44607</v>
      </c>
      <c r="F1708" s="34">
        <v>4411.8</v>
      </c>
      <c r="G1708" s="36">
        <f>Tabla13[[#This Row],[Importe]]-Tabla13[[#This Row],[Pagado]]</f>
        <v>0</v>
      </c>
      <c r="H1708" s="38" t="s">
        <v>10</v>
      </c>
    </row>
    <row r="1709" spans="1:8" x14ac:dyDescent="0.25">
      <c r="A1709" s="31">
        <v>44607</v>
      </c>
      <c r="B1709" s="37" t="s">
        <v>5446</v>
      </c>
      <c r="C1709" s="38" t="s">
        <v>31</v>
      </c>
      <c r="D1709" s="34">
        <v>156.4</v>
      </c>
      <c r="E1709" s="35">
        <v>44607</v>
      </c>
      <c r="F1709" s="34">
        <v>156.4</v>
      </c>
      <c r="G1709" s="36">
        <f>Tabla13[[#This Row],[Importe]]-Tabla13[[#This Row],[Pagado]]</f>
        <v>0</v>
      </c>
      <c r="H1709" s="38" t="s">
        <v>10</v>
      </c>
    </row>
    <row r="1710" spans="1:8" x14ac:dyDescent="0.25">
      <c r="A1710" s="31">
        <v>44607</v>
      </c>
      <c r="B1710" s="37" t="s">
        <v>5447</v>
      </c>
      <c r="C1710" s="38" t="s">
        <v>282</v>
      </c>
      <c r="D1710" s="34">
        <v>1948.8</v>
      </c>
      <c r="E1710" s="35">
        <v>44608</v>
      </c>
      <c r="F1710" s="34">
        <v>1948.8</v>
      </c>
      <c r="G1710" s="36">
        <f>Tabla13[[#This Row],[Importe]]-Tabla13[[#This Row],[Pagado]]</f>
        <v>0</v>
      </c>
      <c r="H1710" s="38" t="s">
        <v>10</v>
      </c>
    </row>
    <row r="1711" spans="1:8" x14ac:dyDescent="0.25">
      <c r="A1711" s="31">
        <v>44607</v>
      </c>
      <c r="B1711" s="37" t="s">
        <v>5448</v>
      </c>
      <c r="C1711" s="38" t="s">
        <v>5449</v>
      </c>
      <c r="D1711" s="34">
        <v>0</v>
      </c>
      <c r="E1711" s="39" t="s">
        <v>189</v>
      </c>
      <c r="F1711" s="34">
        <v>0</v>
      </c>
      <c r="G1711" s="36">
        <f>Tabla13[[#This Row],[Importe]]-Tabla13[[#This Row],[Pagado]]</f>
        <v>0</v>
      </c>
      <c r="H1711" s="38" t="s">
        <v>189</v>
      </c>
    </row>
    <row r="1712" spans="1:8" x14ac:dyDescent="0.25">
      <c r="A1712" s="31">
        <v>44607</v>
      </c>
      <c r="B1712" s="37" t="s">
        <v>5450</v>
      </c>
      <c r="C1712" s="38" t="s">
        <v>4523</v>
      </c>
      <c r="D1712" s="34">
        <v>1026.8</v>
      </c>
      <c r="E1712" s="35">
        <v>44607</v>
      </c>
      <c r="F1712" s="34">
        <v>1026.8</v>
      </c>
      <c r="G1712" s="36">
        <f>Tabla13[[#This Row],[Importe]]-Tabla13[[#This Row],[Pagado]]</f>
        <v>0</v>
      </c>
      <c r="H1712" s="38" t="s">
        <v>10</v>
      </c>
    </row>
    <row r="1713" spans="1:8" x14ac:dyDescent="0.25">
      <c r="A1713" s="31">
        <v>44607</v>
      </c>
      <c r="B1713" s="37" t="s">
        <v>5451</v>
      </c>
      <c r="C1713" s="38" t="s">
        <v>284</v>
      </c>
      <c r="D1713" s="34">
        <v>5827.2</v>
      </c>
      <c r="E1713" s="35">
        <v>44608</v>
      </c>
      <c r="F1713" s="34">
        <v>5827.2</v>
      </c>
      <c r="G1713" s="36">
        <f>Tabla13[[#This Row],[Importe]]-Tabla13[[#This Row],[Pagado]]</f>
        <v>0</v>
      </c>
      <c r="H1713" s="38" t="s">
        <v>10</v>
      </c>
    </row>
    <row r="1714" spans="1:8" x14ac:dyDescent="0.25">
      <c r="A1714" s="31">
        <v>44607</v>
      </c>
      <c r="B1714" s="37" t="s">
        <v>5452</v>
      </c>
      <c r="C1714" s="38" t="s">
        <v>280</v>
      </c>
      <c r="D1714" s="34">
        <v>960</v>
      </c>
      <c r="E1714" s="35">
        <v>44608</v>
      </c>
      <c r="F1714" s="34">
        <v>960</v>
      </c>
      <c r="G1714" s="36">
        <f>Tabla13[[#This Row],[Importe]]-Tabla13[[#This Row],[Pagado]]</f>
        <v>0</v>
      </c>
      <c r="H1714" s="38" t="s">
        <v>10</v>
      </c>
    </row>
    <row r="1715" spans="1:8" x14ac:dyDescent="0.25">
      <c r="A1715" s="31">
        <v>44607</v>
      </c>
      <c r="B1715" s="37" t="s">
        <v>5453</v>
      </c>
      <c r="C1715" s="38" t="s">
        <v>5345</v>
      </c>
      <c r="D1715" s="34">
        <v>1420.8</v>
      </c>
      <c r="E1715" s="35">
        <v>44608</v>
      </c>
      <c r="F1715" s="34">
        <v>1420.8</v>
      </c>
      <c r="G1715" s="36">
        <f>Tabla13[[#This Row],[Importe]]-Tabla13[[#This Row],[Pagado]]</f>
        <v>0</v>
      </c>
      <c r="H1715" s="38" t="s">
        <v>10</v>
      </c>
    </row>
    <row r="1716" spans="1:8" x14ac:dyDescent="0.25">
      <c r="A1716" s="31">
        <v>44607</v>
      </c>
      <c r="B1716" s="37" t="s">
        <v>5454</v>
      </c>
      <c r="C1716" s="38" t="s">
        <v>142</v>
      </c>
      <c r="D1716" s="34">
        <v>840</v>
      </c>
      <c r="E1716" s="35">
        <v>44617</v>
      </c>
      <c r="F1716" s="34">
        <v>840</v>
      </c>
      <c r="G1716" s="36">
        <f>Tabla13[[#This Row],[Importe]]-Tabla13[[#This Row],[Pagado]]</f>
        <v>0</v>
      </c>
      <c r="H1716" s="38" t="s">
        <v>10</v>
      </c>
    </row>
    <row r="1717" spans="1:8" x14ac:dyDescent="0.25">
      <c r="A1717" s="31">
        <v>44607</v>
      </c>
      <c r="B1717" s="37" t="s">
        <v>5455</v>
      </c>
      <c r="C1717" s="38" t="s">
        <v>31</v>
      </c>
      <c r="D1717" s="34">
        <v>28944</v>
      </c>
      <c r="E1717" s="35">
        <v>44607</v>
      </c>
      <c r="F1717" s="34">
        <v>28944</v>
      </c>
      <c r="G1717" s="36">
        <f>Tabla13[[#This Row],[Importe]]-Tabla13[[#This Row],[Pagado]]</f>
        <v>0</v>
      </c>
      <c r="H1717" s="38" t="s">
        <v>10</v>
      </c>
    </row>
    <row r="1718" spans="1:8" x14ac:dyDescent="0.25">
      <c r="A1718" s="31">
        <v>44607</v>
      </c>
      <c r="B1718" s="37" t="s">
        <v>5456</v>
      </c>
      <c r="C1718" s="38" t="s">
        <v>47</v>
      </c>
      <c r="D1718" s="34">
        <v>45425.9</v>
      </c>
      <c r="E1718" s="35">
        <v>44608</v>
      </c>
      <c r="F1718" s="34">
        <v>45425.9</v>
      </c>
      <c r="G1718" s="36">
        <f>Tabla13[[#This Row],[Importe]]-Tabla13[[#This Row],[Pagado]]</f>
        <v>0</v>
      </c>
      <c r="H1718" s="38" t="s">
        <v>10</v>
      </c>
    </row>
    <row r="1719" spans="1:8" x14ac:dyDescent="0.25">
      <c r="A1719" s="31">
        <v>44607</v>
      </c>
      <c r="B1719" s="37" t="s">
        <v>5457</v>
      </c>
      <c r="C1719" s="38" t="s">
        <v>396</v>
      </c>
      <c r="D1719" s="34">
        <v>14567.72</v>
      </c>
      <c r="E1719" s="35">
        <v>44615</v>
      </c>
      <c r="F1719" s="34">
        <v>14567.72</v>
      </c>
      <c r="G1719" s="36">
        <f>Tabla13[[#This Row],[Importe]]-Tabla13[[#This Row],[Pagado]]</f>
        <v>0</v>
      </c>
      <c r="H1719" s="38" t="s">
        <v>10</v>
      </c>
    </row>
    <row r="1720" spans="1:8" x14ac:dyDescent="0.25">
      <c r="A1720" s="31">
        <v>44607</v>
      </c>
      <c r="B1720" s="37" t="s">
        <v>5458</v>
      </c>
      <c r="C1720" s="38" t="s">
        <v>1706</v>
      </c>
      <c r="D1720" s="34">
        <v>1440</v>
      </c>
      <c r="E1720" s="35">
        <v>44607</v>
      </c>
      <c r="F1720" s="34">
        <v>1440</v>
      </c>
      <c r="G1720" s="36">
        <f>Tabla13[[#This Row],[Importe]]-Tabla13[[#This Row],[Pagado]]</f>
        <v>0</v>
      </c>
      <c r="H1720" s="38" t="s">
        <v>10</v>
      </c>
    </row>
    <row r="1721" spans="1:8" x14ac:dyDescent="0.25">
      <c r="A1721" s="31">
        <v>44607</v>
      </c>
      <c r="B1721" s="37" t="s">
        <v>5459</v>
      </c>
      <c r="C1721" s="38" t="s">
        <v>612</v>
      </c>
      <c r="D1721" s="34">
        <v>618.79999999999995</v>
      </c>
      <c r="E1721" s="35">
        <v>44607</v>
      </c>
      <c r="F1721" s="34">
        <v>618.79999999999995</v>
      </c>
      <c r="G1721" s="36">
        <f>Tabla13[[#This Row],[Importe]]-Tabla13[[#This Row],[Pagado]]</f>
        <v>0</v>
      </c>
      <c r="H1721" s="38" t="s">
        <v>10</v>
      </c>
    </row>
    <row r="1722" spans="1:8" x14ac:dyDescent="0.25">
      <c r="A1722" s="31">
        <v>44607</v>
      </c>
      <c r="B1722" s="37" t="s">
        <v>5460</v>
      </c>
      <c r="C1722" s="38" t="s">
        <v>196</v>
      </c>
      <c r="D1722" s="34">
        <v>12524</v>
      </c>
      <c r="E1722" s="35">
        <v>44610</v>
      </c>
      <c r="F1722" s="34">
        <v>12524</v>
      </c>
      <c r="G1722" s="36">
        <f>Tabla13[[#This Row],[Importe]]-Tabla13[[#This Row],[Pagado]]</f>
        <v>0</v>
      </c>
      <c r="H1722" s="38" t="s">
        <v>10</v>
      </c>
    </row>
    <row r="1723" spans="1:8" x14ac:dyDescent="0.25">
      <c r="A1723" s="31">
        <v>44607</v>
      </c>
      <c r="B1723" s="37" t="s">
        <v>5461</v>
      </c>
      <c r="C1723" s="38" t="s">
        <v>583</v>
      </c>
      <c r="D1723" s="34">
        <v>3155.6</v>
      </c>
      <c r="E1723" s="35">
        <v>44607</v>
      </c>
      <c r="F1723" s="34">
        <v>3155.6</v>
      </c>
      <c r="G1723" s="36">
        <f>Tabla13[[#This Row],[Importe]]-Tabla13[[#This Row],[Pagado]]</f>
        <v>0</v>
      </c>
      <c r="H1723" s="38" t="s">
        <v>10</v>
      </c>
    </row>
    <row r="1724" spans="1:8" ht="31.5" x14ac:dyDescent="0.25">
      <c r="A1724" s="31">
        <v>44607</v>
      </c>
      <c r="B1724" s="37" t="s">
        <v>5462</v>
      </c>
      <c r="C1724" s="41" t="s">
        <v>5463</v>
      </c>
      <c r="D1724" s="34">
        <v>0</v>
      </c>
      <c r="E1724" s="39" t="s">
        <v>189</v>
      </c>
      <c r="F1724" s="34">
        <v>0</v>
      </c>
      <c r="G1724" s="36">
        <f>Tabla13[[#This Row],[Importe]]-Tabla13[[#This Row],[Pagado]]</f>
        <v>0</v>
      </c>
      <c r="H1724" s="38" t="s">
        <v>189</v>
      </c>
    </row>
    <row r="1725" spans="1:8" x14ac:dyDescent="0.25">
      <c r="A1725" s="31">
        <v>44607</v>
      </c>
      <c r="B1725" s="37" t="s">
        <v>5464</v>
      </c>
      <c r="C1725" s="38" t="s">
        <v>31</v>
      </c>
      <c r="D1725" s="34">
        <v>1664.4</v>
      </c>
      <c r="E1725" s="35">
        <v>44607</v>
      </c>
      <c r="F1725" s="34">
        <v>1664.4</v>
      </c>
      <c r="G1725" s="36">
        <f>Tabla13[[#This Row],[Importe]]-Tabla13[[#This Row],[Pagado]]</f>
        <v>0</v>
      </c>
      <c r="H1725" s="38" t="s">
        <v>10</v>
      </c>
    </row>
    <row r="1726" spans="1:8" x14ac:dyDescent="0.25">
      <c r="A1726" s="31">
        <v>44607</v>
      </c>
      <c r="B1726" s="37" t="s">
        <v>5465</v>
      </c>
      <c r="C1726" s="38" t="s">
        <v>275</v>
      </c>
      <c r="D1726" s="34">
        <v>78971.8</v>
      </c>
      <c r="E1726" s="35">
        <v>44617</v>
      </c>
      <c r="F1726" s="34">
        <v>78971.8</v>
      </c>
      <c r="G1726" s="36">
        <f>Tabla13[[#This Row],[Importe]]-Tabla13[[#This Row],[Pagado]]</f>
        <v>0</v>
      </c>
      <c r="H1726" s="38" t="s">
        <v>10</v>
      </c>
    </row>
    <row r="1727" spans="1:8" x14ac:dyDescent="0.25">
      <c r="A1727" s="31">
        <v>44607</v>
      </c>
      <c r="B1727" s="37" t="s">
        <v>5466</v>
      </c>
      <c r="C1727" s="38" t="s">
        <v>3177</v>
      </c>
      <c r="D1727" s="34">
        <v>5200</v>
      </c>
      <c r="E1727" s="35">
        <v>44607</v>
      </c>
      <c r="F1727" s="34">
        <v>5200</v>
      </c>
      <c r="G1727" s="36">
        <f>Tabla13[[#This Row],[Importe]]-Tabla13[[#This Row],[Pagado]]</f>
        <v>0</v>
      </c>
      <c r="H1727" s="38" t="s">
        <v>10</v>
      </c>
    </row>
    <row r="1728" spans="1:8" x14ac:dyDescent="0.25">
      <c r="A1728" s="31">
        <v>44607</v>
      </c>
      <c r="B1728" s="37" t="s">
        <v>5467</v>
      </c>
      <c r="C1728" s="38" t="s">
        <v>22</v>
      </c>
      <c r="D1728" s="34">
        <v>339.5</v>
      </c>
      <c r="E1728" s="35">
        <v>44607</v>
      </c>
      <c r="F1728" s="34">
        <v>339.5</v>
      </c>
      <c r="G1728" s="36">
        <f>Tabla13[[#This Row],[Importe]]-Tabla13[[#This Row],[Pagado]]</f>
        <v>0</v>
      </c>
      <c r="H1728" s="38" t="s">
        <v>10</v>
      </c>
    </row>
    <row r="1729" spans="1:8" x14ac:dyDescent="0.25">
      <c r="A1729" s="31">
        <v>44607</v>
      </c>
      <c r="B1729" s="37" t="s">
        <v>5468</v>
      </c>
      <c r="C1729" s="38" t="s">
        <v>31</v>
      </c>
      <c r="D1729" s="34">
        <v>61.2</v>
      </c>
      <c r="E1729" s="35">
        <v>44608</v>
      </c>
      <c r="F1729" s="34">
        <v>61.2</v>
      </c>
      <c r="G1729" s="36">
        <f>Tabla13[[#This Row],[Importe]]-Tabla13[[#This Row],[Pagado]]</f>
        <v>0</v>
      </c>
      <c r="H1729" s="38" t="s">
        <v>10</v>
      </c>
    </row>
    <row r="1730" spans="1:8" x14ac:dyDescent="0.25">
      <c r="A1730" s="31">
        <v>44608</v>
      </c>
      <c r="B1730" s="37" t="s">
        <v>5469</v>
      </c>
      <c r="C1730" s="38" t="s">
        <v>887</v>
      </c>
      <c r="D1730" s="34">
        <v>6920</v>
      </c>
      <c r="E1730" s="35">
        <v>44610</v>
      </c>
      <c r="F1730" s="34">
        <v>6920</v>
      </c>
      <c r="G1730" s="36">
        <f>Tabla13[[#This Row],[Importe]]-Tabla13[[#This Row],[Pagado]]</f>
        <v>0</v>
      </c>
      <c r="H1730" s="38" t="s">
        <v>10</v>
      </c>
    </row>
    <row r="1731" spans="1:8" x14ac:dyDescent="0.25">
      <c r="A1731" s="31">
        <v>44608</v>
      </c>
      <c r="B1731" s="37" t="s">
        <v>5470</v>
      </c>
      <c r="C1731" s="38" t="s">
        <v>475</v>
      </c>
      <c r="D1731" s="34">
        <v>75226</v>
      </c>
      <c r="E1731" s="35">
        <v>44606</v>
      </c>
      <c r="F1731" s="34">
        <v>75226</v>
      </c>
      <c r="G1731" s="36">
        <f>Tabla13[[#This Row],[Importe]]-Tabla13[[#This Row],[Pagado]]</f>
        <v>0</v>
      </c>
      <c r="H1731" s="38" t="s">
        <v>10</v>
      </c>
    </row>
    <row r="1732" spans="1:8" x14ac:dyDescent="0.25">
      <c r="A1732" s="31">
        <v>44608</v>
      </c>
      <c r="B1732" s="37" t="s">
        <v>5471</v>
      </c>
      <c r="C1732" s="38" t="s">
        <v>371</v>
      </c>
      <c r="D1732" s="34">
        <v>7355.1</v>
      </c>
      <c r="E1732" s="35">
        <v>44608</v>
      </c>
      <c r="F1732" s="34">
        <v>7355.1</v>
      </c>
      <c r="G1732" s="36">
        <f>Tabla13[[#This Row],[Importe]]-Tabla13[[#This Row],[Pagado]]</f>
        <v>0</v>
      </c>
      <c r="H1732" s="38" t="s">
        <v>10</v>
      </c>
    </row>
    <row r="1733" spans="1:8" x14ac:dyDescent="0.25">
      <c r="A1733" s="31">
        <v>44608</v>
      </c>
      <c r="B1733" s="37" t="s">
        <v>5472</v>
      </c>
      <c r="C1733" s="38" t="s">
        <v>481</v>
      </c>
      <c r="D1733" s="34">
        <v>1410.8</v>
      </c>
      <c r="E1733" s="35">
        <v>44608</v>
      </c>
      <c r="F1733" s="34">
        <v>1410.8</v>
      </c>
      <c r="G1733" s="36">
        <f>Tabla13[[#This Row],[Importe]]-Tabla13[[#This Row],[Pagado]]</f>
        <v>0</v>
      </c>
      <c r="H1733" s="38" t="s">
        <v>10</v>
      </c>
    </row>
    <row r="1734" spans="1:8" x14ac:dyDescent="0.25">
      <c r="A1734" s="31">
        <v>44608</v>
      </c>
      <c r="B1734" s="37" t="s">
        <v>5473</v>
      </c>
      <c r="C1734" s="38" t="s">
        <v>116</v>
      </c>
      <c r="D1734" s="34">
        <v>3495</v>
      </c>
      <c r="E1734" s="35">
        <v>44609</v>
      </c>
      <c r="F1734" s="34">
        <v>3495</v>
      </c>
      <c r="G1734" s="36">
        <f>Tabla13[[#This Row],[Importe]]-Tabla13[[#This Row],[Pagado]]</f>
        <v>0</v>
      </c>
      <c r="H1734" s="38" t="s">
        <v>10</v>
      </c>
    </row>
    <row r="1735" spans="1:8" x14ac:dyDescent="0.25">
      <c r="A1735" s="31">
        <v>44608</v>
      </c>
      <c r="B1735" s="37" t="s">
        <v>5474</v>
      </c>
      <c r="C1735" s="38" t="s">
        <v>2563</v>
      </c>
      <c r="D1735" s="34">
        <v>3805</v>
      </c>
      <c r="E1735" s="35">
        <v>44608</v>
      </c>
      <c r="F1735" s="34">
        <v>3805</v>
      </c>
      <c r="G1735" s="36">
        <f>Tabla13[[#This Row],[Importe]]-Tabla13[[#This Row],[Pagado]]</f>
        <v>0</v>
      </c>
      <c r="H1735" s="38" t="s">
        <v>10</v>
      </c>
    </row>
    <row r="1736" spans="1:8" x14ac:dyDescent="0.25">
      <c r="A1736" s="31">
        <v>44608</v>
      </c>
      <c r="B1736" s="37" t="s">
        <v>5475</v>
      </c>
      <c r="C1736" s="38" t="s">
        <v>326</v>
      </c>
      <c r="D1736" s="34">
        <v>4070.4</v>
      </c>
      <c r="E1736" s="35">
        <v>44609</v>
      </c>
      <c r="F1736" s="34">
        <v>4070.4</v>
      </c>
      <c r="G1736" s="36">
        <f>Tabla13[[#This Row],[Importe]]-Tabla13[[#This Row],[Pagado]]</f>
        <v>0</v>
      </c>
      <c r="H1736" s="38" t="s">
        <v>10</v>
      </c>
    </row>
    <row r="1737" spans="1:8" x14ac:dyDescent="0.25">
      <c r="A1737" s="31">
        <v>44608</v>
      </c>
      <c r="B1737" s="37" t="s">
        <v>5476</v>
      </c>
      <c r="C1737" s="38" t="s">
        <v>111</v>
      </c>
      <c r="D1737" s="34">
        <v>4233.6000000000004</v>
      </c>
      <c r="E1737" s="35">
        <v>44609</v>
      </c>
      <c r="F1737" s="34">
        <v>4233.6000000000004</v>
      </c>
      <c r="G1737" s="36">
        <f>Tabla13[[#This Row],[Importe]]-Tabla13[[#This Row],[Pagado]]</f>
        <v>0</v>
      </c>
      <c r="H1737" s="38" t="s">
        <v>10</v>
      </c>
    </row>
    <row r="1738" spans="1:8" x14ac:dyDescent="0.25">
      <c r="A1738" s="31">
        <v>44608</v>
      </c>
      <c r="B1738" s="37" t="s">
        <v>5477</v>
      </c>
      <c r="C1738" s="38" t="s">
        <v>120</v>
      </c>
      <c r="D1738" s="34">
        <v>4065</v>
      </c>
      <c r="E1738" s="35">
        <v>44610</v>
      </c>
      <c r="F1738" s="34">
        <v>4065</v>
      </c>
      <c r="G1738" s="36">
        <f>Tabla13[[#This Row],[Importe]]-Tabla13[[#This Row],[Pagado]]</f>
        <v>0</v>
      </c>
      <c r="H1738" s="38" t="s">
        <v>10</v>
      </c>
    </row>
    <row r="1739" spans="1:8" x14ac:dyDescent="0.25">
      <c r="A1739" s="31">
        <v>44608</v>
      </c>
      <c r="B1739" s="37" t="s">
        <v>5478</v>
      </c>
      <c r="C1739" s="38" t="s">
        <v>924</v>
      </c>
      <c r="D1739" s="34">
        <v>6948.4</v>
      </c>
      <c r="E1739" s="35">
        <v>44608</v>
      </c>
      <c r="F1739" s="34">
        <v>6948.4</v>
      </c>
      <c r="G1739" s="36">
        <f>Tabla13[[#This Row],[Importe]]-Tabla13[[#This Row],[Pagado]]</f>
        <v>0</v>
      </c>
      <c r="H1739" s="38" t="s">
        <v>10</v>
      </c>
    </row>
    <row r="1740" spans="1:8" x14ac:dyDescent="0.25">
      <c r="A1740" s="31">
        <v>44608</v>
      </c>
      <c r="B1740" s="37" t="s">
        <v>5479</v>
      </c>
      <c r="C1740" s="38" t="s">
        <v>924</v>
      </c>
      <c r="D1740" s="34">
        <v>708.4</v>
      </c>
      <c r="E1740" s="35">
        <v>44608</v>
      </c>
      <c r="F1740" s="34">
        <v>708.4</v>
      </c>
      <c r="G1740" s="36">
        <f>Tabla13[[#This Row],[Importe]]-Tabla13[[#This Row],[Pagado]]</f>
        <v>0</v>
      </c>
      <c r="H1740" s="38" t="s">
        <v>10</v>
      </c>
    </row>
    <row r="1741" spans="1:8" x14ac:dyDescent="0.25">
      <c r="A1741" s="31">
        <v>44608</v>
      </c>
      <c r="B1741" s="37" t="s">
        <v>5480</v>
      </c>
      <c r="C1741" s="38" t="s">
        <v>407</v>
      </c>
      <c r="D1741" s="34">
        <v>1588.8</v>
      </c>
      <c r="E1741" s="35">
        <v>44617</v>
      </c>
      <c r="F1741" s="34">
        <v>1588.8</v>
      </c>
      <c r="G1741" s="36">
        <f>Tabla13[[#This Row],[Importe]]-Tabla13[[#This Row],[Pagado]]</f>
        <v>0</v>
      </c>
      <c r="H1741" s="38" t="s">
        <v>10</v>
      </c>
    </row>
    <row r="1742" spans="1:8" ht="31.5" x14ac:dyDescent="0.25">
      <c r="A1742" s="31">
        <v>44608</v>
      </c>
      <c r="B1742" s="37" t="s">
        <v>5481</v>
      </c>
      <c r="C1742" s="38" t="s">
        <v>39</v>
      </c>
      <c r="D1742" s="34">
        <v>17869.599999999999</v>
      </c>
      <c r="E1742" s="35" t="s">
        <v>5482</v>
      </c>
      <c r="F1742" s="34">
        <f>6500+11369.6</f>
        <v>17869.599999999999</v>
      </c>
      <c r="G1742" s="36">
        <f>Tabla13[[#This Row],[Importe]]-Tabla13[[#This Row],[Pagado]]</f>
        <v>0</v>
      </c>
      <c r="H1742" s="38" t="s">
        <v>10</v>
      </c>
    </row>
    <row r="1743" spans="1:8" x14ac:dyDescent="0.25">
      <c r="A1743" s="31">
        <v>44608</v>
      </c>
      <c r="B1743" s="37" t="s">
        <v>5483</v>
      </c>
      <c r="C1743" s="38" t="s">
        <v>22</v>
      </c>
      <c r="D1743" s="34">
        <v>35561.199999999997</v>
      </c>
      <c r="E1743" s="35">
        <v>44609</v>
      </c>
      <c r="F1743" s="34">
        <v>35561.199999999997</v>
      </c>
      <c r="G1743" s="36">
        <f>Tabla13[[#This Row],[Importe]]-Tabla13[[#This Row],[Pagado]]</f>
        <v>0</v>
      </c>
      <c r="H1743" s="38" t="s">
        <v>10</v>
      </c>
    </row>
    <row r="1744" spans="1:8" x14ac:dyDescent="0.25">
      <c r="A1744" s="31">
        <v>44608</v>
      </c>
      <c r="B1744" s="37" t="s">
        <v>5484</v>
      </c>
      <c r="C1744" s="38" t="s">
        <v>18</v>
      </c>
      <c r="D1744" s="34">
        <v>1580.8</v>
      </c>
      <c r="E1744" s="35">
        <v>44608</v>
      </c>
      <c r="F1744" s="34">
        <v>1580.8</v>
      </c>
      <c r="G1744" s="36">
        <f>Tabla13[[#This Row],[Importe]]-Tabla13[[#This Row],[Pagado]]</f>
        <v>0</v>
      </c>
      <c r="H1744" s="38" t="s">
        <v>10</v>
      </c>
    </row>
    <row r="1745" spans="1:8" x14ac:dyDescent="0.25">
      <c r="A1745" s="31">
        <v>44608</v>
      </c>
      <c r="B1745" s="37" t="s">
        <v>5485</v>
      </c>
      <c r="C1745" s="38" t="s">
        <v>89</v>
      </c>
      <c r="D1745" s="34">
        <v>2475</v>
      </c>
      <c r="E1745" s="35">
        <v>44609</v>
      </c>
      <c r="F1745" s="34">
        <v>2475</v>
      </c>
      <c r="G1745" s="36">
        <f>Tabla13[[#This Row],[Importe]]-Tabla13[[#This Row],[Pagado]]</f>
        <v>0</v>
      </c>
      <c r="H1745" s="38" t="s">
        <v>10</v>
      </c>
    </row>
    <row r="1746" spans="1:8" x14ac:dyDescent="0.25">
      <c r="A1746" s="31">
        <v>44608</v>
      </c>
      <c r="B1746" s="37" t="s">
        <v>5486</v>
      </c>
      <c r="C1746" s="38" t="s">
        <v>64</v>
      </c>
      <c r="D1746" s="34">
        <v>7726</v>
      </c>
      <c r="E1746" s="35">
        <v>44610</v>
      </c>
      <c r="F1746" s="34">
        <v>7726</v>
      </c>
      <c r="G1746" s="36">
        <f>Tabla13[[#This Row],[Importe]]-Tabla13[[#This Row],[Pagado]]</f>
        <v>0</v>
      </c>
      <c r="H1746" s="38" t="s">
        <v>10</v>
      </c>
    </row>
    <row r="1747" spans="1:8" x14ac:dyDescent="0.25">
      <c r="A1747" s="31">
        <v>44608</v>
      </c>
      <c r="B1747" s="37" t="s">
        <v>5487</v>
      </c>
      <c r="C1747" s="38" t="s">
        <v>114</v>
      </c>
      <c r="D1747" s="34">
        <v>4017.6</v>
      </c>
      <c r="E1747" s="35">
        <v>44610</v>
      </c>
      <c r="F1747" s="34">
        <v>4017.6</v>
      </c>
      <c r="G1747" s="36">
        <f>Tabla13[[#This Row],[Importe]]-Tabla13[[#This Row],[Pagado]]</f>
        <v>0</v>
      </c>
      <c r="H1747" s="38" t="s">
        <v>10</v>
      </c>
    </row>
    <row r="1748" spans="1:8" x14ac:dyDescent="0.25">
      <c r="A1748" s="31">
        <v>44608</v>
      </c>
      <c r="B1748" s="37" t="s">
        <v>5488</v>
      </c>
      <c r="C1748" s="38" t="s">
        <v>105</v>
      </c>
      <c r="D1748" s="34">
        <v>4938.8999999999996</v>
      </c>
      <c r="E1748" s="35">
        <v>44610</v>
      </c>
      <c r="F1748" s="34">
        <v>4938.8999999999996</v>
      </c>
      <c r="G1748" s="36">
        <f>Tabla13[[#This Row],[Importe]]-Tabla13[[#This Row],[Pagado]]</f>
        <v>0</v>
      </c>
      <c r="H1748" s="38" t="s">
        <v>10</v>
      </c>
    </row>
    <row r="1749" spans="1:8" ht="31.5" x14ac:dyDescent="0.25">
      <c r="A1749" s="31">
        <v>44608</v>
      </c>
      <c r="B1749" s="37" t="s">
        <v>5489</v>
      </c>
      <c r="C1749" s="38" t="s">
        <v>93</v>
      </c>
      <c r="D1749" s="34">
        <v>5382.1</v>
      </c>
      <c r="E1749" s="35" t="s">
        <v>6977</v>
      </c>
      <c r="F1749" s="34">
        <f>2500+2882.1</f>
        <v>5382.1</v>
      </c>
      <c r="G1749" s="36">
        <f>Tabla13[[#This Row],[Importe]]-Tabla13[[#This Row],[Pagado]]</f>
        <v>0</v>
      </c>
      <c r="H1749" s="38" t="s">
        <v>10</v>
      </c>
    </row>
    <row r="1750" spans="1:8" x14ac:dyDescent="0.25">
      <c r="A1750" s="31">
        <v>44608</v>
      </c>
      <c r="B1750" s="37" t="s">
        <v>5490</v>
      </c>
      <c r="C1750" s="38" t="s">
        <v>12</v>
      </c>
      <c r="D1750" s="34">
        <v>31574.55</v>
      </c>
      <c r="E1750" s="35">
        <v>44609</v>
      </c>
      <c r="F1750" s="34">
        <v>31574.55</v>
      </c>
      <c r="G1750" s="36">
        <f>Tabla13[[#This Row],[Importe]]-Tabla13[[#This Row],[Pagado]]</f>
        <v>0</v>
      </c>
      <c r="H1750" s="38" t="s">
        <v>10</v>
      </c>
    </row>
    <row r="1751" spans="1:8" x14ac:dyDescent="0.25">
      <c r="A1751" s="31">
        <v>44608</v>
      </c>
      <c r="B1751" s="37" t="s">
        <v>5491</v>
      </c>
      <c r="C1751" s="38" t="s">
        <v>87</v>
      </c>
      <c r="D1751" s="34">
        <v>1872</v>
      </c>
      <c r="E1751" s="35">
        <v>44608</v>
      </c>
      <c r="F1751" s="34">
        <v>1872</v>
      </c>
      <c r="G1751" s="36">
        <f>Tabla13[[#This Row],[Importe]]-Tabla13[[#This Row],[Pagado]]</f>
        <v>0</v>
      </c>
      <c r="H1751" s="38" t="s">
        <v>10</v>
      </c>
    </row>
    <row r="1752" spans="1:8" x14ac:dyDescent="0.25">
      <c r="A1752" s="31">
        <v>44608</v>
      </c>
      <c r="B1752" s="37" t="s">
        <v>5492</v>
      </c>
      <c r="C1752" s="38" t="s">
        <v>9</v>
      </c>
      <c r="D1752" s="34">
        <v>6178.6</v>
      </c>
      <c r="E1752" s="35">
        <v>44608</v>
      </c>
      <c r="F1752" s="34">
        <v>6178.6</v>
      </c>
      <c r="G1752" s="36">
        <f>Tabla13[[#This Row],[Importe]]-Tabla13[[#This Row],[Pagado]]</f>
        <v>0</v>
      </c>
      <c r="H1752" s="38" t="s">
        <v>10</v>
      </c>
    </row>
    <row r="1753" spans="1:8" x14ac:dyDescent="0.25">
      <c r="A1753" s="31">
        <v>44608</v>
      </c>
      <c r="B1753" s="37" t="s">
        <v>5493</v>
      </c>
      <c r="C1753" s="38" t="s">
        <v>83</v>
      </c>
      <c r="D1753" s="34">
        <v>7394.4</v>
      </c>
      <c r="E1753" s="35">
        <v>44608</v>
      </c>
      <c r="F1753" s="34">
        <v>7394.4</v>
      </c>
      <c r="G1753" s="36">
        <f>Tabla13[[#This Row],[Importe]]-Tabla13[[#This Row],[Pagado]]</f>
        <v>0</v>
      </c>
      <c r="H1753" s="38" t="s">
        <v>10</v>
      </c>
    </row>
    <row r="1754" spans="1:8" x14ac:dyDescent="0.25">
      <c r="A1754" s="31">
        <v>44608</v>
      </c>
      <c r="B1754" s="37" t="s">
        <v>5494</v>
      </c>
      <c r="C1754" s="38" t="s">
        <v>206</v>
      </c>
      <c r="D1754" s="34">
        <v>21382.2</v>
      </c>
      <c r="E1754" s="35">
        <v>44614</v>
      </c>
      <c r="F1754" s="34">
        <v>21382.2</v>
      </c>
      <c r="G1754" s="36">
        <f>Tabla13[[#This Row],[Importe]]-Tabla13[[#This Row],[Pagado]]</f>
        <v>0</v>
      </c>
      <c r="H1754" s="38" t="s">
        <v>10</v>
      </c>
    </row>
    <row r="1755" spans="1:8" x14ac:dyDescent="0.25">
      <c r="A1755" s="31">
        <v>44608</v>
      </c>
      <c r="B1755" s="37" t="s">
        <v>5495</v>
      </c>
      <c r="C1755" s="38" t="s">
        <v>218</v>
      </c>
      <c r="D1755" s="34">
        <v>12261.9</v>
      </c>
      <c r="E1755" s="35">
        <v>44614</v>
      </c>
      <c r="F1755" s="34">
        <v>12261.9</v>
      </c>
      <c r="G1755" s="36">
        <f>Tabla13[[#This Row],[Importe]]-Tabla13[[#This Row],[Pagado]]</f>
        <v>0</v>
      </c>
      <c r="H1755" s="38" t="s">
        <v>10</v>
      </c>
    </row>
    <row r="1756" spans="1:8" x14ac:dyDescent="0.25">
      <c r="A1756" s="31">
        <v>44608</v>
      </c>
      <c r="B1756" s="37" t="s">
        <v>5496</v>
      </c>
      <c r="C1756" s="38" t="s">
        <v>4136</v>
      </c>
      <c r="D1756" s="34">
        <v>2329.6</v>
      </c>
      <c r="E1756" s="35">
        <v>44608</v>
      </c>
      <c r="F1756" s="34">
        <v>2329.6</v>
      </c>
      <c r="G1756" s="36">
        <f>Tabla13[[#This Row],[Importe]]-Tabla13[[#This Row],[Pagado]]</f>
        <v>0</v>
      </c>
      <c r="H1756" s="38" t="s">
        <v>10</v>
      </c>
    </row>
    <row r="1757" spans="1:8" x14ac:dyDescent="0.25">
      <c r="A1757" s="31">
        <v>44608</v>
      </c>
      <c r="B1757" s="37" t="s">
        <v>5497</v>
      </c>
      <c r="C1757" s="38" t="s">
        <v>131</v>
      </c>
      <c r="D1757" s="34">
        <v>7162.2</v>
      </c>
      <c r="E1757" s="35">
        <v>44608</v>
      </c>
      <c r="F1757" s="34">
        <v>7162.2</v>
      </c>
      <c r="G1757" s="36">
        <f>Tabla13[[#This Row],[Importe]]-Tabla13[[#This Row],[Pagado]]</f>
        <v>0</v>
      </c>
      <c r="H1757" s="38" t="s">
        <v>10</v>
      </c>
    </row>
    <row r="1758" spans="1:8" x14ac:dyDescent="0.25">
      <c r="A1758" s="31">
        <v>44608</v>
      </c>
      <c r="B1758" s="37" t="s">
        <v>5498</v>
      </c>
      <c r="C1758" s="38" t="s">
        <v>135</v>
      </c>
      <c r="D1758" s="34">
        <v>1190.4000000000001</v>
      </c>
      <c r="E1758" s="35">
        <v>44608</v>
      </c>
      <c r="F1758" s="34">
        <v>1190.4000000000001</v>
      </c>
      <c r="G1758" s="36">
        <f>Tabla13[[#This Row],[Importe]]-Tabla13[[#This Row],[Pagado]]</f>
        <v>0</v>
      </c>
      <c r="H1758" s="38" t="s">
        <v>10</v>
      </c>
    </row>
    <row r="1759" spans="1:8" x14ac:dyDescent="0.25">
      <c r="A1759" s="31">
        <v>44608</v>
      </c>
      <c r="B1759" s="37" t="s">
        <v>5499</v>
      </c>
      <c r="C1759" s="38" t="s">
        <v>16</v>
      </c>
      <c r="D1759" s="34">
        <v>4644.1000000000004</v>
      </c>
      <c r="E1759" s="35">
        <v>44608</v>
      </c>
      <c r="F1759" s="34">
        <v>4644.1000000000004</v>
      </c>
      <c r="G1759" s="36">
        <f>Tabla13[[#This Row],[Importe]]-Tabla13[[#This Row],[Pagado]]</f>
        <v>0</v>
      </c>
      <c r="H1759" s="38" t="s">
        <v>10</v>
      </c>
    </row>
    <row r="1760" spans="1:8" x14ac:dyDescent="0.25">
      <c r="A1760" s="31">
        <v>44608</v>
      </c>
      <c r="B1760" s="37" t="s">
        <v>5500</v>
      </c>
      <c r="C1760" s="38" t="s">
        <v>127</v>
      </c>
      <c r="D1760" s="34">
        <v>3538</v>
      </c>
      <c r="E1760" s="35">
        <v>44608</v>
      </c>
      <c r="F1760" s="34">
        <v>3538</v>
      </c>
      <c r="G1760" s="36">
        <f>Tabla13[[#This Row],[Importe]]-Tabla13[[#This Row],[Pagado]]</f>
        <v>0</v>
      </c>
      <c r="H1760" s="38" t="s">
        <v>10</v>
      </c>
    </row>
    <row r="1761" spans="1:8" x14ac:dyDescent="0.25">
      <c r="A1761" s="31">
        <v>44608</v>
      </c>
      <c r="B1761" s="37" t="s">
        <v>5501</v>
      </c>
      <c r="C1761" s="38" t="s">
        <v>339</v>
      </c>
      <c r="D1761" s="34">
        <v>217.6</v>
      </c>
      <c r="E1761" s="35">
        <v>44608</v>
      </c>
      <c r="F1761" s="34">
        <v>217.6</v>
      </c>
      <c r="G1761" s="36">
        <f>Tabla13[[#This Row],[Importe]]-Tabla13[[#This Row],[Pagado]]</f>
        <v>0</v>
      </c>
      <c r="H1761" s="38" t="s">
        <v>10</v>
      </c>
    </row>
    <row r="1762" spans="1:8" x14ac:dyDescent="0.25">
      <c r="A1762" s="31">
        <v>44608</v>
      </c>
      <c r="B1762" s="37" t="s">
        <v>5502</v>
      </c>
      <c r="C1762" s="38" t="s">
        <v>140</v>
      </c>
      <c r="D1762" s="34">
        <v>1227.8</v>
      </c>
      <c r="E1762" s="35">
        <v>44608</v>
      </c>
      <c r="F1762" s="34">
        <v>1227.8</v>
      </c>
      <c r="G1762" s="36">
        <f>Tabla13[[#This Row],[Importe]]-Tabla13[[#This Row],[Pagado]]</f>
        <v>0</v>
      </c>
      <c r="H1762" s="38" t="s">
        <v>10</v>
      </c>
    </row>
    <row r="1763" spans="1:8" x14ac:dyDescent="0.25">
      <c r="A1763" s="31">
        <v>44608</v>
      </c>
      <c r="B1763" s="37" t="s">
        <v>5503</v>
      </c>
      <c r="C1763" s="38" t="s">
        <v>129</v>
      </c>
      <c r="D1763" s="34">
        <v>1365.2</v>
      </c>
      <c r="E1763" s="35">
        <v>44608</v>
      </c>
      <c r="F1763" s="34">
        <v>1365.2</v>
      </c>
      <c r="G1763" s="36">
        <f>Tabla13[[#This Row],[Importe]]-Tabla13[[#This Row],[Pagado]]</f>
        <v>0</v>
      </c>
      <c r="H1763" s="38" t="s">
        <v>10</v>
      </c>
    </row>
    <row r="1764" spans="1:8" x14ac:dyDescent="0.25">
      <c r="A1764" s="31">
        <v>44608</v>
      </c>
      <c r="B1764" s="37" t="s">
        <v>5504</v>
      </c>
      <c r="C1764" s="38" t="s">
        <v>125</v>
      </c>
      <c r="D1764" s="34">
        <v>2671</v>
      </c>
      <c r="E1764" s="35">
        <v>44608</v>
      </c>
      <c r="F1764" s="34">
        <v>2671</v>
      </c>
      <c r="G1764" s="36">
        <f>Tabla13[[#This Row],[Importe]]-Tabla13[[#This Row],[Pagado]]</f>
        <v>0</v>
      </c>
      <c r="H1764" s="38" t="s">
        <v>10</v>
      </c>
    </row>
    <row r="1765" spans="1:8" x14ac:dyDescent="0.25">
      <c r="A1765" s="31">
        <v>44608</v>
      </c>
      <c r="B1765" s="37" t="s">
        <v>5505</v>
      </c>
      <c r="C1765" s="38" t="s">
        <v>230</v>
      </c>
      <c r="D1765" s="34">
        <v>3963.5</v>
      </c>
      <c r="E1765" s="35">
        <v>44608</v>
      </c>
      <c r="F1765" s="34">
        <v>3963.5</v>
      </c>
      <c r="G1765" s="36">
        <f>Tabla13[[#This Row],[Importe]]-Tabla13[[#This Row],[Pagado]]</f>
        <v>0</v>
      </c>
      <c r="H1765" s="38" t="s">
        <v>10</v>
      </c>
    </row>
    <row r="1766" spans="1:8" x14ac:dyDescent="0.25">
      <c r="A1766" s="31">
        <v>44608</v>
      </c>
      <c r="B1766" s="37" t="s">
        <v>5506</v>
      </c>
      <c r="C1766" s="38" t="s">
        <v>146</v>
      </c>
      <c r="D1766" s="34">
        <v>2247.1999999999998</v>
      </c>
      <c r="E1766" s="35">
        <v>44608</v>
      </c>
      <c r="F1766" s="34">
        <v>2247.1999999999998</v>
      </c>
      <c r="G1766" s="36">
        <f>Tabla13[[#This Row],[Importe]]-Tabla13[[#This Row],[Pagado]]</f>
        <v>0</v>
      </c>
      <c r="H1766" s="38" t="s">
        <v>10</v>
      </c>
    </row>
    <row r="1767" spans="1:8" x14ac:dyDescent="0.25">
      <c r="A1767" s="31">
        <v>44608</v>
      </c>
      <c r="B1767" s="37" t="s">
        <v>5507</v>
      </c>
      <c r="C1767" s="38" t="s">
        <v>173</v>
      </c>
      <c r="D1767" s="34">
        <v>31925.8</v>
      </c>
      <c r="E1767" s="35">
        <v>44609</v>
      </c>
      <c r="F1767" s="34">
        <v>31925.8</v>
      </c>
      <c r="G1767" s="36">
        <f>Tabla13[[#This Row],[Importe]]-Tabla13[[#This Row],[Pagado]]</f>
        <v>0</v>
      </c>
      <c r="H1767" s="38" t="s">
        <v>10</v>
      </c>
    </row>
    <row r="1768" spans="1:8" x14ac:dyDescent="0.25">
      <c r="A1768" s="31">
        <v>44608</v>
      </c>
      <c r="B1768" s="37" t="s">
        <v>5508</v>
      </c>
      <c r="C1768" s="38" t="s">
        <v>27</v>
      </c>
      <c r="D1768" s="34">
        <v>4744.6000000000004</v>
      </c>
      <c r="E1768" s="35">
        <v>44608</v>
      </c>
      <c r="F1768" s="34">
        <v>4744.6000000000004</v>
      </c>
      <c r="G1768" s="36">
        <f>Tabla13[[#This Row],[Importe]]-Tabla13[[#This Row],[Pagado]]</f>
        <v>0</v>
      </c>
      <c r="H1768" s="38" t="s">
        <v>10</v>
      </c>
    </row>
    <row r="1769" spans="1:8" x14ac:dyDescent="0.25">
      <c r="A1769" s="31">
        <v>44608</v>
      </c>
      <c r="B1769" s="37" t="s">
        <v>5509</v>
      </c>
      <c r="C1769" s="38" t="s">
        <v>373</v>
      </c>
      <c r="D1769" s="34">
        <v>1416</v>
      </c>
      <c r="E1769" s="35">
        <v>44608</v>
      </c>
      <c r="F1769" s="34">
        <v>1416</v>
      </c>
      <c r="G1769" s="36">
        <f>Tabla13[[#This Row],[Importe]]-Tabla13[[#This Row],[Pagado]]</f>
        <v>0</v>
      </c>
      <c r="H1769" s="38" t="s">
        <v>10</v>
      </c>
    </row>
    <row r="1770" spans="1:8" x14ac:dyDescent="0.25">
      <c r="A1770" s="31">
        <v>44608</v>
      </c>
      <c r="B1770" s="37" t="s">
        <v>5510</v>
      </c>
      <c r="C1770" s="38" t="s">
        <v>592</v>
      </c>
      <c r="D1770" s="34">
        <v>8288</v>
      </c>
      <c r="E1770" s="35">
        <v>44609</v>
      </c>
      <c r="F1770" s="34">
        <v>8288</v>
      </c>
      <c r="G1770" s="36">
        <f>Tabla13[[#This Row],[Importe]]-Tabla13[[#This Row],[Pagado]]</f>
        <v>0</v>
      </c>
      <c r="H1770" s="38" t="s">
        <v>10</v>
      </c>
    </row>
    <row r="1771" spans="1:8" x14ac:dyDescent="0.25">
      <c r="A1771" s="31">
        <v>44608</v>
      </c>
      <c r="B1771" s="37" t="s">
        <v>5511</v>
      </c>
      <c r="C1771" s="38" t="s">
        <v>31</v>
      </c>
      <c r="D1771" s="34">
        <v>806.4</v>
      </c>
      <c r="E1771" s="35">
        <v>44608</v>
      </c>
      <c r="F1771" s="34">
        <v>806.4</v>
      </c>
      <c r="G1771" s="36">
        <f>Tabla13[[#This Row],[Importe]]-Tabla13[[#This Row],[Pagado]]</f>
        <v>0</v>
      </c>
      <c r="H1771" s="38" t="s">
        <v>10</v>
      </c>
    </row>
    <row r="1772" spans="1:8" x14ac:dyDescent="0.25">
      <c r="A1772" s="31">
        <v>44608</v>
      </c>
      <c r="B1772" s="37" t="s">
        <v>5512</v>
      </c>
      <c r="C1772" s="38" t="s">
        <v>49</v>
      </c>
      <c r="D1772" s="34">
        <v>2468.4</v>
      </c>
      <c r="E1772" s="35">
        <v>44608</v>
      </c>
      <c r="F1772" s="34">
        <v>2468.4</v>
      </c>
      <c r="G1772" s="36">
        <f>Tabla13[[#This Row],[Importe]]-Tabla13[[#This Row],[Pagado]]</f>
        <v>0</v>
      </c>
      <c r="H1772" s="38" t="s">
        <v>10</v>
      </c>
    </row>
    <row r="1773" spans="1:8" x14ac:dyDescent="0.25">
      <c r="A1773" s="31">
        <v>44608</v>
      </c>
      <c r="B1773" s="37" t="s">
        <v>5513</v>
      </c>
      <c r="C1773" s="38" t="s">
        <v>79</v>
      </c>
      <c r="D1773" s="34">
        <v>6683.2</v>
      </c>
      <c r="E1773" s="35">
        <v>44608</v>
      </c>
      <c r="F1773" s="34">
        <v>6683.2</v>
      </c>
      <c r="G1773" s="36">
        <f>Tabla13[[#This Row],[Importe]]-Tabla13[[#This Row],[Pagado]]</f>
        <v>0</v>
      </c>
      <c r="H1773" s="38" t="s">
        <v>10</v>
      </c>
    </row>
    <row r="1774" spans="1:8" x14ac:dyDescent="0.25">
      <c r="A1774" s="31">
        <v>44608</v>
      </c>
      <c r="B1774" s="37" t="s">
        <v>5514</v>
      </c>
      <c r="C1774" s="38" t="s">
        <v>212</v>
      </c>
      <c r="D1774" s="34">
        <v>43932.800000000003</v>
      </c>
      <c r="E1774" s="35">
        <v>44614</v>
      </c>
      <c r="F1774" s="34">
        <v>43932.800000000003</v>
      </c>
      <c r="G1774" s="36">
        <f>Tabla13[[#This Row],[Importe]]-Tabla13[[#This Row],[Pagado]]</f>
        <v>0</v>
      </c>
      <c r="H1774" s="38" t="s">
        <v>10</v>
      </c>
    </row>
    <row r="1775" spans="1:8" x14ac:dyDescent="0.25">
      <c r="A1775" s="31">
        <v>44608</v>
      </c>
      <c r="B1775" s="37" t="s">
        <v>5515</v>
      </c>
      <c r="C1775" s="38" t="s">
        <v>226</v>
      </c>
      <c r="D1775" s="34">
        <v>2944.1</v>
      </c>
      <c r="E1775" s="35">
        <v>44608</v>
      </c>
      <c r="F1775" s="34">
        <v>2944.1</v>
      </c>
      <c r="G1775" s="36">
        <f>Tabla13[[#This Row],[Importe]]-Tabla13[[#This Row],[Pagado]]</f>
        <v>0</v>
      </c>
      <c r="H1775" s="38" t="s">
        <v>10</v>
      </c>
    </row>
    <row r="1776" spans="1:8" x14ac:dyDescent="0.25">
      <c r="A1776" s="31">
        <v>44608</v>
      </c>
      <c r="B1776" s="37" t="s">
        <v>5516</v>
      </c>
      <c r="C1776" s="38" t="s">
        <v>45</v>
      </c>
      <c r="D1776" s="34">
        <v>12929.2</v>
      </c>
      <c r="E1776" s="35">
        <v>44608</v>
      </c>
      <c r="F1776" s="34">
        <v>12929.2</v>
      </c>
      <c r="G1776" s="36">
        <f>Tabla13[[#This Row],[Importe]]-Tabla13[[#This Row],[Pagado]]</f>
        <v>0</v>
      </c>
      <c r="H1776" s="38" t="s">
        <v>10</v>
      </c>
    </row>
    <row r="1777" spans="1:8" x14ac:dyDescent="0.25">
      <c r="A1777" s="31">
        <v>44608</v>
      </c>
      <c r="B1777" s="37" t="s">
        <v>5517</v>
      </c>
      <c r="C1777" s="38" t="s">
        <v>216</v>
      </c>
      <c r="D1777" s="34">
        <v>1300.8</v>
      </c>
      <c r="E1777" s="35">
        <v>44608</v>
      </c>
      <c r="F1777" s="34">
        <v>1300.8</v>
      </c>
      <c r="G1777" s="36">
        <f>Tabla13[[#This Row],[Importe]]-Tabla13[[#This Row],[Pagado]]</f>
        <v>0</v>
      </c>
      <c r="H1777" s="38" t="s">
        <v>10</v>
      </c>
    </row>
    <row r="1778" spans="1:8" x14ac:dyDescent="0.25">
      <c r="A1778" s="31">
        <v>44608</v>
      </c>
      <c r="B1778" s="37" t="s">
        <v>5518</v>
      </c>
      <c r="C1778" s="38" t="s">
        <v>79</v>
      </c>
      <c r="D1778" s="34">
        <v>8052</v>
      </c>
      <c r="E1778" s="35">
        <v>44608</v>
      </c>
      <c r="F1778" s="34">
        <v>8052</v>
      </c>
      <c r="G1778" s="36">
        <f>Tabla13[[#This Row],[Importe]]-Tabla13[[#This Row],[Pagado]]</f>
        <v>0</v>
      </c>
      <c r="H1778" s="38" t="s">
        <v>10</v>
      </c>
    </row>
    <row r="1779" spans="1:8" x14ac:dyDescent="0.25">
      <c r="A1779" s="31">
        <v>44608</v>
      </c>
      <c r="B1779" s="37" t="s">
        <v>5519</v>
      </c>
      <c r="C1779" s="38" t="s">
        <v>5520</v>
      </c>
      <c r="D1779" s="34">
        <v>0</v>
      </c>
      <c r="E1779" s="39" t="s">
        <v>189</v>
      </c>
      <c r="F1779" s="34">
        <v>0</v>
      </c>
      <c r="G1779" s="36">
        <f>Tabla13[[#This Row],[Importe]]-Tabla13[[#This Row],[Pagado]]</f>
        <v>0</v>
      </c>
      <c r="H1779" s="40" t="s">
        <v>5521</v>
      </c>
    </row>
    <row r="1780" spans="1:8" x14ac:dyDescent="0.25">
      <c r="A1780" s="31">
        <v>44608</v>
      </c>
      <c r="B1780" s="37" t="s">
        <v>5522</v>
      </c>
      <c r="C1780" s="38" t="s">
        <v>37</v>
      </c>
      <c r="D1780" s="34">
        <v>3377</v>
      </c>
      <c r="E1780" s="35">
        <v>44608</v>
      </c>
      <c r="F1780" s="34">
        <v>3377</v>
      </c>
      <c r="G1780" s="36">
        <f>Tabla13[[#This Row],[Importe]]-Tabla13[[#This Row],[Pagado]]</f>
        <v>0</v>
      </c>
      <c r="H1780" s="38" t="s">
        <v>10</v>
      </c>
    </row>
    <row r="1781" spans="1:8" x14ac:dyDescent="0.25">
      <c r="A1781" s="31">
        <v>44608</v>
      </c>
      <c r="B1781" s="37" t="s">
        <v>5523</v>
      </c>
      <c r="C1781" s="38" t="s">
        <v>31</v>
      </c>
      <c r="D1781" s="34">
        <v>5180.3</v>
      </c>
      <c r="E1781" s="35">
        <v>44609</v>
      </c>
      <c r="F1781" s="34">
        <v>5180.3</v>
      </c>
      <c r="G1781" s="36">
        <f>Tabla13[[#This Row],[Importe]]-Tabla13[[#This Row],[Pagado]]</f>
        <v>0</v>
      </c>
      <c r="H1781" s="38" t="s">
        <v>10</v>
      </c>
    </row>
    <row r="1782" spans="1:8" x14ac:dyDescent="0.25">
      <c r="A1782" s="31">
        <v>44608</v>
      </c>
      <c r="B1782" s="37" t="s">
        <v>5524</v>
      </c>
      <c r="C1782" s="38" t="s">
        <v>3971</v>
      </c>
      <c r="D1782" s="34">
        <v>3670.8</v>
      </c>
      <c r="E1782" s="35">
        <v>44608</v>
      </c>
      <c r="F1782" s="34">
        <v>3670.8</v>
      </c>
      <c r="G1782" s="36">
        <f>Tabla13[[#This Row],[Importe]]-Tabla13[[#This Row],[Pagado]]</f>
        <v>0</v>
      </c>
      <c r="H1782" s="38" t="s">
        <v>10</v>
      </c>
    </row>
    <row r="1783" spans="1:8" x14ac:dyDescent="0.25">
      <c r="A1783" s="31">
        <v>44608</v>
      </c>
      <c r="B1783" s="37" t="s">
        <v>5525</v>
      </c>
      <c r="C1783" s="38" t="s">
        <v>133</v>
      </c>
      <c r="D1783" s="34">
        <v>9677.2999999999993</v>
      </c>
      <c r="E1783" s="35">
        <v>44609</v>
      </c>
      <c r="F1783" s="34">
        <v>9677.2999999999993</v>
      </c>
      <c r="G1783" s="36">
        <f>Tabla13[[#This Row],[Importe]]-Tabla13[[#This Row],[Pagado]]</f>
        <v>0</v>
      </c>
      <c r="H1783" s="38" t="s">
        <v>10</v>
      </c>
    </row>
    <row r="1784" spans="1:8" x14ac:dyDescent="0.25">
      <c r="A1784" s="31">
        <v>44608</v>
      </c>
      <c r="B1784" s="37" t="s">
        <v>5526</v>
      </c>
      <c r="C1784" s="38" t="s">
        <v>31</v>
      </c>
      <c r="D1784" s="34">
        <v>3895.5</v>
      </c>
      <c r="E1784" s="35">
        <v>44608</v>
      </c>
      <c r="F1784" s="34">
        <v>3895.5</v>
      </c>
      <c r="G1784" s="36">
        <f>Tabla13[[#This Row],[Importe]]-Tabla13[[#This Row],[Pagado]]</f>
        <v>0</v>
      </c>
      <c r="H1784" s="38" t="s">
        <v>10</v>
      </c>
    </row>
    <row r="1785" spans="1:8" x14ac:dyDescent="0.25">
      <c r="A1785" s="31">
        <v>44608</v>
      </c>
      <c r="B1785" s="37" t="s">
        <v>5527</v>
      </c>
      <c r="C1785" s="38" t="s">
        <v>154</v>
      </c>
      <c r="D1785" s="34">
        <v>36765.4</v>
      </c>
      <c r="E1785" s="35">
        <v>44616</v>
      </c>
      <c r="F1785" s="34">
        <v>36765.4</v>
      </c>
      <c r="G1785" s="36">
        <f>Tabla13[[#This Row],[Importe]]-Tabla13[[#This Row],[Pagado]]</f>
        <v>0</v>
      </c>
      <c r="H1785" s="38" t="s">
        <v>10</v>
      </c>
    </row>
    <row r="1786" spans="1:8" x14ac:dyDescent="0.25">
      <c r="A1786" s="31">
        <v>44608</v>
      </c>
      <c r="B1786" s="37" t="s">
        <v>5528</v>
      </c>
      <c r="C1786" s="38" t="s">
        <v>994</v>
      </c>
      <c r="D1786" s="34">
        <v>1416.7</v>
      </c>
      <c r="E1786" s="35">
        <v>44608</v>
      </c>
      <c r="F1786" s="34">
        <v>1416.7</v>
      </c>
      <c r="G1786" s="36">
        <f>Tabla13[[#This Row],[Importe]]-Tabla13[[#This Row],[Pagado]]</f>
        <v>0</v>
      </c>
      <c r="H1786" s="38" t="s">
        <v>10</v>
      </c>
    </row>
    <row r="1787" spans="1:8" x14ac:dyDescent="0.25">
      <c r="A1787" s="31">
        <v>44608</v>
      </c>
      <c r="B1787" s="37" t="s">
        <v>5529</v>
      </c>
      <c r="C1787" s="38" t="s">
        <v>382</v>
      </c>
      <c r="D1787" s="34">
        <v>5311</v>
      </c>
      <c r="E1787" s="35">
        <v>44608</v>
      </c>
      <c r="F1787" s="34">
        <v>5311</v>
      </c>
      <c r="G1787" s="36">
        <f>Tabla13[[#This Row],[Importe]]-Tabla13[[#This Row],[Pagado]]</f>
        <v>0</v>
      </c>
      <c r="H1787" s="38" t="s">
        <v>10</v>
      </c>
    </row>
    <row r="1788" spans="1:8" x14ac:dyDescent="0.25">
      <c r="A1788" s="31">
        <v>44608</v>
      </c>
      <c r="B1788" s="37" t="s">
        <v>5530</v>
      </c>
      <c r="C1788" s="38" t="s">
        <v>69</v>
      </c>
      <c r="D1788" s="34">
        <v>1857.6</v>
      </c>
      <c r="E1788" s="35">
        <v>44608</v>
      </c>
      <c r="F1788" s="34">
        <v>1857.6</v>
      </c>
      <c r="G1788" s="36">
        <f>Tabla13[[#This Row],[Importe]]-Tabla13[[#This Row],[Pagado]]</f>
        <v>0</v>
      </c>
      <c r="H1788" s="38" t="s">
        <v>10</v>
      </c>
    </row>
    <row r="1789" spans="1:8" x14ac:dyDescent="0.25">
      <c r="A1789" s="31">
        <v>44608</v>
      </c>
      <c r="B1789" s="37" t="s">
        <v>5531</v>
      </c>
      <c r="C1789" s="38" t="s">
        <v>261</v>
      </c>
      <c r="D1789" s="34">
        <v>40550.44</v>
      </c>
      <c r="E1789" s="35">
        <v>44608</v>
      </c>
      <c r="F1789" s="34">
        <v>40550.44</v>
      </c>
      <c r="G1789" s="36">
        <f>Tabla13[[#This Row],[Importe]]-Tabla13[[#This Row],[Pagado]]</f>
        <v>0</v>
      </c>
      <c r="H1789" s="38" t="s">
        <v>10</v>
      </c>
    </row>
    <row r="1790" spans="1:8" x14ac:dyDescent="0.25">
      <c r="A1790" s="31">
        <v>44608</v>
      </c>
      <c r="B1790" s="37" t="s">
        <v>5532</v>
      </c>
      <c r="C1790" s="38" t="s">
        <v>142</v>
      </c>
      <c r="D1790" s="34">
        <v>34550.68</v>
      </c>
      <c r="E1790" s="35">
        <v>44617</v>
      </c>
      <c r="F1790" s="34">
        <v>34550.68</v>
      </c>
      <c r="G1790" s="36">
        <f>Tabla13[[#This Row],[Importe]]-Tabla13[[#This Row],[Pagado]]</f>
        <v>0</v>
      </c>
      <c r="H1790" s="38" t="s">
        <v>10</v>
      </c>
    </row>
    <row r="1791" spans="1:8" x14ac:dyDescent="0.25">
      <c r="A1791" s="31">
        <v>44608</v>
      </c>
      <c r="B1791" s="37" t="s">
        <v>5533</v>
      </c>
      <c r="C1791" s="38" t="s">
        <v>555</v>
      </c>
      <c r="D1791" s="34">
        <v>23701.56</v>
      </c>
      <c r="E1791" s="35">
        <v>44608</v>
      </c>
      <c r="F1791" s="34">
        <v>23701.56</v>
      </c>
      <c r="G1791" s="36">
        <f>Tabla13[[#This Row],[Importe]]-Tabla13[[#This Row],[Pagado]]</f>
        <v>0</v>
      </c>
      <c r="H1791" s="38" t="s">
        <v>10</v>
      </c>
    </row>
    <row r="1792" spans="1:8" x14ac:dyDescent="0.25">
      <c r="A1792" s="31">
        <v>44608</v>
      </c>
      <c r="B1792" s="37" t="s">
        <v>5534</v>
      </c>
      <c r="C1792" s="38" t="s">
        <v>2240</v>
      </c>
      <c r="D1792" s="34">
        <v>5791.44</v>
      </c>
      <c r="E1792" s="35">
        <v>44608</v>
      </c>
      <c r="F1792" s="34">
        <v>5791.44</v>
      </c>
      <c r="G1792" s="36">
        <f>Tabla13[[#This Row],[Importe]]-Tabla13[[#This Row],[Pagado]]</f>
        <v>0</v>
      </c>
      <c r="H1792" s="38" t="s">
        <v>10</v>
      </c>
    </row>
    <row r="1793" spans="1:8" x14ac:dyDescent="0.25">
      <c r="A1793" s="31">
        <v>44608</v>
      </c>
      <c r="B1793" s="37" t="s">
        <v>5535</v>
      </c>
      <c r="C1793" s="38" t="s">
        <v>555</v>
      </c>
      <c r="D1793" s="34">
        <v>13600</v>
      </c>
      <c r="E1793" s="35">
        <v>44608</v>
      </c>
      <c r="F1793" s="34">
        <v>13600</v>
      </c>
      <c r="G1793" s="36">
        <f>Tabla13[[#This Row],[Importe]]-Tabla13[[#This Row],[Pagado]]</f>
        <v>0</v>
      </c>
      <c r="H1793" s="38" t="s">
        <v>10</v>
      </c>
    </row>
    <row r="1794" spans="1:8" x14ac:dyDescent="0.25">
      <c r="A1794" s="31">
        <v>44608</v>
      </c>
      <c r="B1794" s="37" t="s">
        <v>5536</v>
      </c>
      <c r="C1794" s="38" t="s">
        <v>2114</v>
      </c>
      <c r="D1794" s="34">
        <v>1183.2</v>
      </c>
      <c r="E1794" s="35">
        <v>44608</v>
      </c>
      <c r="F1794" s="34">
        <v>1183.2</v>
      </c>
      <c r="G1794" s="36">
        <f>Tabla13[[#This Row],[Importe]]-Tabla13[[#This Row],[Pagado]]</f>
        <v>0</v>
      </c>
      <c r="H1794" s="38" t="s">
        <v>10</v>
      </c>
    </row>
    <row r="1795" spans="1:8" x14ac:dyDescent="0.25">
      <c r="A1795" s="31">
        <v>44608</v>
      </c>
      <c r="B1795" s="37" t="s">
        <v>5537</v>
      </c>
      <c r="C1795" s="38" t="s">
        <v>2114</v>
      </c>
      <c r="D1795" s="34">
        <v>423.4</v>
      </c>
      <c r="E1795" s="35">
        <v>44608</v>
      </c>
      <c r="F1795" s="34">
        <v>423.4</v>
      </c>
      <c r="G1795" s="36">
        <f>Tabla13[[#This Row],[Importe]]-Tabla13[[#This Row],[Pagado]]</f>
        <v>0</v>
      </c>
      <c r="H1795" s="38" t="s">
        <v>10</v>
      </c>
    </row>
    <row r="1796" spans="1:8" x14ac:dyDescent="0.25">
      <c r="A1796" s="31">
        <v>44608</v>
      </c>
      <c r="B1796" s="37" t="s">
        <v>5538</v>
      </c>
      <c r="C1796" s="38" t="s">
        <v>51</v>
      </c>
      <c r="D1796" s="34">
        <v>948.4</v>
      </c>
      <c r="E1796" s="35">
        <v>44608</v>
      </c>
      <c r="F1796" s="34">
        <v>948.4</v>
      </c>
      <c r="G1796" s="36">
        <f>Tabla13[[#This Row],[Importe]]-Tabla13[[#This Row],[Pagado]]</f>
        <v>0</v>
      </c>
      <c r="H1796" s="38" t="s">
        <v>10</v>
      </c>
    </row>
    <row r="1797" spans="1:8" x14ac:dyDescent="0.25">
      <c r="A1797" s="31">
        <v>44608</v>
      </c>
      <c r="B1797" s="37" t="s">
        <v>5539</v>
      </c>
      <c r="C1797" s="38" t="s">
        <v>670</v>
      </c>
      <c r="D1797" s="34">
        <v>3876</v>
      </c>
      <c r="E1797" s="35">
        <v>44608</v>
      </c>
      <c r="F1797" s="34">
        <v>3876</v>
      </c>
      <c r="G1797" s="36">
        <f>Tabla13[[#This Row],[Importe]]-Tabla13[[#This Row],[Pagado]]</f>
        <v>0</v>
      </c>
      <c r="H1797" s="38" t="s">
        <v>10</v>
      </c>
    </row>
    <row r="1798" spans="1:8" x14ac:dyDescent="0.25">
      <c r="A1798" s="31">
        <v>44608</v>
      </c>
      <c r="B1798" s="37" t="s">
        <v>5540</v>
      </c>
      <c r="C1798" s="38" t="s">
        <v>875</v>
      </c>
      <c r="D1798" s="34">
        <v>33670.400000000001</v>
      </c>
      <c r="E1798" s="35">
        <v>44608</v>
      </c>
      <c r="F1798" s="34">
        <v>33670.400000000001</v>
      </c>
      <c r="G1798" s="36">
        <f>Tabla13[[#This Row],[Importe]]-Tabla13[[#This Row],[Pagado]]</f>
        <v>0</v>
      </c>
      <c r="H1798" s="38" t="s">
        <v>10</v>
      </c>
    </row>
    <row r="1799" spans="1:8" x14ac:dyDescent="0.25">
      <c r="A1799" s="31">
        <v>44608</v>
      </c>
      <c r="B1799" s="37" t="s">
        <v>5541</v>
      </c>
      <c r="C1799" s="38" t="s">
        <v>5542</v>
      </c>
      <c r="D1799" s="34">
        <v>0</v>
      </c>
      <c r="E1799" s="39" t="s">
        <v>189</v>
      </c>
      <c r="F1799" s="34">
        <v>0</v>
      </c>
      <c r="G1799" s="36">
        <f>Tabla13[[#This Row],[Importe]]-Tabla13[[#This Row],[Pagado]]</f>
        <v>0</v>
      </c>
      <c r="H1799" s="38" t="s">
        <v>189</v>
      </c>
    </row>
    <row r="1800" spans="1:8" x14ac:dyDescent="0.25">
      <c r="A1800" s="31">
        <v>44608</v>
      </c>
      <c r="B1800" s="37" t="s">
        <v>5543</v>
      </c>
      <c r="C1800" s="38" t="s">
        <v>2151</v>
      </c>
      <c r="D1800" s="34">
        <v>4439.3999999999996</v>
      </c>
      <c r="E1800" s="35">
        <v>44608</v>
      </c>
      <c r="F1800" s="34">
        <v>4439.3999999999996</v>
      </c>
      <c r="G1800" s="36">
        <f>Tabla13[[#This Row],[Importe]]-Tabla13[[#This Row],[Pagado]]</f>
        <v>0</v>
      </c>
      <c r="H1800" s="38" t="s">
        <v>10</v>
      </c>
    </row>
    <row r="1801" spans="1:8" x14ac:dyDescent="0.25">
      <c r="A1801" s="31">
        <v>44608</v>
      </c>
      <c r="B1801" s="37" t="s">
        <v>5544</v>
      </c>
      <c r="C1801" s="38" t="s">
        <v>142</v>
      </c>
      <c r="D1801" s="34">
        <v>5383.2</v>
      </c>
      <c r="E1801" s="35">
        <v>44617</v>
      </c>
      <c r="F1801" s="34">
        <v>5383.2</v>
      </c>
      <c r="G1801" s="36">
        <f>Tabla13[[#This Row],[Importe]]-Tabla13[[#This Row],[Pagado]]</f>
        <v>0</v>
      </c>
      <c r="H1801" s="38" t="s">
        <v>10</v>
      </c>
    </row>
    <row r="1802" spans="1:8" x14ac:dyDescent="0.25">
      <c r="A1802" s="31">
        <v>44608</v>
      </c>
      <c r="B1802" s="37" t="s">
        <v>5545</v>
      </c>
      <c r="C1802" s="38" t="s">
        <v>407</v>
      </c>
      <c r="D1802" s="34">
        <v>6800</v>
      </c>
      <c r="E1802" s="35">
        <v>44617</v>
      </c>
      <c r="F1802" s="34">
        <v>6800</v>
      </c>
      <c r="G1802" s="36">
        <f>Tabla13[[#This Row],[Importe]]-Tabla13[[#This Row],[Pagado]]</f>
        <v>0</v>
      </c>
      <c r="H1802" s="38" t="s">
        <v>10</v>
      </c>
    </row>
    <row r="1803" spans="1:8" x14ac:dyDescent="0.25">
      <c r="A1803" s="31">
        <v>44608</v>
      </c>
      <c r="B1803" s="37" t="s">
        <v>5546</v>
      </c>
      <c r="C1803" s="38" t="s">
        <v>56</v>
      </c>
      <c r="D1803" s="34">
        <v>6378.5</v>
      </c>
      <c r="E1803" s="35">
        <v>44608</v>
      </c>
      <c r="F1803" s="34">
        <v>6378.5</v>
      </c>
      <c r="G1803" s="36">
        <f>Tabla13[[#This Row],[Importe]]-Tabla13[[#This Row],[Pagado]]</f>
        <v>0</v>
      </c>
      <c r="H1803" s="38" t="s">
        <v>10</v>
      </c>
    </row>
    <row r="1804" spans="1:8" x14ac:dyDescent="0.25">
      <c r="A1804" s="31">
        <v>44608</v>
      </c>
      <c r="B1804" s="37" t="s">
        <v>5547</v>
      </c>
      <c r="C1804" s="38" t="s">
        <v>240</v>
      </c>
      <c r="D1804" s="34">
        <v>3857</v>
      </c>
      <c r="E1804" s="35">
        <v>44608</v>
      </c>
      <c r="F1804" s="34">
        <v>3857</v>
      </c>
      <c r="G1804" s="36">
        <f>Tabla13[[#This Row],[Importe]]-Tabla13[[#This Row],[Pagado]]</f>
        <v>0</v>
      </c>
      <c r="H1804" s="38" t="s">
        <v>10</v>
      </c>
    </row>
    <row r="1805" spans="1:8" x14ac:dyDescent="0.25">
      <c r="A1805" s="31">
        <v>44608</v>
      </c>
      <c r="B1805" s="37" t="s">
        <v>5548</v>
      </c>
      <c r="C1805" s="38" t="s">
        <v>520</v>
      </c>
      <c r="D1805" s="34">
        <v>2032.8</v>
      </c>
      <c r="E1805" s="35">
        <v>44608</v>
      </c>
      <c r="F1805" s="34">
        <v>2032.8</v>
      </c>
      <c r="G1805" s="36">
        <f>Tabla13[[#This Row],[Importe]]-Tabla13[[#This Row],[Pagado]]</f>
        <v>0</v>
      </c>
      <c r="H1805" s="38" t="s">
        <v>10</v>
      </c>
    </row>
    <row r="1806" spans="1:8" x14ac:dyDescent="0.25">
      <c r="A1806" s="31">
        <v>44608</v>
      </c>
      <c r="B1806" s="37" t="s">
        <v>5549</v>
      </c>
      <c r="C1806" s="38" t="s">
        <v>157</v>
      </c>
      <c r="D1806" s="34">
        <v>1534.5</v>
      </c>
      <c r="E1806" s="35">
        <v>44608</v>
      </c>
      <c r="F1806" s="34">
        <v>1534.5</v>
      </c>
      <c r="G1806" s="36">
        <f>Tabla13[[#This Row],[Importe]]-Tabla13[[#This Row],[Pagado]]</f>
        <v>0</v>
      </c>
      <c r="H1806" s="38" t="s">
        <v>10</v>
      </c>
    </row>
    <row r="1807" spans="1:8" x14ac:dyDescent="0.25">
      <c r="A1807" s="31">
        <v>44608</v>
      </c>
      <c r="B1807" s="37" t="s">
        <v>5550</v>
      </c>
      <c r="C1807" s="38" t="s">
        <v>159</v>
      </c>
      <c r="D1807" s="34">
        <v>1399.2</v>
      </c>
      <c r="E1807" s="35">
        <v>44608</v>
      </c>
      <c r="F1807" s="34">
        <v>1399.2</v>
      </c>
      <c r="G1807" s="36">
        <f>Tabla13[[#This Row],[Importe]]-Tabla13[[#This Row],[Pagado]]</f>
        <v>0</v>
      </c>
      <c r="H1807" s="38" t="s">
        <v>10</v>
      </c>
    </row>
    <row r="1808" spans="1:8" x14ac:dyDescent="0.25">
      <c r="A1808" s="31">
        <v>44608</v>
      </c>
      <c r="B1808" s="37" t="s">
        <v>5551</v>
      </c>
      <c r="C1808" s="38" t="s">
        <v>151</v>
      </c>
      <c r="D1808" s="34">
        <v>4742.3999999999996</v>
      </c>
      <c r="E1808" s="35">
        <v>44608</v>
      </c>
      <c r="F1808" s="34">
        <v>4742.3999999999996</v>
      </c>
      <c r="G1808" s="36">
        <f>Tabla13[[#This Row],[Importe]]-Tabla13[[#This Row],[Pagado]]</f>
        <v>0</v>
      </c>
      <c r="H1808" s="38" t="s">
        <v>10</v>
      </c>
    </row>
    <row r="1809" spans="1:8" x14ac:dyDescent="0.25">
      <c r="A1809" s="31">
        <v>44608</v>
      </c>
      <c r="B1809" s="37" t="s">
        <v>5552</v>
      </c>
      <c r="C1809" s="38" t="s">
        <v>525</v>
      </c>
      <c r="D1809" s="34">
        <v>346.5</v>
      </c>
      <c r="E1809" s="35">
        <v>44608</v>
      </c>
      <c r="F1809" s="34">
        <v>346.5</v>
      </c>
      <c r="G1809" s="36">
        <f>Tabla13[[#This Row],[Importe]]-Tabla13[[#This Row],[Pagado]]</f>
        <v>0</v>
      </c>
      <c r="H1809" s="38" t="s">
        <v>10</v>
      </c>
    </row>
    <row r="1810" spans="1:8" x14ac:dyDescent="0.25">
      <c r="A1810" s="31">
        <v>44608</v>
      </c>
      <c r="B1810" s="37" t="s">
        <v>5553</v>
      </c>
      <c r="C1810" s="38" t="s">
        <v>319</v>
      </c>
      <c r="D1810" s="34">
        <v>4496.5</v>
      </c>
      <c r="E1810" s="35">
        <v>44608</v>
      </c>
      <c r="F1810" s="34">
        <v>4496.5</v>
      </c>
      <c r="G1810" s="36">
        <f>Tabla13[[#This Row],[Importe]]-Tabla13[[#This Row],[Pagado]]</f>
        <v>0</v>
      </c>
      <c r="H1810" s="38" t="s">
        <v>10</v>
      </c>
    </row>
    <row r="1811" spans="1:8" x14ac:dyDescent="0.25">
      <c r="A1811" s="31">
        <v>44608</v>
      </c>
      <c r="B1811" s="37" t="s">
        <v>5554</v>
      </c>
      <c r="C1811" s="38" t="s">
        <v>275</v>
      </c>
      <c r="D1811" s="34">
        <v>65837.64</v>
      </c>
      <c r="E1811" s="35">
        <v>44617</v>
      </c>
      <c r="F1811" s="34">
        <v>65837.64</v>
      </c>
      <c r="G1811" s="36">
        <f>Tabla13[[#This Row],[Importe]]-Tabla13[[#This Row],[Pagado]]</f>
        <v>0</v>
      </c>
      <c r="H1811" s="38" t="s">
        <v>10</v>
      </c>
    </row>
    <row r="1812" spans="1:8" x14ac:dyDescent="0.25">
      <c r="A1812" s="31">
        <v>44608</v>
      </c>
      <c r="B1812" s="37" t="s">
        <v>5555</v>
      </c>
      <c r="C1812" s="38" t="s">
        <v>107</v>
      </c>
      <c r="D1812" s="34">
        <v>12137.2</v>
      </c>
      <c r="E1812" s="35">
        <v>44608</v>
      </c>
      <c r="F1812" s="34">
        <v>12137.2</v>
      </c>
      <c r="G1812" s="36">
        <f>Tabla13[[#This Row],[Importe]]-Tabla13[[#This Row],[Pagado]]</f>
        <v>0</v>
      </c>
      <c r="H1812" s="38" t="s">
        <v>10</v>
      </c>
    </row>
    <row r="1813" spans="1:8" x14ac:dyDescent="0.25">
      <c r="A1813" s="31">
        <v>44608</v>
      </c>
      <c r="B1813" s="37" t="s">
        <v>5556</v>
      </c>
      <c r="C1813" s="38" t="s">
        <v>196</v>
      </c>
      <c r="D1813" s="34">
        <v>122099.28</v>
      </c>
      <c r="E1813" s="35">
        <v>44610</v>
      </c>
      <c r="F1813" s="34">
        <v>122099.28</v>
      </c>
      <c r="G1813" s="36">
        <f>Tabla13[[#This Row],[Importe]]-Tabla13[[#This Row],[Pagado]]</f>
        <v>0</v>
      </c>
      <c r="H1813" s="38" t="s">
        <v>10</v>
      </c>
    </row>
    <row r="1814" spans="1:8" x14ac:dyDescent="0.25">
      <c r="A1814" s="31">
        <v>44608</v>
      </c>
      <c r="B1814" s="37" t="s">
        <v>5557</v>
      </c>
      <c r="C1814" s="38" t="s">
        <v>196</v>
      </c>
      <c r="D1814" s="34">
        <v>4846.3999999999996</v>
      </c>
      <c r="E1814" s="35">
        <v>44610</v>
      </c>
      <c r="F1814" s="34">
        <v>4846.3999999999996</v>
      </c>
      <c r="G1814" s="36">
        <f>Tabla13[[#This Row],[Importe]]-Tabla13[[#This Row],[Pagado]]</f>
        <v>0</v>
      </c>
      <c r="H1814" s="38" t="s">
        <v>10</v>
      </c>
    </row>
    <row r="1815" spans="1:8" x14ac:dyDescent="0.25">
      <c r="A1815" s="31">
        <v>44608</v>
      </c>
      <c r="B1815" s="37" t="s">
        <v>5558</v>
      </c>
      <c r="C1815" s="38" t="s">
        <v>71</v>
      </c>
      <c r="D1815" s="34">
        <v>1101.5999999999999</v>
      </c>
      <c r="E1815" s="35">
        <v>44608</v>
      </c>
      <c r="F1815" s="34">
        <v>1101.5999999999999</v>
      </c>
      <c r="G1815" s="36">
        <f>Tabla13[[#This Row],[Importe]]-Tabla13[[#This Row],[Pagado]]</f>
        <v>0</v>
      </c>
      <c r="H1815" s="38" t="s">
        <v>10</v>
      </c>
    </row>
    <row r="1816" spans="1:8" x14ac:dyDescent="0.25">
      <c r="A1816" s="31">
        <v>44608</v>
      </c>
      <c r="B1816" s="37" t="s">
        <v>5559</v>
      </c>
      <c r="C1816" s="38" t="s">
        <v>14</v>
      </c>
      <c r="D1816" s="34">
        <v>19738</v>
      </c>
      <c r="E1816" s="35">
        <v>44608</v>
      </c>
      <c r="F1816" s="34">
        <v>19738</v>
      </c>
      <c r="G1816" s="36">
        <f>Tabla13[[#This Row],[Importe]]-Tabla13[[#This Row],[Pagado]]</f>
        <v>0</v>
      </c>
      <c r="H1816" s="38" t="s">
        <v>10</v>
      </c>
    </row>
    <row r="1817" spans="1:8" x14ac:dyDescent="0.25">
      <c r="A1817" s="31">
        <v>44608</v>
      </c>
      <c r="B1817" s="37" t="s">
        <v>5560</v>
      </c>
      <c r="C1817" s="38" t="s">
        <v>400</v>
      </c>
      <c r="D1817" s="34">
        <v>7004.3</v>
      </c>
      <c r="E1817" s="35">
        <v>44615</v>
      </c>
      <c r="F1817" s="34">
        <v>7004.3</v>
      </c>
      <c r="G1817" s="36">
        <f>Tabla13[[#This Row],[Importe]]-Tabla13[[#This Row],[Pagado]]</f>
        <v>0</v>
      </c>
      <c r="H1817" s="38" t="s">
        <v>10</v>
      </c>
    </row>
    <row r="1818" spans="1:8" x14ac:dyDescent="0.25">
      <c r="A1818" s="31">
        <v>44608</v>
      </c>
      <c r="B1818" s="37" t="s">
        <v>5561</v>
      </c>
      <c r="C1818" s="38" t="s">
        <v>291</v>
      </c>
      <c r="D1818" s="34">
        <v>2820</v>
      </c>
      <c r="E1818" s="35">
        <v>44608</v>
      </c>
      <c r="F1818" s="34">
        <v>2820</v>
      </c>
      <c r="G1818" s="36">
        <f>Tabla13[[#This Row],[Importe]]-Tabla13[[#This Row],[Pagado]]</f>
        <v>0</v>
      </c>
      <c r="H1818" s="38" t="s">
        <v>10</v>
      </c>
    </row>
    <row r="1819" spans="1:8" x14ac:dyDescent="0.25">
      <c r="A1819" s="31">
        <v>44608</v>
      </c>
      <c r="B1819" s="37" t="s">
        <v>5562</v>
      </c>
      <c r="C1819" s="38" t="s">
        <v>14</v>
      </c>
      <c r="D1819" s="34">
        <v>2665.2</v>
      </c>
      <c r="E1819" s="35">
        <v>44608</v>
      </c>
      <c r="F1819" s="34">
        <v>2665.2</v>
      </c>
      <c r="G1819" s="36">
        <f>Tabla13[[#This Row],[Importe]]-Tabla13[[#This Row],[Pagado]]</f>
        <v>0</v>
      </c>
      <c r="H1819" s="38" t="s">
        <v>10</v>
      </c>
    </row>
    <row r="1820" spans="1:8" x14ac:dyDescent="0.25">
      <c r="A1820" s="31">
        <v>44608</v>
      </c>
      <c r="B1820" s="37" t="s">
        <v>5563</v>
      </c>
      <c r="C1820" s="38" t="s">
        <v>31</v>
      </c>
      <c r="D1820" s="34">
        <v>2481</v>
      </c>
      <c r="E1820" s="35">
        <v>44608</v>
      </c>
      <c r="F1820" s="34">
        <v>2481</v>
      </c>
      <c r="G1820" s="36">
        <f>Tabla13[[#This Row],[Importe]]-Tabla13[[#This Row],[Pagado]]</f>
        <v>0</v>
      </c>
      <c r="H1820" s="38" t="s">
        <v>10</v>
      </c>
    </row>
    <row r="1821" spans="1:8" x14ac:dyDescent="0.25">
      <c r="A1821" s="31">
        <v>44608</v>
      </c>
      <c r="B1821" s="37" t="s">
        <v>5564</v>
      </c>
      <c r="C1821" s="38" t="s">
        <v>284</v>
      </c>
      <c r="D1821" s="34">
        <v>5731.2</v>
      </c>
      <c r="E1821" s="35">
        <v>44609</v>
      </c>
      <c r="F1821" s="34">
        <v>5731.2</v>
      </c>
      <c r="G1821" s="36">
        <f>Tabla13[[#This Row],[Importe]]-Tabla13[[#This Row],[Pagado]]</f>
        <v>0</v>
      </c>
      <c r="H1821" s="38" t="s">
        <v>10</v>
      </c>
    </row>
    <row r="1822" spans="1:8" x14ac:dyDescent="0.25">
      <c r="A1822" s="31">
        <v>44608</v>
      </c>
      <c r="B1822" s="37" t="s">
        <v>5565</v>
      </c>
      <c r="C1822" s="38" t="s">
        <v>75</v>
      </c>
      <c r="D1822" s="34">
        <v>2976</v>
      </c>
      <c r="E1822" s="35">
        <v>44609</v>
      </c>
      <c r="F1822" s="34">
        <v>2976</v>
      </c>
      <c r="G1822" s="36">
        <f>Tabla13[[#This Row],[Importe]]-Tabla13[[#This Row],[Pagado]]</f>
        <v>0</v>
      </c>
      <c r="H1822" s="38" t="s">
        <v>10</v>
      </c>
    </row>
    <row r="1823" spans="1:8" x14ac:dyDescent="0.25">
      <c r="A1823" s="31">
        <v>44608</v>
      </c>
      <c r="B1823" s="37" t="s">
        <v>5566</v>
      </c>
      <c r="C1823" s="38" t="s">
        <v>1481</v>
      </c>
      <c r="D1823" s="34">
        <v>2653.3</v>
      </c>
      <c r="E1823" s="35">
        <v>44609</v>
      </c>
      <c r="F1823" s="34">
        <v>2653.3</v>
      </c>
      <c r="G1823" s="36">
        <f>Tabla13[[#This Row],[Importe]]-Tabla13[[#This Row],[Pagado]]</f>
        <v>0</v>
      </c>
      <c r="H1823" s="38" t="s">
        <v>10</v>
      </c>
    </row>
    <row r="1824" spans="1:8" x14ac:dyDescent="0.25">
      <c r="A1824" s="31">
        <v>44608</v>
      </c>
      <c r="B1824" s="37" t="s">
        <v>5567</v>
      </c>
      <c r="C1824" s="38" t="s">
        <v>368</v>
      </c>
      <c r="D1824" s="34">
        <v>2960</v>
      </c>
      <c r="E1824" s="35">
        <v>44609</v>
      </c>
      <c r="F1824" s="34">
        <v>2960</v>
      </c>
      <c r="G1824" s="36">
        <f>Tabla13[[#This Row],[Importe]]-Tabla13[[#This Row],[Pagado]]</f>
        <v>0</v>
      </c>
      <c r="H1824" s="38" t="s">
        <v>10</v>
      </c>
    </row>
    <row r="1825" spans="1:8" x14ac:dyDescent="0.25">
      <c r="A1825" s="31">
        <v>44608</v>
      </c>
      <c r="B1825" s="37" t="s">
        <v>5568</v>
      </c>
      <c r="C1825" s="38" t="s">
        <v>442</v>
      </c>
      <c r="D1825" s="34">
        <v>3050.88</v>
      </c>
      <c r="E1825" s="35">
        <v>44608</v>
      </c>
      <c r="F1825" s="34">
        <v>3050.88</v>
      </c>
      <c r="G1825" s="36">
        <f>Tabla13[[#This Row],[Importe]]-Tabla13[[#This Row],[Pagado]]</f>
        <v>0</v>
      </c>
      <c r="H1825" s="38" t="s">
        <v>10</v>
      </c>
    </row>
    <row r="1826" spans="1:8" x14ac:dyDescent="0.25">
      <c r="A1826" s="31">
        <v>44608</v>
      </c>
      <c r="B1826" s="37" t="s">
        <v>5569</v>
      </c>
      <c r="C1826" s="38" t="s">
        <v>1016</v>
      </c>
      <c r="D1826" s="34">
        <v>31626.240000000002</v>
      </c>
      <c r="E1826" s="35">
        <v>44608</v>
      </c>
      <c r="F1826" s="34">
        <v>31626.240000000002</v>
      </c>
      <c r="G1826" s="36">
        <f>Tabla13[[#This Row],[Importe]]-Tabla13[[#This Row],[Pagado]]</f>
        <v>0</v>
      </c>
      <c r="H1826" s="38" t="s">
        <v>10</v>
      </c>
    </row>
    <row r="1827" spans="1:8" x14ac:dyDescent="0.25">
      <c r="A1827" s="31">
        <v>44608</v>
      </c>
      <c r="B1827" s="37" t="s">
        <v>5570</v>
      </c>
      <c r="C1827" s="38" t="s">
        <v>4523</v>
      </c>
      <c r="D1827" s="34">
        <v>2262.6</v>
      </c>
      <c r="E1827" s="35">
        <v>44608</v>
      </c>
      <c r="F1827" s="34">
        <v>2262.6</v>
      </c>
      <c r="G1827" s="36">
        <f>Tabla13[[#This Row],[Importe]]-Tabla13[[#This Row],[Pagado]]</f>
        <v>0</v>
      </c>
      <c r="H1827" s="38" t="s">
        <v>10</v>
      </c>
    </row>
    <row r="1828" spans="1:8" x14ac:dyDescent="0.25">
      <c r="A1828" s="31">
        <v>44608</v>
      </c>
      <c r="B1828" s="37" t="s">
        <v>5571</v>
      </c>
      <c r="C1828" s="38" t="s">
        <v>610</v>
      </c>
      <c r="D1828" s="34">
        <v>17001.599999999999</v>
      </c>
      <c r="E1828" s="35">
        <v>44608</v>
      </c>
      <c r="F1828" s="34">
        <v>17001.599999999999</v>
      </c>
      <c r="G1828" s="36">
        <f>Tabla13[[#This Row],[Importe]]-Tabla13[[#This Row],[Pagado]]</f>
        <v>0</v>
      </c>
      <c r="H1828" s="38" t="s">
        <v>10</v>
      </c>
    </row>
    <row r="1829" spans="1:8" x14ac:dyDescent="0.25">
      <c r="A1829" s="31">
        <v>44608</v>
      </c>
      <c r="B1829" s="37" t="s">
        <v>5572</v>
      </c>
      <c r="C1829" s="38" t="s">
        <v>610</v>
      </c>
      <c r="D1829" s="34">
        <v>5035.24</v>
      </c>
      <c r="E1829" s="35">
        <v>44608</v>
      </c>
      <c r="F1829" s="34">
        <v>5035.24</v>
      </c>
      <c r="G1829" s="36">
        <f>Tabla13[[#This Row],[Importe]]-Tabla13[[#This Row],[Pagado]]</f>
        <v>0</v>
      </c>
      <c r="H1829" s="38" t="s">
        <v>10</v>
      </c>
    </row>
    <row r="1830" spans="1:8" x14ac:dyDescent="0.25">
      <c r="A1830" s="31">
        <v>44608</v>
      </c>
      <c r="B1830" s="37" t="s">
        <v>5573</v>
      </c>
      <c r="C1830" s="38" t="s">
        <v>463</v>
      </c>
      <c r="D1830" s="34">
        <v>550</v>
      </c>
      <c r="E1830" s="35">
        <v>44608</v>
      </c>
      <c r="F1830" s="34">
        <v>550</v>
      </c>
      <c r="G1830" s="36">
        <f>Tabla13[[#This Row],[Importe]]-Tabla13[[#This Row],[Pagado]]</f>
        <v>0</v>
      </c>
      <c r="H1830" s="38" t="s">
        <v>10</v>
      </c>
    </row>
    <row r="1831" spans="1:8" x14ac:dyDescent="0.25">
      <c r="A1831" s="31">
        <v>44608</v>
      </c>
      <c r="B1831" s="37" t="s">
        <v>5574</v>
      </c>
      <c r="C1831" s="38" t="s">
        <v>53</v>
      </c>
      <c r="D1831" s="34">
        <v>1896</v>
      </c>
      <c r="E1831" s="35">
        <v>44608</v>
      </c>
      <c r="F1831" s="34">
        <v>1896</v>
      </c>
      <c r="G1831" s="36">
        <f>Tabla13[[#This Row],[Importe]]-Tabla13[[#This Row],[Pagado]]</f>
        <v>0</v>
      </c>
      <c r="H1831" s="38" t="s">
        <v>10</v>
      </c>
    </row>
    <row r="1832" spans="1:8" x14ac:dyDescent="0.25">
      <c r="A1832" s="31">
        <v>44608</v>
      </c>
      <c r="B1832" s="37" t="s">
        <v>5575</v>
      </c>
      <c r="C1832" s="38" t="s">
        <v>452</v>
      </c>
      <c r="D1832" s="34">
        <v>1514.8</v>
      </c>
      <c r="E1832" s="35">
        <v>44608</v>
      </c>
      <c r="F1832" s="34">
        <v>1514.8</v>
      </c>
      <c r="G1832" s="36">
        <f>Tabla13[[#This Row],[Importe]]-Tabla13[[#This Row],[Pagado]]</f>
        <v>0</v>
      </c>
      <c r="H1832" s="38" t="s">
        <v>10</v>
      </c>
    </row>
    <row r="1833" spans="1:8" x14ac:dyDescent="0.25">
      <c r="A1833" s="31">
        <v>44608</v>
      </c>
      <c r="B1833" s="37" t="s">
        <v>5576</v>
      </c>
      <c r="C1833" s="38" t="s">
        <v>296</v>
      </c>
      <c r="D1833" s="34">
        <v>1464</v>
      </c>
      <c r="E1833" s="35">
        <v>44608</v>
      </c>
      <c r="F1833" s="34">
        <v>1464</v>
      </c>
      <c r="G1833" s="36">
        <f>Tabla13[[#This Row],[Importe]]-Tabla13[[#This Row],[Pagado]]</f>
        <v>0</v>
      </c>
      <c r="H1833" s="38" t="s">
        <v>10</v>
      </c>
    </row>
    <row r="1834" spans="1:8" x14ac:dyDescent="0.25">
      <c r="A1834" s="31">
        <v>44608</v>
      </c>
      <c r="B1834" s="37" t="s">
        <v>5577</v>
      </c>
      <c r="C1834" s="38" t="s">
        <v>179</v>
      </c>
      <c r="D1834" s="34">
        <v>816</v>
      </c>
      <c r="E1834" s="35">
        <v>44609</v>
      </c>
      <c r="F1834" s="34">
        <v>816</v>
      </c>
      <c r="G1834" s="36">
        <f>Tabla13[[#This Row],[Importe]]-Tabla13[[#This Row],[Pagado]]</f>
        <v>0</v>
      </c>
      <c r="H1834" s="38" t="s">
        <v>10</v>
      </c>
    </row>
    <row r="1835" spans="1:8" x14ac:dyDescent="0.25">
      <c r="A1835" s="31">
        <v>44609</v>
      </c>
      <c r="B1835" s="37" t="s">
        <v>5578</v>
      </c>
      <c r="C1835" s="38" t="s">
        <v>20</v>
      </c>
      <c r="D1835" s="34">
        <v>1776.6</v>
      </c>
      <c r="E1835" s="35">
        <v>44609</v>
      </c>
      <c r="F1835" s="34">
        <v>1776.6</v>
      </c>
      <c r="G1835" s="36">
        <f>Tabla13[[#This Row],[Importe]]-Tabla13[[#This Row],[Pagado]]</f>
        <v>0</v>
      </c>
      <c r="H1835" s="38" t="s">
        <v>10</v>
      </c>
    </row>
    <row r="1836" spans="1:8" x14ac:dyDescent="0.25">
      <c r="A1836" s="31">
        <v>44609</v>
      </c>
      <c r="B1836" s="37" t="s">
        <v>5579</v>
      </c>
      <c r="C1836" s="38" t="s">
        <v>79</v>
      </c>
      <c r="D1836" s="34">
        <v>1752</v>
      </c>
      <c r="E1836" s="35">
        <v>44609</v>
      </c>
      <c r="F1836" s="34">
        <v>1752</v>
      </c>
      <c r="G1836" s="36">
        <f>Tabla13[[#This Row],[Importe]]-Tabla13[[#This Row],[Pagado]]</f>
        <v>0</v>
      </c>
      <c r="H1836" s="38" t="s">
        <v>10</v>
      </c>
    </row>
    <row r="1837" spans="1:8" x14ac:dyDescent="0.25">
      <c r="A1837" s="31">
        <v>44609</v>
      </c>
      <c r="B1837" s="37" t="s">
        <v>5580</v>
      </c>
      <c r="C1837" s="38" t="s">
        <v>887</v>
      </c>
      <c r="D1837" s="34">
        <v>11025.4</v>
      </c>
      <c r="E1837" s="35">
        <v>44610</v>
      </c>
      <c r="F1837" s="34">
        <v>11025.4</v>
      </c>
      <c r="G1837" s="36">
        <f>Tabla13[[#This Row],[Importe]]-Tabla13[[#This Row],[Pagado]]</f>
        <v>0</v>
      </c>
      <c r="H1837" s="38" t="s">
        <v>10</v>
      </c>
    </row>
    <row r="1838" spans="1:8" x14ac:dyDescent="0.25">
      <c r="A1838" s="31">
        <v>44609</v>
      </c>
      <c r="B1838" s="37" t="s">
        <v>5581</v>
      </c>
      <c r="C1838" s="38" t="s">
        <v>31</v>
      </c>
      <c r="D1838" s="34">
        <v>3990</v>
      </c>
      <c r="E1838" s="35">
        <v>44609</v>
      </c>
      <c r="F1838" s="34">
        <v>3990</v>
      </c>
      <c r="G1838" s="36">
        <f>Tabla13[[#This Row],[Importe]]-Tabla13[[#This Row],[Pagado]]</f>
        <v>0</v>
      </c>
      <c r="H1838" s="38" t="s">
        <v>10</v>
      </c>
    </row>
    <row r="1839" spans="1:8" x14ac:dyDescent="0.25">
      <c r="A1839" s="31">
        <v>44609</v>
      </c>
      <c r="B1839" s="37" t="s">
        <v>5582</v>
      </c>
      <c r="C1839" s="38" t="s">
        <v>475</v>
      </c>
      <c r="D1839" s="34">
        <v>55845</v>
      </c>
      <c r="E1839" s="35">
        <v>44610</v>
      </c>
      <c r="F1839" s="34">
        <v>55845</v>
      </c>
      <c r="G1839" s="36">
        <f>Tabla13[[#This Row],[Importe]]-Tabla13[[#This Row],[Pagado]]</f>
        <v>0</v>
      </c>
      <c r="H1839" s="38" t="s">
        <v>10</v>
      </c>
    </row>
    <row r="1840" spans="1:8" x14ac:dyDescent="0.25">
      <c r="A1840" s="31">
        <v>44609</v>
      </c>
      <c r="B1840" s="37" t="s">
        <v>5583</v>
      </c>
      <c r="C1840" s="38" t="s">
        <v>371</v>
      </c>
      <c r="D1840" s="34">
        <v>10716.9</v>
      </c>
      <c r="E1840" s="35">
        <v>44609</v>
      </c>
      <c r="F1840" s="34">
        <v>10716.9</v>
      </c>
      <c r="G1840" s="36">
        <f>Tabla13[[#This Row],[Importe]]-Tabla13[[#This Row],[Pagado]]</f>
        <v>0</v>
      </c>
      <c r="H1840" s="38" t="s">
        <v>10</v>
      </c>
    </row>
    <row r="1841" spans="1:8" x14ac:dyDescent="0.25">
      <c r="A1841" s="31">
        <v>44609</v>
      </c>
      <c r="B1841" s="37" t="s">
        <v>5584</v>
      </c>
      <c r="C1841" s="38" t="s">
        <v>326</v>
      </c>
      <c r="D1841" s="34">
        <v>3892.8</v>
      </c>
      <c r="E1841" s="35">
        <v>44610</v>
      </c>
      <c r="F1841" s="34">
        <v>3892.8</v>
      </c>
      <c r="G1841" s="36">
        <f>Tabla13[[#This Row],[Importe]]-Tabla13[[#This Row],[Pagado]]</f>
        <v>0</v>
      </c>
      <c r="H1841" s="38" t="s">
        <v>10</v>
      </c>
    </row>
    <row r="1842" spans="1:8" x14ac:dyDescent="0.25">
      <c r="A1842" s="31">
        <v>44609</v>
      </c>
      <c r="B1842" s="37" t="s">
        <v>5585</v>
      </c>
      <c r="C1842" s="38" t="s">
        <v>60</v>
      </c>
      <c r="D1842" s="34">
        <v>4040</v>
      </c>
      <c r="E1842" s="35">
        <v>44612</v>
      </c>
      <c r="F1842" s="34">
        <v>4040</v>
      </c>
      <c r="G1842" s="36">
        <f>Tabla13[[#This Row],[Importe]]-Tabla13[[#This Row],[Pagado]]</f>
        <v>0</v>
      </c>
      <c r="H1842" s="38" t="s">
        <v>10</v>
      </c>
    </row>
    <row r="1843" spans="1:8" x14ac:dyDescent="0.25">
      <c r="A1843" s="31">
        <v>44609</v>
      </c>
      <c r="B1843" s="37" t="s">
        <v>5586</v>
      </c>
      <c r="C1843" s="38" t="s">
        <v>97</v>
      </c>
      <c r="D1843" s="34">
        <v>4003.2</v>
      </c>
      <c r="E1843" s="35">
        <v>44610</v>
      </c>
      <c r="F1843" s="34">
        <v>4003.2</v>
      </c>
      <c r="G1843" s="36">
        <f>Tabla13[[#This Row],[Importe]]-Tabla13[[#This Row],[Pagado]]</f>
        <v>0</v>
      </c>
      <c r="H1843" s="38" t="s">
        <v>10</v>
      </c>
    </row>
    <row r="1844" spans="1:8" x14ac:dyDescent="0.25">
      <c r="A1844" s="31">
        <v>44609</v>
      </c>
      <c r="B1844" s="37" t="s">
        <v>5587</v>
      </c>
      <c r="C1844" s="38" t="s">
        <v>114</v>
      </c>
      <c r="D1844" s="34">
        <v>3753.6</v>
      </c>
      <c r="E1844" s="35">
        <v>44610</v>
      </c>
      <c r="F1844" s="34">
        <v>3753.6</v>
      </c>
      <c r="G1844" s="36">
        <f>Tabla13[[#This Row],[Importe]]-Tabla13[[#This Row],[Pagado]]</f>
        <v>0</v>
      </c>
      <c r="H1844" s="38" t="s">
        <v>10</v>
      </c>
    </row>
    <row r="1845" spans="1:8" x14ac:dyDescent="0.25">
      <c r="A1845" s="31">
        <v>44609</v>
      </c>
      <c r="B1845" s="37" t="s">
        <v>5588</v>
      </c>
      <c r="C1845" s="38" t="s">
        <v>481</v>
      </c>
      <c r="D1845" s="34">
        <v>2000.9</v>
      </c>
      <c r="E1845" s="35">
        <v>44609</v>
      </c>
      <c r="F1845" s="34">
        <v>2000.9</v>
      </c>
      <c r="G1845" s="36">
        <f>Tabla13[[#This Row],[Importe]]-Tabla13[[#This Row],[Pagado]]</f>
        <v>0</v>
      </c>
      <c r="H1845" s="38" t="s">
        <v>10</v>
      </c>
    </row>
    <row r="1846" spans="1:8" x14ac:dyDescent="0.25">
      <c r="A1846" s="31">
        <v>44609</v>
      </c>
      <c r="B1846" s="37" t="s">
        <v>5589</v>
      </c>
      <c r="C1846" s="38" t="s">
        <v>109</v>
      </c>
      <c r="D1846" s="34">
        <v>3662.4</v>
      </c>
      <c r="E1846" s="35">
        <v>44610</v>
      </c>
      <c r="F1846" s="34">
        <v>3662.4</v>
      </c>
      <c r="G1846" s="36">
        <f>Tabla13[[#This Row],[Importe]]-Tabla13[[#This Row],[Pagado]]</f>
        <v>0</v>
      </c>
      <c r="H1846" s="38" t="s">
        <v>10</v>
      </c>
    </row>
    <row r="1847" spans="1:8" ht="31.5" x14ac:dyDescent="0.25">
      <c r="A1847" s="31">
        <v>44609</v>
      </c>
      <c r="B1847" s="37" t="s">
        <v>5590</v>
      </c>
      <c r="C1847" s="38" t="s">
        <v>39</v>
      </c>
      <c r="D1847" s="34">
        <v>18416</v>
      </c>
      <c r="E1847" s="35" t="s">
        <v>5591</v>
      </c>
      <c r="F1847" s="34">
        <f>4000+14416</f>
        <v>18416</v>
      </c>
      <c r="G1847" s="36">
        <f>Tabla13[[#This Row],[Importe]]-Tabla13[[#This Row],[Pagado]]</f>
        <v>0</v>
      </c>
      <c r="H1847" s="38" t="s">
        <v>10</v>
      </c>
    </row>
    <row r="1848" spans="1:8" x14ac:dyDescent="0.25">
      <c r="A1848" s="31">
        <v>44609</v>
      </c>
      <c r="B1848" s="37" t="s">
        <v>5592</v>
      </c>
      <c r="C1848" s="38" t="s">
        <v>64</v>
      </c>
      <c r="D1848" s="34">
        <v>4027.2</v>
      </c>
      <c r="E1848" s="35">
        <v>44610</v>
      </c>
      <c r="F1848" s="34">
        <v>4027.2</v>
      </c>
      <c r="G1848" s="36">
        <f>Tabla13[[#This Row],[Importe]]-Tabla13[[#This Row],[Pagado]]</f>
        <v>0</v>
      </c>
      <c r="H1848" s="38" t="s">
        <v>10</v>
      </c>
    </row>
    <row r="1849" spans="1:8" x14ac:dyDescent="0.25">
      <c r="A1849" s="31">
        <v>44609</v>
      </c>
      <c r="B1849" s="37" t="s">
        <v>5593</v>
      </c>
      <c r="C1849" s="38" t="s">
        <v>664</v>
      </c>
      <c r="D1849" s="34">
        <v>16912.8</v>
      </c>
      <c r="E1849" s="35">
        <v>44609</v>
      </c>
      <c r="F1849" s="34">
        <v>16912.8</v>
      </c>
      <c r="G1849" s="36">
        <f>Tabla13[[#This Row],[Importe]]-Tabla13[[#This Row],[Pagado]]</f>
        <v>0</v>
      </c>
      <c r="H1849" s="38" t="s">
        <v>10</v>
      </c>
    </row>
    <row r="1850" spans="1:8" x14ac:dyDescent="0.25">
      <c r="A1850" s="31">
        <v>44609</v>
      </c>
      <c r="B1850" s="37" t="s">
        <v>5594</v>
      </c>
      <c r="C1850" s="38" t="s">
        <v>111</v>
      </c>
      <c r="D1850" s="34">
        <v>3945.6</v>
      </c>
      <c r="E1850" s="35">
        <v>44610</v>
      </c>
      <c r="F1850" s="34">
        <v>3945.6</v>
      </c>
      <c r="G1850" s="36">
        <f>Tabla13[[#This Row],[Importe]]-Tabla13[[#This Row],[Pagado]]</f>
        <v>0</v>
      </c>
      <c r="H1850" s="38" t="s">
        <v>10</v>
      </c>
    </row>
    <row r="1851" spans="1:8" x14ac:dyDescent="0.25">
      <c r="A1851" s="31">
        <v>44609</v>
      </c>
      <c r="B1851" s="37" t="s">
        <v>5595</v>
      </c>
      <c r="C1851" s="38" t="s">
        <v>31</v>
      </c>
      <c r="D1851" s="34">
        <v>2067.9</v>
      </c>
      <c r="E1851" s="35">
        <v>44609</v>
      </c>
      <c r="F1851" s="34">
        <v>2067.9</v>
      </c>
      <c r="G1851" s="36">
        <f>Tabla13[[#This Row],[Importe]]-Tabla13[[#This Row],[Pagado]]</f>
        <v>0</v>
      </c>
      <c r="H1851" s="38" t="s">
        <v>10</v>
      </c>
    </row>
    <row r="1852" spans="1:8" x14ac:dyDescent="0.25">
      <c r="A1852" s="31">
        <v>44609</v>
      </c>
      <c r="B1852" s="37" t="s">
        <v>5596</v>
      </c>
      <c r="C1852" s="38" t="s">
        <v>144</v>
      </c>
      <c r="D1852" s="34">
        <v>4263</v>
      </c>
      <c r="E1852" s="35">
        <v>44609</v>
      </c>
      <c r="F1852" s="34">
        <v>4263</v>
      </c>
      <c r="G1852" s="36">
        <f>Tabla13[[#This Row],[Importe]]-Tabla13[[#This Row],[Pagado]]</f>
        <v>0</v>
      </c>
      <c r="H1852" s="38" t="s">
        <v>10</v>
      </c>
    </row>
    <row r="1853" spans="1:8" x14ac:dyDescent="0.25">
      <c r="A1853" s="31">
        <v>44609</v>
      </c>
      <c r="B1853" s="37" t="s">
        <v>5597</v>
      </c>
      <c r="C1853" s="38" t="s">
        <v>22</v>
      </c>
      <c r="D1853" s="34">
        <v>31649.3</v>
      </c>
      <c r="E1853" s="35">
        <v>44611</v>
      </c>
      <c r="F1853" s="34">
        <v>31649.3</v>
      </c>
      <c r="G1853" s="36">
        <f>Tabla13[[#This Row],[Importe]]-Tabla13[[#This Row],[Pagado]]</f>
        <v>0</v>
      </c>
      <c r="H1853" s="38" t="s">
        <v>10</v>
      </c>
    </row>
    <row r="1854" spans="1:8" x14ac:dyDescent="0.25">
      <c r="A1854" s="31">
        <v>44609</v>
      </c>
      <c r="B1854" s="37" t="s">
        <v>5598</v>
      </c>
      <c r="C1854" s="38" t="s">
        <v>111</v>
      </c>
      <c r="D1854" s="34">
        <v>900.9</v>
      </c>
      <c r="E1854" s="35">
        <v>44610</v>
      </c>
      <c r="F1854" s="34">
        <v>900.9</v>
      </c>
      <c r="G1854" s="36">
        <f>Tabla13[[#This Row],[Importe]]-Tabla13[[#This Row],[Pagado]]</f>
        <v>0</v>
      </c>
      <c r="H1854" s="38" t="s">
        <v>10</v>
      </c>
    </row>
    <row r="1855" spans="1:8" x14ac:dyDescent="0.25">
      <c r="A1855" s="31">
        <v>44609</v>
      </c>
      <c r="B1855" s="37" t="s">
        <v>5599</v>
      </c>
      <c r="C1855" s="38" t="s">
        <v>49</v>
      </c>
      <c r="D1855" s="34">
        <v>2288.1999999999998</v>
      </c>
      <c r="E1855" s="35">
        <v>44610</v>
      </c>
      <c r="F1855" s="34">
        <v>2288.1999999999998</v>
      </c>
      <c r="G1855" s="36">
        <f>Tabla13[[#This Row],[Importe]]-Tabla13[[#This Row],[Pagado]]</f>
        <v>0</v>
      </c>
      <c r="H1855" s="38" t="s">
        <v>10</v>
      </c>
    </row>
    <row r="1856" spans="1:8" x14ac:dyDescent="0.25">
      <c r="A1856" s="31">
        <v>44609</v>
      </c>
      <c r="B1856" s="37" t="s">
        <v>5600</v>
      </c>
      <c r="C1856" s="38" t="s">
        <v>89</v>
      </c>
      <c r="D1856" s="34">
        <v>2524.5</v>
      </c>
      <c r="E1856" s="35">
        <v>44610</v>
      </c>
      <c r="F1856" s="34">
        <v>2524.5</v>
      </c>
      <c r="G1856" s="36">
        <f>Tabla13[[#This Row],[Importe]]-Tabla13[[#This Row],[Pagado]]</f>
        <v>0</v>
      </c>
      <c r="H1856" s="38" t="s">
        <v>10</v>
      </c>
    </row>
    <row r="1857" spans="1:8" x14ac:dyDescent="0.25">
      <c r="A1857" s="31">
        <v>44609</v>
      </c>
      <c r="B1857" s="37" t="s">
        <v>5601</v>
      </c>
      <c r="C1857" s="38" t="s">
        <v>222</v>
      </c>
      <c r="D1857" s="34">
        <v>7328.4</v>
      </c>
      <c r="E1857" s="35">
        <v>44609</v>
      </c>
      <c r="F1857" s="34">
        <v>7328.4</v>
      </c>
      <c r="G1857" s="36">
        <f>Tabla13[[#This Row],[Importe]]-Tabla13[[#This Row],[Pagado]]</f>
        <v>0</v>
      </c>
      <c r="H1857" s="38" t="s">
        <v>10</v>
      </c>
    </row>
    <row r="1858" spans="1:8" x14ac:dyDescent="0.25">
      <c r="A1858" s="31">
        <v>44609</v>
      </c>
      <c r="B1858" s="37" t="s">
        <v>5602</v>
      </c>
      <c r="C1858" s="38" t="s">
        <v>87</v>
      </c>
      <c r="D1858" s="34">
        <v>2221.1999999999998</v>
      </c>
      <c r="E1858" s="35">
        <v>44609</v>
      </c>
      <c r="F1858" s="34">
        <v>2221.1999999999998</v>
      </c>
      <c r="G1858" s="36">
        <f>Tabla13[[#This Row],[Importe]]-Tabla13[[#This Row],[Pagado]]</f>
        <v>0</v>
      </c>
      <c r="H1858" s="38" t="s">
        <v>10</v>
      </c>
    </row>
    <row r="1859" spans="1:8" x14ac:dyDescent="0.25">
      <c r="A1859" s="31">
        <v>44609</v>
      </c>
      <c r="B1859" s="37" t="s">
        <v>5603</v>
      </c>
      <c r="C1859" s="38" t="s">
        <v>9</v>
      </c>
      <c r="D1859" s="34">
        <v>5916.9</v>
      </c>
      <c r="E1859" s="35">
        <v>44609</v>
      </c>
      <c r="F1859" s="34">
        <v>5916.9</v>
      </c>
      <c r="G1859" s="36">
        <f>Tabla13[[#This Row],[Importe]]-Tabla13[[#This Row],[Pagado]]</f>
        <v>0</v>
      </c>
      <c r="H1859" s="38" t="s">
        <v>10</v>
      </c>
    </row>
    <row r="1860" spans="1:8" x14ac:dyDescent="0.25">
      <c r="A1860" s="31">
        <v>44609</v>
      </c>
      <c r="B1860" s="37" t="s">
        <v>5604</v>
      </c>
      <c r="C1860" s="38" t="s">
        <v>95</v>
      </c>
      <c r="D1860" s="34">
        <v>17772.599999999999</v>
      </c>
      <c r="E1860" s="35">
        <v>44609</v>
      </c>
      <c r="F1860" s="34">
        <v>17772.599999999999</v>
      </c>
      <c r="G1860" s="36">
        <f>Tabla13[[#This Row],[Importe]]-Tabla13[[#This Row],[Pagado]]</f>
        <v>0</v>
      </c>
      <c r="H1860" s="38" t="s">
        <v>10</v>
      </c>
    </row>
    <row r="1861" spans="1:8" x14ac:dyDescent="0.25">
      <c r="A1861" s="31">
        <v>44609</v>
      </c>
      <c r="B1861" s="37" t="s">
        <v>5605</v>
      </c>
      <c r="C1861" s="38" t="s">
        <v>125</v>
      </c>
      <c r="D1861" s="34">
        <v>3431.4</v>
      </c>
      <c r="E1861" s="35">
        <v>44609</v>
      </c>
      <c r="F1861" s="34">
        <v>3431.4</v>
      </c>
      <c r="G1861" s="36">
        <f>Tabla13[[#This Row],[Importe]]-Tabla13[[#This Row],[Pagado]]</f>
        <v>0</v>
      </c>
      <c r="H1861" s="38" t="s">
        <v>10</v>
      </c>
    </row>
    <row r="1862" spans="1:8" x14ac:dyDescent="0.25">
      <c r="A1862" s="31">
        <v>44609</v>
      </c>
      <c r="B1862" s="37" t="s">
        <v>5606</v>
      </c>
      <c r="C1862" s="38" t="s">
        <v>12</v>
      </c>
      <c r="D1862" s="34">
        <v>32425.8</v>
      </c>
      <c r="E1862" s="35">
        <v>44610</v>
      </c>
      <c r="F1862" s="34">
        <v>32425.8</v>
      </c>
      <c r="G1862" s="36">
        <f>Tabla13[[#This Row],[Importe]]-Tabla13[[#This Row],[Pagado]]</f>
        <v>0</v>
      </c>
      <c r="H1862" s="38" t="s">
        <v>10</v>
      </c>
    </row>
    <row r="1863" spans="1:8" x14ac:dyDescent="0.25">
      <c r="A1863" s="31">
        <v>44609</v>
      </c>
      <c r="B1863" s="37" t="s">
        <v>5607</v>
      </c>
      <c r="C1863" s="38" t="s">
        <v>18</v>
      </c>
      <c r="D1863" s="34">
        <v>1212</v>
      </c>
      <c r="E1863" s="35">
        <v>44609</v>
      </c>
      <c r="F1863" s="34">
        <v>1212</v>
      </c>
      <c r="G1863" s="36">
        <f>Tabla13[[#This Row],[Importe]]-Tabla13[[#This Row],[Pagado]]</f>
        <v>0</v>
      </c>
      <c r="H1863" s="38" t="s">
        <v>10</v>
      </c>
    </row>
    <row r="1864" spans="1:8" x14ac:dyDescent="0.25">
      <c r="A1864" s="31">
        <v>44609</v>
      </c>
      <c r="B1864" s="37" t="s">
        <v>5608</v>
      </c>
      <c r="C1864" s="38" t="s">
        <v>146</v>
      </c>
      <c r="D1864" s="34">
        <v>2702.5</v>
      </c>
      <c r="E1864" s="35">
        <v>44609</v>
      </c>
      <c r="F1864" s="34">
        <v>2702.5</v>
      </c>
      <c r="G1864" s="36">
        <f>Tabla13[[#This Row],[Importe]]-Tabla13[[#This Row],[Pagado]]</f>
        <v>0</v>
      </c>
      <c r="H1864" s="38" t="s">
        <v>10</v>
      </c>
    </row>
    <row r="1865" spans="1:8" x14ac:dyDescent="0.25">
      <c r="A1865" s="31">
        <v>44609</v>
      </c>
      <c r="B1865" s="37" t="s">
        <v>5609</v>
      </c>
      <c r="C1865" s="38" t="s">
        <v>149</v>
      </c>
      <c r="D1865" s="34">
        <v>840</v>
      </c>
      <c r="E1865" s="35">
        <v>44609</v>
      </c>
      <c r="F1865" s="34">
        <v>840</v>
      </c>
      <c r="G1865" s="36">
        <f>Tabla13[[#This Row],[Importe]]-Tabla13[[#This Row],[Pagado]]</f>
        <v>0</v>
      </c>
      <c r="H1865" s="38" t="s">
        <v>10</v>
      </c>
    </row>
    <row r="1866" spans="1:8" x14ac:dyDescent="0.25">
      <c r="A1866" s="31">
        <v>44609</v>
      </c>
      <c r="B1866" s="37" t="s">
        <v>5610</v>
      </c>
      <c r="C1866" s="38" t="s">
        <v>83</v>
      </c>
      <c r="D1866" s="34">
        <v>3900.4</v>
      </c>
      <c r="E1866" s="35">
        <v>44609</v>
      </c>
      <c r="F1866" s="34">
        <v>3900.4</v>
      </c>
      <c r="G1866" s="36">
        <f>Tabla13[[#This Row],[Importe]]-Tabla13[[#This Row],[Pagado]]</f>
        <v>0</v>
      </c>
      <c r="H1866" s="38" t="s">
        <v>10</v>
      </c>
    </row>
    <row r="1867" spans="1:8" x14ac:dyDescent="0.25">
      <c r="A1867" s="31">
        <v>44609</v>
      </c>
      <c r="B1867" s="37" t="s">
        <v>5611</v>
      </c>
      <c r="C1867" s="38" t="s">
        <v>131</v>
      </c>
      <c r="D1867" s="34">
        <v>13786.2</v>
      </c>
      <c r="E1867" s="35">
        <v>44609</v>
      </c>
      <c r="F1867" s="34">
        <v>13786.2</v>
      </c>
      <c r="G1867" s="36">
        <f>Tabla13[[#This Row],[Importe]]-Tabla13[[#This Row],[Pagado]]</f>
        <v>0</v>
      </c>
      <c r="H1867" s="38" t="s">
        <v>10</v>
      </c>
    </row>
    <row r="1868" spans="1:8" x14ac:dyDescent="0.25">
      <c r="A1868" s="31">
        <v>44609</v>
      </c>
      <c r="B1868" s="37" t="s">
        <v>5612</v>
      </c>
      <c r="C1868" s="38" t="s">
        <v>24</v>
      </c>
      <c r="D1868" s="34">
        <v>2177.6</v>
      </c>
      <c r="E1868" s="35">
        <v>44609</v>
      </c>
      <c r="F1868" s="34">
        <v>2177.6</v>
      </c>
      <c r="G1868" s="36">
        <f>Tabla13[[#This Row],[Importe]]-Tabla13[[#This Row],[Pagado]]</f>
        <v>0</v>
      </c>
      <c r="H1868" s="38" t="s">
        <v>10</v>
      </c>
    </row>
    <row r="1869" spans="1:8" x14ac:dyDescent="0.25">
      <c r="A1869" s="31">
        <v>44609</v>
      </c>
      <c r="B1869" s="37" t="s">
        <v>5613</v>
      </c>
      <c r="C1869" s="38" t="s">
        <v>618</v>
      </c>
      <c r="D1869" s="34">
        <v>13003.08</v>
      </c>
      <c r="E1869" s="35">
        <v>44609</v>
      </c>
      <c r="F1869" s="34">
        <v>13003.08</v>
      </c>
      <c r="G1869" s="36">
        <f>Tabla13[[#This Row],[Importe]]-Tabla13[[#This Row],[Pagado]]</f>
        <v>0</v>
      </c>
      <c r="H1869" s="38" t="s">
        <v>10</v>
      </c>
    </row>
    <row r="1870" spans="1:8" x14ac:dyDescent="0.25">
      <c r="A1870" s="31">
        <v>44609</v>
      </c>
      <c r="B1870" s="37" t="s">
        <v>5614</v>
      </c>
      <c r="C1870" s="38" t="s">
        <v>647</v>
      </c>
      <c r="D1870" s="34">
        <v>4500.6000000000004</v>
      </c>
      <c r="E1870" s="35">
        <v>44609</v>
      </c>
      <c r="F1870" s="34">
        <v>4500.6000000000004</v>
      </c>
      <c r="G1870" s="36">
        <f>Tabla13[[#This Row],[Importe]]-Tabla13[[#This Row],[Pagado]]</f>
        <v>0</v>
      </c>
      <c r="H1870" s="38" t="s">
        <v>10</v>
      </c>
    </row>
    <row r="1871" spans="1:8" x14ac:dyDescent="0.25">
      <c r="A1871" s="31">
        <v>44609</v>
      </c>
      <c r="B1871" s="37" t="s">
        <v>5615</v>
      </c>
      <c r="C1871" s="38" t="s">
        <v>312</v>
      </c>
      <c r="D1871" s="34">
        <v>3393</v>
      </c>
      <c r="E1871" s="35">
        <v>44609</v>
      </c>
      <c r="F1871" s="34">
        <v>3393</v>
      </c>
      <c r="G1871" s="36">
        <f>Tabla13[[#This Row],[Importe]]-Tabla13[[#This Row],[Pagado]]</f>
        <v>0</v>
      </c>
      <c r="H1871" s="38" t="s">
        <v>10</v>
      </c>
    </row>
    <row r="1872" spans="1:8" x14ac:dyDescent="0.25">
      <c r="A1872" s="31">
        <v>44609</v>
      </c>
      <c r="B1872" s="37" t="s">
        <v>5616</v>
      </c>
      <c r="C1872" s="38" t="s">
        <v>142</v>
      </c>
      <c r="D1872" s="34">
        <v>38249.040000000001</v>
      </c>
      <c r="E1872" s="35">
        <v>44617</v>
      </c>
      <c r="F1872" s="34">
        <v>38249.040000000001</v>
      </c>
      <c r="G1872" s="36">
        <f>Tabla13[[#This Row],[Importe]]-Tabla13[[#This Row],[Pagado]]</f>
        <v>0</v>
      </c>
      <c r="H1872" s="38" t="s">
        <v>10</v>
      </c>
    </row>
    <row r="1873" spans="1:8" x14ac:dyDescent="0.25">
      <c r="A1873" s="31">
        <v>44609</v>
      </c>
      <c r="B1873" s="37" t="s">
        <v>5617</v>
      </c>
      <c r="C1873" s="38" t="s">
        <v>31</v>
      </c>
      <c r="D1873" s="34">
        <v>702.9</v>
      </c>
      <c r="E1873" s="35">
        <v>44609</v>
      </c>
      <c r="F1873" s="34">
        <v>702.9</v>
      </c>
      <c r="G1873" s="36">
        <f>Tabla13[[#This Row],[Importe]]-Tabla13[[#This Row],[Pagado]]</f>
        <v>0</v>
      </c>
      <c r="H1873" s="38" t="s">
        <v>10</v>
      </c>
    </row>
    <row r="1874" spans="1:8" x14ac:dyDescent="0.25">
      <c r="A1874" s="31">
        <v>44609</v>
      </c>
      <c r="B1874" s="37" t="s">
        <v>5618</v>
      </c>
      <c r="C1874" s="38" t="s">
        <v>27</v>
      </c>
      <c r="D1874" s="34">
        <v>1523.9</v>
      </c>
      <c r="E1874" s="35">
        <v>44609</v>
      </c>
      <c r="F1874" s="34">
        <v>1523.9</v>
      </c>
      <c r="G1874" s="36">
        <f>Tabla13[[#This Row],[Importe]]-Tabla13[[#This Row],[Pagado]]</f>
        <v>0</v>
      </c>
      <c r="H1874" s="38" t="s">
        <v>10</v>
      </c>
    </row>
    <row r="1875" spans="1:8" x14ac:dyDescent="0.25">
      <c r="A1875" s="31">
        <v>44609</v>
      </c>
      <c r="B1875" s="37" t="s">
        <v>5619</v>
      </c>
      <c r="C1875" s="38" t="s">
        <v>5620</v>
      </c>
      <c r="D1875" s="34">
        <v>53211.6</v>
      </c>
      <c r="E1875" s="35">
        <v>44609</v>
      </c>
      <c r="F1875" s="34">
        <v>53211.6</v>
      </c>
      <c r="G1875" s="36">
        <f>Tabla13[[#This Row],[Importe]]-Tabla13[[#This Row],[Pagado]]</f>
        <v>0</v>
      </c>
      <c r="H1875" s="38" t="s">
        <v>10</v>
      </c>
    </row>
    <row r="1876" spans="1:8" x14ac:dyDescent="0.25">
      <c r="A1876" s="31">
        <v>44609</v>
      </c>
      <c r="B1876" s="37" t="s">
        <v>5621</v>
      </c>
      <c r="C1876" s="38" t="s">
        <v>161</v>
      </c>
      <c r="D1876" s="34">
        <v>3973.3</v>
      </c>
      <c r="E1876" s="35">
        <v>44609</v>
      </c>
      <c r="F1876" s="34">
        <v>3973.3</v>
      </c>
      <c r="G1876" s="36">
        <f>Tabla13[[#This Row],[Importe]]-Tabla13[[#This Row],[Pagado]]</f>
        <v>0</v>
      </c>
      <c r="H1876" s="38" t="s">
        <v>10</v>
      </c>
    </row>
    <row r="1877" spans="1:8" x14ac:dyDescent="0.25">
      <c r="A1877" s="31">
        <v>44609</v>
      </c>
      <c r="B1877" s="37" t="s">
        <v>5622</v>
      </c>
      <c r="C1877" s="38" t="s">
        <v>198</v>
      </c>
      <c r="D1877" s="34">
        <v>1536</v>
      </c>
      <c r="E1877" s="35">
        <v>44609</v>
      </c>
      <c r="F1877" s="34">
        <v>1536</v>
      </c>
      <c r="G1877" s="36">
        <f>Tabla13[[#This Row],[Importe]]-Tabla13[[#This Row],[Pagado]]</f>
        <v>0</v>
      </c>
      <c r="H1877" s="38" t="s">
        <v>10</v>
      </c>
    </row>
    <row r="1878" spans="1:8" x14ac:dyDescent="0.25">
      <c r="A1878" s="31">
        <v>44609</v>
      </c>
      <c r="B1878" s="37" t="s">
        <v>5623</v>
      </c>
      <c r="C1878" s="38" t="s">
        <v>53</v>
      </c>
      <c r="D1878" s="34">
        <v>1420.8</v>
      </c>
      <c r="E1878" s="35">
        <v>44609</v>
      </c>
      <c r="F1878" s="34">
        <v>1420.8</v>
      </c>
      <c r="G1878" s="36">
        <f>Tabla13[[#This Row],[Importe]]-Tabla13[[#This Row],[Pagado]]</f>
        <v>0</v>
      </c>
      <c r="H1878" s="38" t="s">
        <v>10</v>
      </c>
    </row>
    <row r="1879" spans="1:8" x14ac:dyDescent="0.25">
      <c r="A1879" s="31">
        <v>44609</v>
      </c>
      <c r="B1879" s="37" t="s">
        <v>5624</v>
      </c>
      <c r="C1879" s="38" t="s">
        <v>230</v>
      </c>
      <c r="D1879" s="34">
        <v>949.6</v>
      </c>
      <c r="E1879" s="35">
        <v>44609</v>
      </c>
      <c r="F1879" s="34">
        <v>949.6</v>
      </c>
      <c r="G1879" s="36">
        <f>Tabla13[[#This Row],[Importe]]-Tabla13[[#This Row],[Pagado]]</f>
        <v>0</v>
      </c>
      <c r="H1879" s="38" t="s">
        <v>10</v>
      </c>
    </row>
    <row r="1880" spans="1:8" x14ac:dyDescent="0.25">
      <c r="A1880" s="31">
        <v>44609</v>
      </c>
      <c r="B1880" s="37" t="s">
        <v>5625</v>
      </c>
      <c r="C1880" s="38" t="s">
        <v>33</v>
      </c>
      <c r="D1880" s="34">
        <v>8909.4</v>
      </c>
      <c r="E1880" s="35">
        <v>44609</v>
      </c>
      <c r="F1880" s="34">
        <v>8909.4</v>
      </c>
      <c r="G1880" s="36">
        <f>Tabla13[[#This Row],[Importe]]-Tabla13[[#This Row],[Pagado]]</f>
        <v>0</v>
      </c>
      <c r="H1880" s="38" t="s">
        <v>10</v>
      </c>
    </row>
    <row r="1881" spans="1:8" x14ac:dyDescent="0.25">
      <c r="A1881" s="31">
        <v>44609</v>
      </c>
      <c r="B1881" s="37" t="s">
        <v>5626</v>
      </c>
      <c r="C1881" s="38" t="s">
        <v>224</v>
      </c>
      <c r="D1881" s="34">
        <v>996</v>
      </c>
      <c r="E1881" s="35">
        <v>44609</v>
      </c>
      <c r="F1881" s="34">
        <v>996</v>
      </c>
      <c r="G1881" s="36">
        <f>Tabla13[[#This Row],[Importe]]-Tabla13[[#This Row],[Pagado]]</f>
        <v>0</v>
      </c>
      <c r="H1881" s="38" t="s">
        <v>10</v>
      </c>
    </row>
    <row r="1882" spans="1:8" x14ac:dyDescent="0.25">
      <c r="A1882" s="31">
        <v>44609</v>
      </c>
      <c r="B1882" s="37" t="s">
        <v>5627</v>
      </c>
      <c r="C1882" s="38" t="s">
        <v>49</v>
      </c>
      <c r="D1882" s="34">
        <v>2546.6</v>
      </c>
      <c r="E1882" s="35">
        <v>44609</v>
      </c>
      <c r="F1882" s="34">
        <v>2546.6</v>
      </c>
      <c r="G1882" s="36">
        <f>Tabla13[[#This Row],[Importe]]-Tabla13[[#This Row],[Pagado]]</f>
        <v>0</v>
      </c>
      <c r="H1882" s="38" t="s">
        <v>10</v>
      </c>
    </row>
    <row r="1883" spans="1:8" x14ac:dyDescent="0.25">
      <c r="A1883" s="31">
        <v>44609</v>
      </c>
      <c r="B1883" s="37" t="s">
        <v>5628</v>
      </c>
      <c r="C1883" s="38" t="s">
        <v>373</v>
      </c>
      <c r="D1883" s="34">
        <v>3011.7</v>
      </c>
      <c r="E1883" s="35">
        <v>44609</v>
      </c>
      <c r="F1883" s="34">
        <v>3011.7</v>
      </c>
      <c r="G1883" s="36">
        <f>Tabla13[[#This Row],[Importe]]-Tabla13[[#This Row],[Pagado]]</f>
        <v>0</v>
      </c>
      <c r="H1883" s="38" t="s">
        <v>10</v>
      </c>
    </row>
    <row r="1884" spans="1:8" x14ac:dyDescent="0.25">
      <c r="A1884" s="31">
        <v>44609</v>
      </c>
      <c r="B1884" s="37" t="s">
        <v>5629</v>
      </c>
      <c r="C1884" s="38" t="s">
        <v>226</v>
      </c>
      <c r="D1884" s="34">
        <v>4281.7</v>
      </c>
      <c r="E1884" s="35">
        <v>44609</v>
      </c>
      <c r="F1884" s="34">
        <v>4281.7</v>
      </c>
      <c r="G1884" s="36">
        <f>Tabla13[[#This Row],[Importe]]-Tabla13[[#This Row],[Pagado]]</f>
        <v>0</v>
      </c>
      <c r="H1884" s="38" t="s">
        <v>10</v>
      </c>
    </row>
    <row r="1885" spans="1:8" x14ac:dyDescent="0.25">
      <c r="A1885" s="31">
        <v>44609</v>
      </c>
      <c r="B1885" s="37" t="s">
        <v>5630</v>
      </c>
      <c r="C1885" s="38" t="s">
        <v>45</v>
      </c>
      <c r="D1885" s="34">
        <v>11223.1</v>
      </c>
      <c r="E1885" s="35">
        <v>44609</v>
      </c>
      <c r="F1885" s="34">
        <v>11223.1</v>
      </c>
      <c r="G1885" s="36">
        <f>Tabla13[[#This Row],[Importe]]-Tabla13[[#This Row],[Pagado]]</f>
        <v>0</v>
      </c>
      <c r="H1885" s="38" t="s">
        <v>10</v>
      </c>
    </row>
    <row r="1886" spans="1:8" x14ac:dyDescent="0.25">
      <c r="A1886" s="31">
        <v>44609</v>
      </c>
      <c r="B1886" s="37" t="s">
        <v>5631</v>
      </c>
      <c r="C1886" s="38" t="s">
        <v>56</v>
      </c>
      <c r="D1886" s="34">
        <v>3204.9</v>
      </c>
      <c r="E1886" s="35">
        <v>44609</v>
      </c>
      <c r="F1886" s="34">
        <v>3204.9</v>
      </c>
      <c r="G1886" s="36">
        <f>Tabla13[[#This Row],[Importe]]-Tabla13[[#This Row],[Pagado]]</f>
        <v>0</v>
      </c>
      <c r="H1886" s="38" t="s">
        <v>10</v>
      </c>
    </row>
    <row r="1887" spans="1:8" x14ac:dyDescent="0.25">
      <c r="A1887" s="31">
        <v>44609</v>
      </c>
      <c r="B1887" s="37" t="s">
        <v>5632</v>
      </c>
      <c r="C1887" s="38" t="s">
        <v>31</v>
      </c>
      <c r="D1887" s="34">
        <v>2997.2</v>
      </c>
      <c r="E1887" s="35">
        <v>44609</v>
      </c>
      <c r="F1887" s="34">
        <v>2997.2</v>
      </c>
      <c r="G1887" s="36">
        <f>Tabla13[[#This Row],[Importe]]-Tabla13[[#This Row],[Pagado]]</f>
        <v>0</v>
      </c>
      <c r="H1887" s="38" t="s">
        <v>10</v>
      </c>
    </row>
    <row r="1888" spans="1:8" x14ac:dyDescent="0.25">
      <c r="A1888" s="31">
        <v>44609</v>
      </c>
      <c r="B1888" s="37" t="s">
        <v>5633</v>
      </c>
      <c r="C1888" s="38" t="s">
        <v>29</v>
      </c>
      <c r="D1888" s="34">
        <v>4948.8</v>
      </c>
      <c r="E1888" s="35">
        <v>44609</v>
      </c>
      <c r="F1888" s="34">
        <v>4948.8</v>
      </c>
      <c r="G1888" s="36">
        <f>Tabla13[[#This Row],[Importe]]-Tabla13[[#This Row],[Pagado]]</f>
        <v>0</v>
      </c>
      <c r="H1888" s="38" t="s">
        <v>10</v>
      </c>
    </row>
    <row r="1889" spans="1:8" x14ac:dyDescent="0.25">
      <c r="A1889" s="31">
        <v>44609</v>
      </c>
      <c r="B1889" s="37" t="s">
        <v>5634</v>
      </c>
      <c r="C1889" s="38" t="s">
        <v>69</v>
      </c>
      <c r="D1889" s="34">
        <v>3081.6</v>
      </c>
      <c r="E1889" s="35">
        <v>44609</v>
      </c>
      <c r="F1889" s="34">
        <v>3081.6</v>
      </c>
      <c r="G1889" s="36">
        <f>Tabla13[[#This Row],[Importe]]-Tabla13[[#This Row],[Pagado]]</f>
        <v>0</v>
      </c>
      <c r="H1889" s="38" t="s">
        <v>10</v>
      </c>
    </row>
    <row r="1890" spans="1:8" x14ac:dyDescent="0.25">
      <c r="A1890" s="31">
        <v>44609</v>
      </c>
      <c r="B1890" s="37" t="s">
        <v>5635</v>
      </c>
      <c r="C1890" s="38" t="s">
        <v>216</v>
      </c>
      <c r="D1890" s="34">
        <v>1675.2</v>
      </c>
      <c r="E1890" s="35">
        <v>44609</v>
      </c>
      <c r="F1890" s="34">
        <v>1675.2</v>
      </c>
      <c r="G1890" s="36">
        <f>Tabla13[[#This Row],[Importe]]-Tabla13[[#This Row],[Pagado]]</f>
        <v>0</v>
      </c>
      <c r="H1890" s="38" t="s">
        <v>10</v>
      </c>
    </row>
    <row r="1891" spans="1:8" x14ac:dyDescent="0.25">
      <c r="A1891" s="31">
        <v>44609</v>
      </c>
      <c r="B1891" s="37" t="s">
        <v>5636</v>
      </c>
      <c r="C1891" s="38" t="s">
        <v>228</v>
      </c>
      <c r="D1891" s="34">
        <v>4600.2</v>
      </c>
      <c r="E1891" s="35">
        <v>44609</v>
      </c>
      <c r="F1891" s="34">
        <v>4600.2</v>
      </c>
      <c r="G1891" s="36">
        <f>Tabla13[[#This Row],[Importe]]-Tabla13[[#This Row],[Pagado]]</f>
        <v>0</v>
      </c>
      <c r="H1891" s="38" t="s">
        <v>10</v>
      </c>
    </row>
    <row r="1892" spans="1:8" x14ac:dyDescent="0.25">
      <c r="A1892" s="31">
        <v>44609</v>
      </c>
      <c r="B1892" s="37" t="s">
        <v>5637</v>
      </c>
      <c r="C1892" s="38" t="s">
        <v>31</v>
      </c>
      <c r="D1892" s="34">
        <v>902.4</v>
      </c>
      <c r="E1892" s="35">
        <v>44609</v>
      </c>
      <c r="F1892" s="34">
        <v>902.4</v>
      </c>
      <c r="G1892" s="36">
        <f>Tabla13[[#This Row],[Importe]]-Tabla13[[#This Row],[Pagado]]</f>
        <v>0</v>
      </c>
      <c r="H1892" s="38" t="s">
        <v>10</v>
      </c>
    </row>
    <row r="1893" spans="1:8" x14ac:dyDescent="0.25">
      <c r="A1893" s="31">
        <v>44609</v>
      </c>
      <c r="B1893" s="37" t="s">
        <v>5638</v>
      </c>
      <c r="C1893" s="38" t="s">
        <v>357</v>
      </c>
      <c r="D1893" s="34">
        <v>1396.4</v>
      </c>
      <c r="E1893" s="35">
        <v>44609</v>
      </c>
      <c r="F1893" s="34">
        <v>1396.4</v>
      </c>
      <c r="G1893" s="36">
        <f>Tabla13[[#This Row],[Importe]]-Tabla13[[#This Row],[Pagado]]</f>
        <v>0</v>
      </c>
      <c r="H1893" s="38" t="s">
        <v>10</v>
      </c>
    </row>
    <row r="1894" spans="1:8" x14ac:dyDescent="0.25">
      <c r="A1894" s="31">
        <v>44609</v>
      </c>
      <c r="B1894" s="37" t="s">
        <v>5639</v>
      </c>
      <c r="C1894" s="38" t="s">
        <v>140</v>
      </c>
      <c r="D1894" s="34">
        <v>3311.8</v>
      </c>
      <c r="E1894" s="35">
        <v>44609</v>
      </c>
      <c r="F1894" s="34">
        <v>3311.8</v>
      </c>
      <c r="G1894" s="36">
        <f>Tabla13[[#This Row],[Importe]]-Tabla13[[#This Row],[Pagado]]</f>
        <v>0</v>
      </c>
      <c r="H1894" s="38" t="s">
        <v>10</v>
      </c>
    </row>
    <row r="1895" spans="1:8" x14ac:dyDescent="0.25">
      <c r="A1895" s="31">
        <v>44609</v>
      </c>
      <c r="B1895" s="37" t="s">
        <v>5640</v>
      </c>
      <c r="C1895" s="38" t="s">
        <v>129</v>
      </c>
      <c r="D1895" s="34">
        <v>4265.3999999999996</v>
      </c>
      <c r="E1895" s="35">
        <v>44609</v>
      </c>
      <c r="F1895" s="34">
        <v>4265.3999999999996</v>
      </c>
      <c r="G1895" s="36">
        <f>Tabla13[[#This Row],[Importe]]-Tabla13[[#This Row],[Pagado]]</f>
        <v>0</v>
      </c>
      <c r="H1895" s="38" t="s">
        <v>10</v>
      </c>
    </row>
    <row r="1896" spans="1:8" x14ac:dyDescent="0.25">
      <c r="A1896" s="31">
        <v>44609</v>
      </c>
      <c r="B1896" s="37" t="s">
        <v>5641</v>
      </c>
      <c r="C1896" s="38" t="s">
        <v>127</v>
      </c>
      <c r="D1896" s="34">
        <v>3671.4</v>
      </c>
      <c r="E1896" s="35">
        <v>44609</v>
      </c>
      <c r="F1896" s="34">
        <v>3671.4</v>
      </c>
      <c r="G1896" s="36">
        <f>Tabla13[[#This Row],[Importe]]-Tabla13[[#This Row],[Pagado]]</f>
        <v>0</v>
      </c>
      <c r="H1896" s="38" t="s">
        <v>10</v>
      </c>
    </row>
    <row r="1897" spans="1:8" x14ac:dyDescent="0.25">
      <c r="A1897" s="31">
        <v>44609</v>
      </c>
      <c r="B1897" s="37" t="s">
        <v>5642</v>
      </c>
      <c r="C1897" s="38" t="s">
        <v>804</v>
      </c>
      <c r="D1897" s="34">
        <v>10913.8</v>
      </c>
      <c r="E1897" s="35">
        <v>44609</v>
      </c>
      <c r="F1897" s="34">
        <v>10913.8</v>
      </c>
      <c r="G1897" s="36">
        <f>Tabla13[[#This Row],[Importe]]-Tabla13[[#This Row],[Pagado]]</f>
        <v>0</v>
      </c>
      <c r="H1897" s="38" t="s">
        <v>10</v>
      </c>
    </row>
    <row r="1898" spans="1:8" x14ac:dyDescent="0.25">
      <c r="A1898" s="31">
        <v>44609</v>
      </c>
      <c r="B1898" s="37" t="s">
        <v>5643</v>
      </c>
      <c r="C1898" s="38" t="s">
        <v>107</v>
      </c>
      <c r="D1898" s="34">
        <v>7205</v>
      </c>
      <c r="E1898" s="35">
        <v>44609</v>
      </c>
      <c r="F1898" s="34">
        <v>7205</v>
      </c>
      <c r="G1898" s="36">
        <f>Tabla13[[#This Row],[Importe]]-Tabla13[[#This Row],[Pagado]]</f>
        <v>0</v>
      </c>
      <c r="H1898" s="38" t="s">
        <v>10</v>
      </c>
    </row>
    <row r="1899" spans="1:8" x14ac:dyDescent="0.25">
      <c r="A1899" s="31">
        <v>44609</v>
      </c>
      <c r="B1899" s="37" t="s">
        <v>5644</v>
      </c>
      <c r="C1899" s="38" t="s">
        <v>339</v>
      </c>
      <c r="D1899" s="34">
        <v>734.4</v>
      </c>
      <c r="E1899" s="35">
        <v>44609</v>
      </c>
      <c r="F1899" s="34">
        <v>734.4</v>
      </c>
      <c r="G1899" s="36">
        <f>Tabla13[[#This Row],[Importe]]-Tabla13[[#This Row],[Pagado]]</f>
        <v>0</v>
      </c>
      <c r="H1899" s="38" t="s">
        <v>10</v>
      </c>
    </row>
    <row r="1900" spans="1:8" x14ac:dyDescent="0.25">
      <c r="A1900" s="31">
        <v>44609</v>
      </c>
      <c r="B1900" s="37" t="s">
        <v>5645</v>
      </c>
      <c r="C1900" s="38" t="s">
        <v>31</v>
      </c>
      <c r="D1900" s="34">
        <v>3309.8</v>
      </c>
      <c r="E1900" s="35">
        <v>44609</v>
      </c>
      <c r="F1900" s="34">
        <v>3309.8</v>
      </c>
      <c r="G1900" s="36">
        <f>Tabla13[[#This Row],[Importe]]-Tabla13[[#This Row],[Pagado]]</f>
        <v>0</v>
      </c>
      <c r="H1900" s="38" t="s">
        <v>10</v>
      </c>
    </row>
    <row r="1901" spans="1:8" x14ac:dyDescent="0.25">
      <c r="A1901" s="31">
        <v>44609</v>
      </c>
      <c r="B1901" s="37" t="s">
        <v>5646</v>
      </c>
      <c r="C1901" s="38" t="s">
        <v>291</v>
      </c>
      <c r="D1901" s="34">
        <v>3012</v>
      </c>
      <c r="E1901" s="35">
        <v>44609</v>
      </c>
      <c r="F1901" s="34">
        <v>3012</v>
      </c>
      <c r="G1901" s="36">
        <f>Tabla13[[#This Row],[Importe]]-Tabla13[[#This Row],[Pagado]]</f>
        <v>0</v>
      </c>
      <c r="H1901" s="38" t="s">
        <v>10</v>
      </c>
    </row>
    <row r="1902" spans="1:8" x14ac:dyDescent="0.25">
      <c r="A1902" s="31">
        <v>44609</v>
      </c>
      <c r="B1902" s="37" t="s">
        <v>5647</v>
      </c>
      <c r="C1902" s="38" t="s">
        <v>291</v>
      </c>
      <c r="D1902" s="34">
        <v>442</v>
      </c>
      <c r="E1902" s="35">
        <v>44609</v>
      </c>
      <c r="F1902" s="34">
        <v>442</v>
      </c>
      <c r="G1902" s="36">
        <f>Tabla13[[#This Row],[Importe]]-Tabla13[[#This Row],[Pagado]]</f>
        <v>0</v>
      </c>
      <c r="H1902" s="38" t="s">
        <v>10</v>
      </c>
    </row>
    <row r="1903" spans="1:8" x14ac:dyDescent="0.25">
      <c r="A1903" s="31">
        <v>44609</v>
      </c>
      <c r="B1903" s="37" t="s">
        <v>5648</v>
      </c>
      <c r="C1903" s="38" t="s">
        <v>214</v>
      </c>
      <c r="D1903" s="34">
        <v>14321</v>
      </c>
      <c r="E1903" s="35">
        <v>44609</v>
      </c>
      <c r="F1903" s="34">
        <v>14321</v>
      </c>
      <c r="G1903" s="36">
        <f>Tabla13[[#This Row],[Importe]]-Tabla13[[#This Row],[Pagado]]</f>
        <v>0</v>
      </c>
      <c r="H1903" s="38" t="s">
        <v>10</v>
      </c>
    </row>
    <row r="1904" spans="1:8" x14ac:dyDescent="0.25">
      <c r="A1904" s="31">
        <v>44609</v>
      </c>
      <c r="B1904" s="37" t="s">
        <v>5649</v>
      </c>
      <c r="C1904" s="38" t="s">
        <v>5650</v>
      </c>
      <c r="D1904" s="34">
        <v>0</v>
      </c>
      <c r="E1904" s="39" t="s">
        <v>189</v>
      </c>
      <c r="F1904" s="34">
        <v>0</v>
      </c>
      <c r="G1904" s="36">
        <f>Tabla13[[#This Row],[Importe]]-Tabla13[[#This Row],[Pagado]]</f>
        <v>0</v>
      </c>
      <c r="H1904" s="38" t="s">
        <v>189</v>
      </c>
    </row>
    <row r="1905" spans="1:8" x14ac:dyDescent="0.25">
      <c r="A1905" s="31">
        <v>44609</v>
      </c>
      <c r="B1905" s="37" t="s">
        <v>5651</v>
      </c>
      <c r="C1905" s="38" t="s">
        <v>715</v>
      </c>
      <c r="D1905" s="34">
        <v>7283.8</v>
      </c>
      <c r="E1905" s="35">
        <v>44609</v>
      </c>
      <c r="F1905" s="34">
        <v>7283.8</v>
      </c>
      <c r="G1905" s="36">
        <f>Tabla13[[#This Row],[Importe]]-Tabla13[[#This Row],[Pagado]]</f>
        <v>0</v>
      </c>
      <c r="H1905" s="38" t="s">
        <v>10</v>
      </c>
    </row>
    <row r="1906" spans="1:8" x14ac:dyDescent="0.25">
      <c r="A1906" s="31">
        <v>44609</v>
      </c>
      <c r="B1906" s="37" t="s">
        <v>5652</v>
      </c>
      <c r="C1906" s="38" t="s">
        <v>233</v>
      </c>
      <c r="D1906" s="34">
        <v>6207.3</v>
      </c>
      <c r="E1906" s="35">
        <v>44609</v>
      </c>
      <c r="F1906" s="34">
        <v>6207.3</v>
      </c>
      <c r="G1906" s="36">
        <f>Tabla13[[#This Row],[Importe]]-Tabla13[[#This Row],[Pagado]]</f>
        <v>0</v>
      </c>
      <c r="H1906" s="38" t="s">
        <v>10</v>
      </c>
    </row>
    <row r="1907" spans="1:8" x14ac:dyDescent="0.25">
      <c r="A1907" s="31">
        <v>44609</v>
      </c>
      <c r="B1907" s="37" t="s">
        <v>5653</v>
      </c>
      <c r="C1907" s="38" t="s">
        <v>2383</v>
      </c>
      <c r="D1907" s="34">
        <v>1808.8</v>
      </c>
      <c r="E1907" s="35">
        <v>44609</v>
      </c>
      <c r="F1907" s="34">
        <v>1808.8</v>
      </c>
      <c r="G1907" s="36">
        <f>Tabla13[[#This Row],[Importe]]-Tabla13[[#This Row],[Pagado]]</f>
        <v>0</v>
      </c>
      <c r="H1907" s="38" t="s">
        <v>10</v>
      </c>
    </row>
    <row r="1908" spans="1:8" x14ac:dyDescent="0.25">
      <c r="A1908" s="31">
        <v>44609</v>
      </c>
      <c r="B1908" s="37" t="s">
        <v>5654</v>
      </c>
      <c r="C1908" s="38" t="s">
        <v>181</v>
      </c>
      <c r="D1908" s="34">
        <v>10007.120000000001</v>
      </c>
      <c r="E1908" s="35">
        <v>44609</v>
      </c>
      <c r="F1908" s="34">
        <v>10007.120000000001</v>
      </c>
      <c r="G1908" s="36">
        <f>Tabla13[[#This Row],[Importe]]-Tabla13[[#This Row],[Pagado]]</f>
        <v>0</v>
      </c>
      <c r="H1908" s="38" t="s">
        <v>10</v>
      </c>
    </row>
    <row r="1909" spans="1:8" x14ac:dyDescent="0.25">
      <c r="A1909" s="31">
        <v>44609</v>
      </c>
      <c r="B1909" s="37" t="s">
        <v>5655</v>
      </c>
      <c r="C1909" s="38" t="s">
        <v>175</v>
      </c>
      <c r="D1909" s="34">
        <v>28780.1</v>
      </c>
      <c r="E1909" s="35">
        <v>44609</v>
      </c>
      <c r="F1909" s="34">
        <v>28780.1</v>
      </c>
      <c r="G1909" s="36">
        <f>Tabla13[[#This Row],[Importe]]-Tabla13[[#This Row],[Pagado]]</f>
        <v>0</v>
      </c>
      <c r="H1909" s="38" t="s">
        <v>10</v>
      </c>
    </row>
    <row r="1910" spans="1:8" x14ac:dyDescent="0.25">
      <c r="A1910" s="31">
        <v>44609</v>
      </c>
      <c r="B1910" s="37" t="s">
        <v>5656</v>
      </c>
      <c r="C1910" s="38" t="s">
        <v>204</v>
      </c>
      <c r="D1910" s="34">
        <v>678.6</v>
      </c>
      <c r="E1910" s="35">
        <v>44609</v>
      </c>
      <c r="F1910" s="34">
        <v>678.6</v>
      </c>
      <c r="G1910" s="36">
        <f>Tabla13[[#This Row],[Importe]]-Tabla13[[#This Row],[Pagado]]</f>
        <v>0</v>
      </c>
      <c r="H1910" s="38" t="s">
        <v>10</v>
      </c>
    </row>
    <row r="1911" spans="1:8" x14ac:dyDescent="0.25">
      <c r="A1911" s="31">
        <v>44609</v>
      </c>
      <c r="B1911" s="37" t="s">
        <v>5657</v>
      </c>
      <c r="C1911" s="38" t="s">
        <v>359</v>
      </c>
      <c r="D1911" s="34">
        <v>2600.5</v>
      </c>
      <c r="E1911" s="35">
        <v>44609</v>
      </c>
      <c r="F1911" s="34">
        <v>2600.5</v>
      </c>
      <c r="G1911" s="36">
        <f>Tabla13[[#This Row],[Importe]]-Tabla13[[#This Row],[Pagado]]</f>
        <v>0</v>
      </c>
      <c r="H1911" s="38" t="s">
        <v>10</v>
      </c>
    </row>
    <row r="1912" spans="1:8" x14ac:dyDescent="0.25">
      <c r="A1912" s="31">
        <v>44609</v>
      </c>
      <c r="B1912" s="37" t="s">
        <v>5658</v>
      </c>
      <c r="C1912" s="38" t="s">
        <v>365</v>
      </c>
      <c r="D1912" s="34">
        <v>313.5</v>
      </c>
      <c r="E1912" s="35">
        <v>44609</v>
      </c>
      <c r="F1912" s="34">
        <v>313.5</v>
      </c>
      <c r="G1912" s="36">
        <f>Tabla13[[#This Row],[Importe]]-Tabla13[[#This Row],[Pagado]]</f>
        <v>0</v>
      </c>
      <c r="H1912" s="38" t="s">
        <v>10</v>
      </c>
    </row>
    <row r="1913" spans="1:8" x14ac:dyDescent="0.25">
      <c r="A1913" s="31">
        <v>44609</v>
      </c>
      <c r="B1913" s="37" t="s">
        <v>5659</v>
      </c>
      <c r="C1913" s="38" t="s">
        <v>419</v>
      </c>
      <c r="D1913" s="34">
        <v>3919.6</v>
      </c>
      <c r="E1913" s="35">
        <v>44609</v>
      </c>
      <c r="F1913" s="34">
        <v>3919.6</v>
      </c>
      <c r="G1913" s="36">
        <f>Tabla13[[#This Row],[Importe]]-Tabla13[[#This Row],[Pagado]]</f>
        <v>0</v>
      </c>
      <c r="H1913" s="38" t="s">
        <v>10</v>
      </c>
    </row>
    <row r="1914" spans="1:8" x14ac:dyDescent="0.25">
      <c r="A1914" s="31">
        <v>44609</v>
      </c>
      <c r="B1914" s="37" t="s">
        <v>5660</v>
      </c>
      <c r="C1914" s="38" t="s">
        <v>22</v>
      </c>
      <c r="D1914" s="34">
        <v>7898.4</v>
      </c>
      <c r="E1914" s="35">
        <v>44609</v>
      </c>
      <c r="F1914" s="34">
        <v>7898.4</v>
      </c>
      <c r="G1914" s="36">
        <f>Tabla13[[#This Row],[Importe]]-Tabla13[[#This Row],[Pagado]]</f>
        <v>0</v>
      </c>
      <c r="H1914" s="38" t="s">
        <v>10</v>
      </c>
    </row>
    <row r="1915" spans="1:8" x14ac:dyDescent="0.25">
      <c r="A1915" s="31">
        <v>44609</v>
      </c>
      <c r="B1915" s="37" t="s">
        <v>5661</v>
      </c>
      <c r="C1915" s="38" t="s">
        <v>200</v>
      </c>
      <c r="D1915" s="34">
        <v>816</v>
      </c>
      <c r="E1915" s="35">
        <v>44609</v>
      </c>
      <c r="F1915" s="34">
        <v>816</v>
      </c>
      <c r="G1915" s="36">
        <f>Tabla13[[#This Row],[Importe]]-Tabla13[[#This Row],[Pagado]]</f>
        <v>0</v>
      </c>
      <c r="H1915" s="38" t="s">
        <v>10</v>
      </c>
    </row>
    <row r="1916" spans="1:8" x14ac:dyDescent="0.25">
      <c r="A1916" s="31">
        <v>44609</v>
      </c>
      <c r="B1916" s="37" t="s">
        <v>5662</v>
      </c>
      <c r="C1916" s="38" t="s">
        <v>368</v>
      </c>
      <c r="D1916" s="34">
        <v>3166.8</v>
      </c>
      <c r="E1916" s="35">
        <v>44609</v>
      </c>
      <c r="F1916" s="34">
        <v>3166.8</v>
      </c>
      <c r="G1916" s="36">
        <f>Tabla13[[#This Row],[Importe]]-Tabla13[[#This Row],[Pagado]]</f>
        <v>0</v>
      </c>
      <c r="H1916" s="38" t="s">
        <v>10</v>
      </c>
    </row>
    <row r="1917" spans="1:8" x14ac:dyDescent="0.25">
      <c r="A1917" s="31">
        <v>44609</v>
      </c>
      <c r="B1917" s="37" t="s">
        <v>5663</v>
      </c>
      <c r="C1917" s="38" t="s">
        <v>1265</v>
      </c>
      <c r="D1917" s="34">
        <v>760</v>
      </c>
      <c r="E1917" s="35">
        <v>44609</v>
      </c>
      <c r="F1917" s="34">
        <v>760</v>
      </c>
      <c r="G1917" s="36">
        <f>Tabla13[[#This Row],[Importe]]-Tabla13[[#This Row],[Pagado]]</f>
        <v>0</v>
      </c>
      <c r="H1917" s="38" t="s">
        <v>10</v>
      </c>
    </row>
    <row r="1918" spans="1:8" x14ac:dyDescent="0.25">
      <c r="A1918" s="31">
        <v>44609</v>
      </c>
      <c r="B1918" s="37" t="s">
        <v>5664</v>
      </c>
      <c r="C1918" s="38" t="s">
        <v>64</v>
      </c>
      <c r="D1918" s="34">
        <v>1382.4</v>
      </c>
      <c r="E1918" s="35">
        <v>44609</v>
      </c>
      <c r="F1918" s="34">
        <v>1382.4</v>
      </c>
      <c r="G1918" s="36">
        <f>Tabla13[[#This Row],[Importe]]-Tabla13[[#This Row],[Pagado]]</f>
        <v>0</v>
      </c>
      <c r="H1918" s="38" t="s">
        <v>10</v>
      </c>
    </row>
    <row r="1919" spans="1:8" x14ac:dyDescent="0.25">
      <c r="A1919" s="31">
        <v>44609</v>
      </c>
      <c r="B1919" s="37" t="s">
        <v>5665</v>
      </c>
      <c r="C1919" s="38" t="s">
        <v>31</v>
      </c>
      <c r="D1919" s="34">
        <v>536.9</v>
      </c>
      <c r="E1919" s="35">
        <v>44609</v>
      </c>
      <c r="F1919" s="34">
        <v>536.9</v>
      </c>
      <c r="G1919" s="36">
        <f>Tabla13[[#This Row],[Importe]]-Tabla13[[#This Row],[Pagado]]</f>
        <v>0</v>
      </c>
      <c r="H1919" s="38" t="s">
        <v>10</v>
      </c>
    </row>
    <row r="1920" spans="1:8" x14ac:dyDescent="0.25">
      <c r="A1920" s="31">
        <v>44609</v>
      </c>
      <c r="B1920" s="37" t="s">
        <v>5666</v>
      </c>
      <c r="C1920" s="38" t="s">
        <v>275</v>
      </c>
      <c r="D1920" s="34">
        <v>77486.039999999994</v>
      </c>
      <c r="E1920" s="35">
        <v>44617</v>
      </c>
      <c r="F1920" s="34">
        <v>77486.039999999994</v>
      </c>
      <c r="G1920" s="36">
        <f>Tabla13[[#This Row],[Importe]]-Tabla13[[#This Row],[Pagado]]</f>
        <v>0</v>
      </c>
      <c r="H1920" s="38" t="s">
        <v>10</v>
      </c>
    </row>
    <row r="1921" spans="1:8" x14ac:dyDescent="0.25">
      <c r="A1921" s="31">
        <v>44609</v>
      </c>
      <c r="B1921" s="37" t="s">
        <v>5667</v>
      </c>
      <c r="C1921" s="38" t="s">
        <v>16</v>
      </c>
      <c r="D1921" s="34">
        <v>1048.4000000000001</v>
      </c>
      <c r="E1921" s="35">
        <v>44609</v>
      </c>
      <c r="F1921" s="34">
        <v>1048.4000000000001</v>
      </c>
      <c r="G1921" s="36">
        <f>Tabla13[[#This Row],[Importe]]-Tabla13[[#This Row],[Pagado]]</f>
        <v>0</v>
      </c>
      <c r="H1921" s="38" t="s">
        <v>10</v>
      </c>
    </row>
    <row r="1922" spans="1:8" x14ac:dyDescent="0.25">
      <c r="A1922" s="31">
        <v>44609</v>
      </c>
      <c r="B1922" s="37" t="s">
        <v>5668</v>
      </c>
      <c r="C1922" s="38" t="s">
        <v>16</v>
      </c>
      <c r="D1922" s="34">
        <v>302.39999999999998</v>
      </c>
      <c r="E1922" s="35">
        <v>44609</v>
      </c>
      <c r="F1922" s="34">
        <v>302.39999999999998</v>
      </c>
      <c r="G1922" s="36">
        <f>Tabla13[[#This Row],[Importe]]-Tabla13[[#This Row],[Pagado]]</f>
        <v>0</v>
      </c>
      <c r="H1922" s="38" t="s">
        <v>10</v>
      </c>
    </row>
    <row r="1923" spans="1:8" x14ac:dyDescent="0.25">
      <c r="A1923" s="31">
        <v>44609</v>
      </c>
      <c r="B1923" s="37" t="s">
        <v>5669</v>
      </c>
      <c r="C1923" s="38" t="s">
        <v>67</v>
      </c>
      <c r="D1923" s="34">
        <v>2761</v>
      </c>
      <c r="E1923" s="35">
        <v>44609</v>
      </c>
      <c r="F1923" s="34">
        <v>2761</v>
      </c>
      <c r="G1923" s="36">
        <f>Tabla13[[#This Row],[Importe]]-Tabla13[[#This Row],[Pagado]]</f>
        <v>0</v>
      </c>
      <c r="H1923" s="38" t="s">
        <v>10</v>
      </c>
    </row>
    <row r="1924" spans="1:8" x14ac:dyDescent="0.25">
      <c r="A1924" s="31">
        <v>44609</v>
      </c>
      <c r="B1924" s="37" t="s">
        <v>5670</v>
      </c>
      <c r="C1924" s="38" t="s">
        <v>31</v>
      </c>
      <c r="D1924" s="34">
        <v>1982.94</v>
      </c>
      <c r="E1924" s="35">
        <v>44609</v>
      </c>
      <c r="F1924" s="34">
        <v>1982.94</v>
      </c>
      <c r="G1924" s="36">
        <f>Tabla13[[#This Row],[Importe]]-Tabla13[[#This Row],[Pagado]]</f>
        <v>0</v>
      </c>
      <c r="H1924" s="38" t="s">
        <v>10</v>
      </c>
    </row>
    <row r="1925" spans="1:8" x14ac:dyDescent="0.25">
      <c r="A1925" s="31">
        <v>44609</v>
      </c>
      <c r="B1925" s="37" t="s">
        <v>5671</v>
      </c>
      <c r="C1925" s="38" t="s">
        <v>421</v>
      </c>
      <c r="D1925" s="34">
        <v>6064</v>
      </c>
      <c r="E1925" s="35">
        <v>44609</v>
      </c>
      <c r="F1925" s="34">
        <v>6064</v>
      </c>
      <c r="G1925" s="36">
        <f>Tabla13[[#This Row],[Importe]]-Tabla13[[#This Row],[Pagado]]</f>
        <v>0</v>
      </c>
      <c r="H1925" s="38" t="s">
        <v>10</v>
      </c>
    </row>
    <row r="1926" spans="1:8" x14ac:dyDescent="0.25">
      <c r="A1926" s="31">
        <v>44609</v>
      </c>
      <c r="B1926" s="37" t="s">
        <v>5672</v>
      </c>
      <c r="C1926" s="38" t="s">
        <v>421</v>
      </c>
      <c r="D1926" s="34">
        <v>168</v>
      </c>
      <c r="E1926" s="35">
        <v>44609</v>
      </c>
      <c r="F1926" s="34">
        <v>168</v>
      </c>
      <c r="G1926" s="36">
        <f>Tabla13[[#This Row],[Importe]]-Tabla13[[#This Row],[Pagado]]</f>
        <v>0</v>
      </c>
      <c r="H1926" s="38" t="s">
        <v>10</v>
      </c>
    </row>
    <row r="1927" spans="1:8" x14ac:dyDescent="0.25">
      <c r="A1927" s="31">
        <v>44609</v>
      </c>
      <c r="B1927" s="37" t="s">
        <v>5673</v>
      </c>
      <c r="C1927" s="38" t="s">
        <v>157</v>
      </c>
      <c r="D1927" s="34">
        <v>2737.9</v>
      </c>
      <c r="E1927" s="35">
        <v>44610</v>
      </c>
      <c r="F1927" s="34">
        <v>2737.9</v>
      </c>
      <c r="G1927" s="36">
        <f>Tabla13[[#This Row],[Importe]]-Tabla13[[#This Row],[Pagado]]</f>
        <v>0</v>
      </c>
      <c r="H1927" s="38" t="s">
        <v>10</v>
      </c>
    </row>
    <row r="1928" spans="1:8" x14ac:dyDescent="0.25">
      <c r="A1928" s="31">
        <v>44609</v>
      </c>
      <c r="B1928" s="37" t="s">
        <v>5674</v>
      </c>
      <c r="C1928" s="38" t="s">
        <v>525</v>
      </c>
      <c r="D1928" s="34">
        <v>859.6</v>
      </c>
      <c r="E1928" s="35">
        <v>44610</v>
      </c>
      <c r="F1928" s="34">
        <v>859.6</v>
      </c>
      <c r="G1928" s="36">
        <f>Tabla13[[#This Row],[Importe]]-Tabla13[[#This Row],[Pagado]]</f>
        <v>0</v>
      </c>
      <c r="H1928" s="38" t="s">
        <v>10</v>
      </c>
    </row>
    <row r="1929" spans="1:8" x14ac:dyDescent="0.25">
      <c r="A1929" s="31">
        <v>44609</v>
      </c>
      <c r="B1929" s="37" t="s">
        <v>5675</v>
      </c>
      <c r="C1929" s="38" t="s">
        <v>518</v>
      </c>
      <c r="D1929" s="34">
        <v>1177.2</v>
      </c>
      <c r="E1929" s="35">
        <v>44610</v>
      </c>
      <c r="F1929" s="34">
        <v>1177.2</v>
      </c>
      <c r="G1929" s="36">
        <f>Tabla13[[#This Row],[Importe]]-Tabla13[[#This Row],[Pagado]]</f>
        <v>0</v>
      </c>
      <c r="H1929" s="38" t="s">
        <v>10</v>
      </c>
    </row>
    <row r="1930" spans="1:8" x14ac:dyDescent="0.25">
      <c r="A1930" s="31">
        <v>44609</v>
      </c>
      <c r="B1930" s="37" t="s">
        <v>5676</v>
      </c>
      <c r="C1930" s="38" t="s">
        <v>1537</v>
      </c>
      <c r="D1930" s="34">
        <v>868.8</v>
      </c>
      <c r="E1930" s="35">
        <v>44610</v>
      </c>
      <c r="F1930" s="34">
        <v>868.8</v>
      </c>
      <c r="G1930" s="36">
        <f>Tabla13[[#This Row],[Importe]]-Tabla13[[#This Row],[Pagado]]</f>
        <v>0</v>
      </c>
      <c r="H1930" s="38" t="s">
        <v>10</v>
      </c>
    </row>
    <row r="1931" spans="1:8" x14ac:dyDescent="0.25">
      <c r="A1931" s="31">
        <v>44609</v>
      </c>
      <c r="B1931" s="37" t="s">
        <v>5677</v>
      </c>
      <c r="C1931" s="38" t="s">
        <v>151</v>
      </c>
      <c r="D1931" s="34">
        <v>5775</v>
      </c>
      <c r="E1931" s="35">
        <v>44610</v>
      </c>
      <c r="F1931" s="34">
        <v>5775</v>
      </c>
      <c r="G1931" s="36">
        <f>Tabla13[[#This Row],[Importe]]-Tabla13[[#This Row],[Pagado]]</f>
        <v>0</v>
      </c>
      <c r="H1931" s="38" t="s">
        <v>10</v>
      </c>
    </row>
    <row r="1932" spans="1:8" x14ac:dyDescent="0.25">
      <c r="A1932" s="31">
        <v>44609</v>
      </c>
      <c r="B1932" s="37" t="s">
        <v>5678</v>
      </c>
      <c r="C1932" s="38" t="s">
        <v>966</v>
      </c>
      <c r="D1932" s="34">
        <v>1875</v>
      </c>
      <c r="E1932" s="35">
        <v>44610</v>
      </c>
      <c r="F1932" s="34">
        <v>1875</v>
      </c>
      <c r="G1932" s="36">
        <f>Tabla13[[#This Row],[Importe]]-Tabla13[[#This Row],[Pagado]]</f>
        <v>0</v>
      </c>
      <c r="H1932" s="38" t="s">
        <v>10</v>
      </c>
    </row>
    <row r="1933" spans="1:8" x14ac:dyDescent="0.25">
      <c r="A1933" s="31">
        <v>44609</v>
      </c>
      <c r="B1933" s="37" t="s">
        <v>5679</v>
      </c>
      <c r="C1933" s="38" t="s">
        <v>9</v>
      </c>
      <c r="D1933" s="34">
        <v>2597.8000000000002</v>
      </c>
      <c r="E1933" s="35">
        <v>44609</v>
      </c>
      <c r="F1933" s="34">
        <v>2597.8000000000002</v>
      </c>
      <c r="G1933" s="36">
        <f>Tabla13[[#This Row],[Importe]]-Tabla13[[#This Row],[Pagado]]</f>
        <v>0</v>
      </c>
      <c r="H1933" s="38" t="s">
        <v>10</v>
      </c>
    </row>
    <row r="1934" spans="1:8" x14ac:dyDescent="0.25">
      <c r="A1934" s="31">
        <v>44609</v>
      </c>
      <c r="B1934" s="37" t="s">
        <v>5680</v>
      </c>
      <c r="C1934" s="38" t="s">
        <v>67</v>
      </c>
      <c r="D1934" s="34">
        <v>74.8</v>
      </c>
      <c r="E1934" s="35">
        <v>44609</v>
      </c>
      <c r="F1934" s="34">
        <v>74.8</v>
      </c>
      <c r="G1934" s="36">
        <f>Tabla13[[#This Row],[Importe]]-Tabla13[[#This Row],[Pagado]]</f>
        <v>0</v>
      </c>
      <c r="H1934" s="38" t="s">
        <v>10</v>
      </c>
    </row>
    <row r="1935" spans="1:8" x14ac:dyDescent="0.25">
      <c r="A1935" s="31">
        <v>44609</v>
      </c>
      <c r="B1935" s="37" t="s">
        <v>5681</v>
      </c>
      <c r="C1935" s="38" t="s">
        <v>319</v>
      </c>
      <c r="D1935" s="34">
        <v>4856.8999999999996</v>
      </c>
      <c r="E1935" s="35">
        <v>44610</v>
      </c>
      <c r="F1935" s="34">
        <v>4856.8999999999996</v>
      </c>
      <c r="G1935" s="36">
        <f>Tabla13[[#This Row],[Importe]]-Tabla13[[#This Row],[Pagado]]</f>
        <v>0</v>
      </c>
      <c r="H1935" s="38" t="s">
        <v>10</v>
      </c>
    </row>
    <row r="1936" spans="1:8" x14ac:dyDescent="0.25">
      <c r="A1936" s="31">
        <v>44609</v>
      </c>
      <c r="B1936" s="37" t="s">
        <v>5682</v>
      </c>
      <c r="C1936" s="38" t="s">
        <v>280</v>
      </c>
      <c r="D1936" s="34">
        <v>499.2</v>
      </c>
      <c r="E1936" s="35">
        <v>44610</v>
      </c>
      <c r="F1936" s="34">
        <v>499.2</v>
      </c>
      <c r="G1936" s="36">
        <f>Tabla13[[#This Row],[Importe]]-Tabla13[[#This Row],[Pagado]]</f>
        <v>0</v>
      </c>
      <c r="H1936" s="38" t="s">
        <v>10</v>
      </c>
    </row>
    <row r="1937" spans="1:8" x14ac:dyDescent="0.25">
      <c r="A1937" s="31">
        <v>44609</v>
      </c>
      <c r="B1937" s="37" t="s">
        <v>5683</v>
      </c>
      <c r="C1937" s="38" t="s">
        <v>284</v>
      </c>
      <c r="D1937" s="34">
        <v>5774.4</v>
      </c>
      <c r="E1937" s="35">
        <v>44610</v>
      </c>
      <c r="F1937" s="34">
        <v>5774.4</v>
      </c>
      <c r="G1937" s="36">
        <f>Tabla13[[#This Row],[Importe]]-Tabla13[[#This Row],[Pagado]]</f>
        <v>0</v>
      </c>
      <c r="H1937" s="38" t="s">
        <v>10</v>
      </c>
    </row>
    <row r="1938" spans="1:8" x14ac:dyDescent="0.25">
      <c r="A1938" s="31">
        <v>44609</v>
      </c>
      <c r="B1938" s="37" t="s">
        <v>5684</v>
      </c>
      <c r="C1938" s="38" t="s">
        <v>5345</v>
      </c>
      <c r="D1938" s="34">
        <v>2088</v>
      </c>
      <c r="E1938" s="35">
        <v>44610</v>
      </c>
      <c r="F1938" s="34">
        <v>2088</v>
      </c>
      <c r="G1938" s="36">
        <f>Tabla13[[#This Row],[Importe]]-Tabla13[[#This Row],[Pagado]]</f>
        <v>0</v>
      </c>
      <c r="H1938" s="38" t="s">
        <v>10</v>
      </c>
    </row>
    <row r="1939" spans="1:8" x14ac:dyDescent="0.25">
      <c r="A1939" s="31">
        <v>44609</v>
      </c>
      <c r="B1939" s="37" t="s">
        <v>5685</v>
      </c>
      <c r="C1939" s="38" t="s">
        <v>282</v>
      </c>
      <c r="D1939" s="34">
        <v>3993.6</v>
      </c>
      <c r="E1939" s="35">
        <v>44610</v>
      </c>
      <c r="F1939" s="34">
        <v>3993.6</v>
      </c>
      <c r="G1939" s="36">
        <f>Tabla13[[#This Row],[Importe]]-Tabla13[[#This Row],[Pagado]]</f>
        <v>0</v>
      </c>
      <c r="H1939" s="38" t="s">
        <v>10</v>
      </c>
    </row>
    <row r="1940" spans="1:8" x14ac:dyDescent="0.25">
      <c r="A1940" s="31">
        <v>44609</v>
      </c>
      <c r="B1940" s="37" t="s">
        <v>5686</v>
      </c>
      <c r="C1940" s="38" t="s">
        <v>435</v>
      </c>
      <c r="D1940" s="34">
        <v>1304.8</v>
      </c>
      <c r="E1940" s="35">
        <v>44609</v>
      </c>
      <c r="F1940" s="34">
        <v>1304.8</v>
      </c>
      <c r="G1940" s="36">
        <f>Tabla13[[#This Row],[Importe]]-Tabla13[[#This Row],[Pagado]]</f>
        <v>0</v>
      </c>
      <c r="H1940" s="38" t="s">
        <v>10</v>
      </c>
    </row>
    <row r="1941" spans="1:8" x14ac:dyDescent="0.25">
      <c r="A1941" s="31">
        <v>44609</v>
      </c>
      <c r="B1941" s="37" t="s">
        <v>5687</v>
      </c>
      <c r="C1941" s="38" t="s">
        <v>729</v>
      </c>
      <c r="D1941" s="34">
        <v>16973.599999999999</v>
      </c>
      <c r="E1941" s="35">
        <v>44610</v>
      </c>
      <c r="F1941" s="34">
        <v>16973.599999999999</v>
      </c>
      <c r="G1941" s="36">
        <f>Tabla13[[#This Row],[Importe]]-Tabla13[[#This Row],[Pagado]]</f>
        <v>0</v>
      </c>
      <c r="H1941" s="38" t="s">
        <v>10</v>
      </c>
    </row>
    <row r="1942" spans="1:8" x14ac:dyDescent="0.25">
      <c r="A1942" s="31">
        <v>44609</v>
      </c>
      <c r="B1942" s="37" t="s">
        <v>5688</v>
      </c>
      <c r="C1942" s="38" t="s">
        <v>75</v>
      </c>
      <c r="D1942" s="34">
        <v>4872</v>
      </c>
      <c r="E1942" s="35">
        <v>44610</v>
      </c>
      <c r="F1942" s="34">
        <v>4872</v>
      </c>
      <c r="G1942" s="36">
        <f>Tabla13[[#This Row],[Importe]]-Tabla13[[#This Row],[Pagado]]</f>
        <v>0</v>
      </c>
      <c r="H1942" s="38" t="s">
        <v>10</v>
      </c>
    </row>
    <row r="1943" spans="1:8" x14ac:dyDescent="0.25">
      <c r="A1943" s="31">
        <v>44609</v>
      </c>
      <c r="B1943" s="37" t="s">
        <v>5689</v>
      </c>
      <c r="C1943" s="38" t="s">
        <v>2020</v>
      </c>
      <c r="D1943" s="34">
        <v>2880</v>
      </c>
      <c r="E1943" s="35">
        <v>44609</v>
      </c>
      <c r="F1943" s="34">
        <v>2880</v>
      </c>
      <c r="G1943" s="36">
        <f>Tabla13[[#This Row],[Importe]]-Tabla13[[#This Row],[Pagado]]</f>
        <v>0</v>
      </c>
      <c r="H1943" s="38" t="s">
        <v>10</v>
      </c>
    </row>
    <row r="1944" spans="1:8" x14ac:dyDescent="0.25">
      <c r="A1944" s="31">
        <v>44609</v>
      </c>
      <c r="B1944" s="37" t="s">
        <v>5690</v>
      </c>
      <c r="C1944" s="38" t="s">
        <v>275</v>
      </c>
      <c r="D1944" s="34">
        <v>27552.1</v>
      </c>
      <c r="E1944" s="35">
        <v>44617</v>
      </c>
      <c r="F1944" s="34">
        <v>27552.1</v>
      </c>
      <c r="G1944" s="36">
        <f>Tabla13[[#This Row],[Importe]]-Tabla13[[#This Row],[Pagado]]</f>
        <v>0</v>
      </c>
      <c r="H1944" s="38" t="s">
        <v>10</v>
      </c>
    </row>
    <row r="1945" spans="1:8" x14ac:dyDescent="0.25">
      <c r="A1945" s="31">
        <v>44609</v>
      </c>
      <c r="B1945" s="37" t="s">
        <v>5691</v>
      </c>
      <c r="C1945" s="38" t="s">
        <v>31</v>
      </c>
      <c r="D1945" s="34">
        <v>230</v>
      </c>
      <c r="E1945" s="35">
        <v>44609</v>
      </c>
      <c r="F1945" s="34">
        <v>230</v>
      </c>
      <c r="G1945" s="36">
        <f>Tabla13[[#This Row],[Importe]]-Tabla13[[#This Row],[Pagado]]</f>
        <v>0</v>
      </c>
      <c r="H1945" s="38" t="s">
        <v>10</v>
      </c>
    </row>
    <row r="1946" spans="1:8" x14ac:dyDescent="0.25">
      <c r="A1946" s="31">
        <v>44609</v>
      </c>
      <c r="B1946" s="37" t="s">
        <v>5692</v>
      </c>
      <c r="C1946" s="38" t="s">
        <v>269</v>
      </c>
      <c r="D1946" s="34">
        <v>1864.8</v>
      </c>
      <c r="E1946" s="35">
        <v>44609</v>
      </c>
      <c r="F1946" s="34">
        <v>1864.8</v>
      </c>
      <c r="G1946" s="36">
        <f>Tabla13[[#This Row],[Importe]]-Tabla13[[#This Row],[Pagado]]</f>
        <v>0</v>
      </c>
      <c r="H1946" s="38" t="s">
        <v>10</v>
      </c>
    </row>
    <row r="1947" spans="1:8" x14ac:dyDescent="0.25">
      <c r="A1947" s="31">
        <v>44609</v>
      </c>
      <c r="B1947" s="37" t="s">
        <v>5693</v>
      </c>
      <c r="C1947" s="38" t="s">
        <v>5694</v>
      </c>
      <c r="D1947" s="34">
        <v>1198.5</v>
      </c>
      <c r="E1947" s="35">
        <v>44609</v>
      </c>
      <c r="F1947" s="34">
        <v>1198.5</v>
      </c>
      <c r="G1947" s="36">
        <f>Tabla13[[#This Row],[Importe]]-Tabla13[[#This Row],[Pagado]]</f>
        <v>0</v>
      </c>
      <c r="H1947" s="38" t="s">
        <v>10</v>
      </c>
    </row>
    <row r="1948" spans="1:8" x14ac:dyDescent="0.25">
      <c r="A1948" s="31">
        <v>44609</v>
      </c>
      <c r="B1948" s="37" t="s">
        <v>5695</v>
      </c>
      <c r="C1948" s="38" t="s">
        <v>175</v>
      </c>
      <c r="D1948" s="34">
        <v>451.5</v>
      </c>
      <c r="E1948" s="35">
        <v>44610</v>
      </c>
      <c r="F1948" s="34">
        <v>451.5</v>
      </c>
      <c r="G1948" s="36">
        <f>Tabla13[[#This Row],[Importe]]-Tabla13[[#This Row],[Pagado]]</f>
        <v>0</v>
      </c>
      <c r="H1948" s="38" t="s">
        <v>10</v>
      </c>
    </row>
    <row r="1949" spans="1:8" x14ac:dyDescent="0.25">
      <c r="A1949" s="31">
        <v>44609</v>
      </c>
      <c r="B1949" s="37" t="s">
        <v>5696</v>
      </c>
      <c r="C1949" s="38" t="s">
        <v>179</v>
      </c>
      <c r="D1949" s="34">
        <v>705.6</v>
      </c>
      <c r="E1949" s="35">
        <v>44610</v>
      </c>
      <c r="F1949" s="34">
        <v>705.6</v>
      </c>
      <c r="G1949" s="36">
        <f>Tabla13[[#This Row],[Importe]]-Tabla13[[#This Row],[Pagado]]</f>
        <v>0</v>
      </c>
      <c r="H1949" s="38" t="s">
        <v>10</v>
      </c>
    </row>
    <row r="1950" spans="1:8" x14ac:dyDescent="0.25">
      <c r="A1950" s="31">
        <v>44609</v>
      </c>
      <c r="B1950" s="37" t="s">
        <v>5697</v>
      </c>
      <c r="C1950" s="38" t="s">
        <v>1021</v>
      </c>
      <c r="D1950" s="34">
        <v>18850.3</v>
      </c>
      <c r="E1950" s="35">
        <v>44624</v>
      </c>
      <c r="F1950" s="34">
        <v>18850.3</v>
      </c>
      <c r="G1950" s="36">
        <f>Tabla13[[#This Row],[Importe]]-Tabla13[[#This Row],[Pagado]]</f>
        <v>0</v>
      </c>
      <c r="H1950" s="38" t="s">
        <v>10</v>
      </c>
    </row>
    <row r="1951" spans="1:8" x14ac:dyDescent="0.25">
      <c r="A1951" s="31">
        <v>44609</v>
      </c>
      <c r="B1951" s="37" t="s">
        <v>5698</v>
      </c>
      <c r="C1951" s="38" t="s">
        <v>196</v>
      </c>
      <c r="D1951" s="34">
        <v>3707.2</v>
      </c>
      <c r="E1951" s="35">
        <v>44610</v>
      </c>
      <c r="F1951" s="34">
        <v>3707.2</v>
      </c>
      <c r="G1951" s="36">
        <f>Tabla13[[#This Row],[Importe]]-Tabla13[[#This Row],[Pagado]]</f>
        <v>0</v>
      </c>
      <c r="H1951" s="38" t="s">
        <v>10</v>
      </c>
    </row>
    <row r="1952" spans="1:8" x14ac:dyDescent="0.25">
      <c r="A1952" s="31">
        <v>44609</v>
      </c>
      <c r="B1952" s="37" t="s">
        <v>5699</v>
      </c>
      <c r="C1952" s="38" t="s">
        <v>1021</v>
      </c>
      <c r="D1952" s="34">
        <v>540</v>
      </c>
      <c r="E1952" s="35">
        <v>44609</v>
      </c>
      <c r="F1952" s="34">
        <v>540</v>
      </c>
      <c r="G1952" s="36">
        <f>Tabla13[[#This Row],[Importe]]-Tabla13[[#This Row],[Pagado]]</f>
        <v>0</v>
      </c>
      <c r="H1952" s="38" t="s">
        <v>10</v>
      </c>
    </row>
    <row r="1953" spans="1:8" x14ac:dyDescent="0.25">
      <c r="A1953" s="31">
        <v>44609</v>
      </c>
      <c r="B1953" s="37" t="s">
        <v>5700</v>
      </c>
      <c r="C1953" s="38" t="s">
        <v>298</v>
      </c>
      <c r="D1953" s="34">
        <v>1272</v>
      </c>
      <c r="E1953" s="35">
        <v>44609</v>
      </c>
      <c r="F1953" s="34">
        <v>1272</v>
      </c>
      <c r="G1953" s="36">
        <f>Tabla13[[#This Row],[Importe]]-Tabla13[[#This Row],[Pagado]]</f>
        <v>0</v>
      </c>
      <c r="H1953" s="38" t="s">
        <v>10</v>
      </c>
    </row>
    <row r="1954" spans="1:8" x14ac:dyDescent="0.25">
      <c r="A1954" s="31">
        <v>44609</v>
      </c>
      <c r="B1954" s="37" t="s">
        <v>5701</v>
      </c>
      <c r="C1954" s="38" t="s">
        <v>31</v>
      </c>
      <c r="D1954" s="34">
        <v>545.20000000000005</v>
      </c>
      <c r="E1954" s="35">
        <v>44609</v>
      </c>
      <c r="F1954" s="34">
        <v>545.20000000000005</v>
      </c>
      <c r="G1954" s="36">
        <f>Tabla13[[#This Row],[Importe]]-Tabla13[[#This Row],[Pagado]]</f>
        <v>0</v>
      </c>
      <c r="H1954" s="38" t="s">
        <v>10</v>
      </c>
    </row>
    <row r="1955" spans="1:8" x14ac:dyDescent="0.25">
      <c r="A1955" s="31">
        <v>44609</v>
      </c>
      <c r="B1955" s="37" t="s">
        <v>5702</v>
      </c>
      <c r="C1955" s="38" t="s">
        <v>53</v>
      </c>
      <c r="D1955" s="34">
        <v>1372.8</v>
      </c>
      <c r="E1955" s="35">
        <v>44609</v>
      </c>
      <c r="F1955" s="34">
        <v>1372.8</v>
      </c>
      <c r="G1955" s="36">
        <f>Tabla13[[#This Row],[Importe]]-Tabla13[[#This Row],[Pagado]]</f>
        <v>0</v>
      </c>
      <c r="H1955" s="38" t="s">
        <v>10</v>
      </c>
    </row>
    <row r="1956" spans="1:8" x14ac:dyDescent="0.25">
      <c r="A1956" s="31">
        <v>44609</v>
      </c>
      <c r="B1956" s="37" t="s">
        <v>5703</v>
      </c>
      <c r="C1956" s="38" t="s">
        <v>31</v>
      </c>
      <c r="D1956" s="34">
        <v>1196.8</v>
      </c>
      <c r="E1956" s="35">
        <v>44609</v>
      </c>
      <c r="F1956" s="34">
        <v>1196.8</v>
      </c>
      <c r="G1956" s="36">
        <f>Tabla13[[#This Row],[Importe]]-Tabla13[[#This Row],[Pagado]]</f>
        <v>0</v>
      </c>
      <c r="H1956" s="38" t="s">
        <v>10</v>
      </c>
    </row>
    <row r="1957" spans="1:8" x14ac:dyDescent="0.25">
      <c r="A1957" s="31">
        <v>44610</v>
      </c>
      <c r="B1957" s="37" t="s">
        <v>5704</v>
      </c>
      <c r="C1957" s="38" t="s">
        <v>887</v>
      </c>
      <c r="D1957" s="34">
        <v>10987.2</v>
      </c>
      <c r="E1957" s="35">
        <v>44611</v>
      </c>
      <c r="F1957" s="34">
        <v>10987.2</v>
      </c>
      <c r="G1957" s="36">
        <f>Tabla13[[#This Row],[Importe]]-Tabla13[[#This Row],[Pagado]]</f>
        <v>0</v>
      </c>
      <c r="H1957" s="38" t="s">
        <v>10</v>
      </c>
    </row>
    <row r="1958" spans="1:8" x14ac:dyDescent="0.25">
      <c r="A1958" s="31">
        <v>44610</v>
      </c>
      <c r="B1958" s="37" t="s">
        <v>5705</v>
      </c>
      <c r="C1958" s="38" t="s">
        <v>475</v>
      </c>
      <c r="D1958" s="34">
        <v>84230.6</v>
      </c>
      <c r="E1958" s="35">
        <v>44611</v>
      </c>
      <c r="F1958" s="34">
        <v>84230.6</v>
      </c>
      <c r="G1958" s="36">
        <f>Tabla13[[#This Row],[Importe]]-Tabla13[[#This Row],[Pagado]]</f>
        <v>0</v>
      </c>
      <c r="H1958" s="38" t="s">
        <v>10</v>
      </c>
    </row>
    <row r="1959" spans="1:8" x14ac:dyDescent="0.25">
      <c r="A1959" s="31">
        <v>44610</v>
      </c>
      <c r="B1959" s="37" t="s">
        <v>5706</v>
      </c>
      <c r="C1959" s="38" t="s">
        <v>481</v>
      </c>
      <c r="D1959" s="34">
        <v>1732.8</v>
      </c>
      <c r="E1959" s="35">
        <v>44610</v>
      </c>
      <c r="F1959" s="34">
        <v>1732.8</v>
      </c>
      <c r="G1959" s="36">
        <f>Tabla13[[#This Row],[Importe]]-Tabla13[[#This Row],[Pagado]]</f>
        <v>0</v>
      </c>
      <c r="H1959" s="38" t="s">
        <v>10</v>
      </c>
    </row>
    <row r="1960" spans="1:8" x14ac:dyDescent="0.25">
      <c r="A1960" s="31">
        <v>44610</v>
      </c>
      <c r="B1960" s="37" t="s">
        <v>5707</v>
      </c>
      <c r="C1960" s="38" t="s">
        <v>2563</v>
      </c>
      <c r="D1960" s="34">
        <v>3580</v>
      </c>
      <c r="E1960" s="35">
        <v>44610</v>
      </c>
      <c r="F1960" s="34">
        <v>3580</v>
      </c>
      <c r="G1960" s="36">
        <f>Tabla13[[#This Row],[Importe]]-Tabla13[[#This Row],[Pagado]]</f>
        <v>0</v>
      </c>
      <c r="H1960" s="38" t="s">
        <v>10</v>
      </c>
    </row>
    <row r="1961" spans="1:8" x14ac:dyDescent="0.25">
      <c r="A1961" s="31">
        <v>44610</v>
      </c>
      <c r="B1961" s="37" t="s">
        <v>5708</v>
      </c>
      <c r="C1961" s="38" t="s">
        <v>31</v>
      </c>
      <c r="D1961" s="34">
        <v>388.5</v>
      </c>
      <c r="E1961" s="35">
        <v>44610</v>
      </c>
      <c r="F1961" s="34">
        <v>388.5</v>
      </c>
      <c r="G1961" s="36">
        <f>Tabla13[[#This Row],[Importe]]-Tabla13[[#This Row],[Pagado]]</f>
        <v>0</v>
      </c>
      <c r="H1961" s="38" t="s">
        <v>10</v>
      </c>
    </row>
    <row r="1962" spans="1:8" x14ac:dyDescent="0.25">
      <c r="A1962" s="31">
        <v>44610</v>
      </c>
      <c r="B1962" s="37" t="s">
        <v>5709</v>
      </c>
      <c r="C1962" s="38" t="s">
        <v>97</v>
      </c>
      <c r="D1962" s="34">
        <v>3964.8</v>
      </c>
      <c r="E1962" s="35">
        <v>44611</v>
      </c>
      <c r="F1962" s="34">
        <v>3964.8</v>
      </c>
      <c r="G1962" s="36">
        <f>Tabla13[[#This Row],[Importe]]-Tabla13[[#This Row],[Pagado]]</f>
        <v>0</v>
      </c>
      <c r="H1962" s="38" t="s">
        <v>10</v>
      </c>
    </row>
    <row r="1963" spans="1:8" x14ac:dyDescent="0.25">
      <c r="A1963" s="31">
        <v>44610</v>
      </c>
      <c r="B1963" s="37" t="s">
        <v>5710</v>
      </c>
      <c r="C1963" s="38" t="s">
        <v>31</v>
      </c>
      <c r="D1963" s="34">
        <v>444</v>
      </c>
      <c r="E1963" s="35">
        <v>44610</v>
      </c>
      <c r="F1963" s="34">
        <v>444</v>
      </c>
      <c r="G1963" s="36">
        <f>Tabla13[[#This Row],[Importe]]-Tabla13[[#This Row],[Pagado]]</f>
        <v>0</v>
      </c>
      <c r="H1963" s="38" t="s">
        <v>10</v>
      </c>
    </row>
    <row r="1964" spans="1:8" x14ac:dyDescent="0.25">
      <c r="A1964" s="31">
        <v>44610</v>
      </c>
      <c r="B1964" s="37" t="s">
        <v>5711</v>
      </c>
      <c r="C1964" s="38" t="s">
        <v>348</v>
      </c>
      <c r="D1964" s="34">
        <v>2282.4</v>
      </c>
      <c r="E1964" s="35">
        <v>44610</v>
      </c>
      <c r="F1964" s="34">
        <v>2282.4</v>
      </c>
      <c r="G1964" s="36">
        <f>Tabla13[[#This Row],[Importe]]-Tabla13[[#This Row],[Pagado]]</f>
        <v>0</v>
      </c>
      <c r="H1964" s="38" t="s">
        <v>10</v>
      </c>
    </row>
    <row r="1965" spans="1:8" x14ac:dyDescent="0.25">
      <c r="A1965" s="31">
        <v>44610</v>
      </c>
      <c r="B1965" s="37" t="s">
        <v>5712</v>
      </c>
      <c r="C1965" s="38" t="s">
        <v>9</v>
      </c>
      <c r="D1965" s="34">
        <v>6803.3</v>
      </c>
      <c r="E1965" s="35">
        <v>44610</v>
      </c>
      <c r="F1965" s="34">
        <v>6803.3</v>
      </c>
      <c r="G1965" s="36">
        <f>Tabla13[[#This Row],[Importe]]-Tabla13[[#This Row],[Pagado]]</f>
        <v>0</v>
      </c>
      <c r="H1965" s="38" t="s">
        <v>10</v>
      </c>
    </row>
    <row r="1966" spans="1:8" x14ac:dyDescent="0.25">
      <c r="A1966" s="31">
        <v>44610</v>
      </c>
      <c r="B1966" s="37" t="s">
        <v>5713</v>
      </c>
      <c r="C1966" s="38" t="s">
        <v>12</v>
      </c>
      <c r="D1966" s="34">
        <v>45439.35</v>
      </c>
      <c r="E1966" s="35">
        <v>44611</v>
      </c>
      <c r="F1966" s="34">
        <v>45439.35</v>
      </c>
      <c r="G1966" s="36">
        <f>Tabla13[[#This Row],[Importe]]-Tabla13[[#This Row],[Pagado]]</f>
        <v>0</v>
      </c>
      <c r="H1966" s="38" t="s">
        <v>10</v>
      </c>
    </row>
    <row r="1967" spans="1:8" x14ac:dyDescent="0.25">
      <c r="A1967" s="31">
        <v>44610</v>
      </c>
      <c r="B1967" s="37" t="s">
        <v>5714</v>
      </c>
      <c r="C1967" s="38" t="s">
        <v>326</v>
      </c>
      <c r="D1967" s="34">
        <v>3288.4</v>
      </c>
      <c r="E1967" s="35">
        <v>44611</v>
      </c>
      <c r="F1967" s="34">
        <v>3288.4</v>
      </c>
      <c r="G1967" s="36">
        <f>Tabla13[[#This Row],[Importe]]-Tabla13[[#This Row],[Pagado]]</f>
        <v>0</v>
      </c>
      <c r="H1967" s="38" t="s">
        <v>10</v>
      </c>
    </row>
    <row r="1968" spans="1:8" ht="31.5" x14ac:dyDescent="0.25">
      <c r="A1968" s="31">
        <v>44610</v>
      </c>
      <c r="B1968" s="37" t="s">
        <v>5715</v>
      </c>
      <c r="C1968" s="38" t="s">
        <v>39</v>
      </c>
      <c r="D1968" s="34">
        <v>21884.400000000001</v>
      </c>
      <c r="E1968" s="35" t="s">
        <v>5716</v>
      </c>
      <c r="F1968" s="34">
        <f>13000+8884.4</f>
        <v>21884.400000000001</v>
      </c>
      <c r="G1968" s="36">
        <f>Tabla13[[#This Row],[Importe]]-Tabla13[[#This Row],[Pagado]]</f>
        <v>0</v>
      </c>
      <c r="H1968" s="38" t="s">
        <v>10</v>
      </c>
    </row>
    <row r="1969" spans="1:8" x14ac:dyDescent="0.25">
      <c r="A1969" s="31">
        <v>44610</v>
      </c>
      <c r="B1969" s="37" t="s">
        <v>5717</v>
      </c>
      <c r="C1969" s="38" t="s">
        <v>64</v>
      </c>
      <c r="D1969" s="34">
        <v>8223.7999999999993</v>
      </c>
      <c r="E1969" s="35">
        <v>44611</v>
      </c>
      <c r="F1969" s="34">
        <v>8223.7999999999993</v>
      </c>
      <c r="G1969" s="36">
        <f>Tabla13[[#This Row],[Importe]]-Tabla13[[#This Row],[Pagado]]</f>
        <v>0</v>
      </c>
      <c r="H1969" s="38" t="s">
        <v>10</v>
      </c>
    </row>
    <row r="1970" spans="1:8" x14ac:dyDescent="0.25">
      <c r="A1970" s="31">
        <v>44610</v>
      </c>
      <c r="B1970" s="37" t="s">
        <v>5718</v>
      </c>
      <c r="C1970" s="38" t="s">
        <v>105</v>
      </c>
      <c r="D1970" s="34">
        <v>6962.4</v>
      </c>
      <c r="E1970" s="35">
        <v>44611</v>
      </c>
      <c r="F1970" s="34">
        <v>6962.4</v>
      </c>
      <c r="G1970" s="36">
        <f>Tabla13[[#This Row],[Importe]]-Tabla13[[#This Row],[Pagado]]</f>
        <v>0</v>
      </c>
      <c r="H1970" s="38" t="s">
        <v>10</v>
      </c>
    </row>
    <row r="1971" spans="1:8" x14ac:dyDescent="0.25">
      <c r="A1971" s="31">
        <v>44610</v>
      </c>
      <c r="B1971" s="37" t="s">
        <v>5719</v>
      </c>
      <c r="C1971" s="38" t="s">
        <v>5720</v>
      </c>
      <c r="D1971" s="34">
        <v>0</v>
      </c>
      <c r="E1971" s="39" t="s">
        <v>189</v>
      </c>
      <c r="F1971" s="34">
        <v>0</v>
      </c>
      <c r="G1971" s="36">
        <f>Tabla13[[#This Row],[Importe]]-Tabla13[[#This Row],[Pagado]]</f>
        <v>0</v>
      </c>
      <c r="H1971" s="38" t="s">
        <v>189</v>
      </c>
    </row>
    <row r="1972" spans="1:8" x14ac:dyDescent="0.25">
      <c r="A1972" s="31">
        <v>44610</v>
      </c>
      <c r="B1972" s="37" t="s">
        <v>5721</v>
      </c>
      <c r="C1972" s="38" t="s">
        <v>9</v>
      </c>
      <c r="D1972" s="34">
        <v>3611.6</v>
      </c>
      <c r="E1972" s="35">
        <v>44610</v>
      </c>
      <c r="F1972" s="34">
        <v>3611.6</v>
      </c>
      <c r="G1972" s="36">
        <f>Tabla13[[#This Row],[Importe]]-Tabla13[[#This Row],[Pagado]]</f>
        <v>0</v>
      </c>
      <c r="H1972" s="38" t="s">
        <v>10</v>
      </c>
    </row>
    <row r="1973" spans="1:8" x14ac:dyDescent="0.25">
      <c r="A1973" s="31">
        <v>44610</v>
      </c>
      <c r="B1973" s="37" t="s">
        <v>5722</v>
      </c>
      <c r="C1973" s="38" t="s">
        <v>345</v>
      </c>
      <c r="D1973" s="34">
        <v>1345</v>
      </c>
      <c r="E1973" s="35">
        <v>44610</v>
      </c>
      <c r="F1973" s="34">
        <v>1345</v>
      </c>
      <c r="G1973" s="36">
        <f>Tabla13[[#This Row],[Importe]]-Tabla13[[#This Row],[Pagado]]</f>
        <v>0</v>
      </c>
      <c r="H1973" s="38" t="s">
        <v>10</v>
      </c>
    </row>
    <row r="1974" spans="1:8" x14ac:dyDescent="0.25">
      <c r="A1974" s="31">
        <v>44610</v>
      </c>
      <c r="B1974" s="37" t="s">
        <v>5723</v>
      </c>
      <c r="C1974" s="38" t="s">
        <v>5724</v>
      </c>
      <c r="D1974" s="34">
        <v>1574.4</v>
      </c>
      <c r="E1974" s="35">
        <v>44610</v>
      </c>
      <c r="F1974" s="34">
        <v>1574.4</v>
      </c>
      <c r="G1974" s="36">
        <f>Tabla13[[#This Row],[Importe]]-Tabla13[[#This Row],[Pagado]]</f>
        <v>0</v>
      </c>
      <c r="H1974" s="38" t="s">
        <v>10</v>
      </c>
    </row>
    <row r="1975" spans="1:8" x14ac:dyDescent="0.25">
      <c r="A1975" s="31">
        <v>44610</v>
      </c>
      <c r="B1975" s="37" t="s">
        <v>5725</v>
      </c>
      <c r="C1975" s="38" t="s">
        <v>114</v>
      </c>
      <c r="D1975" s="34">
        <v>4671.2</v>
      </c>
      <c r="E1975" s="35">
        <v>44611</v>
      </c>
      <c r="F1975" s="34">
        <v>4671.2</v>
      </c>
      <c r="G1975" s="36">
        <f>Tabla13[[#This Row],[Importe]]-Tabla13[[#This Row],[Pagado]]</f>
        <v>0</v>
      </c>
      <c r="H1975" s="38" t="s">
        <v>10</v>
      </c>
    </row>
    <row r="1976" spans="1:8" ht="31.5" x14ac:dyDescent="0.25">
      <c r="A1976" s="31">
        <v>44610</v>
      </c>
      <c r="B1976" s="37" t="s">
        <v>5726</v>
      </c>
      <c r="C1976" s="38" t="s">
        <v>22</v>
      </c>
      <c r="D1976" s="34">
        <v>48530.8</v>
      </c>
      <c r="E1976" s="35" t="s">
        <v>5591</v>
      </c>
      <c r="F1976" s="34">
        <f>40000+8530.8</f>
        <v>48530.8</v>
      </c>
      <c r="G1976" s="36">
        <f>Tabla13[[#This Row],[Importe]]-Tabla13[[#This Row],[Pagado]]</f>
        <v>0</v>
      </c>
      <c r="H1976" s="38" t="s">
        <v>10</v>
      </c>
    </row>
    <row r="1977" spans="1:8" x14ac:dyDescent="0.25">
      <c r="A1977" s="31">
        <v>44610</v>
      </c>
      <c r="B1977" s="37" t="s">
        <v>5727</v>
      </c>
      <c r="C1977" s="38" t="s">
        <v>93</v>
      </c>
      <c r="D1977" s="34">
        <v>6353.4</v>
      </c>
      <c r="E1977" s="35">
        <v>44611</v>
      </c>
      <c r="F1977" s="34">
        <v>6353.4</v>
      </c>
      <c r="G1977" s="36">
        <f>Tabla13[[#This Row],[Importe]]-Tabla13[[#This Row],[Pagado]]</f>
        <v>0</v>
      </c>
      <c r="H1977" s="38" t="s">
        <v>10</v>
      </c>
    </row>
    <row r="1978" spans="1:8" x14ac:dyDescent="0.25">
      <c r="A1978" s="31">
        <v>44610</v>
      </c>
      <c r="B1978" s="37" t="s">
        <v>5728</v>
      </c>
      <c r="C1978" s="38" t="s">
        <v>18</v>
      </c>
      <c r="D1978" s="34">
        <v>1260</v>
      </c>
      <c r="E1978" s="35">
        <v>44607</v>
      </c>
      <c r="F1978" s="34">
        <v>1260</v>
      </c>
      <c r="G1978" s="36">
        <f>Tabla13[[#This Row],[Importe]]-Tabla13[[#This Row],[Pagado]]</f>
        <v>0</v>
      </c>
      <c r="H1978" s="38" t="s">
        <v>10</v>
      </c>
    </row>
    <row r="1979" spans="1:8" x14ac:dyDescent="0.25">
      <c r="A1979" s="31">
        <v>44610</v>
      </c>
      <c r="B1979" s="37" t="s">
        <v>5729</v>
      </c>
      <c r="C1979" s="38" t="s">
        <v>89</v>
      </c>
      <c r="D1979" s="34">
        <v>3035.2</v>
      </c>
      <c r="E1979" s="35">
        <v>44611</v>
      </c>
      <c r="F1979" s="34">
        <v>3035.2</v>
      </c>
      <c r="G1979" s="36">
        <f>Tabla13[[#This Row],[Importe]]-Tabla13[[#This Row],[Pagado]]</f>
        <v>0</v>
      </c>
      <c r="H1979" s="38" t="s">
        <v>10</v>
      </c>
    </row>
    <row r="1980" spans="1:8" x14ac:dyDescent="0.25">
      <c r="A1980" s="31">
        <v>44610</v>
      </c>
      <c r="B1980" s="37" t="s">
        <v>5730</v>
      </c>
      <c r="C1980" s="38" t="s">
        <v>647</v>
      </c>
      <c r="D1980" s="34">
        <v>3983.1</v>
      </c>
      <c r="E1980" s="35">
        <v>44610</v>
      </c>
      <c r="F1980" s="34">
        <v>3983.1</v>
      </c>
      <c r="G1980" s="36">
        <f>Tabla13[[#This Row],[Importe]]-Tabla13[[#This Row],[Pagado]]</f>
        <v>0</v>
      </c>
      <c r="H1980" s="38" t="s">
        <v>10</v>
      </c>
    </row>
    <row r="1981" spans="1:8" x14ac:dyDescent="0.25">
      <c r="A1981" s="31">
        <v>44610</v>
      </c>
      <c r="B1981" s="37" t="s">
        <v>5731</v>
      </c>
      <c r="C1981" s="38" t="s">
        <v>216</v>
      </c>
      <c r="D1981" s="34">
        <v>1705</v>
      </c>
      <c r="E1981" s="35">
        <v>44610</v>
      </c>
      <c r="F1981" s="34">
        <v>1705</v>
      </c>
      <c r="G1981" s="36">
        <f>Tabla13[[#This Row],[Importe]]-Tabla13[[#This Row],[Pagado]]</f>
        <v>0</v>
      </c>
      <c r="H1981" s="38" t="s">
        <v>10</v>
      </c>
    </row>
    <row r="1982" spans="1:8" x14ac:dyDescent="0.25">
      <c r="A1982" s="31">
        <v>44610</v>
      </c>
      <c r="B1982" s="37" t="s">
        <v>5732</v>
      </c>
      <c r="C1982" s="38" t="s">
        <v>198</v>
      </c>
      <c r="D1982" s="34">
        <v>4197.2</v>
      </c>
      <c r="E1982" s="35">
        <v>44610</v>
      </c>
      <c r="F1982" s="34">
        <v>4197.2</v>
      </c>
      <c r="G1982" s="36">
        <f>Tabla13[[#This Row],[Importe]]-Tabla13[[#This Row],[Pagado]]</f>
        <v>0</v>
      </c>
      <c r="H1982" s="38" t="s">
        <v>10</v>
      </c>
    </row>
    <row r="1983" spans="1:8" x14ac:dyDescent="0.25">
      <c r="A1983" s="31">
        <v>44610</v>
      </c>
      <c r="B1983" s="37" t="s">
        <v>5733</v>
      </c>
      <c r="C1983" s="38" t="s">
        <v>924</v>
      </c>
      <c r="D1983" s="34">
        <v>12944.78</v>
      </c>
      <c r="E1983" s="35">
        <v>44610</v>
      </c>
      <c r="F1983" s="34">
        <v>12944.78</v>
      </c>
      <c r="G1983" s="36">
        <f>Tabla13[[#This Row],[Importe]]-Tabla13[[#This Row],[Pagado]]</f>
        <v>0</v>
      </c>
      <c r="H1983" s="38" t="s">
        <v>10</v>
      </c>
    </row>
    <row r="1984" spans="1:8" x14ac:dyDescent="0.25">
      <c r="A1984" s="31">
        <v>44610</v>
      </c>
      <c r="B1984" s="37" t="s">
        <v>5734</v>
      </c>
      <c r="C1984" s="38" t="s">
        <v>142</v>
      </c>
      <c r="D1984" s="34">
        <v>475.2</v>
      </c>
      <c r="E1984" s="35">
        <v>44610</v>
      </c>
      <c r="F1984" s="34">
        <v>475.2</v>
      </c>
      <c r="G1984" s="36">
        <f>Tabla13[[#This Row],[Importe]]-Tabla13[[#This Row],[Pagado]]</f>
        <v>0</v>
      </c>
      <c r="H1984" s="38" t="s">
        <v>10</v>
      </c>
    </row>
    <row r="1985" spans="1:8" x14ac:dyDescent="0.25">
      <c r="A1985" s="31">
        <v>44610</v>
      </c>
      <c r="B1985" s="37" t="s">
        <v>5735</v>
      </c>
      <c r="C1985" s="38" t="s">
        <v>179</v>
      </c>
      <c r="D1985" s="34">
        <v>900</v>
      </c>
      <c r="E1985" s="35">
        <v>44610</v>
      </c>
      <c r="F1985" s="34">
        <v>900</v>
      </c>
      <c r="G1985" s="36">
        <f>Tabla13[[#This Row],[Importe]]-Tabla13[[#This Row],[Pagado]]</f>
        <v>0</v>
      </c>
      <c r="H1985" s="38" t="s">
        <v>10</v>
      </c>
    </row>
    <row r="1986" spans="1:8" x14ac:dyDescent="0.25">
      <c r="A1986" s="31">
        <v>44610</v>
      </c>
      <c r="B1986" s="37" t="s">
        <v>5736</v>
      </c>
      <c r="C1986" s="38" t="s">
        <v>224</v>
      </c>
      <c r="D1986" s="34">
        <v>1865.8</v>
      </c>
      <c r="E1986" s="35">
        <v>44610</v>
      </c>
      <c r="F1986" s="34">
        <v>1865.8</v>
      </c>
      <c r="G1986" s="36">
        <f>Tabla13[[#This Row],[Importe]]-Tabla13[[#This Row],[Pagado]]</f>
        <v>0</v>
      </c>
      <c r="H1986" s="38" t="s">
        <v>10</v>
      </c>
    </row>
    <row r="1987" spans="1:8" x14ac:dyDescent="0.25">
      <c r="A1987" s="31">
        <v>44610</v>
      </c>
      <c r="B1987" s="37" t="s">
        <v>5737</v>
      </c>
      <c r="C1987" s="38" t="s">
        <v>47</v>
      </c>
      <c r="D1987" s="34">
        <v>37429.379999999997</v>
      </c>
      <c r="E1987" s="35">
        <v>44610</v>
      </c>
      <c r="F1987" s="34">
        <v>37429.379999999997</v>
      </c>
      <c r="G1987" s="36">
        <f>Tabla13[[#This Row],[Importe]]-Tabla13[[#This Row],[Pagado]]</f>
        <v>0</v>
      </c>
      <c r="H1987" s="38" t="s">
        <v>10</v>
      </c>
    </row>
    <row r="1988" spans="1:8" x14ac:dyDescent="0.25">
      <c r="A1988" s="31">
        <v>44610</v>
      </c>
      <c r="B1988" s="37" t="s">
        <v>5738</v>
      </c>
      <c r="C1988" s="38" t="s">
        <v>224</v>
      </c>
      <c r="D1988" s="34">
        <v>368</v>
      </c>
      <c r="E1988" s="35">
        <v>44610</v>
      </c>
      <c r="F1988" s="34">
        <v>368</v>
      </c>
      <c r="G1988" s="36">
        <f>Tabla13[[#This Row],[Importe]]-Tabla13[[#This Row],[Pagado]]</f>
        <v>0</v>
      </c>
      <c r="H1988" s="38" t="s">
        <v>10</v>
      </c>
    </row>
    <row r="1989" spans="1:8" x14ac:dyDescent="0.25">
      <c r="A1989" s="31">
        <v>44610</v>
      </c>
      <c r="B1989" s="37" t="s">
        <v>5739</v>
      </c>
      <c r="C1989" s="38" t="s">
        <v>142</v>
      </c>
      <c r="D1989" s="34">
        <v>74963.399999999994</v>
      </c>
      <c r="E1989" s="35">
        <v>44617</v>
      </c>
      <c r="F1989" s="34">
        <v>74963.399999999994</v>
      </c>
      <c r="G1989" s="36">
        <f>Tabla13[[#This Row],[Importe]]-Tabla13[[#This Row],[Pagado]]</f>
        <v>0</v>
      </c>
      <c r="H1989" s="38" t="s">
        <v>10</v>
      </c>
    </row>
    <row r="1990" spans="1:8" x14ac:dyDescent="0.25">
      <c r="A1990" s="31">
        <v>44610</v>
      </c>
      <c r="B1990" s="37" t="s">
        <v>5740</v>
      </c>
      <c r="C1990" s="38" t="s">
        <v>35</v>
      </c>
      <c r="D1990" s="34">
        <v>2195.9</v>
      </c>
      <c r="E1990" s="35">
        <v>44610</v>
      </c>
      <c r="F1990" s="34">
        <v>2195.9</v>
      </c>
      <c r="G1990" s="36">
        <f>Tabla13[[#This Row],[Importe]]-Tabla13[[#This Row],[Pagado]]</f>
        <v>0</v>
      </c>
      <c r="H1990" s="38" t="s">
        <v>10</v>
      </c>
    </row>
    <row r="1991" spans="1:8" x14ac:dyDescent="0.25">
      <c r="A1991" s="31">
        <v>44610</v>
      </c>
      <c r="B1991" s="37" t="s">
        <v>5741</v>
      </c>
      <c r="C1991" s="38" t="s">
        <v>131</v>
      </c>
      <c r="D1991" s="34">
        <v>16013.2</v>
      </c>
      <c r="E1991" s="35">
        <v>44610</v>
      </c>
      <c r="F1991" s="34">
        <v>16013.2</v>
      </c>
      <c r="G1991" s="36">
        <f>Tabla13[[#This Row],[Importe]]-Tabla13[[#This Row],[Pagado]]</f>
        <v>0</v>
      </c>
      <c r="H1991" s="38" t="s">
        <v>10</v>
      </c>
    </row>
    <row r="1992" spans="1:8" x14ac:dyDescent="0.25">
      <c r="A1992" s="31">
        <v>44610</v>
      </c>
      <c r="B1992" s="37" t="s">
        <v>5742</v>
      </c>
      <c r="C1992" s="38" t="s">
        <v>4136</v>
      </c>
      <c r="D1992" s="34">
        <v>8265.2999999999993</v>
      </c>
      <c r="E1992" s="35">
        <v>44610</v>
      </c>
      <c r="F1992" s="34">
        <v>8265.2999999999993</v>
      </c>
      <c r="G1992" s="36">
        <f>Tabla13[[#This Row],[Importe]]-Tabla13[[#This Row],[Pagado]]</f>
        <v>0</v>
      </c>
      <c r="H1992" s="38" t="s">
        <v>10</v>
      </c>
    </row>
    <row r="1993" spans="1:8" x14ac:dyDescent="0.25">
      <c r="A1993" s="31">
        <v>44610</v>
      </c>
      <c r="B1993" s="37" t="s">
        <v>5743</v>
      </c>
      <c r="C1993" s="38" t="s">
        <v>815</v>
      </c>
      <c r="D1993" s="34">
        <v>4105</v>
      </c>
      <c r="E1993" s="35">
        <v>44610</v>
      </c>
      <c r="F1993" s="34">
        <v>4105</v>
      </c>
      <c r="G1993" s="36">
        <f>Tabla13[[#This Row],[Importe]]-Tabla13[[#This Row],[Pagado]]</f>
        <v>0</v>
      </c>
      <c r="H1993" s="38" t="s">
        <v>10</v>
      </c>
    </row>
    <row r="1994" spans="1:8" x14ac:dyDescent="0.25">
      <c r="A1994" s="31">
        <v>44610</v>
      </c>
      <c r="B1994" s="37" t="s">
        <v>5744</v>
      </c>
      <c r="C1994" s="38" t="s">
        <v>230</v>
      </c>
      <c r="D1994" s="34">
        <v>4656.3999999999996</v>
      </c>
      <c r="E1994" s="35">
        <v>44610</v>
      </c>
      <c r="F1994" s="34">
        <v>4656.3999999999996</v>
      </c>
      <c r="G1994" s="36">
        <f>Tabla13[[#This Row],[Importe]]-Tabla13[[#This Row],[Pagado]]</f>
        <v>0</v>
      </c>
      <c r="H1994" s="38" t="s">
        <v>10</v>
      </c>
    </row>
    <row r="1995" spans="1:8" x14ac:dyDescent="0.25">
      <c r="A1995" s="31">
        <v>44610</v>
      </c>
      <c r="B1995" s="37" t="s">
        <v>5745</v>
      </c>
      <c r="C1995" s="38" t="s">
        <v>27</v>
      </c>
      <c r="D1995" s="34">
        <v>2861.4</v>
      </c>
      <c r="E1995" s="35">
        <v>44610</v>
      </c>
      <c r="F1995" s="34">
        <v>2861.4</v>
      </c>
      <c r="G1995" s="36">
        <f>Tabla13[[#This Row],[Importe]]-Tabla13[[#This Row],[Pagado]]</f>
        <v>0</v>
      </c>
      <c r="H1995" s="38" t="s">
        <v>10</v>
      </c>
    </row>
    <row r="1996" spans="1:8" x14ac:dyDescent="0.25">
      <c r="A1996" s="31">
        <v>44610</v>
      </c>
      <c r="B1996" s="37" t="s">
        <v>5746</v>
      </c>
      <c r="C1996" s="38" t="s">
        <v>703</v>
      </c>
      <c r="D1996" s="34">
        <v>5086.2</v>
      </c>
      <c r="E1996" s="35">
        <v>44610</v>
      </c>
      <c r="F1996" s="34">
        <v>5086.2</v>
      </c>
      <c r="G1996" s="36">
        <f>Tabla13[[#This Row],[Importe]]-Tabla13[[#This Row],[Pagado]]</f>
        <v>0</v>
      </c>
      <c r="H1996" s="38" t="s">
        <v>10</v>
      </c>
    </row>
    <row r="1997" spans="1:8" x14ac:dyDescent="0.25">
      <c r="A1997" s="31">
        <v>44610</v>
      </c>
      <c r="B1997" s="37" t="s">
        <v>5747</v>
      </c>
      <c r="C1997" s="38" t="s">
        <v>878</v>
      </c>
      <c r="D1997" s="34">
        <v>4637.3999999999996</v>
      </c>
      <c r="E1997" s="35">
        <v>44610</v>
      </c>
      <c r="F1997" s="34">
        <v>4637.3999999999996</v>
      </c>
      <c r="G1997" s="36">
        <f>Tabla13[[#This Row],[Importe]]-Tabla13[[#This Row],[Pagado]]</f>
        <v>0</v>
      </c>
      <c r="H1997" s="38" t="s">
        <v>10</v>
      </c>
    </row>
    <row r="1998" spans="1:8" x14ac:dyDescent="0.25">
      <c r="A1998" s="31">
        <v>44610</v>
      </c>
      <c r="B1998" s="37" t="s">
        <v>5748</v>
      </c>
      <c r="C1998" s="38" t="s">
        <v>5749</v>
      </c>
      <c r="D1998" s="34">
        <v>0</v>
      </c>
      <c r="E1998" s="39" t="s">
        <v>189</v>
      </c>
      <c r="F1998" s="34">
        <v>0</v>
      </c>
      <c r="G1998" s="36">
        <f>Tabla13[[#This Row],[Importe]]-Tabla13[[#This Row],[Pagado]]</f>
        <v>0</v>
      </c>
      <c r="H1998" s="38" t="s">
        <v>189</v>
      </c>
    </row>
    <row r="1999" spans="1:8" x14ac:dyDescent="0.25">
      <c r="A1999" s="31">
        <v>44610</v>
      </c>
      <c r="B1999" s="37" t="s">
        <v>5750</v>
      </c>
      <c r="C1999" s="38" t="s">
        <v>261</v>
      </c>
      <c r="D1999" s="34">
        <v>30354.799999999999</v>
      </c>
      <c r="E1999" s="35">
        <v>44610</v>
      </c>
      <c r="F1999" s="34">
        <v>30354.799999999999</v>
      </c>
      <c r="G1999" s="36">
        <f>Tabla13[[#This Row],[Importe]]-Tabla13[[#This Row],[Pagado]]</f>
        <v>0</v>
      </c>
      <c r="H1999" s="38" t="s">
        <v>10</v>
      </c>
    </row>
    <row r="2000" spans="1:8" x14ac:dyDescent="0.25">
      <c r="A2000" s="31">
        <v>44610</v>
      </c>
      <c r="B2000" s="37" t="s">
        <v>5751</v>
      </c>
      <c r="C2000" s="38" t="s">
        <v>202</v>
      </c>
      <c r="D2000" s="34">
        <v>3641.2</v>
      </c>
      <c r="E2000" s="35">
        <v>44610</v>
      </c>
      <c r="F2000" s="34">
        <v>3641.2</v>
      </c>
      <c r="G2000" s="36">
        <f>Tabla13[[#This Row],[Importe]]-Tabla13[[#This Row],[Pagado]]</f>
        <v>0</v>
      </c>
      <c r="H2000" s="38" t="s">
        <v>10</v>
      </c>
    </row>
    <row r="2001" spans="1:8" x14ac:dyDescent="0.25">
      <c r="A2001" s="31">
        <v>44610</v>
      </c>
      <c r="B2001" s="37" t="s">
        <v>5752</v>
      </c>
      <c r="C2001" s="38" t="s">
        <v>402</v>
      </c>
      <c r="D2001" s="34">
        <v>12035.5</v>
      </c>
      <c r="E2001" s="35">
        <v>44615</v>
      </c>
      <c r="F2001" s="34">
        <v>12035.5</v>
      </c>
      <c r="G2001" s="36">
        <f>Tabla13[[#This Row],[Importe]]-Tabla13[[#This Row],[Pagado]]</f>
        <v>0</v>
      </c>
      <c r="H2001" s="38" t="s">
        <v>10</v>
      </c>
    </row>
    <row r="2002" spans="1:8" x14ac:dyDescent="0.25">
      <c r="A2002" s="31">
        <v>44610</v>
      </c>
      <c r="B2002" s="37" t="s">
        <v>5753</v>
      </c>
      <c r="C2002" s="38" t="s">
        <v>135</v>
      </c>
      <c r="D2002" s="34">
        <v>3378.2</v>
      </c>
      <c r="E2002" s="35">
        <v>44610</v>
      </c>
      <c r="F2002" s="34">
        <v>3378.2</v>
      </c>
      <c r="G2002" s="36">
        <f>Tabla13[[#This Row],[Importe]]-Tabla13[[#This Row],[Pagado]]</f>
        <v>0</v>
      </c>
      <c r="H2002" s="38" t="s">
        <v>10</v>
      </c>
    </row>
    <row r="2003" spans="1:8" x14ac:dyDescent="0.25">
      <c r="A2003" s="31">
        <v>44610</v>
      </c>
      <c r="B2003" s="37" t="s">
        <v>5754</v>
      </c>
      <c r="C2003" s="38" t="s">
        <v>878</v>
      </c>
      <c r="D2003" s="34">
        <v>1523.9</v>
      </c>
      <c r="E2003" s="35">
        <v>44610</v>
      </c>
      <c r="F2003" s="34">
        <v>1523.9</v>
      </c>
      <c r="G2003" s="36">
        <f>Tabla13[[#This Row],[Importe]]-Tabla13[[#This Row],[Pagado]]</f>
        <v>0</v>
      </c>
      <c r="H2003" s="38" t="s">
        <v>10</v>
      </c>
    </row>
    <row r="2004" spans="1:8" x14ac:dyDescent="0.25">
      <c r="A2004" s="31">
        <v>44610</v>
      </c>
      <c r="B2004" s="37" t="s">
        <v>5755</v>
      </c>
      <c r="C2004" s="38" t="s">
        <v>2151</v>
      </c>
      <c r="D2004" s="34">
        <v>8974.5</v>
      </c>
      <c r="E2004" s="35">
        <v>44610</v>
      </c>
      <c r="F2004" s="34">
        <v>8974.5</v>
      </c>
      <c r="G2004" s="36">
        <f>Tabla13[[#This Row],[Importe]]-Tabla13[[#This Row],[Pagado]]</f>
        <v>0</v>
      </c>
      <c r="H2004" s="38" t="s">
        <v>10</v>
      </c>
    </row>
    <row r="2005" spans="1:8" x14ac:dyDescent="0.25">
      <c r="A2005" s="31">
        <v>44610</v>
      </c>
      <c r="B2005" s="37" t="s">
        <v>5756</v>
      </c>
      <c r="C2005" s="38" t="s">
        <v>45</v>
      </c>
      <c r="D2005" s="34">
        <v>13085.6</v>
      </c>
      <c r="E2005" s="35">
        <v>44610</v>
      </c>
      <c r="F2005" s="34">
        <v>13085.6</v>
      </c>
      <c r="G2005" s="36">
        <f>Tabla13[[#This Row],[Importe]]-Tabla13[[#This Row],[Pagado]]</f>
        <v>0</v>
      </c>
      <c r="H2005" s="38" t="s">
        <v>10</v>
      </c>
    </row>
    <row r="2006" spans="1:8" x14ac:dyDescent="0.25">
      <c r="A2006" s="31">
        <v>44610</v>
      </c>
      <c r="B2006" s="37" t="s">
        <v>5757</v>
      </c>
      <c r="C2006" s="38" t="s">
        <v>58</v>
      </c>
      <c r="D2006" s="34">
        <v>2725.8</v>
      </c>
      <c r="E2006" s="35">
        <v>44610</v>
      </c>
      <c r="F2006" s="34">
        <v>2725.8</v>
      </c>
      <c r="G2006" s="36">
        <f>Tabla13[[#This Row],[Importe]]-Tabla13[[#This Row],[Pagado]]</f>
        <v>0</v>
      </c>
      <c r="H2006" s="38" t="s">
        <v>10</v>
      </c>
    </row>
    <row r="2007" spans="1:8" x14ac:dyDescent="0.25">
      <c r="A2007" s="31">
        <v>44610</v>
      </c>
      <c r="B2007" s="37" t="s">
        <v>5758</v>
      </c>
      <c r="C2007" s="38" t="s">
        <v>14</v>
      </c>
      <c r="D2007" s="34">
        <v>15632.3</v>
      </c>
      <c r="E2007" s="35">
        <v>44610</v>
      </c>
      <c r="F2007" s="34">
        <v>15632.3</v>
      </c>
      <c r="G2007" s="36">
        <f>Tabla13[[#This Row],[Importe]]-Tabla13[[#This Row],[Pagado]]</f>
        <v>0</v>
      </c>
      <c r="H2007" s="38" t="s">
        <v>10</v>
      </c>
    </row>
    <row r="2008" spans="1:8" x14ac:dyDescent="0.25">
      <c r="A2008" s="31">
        <v>44610</v>
      </c>
      <c r="B2008" s="37" t="s">
        <v>5759</v>
      </c>
      <c r="C2008" s="38" t="s">
        <v>520</v>
      </c>
      <c r="D2008" s="34">
        <v>9812.7999999999993</v>
      </c>
      <c r="E2008" s="35">
        <v>44610</v>
      </c>
      <c r="F2008" s="34">
        <v>9812.7999999999993</v>
      </c>
      <c r="G2008" s="36">
        <f>Tabla13[[#This Row],[Importe]]-Tabla13[[#This Row],[Pagado]]</f>
        <v>0</v>
      </c>
      <c r="H2008" s="38" t="s">
        <v>10</v>
      </c>
    </row>
    <row r="2009" spans="1:8" x14ac:dyDescent="0.25">
      <c r="A2009" s="31">
        <v>44610</v>
      </c>
      <c r="B2009" s="37" t="s">
        <v>5760</v>
      </c>
      <c r="C2009" s="38" t="s">
        <v>159</v>
      </c>
      <c r="D2009" s="34">
        <v>1072.8</v>
      </c>
      <c r="E2009" s="35">
        <v>44610</v>
      </c>
      <c r="F2009" s="34">
        <v>1072.8</v>
      </c>
      <c r="G2009" s="36">
        <f>Tabla13[[#This Row],[Importe]]-Tabla13[[#This Row],[Pagado]]</f>
        <v>0</v>
      </c>
      <c r="H2009" s="38" t="s">
        <v>10</v>
      </c>
    </row>
    <row r="2010" spans="1:8" x14ac:dyDescent="0.25">
      <c r="A2010" s="31">
        <v>44610</v>
      </c>
      <c r="B2010" s="37" t="s">
        <v>5761</v>
      </c>
      <c r="C2010" s="38" t="s">
        <v>525</v>
      </c>
      <c r="D2010" s="34">
        <v>2601</v>
      </c>
      <c r="E2010" s="35">
        <v>44610</v>
      </c>
      <c r="F2010" s="34">
        <v>2601</v>
      </c>
      <c r="G2010" s="36">
        <f>Tabla13[[#This Row],[Importe]]-Tabla13[[#This Row],[Pagado]]</f>
        <v>0</v>
      </c>
      <c r="H2010" s="38" t="s">
        <v>10</v>
      </c>
    </row>
    <row r="2011" spans="1:8" x14ac:dyDescent="0.25">
      <c r="A2011" s="31">
        <v>44610</v>
      </c>
      <c r="B2011" s="37" t="s">
        <v>5762</v>
      </c>
      <c r="C2011" s="38" t="s">
        <v>518</v>
      </c>
      <c r="D2011" s="34">
        <v>1159.2</v>
      </c>
      <c r="E2011" s="35">
        <v>44610</v>
      </c>
      <c r="F2011" s="34">
        <v>1159.2</v>
      </c>
      <c r="G2011" s="36">
        <f>Tabla13[[#This Row],[Importe]]-Tabla13[[#This Row],[Pagado]]</f>
        <v>0</v>
      </c>
      <c r="H2011" s="38" t="s">
        <v>10</v>
      </c>
    </row>
    <row r="2012" spans="1:8" x14ac:dyDescent="0.25">
      <c r="A2012" s="31">
        <v>44610</v>
      </c>
      <c r="B2012" s="37" t="s">
        <v>5763</v>
      </c>
      <c r="C2012" s="38" t="s">
        <v>49</v>
      </c>
      <c r="D2012" s="34">
        <v>2315.1999999999998</v>
      </c>
      <c r="E2012" s="35">
        <v>44610</v>
      </c>
      <c r="F2012" s="34">
        <v>2315.1999999999998</v>
      </c>
      <c r="G2012" s="36">
        <f>Tabla13[[#This Row],[Importe]]-Tabla13[[#This Row],[Pagado]]</f>
        <v>0</v>
      </c>
      <c r="H2012" s="38" t="s">
        <v>10</v>
      </c>
    </row>
    <row r="2013" spans="1:8" x14ac:dyDescent="0.25">
      <c r="A2013" s="31">
        <v>44610</v>
      </c>
      <c r="B2013" s="37" t="s">
        <v>5764</v>
      </c>
      <c r="C2013" s="38" t="s">
        <v>969</v>
      </c>
      <c r="D2013" s="34">
        <v>7571.2</v>
      </c>
      <c r="E2013" s="35">
        <v>44610</v>
      </c>
      <c r="F2013" s="34">
        <v>7571.2</v>
      </c>
      <c r="G2013" s="36">
        <f>Tabla13[[#This Row],[Importe]]-Tabla13[[#This Row],[Pagado]]</f>
        <v>0</v>
      </c>
      <c r="H2013" s="38" t="s">
        <v>10</v>
      </c>
    </row>
    <row r="2014" spans="1:8" x14ac:dyDescent="0.25">
      <c r="A2014" s="31">
        <v>44610</v>
      </c>
      <c r="B2014" s="37" t="s">
        <v>5765</v>
      </c>
      <c r="C2014" s="38" t="s">
        <v>157</v>
      </c>
      <c r="D2014" s="34">
        <v>546</v>
      </c>
      <c r="E2014" s="35">
        <v>44610</v>
      </c>
      <c r="F2014" s="34">
        <v>546</v>
      </c>
      <c r="G2014" s="36">
        <f>Tabla13[[#This Row],[Importe]]-Tabla13[[#This Row],[Pagado]]</f>
        <v>0</v>
      </c>
      <c r="H2014" s="38" t="s">
        <v>10</v>
      </c>
    </row>
    <row r="2015" spans="1:8" x14ac:dyDescent="0.25">
      <c r="A2015" s="31">
        <v>44610</v>
      </c>
      <c r="B2015" s="37" t="s">
        <v>5766</v>
      </c>
      <c r="C2015" s="38" t="s">
        <v>151</v>
      </c>
      <c r="D2015" s="34">
        <v>3690</v>
      </c>
      <c r="E2015" s="35">
        <v>44610</v>
      </c>
      <c r="F2015" s="34">
        <v>3690</v>
      </c>
      <c r="G2015" s="36">
        <f>Tabla13[[#This Row],[Importe]]-Tabla13[[#This Row],[Pagado]]</f>
        <v>0</v>
      </c>
      <c r="H2015" s="38" t="s">
        <v>10</v>
      </c>
    </row>
    <row r="2016" spans="1:8" x14ac:dyDescent="0.25">
      <c r="A2016" s="31">
        <v>44610</v>
      </c>
      <c r="B2016" s="37" t="s">
        <v>5767</v>
      </c>
      <c r="C2016" s="38" t="s">
        <v>24</v>
      </c>
      <c r="D2016" s="34">
        <v>3145.2</v>
      </c>
      <c r="E2016" s="35">
        <v>44610</v>
      </c>
      <c r="F2016" s="34">
        <v>3145.2</v>
      </c>
      <c r="G2016" s="36">
        <f>Tabla13[[#This Row],[Importe]]-Tabla13[[#This Row],[Pagado]]</f>
        <v>0</v>
      </c>
      <c r="H2016" s="38" t="s">
        <v>10</v>
      </c>
    </row>
    <row r="2017" spans="1:8" x14ac:dyDescent="0.25">
      <c r="A2017" s="31">
        <v>44610</v>
      </c>
      <c r="B2017" s="37" t="s">
        <v>5768</v>
      </c>
      <c r="C2017" s="38" t="s">
        <v>127</v>
      </c>
      <c r="D2017" s="34">
        <v>4269.6000000000004</v>
      </c>
      <c r="E2017" s="35">
        <v>44610</v>
      </c>
      <c r="F2017" s="34">
        <v>4269.6000000000004</v>
      </c>
      <c r="G2017" s="36">
        <f>Tabla13[[#This Row],[Importe]]-Tabla13[[#This Row],[Pagado]]</f>
        <v>0</v>
      </c>
      <c r="H2017" s="38" t="s">
        <v>10</v>
      </c>
    </row>
    <row r="2018" spans="1:8" x14ac:dyDescent="0.25">
      <c r="A2018" s="31">
        <v>44610</v>
      </c>
      <c r="B2018" s="37" t="s">
        <v>5769</v>
      </c>
      <c r="C2018" s="38" t="s">
        <v>144</v>
      </c>
      <c r="D2018" s="34">
        <v>4267.8999999999996</v>
      </c>
      <c r="E2018" s="35">
        <v>44610</v>
      </c>
      <c r="F2018" s="34">
        <v>4267.8999999999996</v>
      </c>
      <c r="G2018" s="36">
        <f>Tabla13[[#This Row],[Importe]]-Tabla13[[#This Row],[Pagado]]</f>
        <v>0</v>
      </c>
      <c r="H2018" s="38" t="s">
        <v>10</v>
      </c>
    </row>
    <row r="2019" spans="1:8" x14ac:dyDescent="0.25">
      <c r="A2019" s="31">
        <v>44610</v>
      </c>
      <c r="B2019" s="37" t="s">
        <v>5770</v>
      </c>
      <c r="C2019" s="38" t="s">
        <v>140</v>
      </c>
      <c r="D2019" s="34">
        <v>1055.7</v>
      </c>
      <c r="E2019" s="35">
        <v>44610</v>
      </c>
      <c r="F2019" s="34">
        <v>1055.7</v>
      </c>
      <c r="G2019" s="36">
        <f>Tabla13[[#This Row],[Importe]]-Tabla13[[#This Row],[Pagado]]</f>
        <v>0</v>
      </c>
      <c r="H2019" s="38" t="s">
        <v>10</v>
      </c>
    </row>
    <row r="2020" spans="1:8" x14ac:dyDescent="0.25">
      <c r="A2020" s="31">
        <v>44610</v>
      </c>
      <c r="B2020" s="37" t="s">
        <v>5771</v>
      </c>
      <c r="C2020" s="38" t="s">
        <v>129</v>
      </c>
      <c r="D2020" s="34">
        <v>1096.5</v>
      </c>
      <c r="E2020" s="35">
        <v>44610</v>
      </c>
      <c r="F2020" s="34">
        <v>1096.5</v>
      </c>
      <c r="G2020" s="36">
        <f>Tabla13[[#This Row],[Importe]]-Tabla13[[#This Row],[Pagado]]</f>
        <v>0</v>
      </c>
      <c r="H2020" s="38" t="s">
        <v>10</v>
      </c>
    </row>
    <row r="2021" spans="1:8" x14ac:dyDescent="0.25">
      <c r="A2021" s="31">
        <v>44610</v>
      </c>
      <c r="B2021" s="37" t="s">
        <v>5772</v>
      </c>
      <c r="C2021" s="38" t="s">
        <v>339</v>
      </c>
      <c r="D2021" s="34">
        <v>494.7</v>
      </c>
      <c r="E2021" s="35">
        <v>44610</v>
      </c>
      <c r="F2021" s="34">
        <v>494.7</v>
      </c>
      <c r="G2021" s="36">
        <f>Tabla13[[#This Row],[Importe]]-Tabla13[[#This Row],[Pagado]]</f>
        <v>0</v>
      </c>
      <c r="H2021" s="38" t="s">
        <v>10</v>
      </c>
    </row>
    <row r="2022" spans="1:8" x14ac:dyDescent="0.25">
      <c r="A2022" s="31">
        <v>44610</v>
      </c>
      <c r="B2022" s="37" t="s">
        <v>5773</v>
      </c>
      <c r="C2022" s="38" t="s">
        <v>87</v>
      </c>
      <c r="D2022" s="34">
        <v>2180</v>
      </c>
      <c r="E2022" s="35">
        <v>44610</v>
      </c>
      <c r="F2022" s="34">
        <v>2180</v>
      </c>
      <c r="G2022" s="36">
        <f>Tabla13[[#This Row],[Importe]]-Tabla13[[#This Row],[Pagado]]</f>
        <v>0</v>
      </c>
      <c r="H2022" s="38" t="s">
        <v>10</v>
      </c>
    </row>
    <row r="2023" spans="1:8" x14ac:dyDescent="0.25">
      <c r="A2023" s="31">
        <v>44610</v>
      </c>
      <c r="B2023" s="37" t="s">
        <v>5774</v>
      </c>
      <c r="C2023" s="38" t="s">
        <v>289</v>
      </c>
      <c r="D2023" s="34">
        <v>10475</v>
      </c>
      <c r="E2023" s="35">
        <v>44610</v>
      </c>
      <c r="F2023" s="34">
        <v>10475</v>
      </c>
      <c r="G2023" s="36">
        <f>Tabla13[[#This Row],[Importe]]-Tabla13[[#This Row],[Pagado]]</f>
        <v>0</v>
      </c>
      <c r="H2023" s="38" t="s">
        <v>10</v>
      </c>
    </row>
    <row r="2024" spans="1:8" x14ac:dyDescent="0.25">
      <c r="A2024" s="31">
        <v>44610</v>
      </c>
      <c r="B2024" s="37" t="s">
        <v>5775</v>
      </c>
      <c r="C2024" s="38" t="s">
        <v>244</v>
      </c>
      <c r="D2024" s="34">
        <v>3578</v>
      </c>
      <c r="E2024" s="35">
        <v>44610</v>
      </c>
      <c r="F2024" s="34">
        <v>3578</v>
      </c>
      <c r="G2024" s="36">
        <f>Tabla13[[#This Row],[Importe]]-Tabla13[[#This Row],[Pagado]]</f>
        <v>0</v>
      </c>
      <c r="H2024" s="38" t="s">
        <v>10</v>
      </c>
    </row>
    <row r="2025" spans="1:8" x14ac:dyDescent="0.25">
      <c r="A2025" s="31">
        <v>44610</v>
      </c>
      <c r="B2025" s="37" t="s">
        <v>5776</v>
      </c>
      <c r="C2025" s="38" t="s">
        <v>56</v>
      </c>
      <c r="D2025" s="34">
        <v>7465.3</v>
      </c>
      <c r="E2025" s="35">
        <v>44610</v>
      </c>
      <c r="F2025" s="34">
        <v>7465.3</v>
      </c>
      <c r="G2025" s="36">
        <f>Tabla13[[#This Row],[Importe]]-Tabla13[[#This Row],[Pagado]]</f>
        <v>0</v>
      </c>
      <c r="H2025" s="38" t="s">
        <v>10</v>
      </c>
    </row>
    <row r="2026" spans="1:8" x14ac:dyDescent="0.25">
      <c r="A2026" s="31">
        <v>44610</v>
      </c>
      <c r="B2026" s="37" t="s">
        <v>5777</v>
      </c>
      <c r="C2026" s="38" t="s">
        <v>196</v>
      </c>
      <c r="D2026" s="34">
        <v>130649.11</v>
      </c>
      <c r="E2026" s="35">
        <v>44610</v>
      </c>
      <c r="F2026" s="34">
        <v>130649.11</v>
      </c>
      <c r="G2026" s="36">
        <f>Tabla13[[#This Row],[Importe]]-Tabla13[[#This Row],[Pagado]]</f>
        <v>0</v>
      </c>
      <c r="H2026" s="38" t="s">
        <v>10</v>
      </c>
    </row>
    <row r="2027" spans="1:8" x14ac:dyDescent="0.25">
      <c r="A2027" s="31">
        <v>44610</v>
      </c>
      <c r="B2027" s="37" t="s">
        <v>5778</v>
      </c>
      <c r="C2027" s="38" t="s">
        <v>2114</v>
      </c>
      <c r="D2027" s="34">
        <v>1590</v>
      </c>
      <c r="E2027" s="35">
        <v>44610</v>
      </c>
      <c r="F2027" s="34">
        <v>1590</v>
      </c>
      <c r="G2027" s="36">
        <f>Tabla13[[#This Row],[Importe]]-Tabla13[[#This Row],[Pagado]]</f>
        <v>0</v>
      </c>
      <c r="H2027" s="38" t="s">
        <v>10</v>
      </c>
    </row>
    <row r="2028" spans="1:8" x14ac:dyDescent="0.25">
      <c r="A2028" s="31">
        <v>44610</v>
      </c>
      <c r="B2028" s="37" t="s">
        <v>5779</v>
      </c>
      <c r="C2028" s="38" t="s">
        <v>314</v>
      </c>
      <c r="D2028" s="34">
        <v>3745</v>
      </c>
      <c r="E2028" s="35">
        <v>44610</v>
      </c>
      <c r="F2028" s="34">
        <v>3745</v>
      </c>
      <c r="G2028" s="36">
        <f>Tabla13[[#This Row],[Importe]]-Tabla13[[#This Row],[Pagado]]</f>
        <v>0</v>
      </c>
      <c r="H2028" s="38" t="s">
        <v>10</v>
      </c>
    </row>
    <row r="2029" spans="1:8" x14ac:dyDescent="0.25">
      <c r="A2029" s="31">
        <v>44610</v>
      </c>
      <c r="B2029" s="37" t="s">
        <v>5780</v>
      </c>
      <c r="C2029" s="38" t="s">
        <v>146</v>
      </c>
      <c r="D2029" s="34">
        <v>2870</v>
      </c>
      <c r="E2029" s="35">
        <v>44610</v>
      </c>
      <c r="F2029" s="34">
        <v>2870</v>
      </c>
      <c r="G2029" s="36">
        <f>Tabla13[[#This Row],[Importe]]-Tabla13[[#This Row],[Pagado]]</f>
        <v>0</v>
      </c>
      <c r="H2029" s="38" t="s">
        <v>10</v>
      </c>
    </row>
    <row r="2030" spans="1:8" x14ac:dyDescent="0.25">
      <c r="A2030" s="31">
        <v>44610</v>
      </c>
      <c r="B2030" s="37" t="s">
        <v>5781</v>
      </c>
      <c r="C2030" s="38" t="s">
        <v>218</v>
      </c>
      <c r="D2030" s="34">
        <v>26108.6</v>
      </c>
      <c r="E2030" s="35">
        <v>44616</v>
      </c>
      <c r="F2030" s="34">
        <v>26108.6</v>
      </c>
      <c r="G2030" s="36">
        <f>Tabla13[[#This Row],[Importe]]-Tabla13[[#This Row],[Pagado]]</f>
        <v>0</v>
      </c>
      <c r="H2030" s="38" t="s">
        <v>10</v>
      </c>
    </row>
    <row r="2031" spans="1:8" x14ac:dyDescent="0.25">
      <c r="A2031" s="31">
        <v>44610</v>
      </c>
      <c r="B2031" s="37" t="s">
        <v>5782</v>
      </c>
      <c r="C2031" s="38" t="s">
        <v>555</v>
      </c>
      <c r="D2031" s="34">
        <v>22202.799999999999</v>
      </c>
      <c r="E2031" s="35">
        <v>44610</v>
      </c>
      <c r="F2031" s="34">
        <v>22202.799999999999</v>
      </c>
      <c r="G2031" s="36">
        <f>Tabla13[[#This Row],[Importe]]-Tabla13[[#This Row],[Pagado]]</f>
        <v>0</v>
      </c>
      <c r="H2031" s="38" t="s">
        <v>10</v>
      </c>
    </row>
    <row r="2032" spans="1:8" x14ac:dyDescent="0.25">
      <c r="A2032" s="31">
        <v>44610</v>
      </c>
      <c r="B2032" s="37" t="s">
        <v>5783</v>
      </c>
      <c r="C2032" s="38" t="s">
        <v>191</v>
      </c>
      <c r="D2032" s="34">
        <v>634.20000000000005</v>
      </c>
      <c r="E2032" s="35">
        <v>44610</v>
      </c>
      <c r="F2032" s="34">
        <v>634.20000000000005</v>
      </c>
      <c r="G2032" s="36">
        <f>Tabla13[[#This Row],[Importe]]-Tabla13[[#This Row],[Pagado]]</f>
        <v>0</v>
      </c>
      <c r="H2032" s="38" t="s">
        <v>10</v>
      </c>
    </row>
    <row r="2033" spans="1:8" x14ac:dyDescent="0.25">
      <c r="A2033" s="31">
        <v>44610</v>
      </c>
      <c r="B2033" s="37" t="s">
        <v>5784</v>
      </c>
      <c r="C2033" s="38" t="s">
        <v>79</v>
      </c>
      <c r="D2033" s="34">
        <v>12610</v>
      </c>
      <c r="E2033" s="35">
        <v>44610</v>
      </c>
      <c r="F2033" s="34">
        <v>12610</v>
      </c>
      <c r="G2033" s="36">
        <f>Tabla13[[#This Row],[Importe]]-Tabla13[[#This Row],[Pagado]]</f>
        <v>0</v>
      </c>
      <c r="H2033" s="38" t="s">
        <v>10</v>
      </c>
    </row>
    <row r="2034" spans="1:8" x14ac:dyDescent="0.25">
      <c r="A2034" s="31">
        <v>44610</v>
      </c>
      <c r="B2034" s="37" t="s">
        <v>5785</v>
      </c>
      <c r="C2034" s="38" t="s">
        <v>67</v>
      </c>
      <c r="D2034" s="34">
        <v>7819.6</v>
      </c>
      <c r="E2034" s="35">
        <v>44610</v>
      </c>
      <c r="F2034" s="34">
        <v>7819.6</v>
      </c>
      <c r="G2034" s="36">
        <f>Tabla13[[#This Row],[Importe]]-Tabla13[[#This Row],[Pagado]]</f>
        <v>0</v>
      </c>
      <c r="H2034" s="38" t="s">
        <v>10</v>
      </c>
    </row>
    <row r="2035" spans="1:8" x14ac:dyDescent="0.25">
      <c r="A2035" s="31">
        <v>44610</v>
      </c>
      <c r="B2035" s="37" t="s">
        <v>5786</v>
      </c>
      <c r="C2035" s="38" t="s">
        <v>214</v>
      </c>
      <c r="D2035" s="34">
        <v>820</v>
      </c>
      <c r="E2035" s="35">
        <v>44610</v>
      </c>
      <c r="F2035" s="34">
        <v>820</v>
      </c>
      <c r="G2035" s="36">
        <f>Tabla13[[#This Row],[Importe]]-Tabla13[[#This Row],[Pagado]]</f>
        <v>0</v>
      </c>
      <c r="H2035" s="38" t="s">
        <v>10</v>
      </c>
    </row>
    <row r="2036" spans="1:8" x14ac:dyDescent="0.25">
      <c r="A2036" s="31">
        <v>44610</v>
      </c>
      <c r="B2036" s="37" t="s">
        <v>5787</v>
      </c>
      <c r="C2036" s="38" t="s">
        <v>380</v>
      </c>
      <c r="D2036" s="34">
        <v>8286.9</v>
      </c>
      <c r="E2036" s="35">
        <v>44610</v>
      </c>
      <c r="F2036" s="34">
        <v>8286.9</v>
      </c>
      <c r="G2036" s="36">
        <f>Tabla13[[#This Row],[Importe]]-Tabla13[[#This Row],[Pagado]]</f>
        <v>0</v>
      </c>
      <c r="H2036" s="38" t="s">
        <v>10</v>
      </c>
    </row>
    <row r="2037" spans="1:8" x14ac:dyDescent="0.25">
      <c r="A2037" s="31">
        <v>44610</v>
      </c>
      <c r="B2037" s="37" t="s">
        <v>5788</v>
      </c>
      <c r="C2037" s="38" t="s">
        <v>966</v>
      </c>
      <c r="D2037" s="34">
        <v>151.19999999999999</v>
      </c>
      <c r="E2037" s="35">
        <v>44610</v>
      </c>
      <c r="F2037" s="34">
        <v>151.19999999999999</v>
      </c>
      <c r="G2037" s="36">
        <f>Tabla13[[#This Row],[Importe]]-Tabla13[[#This Row],[Pagado]]</f>
        <v>0</v>
      </c>
      <c r="H2037" s="38" t="s">
        <v>10</v>
      </c>
    </row>
    <row r="2038" spans="1:8" x14ac:dyDescent="0.25">
      <c r="A2038" s="31">
        <v>44610</v>
      </c>
      <c r="B2038" s="37" t="s">
        <v>5789</v>
      </c>
      <c r="C2038" s="38" t="s">
        <v>67</v>
      </c>
      <c r="D2038" s="34">
        <v>1584</v>
      </c>
      <c r="E2038" s="35">
        <v>44610</v>
      </c>
      <c r="F2038" s="34">
        <v>1584</v>
      </c>
      <c r="G2038" s="36">
        <f>Tabla13[[#This Row],[Importe]]-Tabla13[[#This Row],[Pagado]]</f>
        <v>0</v>
      </c>
      <c r="H2038" s="38" t="s">
        <v>10</v>
      </c>
    </row>
    <row r="2039" spans="1:8" x14ac:dyDescent="0.25">
      <c r="A2039" s="31">
        <v>44610</v>
      </c>
      <c r="B2039" s="37" t="s">
        <v>5790</v>
      </c>
      <c r="C2039" s="38" t="s">
        <v>414</v>
      </c>
      <c r="D2039" s="34">
        <v>10182.200000000001</v>
      </c>
      <c r="E2039" s="35">
        <v>44610</v>
      </c>
      <c r="F2039" s="34">
        <v>10182.200000000001</v>
      </c>
      <c r="G2039" s="36">
        <f>Tabla13[[#This Row],[Importe]]-Tabla13[[#This Row],[Pagado]]</f>
        <v>0</v>
      </c>
      <c r="H2039" s="38" t="s">
        <v>10</v>
      </c>
    </row>
    <row r="2040" spans="1:8" x14ac:dyDescent="0.25">
      <c r="A2040" s="31">
        <v>44610</v>
      </c>
      <c r="B2040" s="37" t="s">
        <v>5791</v>
      </c>
      <c r="C2040" s="38" t="s">
        <v>51</v>
      </c>
      <c r="D2040" s="34">
        <v>3197.6</v>
      </c>
      <c r="E2040" s="35">
        <v>44610</v>
      </c>
      <c r="F2040" s="34">
        <v>3197.6</v>
      </c>
      <c r="G2040" s="36">
        <f>Tabla13[[#This Row],[Importe]]-Tabla13[[#This Row],[Pagado]]</f>
        <v>0</v>
      </c>
      <c r="H2040" s="38" t="s">
        <v>10</v>
      </c>
    </row>
    <row r="2041" spans="1:8" x14ac:dyDescent="0.25">
      <c r="A2041" s="31">
        <v>44610</v>
      </c>
      <c r="B2041" s="37" t="s">
        <v>5792</v>
      </c>
      <c r="C2041" s="38" t="s">
        <v>208</v>
      </c>
      <c r="D2041" s="34">
        <v>15753.64</v>
      </c>
      <c r="E2041" s="35">
        <v>44618</v>
      </c>
      <c r="F2041" s="34">
        <v>15753.64</v>
      </c>
      <c r="G2041" s="36">
        <f>Tabla13[[#This Row],[Importe]]-Tabla13[[#This Row],[Pagado]]</f>
        <v>0</v>
      </c>
      <c r="H2041" s="38" t="s">
        <v>10</v>
      </c>
    </row>
    <row r="2042" spans="1:8" x14ac:dyDescent="0.25">
      <c r="A2042" s="31">
        <v>44610</v>
      </c>
      <c r="B2042" s="37" t="s">
        <v>5793</v>
      </c>
      <c r="C2042" s="38" t="s">
        <v>62</v>
      </c>
      <c r="D2042" s="34">
        <v>2731.7</v>
      </c>
      <c r="E2042" s="35">
        <v>44610</v>
      </c>
      <c r="F2042" s="34">
        <v>2731.7</v>
      </c>
      <c r="G2042" s="36">
        <f>Tabla13[[#This Row],[Importe]]-Tabla13[[#This Row],[Pagado]]</f>
        <v>0</v>
      </c>
      <c r="H2042" s="38" t="s">
        <v>10</v>
      </c>
    </row>
    <row r="2043" spans="1:8" x14ac:dyDescent="0.25">
      <c r="A2043" s="31">
        <v>44610</v>
      </c>
      <c r="B2043" s="37" t="s">
        <v>5794</v>
      </c>
      <c r="C2043" s="38" t="s">
        <v>154</v>
      </c>
      <c r="D2043" s="34">
        <v>50592</v>
      </c>
      <c r="E2043" s="35">
        <v>44616</v>
      </c>
      <c r="F2043" s="34">
        <v>50592</v>
      </c>
      <c r="G2043" s="36">
        <f>Tabla13[[#This Row],[Importe]]-Tabla13[[#This Row],[Pagado]]</f>
        <v>0</v>
      </c>
      <c r="H2043" s="38" t="s">
        <v>10</v>
      </c>
    </row>
    <row r="2044" spans="1:8" x14ac:dyDescent="0.25">
      <c r="A2044" s="31">
        <v>44610</v>
      </c>
      <c r="B2044" s="37" t="s">
        <v>5795</v>
      </c>
      <c r="C2044" s="38" t="s">
        <v>670</v>
      </c>
      <c r="D2044" s="34">
        <v>3653.7</v>
      </c>
      <c r="E2044" s="35">
        <v>44610</v>
      </c>
      <c r="F2044" s="34">
        <v>3653.7</v>
      </c>
      <c r="G2044" s="36">
        <f>Tabla13[[#This Row],[Importe]]-Tabla13[[#This Row],[Pagado]]</f>
        <v>0</v>
      </c>
      <c r="H2044" s="38" t="s">
        <v>10</v>
      </c>
    </row>
    <row r="2045" spans="1:8" x14ac:dyDescent="0.25">
      <c r="A2045" s="31">
        <v>44610</v>
      </c>
      <c r="B2045" s="37" t="s">
        <v>5796</v>
      </c>
      <c r="C2045" s="38" t="s">
        <v>206</v>
      </c>
      <c r="D2045" s="34">
        <v>40425.620000000003</v>
      </c>
      <c r="E2045" s="35">
        <v>44616</v>
      </c>
      <c r="F2045" s="34">
        <v>40425.620000000003</v>
      </c>
      <c r="G2045" s="36">
        <f>Tabla13[[#This Row],[Importe]]-Tabla13[[#This Row],[Pagado]]</f>
        <v>0</v>
      </c>
      <c r="H2045" s="38" t="s">
        <v>10</v>
      </c>
    </row>
    <row r="2046" spans="1:8" x14ac:dyDescent="0.25">
      <c r="A2046" s="31">
        <v>44610</v>
      </c>
      <c r="B2046" s="37" t="s">
        <v>5797</v>
      </c>
      <c r="C2046" s="38" t="s">
        <v>31</v>
      </c>
      <c r="D2046" s="34">
        <v>3519</v>
      </c>
      <c r="E2046" s="35">
        <v>44610</v>
      </c>
      <c r="F2046" s="34">
        <v>3519</v>
      </c>
      <c r="G2046" s="36">
        <f>Tabla13[[#This Row],[Importe]]-Tabla13[[#This Row],[Pagado]]</f>
        <v>0</v>
      </c>
      <c r="H2046" s="38" t="s">
        <v>10</v>
      </c>
    </row>
    <row r="2047" spans="1:8" x14ac:dyDescent="0.25">
      <c r="A2047" s="31">
        <v>44610</v>
      </c>
      <c r="B2047" s="37" t="s">
        <v>5798</v>
      </c>
      <c r="C2047" s="38" t="s">
        <v>31</v>
      </c>
      <c r="D2047" s="34">
        <v>1535</v>
      </c>
      <c r="E2047" s="35">
        <v>44610</v>
      </c>
      <c r="F2047" s="34">
        <v>1535</v>
      </c>
      <c r="G2047" s="36">
        <f>Tabla13[[#This Row],[Importe]]-Tabla13[[#This Row],[Pagado]]</f>
        <v>0</v>
      </c>
      <c r="H2047" s="38" t="s">
        <v>10</v>
      </c>
    </row>
    <row r="2048" spans="1:8" x14ac:dyDescent="0.25">
      <c r="A2048" s="31">
        <v>44610</v>
      </c>
      <c r="B2048" s="37" t="s">
        <v>5799</v>
      </c>
      <c r="C2048" s="38" t="s">
        <v>31</v>
      </c>
      <c r="D2048" s="34">
        <v>352.5</v>
      </c>
      <c r="E2048" s="35">
        <v>44610</v>
      </c>
      <c r="F2048" s="34">
        <v>352.5</v>
      </c>
      <c r="G2048" s="36">
        <f>Tabla13[[#This Row],[Importe]]-Tabla13[[#This Row],[Pagado]]</f>
        <v>0</v>
      </c>
      <c r="H2048" s="38" t="s">
        <v>10</v>
      </c>
    </row>
    <row r="2049" spans="1:8" x14ac:dyDescent="0.25">
      <c r="A2049" s="31">
        <v>44610</v>
      </c>
      <c r="B2049" s="37" t="s">
        <v>5800</v>
      </c>
      <c r="C2049" s="38" t="s">
        <v>51</v>
      </c>
      <c r="D2049" s="34">
        <v>1470.6</v>
      </c>
      <c r="E2049" s="35">
        <v>44610</v>
      </c>
      <c r="F2049" s="34">
        <v>1470.6</v>
      </c>
      <c r="G2049" s="36">
        <f>Tabla13[[#This Row],[Importe]]-Tabla13[[#This Row],[Pagado]]</f>
        <v>0</v>
      </c>
      <c r="H2049" s="38" t="s">
        <v>10</v>
      </c>
    </row>
    <row r="2050" spans="1:8" x14ac:dyDescent="0.25">
      <c r="A2050" s="31">
        <v>44610</v>
      </c>
      <c r="B2050" s="37" t="s">
        <v>5801</v>
      </c>
      <c r="C2050" s="38" t="s">
        <v>173</v>
      </c>
      <c r="D2050" s="34">
        <v>25344</v>
      </c>
      <c r="E2050" s="35">
        <v>44611</v>
      </c>
      <c r="F2050" s="34">
        <v>25344</v>
      </c>
      <c r="G2050" s="36">
        <f>Tabla13[[#This Row],[Importe]]-Tabla13[[#This Row],[Pagado]]</f>
        <v>0</v>
      </c>
      <c r="H2050" s="38" t="s">
        <v>10</v>
      </c>
    </row>
    <row r="2051" spans="1:8" x14ac:dyDescent="0.25">
      <c r="A2051" s="31">
        <v>44610</v>
      </c>
      <c r="B2051" s="37" t="s">
        <v>5802</v>
      </c>
      <c r="C2051" s="38" t="s">
        <v>365</v>
      </c>
      <c r="D2051" s="34">
        <v>957.6</v>
      </c>
      <c r="E2051" s="35">
        <v>44610</v>
      </c>
      <c r="F2051" s="34">
        <v>957.6</v>
      </c>
      <c r="G2051" s="36">
        <f>Tabla13[[#This Row],[Importe]]-Tabla13[[#This Row],[Pagado]]</f>
        <v>0</v>
      </c>
      <c r="H2051" s="38" t="s">
        <v>10</v>
      </c>
    </row>
    <row r="2052" spans="1:8" ht="31.5" x14ac:dyDescent="0.25">
      <c r="A2052" s="31">
        <v>44610</v>
      </c>
      <c r="B2052" s="37" t="s">
        <v>5803</v>
      </c>
      <c r="C2052" s="38" t="s">
        <v>133</v>
      </c>
      <c r="D2052" s="34">
        <v>16080</v>
      </c>
      <c r="E2052" s="35" t="s">
        <v>5804</v>
      </c>
      <c r="F2052" s="34">
        <f>2000+14080</f>
        <v>16080</v>
      </c>
      <c r="G2052" s="36">
        <f>Tabla13[[#This Row],[Importe]]-Tabla13[[#This Row],[Pagado]]</f>
        <v>0</v>
      </c>
      <c r="H2052" s="38" t="s">
        <v>10</v>
      </c>
    </row>
    <row r="2053" spans="1:8" x14ac:dyDescent="0.25">
      <c r="A2053" s="31">
        <v>44610</v>
      </c>
      <c r="B2053" s="37" t="s">
        <v>5805</v>
      </c>
      <c r="C2053" s="38" t="s">
        <v>275</v>
      </c>
      <c r="D2053" s="34">
        <v>110165.85</v>
      </c>
      <c r="E2053" s="35">
        <v>44617</v>
      </c>
      <c r="F2053" s="34">
        <v>110165.85</v>
      </c>
      <c r="G2053" s="36">
        <f>Tabla13[[#This Row],[Importe]]-Tabla13[[#This Row],[Pagado]]</f>
        <v>0</v>
      </c>
      <c r="H2053" s="38" t="s">
        <v>10</v>
      </c>
    </row>
    <row r="2054" spans="1:8" x14ac:dyDescent="0.25">
      <c r="A2054" s="31">
        <v>44610</v>
      </c>
      <c r="B2054" s="37" t="s">
        <v>5806</v>
      </c>
      <c r="C2054" s="38" t="s">
        <v>212</v>
      </c>
      <c r="D2054" s="34">
        <v>112918.8</v>
      </c>
      <c r="E2054" s="35">
        <v>44616</v>
      </c>
      <c r="F2054" s="34">
        <v>112918.8</v>
      </c>
      <c r="G2054" s="36">
        <f>Tabla13[[#This Row],[Importe]]-Tabla13[[#This Row],[Pagado]]</f>
        <v>0</v>
      </c>
      <c r="H2054" s="38" t="s">
        <v>10</v>
      </c>
    </row>
    <row r="2055" spans="1:8" x14ac:dyDescent="0.25">
      <c r="A2055" s="31">
        <v>44610</v>
      </c>
      <c r="B2055" s="37" t="s">
        <v>5807</v>
      </c>
      <c r="C2055" s="38" t="s">
        <v>2139</v>
      </c>
      <c r="D2055" s="34">
        <v>1663</v>
      </c>
      <c r="E2055" s="35">
        <v>44610</v>
      </c>
      <c r="F2055" s="34">
        <v>1663</v>
      </c>
      <c r="G2055" s="36">
        <f>Tabla13[[#This Row],[Importe]]-Tabla13[[#This Row],[Pagado]]</f>
        <v>0</v>
      </c>
      <c r="H2055" s="38" t="s">
        <v>10</v>
      </c>
    </row>
    <row r="2056" spans="1:8" x14ac:dyDescent="0.25">
      <c r="A2056" s="31">
        <v>44610</v>
      </c>
      <c r="B2056" s="37" t="s">
        <v>5808</v>
      </c>
      <c r="C2056" s="38" t="s">
        <v>5809</v>
      </c>
      <c r="D2056" s="34">
        <v>0</v>
      </c>
      <c r="E2056" s="39" t="s">
        <v>189</v>
      </c>
      <c r="F2056" s="34">
        <v>0</v>
      </c>
      <c r="G2056" s="36">
        <f>Tabla13[[#This Row],[Importe]]-Tabla13[[#This Row],[Pagado]]</f>
        <v>0</v>
      </c>
      <c r="H2056" s="38" t="s">
        <v>189</v>
      </c>
    </row>
    <row r="2057" spans="1:8" x14ac:dyDescent="0.25">
      <c r="A2057" s="31">
        <v>44610</v>
      </c>
      <c r="B2057" s="37" t="s">
        <v>5810</v>
      </c>
      <c r="C2057" s="38" t="s">
        <v>275</v>
      </c>
      <c r="D2057" s="34">
        <v>4779.6000000000004</v>
      </c>
      <c r="E2057" s="35">
        <v>44617</v>
      </c>
      <c r="F2057" s="34">
        <v>4779.6000000000004</v>
      </c>
      <c r="G2057" s="36">
        <f>Tabla13[[#This Row],[Importe]]-Tabla13[[#This Row],[Pagado]]</f>
        <v>0</v>
      </c>
      <c r="H2057" s="38" t="s">
        <v>10</v>
      </c>
    </row>
    <row r="2058" spans="1:8" x14ac:dyDescent="0.25">
      <c r="A2058" s="31">
        <v>44610</v>
      </c>
      <c r="B2058" s="37" t="s">
        <v>5811</v>
      </c>
      <c r="C2058" s="38" t="s">
        <v>269</v>
      </c>
      <c r="D2058" s="34">
        <v>3498.8</v>
      </c>
      <c r="E2058" s="35">
        <v>44610</v>
      </c>
      <c r="F2058" s="34">
        <v>3498.8</v>
      </c>
      <c r="G2058" s="36">
        <f>Tabla13[[#This Row],[Importe]]-Tabla13[[#This Row],[Pagado]]</f>
        <v>0</v>
      </c>
      <c r="H2058" s="38" t="s">
        <v>10</v>
      </c>
    </row>
    <row r="2059" spans="1:8" x14ac:dyDescent="0.25">
      <c r="A2059" s="31">
        <v>44610</v>
      </c>
      <c r="B2059" s="37" t="s">
        <v>5812</v>
      </c>
      <c r="C2059" s="38" t="s">
        <v>191</v>
      </c>
      <c r="D2059" s="34">
        <v>1045.2</v>
      </c>
      <c r="E2059" s="35">
        <v>44610</v>
      </c>
      <c r="F2059" s="34">
        <v>1045.2</v>
      </c>
      <c r="G2059" s="36">
        <f>Tabla13[[#This Row],[Importe]]-Tabla13[[#This Row],[Pagado]]</f>
        <v>0</v>
      </c>
      <c r="H2059" s="38" t="s">
        <v>10</v>
      </c>
    </row>
    <row r="2060" spans="1:8" x14ac:dyDescent="0.25">
      <c r="A2060" s="31">
        <v>44610</v>
      </c>
      <c r="B2060" s="37" t="s">
        <v>5813</v>
      </c>
      <c r="C2060" s="38" t="s">
        <v>592</v>
      </c>
      <c r="D2060" s="34">
        <v>12661.6</v>
      </c>
      <c r="E2060" s="35">
        <v>44611</v>
      </c>
      <c r="F2060" s="34">
        <v>12661.6</v>
      </c>
      <c r="G2060" s="36">
        <f>Tabla13[[#This Row],[Importe]]-Tabla13[[#This Row],[Pagado]]</f>
        <v>0</v>
      </c>
      <c r="H2060" s="38" t="s">
        <v>10</v>
      </c>
    </row>
    <row r="2061" spans="1:8" x14ac:dyDescent="0.25">
      <c r="A2061" s="31">
        <v>44610</v>
      </c>
      <c r="B2061" s="37" t="s">
        <v>5814</v>
      </c>
      <c r="C2061" s="38" t="s">
        <v>541</v>
      </c>
      <c r="D2061" s="34">
        <v>16576.400000000001</v>
      </c>
      <c r="E2061" s="35">
        <v>44611</v>
      </c>
      <c r="F2061" s="34">
        <v>16576.400000000001</v>
      </c>
      <c r="G2061" s="36">
        <f>Tabla13[[#This Row],[Importe]]-Tabla13[[#This Row],[Pagado]]</f>
        <v>0</v>
      </c>
      <c r="H2061" s="38" t="s">
        <v>10</v>
      </c>
    </row>
    <row r="2062" spans="1:8" x14ac:dyDescent="0.25">
      <c r="A2062" s="31">
        <v>44610</v>
      </c>
      <c r="B2062" s="37" t="s">
        <v>5815</v>
      </c>
      <c r="C2062" s="38" t="s">
        <v>5816</v>
      </c>
      <c r="D2062" s="34">
        <v>8628.7999999999993</v>
      </c>
      <c r="E2062" s="35">
        <v>44611</v>
      </c>
      <c r="F2062" s="34">
        <v>8628.7999999999993</v>
      </c>
      <c r="G2062" s="36">
        <f>Tabla13[[#This Row],[Importe]]-Tabla13[[#This Row],[Pagado]]</f>
        <v>0</v>
      </c>
      <c r="H2062" s="38" t="s">
        <v>10</v>
      </c>
    </row>
    <row r="2063" spans="1:8" x14ac:dyDescent="0.25">
      <c r="A2063" s="31">
        <v>44610</v>
      </c>
      <c r="B2063" s="37" t="s">
        <v>5817</v>
      </c>
      <c r="C2063" s="38" t="s">
        <v>246</v>
      </c>
      <c r="D2063" s="34">
        <v>40831</v>
      </c>
      <c r="E2063" s="35">
        <v>44610</v>
      </c>
      <c r="F2063" s="34">
        <v>40831</v>
      </c>
      <c r="G2063" s="36">
        <f>Tabla13[[#This Row],[Importe]]-Tabla13[[#This Row],[Pagado]]</f>
        <v>0</v>
      </c>
      <c r="H2063" s="38" t="s">
        <v>10</v>
      </c>
    </row>
    <row r="2064" spans="1:8" x14ac:dyDescent="0.25">
      <c r="A2064" s="31">
        <v>44610</v>
      </c>
      <c r="B2064" s="37" t="s">
        <v>5818</v>
      </c>
      <c r="C2064" s="38" t="s">
        <v>107</v>
      </c>
      <c r="D2064" s="34">
        <v>19886.2</v>
      </c>
      <c r="E2064" s="35">
        <v>44611</v>
      </c>
      <c r="F2064" s="34">
        <v>19886.2</v>
      </c>
      <c r="G2064" s="36">
        <f>Tabla13[[#This Row],[Importe]]-Tabla13[[#This Row],[Pagado]]</f>
        <v>0</v>
      </c>
      <c r="H2064" s="38" t="s">
        <v>10</v>
      </c>
    </row>
    <row r="2065" spans="1:8" x14ac:dyDescent="0.25">
      <c r="A2065" s="31">
        <v>44610</v>
      </c>
      <c r="B2065" s="37" t="s">
        <v>5819</v>
      </c>
      <c r="C2065" s="38" t="s">
        <v>83</v>
      </c>
      <c r="D2065" s="34">
        <v>4293</v>
      </c>
      <c r="E2065" s="35">
        <v>44611</v>
      </c>
      <c r="F2065" s="34">
        <v>4293</v>
      </c>
      <c r="G2065" s="36">
        <f>Tabla13[[#This Row],[Importe]]-Tabla13[[#This Row],[Pagado]]</f>
        <v>0</v>
      </c>
      <c r="H2065" s="38" t="s">
        <v>10</v>
      </c>
    </row>
    <row r="2066" spans="1:8" x14ac:dyDescent="0.25">
      <c r="A2066" s="31">
        <v>44610</v>
      </c>
      <c r="B2066" s="37" t="s">
        <v>5820</v>
      </c>
      <c r="C2066" s="38" t="s">
        <v>75</v>
      </c>
      <c r="D2066" s="34">
        <v>5700</v>
      </c>
      <c r="E2066" s="35">
        <v>44611</v>
      </c>
      <c r="F2066" s="34">
        <v>5700</v>
      </c>
      <c r="G2066" s="36">
        <f>Tabla13[[#This Row],[Importe]]-Tabla13[[#This Row],[Pagado]]</f>
        <v>0</v>
      </c>
      <c r="H2066" s="38" t="s">
        <v>10</v>
      </c>
    </row>
    <row r="2067" spans="1:8" x14ac:dyDescent="0.25">
      <c r="A2067" s="31">
        <v>44610</v>
      </c>
      <c r="B2067" s="37" t="s">
        <v>5821</v>
      </c>
      <c r="C2067" s="38" t="s">
        <v>282</v>
      </c>
      <c r="D2067" s="34">
        <v>2160</v>
      </c>
      <c r="E2067" s="35">
        <v>44611</v>
      </c>
      <c r="F2067" s="34">
        <v>2160</v>
      </c>
      <c r="G2067" s="36">
        <f>Tabla13[[#This Row],[Importe]]-Tabla13[[#This Row],[Pagado]]</f>
        <v>0</v>
      </c>
      <c r="H2067" s="38" t="s">
        <v>10</v>
      </c>
    </row>
    <row r="2068" spans="1:8" x14ac:dyDescent="0.25">
      <c r="A2068" s="31">
        <v>44610</v>
      </c>
      <c r="B2068" s="37" t="s">
        <v>5822</v>
      </c>
      <c r="C2068" s="38" t="s">
        <v>5345</v>
      </c>
      <c r="D2068" s="34">
        <v>1700</v>
      </c>
      <c r="E2068" s="35">
        <v>44611</v>
      </c>
      <c r="F2068" s="34">
        <v>1700</v>
      </c>
      <c r="G2068" s="36">
        <f>Tabla13[[#This Row],[Importe]]-Tabla13[[#This Row],[Pagado]]</f>
        <v>0</v>
      </c>
      <c r="H2068" s="38" t="s">
        <v>10</v>
      </c>
    </row>
    <row r="2069" spans="1:8" x14ac:dyDescent="0.25">
      <c r="A2069" s="31">
        <v>44610</v>
      </c>
      <c r="B2069" s="37" t="s">
        <v>5823</v>
      </c>
      <c r="C2069" s="38" t="s">
        <v>5824</v>
      </c>
      <c r="D2069" s="34">
        <v>0</v>
      </c>
      <c r="E2069" s="39" t="s">
        <v>189</v>
      </c>
      <c r="F2069" s="34">
        <v>0</v>
      </c>
      <c r="G2069" s="36">
        <f>Tabla13[[#This Row],[Importe]]-Tabla13[[#This Row],[Pagado]]</f>
        <v>0</v>
      </c>
      <c r="H2069" s="38" t="s">
        <v>189</v>
      </c>
    </row>
    <row r="2070" spans="1:8" x14ac:dyDescent="0.25">
      <c r="A2070" s="31">
        <v>44610</v>
      </c>
      <c r="B2070" s="37" t="s">
        <v>5825</v>
      </c>
      <c r="C2070" s="38" t="s">
        <v>9</v>
      </c>
      <c r="D2070" s="34">
        <v>3141.9</v>
      </c>
      <c r="E2070" s="35">
        <v>44610</v>
      </c>
      <c r="F2070" s="34">
        <v>3141.9</v>
      </c>
      <c r="G2070" s="36">
        <f>Tabla13[[#This Row],[Importe]]-Tabla13[[#This Row],[Pagado]]</f>
        <v>0</v>
      </c>
      <c r="H2070" s="38" t="s">
        <v>10</v>
      </c>
    </row>
    <row r="2071" spans="1:8" x14ac:dyDescent="0.25">
      <c r="A2071" s="31">
        <v>44610</v>
      </c>
      <c r="B2071" s="37" t="s">
        <v>5826</v>
      </c>
      <c r="C2071" s="38" t="s">
        <v>107</v>
      </c>
      <c r="D2071" s="34">
        <v>579.20000000000005</v>
      </c>
      <c r="E2071" s="35">
        <v>44611</v>
      </c>
      <c r="F2071" s="34">
        <v>579.20000000000005</v>
      </c>
      <c r="G2071" s="36">
        <f>Tabla13[[#This Row],[Importe]]-Tabla13[[#This Row],[Pagado]]</f>
        <v>0</v>
      </c>
      <c r="H2071" s="38" t="s">
        <v>10</v>
      </c>
    </row>
    <row r="2072" spans="1:8" x14ac:dyDescent="0.25">
      <c r="A2072" s="31">
        <v>44610</v>
      </c>
      <c r="B2072" s="37" t="s">
        <v>5827</v>
      </c>
      <c r="C2072" s="38" t="s">
        <v>857</v>
      </c>
      <c r="D2072" s="34">
        <v>1166.8</v>
      </c>
      <c r="E2072" s="35">
        <v>44610</v>
      </c>
      <c r="F2072" s="34">
        <v>1166.8</v>
      </c>
      <c r="G2072" s="36">
        <f>Tabla13[[#This Row],[Importe]]-Tabla13[[#This Row],[Pagado]]</f>
        <v>0</v>
      </c>
      <c r="H2072" s="38" t="s">
        <v>10</v>
      </c>
    </row>
    <row r="2073" spans="1:8" x14ac:dyDescent="0.25">
      <c r="A2073" s="31">
        <v>44610</v>
      </c>
      <c r="B2073" s="37" t="s">
        <v>5828</v>
      </c>
      <c r="C2073" s="38" t="s">
        <v>284</v>
      </c>
      <c r="D2073" s="34">
        <v>7730</v>
      </c>
      <c r="E2073" s="35">
        <v>44611</v>
      </c>
      <c r="F2073" s="34">
        <v>7730</v>
      </c>
      <c r="G2073" s="36">
        <f>Tabla13[[#This Row],[Importe]]-Tabla13[[#This Row],[Pagado]]</f>
        <v>0</v>
      </c>
      <c r="H2073" s="38" t="s">
        <v>10</v>
      </c>
    </row>
    <row r="2074" spans="1:8" x14ac:dyDescent="0.25">
      <c r="A2074" s="31">
        <v>44610</v>
      </c>
      <c r="B2074" s="37" t="s">
        <v>5829</v>
      </c>
      <c r="C2074" s="38" t="s">
        <v>426</v>
      </c>
      <c r="D2074" s="34">
        <v>4901.3999999999996</v>
      </c>
      <c r="E2074" s="35">
        <v>44611</v>
      </c>
      <c r="F2074" s="34">
        <v>4901.3999999999996</v>
      </c>
      <c r="G2074" s="36">
        <f>Tabla13[[#This Row],[Importe]]-Tabla13[[#This Row],[Pagado]]</f>
        <v>0</v>
      </c>
      <c r="H2074" s="38" t="s">
        <v>10</v>
      </c>
    </row>
    <row r="2075" spans="1:8" x14ac:dyDescent="0.25">
      <c r="A2075" s="31">
        <v>44610</v>
      </c>
      <c r="B2075" s="37" t="s">
        <v>5830</v>
      </c>
      <c r="C2075" s="38" t="s">
        <v>291</v>
      </c>
      <c r="D2075" s="34">
        <v>814.6</v>
      </c>
      <c r="E2075" s="35">
        <v>44611</v>
      </c>
      <c r="F2075" s="34">
        <v>814.6</v>
      </c>
      <c r="G2075" s="36">
        <f>Tabla13[[#This Row],[Importe]]-Tabla13[[#This Row],[Pagado]]</f>
        <v>0</v>
      </c>
      <c r="H2075" s="38" t="s">
        <v>10</v>
      </c>
    </row>
    <row r="2076" spans="1:8" x14ac:dyDescent="0.25">
      <c r="A2076" s="31">
        <v>44610</v>
      </c>
      <c r="B2076" s="37" t="s">
        <v>5831</v>
      </c>
      <c r="C2076" s="38" t="s">
        <v>31</v>
      </c>
      <c r="D2076" s="34">
        <v>753.2</v>
      </c>
      <c r="E2076" s="35">
        <v>44610</v>
      </c>
      <c r="F2076" s="34">
        <v>753.2</v>
      </c>
      <c r="G2076" s="36">
        <f>Tabla13[[#This Row],[Importe]]-Tabla13[[#This Row],[Pagado]]</f>
        <v>0</v>
      </c>
      <c r="H2076" s="38" t="s">
        <v>10</v>
      </c>
    </row>
    <row r="2077" spans="1:8" x14ac:dyDescent="0.25">
      <c r="A2077" s="31">
        <v>44610</v>
      </c>
      <c r="B2077" s="37" t="s">
        <v>5832</v>
      </c>
      <c r="C2077" s="38" t="s">
        <v>280</v>
      </c>
      <c r="D2077" s="34">
        <v>1405</v>
      </c>
      <c r="E2077" s="35">
        <v>44611</v>
      </c>
      <c r="F2077" s="34">
        <v>1405</v>
      </c>
      <c r="G2077" s="36">
        <f>Tabla13[[#This Row],[Importe]]-Tabla13[[#This Row],[Pagado]]</f>
        <v>0</v>
      </c>
      <c r="H2077" s="38" t="s">
        <v>10</v>
      </c>
    </row>
    <row r="2078" spans="1:8" x14ac:dyDescent="0.25">
      <c r="A2078" s="31">
        <v>44610</v>
      </c>
      <c r="B2078" s="37" t="s">
        <v>5833</v>
      </c>
      <c r="C2078" s="38" t="s">
        <v>4523</v>
      </c>
      <c r="D2078" s="34">
        <v>4012.9</v>
      </c>
      <c r="E2078" s="35">
        <v>44610</v>
      </c>
      <c r="F2078" s="34">
        <v>4012.9</v>
      </c>
      <c r="G2078" s="36">
        <f>Tabla13[[#This Row],[Importe]]-Tabla13[[#This Row],[Pagado]]</f>
        <v>0</v>
      </c>
      <c r="H2078" s="38" t="s">
        <v>10</v>
      </c>
    </row>
    <row r="2079" spans="1:8" x14ac:dyDescent="0.25">
      <c r="A2079" s="31">
        <v>44610</v>
      </c>
      <c r="B2079" s="37" t="s">
        <v>5834</v>
      </c>
      <c r="C2079" s="38" t="s">
        <v>473</v>
      </c>
      <c r="D2079" s="34">
        <v>6620.4</v>
      </c>
      <c r="E2079" s="35">
        <v>44611</v>
      </c>
      <c r="F2079" s="34">
        <v>6620.4</v>
      </c>
      <c r="G2079" s="36">
        <f>Tabla13[[#This Row],[Importe]]-Tabla13[[#This Row],[Pagado]]</f>
        <v>0</v>
      </c>
      <c r="H2079" s="38" t="s">
        <v>10</v>
      </c>
    </row>
    <row r="2080" spans="1:8" x14ac:dyDescent="0.25">
      <c r="A2080" s="31">
        <v>44610</v>
      </c>
      <c r="B2080" s="37" t="s">
        <v>5835</v>
      </c>
      <c r="C2080" s="38" t="s">
        <v>85</v>
      </c>
      <c r="D2080" s="34">
        <v>1605</v>
      </c>
      <c r="E2080" s="35">
        <v>44611</v>
      </c>
      <c r="F2080" s="34">
        <v>1605</v>
      </c>
      <c r="G2080" s="36">
        <f>Tabla13[[#This Row],[Importe]]-Tabla13[[#This Row],[Pagado]]</f>
        <v>0</v>
      </c>
      <c r="H2080" s="38" t="s">
        <v>10</v>
      </c>
    </row>
    <row r="2081" spans="1:8" x14ac:dyDescent="0.25">
      <c r="A2081" s="31">
        <v>44610</v>
      </c>
      <c r="B2081" s="37" t="s">
        <v>5836</v>
      </c>
      <c r="C2081" s="38" t="s">
        <v>196</v>
      </c>
      <c r="D2081" s="34">
        <v>1371.2</v>
      </c>
      <c r="E2081" s="35">
        <v>44617</v>
      </c>
      <c r="F2081" s="34">
        <v>1371.2</v>
      </c>
      <c r="G2081" s="36">
        <f>Tabla13[[#This Row],[Importe]]-Tabla13[[#This Row],[Pagado]]</f>
        <v>0</v>
      </c>
      <c r="H2081" s="38" t="s">
        <v>10</v>
      </c>
    </row>
    <row r="2082" spans="1:8" x14ac:dyDescent="0.25">
      <c r="A2082" s="31">
        <v>44610</v>
      </c>
      <c r="B2082" s="37" t="s">
        <v>5837</v>
      </c>
      <c r="C2082" s="38" t="s">
        <v>849</v>
      </c>
      <c r="D2082" s="34">
        <v>5560.8</v>
      </c>
      <c r="E2082" s="35">
        <v>44610</v>
      </c>
      <c r="F2082" s="34">
        <v>5560.8</v>
      </c>
      <c r="G2082" s="36">
        <f>Tabla13[[#This Row],[Importe]]-Tabla13[[#This Row],[Pagado]]</f>
        <v>0</v>
      </c>
      <c r="H2082" s="38" t="s">
        <v>10</v>
      </c>
    </row>
    <row r="2083" spans="1:8" x14ac:dyDescent="0.25">
      <c r="A2083" s="31">
        <v>44610</v>
      </c>
      <c r="B2083" s="37" t="s">
        <v>5838</v>
      </c>
      <c r="C2083" s="38" t="s">
        <v>142</v>
      </c>
      <c r="D2083" s="34">
        <v>9270</v>
      </c>
      <c r="E2083" s="35">
        <v>44617</v>
      </c>
      <c r="F2083" s="34">
        <v>9270</v>
      </c>
      <c r="G2083" s="36">
        <f>Tabla13[[#This Row],[Importe]]-Tabla13[[#This Row],[Pagado]]</f>
        <v>0</v>
      </c>
      <c r="H2083" s="38" t="s">
        <v>10</v>
      </c>
    </row>
    <row r="2084" spans="1:8" x14ac:dyDescent="0.25">
      <c r="A2084" s="31">
        <v>44610</v>
      </c>
      <c r="B2084" s="37" t="s">
        <v>5839</v>
      </c>
      <c r="C2084" s="38" t="s">
        <v>732</v>
      </c>
      <c r="D2084" s="34">
        <v>5012.8</v>
      </c>
      <c r="E2084" s="35">
        <v>44610</v>
      </c>
      <c r="F2084" s="34">
        <v>5012.8</v>
      </c>
      <c r="G2084" s="36">
        <f>Tabla13[[#This Row],[Importe]]-Tabla13[[#This Row],[Pagado]]</f>
        <v>0</v>
      </c>
      <c r="H2084" s="38" t="s">
        <v>10</v>
      </c>
    </row>
    <row r="2085" spans="1:8" x14ac:dyDescent="0.25">
      <c r="A2085" s="31">
        <v>44610</v>
      </c>
      <c r="B2085" s="37" t="s">
        <v>5840</v>
      </c>
      <c r="C2085" s="38" t="s">
        <v>196</v>
      </c>
      <c r="D2085" s="34">
        <v>4899.55</v>
      </c>
      <c r="E2085" s="35">
        <v>44617</v>
      </c>
      <c r="F2085" s="34">
        <v>4899.55</v>
      </c>
      <c r="G2085" s="36">
        <f>Tabla13[[#This Row],[Importe]]-Tabla13[[#This Row],[Pagado]]</f>
        <v>0</v>
      </c>
      <c r="H2085" s="38" t="s">
        <v>10</v>
      </c>
    </row>
    <row r="2086" spans="1:8" x14ac:dyDescent="0.25">
      <c r="A2086" s="31">
        <v>44610</v>
      </c>
      <c r="B2086" s="37" t="s">
        <v>5841</v>
      </c>
      <c r="C2086" s="38" t="s">
        <v>1421</v>
      </c>
      <c r="D2086" s="34">
        <v>26856</v>
      </c>
      <c r="E2086" s="35">
        <v>44610</v>
      </c>
      <c r="F2086" s="34">
        <v>26856</v>
      </c>
      <c r="G2086" s="36">
        <f>Tabla13[[#This Row],[Importe]]-Tabla13[[#This Row],[Pagado]]</f>
        <v>0</v>
      </c>
      <c r="H2086" s="38" t="s">
        <v>10</v>
      </c>
    </row>
    <row r="2087" spans="1:8" x14ac:dyDescent="0.25">
      <c r="A2087" s="31">
        <v>44610</v>
      </c>
      <c r="B2087" s="37" t="s">
        <v>5842</v>
      </c>
      <c r="C2087" s="38" t="s">
        <v>71</v>
      </c>
      <c r="D2087" s="34">
        <v>3455.3</v>
      </c>
      <c r="E2087" s="35">
        <v>44610</v>
      </c>
      <c r="F2087" s="34">
        <v>3455.3</v>
      </c>
      <c r="G2087" s="36">
        <f>Tabla13[[#This Row],[Importe]]-Tabla13[[#This Row],[Pagado]]</f>
        <v>0</v>
      </c>
      <c r="H2087" s="38" t="s">
        <v>10</v>
      </c>
    </row>
    <row r="2088" spans="1:8" x14ac:dyDescent="0.25">
      <c r="A2088" s="31">
        <v>44610</v>
      </c>
      <c r="B2088" s="37" t="s">
        <v>5843</v>
      </c>
      <c r="C2088" s="38" t="s">
        <v>31</v>
      </c>
      <c r="D2088" s="34">
        <v>1655</v>
      </c>
      <c r="E2088" s="35">
        <v>44610</v>
      </c>
      <c r="F2088" s="34">
        <v>1655</v>
      </c>
      <c r="G2088" s="36">
        <f>Tabla13[[#This Row],[Importe]]-Tabla13[[#This Row],[Pagado]]</f>
        <v>0</v>
      </c>
      <c r="H2088" s="38" t="s">
        <v>10</v>
      </c>
    </row>
    <row r="2089" spans="1:8" x14ac:dyDescent="0.25">
      <c r="A2089" s="31">
        <v>44610</v>
      </c>
      <c r="B2089" s="37" t="s">
        <v>5844</v>
      </c>
      <c r="C2089" s="38" t="s">
        <v>31</v>
      </c>
      <c r="D2089" s="34">
        <v>62</v>
      </c>
      <c r="E2089" s="35">
        <v>44611</v>
      </c>
      <c r="F2089" s="34">
        <v>62</v>
      </c>
      <c r="G2089" s="36">
        <f>Tabla13[[#This Row],[Importe]]-Tabla13[[#This Row],[Pagado]]</f>
        <v>0</v>
      </c>
      <c r="H2089" s="38" t="s">
        <v>10</v>
      </c>
    </row>
    <row r="2090" spans="1:8" x14ac:dyDescent="0.25">
      <c r="A2090" s="31">
        <v>44610</v>
      </c>
      <c r="B2090" s="37" t="s">
        <v>5845</v>
      </c>
      <c r="C2090" s="38" t="s">
        <v>31</v>
      </c>
      <c r="D2090" s="34">
        <v>1498.5</v>
      </c>
      <c r="E2090" s="35">
        <v>44610</v>
      </c>
      <c r="F2090" s="34">
        <v>1498.5</v>
      </c>
      <c r="G2090" s="36">
        <f>Tabla13[[#This Row],[Importe]]-Tabla13[[#This Row],[Pagado]]</f>
        <v>0</v>
      </c>
      <c r="H2090" s="38" t="s">
        <v>10</v>
      </c>
    </row>
    <row r="2091" spans="1:8" x14ac:dyDescent="0.25">
      <c r="A2091" s="31">
        <v>44610</v>
      </c>
      <c r="B2091" s="37" t="s">
        <v>5846</v>
      </c>
      <c r="C2091" s="38" t="s">
        <v>31</v>
      </c>
      <c r="D2091" s="34">
        <v>6520.8</v>
      </c>
      <c r="E2091" s="35">
        <v>44610</v>
      </c>
      <c r="F2091" s="34">
        <v>6520.8</v>
      </c>
      <c r="G2091" s="36">
        <f>Tabla13[[#This Row],[Importe]]-Tabla13[[#This Row],[Pagado]]</f>
        <v>0</v>
      </c>
      <c r="H2091" s="38" t="s">
        <v>10</v>
      </c>
    </row>
    <row r="2092" spans="1:8" x14ac:dyDescent="0.25">
      <c r="A2092" s="31">
        <v>44610</v>
      </c>
      <c r="B2092" s="37" t="s">
        <v>5847</v>
      </c>
      <c r="C2092" s="38" t="s">
        <v>298</v>
      </c>
      <c r="D2092" s="34">
        <v>6862.9</v>
      </c>
      <c r="E2092" s="35">
        <v>44610</v>
      </c>
      <c r="F2092" s="34">
        <v>6862.9</v>
      </c>
      <c r="G2092" s="36">
        <f>Tabla13[[#This Row],[Importe]]-Tabla13[[#This Row],[Pagado]]</f>
        <v>0</v>
      </c>
      <c r="H2092" s="38" t="s">
        <v>10</v>
      </c>
    </row>
    <row r="2093" spans="1:8" x14ac:dyDescent="0.25">
      <c r="A2093" s="31">
        <v>44610</v>
      </c>
      <c r="B2093" s="37" t="s">
        <v>5848</v>
      </c>
      <c r="C2093" s="38" t="s">
        <v>31</v>
      </c>
      <c r="D2093" s="34">
        <v>763.5</v>
      </c>
      <c r="E2093" s="35">
        <v>44610</v>
      </c>
      <c r="F2093" s="34">
        <v>763.5</v>
      </c>
      <c r="G2093" s="36">
        <f>Tabla13[[#This Row],[Importe]]-Tabla13[[#This Row],[Pagado]]</f>
        <v>0</v>
      </c>
      <c r="H2093" s="38" t="s">
        <v>10</v>
      </c>
    </row>
    <row r="2094" spans="1:8" x14ac:dyDescent="0.25">
      <c r="A2094" s="31">
        <v>44610</v>
      </c>
      <c r="B2094" s="37" t="s">
        <v>5849</v>
      </c>
      <c r="C2094" s="38" t="s">
        <v>872</v>
      </c>
      <c r="D2094" s="34">
        <v>4123.84</v>
      </c>
      <c r="E2094" s="35">
        <v>44610</v>
      </c>
      <c r="F2094" s="34">
        <v>4123.84</v>
      </c>
      <c r="G2094" s="36">
        <f>Tabla13[[#This Row],[Importe]]-Tabla13[[#This Row],[Pagado]]</f>
        <v>0</v>
      </c>
      <c r="H2094" s="38" t="s">
        <v>10</v>
      </c>
    </row>
    <row r="2095" spans="1:8" x14ac:dyDescent="0.25">
      <c r="A2095" s="31">
        <v>44611</v>
      </c>
      <c r="B2095" s="37" t="s">
        <v>5850</v>
      </c>
      <c r="C2095" s="38" t="s">
        <v>887</v>
      </c>
      <c r="D2095" s="34">
        <v>18670</v>
      </c>
      <c r="E2095" s="35">
        <v>44613</v>
      </c>
      <c r="F2095" s="34">
        <v>18670</v>
      </c>
      <c r="G2095" s="36">
        <f>Tabla13[[#This Row],[Importe]]-Tabla13[[#This Row],[Pagado]]</f>
        <v>0</v>
      </c>
      <c r="H2095" s="38" t="s">
        <v>10</v>
      </c>
    </row>
    <row r="2096" spans="1:8" x14ac:dyDescent="0.25">
      <c r="A2096" s="31">
        <v>44611</v>
      </c>
      <c r="B2096" s="37" t="s">
        <v>5851</v>
      </c>
      <c r="C2096" s="38" t="s">
        <v>481</v>
      </c>
      <c r="D2096" s="34">
        <v>1494.2</v>
      </c>
      <c r="E2096" s="35">
        <v>44611</v>
      </c>
      <c r="F2096" s="34">
        <v>1494.2</v>
      </c>
      <c r="G2096" s="36">
        <f>Tabla13[[#This Row],[Importe]]-Tabla13[[#This Row],[Pagado]]</f>
        <v>0</v>
      </c>
      <c r="H2096" s="38" t="s">
        <v>10</v>
      </c>
    </row>
    <row r="2097" spans="1:8" ht="31.5" x14ac:dyDescent="0.25">
      <c r="A2097" s="31">
        <v>44611</v>
      </c>
      <c r="B2097" s="37" t="s">
        <v>5852</v>
      </c>
      <c r="C2097" s="38" t="s">
        <v>475</v>
      </c>
      <c r="D2097" s="34">
        <v>86413.4</v>
      </c>
      <c r="E2097" s="35" t="s">
        <v>5716</v>
      </c>
      <c r="F2097" s="34">
        <f>68000+18413.4</f>
        <v>86413.4</v>
      </c>
      <c r="G2097" s="36">
        <f>Tabla13[[#This Row],[Importe]]-Tabla13[[#This Row],[Pagado]]</f>
        <v>0</v>
      </c>
      <c r="H2097" s="38" t="s">
        <v>10</v>
      </c>
    </row>
    <row r="2098" spans="1:8" x14ac:dyDescent="0.25">
      <c r="A2098" s="31">
        <v>44611</v>
      </c>
      <c r="B2098" s="37" t="s">
        <v>5853</v>
      </c>
      <c r="C2098" s="38" t="s">
        <v>475</v>
      </c>
      <c r="D2098" s="34">
        <v>140</v>
      </c>
      <c r="E2098" s="35">
        <v>44612</v>
      </c>
      <c r="F2098" s="34">
        <v>140</v>
      </c>
      <c r="G2098" s="36">
        <f>Tabla13[[#This Row],[Importe]]-Tabla13[[#This Row],[Pagado]]</f>
        <v>0</v>
      </c>
      <c r="H2098" s="38" t="s">
        <v>10</v>
      </c>
    </row>
    <row r="2099" spans="1:8" x14ac:dyDescent="0.25">
      <c r="A2099" s="31">
        <v>44611</v>
      </c>
      <c r="B2099" s="37" t="s">
        <v>5854</v>
      </c>
      <c r="C2099" s="38" t="s">
        <v>12</v>
      </c>
      <c r="D2099" s="34">
        <v>36373.5</v>
      </c>
      <c r="E2099" s="35">
        <v>44612</v>
      </c>
      <c r="F2099" s="34">
        <v>36373.5</v>
      </c>
      <c r="G2099" s="36">
        <f>Tabla13[[#This Row],[Importe]]-Tabla13[[#This Row],[Pagado]]</f>
        <v>0</v>
      </c>
      <c r="H2099" s="38" t="s">
        <v>10</v>
      </c>
    </row>
    <row r="2100" spans="1:8" ht="31.5" x14ac:dyDescent="0.25">
      <c r="A2100" s="31">
        <v>44611</v>
      </c>
      <c r="B2100" s="37" t="s">
        <v>5855</v>
      </c>
      <c r="C2100" s="38" t="s">
        <v>22</v>
      </c>
      <c r="D2100" s="34">
        <v>39265</v>
      </c>
      <c r="E2100" s="35" t="s">
        <v>5856</v>
      </c>
      <c r="F2100" s="34">
        <f>23000+16265</f>
        <v>39265</v>
      </c>
      <c r="G2100" s="36">
        <f>Tabla13[[#This Row],[Importe]]-Tabla13[[#This Row],[Pagado]]</f>
        <v>0</v>
      </c>
      <c r="H2100" s="38" t="s">
        <v>10</v>
      </c>
    </row>
    <row r="2101" spans="1:8" x14ac:dyDescent="0.25">
      <c r="A2101" s="31">
        <v>44611</v>
      </c>
      <c r="B2101" s="37" t="s">
        <v>5857</v>
      </c>
      <c r="C2101" s="38" t="s">
        <v>520</v>
      </c>
      <c r="D2101" s="34">
        <v>17552.099999999999</v>
      </c>
      <c r="E2101" s="35">
        <v>44611</v>
      </c>
      <c r="F2101" s="34">
        <v>17552.099999999999</v>
      </c>
      <c r="G2101" s="36">
        <f>Tabla13[[#This Row],[Importe]]-Tabla13[[#This Row],[Pagado]]</f>
        <v>0</v>
      </c>
      <c r="H2101" s="38" t="s">
        <v>10</v>
      </c>
    </row>
    <row r="2102" spans="1:8" x14ac:dyDescent="0.25">
      <c r="A2102" s="31">
        <v>44611</v>
      </c>
      <c r="B2102" s="37" t="s">
        <v>5858</v>
      </c>
      <c r="C2102" s="38" t="s">
        <v>22</v>
      </c>
      <c r="D2102" s="34">
        <v>16313.6</v>
      </c>
      <c r="E2102" s="35">
        <v>44612</v>
      </c>
      <c r="F2102" s="34">
        <v>16313.6</v>
      </c>
      <c r="G2102" s="36">
        <f>Tabla13[[#This Row],[Importe]]-Tabla13[[#This Row],[Pagado]]</f>
        <v>0</v>
      </c>
      <c r="H2102" s="38" t="s">
        <v>10</v>
      </c>
    </row>
    <row r="2103" spans="1:8" x14ac:dyDescent="0.25">
      <c r="A2103" s="31">
        <v>44611</v>
      </c>
      <c r="B2103" s="37" t="s">
        <v>5859</v>
      </c>
      <c r="C2103" s="38" t="s">
        <v>9</v>
      </c>
      <c r="D2103" s="34">
        <v>6799.1</v>
      </c>
      <c r="E2103" s="35">
        <v>44611</v>
      </c>
      <c r="F2103" s="34">
        <v>6799.1</v>
      </c>
      <c r="G2103" s="36">
        <f>Tabla13[[#This Row],[Importe]]-Tabla13[[#This Row],[Pagado]]</f>
        <v>0</v>
      </c>
      <c r="H2103" s="38" t="s">
        <v>10</v>
      </c>
    </row>
    <row r="2104" spans="1:8" x14ac:dyDescent="0.25">
      <c r="A2104" s="31">
        <v>44611</v>
      </c>
      <c r="B2104" s="37" t="s">
        <v>5860</v>
      </c>
      <c r="C2104" s="38" t="s">
        <v>31</v>
      </c>
      <c r="D2104" s="34">
        <v>1419.7</v>
      </c>
      <c r="E2104" s="35">
        <v>44611</v>
      </c>
      <c r="F2104" s="34">
        <v>1419.7</v>
      </c>
      <c r="G2104" s="36">
        <f>Tabla13[[#This Row],[Importe]]-Tabla13[[#This Row],[Pagado]]</f>
        <v>0</v>
      </c>
      <c r="H2104" s="38" t="s">
        <v>10</v>
      </c>
    </row>
    <row r="2105" spans="1:8" x14ac:dyDescent="0.25">
      <c r="A2105" s="31">
        <v>44611</v>
      </c>
      <c r="B2105" s="37" t="s">
        <v>5861</v>
      </c>
      <c r="C2105" s="38" t="s">
        <v>484</v>
      </c>
      <c r="D2105" s="34">
        <v>2832.3</v>
      </c>
      <c r="E2105" s="35">
        <v>44611</v>
      </c>
      <c r="F2105" s="34">
        <v>2832.3</v>
      </c>
      <c r="G2105" s="36">
        <f>Tabla13[[#This Row],[Importe]]-Tabla13[[#This Row],[Pagado]]</f>
        <v>0</v>
      </c>
      <c r="H2105" s="38" t="s">
        <v>10</v>
      </c>
    </row>
    <row r="2106" spans="1:8" x14ac:dyDescent="0.25">
      <c r="A2106" s="31">
        <v>44611</v>
      </c>
      <c r="B2106" s="37" t="s">
        <v>5862</v>
      </c>
      <c r="C2106" s="38" t="s">
        <v>371</v>
      </c>
      <c r="D2106" s="34">
        <v>7406.4</v>
      </c>
      <c r="E2106" s="35">
        <v>44611</v>
      </c>
      <c r="F2106" s="34">
        <v>7406.4</v>
      </c>
      <c r="G2106" s="36">
        <f>Tabla13[[#This Row],[Importe]]-Tabla13[[#This Row],[Pagado]]</f>
        <v>0</v>
      </c>
      <c r="H2106" s="38" t="s">
        <v>10</v>
      </c>
    </row>
    <row r="2107" spans="1:8" x14ac:dyDescent="0.25">
      <c r="A2107" s="31">
        <v>44611</v>
      </c>
      <c r="B2107" s="37" t="s">
        <v>5863</v>
      </c>
      <c r="C2107" s="38" t="s">
        <v>5864</v>
      </c>
      <c r="D2107" s="34">
        <v>1993.6</v>
      </c>
      <c r="E2107" s="35">
        <v>44611</v>
      </c>
      <c r="F2107" s="34">
        <v>1993.6</v>
      </c>
      <c r="G2107" s="36">
        <f>Tabla13[[#This Row],[Importe]]-Tabla13[[#This Row],[Pagado]]</f>
        <v>0</v>
      </c>
      <c r="H2107" s="38" t="s">
        <v>10</v>
      </c>
    </row>
    <row r="2108" spans="1:8" x14ac:dyDescent="0.25">
      <c r="A2108" s="31">
        <v>44611</v>
      </c>
      <c r="B2108" s="37" t="s">
        <v>5865</v>
      </c>
      <c r="C2108" s="38" t="s">
        <v>116</v>
      </c>
      <c r="D2108" s="34">
        <v>3875</v>
      </c>
      <c r="E2108" s="35">
        <v>44613</v>
      </c>
      <c r="F2108" s="34">
        <v>3875</v>
      </c>
      <c r="G2108" s="36">
        <f>Tabla13[[#This Row],[Importe]]-Tabla13[[#This Row],[Pagado]]</f>
        <v>0</v>
      </c>
      <c r="H2108" s="38" t="s">
        <v>10</v>
      </c>
    </row>
    <row r="2109" spans="1:8" x14ac:dyDescent="0.25">
      <c r="A2109" s="31">
        <v>44611</v>
      </c>
      <c r="B2109" s="37" t="s">
        <v>5866</v>
      </c>
      <c r="C2109" s="38" t="s">
        <v>120</v>
      </c>
      <c r="D2109" s="34">
        <v>3590</v>
      </c>
      <c r="E2109" s="35">
        <v>44613</v>
      </c>
      <c r="F2109" s="34">
        <v>3590</v>
      </c>
      <c r="G2109" s="36">
        <f>Tabla13[[#This Row],[Importe]]-Tabla13[[#This Row],[Pagado]]</f>
        <v>0</v>
      </c>
      <c r="H2109" s="38" t="s">
        <v>10</v>
      </c>
    </row>
    <row r="2110" spans="1:8" x14ac:dyDescent="0.25">
      <c r="A2110" s="31">
        <v>44611</v>
      </c>
      <c r="B2110" s="37" t="s">
        <v>5867</v>
      </c>
      <c r="C2110" s="38" t="s">
        <v>60</v>
      </c>
      <c r="D2110" s="34">
        <v>7250</v>
      </c>
      <c r="E2110" s="35">
        <v>44615</v>
      </c>
      <c r="F2110" s="34">
        <v>7250</v>
      </c>
      <c r="G2110" s="36">
        <f>Tabla13[[#This Row],[Importe]]-Tabla13[[#This Row],[Pagado]]</f>
        <v>0</v>
      </c>
      <c r="H2110" s="38" t="s">
        <v>10</v>
      </c>
    </row>
    <row r="2111" spans="1:8" x14ac:dyDescent="0.25">
      <c r="A2111" s="31">
        <v>44611</v>
      </c>
      <c r="B2111" s="37" t="s">
        <v>5868</v>
      </c>
      <c r="C2111" s="38" t="s">
        <v>484</v>
      </c>
      <c r="D2111" s="34">
        <v>1007.1</v>
      </c>
      <c r="E2111" s="35">
        <v>44611</v>
      </c>
      <c r="F2111" s="34">
        <v>1007.1</v>
      </c>
      <c r="G2111" s="36">
        <f>Tabla13[[#This Row],[Importe]]-Tabla13[[#This Row],[Pagado]]</f>
        <v>0</v>
      </c>
      <c r="H2111" s="38" t="s">
        <v>10</v>
      </c>
    </row>
    <row r="2112" spans="1:8" ht="31.5" x14ac:dyDescent="0.25">
      <c r="A2112" s="31">
        <v>44611</v>
      </c>
      <c r="B2112" s="37" t="s">
        <v>5869</v>
      </c>
      <c r="C2112" s="38" t="s">
        <v>39</v>
      </c>
      <c r="D2112" s="34">
        <v>36689</v>
      </c>
      <c r="E2112" s="35" t="s">
        <v>5870</v>
      </c>
      <c r="F2112" s="34">
        <f>16000+20689</f>
        <v>36689</v>
      </c>
      <c r="G2112" s="36">
        <f>Tabla13[[#This Row],[Importe]]-Tabla13[[#This Row],[Pagado]]</f>
        <v>0</v>
      </c>
      <c r="H2112" s="38" t="s">
        <v>10</v>
      </c>
    </row>
    <row r="2113" spans="1:8" ht="31.5" x14ac:dyDescent="0.25">
      <c r="A2113" s="31">
        <v>44611</v>
      </c>
      <c r="B2113" s="37" t="s">
        <v>5871</v>
      </c>
      <c r="C2113" s="38" t="s">
        <v>99</v>
      </c>
      <c r="D2113" s="34">
        <v>11374.2</v>
      </c>
      <c r="E2113" s="35" t="s">
        <v>5872</v>
      </c>
      <c r="F2113" s="34">
        <f>8500+2874.2</f>
        <v>11374.2</v>
      </c>
      <c r="G2113" s="36">
        <f>Tabla13[[#This Row],[Importe]]-Tabla13[[#This Row],[Pagado]]</f>
        <v>0</v>
      </c>
      <c r="H2113" s="38" t="s">
        <v>10</v>
      </c>
    </row>
    <row r="2114" spans="1:8" x14ac:dyDescent="0.25">
      <c r="A2114" s="31">
        <v>44611</v>
      </c>
      <c r="B2114" s="37" t="s">
        <v>5873</v>
      </c>
      <c r="C2114" s="38" t="s">
        <v>5874</v>
      </c>
      <c r="D2114" s="34">
        <v>8101.6</v>
      </c>
      <c r="E2114" s="35">
        <v>44613</v>
      </c>
      <c r="F2114" s="34">
        <v>8101.6</v>
      </c>
      <c r="G2114" s="36">
        <f>Tabla13[[#This Row],[Importe]]-Tabla13[[#This Row],[Pagado]]</f>
        <v>0</v>
      </c>
      <c r="H2114" s="38" t="s">
        <v>10</v>
      </c>
    </row>
    <row r="2115" spans="1:8" x14ac:dyDescent="0.25">
      <c r="A2115" s="31">
        <v>44611</v>
      </c>
      <c r="B2115" s="37" t="s">
        <v>5875</v>
      </c>
      <c r="C2115" s="38" t="s">
        <v>157</v>
      </c>
      <c r="D2115" s="34">
        <v>2772</v>
      </c>
      <c r="E2115" s="35">
        <v>44611</v>
      </c>
      <c r="F2115" s="34">
        <v>2772</v>
      </c>
      <c r="G2115" s="36">
        <f>Tabla13[[#This Row],[Importe]]-Tabla13[[#This Row],[Pagado]]</f>
        <v>0</v>
      </c>
      <c r="H2115" s="38" t="s">
        <v>10</v>
      </c>
    </row>
    <row r="2116" spans="1:8" x14ac:dyDescent="0.25">
      <c r="A2116" s="31">
        <v>44611</v>
      </c>
      <c r="B2116" s="37" t="s">
        <v>5876</v>
      </c>
      <c r="C2116" s="38" t="s">
        <v>5043</v>
      </c>
      <c r="D2116" s="34">
        <v>8220</v>
      </c>
      <c r="E2116" s="35">
        <v>44613</v>
      </c>
      <c r="F2116" s="34">
        <v>8220</v>
      </c>
      <c r="G2116" s="36">
        <f>Tabla13[[#This Row],[Importe]]-Tabla13[[#This Row],[Pagado]]</f>
        <v>0</v>
      </c>
      <c r="H2116" s="38" t="s">
        <v>10</v>
      </c>
    </row>
    <row r="2117" spans="1:8" x14ac:dyDescent="0.25">
      <c r="A2117" s="31">
        <v>44611</v>
      </c>
      <c r="B2117" s="37" t="s">
        <v>5877</v>
      </c>
      <c r="C2117" s="38" t="s">
        <v>97</v>
      </c>
      <c r="D2117" s="34">
        <v>15494.4</v>
      </c>
      <c r="E2117" s="35">
        <v>44613</v>
      </c>
      <c r="F2117" s="34">
        <v>15494.4</v>
      </c>
      <c r="G2117" s="36">
        <f>Tabla13[[#This Row],[Importe]]-Tabla13[[#This Row],[Pagado]]</f>
        <v>0</v>
      </c>
      <c r="H2117" s="38" t="s">
        <v>10</v>
      </c>
    </row>
    <row r="2118" spans="1:8" x14ac:dyDescent="0.25">
      <c r="A2118" s="31">
        <v>44611</v>
      </c>
      <c r="B2118" s="37" t="s">
        <v>5878</v>
      </c>
      <c r="C2118" s="38" t="s">
        <v>131</v>
      </c>
      <c r="D2118" s="34">
        <v>10098.9</v>
      </c>
      <c r="E2118" s="35">
        <v>44611</v>
      </c>
      <c r="F2118" s="34">
        <v>10098.9</v>
      </c>
      <c r="G2118" s="36">
        <f>Tabla13[[#This Row],[Importe]]-Tabla13[[#This Row],[Pagado]]</f>
        <v>0</v>
      </c>
      <c r="H2118" s="38" t="s">
        <v>10</v>
      </c>
    </row>
    <row r="2119" spans="1:8" x14ac:dyDescent="0.25">
      <c r="A2119" s="31">
        <v>44611</v>
      </c>
      <c r="B2119" s="37" t="s">
        <v>5879</v>
      </c>
      <c r="C2119" s="38" t="s">
        <v>348</v>
      </c>
      <c r="D2119" s="34">
        <v>4618.8</v>
      </c>
      <c r="E2119" s="35">
        <v>44611</v>
      </c>
      <c r="F2119" s="34">
        <v>4618.8</v>
      </c>
      <c r="G2119" s="36">
        <f>Tabla13[[#This Row],[Importe]]-Tabla13[[#This Row],[Pagado]]</f>
        <v>0</v>
      </c>
      <c r="H2119" s="38" t="s">
        <v>10</v>
      </c>
    </row>
    <row r="2120" spans="1:8" x14ac:dyDescent="0.25">
      <c r="A2120" s="31">
        <v>44611</v>
      </c>
      <c r="B2120" s="37" t="s">
        <v>5880</v>
      </c>
      <c r="C2120" s="38" t="s">
        <v>89</v>
      </c>
      <c r="D2120" s="34">
        <v>9648</v>
      </c>
      <c r="E2120" s="35">
        <v>44613</v>
      </c>
      <c r="F2120" s="34">
        <v>9648</v>
      </c>
      <c r="G2120" s="36">
        <f>Tabla13[[#This Row],[Importe]]-Tabla13[[#This Row],[Pagado]]</f>
        <v>0</v>
      </c>
      <c r="H2120" s="38" t="s">
        <v>10</v>
      </c>
    </row>
    <row r="2121" spans="1:8" x14ac:dyDescent="0.25">
      <c r="A2121" s="31">
        <v>44611</v>
      </c>
      <c r="B2121" s="37" t="s">
        <v>5881</v>
      </c>
      <c r="C2121" s="38" t="s">
        <v>109</v>
      </c>
      <c r="D2121" s="34">
        <v>8155.2</v>
      </c>
      <c r="E2121" s="35">
        <v>44613</v>
      </c>
      <c r="F2121" s="34">
        <v>8155.2</v>
      </c>
      <c r="G2121" s="36">
        <f>Tabla13[[#This Row],[Importe]]-Tabla13[[#This Row],[Pagado]]</f>
        <v>0</v>
      </c>
      <c r="H2121" s="38" t="s">
        <v>10</v>
      </c>
    </row>
    <row r="2122" spans="1:8" x14ac:dyDescent="0.25">
      <c r="A2122" s="31">
        <v>44611</v>
      </c>
      <c r="B2122" s="37" t="s">
        <v>5882</v>
      </c>
      <c r="C2122" s="38" t="s">
        <v>93</v>
      </c>
      <c r="D2122" s="34">
        <v>16677.599999999999</v>
      </c>
      <c r="E2122" s="35">
        <v>44613</v>
      </c>
      <c r="F2122" s="34">
        <v>16677.599999999999</v>
      </c>
      <c r="G2122" s="36">
        <f>Tabla13[[#This Row],[Importe]]-Tabla13[[#This Row],[Pagado]]</f>
        <v>0</v>
      </c>
      <c r="H2122" s="38" t="s">
        <v>10</v>
      </c>
    </row>
    <row r="2123" spans="1:8" x14ac:dyDescent="0.25">
      <c r="A2123" s="31">
        <v>44611</v>
      </c>
      <c r="B2123" s="37" t="s">
        <v>5883</v>
      </c>
      <c r="C2123" s="38" t="s">
        <v>111</v>
      </c>
      <c r="D2123" s="34">
        <v>8246.4</v>
      </c>
      <c r="E2123" s="35">
        <v>44613</v>
      </c>
      <c r="F2123" s="34">
        <v>8246.4</v>
      </c>
      <c r="G2123" s="36">
        <f>Tabla13[[#This Row],[Importe]]-Tabla13[[#This Row],[Pagado]]</f>
        <v>0</v>
      </c>
      <c r="H2123" s="38" t="s">
        <v>10</v>
      </c>
    </row>
    <row r="2124" spans="1:8" x14ac:dyDescent="0.25">
      <c r="A2124" s="31">
        <v>44611</v>
      </c>
      <c r="B2124" s="37" t="s">
        <v>5884</v>
      </c>
      <c r="C2124" s="38" t="s">
        <v>114</v>
      </c>
      <c r="D2124" s="34">
        <v>13784.4</v>
      </c>
      <c r="E2124" s="35">
        <v>44613</v>
      </c>
      <c r="F2124" s="34">
        <v>13784.4</v>
      </c>
      <c r="G2124" s="36">
        <f>Tabla13[[#This Row],[Importe]]-Tabla13[[#This Row],[Pagado]]</f>
        <v>0</v>
      </c>
      <c r="H2124" s="38" t="s">
        <v>10</v>
      </c>
    </row>
    <row r="2125" spans="1:8" x14ac:dyDescent="0.25">
      <c r="A2125" s="31">
        <v>44611</v>
      </c>
      <c r="B2125" s="37" t="s">
        <v>5885</v>
      </c>
      <c r="C2125" s="38" t="s">
        <v>159</v>
      </c>
      <c r="D2125" s="34">
        <v>1972.8</v>
      </c>
      <c r="E2125" s="35">
        <v>44611</v>
      </c>
      <c r="F2125" s="34">
        <v>1972.8</v>
      </c>
      <c r="G2125" s="36">
        <f>Tabla13[[#This Row],[Importe]]-Tabla13[[#This Row],[Pagado]]</f>
        <v>0</v>
      </c>
      <c r="H2125" s="38" t="s">
        <v>10</v>
      </c>
    </row>
    <row r="2126" spans="1:8" x14ac:dyDescent="0.25">
      <c r="A2126" s="31">
        <v>44611</v>
      </c>
      <c r="B2126" s="37" t="s">
        <v>5886</v>
      </c>
      <c r="C2126" s="38" t="s">
        <v>518</v>
      </c>
      <c r="D2126" s="34">
        <v>1119</v>
      </c>
      <c r="E2126" s="35">
        <v>44611</v>
      </c>
      <c r="F2126" s="34">
        <v>1119</v>
      </c>
      <c r="G2126" s="36">
        <f>Tabla13[[#This Row],[Importe]]-Tabla13[[#This Row],[Pagado]]</f>
        <v>0</v>
      </c>
      <c r="H2126" s="38" t="s">
        <v>10</v>
      </c>
    </row>
    <row r="2127" spans="1:8" x14ac:dyDescent="0.25">
      <c r="A2127" s="31">
        <v>44611</v>
      </c>
      <c r="B2127" s="37" t="s">
        <v>5887</v>
      </c>
      <c r="C2127" s="38" t="s">
        <v>22</v>
      </c>
      <c r="D2127" s="34">
        <v>3506.4</v>
      </c>
      <c r="E2127" s="35">
        <v>44612</v>
      </c>
      <c r="F2127" s="34">
        <v>3506.4</v>
      </c>
      <c r="G2127" s="36">
        <f>Tabla13[[#This Row],[Importe]]-Tabla13[[#This Row],[Pagado]]</f>
        <v>0</v>
      </c>
      <c r="H2127" s="38" t="s">
        <v>10</v>
      </c>
    </row>
    <row r="2128" spans="1:8" x14ac:dyDescent="0.25">
      <c r="A2128" s="31">
        <v>44611</v>
      </c>
      <c r="B2128" s="37" t="s">
        <v>5888</v>
      </c>
      <c r="C2128" s="38" t="s">
        <v>1537</v>
      </c>
      <c r="D2128" s="34">
        <v>1728.6</v>
      </c>
      <c r="E2128" s="35">
        <v>44611</v>
      </c>
      <c r="F2128" s="34">
        <v>1728.6</v>
      </c>
      <c r="G2128" s="36">
        <f>Tabla13[[#This Row],[Importe]]-Tabla13[[#This Row],[Pagado]]</f>
        <v>0</v>
      </c>
      <c r="H2128" s="38" t="s">
        <v>10</v>
      </c>
    </row>
    <row r="2129" spans="1:8" x14ac:dyDescent="0.25">
      <c r="A2129" s="31">
        <v>44611</v>
      </c>
      <c r="B2129" s="37" t="s">
        <v>5889</v>
      </c>
      <c r="C2129" s="38" t="s">
        <v>525</v>
      </c>
      <c r="D2129" s="34">
        <v>3468</v>
      </c>
      <c r="E2129" s="35">
        <v>44611</v>
      </c>
      <c r="F2129" s="34">
        <v>3468</v>
      </c>
      <c r="G2129" s="36">
        <f>Tabla13[[#This Row],[Importe]]-Tabla13[[#This Row],[Pagado]]</f>
        <v>0</v>
      </c>
      <c r="H2129" s="38" t="s">
        <v>10</v>
      </c>
    </row>
    <row r="2130" spans="1:8" x14ac:dyDescent="0.25">
      <c r="A2130" s="31">
        <v>44611</v>
      </c>
      <c r="B2130" s="37" t="s">
        <v>5890</v>
      </c>
      <c r="C2130" s="38" t="s">
        <v>161</v>
      </c>
      <c r="D2130" s="34">
        <v>3629.7</v>
      </c>
      <c r="E2130" s="35">
        <v>44611</v>
      </c>
      <c r="F2130" s="34">
        <v>3629.7</v>
      </c>
      <c r="G2130" s="36">
        <f>Tabla13[[#This Row],[Importe]]-Tabla13[[#This Row],[Pagado]]</f>
        <v>0</v>
      </c>
      <c r="H2130" s="38" t="s">
        <v>10</v>
      </c>
    </row>
    <row r="2131" spans="1:8" x14ac:dyDescent="0.25">
      <c r="A2131" s="31">
        <v>44611</v>
      </c>
      <c r="B2131" s="37" t="s">
        <v>5891</v>
      </c>
      <c r="C2131" s="38" t="s">
        <v>319</v>
      </c>
      <c r="D2131" s="34">
        <v>1765</v>
      </c>
      <c r="E2131" s="35">
        <v>44611</v>
      </c>
      <c r="F2131" s="34">
        <v>1765</v>
      </c>
      <c r="G2131" s="36">
        <f>Tabla13[[#This Row],[Importe]]-Tabla13[[#This Row],[Pagado]]</f>
        <v>0</v>
      </c>
      <c r="H2131" s="38" t="s">
        <v>10</v>
      </c>
    </row>
    <row r="2132" spans="1:8" x14ac:dyDescent="0.25">
      <c r="A2132" s="31">
        <v>44611</v>
      </c>
      <c r="B2132" s="37" t="s">
        <v>5892</v>
      </c>
      <c r="C2132" s="38" t="s">
        <v>326</v>
      </c>
      <c r="D2132" s="34">
        <v>12388.8</v>
      </c>
      <c r="E2132" s="35">
        <v>44613</v>
      </c>
      <c r="F2132" s="34">
        <v>12388.8</v>
      </c>
      <c r="G2132" s="36">
        <f>Tabla13[[#This Row],[Importe]]-Tabla13[[#This Row],[Pagado]]</f>
        <v>0</v>
      </c>
      <c r="H2132" s="38" t="s">
        <v>10</v>
      </c>
    </row>
    <row r="2133" spans="1:8" x14ac:dyDescent="0.25">
      <c r="A2133" s="31">
        <v>44611</v>
      </c>
      <c r="B2133" s="37" t="s">
        <v>5893</v>
      </c>
      <c r="C2133" s="38" t="s">
        <v>105</v>
      </c>
      <c r="D2133" s="34">
        <v>10551.6</v>
      </c>
      <c r="E2133" s="35">
        <v>44613</v>
      </c>
      <c r="F2133" s="34">
        <v>10551.6</v>
      </c>
      <c r="G2133" s="36">
        <f>Tabla13[[#This Row],[Importe]]-Tabla13[[#This Row],[Pagado]]</f>
        <v>0</v>
      </c>
      <c r="H2133" s="38" t="s">
        <v>10</v>
      </c>
    </row>
    <row r="2134" spans="1:8" x14ac:dyDescent="0.25">
      <c r="A2134" s="31">
        <v>44611</v>
      </c>
      <c r="B2134" s="37" t="s">
        <v>5894</v>
      </c>
      <c r="C2134" s="38" t="s">
        <v>14</v>
      </c>
      <c r="D2134" s="34">
        <v>23718.5</v>
      </c>
      <c r="E2134" s="35">
        <v>44611</v>
      </c>
      <c r="F2134" s="34">
        <v>23718.5</v>
      </c>
      <c r="G2134" s="36">
        <f>Tabla13[[#This Row],[Importe]]-Tabla13[[#This Row],[Pagado]]</f>
        <v>0</v>
      </c>
      <c r="H2134" s="38" t="s">
        <v>10</v>
      </c>
    </row>
    <row r="2135" spans="1:8" x14ac:dyDescent="0.25">
      <c r="A2135" s="31">
        <v>44611</v>
      </c>
      <c r="B2135" s="37" t="s">
        <v>5895</v>
      </c>
      <c r="C2135" s="38" t="s">
        <v>200</v>
      </c>
      <c r="D2135" s="34">
        <v>1200</v>
      </c>
      <c r="E2135" s="35">
        <v>44611</v>
      </c>
      <c r="F2135" s="34">
        <v>1200</v>
      </c>
      <c r="G2135" s="36">
        <f>Tabla13[[#This Row],[Importe]]-Tabla13[[#This Row],[Pagado]]</f>
        <v>0</v>
      </c>
      <c r="H2135" s="38" t="s">
        <v>10</v>
      </c>
    </row>
    <row r="2136" spans="1:8" x14ac:dyDescent="0.25">
      <c r="A2136" s="31">
        <v>44611</v>
      </c>
      <c r="B2136" s="37" t="s">
        <v>5896</v>
      </c>
      <c r="C2136" s="38" t="s">
        <v>16</v>
      </c>
      <c r="D2136" s="34">
        <v>2211.1999999999998</v>
      </c>
      <c r="E2136" s="35">
        <v>44611</v>
      </c>
      <c r="F2136" s="34">
        <v>2211.1999999999998</v>
      </c>
      <c r="G2136" s="36">
        <f>Tabla13[[#This Row],[Importe]]-Tabla13[[#This Row],[Pagado]]</f>
        <v>0</v>
      </c>
      <c r="H2136" s="38" t="s">
        <v>10</v>
      </c>
    </row>
    <row r="2137" spans="1:8" x14ac:dyDescent="0.25">
      <c r="A2137" s="31">
        <v>44611</v>
      </c>
      <c r="B2137" s="37" t="s">
        <v>5897</v>
      </c>
      <c r="C2137" s="38" t="s">
        <v>151</v>
      </c>
      <c r="D2137" s="34">
        <v>4341.6000000000004</v>
      </c>
      <c r="E2137" s="35">
        <v>44611</v>
      </c>
      <c r="F2137" s="34">
        <v>4341.6000000000004</v>
      </c>
      <c r="G2137" s="36">
        <f>Tabla13[[#This Row],[Importe]]-Tabla13[[#This Row],[Pagado]]</f>
        <v>0</v>
      </c>
      <c r="H2137" s="38" t="s">
        <v>10</v>
      </c>
    </row>
    <row r="2138" spans="1:8" x14ac:dyDescent="0.25">
      <c r="A2138" s="31">
        <v>44611</v>
      </c>
      <c r="B2138" s="37" t="s">
        <v>5898</v>
      </c>
      <c r="C2138" s="38" t="s">
        <v>79</v>
      </c>
      <c r="D2138" s="34">
        <v>21022.799999999999</v>
      </c>
      <c r="E2138" s="35">
        <v>44611</v>
      </c>
      <c r="F2138" s="34">
        <v>21022.799999999999</v>
      </c>
      <c r="G2138" s="36">
        <f>Tabla13[[#This Row],[Importe]]-Tabla13[[#This Row],[Pagado]]</f>
        <v>0</v>
      </c>
      <c r="H2138" s="38" t="s">
        <v>10</v>
      </c>
    </row>
    <row r="2139" spans="1:8" x14ac:dyDescent="0.25">
      <c r="A2139" s="31">
        <v>44611</v>
      </c>
      <c r="B2139" s="37" t="s">
        <v>5899</v>
      </c>
      <c r="C2139" s="38" t="s">
        <v>56</v>
      </c>
      <c r="D2139" s="34">
        <v>9257.1</v>
      </c>
      <c r="E2139" s="35">
        <v>44611</v>
      </c>
      <c r="F2139" s="34">
        <v>9257.1</v>
      </c>
      <c r="G2139" s="36">
        <f>Tabla13[[#This Row],[Importe]]-Tabla13[[#This Row],[Pagado]]</f>
        <v>0</v>
      </c>
      <c r="H2139" s="38" t="s">
        <v>10</v>
      </c>
    </row>
    <row r="2140" spans="1:8" x14ac:dyDescent="0.25">
      <c r="A2140" s="31">
        <v>44611</v>
      </c>
      <c r="B2140" s="37" t="s">
        <v>5900</v>
      </c>
      <c r="C2140" s="38" t="s">
        <v>934</v>
      </c>
      <c r="D2140" s="34">
        <v>2525.44</v>
      </c>
      <c r="E2140" s="35">
        <v>44611</v>
      </c>
      <c r="F2140" s="34">
        <v>2525.44</v>
      </c>
      <c r="G2140" s="36">
        <f>Tabla13[[#This Row],[Importe]]-Tabla13[[#This Row],[Pagado]]</f>
        <v>0</v>
      </c>
      <c r="H2140" s="38" t="s">
        <v>10</v>
      </c>
    </row>
    <row r="2141" spans="1:8" x14ac:dyDescent="0.25">
      <c r="A2141" s="31">
        <v>44611</v>
      </c>
      <c r="B2141" s="37" t="s">
        <v>5901</v>
      </c>
      <c r="C2141" s="38" t="s">
        <v>1339</v>
      </c>
      <c r="D2141" s="34">
        <v>2310</v>
      </c>
      <c r="E2141" s="35">
        <v>44611</v>
      </c>
      <c r="F2141" s="34">
        <v>2310</v>
      </c>
      <c r="G2141" s="36">
        <f>Tabla13[[#This Row],[Importe]]-Tabla13[[#This Row],[Pagado]]</f>
        <v>0</v>
      </c>
      <c r="H2141" s="38" t="s">
        <v>10</v>
      </c>
    </row>
    <row r="2142" spans="1:8" x14ac:dyDescent="0.25">
      <c r="A2142" s="31">
        <v>44611</v>
      </c>
      <c r="B2142" s="37" t="s">
        <v>5902</v>
      </c>
      <c r="C2142" s="38" t="s">
        <v>196</v>
      </c>
      <c r="D2142" s="34">
        <v>56596.6</v>
      </c>
      <c r="E2142" s="35">
        <v>44617</v>
      </c>
      <c r="F2142" s="34">
        <v>56596.6</v>
      </c>
      <c r="G2142" s="36">
        <f>Tabla13[[#This Row],[Importe]]-Tabla13[[#This Row],[Pagado]]</f>
        <v>0</v>
      </c>
      <c r="H2142" s="38" t="s">
        <v>10</v>
      </c>
    </row>
    <row r="2143" spans="1:8" x14ac:dyDescent="0.25">
      <c r="A2143" s="31">
        <v>44611</v>
      </c>
      <c r="B2143" s="37" t="s">
        <v>5903</v>
      </c>
      <c r="C2143" s="38" t="s">
        <v>45</v>
      </c>
      <c r="D2143" s="34">
        <v>10179.5</v>
      </c>
      <c r="E2143" s="35">
        <v>44611</v>
      </c>
      <c r="F2143" s="34">
        <v>10179.5</v>
      </c>
      <c r="G2143" s="36">
        <f>Tabla13[[#This Row],[Importe]]-Tabla13[[#This Row],[Pagado]]</f>
        <v>0</v>
      </c>
      <c r="H2143" s="38" t="s">
        <v>10</v>
      </c>
    </row>
    <row r="2144" spans="1:8" x14ac:dyDescent="0.25">
      <c r="A2144" s="31">
        <v>44611</v>
      </c>
      <c r="B2144" s="37" t="s">
        <v>5904</v>
      </c>
      <c r="C2144" s="38" t="s">
        <v>31</v>
      </c>
      <c r="D2144" s="34">
        <v>516</v>
      </c>
      <c r="E2144" s="35">
        <v>44611</v>
      </c>
      <c r="F2144" s="34">
        <v>516</v>
      </c>
      <c r="G2144" s="36">
        <f>Tabla13[[#This Row],[Importe]]-Tabla13[[#This Row],[Pagado]]</f>
        <v>0</v>
      </c>
      <c r="H2144" s="38" t="s">
        <v>10</v>
      </c>
    </row>
    <row r="2145" spans="1:8" x14ac:dyDescent="0.25">
      <c r="A2145" s="31">
        <v>44611</v>
      </c>
      <c r="B2145" s="37" t="s">
        <v>5905</v>
      </c>
      <c r="C2145" s="38" t="s">
        <v>5906</v>
      </c>
      <c r="D2145" s="34">
        <v>2665</v>
      </c>
      <c r="E2145" s="35">
        <v>44611</v>
      </c>
      <c r="F2145" s="34">
        <v>2665</v>
      </c>
      <c r="G2145" s="36">
        <f>Tabla13[[#This Row],[Importe]]-Tabla13[[#This Row],[Pagado]]</f>
        <v>0</v>
      </c>
      <c r="H2145" s="38" t="s">
        <v>10</v>
      </c>
    </row>
    <row r="2146" spans="1:8" x14ac:dyDescent="0.25">
      <c r="A2146" s="31">
        <v>44611</v>
      </c>
      <c r="B2146" s="37" t="s">
        <v>5907</v>
      </c>
      <c r="C2146" s="38" t="s">
        <v>49</v>
      </c>
      <c r="D2146" s="34">
        <v>4431.7</v>
      </c>
      <c r="E2146" s="35">
        <v>44611</v>
      </c>
      <c r="F2146" s="34">
        <v>4431.7</v>
      </c>
      <c r="G2146" s="36">
        <f>Tabla13[[#This Row],[Importe]]-Tabla13[[#This Row],[Pagado]]</f>
        <v>0</v>
      </c>
      <c r="H2146" s="38" t="s">
        <v>10</v>
      </c>
    </row>
    <row r="2147" spans="1:8" x14ac:dyDescent="0.25">
      <c r="A2147" s="31">
        <v>44611</v>
      </c>
      <c r="B2147" s="37" t="s">
        <v>5908</v>
      </c>
      <c r="C2147" s="38" t="s">
        <v>29</v>
      </c>
      <c r="D2147" s="34">
        <v>5370</v>
      </c>
      <c r="E2147" s="35">
        <v>44611</v>
      </c>
      <c r="F2147" s="34">
        <v>5370</v>
      </c>
      <c r="G2147" s="36">
        <f>Tabla13[[#This Row],[Importe]]-Tabla13[[#This Row],[Pagado]]</f>
        <v>0</v>
      </c>
      <c r="H2147" s="38" t="s">
        <v>10</v>
      </c>
    </row>
    <row r="2148" spans="1:8" x14ac:dyDescent="0.25">
      <c r="A2148" s="31">
        <v>44611</v>
      </c>
      <c r="B2148" s="37" t="s">
        <v>5909</v>
      </c>
      <c r="C2148" s="38" t="s">
        <v>2114</v>
      </c>
      <c r="D2148" s="34">
        <v>1391.6</v>
      </c>
      <c r="E2148" s="35">
        <v>44611</v>
      </c>
      <c r="F2148" s="34">
        <v>1391.6</v>
      </c>
      <c r="G2148" s="36">
        <f>Tabla13[[#This Row],[Importe]]-Tabla13[[#This Row],[Pagado]]</f>
        <v>0</v>
      </c>
      <c r="H2148" s="38" t="s">
        <v>10</v>
      </c>
    </row>
    <row r="2149" spans="1:8" x14ac:dyDescent="0.25">
      <c r="A2149" s="31">
        <v>44611</v>
      </c>
      <c r="B2149" s="37" t="s">
        <v>5910</v>
      </c>
      <c r="C2149" s="38" t="s">
        <v>3971</v>
      </c>
      <c r="D2149" s="34">
        <v>4115.3999999999996</v>
      </c>
      <c r="E2149" s="35">
        <v>44611</v>
      </c>
      <c r="F2149" s="34">
        <v>4115.3999999999996</v>
      </c>
      <c r="G2149" s="36">
        <f>Tabla13[[#This Row],[Importe]]-Tabla13[[#This Row],[Pagado]]</f>
        <v>0</v>
      </c>
      <c r="H2149" s="38" t="s">
        <v>10</v>
      </c>
    </row>
    <row r="2150" spans="1:8" x14ac:dyDescent="0.25">
      <c r="A2150" s="31">
        <v>44611</v>
      </c>
      <c r="B2150" s="37" t="s">
        <v>5911</v>
      </c>
      <c r="C2150" s="38" t="s">
        <v>4310</v>
      </c>
      <c r="D2150" s="34">
        <v>0</v>
      </c>
      <c r="E2150" s="39" t="s">
        <v>189</v>
      </c>
      <c r="F2150" s="34">
        <v>0</v>
      </c>
      <c r="G2150" s="36">
        <f>Tabla13[[#This Row],[Importe]]-Tabla13[[#This Row],[Pagado]]</f>
        <v>0</v>
      </c>
      <c r="H2150" s="38" t="s">
        <v>189</v>
      </c>
    </row>
    <row r="2151" spans="1:8" x14ac:dyDescent="0.25">
      <c r="A2151" s="31">
        <v>44611</v>
      </c>
      <c r="B2151" s="37" t="s">
        <v>5912</v>
      </c>
      <c r="C2151" s="38" t="s">
        <v>4136</v>
      </c>
      <c r="D2151" s="34">
        <v>4971.3999999999996</v>
      </c>
      <c r="E2151" s="35">
        <v>44611</v>
      </c>
      <c r="F2151" s="34">
        <v>4971.3999999999996</v>
      </c>
      <c r="G2151" s="36">
        <f>Tabla13[[#This Row],[Importe]]-Tabla13[[#This Row],[Pagado]]</f>
        <v>0</v>
      </c>
      <c r="H2151" s="38" t="s">
        <v>10</v>
      </c>
    </row>
    <row r="2152" spans="1:8" x14ac:dyDescent="0.25">
      <c r="A2152" s="31">
        <v>44611</v>
      </c>
      <c r="B2152" s="37" t="s">
        <v>5913</v>
      </c>
      <c r="C2152" s="38" t="s">
        <v>58</v>
      </c>
      <c r="D2152" s="34">
        <v>3877.2</v>
      </c>
      <c r="E2152" s="35">
        <v>44611</v>
      </c>
      <c r="F2152" s="34">
        <v>3877.2</v>
      </c>
      <c r="G2152" s="36">
        <f>Tabla13[[#This Row],[Importe]]-Tabla13[[#This Row],[Pagado]]</f>
        <v>0</v>
      </c>
      <c r="H2152" s="38" t="s">
        <v>10</v>
      </c>
    </row>
    <row r="2153" spans="1:8" x14ac:dyDescent="0.25">
      <c r="A2153" s="31">
        <v>44611</v>
      </c>
      <c r="B2153" s="37" t="s">
        <v>5914</v>
      </c>
      <c r="C2153" s="38" t="s">
        <v>85</v>
      </c>
      <c r="D2153" s="34">
        <v>2588.1999999999998</v>
      </c>
      <c r="E2153" s="35">
        <v>44611</v>
      </c>
      <c r="F2153" s="34">
        <v>2588.1999999999998</v>
      </c>
      <c r="G2153" s="36">
        <f>Tabla13[[#This Row],[Importe]]-Tabla13[[#This Row],[Pagado]]</f>
        <v>0</v>
      </c>
      <c r="H2153" s="38" t="s">
        <v>10</v>
      </c>
    </row>
    <row r="2154" spans="1:8" x14ac:dyDescent="0.25">
      <c r="A2154" s="31">
        <v>44611</v>
      </c>
      <c r="B2154" s="37" t="s">
        <v>5915</v>
      </c>
      <c r="C2154" s="38" t="s">
        <v>75</v>
      </c>
      <c r="D2154" s="34">
        <v>7575</v>
      </c>
      <c r="E2154" s="35">
        <v>44611</v>
      </c>
      <c r="F2154" s="34">
        <v>7575</v>
      </c>
      <c r="G2154" s="36">
        <f>Tabla13[[#This Row],[Importe]]-Tabla13[[#This Row],[Pagado]]</f>
        <v>0</v>
      </c>
      <c r="H2154" s="38" t="s">
        <v>10</v>
      </c>
    </row>
    <row r="2155" spans="1:8" x14ac:dyDescent="0.25">
      <c r="A2155" s="31">
        <v>44611</v>
      </c>
      <c r="B2155" s="37" t="s">
        <v>5916</v>
      </c>
      <c r="C2155" s="38" t="s">
        <v>75</v>
      </c>
      <c r="D2155" s="34">
        <v>9550</v>
      </c>
      <c r="E2155" s="35">
        <v>44612</v>
      </c>
      <c r="F2155" s="34">
        <v>9550</v>
      </c>
      <c r="G2155" s="36">
        <f>Tabla13[[#This Row],[Importe]]-Tabla13[[#This Row],[Pagado]]</f>
        <v>0</v>
      </c>
      <c r="H2155" s="38" t="s">
        <v>10</v>
      </c>
    </row>
    <row r="2156" spans="1:8" x14ac:dyDescent="0.25">
      <c r="A2156" s="31">
        <v>44611</v>
      </c>
      <c r="B2156" s="37" t="s">
        <v>5917</v>
      </c>
      <c r="C2156" s="38" t="s">
        <v>181</v>
      </c>
      <c r="D2156" s="34">
        <v>12751.8</v>
      </c>
      <c r="E2156" s="35">
        <v>44611</v>
      </c>
      <c r="F2156" s="34">
        <v>12751.8</v>
      </c>
      <c r="G2156" s="36">
        <f>Tabla13[[#This Row],[Importe]]-Tabla13[[#This Row],[Pagado]]</f>
        <v>0</v>
      </c>
      <c r="H2156" s="38" t="s">
        <v>10</v>
      </c>
    </row>
    <row r="2157" spans="1:8" x14ac:dyDescent="0.25">
      <c r="A2157" s="31">
        <v>44611</v>
      </c>
      <c r="B2157" s="37" t="s">
        <v>5918</v>
      </c>
      <c r="C2157" s="38" t="s">
        <v>230</v>
      </c>
      <c r="D2157" s="34">
        <v>4903.8</v>
      </c>
      <c r="E2157" s="35">
        <v>44611</v>
      </c>
      <c r="F2157" s="34">
        <v>4903.8</v>
      </c>
      <c r="G2157" s="36">
        <f>Tabla13[[#This Row],[Importe]]-Tabla13[[#This Row],[Pagado]]</f>
        <v>0</v>
      </c>
      <c r="H2157" s="38" t="s">
        <v>10</v>
      </c>
    </row>
    <row r="2158" spans="1:8" x14ac:dyDescent="0.25">
      <c r="A2158" s="31">
        <v>44611</v>
      </c>
      <c r="B2158" s="37" t="s">
        <v>5919</v>
      </c>
      <c r="C2158" s="38" t="s">
        <v>129</v>
      </c>
      <c r="D2158" s="34">
        <v>4894.8999999999996</v>
      </c>
      <c r="E2158" s="35">
        <v>44611</v>
      </c>
      <c r="F2158" s="34">
        <v>4894.8999999999996</v>
      </c>
      <c r="G2158" s="36">
        <f>Tabla13[[#This Row],[Importe]]-Tabla13[[#This Row],[Pagado]]</f>
        <v>0</v>
      </c>
      <c r="H2158" s="38" t="s">
        <v>10</v>
      </c>
    </row>
    <row r="2159" spans="1:8" x14ac:dyDescent="0.25">
      <c r="A2159" s="31">
        <v>44611</v>
      </c>
      <c r="B2159" s="37" t="s">
        <v>5920</v>
      </c>
      <c r="C2159" s="38" t="s">
        <v>357</v>
      </c>
      <c r="D2159" s="34">
        <v>3656.9</v>
      </c>
      <c r="E2159" s="35">
        <v>44611</v>
      </c>
      <c r="F2159" s="34">
        <v>3656.9</v>
      </c>
      <c r="G2159" s="36">
        <f>Tabla13[[#This Row],[Importe]]-Tabla13[[#This Row],[Pagado]]</f>
        <v>0</v>
      </c>
      <c r="H2159" s="38" t="s">
        <v>10</v>
      </c>
    </row>
    <row r="2160" spans="1:8" x14ac:dyDescent="0.25">
      <c r="A2160" s="31">
        <v>44611</v>
      </c>
      <c r="B2160" s="37" t="s">
        <v>5921</v>
      </c>
      <c r="C2160" s="38" t="s">
        <v>3971</v>
      </c>
      <c r="D2160" s="34">
        <v>5040.7</v>
      </c>
      <c r="E2160" s="35">
        <v>44611</v>
      </c>
      <c r="F2160" s="34">
        <v>5040.7</v>
      </c>
      <c r="G2160" s="36">
        <f>Tabla13[[#This Row],[Importe]]-Tabla13[[#This Row],[Pagado]]</f>
        <v>0</v>
      </c>
      <c r="H2160" s="38" t="s">
        <v>10</v>
      </c>
    </row>
    <row r="2161" spans="1:8" x14ac:dyDescent="0.25">
      <c r="A2161" s="31">
        <v>44611</v>
      </c>
      <c r="B2161" s="37" t="s">
        <v>5922</v>
      </c>
      <c r="C2161" s="38" t="s">
        <v>127</v>
      </c>
      <c r="D2161" s="34">
        <v>887.4</v>
      </c>
      <c r="E2161" s="35">
        <v>44611</v>
      </c>
      <c r="F2161" s="34">
        <v>887.4</v>
      </c>
      <c r="G2161" s="36">
        <f>Tabla13[[#This Row],[Importe]]-Tabla13[[#This Row],[Pagado]]</f>
        <v>0</v>
      </c>
      <c r="H2161" s="38" t="s">
        <v>10</v>
      </c>
    </row>
    <row r="2162" spans="1:8" x14ac:dyDescent="0.25">
      <c r="A2162" s="31">
        <v>44611</v>
      </c>
      <c r="B2162" s="37" t="s">
        <v>5923</v>
      </c>
      <c r="C2162" s="38" t="s">
        <v>339</v>
      </c>
      <c r="D2162" s="34">
        <v>795.6</v>
      </c>
      <c r="E2162" s="35">
        <v>44611</v>
      </c>
      <c r="F2162" s="34">
        <v>795.6</v>
      </c>
      <c r="G2162" s="36">
        <f>Tabla13[[#This Row],[Importe]]-Tabla13[[#This Row],[Pagado]]</f>
        <v>0</v>
      </c>
      <c r="H2162" s="38" t="s">
        <v>10</v>
      </c>
    </row>
    <row r="2163" spans="1:8" x14ac:dyDescent="0.25">
      <c r="A2163" s="31">
        <v>44611</v>
      </c>
      <c r="B2163" s="37" t="s">
        <v>5924</v>
      </c>
      <c r="C2163" s="38" t="s">
        <v>140</v>
      </c>
      <c r="D2163" s="34">
        <v>4732.7</v>
      </c>
      <c r="E2163" s="35">
        <v>44611</v>
      </c>
      <c r="F2163" s="34">
        <v>4732.7</v>
      </c>
      <c r="G2163" s="36">
        <f>Tabla13[[#This Row],[Importe]]-Tabla13[[#This Row],[Pagado]]</f>
        <v>0</v>
      </c>
      <c r="H2163" s="38" t="s">
        <v>10</v>
      </c>
    </row>
    <row r="2164" spans="1:8" x14ac:dyDescent="0.25">
      <c r="A2164" s="31">
        <v>44611</v>
      </c>
      <c r="B2164" s="37" t="s">
        <v>5925</v>
      </c>
      <c r="C2164" s="38" t="s">
        <v>24</v>
      </c>
      <c r="D2164" s="34">
        <v>4588.8</v>
      </c>
      <c r="E2164" s="35">
        <v>44611</v>
      </c>
      <c r="F2164" s="34">
        <v>4588.8</v>
      </c>
      <c r="G2164" s="36">
        <f>Tabla13[[#This Row],[Importe]]-Tabla13[[#This Row],[Pagado]]</f>
        <v>0</v>
      </c>
      <c r="H2164" s="38" t="s">
        <v>10</v>
      </c>
    </row>
    <row r="2165" spans="1:8" x14ac:dyDescent="0.25">
      <c r="A2165" s="31">
        <v>44611</v>
      </c>
      <c r="B2165" s="37" t="s">
        <v>5926</v>
      </c>
      <c r="C2165" s="38" t="s">
        <v>382</v>
      </c>
      <c r="D2165" s="34">
        <v>6250</v>
      </c>
      <c r="E2165" s="35">
        <v>44611</v>
      </c>
      <c r="F2165" s="34">
        <v>6250</v>
      </c>
      <c r="G2165" s="36">
        <f>Tabla13[[#This Row],[Importe]]-Tabla13[[#This Row],[Pagado]]</f>
        <v>0</v>
      </c>
      <c r="H2165" s="38" t="s">
        <v>10</v>
      </c>
    </row>
    <row r="2166" spans="1:8" x14ac:dyDescent="0.25">
      <c r="A2166" s="31">
        <v>44611</v>
      </c>
      <c r="B2166" s="37" t="s">
        <v>5927</v>
      </c>
      <c r="C2166" s="38" t="s">
        <v>226</v>
      </c>
      <c r="D2166" s="34">
        <v>4170</v>
      </c>
      <c r="E2166" s="35">
        <v>44611</v>
      </c>
      <c r="F2166" s="34">
        <v>4170</v>
      </c>
      <c r="G2166" s="36">
        <f>Tabla13[[#This Row],[Importe]]-Tabla13[[#This Row],[Pagado]]</f>
        <v>0</v>
      </c>
      <c r="H2166" s="38" t="s">
        <v>10</v>
      </c>
    </row>
    <row r="2167" spans="1:8" x14ac:dyDescent="0.25">
      <c r="A2167" s="31">
        <v>44611</v>
      </c>
      <c r="B2167" s="37" t="s">
        <v>5928</v>
      </c>
      <c r="C2167" s="38" t="s">
        <v>681</v>
      </c>
      <c r="D2167" s="34">
        <v>1.0900000000000001</v>
      </c>
      <c r="E2167" s="35">
        <v>44615</v>
      </c>
      <c r="F2167" s="34">
        <v>1.0900000000000001</v>
      </c>
      <c r="G2167" s="36">
        <f>Tabla13[[#This Row],[Importe]]-Tabla13[[#This Row],[Pagado]]</f>
        <v>0</v>
      </c>
      <c r="H2167" s="38" t="s">
        <v>10</v>
      </c>
    </row>
    <row r="2168" spans="1:8" x14ac:dyDescent="0.25">
      <c r="A2168" s="31">
        <v>44611</v>
      </c>
      <c r="B2168" s="37" t="s">
        <v>5929</v>
      </c>
      <c r="C2168" s="38" t="s">
        <v>31</v>
      </c>
      <c r="D2168" s="34">
        <v>2412.3000000000002</v>
      </c>
      <c r="E2168" s="35">
        <v>44611</v>
      </c>
      <c r="F2168" s="34">
        <v>2412.3000000000002</v>
      </c>
      <c r="G2168" s="36">
        <f>Tabla13[[#This Row],[Importe]]-Tabla13[[#This Row],[Pagado]]</f>
        <v>0</v>
      </c>
      <c r="H2168" s="38" t="s">
        <v>10</v>
      </c>
    </row>
    <row r="2169" spans="1:8" x14ac:dyDescent="0.25">
      <c r="A2169" s="31">
        <v>44611</v>
      </c>
      <c r="B2169" s="37" t="s">
        <v>5930</v>
      </c>
      <c r="C2169" s="38" t="s">
        <v>179</v>
      </c>
      <c r="D2169" s="34">
        <v>905</v>
      </c>
      <c r="E2169" s="35">
        <v>44611</v>
      </c>
      <c r="F2169" s="34">
        <v>905</v>
      </c>
      <c r="G2169" s="36">
        <f>Tabla13[[#This Row],[Importe]]-Tabla13[[#This Row],[Pagado]]</f>
        <v>0</v>
      </c>
      <c r="H2169" s="38" t="s">
        <v>10</v>
      </c>
    </row>
    <row r="2170" spans="1:8" x14ac:dyDescent="0.25">
      <c r="A2170" s="31">
        <v>44611</v>
      </c>
      <c r="B2170" s="37" t="s">
        <v>5931</v>
      </c>
      <c r="C2170" s="38" t="s">
        <v>216</v>
      </c>
      <c r="D2170" s="34">
        <v>2050</v>
      </c>
      <c r="E2170" s="35">
        <v>44611</v>
      </c>
      <c r="F2170" s="34">
        <v>2050</v>
      </c>
      <c r="G2170" s="36">
        <f>Tabla13[[#This Row],[Importe]]-Tabla13[[#This Row],[Pagado]]</f>
        <v>0</v>
      </c>
      <c r="H2170" s="38" t="s">
        <v>10</v>
      </c>
    </row>
    <row r="2171" spans="1:8" x14ac:dyDescent="0.25">
      <c r="A2171" s="31">
        <v>44611</v>
      </c>
      <c r="B2171" s="37" t="s">
        <v>5932</v>
      </c>
      <c r="C2171" s="38" t="s">
        <v>135</v>
      </c>
      <c r="D2171" s="34">
        <v>846.6</v>
      </c>
      <c r="E2171" s="35">
        <v>44611</v>
      </c>
      <c r="F2171" s="34">
        <v>846.6</v>
      </c>
      <c r="G2171" s="36">
        <f>Tabla13[[#This Row],[Importe]]-Tabla13[[#This Row],[Pagado]]</f>
        <v>0</v>
      </c>
      <c r="H2171" s="38" t="s">
        <v>10</v>
      </c>
    </row>
    <row r="2172" spans="1:8" x14ac:dyDescent="0.25">
      <c r="A2172" s="31">
        <v>44611</v>
      </c>
      <c r="B2172" s="37" t="s">
        <v>5933</v>
      </c>
      <c r="C2172" s="38" t="s">
        <v>142</v>
      </c>
      <c r="D2172" s="34">
        <v>85719.4</v>
      </c>
      <c r="E2172" s="35">
        <v>44617</v>
      </c>
      <c r="F2172" s="34">
        <v>85719.4</v>
      </c>
      <c r="G2172" s="36">
        <f>Tabla13[[#This Row],[Importe]]-Tabla13[[#This Row],[Pagado]]</f>
        <v>0</v>
      </c>
      <c r="H2172" s="38" t="s">
        <v>10</v>
      </c>
    </row>
    <row r="2173" spans="1:8" x14ac:dyDescent="0.25">
      <c r="A2173" s="31">
        <v>44611</v>
      </c>
      <c r="B2173" s="37" t="s">
        <v>5934</v>
      </c>
      <c r="C2173" s="38" t="s">
        <v>373</v>
      </c>
      <c r="D2173" s="34">
        <v>395</v>
      </c>
      <c r="E2173" s="35">
        <v>44611</v>
      </c>
      <c r="F2173" s="34">
        <v>395</v>
      </c>
      <c r="G2173" s="36">
        <f>Tabla13[[#This Row],[Importe]]-Tabla13[[#This Row],[Pagado]]</f>
        <v>0</v>
      </c>
      <c r="H2173" s="38" t="s">
        <v>10</v>
      </c>
    </row>
    <row r="2174" spans="1:8" x14ac:dyDescent="0.25">
      <c r="A2174" s="31">
        <v>44611</v>
      </c>
      <c r="B2174" s="37" t="s">
        <v>5935</v>
      </c>
      <c r="C2174" s="38" t="s">
        <v>149</v>
      </c>
      <c r="D2174" s="34">
        <v>554.4</v>
      </c>
      <c r="E2174" s="35">
        <v>44611</v>
      </c>
      <c r="F2174" s="34">
        <v>554.4</v>
      </c>
      <c r="G2174" s="36">
        <f>Tabla13[[#This Row],[Importe]]-Tabla13[[#This Row],[Pagado]]</f>
        <v>0</v>
      </c>
      <c r="H2174" s="38" t="s">
        <v>10</v>
      </c>
    </row>
    <row r="2175" spans="1:8" x14ac:dyDescent="0.25">
      <c r="A2175" s="31">
        <v>44611</v>
      </c>
      <c r="B2175" s="37" t="s">
        <v>5936</v>
      </c>
      <c r="C2175" s="38" t="s">
        <v>31</v>
      </c>
      <c r="D2175" s="34">
        <v>1030.4000000000001</v>
      </c>
      <c r="E2175" s="35">
        <v>44611</v>
      </c>
      <c r="F2175" s="34">
        <v>1030.4000000000001</v>
      </c>
      <c r="G2175" s="36">
        <f>Tabla13[[#This Row],[Importe]]-Tabla13[[#This Row],[Pagado]]</f>
        <v>0</v>
      </c>
      <c r="H2175" s="38" t="s">
        <v>10</v>
      </c>
    </row>
    <row r="2176" spans="1:8" x14ac:dyDescent="0.25">
      <c r="A2176" s="31">
        <v>44611</v>
      </c>
      <c r="B2176" s="37" t="s">
        <v>5937</v>
      </c>
      <c r="C2176" s="38" t="s">
        <v>1265</v>
      </c>
      <c r="D2176" s="34">
        <v>712.8</v>
      </c>
      <c r="E2176" s="35">
        <v>44611</v>
      </c>
      <c r="F2176" s="34">
        <v>712.8</v>
      </c>
      <c r="G2176" s="36">
        <f>Tabla13[[#This Row],[Importe]]-Tabla13[[#This Row],[Pagado]]</f>
        <v>0</v>
      </c>
      <c r="H2176" s="38" t="s">
        <v>10</v>
      </c>
    </row>
    <row r="2177" spans="1:8" x14ac:dyDescent="0.25">
      <c r="A2177" s="31">
        <v>44611</v>
      </c>
      <c r="B2177" s="37" t="s">
        <v>5938</v>
      </c>
      <c r="C2177" s="38" t="s">
        <v>670</v>
      </c>
      <c r="D2177" s="34">
        <v>3192</v>
      </c>
      <c r="E2177" s="35">
        <v>44611</v>
      </c>
      <c r="F2177" s="34">
        <v>3192</v>
      </c>
      <c r="G2177" s="36">
        <f>Tabla13[[#This Row],[Importe]]-Tabla13[[#This Row],[Pagado]]</f>
        <v>0</v>
      </c>
      <c r="H2177" s="38" t="s">
        <v>10</v>
      </c>
    </row>
    <row r="2178" spans="1:8" x14ac:dyDescent="0.25">
      <c r="A2178" s="31">
        <v>44611</v>
      </c>
      <c r="B2178" s="37" t="s">
        <v>5939</v>
      </c>
      <c r="C2178" s="38" t="s">
        <v>62</v>
      </c>
      <c r="D2178" s="34">
        <v>399</v>
      </c>
      <c r="E2178" s="35">
        <v>44611</v>
      </c>
      <c r="F2178" s="34">
        <v>399</v>
      </c>
      <c r="G2178" s="36">
        <f>Tabla13[[#This Row],[Importe]]-Tabla13[[#This Row],[Pagado]]</f>
        <v>0</v>
      </c>
      <c r="H2178" s="38" t="s">
        <v>10</v>
      </c>
    </row>
    <row r="2179" spans="1:8" x14ac:dyDescent="0.25">
      <c r="A2179" s="31">
        <v>44611</v>
      </c>
      <c r="B2179" s="37" t="s">
        <v>5940</v>
      </c>
      <c r="C2179" s="38" t="s">
        <v>670</v>
      </c>
      <c r="D2179" s="34">
        <v>236.8</v>
      </c>
      <c r="E2179" s="35">
        <v>44611</v>
      </c>
      <c r="F2179" s="34">
        <v>236.8</v>
      </c>
      <c r="G2179" s="36">
        <f>Tabla13[[#This Row],[Importe]]-Tabla13[[#This Row],[Pagado]]</f>
        <v>0</v>
      </c>
      <c r="H2179" s="38" t="s">
        <v>10</v>
      </c>
    </row>
    <row r="2180" spans="1:8" x14ac:dyDescent="0.25">
      <c r="A2180" s="31">
        <v>44611</v>
      </c>
      <c r="B2180" s="37" t="s">
        <v>5941</v>
      </c>
      <c r="C2180" s="38" t="s">
        <v>51</v>
      </c>
      <c r="D2180" s="34">
        <v>3665.2</v>
      </c>
      <c r="E2180" s="35">
        <v>44611</v>
      </c>
      <c r="F2180" s="34">
        <v>3665.2</v>
      </c>
      <c r="G2180" s="36">
        <f>Tabla13[[#This Row],[Importe]]-Tabla13[[#This Row],[Pagado]]</f>
        <v>0</v>
      </c>
      <c r="H2180" s="38" t="s">
        <v>10</v>
      </c>
    </row>
    <row r="2181" spans="1:8" x14ac:dyDescent="0.25">
      <c r="A2181" s="31">
        <v>44611</v>
      </c>
      <c r="B2181" s="37" t="s">
        <v>5942</v>
      </c>
      <c r="C2181" s="38" t="s">
        <v>804</v>
      </c>
      <c r="D2181" s="34">
        <v>11039.9</v>
      </c>
      <c r="E2181" s="35">
        <v>44611</v>
      </c>
      <c r="F2181" s="34">
        <v>11039.9</v>
      </c>
      <c r="G2181" s="36">
        <f>Tabla13[[#This Row],[Importe]]-Tabla13[[#This Row],[Pagado]]</f>
        <v>0</v>
      </c>
      <c r="H2181" s="38" t="s">
        <v>10</v>
      </c>
    </row>
    <row r="2182" spans="1:8" x14ac:dyDescent="0.25">
      <c r="A2182" s="31">
        <v>44611</v>
      </c>
      <c r="B2182" s="37" t="s">
        <v>5943</v>
      </c>
      <c r="C2182" s="38" t="s">
        <v>69</v>
      </c>
      <c r="D2182" s="34">
        <v>3000</v>
      </c>
      <c r="E2182" s="35">
        <v>44611</v>
      </c>
      <c r="F2182" s="34">
        <v>3000</v>
      </c>
      <c r="G2182" s="36">
        <f>Tabla13[[#This Row],[Importe]]-Tabla13[[#This Row],[Pagado]]</f>
        <v>0</v>
      </c>
      <c r="H2182" s="38" t="s">
        <v>10</v>
      </c>
    </row>
    <row r="2183" spans="1:8" x14ac:dyDescent="0.25">
      <c r="A2183" s="31">
        <v>44611</v>
      </c>
      <c r="B2183" s="37" t="s">
        <v>5944</v>
      </c>
      <c r="C2183" s="38" t="s">
        <v>214</v>
      </c>
      <c r="D2183" s="34">
        <v>1515</v>
      </c>
      <c r="E2183" s="35">
        <v>44611</v>
      </c>
      <c r="F2183" s="34">
        <v>1515</v>
      </c>
      <c r="G2183" s="36">
        <f>Tabla13[[#This Row],[Importe]]-Tabla13[[#This Row],[Pagado]]</f>
        <v>0</v>
      </c>
      <c r="H2183" s="38" t="s">
        <v>10</v>
      </c>
    </row>
    <row r="2184" spans="1:8" x14ac:dyDescent="0.25">
      <c r="A2184" s="31">
        <v>44611</v>
      </c>
      <c r="B2184" s="37" t="s">
        <v>5945</v>
      </c>
      <c r="C2184" s="38" t="s">
        <v>67</v>
      </c>
      <c r="D2184" s="34">
        <v>2512.4</v>
      </c>
      <c r="E2184" s="35">
        <v>44611</v>
      </c>
      <c r="F2184" s="34">
        <v>2512.4</v>
      </c>
      <c r="G2184" s="36">
        <f>Tabla13[[#This Row],[Importe]]-Tabla13[[#This Row],[Pagado]]</f>
        <v>0</v>
      </c>
      <c r="H2184" s="38" t="s">
        <v>10</v>
      </c>
    </row>
    <row r="2185" spans="1:8" x14ac:dyDescent="0.25">
      <c r="A2185" s="31">
        <v>44611</v>
      </c>
      <c r="B2185" s="37" t="s">
        <v>5946</v>
      </c>
      <c r="C2185" s="38" t="s">
        <v>53</v>
      </c>
      <c r="D2185" s="34">
        <v>1193.4000000000001</v>
      </c>
      <c r="E2185" s="35">
        <v>44611</v>
      </c>
      <c r="F2185" s="34">
        <v>1193.4000000000001</v>
      </c>
      <c r="G2185" s="36">
        <f>Tabla13[[#This Row],[Importe]]-Tabla13[[#This Row],[Pagado]]</f>
        <v>0</v>
      </c>
      <c r="H2185" s="38" t="s">
        <v>10</v>
      </c>
    </row>
    <row r="2186" spans="1:8" x14ac:dyDescent="0.25">
      <c r="A2186" s="31">
        <v>44611</v>
      </c>
      <c r="B2186" s="37" t="s">
        <v>5947</v>
      </c>
      <c r="C2186" s="38" t="s">
        <v>39</v>
      </c>
      <c r="D2186" s="34">
        <v>1120</v>
      </c>
      <c r="E2186" s="35">
        <v>44611</v>
      </c>
      <c r="F2186" s="34">
        <v>1120</v>
      </c>
      <c r="G2186" s="36">
        <f>Tabla13[[#This Row],[Importe]]-Tabla13[[#This Row],[Pagado]]</f>
        <v>0</v>
      </c>
      <c r="H2186" s="38" t="s">
        <v>10</v>
      </c>
    </row>
    <row r="2187" spans="1:8" x14ac:dyDescent="0.25">
      <c r="A2187" s="31">
        <v>44611</v>
      </c>
      <c r="B2187" s="37" t="s">
        <v>5948</v>
      </c>
      <c r="C2187" s="38" t="s">
        <v>1174</v>
      </c>
      <c r="D2187" s="34">
        <v>27790</v>
      </c>
      <c r="E2187" s="35">
        <v>44611</v>
      </c>
      <c r="F2187" s="34">
        <v>27790</v>
      </c>
      <c r="G2187" s="36">
        <f>Tabla13[[#This Row],[Importe]]-Tabla13[[#This Row],[Pagado]]</f>
        <v>0</v>
      </c>
      <c r="H2187" s="38" t="s">
        <v>10</v>
      </c>
    </row>
    <row r="2188" spans="1:8" x14ac:dyDescent="0.25">
      <c r="A2188" s="31">
        <v>44611</v>
      </c>
      <c r="B2188" s="37" t="s">
        <v>5949</v>
      </c>
      <c r="C2188" s="38" t="s">
        <v>1174</v>
      </c>
      <c r="D2188" s="34">
        <v>996.8</v>
      </c>
      <c r="E2188" s="35" t="s">
        <v>5950</v>
      </c>
      <c r="F2188" s="34">
        <v>996.8</v>
      </c>
      <c r="G2188" s="36">
        <f>Tabla13[[#This Row],[Importe]]-Tabla13[[#This Row],[Pagado]]</f>
        <v>0</v>
      </c>
      <c r="H2188" s="38" t="s">
        <v>10</v>
      </c>
    </row>
    <row r="2189" spans="1:8" x14ac:dyDescent="0.25">
      <c r="A2189" s="31">
        <v>44611</v>
      </c>
      <c r="B2189" s="37" t="s">
        <v>5951</v>
      </c>
      <c r="C2189" s="38" t="s">
        <v>5952</v>
      </c>
      <c r="D2189" s="34">
        <v>0</v>
      </c>
      <c r="E2189" s="39" t="s">
        <v>189</v>
      </c>
      <c r="F2189" s="34">
        <v>0</v>
      </c>
      <c r="G2189" s="36">
        <f>Tabla13[[#This Row],[Importe]]-Tabla13[[#This Row],[Pagado]]</f>
        <v>0</v>
      </c>
      <c r="H2189" s="38" t="s">
        <v>189</v>
      </c>
    </row>
    <row r="2190" spans="1:8" x14ac:dyDescent="0.25">
      <c r="A2190" s="31">
        <v>44611</v>
      </c>
      <c r="B2190" s="37" t="s">
        <v>5953</v>
      </c>
      <c r="C2190" s="38" t="s">
        <v>450</v>
      </c>
      <c r="D2190" s="34">
        <v>976.8</v>
      </c>
      <c r="E2190" s="35">
        <v>44611</v>
      </c>
      <c r="F2190" s="34">
        <v>976.8</v>
      </c>
      <c r="G2190" s="36">
        <f>Tabla13[[#This Row],[Importe]]-Tabla13[[#This Row],[Pagado]]</f>
        <v>0</v>
      </c>
      <c r="H2190" s="38" t="s">
        <v>10</v>
      </c>
    </row>
    <row r="2191" spans="1:8" ht="31.5" x14ac:dyDescent="0.25">
      <c r="A2191" s="31">
        <v>44611</v>
      </c>
      <c r="B2191" s="37" t="s">
        <v>5954</v>
      </c>
      <c r="C2191" s="38" t="s">
        <v>275</v>
      </c>
      <c r="D2191" s="34">
        <v>171485.88</v>
      </c>
      <c r="E2191" s="35" t="s">
        <v>6979</v>
      </c>
      <c r="F2191" s="34">
        <f>82502.14+88983.74</f>
        <v>171485.88</v>
      </c>
      <c r="G2191" s="36">
        <f>Tabla13[[#This Row],[Importe]]-Tabla13[[#This Row],[Pagado]]</f>
        <v>0</v>
      </c>
      <c r="H2191" s="38" t="s">
        <v>10</v>
      </c>
    </row>
    <row r="2192" spans="1:8" x14ac:dyDescent="0.25">
      <c r="A2192" s="31">
        <v>44611</v>
      </c>
      <c r="B2192" s="37" t="s">
        <v>5955</v>
      </c>
      <c r="C2192" s="38" t="s">
        <v>31</v>
      </c>
      <c r="D2192" s="34">
        <v>1317.2</v>
      </c>
      <c r="E2192" s="35">
        <v>44611</v>
      </c>
      <c r="F2192" s="34">
        <v>1317.2</v>
      </c>
      <c r="G2192" s="36">
        <f>Tabla13[[#This Row],[Importe]]-Tabla13[[#This Row],[Pagado]]</f>
        <v>0</v>
      </c>
      <c r="H2192" s="38" t="s">
        <v>10</v>
      </c>
    </row>
    <row r="2193" spans="1:8" x14ac:dyDescent="0.25">
      <c r="A2193" s="31">
        <v>44611</v>
      </c>
      <c r="B2193" s="37" t="s">
        <v>5956</v>
      </c>
      <c r="C2193" s="38" t="s">
        <v>146</v>
      </c>
      <c r="D2193" s="34">
        <v>8970</v>
      </c>
      <c r="E2193" s="35">
        <v>44611</v>
      </c>
      <c r="F2193" s="34">
        <v>8970</v>
      </c>
      <c r="G2193" s="36">
        <f>Tabla13[[#This Row],[Importe]]-Tabla13[[#This Row],[Pagado]]</f>
        <v>0</v>
      </c>
      <c r="H2193" s="38" t="s">
        <v>10</v>
      </c>
    </row>
    <row r="2194" spans="1:8" x14ac:dyDescent="0.25">
      <c r="A2194" s="31">
        <v>44611</v>
      </c>
      <c r="B2194" s="37" t="s">
        <v>5957</v>
      </c>
      <c r="C2194" s="38" t="s">
        <v>125</v>
      </c>
      <c r="D2194" s="34">
        <v>1977.6</v>
      </c>
      <c r="E2194" s="35">
        <v>44611</v>
      </c>
      <c r="F2194" s="34">
        <v>1977.6</v>
      </c>
      <c r="G2194" s="36">
        <f>Tabla13[[#This Row],[Importe]]-Tabla13[[#This Row],[Pagado]]</f>
        <v>0</v>
      </c>
      <c r="H2194" s="38" t="s">
        <v>10</v>
      </c>
    </row>
    <row r="2195" spans="1:8" x14ac:dyDescent="0.25">
      <c r="A2195" s="31">
        <v>44611</v>
      </c>
      <c r="B2195" s="37" t="s">
        <v>5958</v>
      </c>
      <c r="C2195" s="38" t="s">
        <v>107</v>
      </c>
      <c r="D2195" s="34">
        <v>24883.4</v>
      </c>
      <c r="E2195" s="35">
        <v>44611</v>
      </c>
      <c r="F2195" s="34">
        <v>24883.4</v>
      </c>
      <c r="G2195" s="36">
        <f>Tabla13[[#This Row],[Importe]]-Tabla13[[#This Row],[Pagado]]</f>
        <v>0</v>
      </c>
      <c r="H2195" s="38" t="s">
        <v>10</v>
      </c>
    </row>
    <row r="2196" spans="1:8" x14ac:dyDescent="0.25">
      <c r="A2196" s="31">
        <v>44611</v>
      </c>
      <c r="B2196" s="37" t="s">
        <v>5959</v>
      </c>
      <c r="C2196" s="38" t="s">
        <v>142</v>
      </c>
      <c r="D2196" s="34">
        <v>21012.48</v>
      </c>
      <c r="E2196" s="35">
        <v>44617</v>
      </c>
      <c r="F2196" s="34">
        <v>21012.48</v>
      </c>
      <c r="G2196" s="36">
        <f>Tabla13[[#This Row],[Importe]]-Tabla13[[#This Row],[Pagado]]</f>
        <v>0</v>
      </c>
      <c r="H2196" s="38" t="s">
        <v>10</v>
      </c>
    </row>
    <row r="2197" spans="1:8" x14ac:dyDescent="0.25">
      <c r="A2197" s="31">
        <v>44611</v>
      </c>
      <c r="B2197" s="37" t="s">
        <v>5960</v>
      </c>
      <c r="C2197" s="38" t="s">
        <v>314</v>
      </c>
      <c r="D2197" s="34">
        <v>4720</v>
      </c>
      <c r="E2197" s="35">
        <v>44611</v>
      </c>
      <c r="F2197" s="34">
        <v>4720</v>
      </c>
      <c r="G2197" s="36">
        <f>Tabla13[[#This Row],[Importe]]-Tabla13[[#This Row],[Pagado]]</f>
        <v>0</v>
      </c>
      <c r="H2197" s="38" t="s">
        <v>10</v>
      </c>
    </row>
    <row r="2198" spans="1:8" x14ac:dyDescent="0.25">
      <c r="A2198" s="31">
        <v>44611</v>
      </c>
      <c r="B2198" s="37" t="s">
        <v>5961</v>
      </c>
      <c r="C2198" s="38" t="s">
        <v>87</v>
      </c>
      <c r="D2198" s="34">
        <v>3875</v>
      </c>
      <c r="E2198" s="35">
        <v>44611</v>
      </c>
      <c r="F2198" s="34">
        <v>3875</v>
      </c>
      <c r="G2198" s="36">
        <f>Tabla13[[#This Row],[Importe]]-Tabla13[[#This Row],[Pagado]]</f>
        <v>0</v>
      </c>
      <c r="H2198" s="38" t="s">
        <v>10</v>
      </c>
    </row>
    <row r="2199" spans="1:8" x14ac:dyDescent="0.25">
      <c r="A2199" s="31">
        <v>44611</v>
      </c>
      <c r="B2199" s="37" t="s">
        <v>5962</v>
      </c>
      <c r="C2199" s="38" t="s">
        <v>53</v>
      </c>
      <c r="D2199" s="34">
        <v>4141.2</v>
      </c>
      <c r="E2199" s="35">
        <v>44611</v>
      </c>
      <c r="F2199" s="34">
        <v>4141.2</v>
      </c>
      <c r="G2199" s="36">
        <f>Tabla13[[#This Row],[Importe]]-Tabla13[[#This Row],[Pagado]]</f>
        <v>0</v>
      </c>
      <c r="H2199" s="38" t="s">
        <v>10</v>
      </c>
    </row>
    <row r="2200" spans="1:8" x14ac:dyDescent="0.25">
      <c r="A2200" s="31">
        <v>44611</v>
      </c>
      <c r="B2200" s="37" t="s">
        <v>5963</v>
      </c>
      <c r="C2200" s="38" t="s">
        <v>419</v>
      </c>
      <c r="D2200" s="34">
        <v>6121.2</v>
      </c>
      <c r="E2200" s="35">
        <v>44611</v>
      </c>
      <c r="F2200" s="34">
        <v>6121.2</v>
      </c>
      <c r="G2200" s="36">
        <f>Tabla13[[#This Row],[Importe]]-Tabla13[[#This Row],[Pagado]]</f>
        <v>0</v>
      </c>
      <c r="H2200" s="38" t="s">
        <v>10</v>
      </c>
    </row>
    <row r="2201" spans="1:8" x14ac:dyDescent="0.25">
      <c r="A2201" s="31">
        <v>44611</v>
      </c>
      <c r="B2201" s="37" t="s">
        <v>5964</v>
      </c>
      <c r="C2201" s="38" t="s">
        <v>414</v>
      </c>
      <c r="D2201" s="34">
        <v>39219.599999999999</v>
      </c>
      <c r="E2201" s="35">
        <v>44638</v>
      </c>
      <c r="F2201" s="34">
        <v>39219.599999999999</v>
      </c>
      <c r="G2201" s="36">
        <f>Tabla13[[#This Row],[Importe]]-Tabla13[[#This Row],[Pagado]]</f>
        <v>0</v>
      </c>
      <c r="H2201" s="38" t="s">
        <v>10</v>
      </c>
    </row>
    <row r="2202" spans="1:8" x14ac:dyDescent="0.25">
      <c r="A2202" s="31">
        <v>44611</v>
      </c>
      <c r="B2202" s="37" t="s">
        <v>5965</v>
      </c>
      <c r="C2202" s="38" t="s">
        <v>452</v>
      </c>
      <c r="D2202" s="34">
        <v>4384.8</v>
      </c>
      <c r="E2202" s="35">
        <v>44611</v>
      </c>
      <c r="F2202" s="34">
        <v>4384.8</v>
      </c>
      <c r="G2202" s="36">
        <f>Tabla13[[#This Row],[Importe]]-Tabla13[[#This Row],[Pagado]]</f>
        <v>0</v>
      </c>
      <c r="H2202" s="38" t="s">
        <v>10</v>
      </c>
    </row>
    <row r="2203" spans="1:8" x14ac:dyDescent="0.25">
      <c r="A2203" s="31">
        <v>44611</v>
      </c>
      <c r="B2203" s="37" t="s">
        <v>5966</v>
      </c>
      <c r="C2203" s="38" t="s">
        <v>440</v>
      </c>
      <c r="D2203" s="34">
        <v>21091.52</v>
      </c>
      <c r="E2203" s="35">
        <v>44621</v>
      </c>
      <c r="F2203" s="34">
        <v>21091.52</v>
      </c>
      <c r="G2203" s="36">
        <f>Tabla13[[#This Row],[Importe]]-Tabla13[[#This Row],[Pagado]]</f>
        <v>0</v>
      </c>
      <c r="H2203" s="38" t="s">
        <v>10</v>
      </c>
    </row>
    <row r="2204" spans="1:8" x14ac:dyDescent="0.25">
      <c r="A2204" s="31">
        <v>44611</v>
      </c>
      <c r="B2204" s="37" t="s">
        <v>5967</v>
      </c>
      <c r="C2204" s="38" t="s">
        <v>857</v>
      </c>
      <c r="D2204" s="34">
        <v>980</v>
      </c>
      <c r="E2204" s="35">
        <v>44611</v>
      </c>
      <c r="F2204" s="34">
        <v>980</v>
      </c>
      <c r="G2204" s="36">
        <f>Tabla13[[#This Row],[Importe]]-Tabla13[[#This Row],[Pagado]]</f>
        <v>0</v>
      </c>
      <c r="H2204" s="38" t="s">
        <v>10</v>
      </c>
    </row>
    <row r="2205" spans="1:8" x14ac:dyDescent="0.25">
      <c r="A2205" s="31">
        <v>44611</v>
      </c>
      <c r="B2205" s="37" t="s">
        <v>5968</v>
      </c>
      <c r="C2205" s="38" t="s">
        <v>31</v>
      </c>
      <c r="D2205" s="34">
        <v>769.2</v>
      </c>
      <c r="E2205" s="35">
        <v>44611</v>
      </c>
      <c r="F2205" s="34">
        <v>769.2</v>
      </c>
      <c r="G2205" s="36">
        <f>Tabla13[[#This Row],[Importe]]-Tabla13[[#This Row],[Pagado]]</f>
        <v>0</v>
      </c>
      <c r="H2205" s="38" t="s">
        <v>10</v>
      </c>
    </row>
    <row r="2206" spans="1:8" x14ac:dyDescent="0.25">
      <c r="A2206" s="31">
        <v>44611</v>
      </c>
      <c r="B2206" s="37" t="s">
        <v>5969</v>
      </c>
      <c r="C2206" s="38" t="s">
        <v>5970</v>
      </c>
      <c r="D2206" s="34">
        <v>4065.6</v>
      </c>
      <c r="E2206" s="35">
        <v>44611</v>
      </c>
      <c r="F2206" s="34">
        <v>4065.6</v>
      </c>
      <c r="G2206" s="36">
        <f>Tabla13[[#This Row],[Importe]]-Tabla13[[#This Row],[Pagado]]</f>
        <v>0</v>
      </c>
      <c r="H2206" s="38" t="s">
        <v>10</v>
      </c>
    </row>
    <row r="2207" spans="1:8" x14ac:dyDescent="0.25">
      <c r="A2207" s="31">
        <v>44611</v>
      </c>
      <c r="B2207" s="37" t="s">
        <v>5971</v>
      </c>
      <c r="C2207" s="38" t="s">
        <v>9</v>
      </c>
      <c r="D2207" s="34">
        <v>1346.6</v>
      </c>
      <c r="E2207" s="35">
        <v>44611</v>
      </c>
      <c r="F2207" s="34">
        <v>1346.6</v>
      </c>
      <c r="G2207" s="36">
        <f>Tabla13[[#This Row],[Importe]]-Tabla13[[#This Row],[Pagado]]</f>
        <v>0</v>
      </c>
      <c r="H2207" s="38" t="s">
        <v>10</v>
      </c>
    </row>
    <row r="2208" spans="1:8" x14ac:dyDescent="0.25">
      <c r="A2208" s="31">
        <v>44611</v>
      </c>
      <c r="B2208" s="37" t="s">
        <v>5972</v>
      </c>
      <c r="C2208" s="38" t="s">
        <v>31</v>
      </c>
      <c r="D2208" s="34">
        <v>86.94</v>
      </c>
      <c r="E2208" s="35">
        <v>44611</v>
      </c>
      <c r="F2208" s="34">
        <v>86.94</v>
      </c>
      <c r="G2208" s="36">
        <f>Tabla13[[#This Row],[Importe]]-Tabla13[[#This Row],[Pagado]]</f>
        <v>0</v>
      </c>
      <c r="H2208" s="38" t="s">
        <v>10</v>
      </c>
    </row>
    <row r="2209" spans="1:8" x14ac:dyDescent="0.25">
      <c r="A2209" s="31">
        <v>44611</v>
      </c>
      <c r="B2209" s="37" t="s">
        <v>5973</v>
      </c>
      <c r="C2209" s="38" t="s">
        <v>1008</v>
      </c>
      <c r="D2209" s="34">
        <v>3146.4</v>
      </c>
      <c r="E2209" s="35">
        <v>44611</v>
      </c>
      <c r="F2209" s="34">
        <v>3146.4</v>
      </c>
      <c r="G2209" s="36">
        <f>Tabla13[[#This Row],[Importe]]-Tabla13[[#This Row],[Pagado]]</f>
        <v>0</v>
      </c>
      <c r="H2209" s="38" t="s">
        <v>10</v>
      </c>
    </row>
    <row r="2210" spans="1:8" x14ac:dyDescent="0.25">
      <c r="A2210" s="31">
        <v>44611</v>
      </c>
      <c r="B2210" s="37" t="s">
        <v>5974</v>
      </c>
      <c r="C2210" s="38" t="s">
        <v>31</v>
      </c>
      <c r="D2210" s="34">
        <v>2997</v>
      </c>
      <c r="E2210" s="35">
        <v>44611</v>
      </c>
      <c r="F2210" s="34">
        <v>2997</v>
      </c>
      <c r="G2210" s="36">
        <f>Tabla13[[#This Row],[Importe]]-Tabla13[[#This Row],[Pagado]]</f>
        <v>0</v>
      </c>
      <c r="H2210" s="38" t="s">
        <v>10</v>
      </c>
    </row>
    <row r="2211" spans="1:8" x14ac:dyDescent="0.25">
      <c r="A2211" s="31">
        <v>44611</v>
      </c>
      <c r="B2211" s="37" t="s">
        <v>5975</v>
      </c>
      <c r="C2211" s="38" t="s">
        <v>284</v>
      </c>
      <c r="D2211" s="34">
        <v>7520</v>
      </c>
      <c r="E2211" s="35">
        <v>44613</v>
      </c>
      <c r="F2211" s="34">
        <v>7520</v>
      </c>
      <c r="G2211" s="36">
        <f>Tabla13[[#This Row],[Importe]]-Tabla13[[#This Row],[Pagado]]</f>
        <v>0</v>
      </c>
      <c r="H2211" s="38" t="s">
        <v>10</v>
      </c>
    </row>
    <row r="2212" spans="1:8" x14ac:dyDescent="0.25">
      <c r="A2212" s="31">
        <v>44611</v>
      </c>
      <c r="B2212" s="37" t="s">
        <v>5976</v>
      </c>
      <c r="C2212" s="38" t="s">
        <v>555</v>
      </c>
      <c r="D2212" s="34">
        <v>31308</v>
      </c>
      <c r="E2212" s="35">
        <v>44612</v>
      </c>
      <c r="F2212" s="34">
        <v>31308</v>
      </c>
      <c r="G2212" s="36">
        <f>Tabla13[[#This Row],[Importe]]-Tabla13[[#This Row],[Pagado]]</f>
        <v>0</v>
      </c>
      <c r="H2212" s="38" t="s">
        <v>10</v>
      </c>
    </row>
    <row r="2213" spans="1:8" x14ac:dyDescent="0.25">
      <c r="A2213" s="31">
        <v>44611</v>
      </c>
      <c r="B2213" s="37" t="s">
        <v>5977</v>
      </c>
      <c r="C2213" s="38" t="s">
        <v>1706</v>
      </c>
      <c r="D2213" s="34">
        <v>2956.8</v>
      </c>
      <c r="E2213" s="35">
        <v>44611</v>
      </c>
      <c r="F2213" s="34">
        <v>2956.8</v>
      </c>
      <c r="G2213" s="36">
        <f>Tabla13[[#This Row],[Importe]]-Tabla13[[#This Row],[Pagado]]</f>
        <v>0</v>
      </c>
      <c r="H2213" s="38" t="s">
        <v>10</v>
      </c>
    </row>
    <row r="2214" spans="1:8" x14ac:dyDescent="0.25">
      <c r="A2214" s="31">
        <v>44611</v>
      </c>
      <c r="B2214" s="37" t="s">
        <v>5978</v>
      </c>
      <c r="C2214" s="38" t="s">
        <v>5345</v>
      </c>
      <c r="D2214" s="34">
        <v>1000</v>
      </c>
      <c r="E2214" s="35">
        <v>44613</v>
      </c>
      <c r="F2214" s="34">
        <v>1000</v>
      </c>
      <c r="G2214" s="36">
        <f>Tabla13[[#This Row],[Importe]]-Tabla13[[#This Row],[Pagado]]</f>
        <v>0</v>
      </c>
      <c r="H2214" s="38" t="s">
        <v>10</v>
      </c>
    </row>
    <row r="2215" spans="1:8" x14ac:dyDescent="0.25">
      <c r="A2215" s="31">
        <v>44611</v>
      </c>
      <c r="B2215" s="37" t="s">
        <v>5979</v>
      </c>
      <c r="C2215" s="38" t="s">
        <v>280</v>
      </c>
      <c r="D2215" s="34">
        <v>1395</v>
      </c>
      <c r="E2215" s="35">
        <v>44613</v>
      </c>
      <c r="F2215" s="34">
        <v>1395</v>
      </c>
      <c r="G2215" s="36">
        <f>Tabla13[[#This Row],[Importe]]-Tabla13[[#This Row],[Pagado]]</f>
        <v>0</v>
      </c>
      <c r="H2215" s="38" t="s">
        <v>10</v>
      </c>
    </row>
    <row r="2216" spans="1:8" x14ac:dyDescent="0.25">
      <c r="A2216" s="31">
        <v>44611</v>
      </c>
      <c r="B2216" s="37" t="s">
        <v>5980</v>
      </c>
      <c r="C2216" s="38" t="s">
        <v>282</v>
      </c>
      <c r="D2216" s="34">
        <v>5110</v>
      </c>
      <c r="E2216" s="35">
        <v>44613</v>
      </c>
      <c r="F2216" s="34">
        <v>5110</v>
      </c>
      <c r="G2216" s="36">
        <f>Tabla13[[#This Row],[Importe]]-Tabla13[[#This Row],[Pagado]]</f>
        <v>0</v>
      </c>
      <c r="H2216" s="38" t="s">
        <v>10</v>
      </c>
    </row>
    <row r="2217" spans="1:8" x14ac:dyDescent="0.25">
      <c r="A2217" s="31">
        <v>44611</v>
      </c>
      <c r="B2217" s="37" t="s">
        <v>5981</v>
      </c>
      <c r="C2217" s="38" t="s">
        <v>51</v>
      </c>
      <c r="D2217" s="34">
        <v>548.79999999999995</v>
      </c>
      <c r="E2217" s="35">
        <v>44611</v>
      </c>
      <c r="F2217" s="34">
        <v>548.79999999999995</v>
      </c>
      <c r="G2217" s="36">
        <f>Tabla13[[#This Row],[Importe]]-Tabla13[[#This Row],[Pagado]]</f>
        <v>0</v>
      </c>
      <c r="H2217" s="38" t="s">
        <v>10</v>
      </c>
    </row>
    <row r="2218" spans="1:8" x14ac:dyDescent="0.25">
      <c r="A2218" s="31">
        <v>44611</v>
      </c>
      <c r="B2218" s="37" t="s">
        <v>5982</v>
      </c>
      <c r="C2218" s="38" t="s">
        <v>35</v>
      </c>
      <c r="D2218" s="34">
        <v>2596.8000000000002</v>
      </c>
      <c r="E2218" s="35">
        <v>44611</v>
      </c>
      <c r="F2218" s="34">
        <v>2596.8000000000002</v>
      </c>
      <c r="G2218" s="36">
        <f>Tabla13[[#This Row],[Importe]]-Tabla13[[#This Row],[Pagado]]</f>
        <v>0</v>
      </c>
      <c r="H2218" s="38" t="s">
        <v>10</v>
      </c>
    </row>
    <row r="2219" spans="1:8" x14ac:dyDescent="0.25">
      <c r="A2219" s="31">
        <v>44611</v>
      </c>
      <c r="B2219" s="37" t="s">
        <v>5983</v>
      </c>
      <c r="C2219" s="38" t="s">
        <v>56</v>
      </c>
      <c r="D2219" s="34">
        <v>3127</v>
      </c>
      <c r="E2219" s="35">
        <v>44611</v>
      </c>
      <c r="F2219" s="34">
        <v>3127</v>
      </c>
      <c r="G2219" s="36">
        <f>Tabla13[[#This Row],[Importe]]-Tabla13[[#This Row],[Pagado]]</f>
        <v>0</v>
      </c>
      <c r="H2219" s="38" t="s">
        <v>10</v>
      </c>
    </row>
    <row r="2220" spans="1:8" x14ac:dyDescent="0.25">
      <c r="A2220" s="31">
        <v>44611</v>
      </c>
      <c r="B2220" s="37" t="s">
        <v>5984</v>
      </c>
      <c r="C2220" s="38" t="s">
        <v>457</v>
      </c>
      <c r="D2220" s="34">
        <v>198</v>
      </c>
      <c r="E2220" s="35">
        <v>44612</v>
      </c>
      <c r="F2220" s="34">
        <v>198</v>
      </c>
      <c r="G2220" s="36">
        <f>Tabla13[[#This Row],[Importe]]-Tabla13[[#This Row],[Pagado]]</f>
        <v>0</v>
      </c>
      <c r="H2220" s="38" t="s">
        <v>10</v>
      </c>
    </row>
    <row r="2221" spans="1:8" x14ac:dyDescent="0.25">
      <c r="A2221" s="31">
        <v>44611</v>
      </c>
      <c r="B2221" s="37" t="s">
        <v>5985</v>
      </c>
      <c r="C2221" s="38" t="s">
        <v>459</v>
      </c>
      <c r="D2221" s="34">
        <v>213</v>
      </c>
      <c r="E2221" s="35">
        <v>44612</v>
      </c>
      <c r="F2221" s="34">
        <v>213</v>
      </c>
      <c r="G2221" s="36">
        <f>Tabla13[[#This Row],[Importe]]-Tabla13[[#This Row],[Pagado]]</f>
        <v>0</v>
      </c>
      <c r="H2221" s="38" t="s">
        <v>10</v>
      </c>
    </row>
    <row r="2222" spans="1:8" x14ac:dyDescent="0.25">
      <c r="A2222" s="31">
        <v>44611</v>
      </c>
      <c r="B2222" s="37" t="s">
        <v>5986</v>
      </c>
      <c r="C2222" s="38" t="s">
        <v>461</v>
      </c>
      <c r="D2222" s="34">
        <v>394</v>
      </c>
      <c r="E2222" s="35">
        <v>44612</v>
      </c>
      <c r="F2222" s="34">
        <v>394</v>
      </c>
      <c r="G2222" s="36">
        <f>Tabla13[[#This Row],[Importe]]-Tabla13[[#This Row],[Pagado]]</f>
        <v>0</v>
      </c>
      <c r="H2222" s="38" t="s">
        <v>10</v>
      </c>
    </row>
    <row r="2223" spans="1:8" x14ac:dyDescent="0.25">
      <c r="A2223" s="31">
        <v>44611</v>
      </c>
      <c r="B2223" s="37" t="s">
        <v>5987</v>
      </c>
      <c r="C2223" s="38" t="s">
        <v>196</v>
      </c>
      <c r="D2223" s="34">
        <v>2100</v>
      </c>
      <c r="E2223" s="35">
        <v>44617</v>
      </c>
      <c r="F2223" s="34">
        <v>2100</v>
      </c>
      <c r="G2223" s="36">
        <f>Tabla13[[#This Row],[Importe]]-Tabla13[[#This Row],[Pagado]]</f>
        <v>0</v>
      </c>
      <c r="H2223" s="38" t="s">
        <v>10</v>
      </c>
    </row>
    <row r="2224" spans="1:8" x14ac:dyDescent="0.25">
      <c r="A2224" s="31">
        <v>44611</v>
      </c>
      <c r="B2224" s="37" t="s">
        <v>5988</v>
      </c>
      <c r="C2224" s="38" t="s">
        <v>175</v>
      </c>
      <c r="D2224" s="34">
        <v>4375.8</v>
      </c>
      <c r="E2224" s="35">
        <v>44613</v>
      </c>
      <c r="F2224" s="34">
        <v>4375.8</v>
      </c>
      <c r="G2224" s="36">
        <f>Tabla13[[#This Row],[Importe]]-Tabla13[[#This Row],[Pagado]]</f>
        <v>0</v>
      </c>
      <c r="H2224" s="38" t="s">
        <v>10</v>
      </c>
    </row>
    <row r="2225" spans="1:8" x14ac:dyDescent="0.25">
      <c r="A2225" s="31">
        <v>44612</v>
      </c>
      <c r="B2225" s="37" t="s">
        <v>5989</v>
      </c>
      <c r="C2225" s="38" t="s">
        <v>9</v>
      </c>
      <c r="D2225" s="34">
        <v>6486.9</v>
      </c>
      <c r="E2225" s="35">
        <v>44612</v>
      </c>
      <c r="F2225" s="34">
        <v>6486.9</v>
      </c>
      <c r="G2225" s="36">
        <f>Tabla13[[#This Row],[Importe]]-Tabla13[[#This Row],[Pagado]]</f>
        <v>0</v>
      </c>
      <c r="H2225" s="38" t="s">
        <v>10</v>
      </c>
    </row>
    <row r="2226" spans="1:8" x14ac:dyDescent="0.25">
      <c r="A2226" s="31">
        <v>44612</v>
      </c>
      <c r="B2226" s="37" t="s">
        <v>5990</v>
      </c>
      <c r="C2226" s="38" t="s">
        <v>12</v>
      </c>
      <c r="D2226" s="34">
        <v>50973.65</v>
      </c>
      <c r="E2226" s="35">
        <v>44613</v>
      </c>
      <c r="F2226" s="34">
        <v>50973.65</v>
      </c>
      <c r="G2226" s="36">
        <f>Tabla13[[#This Row],[Importe]]-Tabla13[[#This Row],[Pagado]]</f>
        <v>0</v>
      </c>
      <c r="H2226" s="38" t="s">
        <v>10</v>
      </c>
    </row>
    <row r="2227" spans="1:8" x14ac:dyDescent="0.25">
      <c r="A2227" s="31">
        <v>44612</v>
      </c>
      <c r="B2227" s="37" t="s">
        <v>5991</v>
      </c>
      <c r="C2227" s="38" t="s">
        <v>16</v>
      </c>
      <c r="D2227" s="34">
        <v>3907.2</v>
      </c>
      <c r="E2227" s="35">
        <v>44612</v>
      </c>
      <c r="F2227" s="34">
        <v>3907.2</v>
      </c>
      <c r="G2227" s="36">
        <f>Tabla13[[#This Row],[Importe]]-Tabla13[[#This Row],[Pagado]]</f>
        <v>0</v>
      </c>
      <c r="H2227" s="38" t="s">
        <v>10</v>
      </c>
    </row>
    <row r="2228" spans="1:8" ht="31.5" x14ac:dyDescent="0.25">
      <c r="A2228" s="31">
        <v>44612</v>
      </c>
      <c r="B2228" s="37" t="s">
        <v>5992</v>
      </c>
      <c r="C2228" s="38" t="s">
        <v>475</v>
      </c>
      <c r="D2228" s="34">
        <v>38762.400000000001</v>
      </c>
      <c r="E2228" s="35" t="s">
        <v>5993</v>
      </c>
      <c r="F2228" s="34">
        <f>29800+8962.4</f>
        <v>38762.400000000001</v>
      </c>
      <c r="G2228" s="36">
        <f>Tabla13[[#This Row],[Importe]]-Tabla13[[#This Row],[Pagado]]</f>
        <v>0</v>
      </c>
      <c r="H2228" s="38" t="s">
        <v>10</v>
      </c>
    </row>
    <row r="2229" spans="1:8" x14ac:dyDescent="0.25">
      <c r="A2229" s="31">
        <v>44612</v>
      </c>
      <c r="B2229" s="37" t="s">
        <v>5994</v>
      </c>
      <c r="C2229" s="38" t="s">
        <v>224</v>
      </c>
      <c r="D2229" s="34">
        <v>950</v>
      </c>
      <c r="E2229" s="35">
        <v>44612</v>
      </c>
      <c r="F2229" s="34">
        <v>950</v>
      </c>
      <c r="G2229" s="36">
        <f>Tabla13[[#This Row],[Importe]]-Tabla13[[#This Row],[Pagado]]</f>
        <v>0</v>
      </c>
      <c r="H2229" s="38" t="s">
        <v>10</v>
      </c>
    </row>
    <row r="2230" spans="1:8" x14ac:dyDescent="0.25">
      <c r="A2230" s="31">
        <v>44612</v>
      </c>
      <c r="B2230" s="37" t="s">
        <v>5995</v>
      </c>
      <c r="C2230" s="38" t="s">
        <v>22</v>
      </c>
      <c r="D2230" s="34">
        <v>44722.8</v>
      </c>
      <c r="E2230" s="35">
        <v>44614</v>
      </c>
      <c r="F2230" s="34">
        <v>44722.8</v>
      </c>
      <c r="G2230" s="36">
        <f>Tabla13[[#This Row],[Importe]]-Tabla13[[#This Row],[Pagado]]</f>
        <v>0</v>
      </c>
      <c r="H2230" s="38" t="s">
        <v>10</v>
      </c>
    </row>
    <row r="2231" spans="1:8" x14ac:dyDescent="0.25">
      <c r="A2231" s="31">
        <v>44612</v>
      </c>
      <c r="B2231" s="37" t="s">
        <v>5996</v>
      </c>
      <c r="C2231" s="38" t="s">
        <v>481</v>
      </c>
      <c r="D2231" s="34">
        <v>902.5</v>
      </c>
      <c r="E2231" s="35">
        <v>44612</v>
      </c>
      <c r="F2231" s="34">
        <v>902.5</v>
      </c>
      <c r="G2231" s="36">
        <f>Tabla13[[#This Row],[Importe]]-Tabla13[[#This Row],[Pagado]]</f>
        <v>0</v>
      </c>
      <c r="H2231" s="38" t="s">
        <v>10</v>
      </c>
    </row>
    <row r="2232" spans="1:8" x14ac:dyDescent="0.25">
      <c r="A2232" s="31">
        <v>44612</v>
      </c>
      <c r="B2232" s="37" t="s">
        <v>5997</v>
      </c>
      <c r="C2232" s="38" t="s">
        <v>161</v>
      </c>
      <c r="D2232" s="34">
        <v>3716.4</v>
      </c>
      <c r="E2232" s="35">
        <v>44612</v>
      </c>
      <c r="F2232" s="34">
        <v>3716.4</v>
      </c>
      <c r="G2232" s="36">
        <f>Tabla13[[#This Row],[Importe]]-Tabla13[[#This Row],[Pagado]]</f>
        <v>0</v>
      </c>
      <c r="H2232" s="38" t="s">
        <v>10</v>
      </c>
    </row>
    <row r="2233" spans="1:8" x14ac:dyDescent="0.25">
      <c r="A2233" s="31">
        <v>44612</v>
      </c>
      <c r="B2233" s="37" t="s">
        <v>5998</v>
      </c>
      <c r="C2233" s="38" t="s">
        <v>289</v>
      </c>
      <c r="D2233" s="34">
        <v>8916.7999999999993</v>
      </c>
      <c r="E2233" s="35">
        <v>44612</v>
      </c>
      <c r="F2233" s="34">
        <v>8916.7999999999993</v>
      </c>
      <c r="G2233" s="36">
        <f>Tabla13[[#This Row],[Importe]]-Tabla13[[#This Row],[Pagado]]</f>
        <v>0</v>
      </c>
      <c r="H2233" s="38" t="s">
        <v>10</v>
      </c>
    </row>
    <row r="2234" spans="1:8" x14ac:dyDescent="0.25">
      <c r="A2234" s="31">
        <v>44612</v>
      </c>
      <c r="B2234" s="37" t="s">
        <v>5999</v>
      </c>
      <c r="C2234" s="38" t="s">
        <v>20</v>
      </c>
      <c r="D2234" s="34">
        <v>5966</v>
      </c>
      <c r="E2234" s="35">
        <v>44612</v>
      </c>
      <c r="F2234" s="34">
        <v>5966</v>
      </c>
      <c r="G2234" s="36">
        <f>Tabla13[[#This Row],[Importe]]-Tabla13[[#This Row],[Pagado]]</f>
        <v>0</v>
      </c>
      <c r="H2234" s="38" t="s">
        <v>10</v>
      </c>
    </row>
    <row r="2235" spans="1:8" x14ac:dyDescent="0.25">
      <c r="A2235" s="31">
        <v>44612</v>
      </c>
      <c r="B2235" s="37" t="s">
        <v>6000</v>
      </c>
      <c r="C2235" s="38" t="s">
        <v>29</v>
      </c>
      <c r="D2235" s="34">
        <v>5425</v>
      </c>
      <c r="E2235" s="35">
        <v>44612</v>
      </c>
      <c r="F2235" s="34">
        <v>5425</v>
      </c>
      <c r="G2235" s="36">
        <f>Tabla13[[#This Row],[Importe]]-Tabla13[[#This Row],[Pagado]]</f>
        <v>0</v>
      </c>
      <c r="H2235" s="38" t="s">
        <v>10</v>
      </c>
    </row>
    <row r="2236" spans="1:8" x14ac:dyDescent="0.25">
      <c r="A2236" s="31">
        <v>44612</v>
      </c>
      <c r="B2236" s="37" t="s">
        <v>6001</v>
      </c>
      <c r="C2236" s="38" t="s">
        <v>33</v>
      </c>
      <c r="D2236" s="34">
        <v>10015.200000000001</v>
      </c>
      <c r="E2236" s="35">
        <v>44612</v>
      </c>
      <c r="F2236" s="34">
        <v>10015.200000000001</v>
      </c>
      <c r="G2236" s="36">
        <f>Tabla13[[#This Row],[Importe]]-Tabla13[[#This Row],[Pagado]]</f>
        <v>0</v>
      </c>
      <c r="H2236" s="38" t="s">
        <v>10</v>
      </c>
    </row>
    <row r="2237" spans="1:8" x14ac:dyDescent="0.25">
      <c r="A2237" s="31">
        <v>44612</v>
      </c>
      <c r="B2237" s="37" t="s">
        <v>6002</v>
      </c>
      <c r="C2237" s="38" t="s">
        <v>47</v>
      </c>
      <c r="D2237" s="34">
        <v>43198.1</v>
      </c>
      <c r="E2237" s="35">
        <v>44612</v>
      </c>
      <c r="F2237" s="34">
        <v>43198.1</v>
      </c>
      <c r="G2237" s="36">
        <f>Tabla13[[#This Row],[Importe]]-Tabla13[[#This Row],[Pagado]]</f>
        <v>0</v>
      </c>
      <c r="H2237" s="38" t="s">
        <v>10</v>
      </c>
    </row>
    <row r="2238" spans="1:8" x14ac:dyDescent="0.25">
      <c r="A2238" s="31">
        <v>44612</v>
      </c>
      <c r="B2238" s="37" t="s">
        <v>6003</v>
      </c>
      <c r="C2238" s="38" t="s">
        <v>37</v>
      </c>
      <c r="D2238" s="34">
        <v>3423.4</v>
      </c>
      <c r="E2238" s="35">
        <v>44612</v>
      </c>
      <c r="F2238" s="34">
        <v>3423.4</v>
      </c>
      <c r="G2238" s="36">
        <f>Tabla13[[#This Row],[Importe]]-Tabla13[[#This Row],[Pagado]]</f>
        <v>0</v>
      </c>
      <c r="H2238" s="38" t="s">
        <v>10</v>
      </c>
    </row>
    <row r="2239" spans="1:8" x14ac:dyDescent="0.25">
      <c r="A2239" s="31">
        <v>44612</v>
      </c>
      <c r="B2239" s="37" t="s">
        <v>6004</v>
      </c>
      <c r="C2239" s="38" t="s">
        <v>27</v>
      </c>
      <c r="D2239" s="34">
        <v>6507</v>
      </c>
      <c r="E2239" s="35">
        <v>44612</v>
      </c>
      <c r="F2239" s="34">
        <v>6507</v>
      </c>
      <c r="G2239" s="36">
        <f>Tabla13[[#This Row],[Importe]]-Tabla13[[#This Row],[Pagado]]</f>
        <v>0</v>
      </c>
      <c r="H2239" s="38" t="s">
        <v>10</v>
      </c>
    </row>
    <row r="2240" spans="1:8" x14ac:dyDescent="0.25">
      <c r="A2240" s="31">
        <v>44612</v>
      </c>
      <c r="B2240" s="37" t="s">
        <v>6005</v>
      </c>
      <c r="C2240" s="38" t="s">
        <v>24</v>
      </c>
      <c r="D2240" s="34">
        <v>3588.4</v>
      </c>
      <c r="E2240" s="35">
        <v>44612</v>
      </c>
      <c r="F2240" s="34">
        <v>3588.4</v>
      </c>
      <c r="G2240" s="36">
        <f>Tabla13[[#This Row],[Importe]]-Tabla13[[#This Row],[Pagado]]</f>
        <v>0</v>
      </c>
      <c r="H2240" s="38" t="s">
        <v>10</v>
      </c>
    </row>
    <row r="2241" spans="1:8" x14ac:dyDescent="0.25">
      <c r="A2241" s="31">
        <v>44612</v>
      </c>
      <c r="B2241" s="37" t="s">
        <v>6006</v>
      </c>
      <c r="C2241" s="38" t="s">
        <v>47</v>
      </c>
      <c r="D2241" s="34">
        <v>5546</v>
      </c>
      <c r="E2241" s="35">
        <v>44612</v>
      </c>
      <c r="F2241" s="34">
        <v>5546</v>
      </c>
      <c r="G2241" s="36">
        <f>Tabla13[[#This Row],[Importe]]-Tabla13[[#This Row],[Pagado]]</f>
        <v>0</v>
      </c>
      <c r="H2241" s="38" t="s">
        <v>10</v>
      </c>
    </row>
    <row r="2242" spans="1:8" x14ac:dyDescent="0.25">
      <c r="A2242" s="31">
        <v>44612</v>
      </c>
      <c r="B2242" s="37" t="s">
        <v>6007</v>
      </c>
      <c r="C2242" s="38" t="s">
        <v>49</v>
      </c>
      <c r="D2242" s="34">
        <v>3362.6</v>
      </c>
      <c r="E2242" s="35">
        <v>44612</v>
      </c>
      <c r="F2242" s="34">
        <v>3362.6</v>
      </c>
      <c r="G2242" s="36">
        <f>Tabla13[[#This Row],[Importe]]-Tabla13[[#This Row],[Pagado]]</f>
        <v>0</v>
      </c>
      <c r="H2242" s="38" t="s">
        <v>10</v>
      </c>
    </row>
    <row r="2243" spans="1:8" x14ac:dyDescent="0.25">
      <c r="A2243" s="31">
        <v>44612</v>
      </c>
      <c r="B2243" s="37" t="s">
        <v>6008</v>
      </c>
      <c r="C2243" s="38" t="s">
        <v>373</v>
      </c>
      <c r="D2243" s="34">
        <v>2566.5</v>
      </c>
      <c r="E2243" s="35">
        <v>44612</v>
      </c>
      <c r="F2243" s="34">
        <v>2566.5</v>
      </c>
      <c r="G2243" s="36">
        <f>Tabla13[[#This Row],[Importe]]-Tabla13[[#This Row],[Pagado]]</f>
        <v>0</v>
      </c>
      <c r="H2243" s="38" t="s">
        <v>10</v>
      </c>
    </row>
    <row r="2244" spans="1:8" x14ac:dyDescent="0.25">
      <c r="A2244" s="31">
        <v>44612</v>
      </c>
      <c r="B2244" s="37" t="s">
        <v>6009</v>
      </c>
      <c r="C2244" s="38" t="s">
        <v>45</v>
      </c>
      <c r="D2244" s="34">
        <v>8158.9</v>
      </c>
      <c r="E2244" s="35">
        <v>44612</v>
      </c>
      <c r="F2244" s="34">
        <v>8158.9</v>
      </c>
      <c r="G2244" s="36">
        <f>Tabla13[[#This Row],[Importe]]-Tabla13[[#This Row],[Pagado]]</f>
        <v>0</v>
      </c>
      <c r="H2244" s="38" t="s">
        <v>10</v>
      </c>
    </row>
    <row r="2245" spans="1:8" x14ac:dyDescent="0.25">
      <c r="A2245" s="31">
        <v>44612</v>
      </c>
      <c r="B2245" s="37" t="s">
        <v>6010</v>
      </c>
      <c r="C2245" s="38" t="s">
        <v>216</v>
      </c>
      <c r="D2245" s="34">
        <v>1365</v>
      </c>
      <c r="E2245" s="35">
        <v>44612</v>
      </c>
      <c r="F2245" s="34">
        <v>1365</v>
      </c>
      <c r="G2245" s="36">
        <f>Tabla13[[#This Row],[Importe]]-Tabla13[[#This Row],[Pagado]]</f>
        <v>0</v>
      </c>
      <c r="H2245" s="38" t="s">
        <v>10</v>
      </c>
    </row>
    <row r="2246" spans="1:8" x14ac:dyDescent="0.25">
      <c r="A2246" s="31">
        <v>44612</v>
      </c>
      <c r="B2246" s="37" t="s">
        <v>6011</v>
      </c>
      <c r="C2246" s="38" t="s">
        <v>1421</v>
      </c>
      <c r="D2246" s="34">
        <v>18687.599999999999</v>
      </c>
      <c r="E2246" s="35">
        <v>44612</v>
      </c>
      <c r="F2246" s="34">
        <v>18687.599999999999</v>
      </c>
      <c r="G2246" s="36">
        <f>Tabla13[[#This Row],[Importe]]-Tabla13[[#This Row],[Pagado]]</f>
        <v>0</v>
      </c>
      <c r="H2246" s="38" t="s">
        <v>10</v>
      </c>
    </row>
    <row r="2247" spans="1:8" x14ac:dyDescent="0.25">
      <c r="A2247" s="31">
        <v>44612</v>
      </c>
      <c r="B2247" s="37" t="s">
        <v>6012</v>
      </c>
      <c r="C2247" s="38" t="s">
        <v>326</v>
      </c>
      <c r="D2247" s="34">
        <v>5220</v>
      </c>
      <c r="E2247" s="35">
        <v>44612</v>
      </c>
      <c r="F2247" s="34">
        <v>5220</v>
      </c>
      <c r="G2247" s="36">
        <f>Tabla13[[#This Row],[Importe]]-Tabla13[[#This Row],[Pagado]]</f>
        <v>0</v>
      </c>
      <c r="H2247" s="38" t="s">
        <v>10</v>
      </c>
    </row>
    <row r="2248" spans="1:8" x14ac:dyDescent="0.25">
      <c r="A2248" s="31">
        <v>44612</v>
      </c>
      <c r="B2248" s="37" t="s">
        <v>6013</v>
      </c>
      <c r="C2248" s="38" t="s">
        <v>244</v>
      </c>
      <c r="D2248" s="34">
        <v>1188.3</v>
      </c>
      <c r="E2248" s="35">
        <v>44612</v>
      </c>
      <c r="F2248" s="34">
        <v>1188.3</v>
      </c>
      <c r="G2248" s="36">
        <f>Tabla13[[#This Row],[Importe]]-Tabla13[[#This Row],[Pagado]]</f>
        <v>0</v>
      </c>
      <c r="H2248" s="38" t="s">
        <v>10</v>
      </c>
    </row>
    <row r="2249" spans="1:8" x14ac:dyDescent="0.25">
      <c r="A2249" s="31">
        <v>44612</v>
      </c>
      <c r="B2249" s="37" t="s">
        <v>6014</v>
      </c>
      <c r="C2249" s="38" t="s">
        <v>56</v>
      </c>
      <c r="D2249" s="34">
        <v>8690.7000000000007</v>
      </c>
      <c r="E2249" s="35">
        <v>44612</v>
      </c>
      <c r="F2249" s="34">
        <v>8690.7000000000007</v>
      </c>
      <c r="G2249" s="36">
        <f>Tabla13[[#This Row],[Importe]]-Tabla13[[#This Row],[Pagado]]</f>
        <v>0</v>
      </c>
      <c r="H2249" s="38" t="s">
        <v>10</v>
      </c>
    </row>
    <row r="2250" spans="1:8" x14ac:dyDescent="0.25">
      <c r="A2250" s="31">
        <v>44612</v>
      </c>
      <c r="B2250" s="37" t="s">
        <v>6015</v>
      </c>
      <c r="C2250" s="38" t="s">
        <v>62</v>
      </c>
      <c r="D2250" s="34">
        <v>2312.8000000000002</v>
      </c>
      <c r="E2250" s="35">
        <v>44612</v>
      </c>
      <c r="F2250" s="34">
        <v>2312.8000000000002</v>
      </c>
      <c r="G2250" s="36">
        <f>Tabla13[[#This Row],[Importe]]-Tabla13[[#This Row],[Pagado]]</f>
        <v>0</v>
      </c>
      <c r="H2250" s="38" t="s">
        <v>10</v>
      </c>
    </row>
    <row r="2251" spans="1:8" x14ac:dyDescent="0.25">
      <c r="A2251" s="31">
        <v>44612</v>
      </c>
      <c r="B2251" s="37" t="s">
        <v>6016</v>
      </c>
      <c r="C2251" s="38" t="s">
        <v>62</v>
      </c>
      <c r="D2251" s="34">
        <v>2932.3</v>
      </c>
      <c r="E2251" s="35">
        <v>44612</v>
      </c>
      <c r="F2251" s="34">
        <v>2932.3</v>
      </c>
      <c r="G2251" s="36">
        <f>Tabla13[[#This Row],[Importe]]-Tabla13[[#This Row],[Pagado]]</f>
        <v>0</v>
      </c>
      <c r="H2251" s="38" t="s">
        <v>10</v>
      </c>
    </row>
    <row r="2252" spans="1:8" x14ac:dyDescent="0.25">
      <c r="A2252" s="31">
        <v>44612</v>
      </c>
      <c r="B2252" s="37" t="s">
        <v>6017</v>
      </c>
      <c r="C2252" s="38" t="s">
        <v>58</v>
      </c>
      <c r="D2252" s="34">
        <v>3870</v>
      </c>
      <c r="E2252" s="35">
        <v>44612</v>
      </c>
      <c r="F2252" s="34">
        <v>3870</v>
      </c>
      <c r="G2252" s="36">
        <f>Tabla13[[#This Row],[Importe]]-Tabla13[[#This Row],[Pagado]]</f>
        <v>0</v>
      </c>
      <c r="H2252" s="38" t="s">
        <v>10</v>
      </c>
    </row>
    <row r="2253" spans="1:8" x14ac:dyDescent="0.25">
      <c r="A2253" s="31">
        <v>44612</v>
      </c>
      <c r="B2253" s="37" t="s">
        <v>6018</v>
      </c>
      <c r="C2253" s="38" t="s">
        <v>214</v>
      </c>
      <c r="D2253" s="34">
        <v>925</v>
      </c>
      <c r="E2253" s="35">
        <v>44612</v>
      </c>
      <c r="F2253" s="34">
        <v>925</v>
      </c>
      <c r="G2253" s="36">
        <f>Tabla13[[#This Row],[Importe]]-Tabla13[[#This Row],[Pagado]]</f>
        <v>0</v>
      </c>
      <c r="H2253" s="38" t="s">
        <v>10</v>
      </c>
    </row>
    <row r="2254" spans="1:8" x14ac:dyDescent="0.25">
      <c r="A2254" s="31">
        <v>44612</v>
      </c>
      <c r="B2254" s="37" t="s">
        <v>6019</v>
      </c>
      <c r="C2254" s="38" t="s">
        <v>31</v>
      </c>
      <c r="D2254" s="34">
        <v>965</v>
      </c>
      <c r="E2254" s="35">
        <v>44612</v>
      </c>
      <c r="F2254" s="34">
        <v>965</v>
      </c>
      <c r="G2254" s="36">
        <f>Tabla13[[#This Row],[Importe]]-Tabla13[[#This Row],[Pagado]]</f>
        <v>0</v>
      </c>
      <c r="H2254" s="38" t="s">
        <v>10</v>
      </c>
    </row>
    <row r="2255" spans="1:8" x14ac:dyDescent="0.25">
      <c r="A2255" s="31">
        <v>44612</v>
      </c>
      <c r="B2255" s="37" t="s">
        <v>6020</v>
      </c>
      <c r="C2255" s="38" t="s">
        <v>16</v>
      </c>
      <c r="D2255" s="34">
        <v>2922</v>
      </c>
      <c r="E2255" s="35">
        <v>44612</v>
      </c>
      <c r="F2255" s="34">
        <v>2922</v>
      </c>
      <c r="G2255" s="36">
        <f>Tabla13[[#This Row],[Importe]]-Tabla13[[#This Row],[Pagado]]</f>
        <v>0</v>
      </c>
      <c r="H2255" s="38" t="s">
        <v>10</v>
      </c>
    </row>
    <row r="2256" spans="1:8" x14ac:dyDescent="0.25">
      <c r="A2256" s="31">
        <v>44612</v>
      </c>
      <c r="B2256" s="37" t="s">
        <v>6021</v>
      </c>
      <c r="C2256" s="38" t="s">
        <v>67</v>
      </c>
      <c r="D2256" s="34">
        <v>2447</v>
      </c>
      <c r="E2256" s="35">
        <v>44612</v>
      </c>
      <c r="F2256" s="34">
        <v>2447</v>
      </c>
      <c r="G2256" s="36">
        <f>Tabla13[[#This Row],[Importe]]-Tabla13[[#This Row],[Pagado]]</f>
        <v>0</v>
      </c>
      <c r="H2256" s="38" t="s">
        <v>10</v>
      </c>
    </row>
    <row r="2257" spans="1:8" x14ac:dyDescent="0.25">
      <c r="A2257" s="31">
        <v>44612</v>
      </c>
      <c r="B2257" s="37" t="s">
        <v>6022</v>
      </c>
      <c r="C2257" s="38" t="s">
        <v>149</v>
      </c>
      <c r="D2257" s="34">
        <v>1162</v>
      </c>
      <c r="E2257" s="35">
        <v>44612</v>
      </c>
      <c r="F2257" s="34">
        <v>1162</v>
      </c>
      <c r="G2257" s="36">
        <f>Tabla13[[#This Row],[Importe]]-Tabla13[[#This Row],[Pagado]]</f>
        <v>0</v>
      </c>
      <c r="H2257" s="38" t="s">
        <v>10</v>
      </c>
    </row>
    <row r="2258" spans="1:8" x14ac:dyDescent="0.25">
      <c r="A2258" s="31">
        <v>44612</v>
      </c>
      <c r="B2258" s="37" t="s">
        <v>6023</v>
      </c>
      <c r="C2258" s="38" t="s">
        <v>2139</v>
      </c>
      <c r="D2258" s="34">
        <v>1798.4</v>
      </c>
      <c r="E2258" s="35">
        <v>44612</v>
      </c>
      <c r="F2258" s="34">
        <v>1798.4</v>
      </c>
      <c r="G2258" s="36">
        <f>Tabla13[[#This Row],[Importe]]-Tabla13[[#This Row],[Pagado]]</f>
        <v>0</v>
      </c>
      <c r="H2258" s="38" t="s">
        <v>10</v>
      </c>
    </row>
    <row r="2259" spans="1:8" x14ac:dyDescent="0.25">
      <c r="A2259" s="31">
        <v>44612</v>
      </c>
      <c r="B2259" s="37" t="s">
        <v>6024</v>
      </c>
      <c r="C2259" s="38" t="s">
        <v>69</v>
      </c>
      <c r="D2259" s="34">
        <v>2300</v>
      </c>
      <c r="E2259" s="35">
        <v>44612</v>
      </c>
      <c r="F2259" s="34">
        <v>2300</v>
      </c>
      <c r="G2259" s="36">
        <f>Tabla13[[#This Row],[Importe]]-Tabla13[[#This Row],[Pagado]]</f>
        <v>0</v>
      </c>
      <c r="H2259" s="38" t="s">
        <v>10</v>
      </c>
    </row>
    <row r="2260" spans="1:8" x14ac:dyDescent="0.25">
      <c r="A2260" s="31">
        <v>44612</v>
      </c>
      <c r="B2260" s="37" t="s">
        <v>6025</v>
      </c>
      <c r="C2260" s="38" t="s">
        <v>31</v>
      </c>
      <c r="D2260" s="34">
        <v>953.7</v>
      </c>
      <c r="E2260" s="35">
        <v>44613</v>
      </c>
      <c r="F2260" s="34">
        <v>953.7</v>
      </c>
      <c r="G2260" s="36">
        <f>Tabla13[[#This Row],[Importe]]-Tabla13[[#This Row],[Pagado]]</f>
        <v>0</v>
      </c>
      <c r="H2260" s="38" t="s">
        <v>10</v>
      </c>
    </row>
    <row r="2261" spans="1:8" x14ac:dyDescent="0.25">
      <c r="A2261" s="31">
        <v>44613</v>
      </c>
      <c r="B2261" s="37" t="s">
        <v>6026</v>
      </c>
      <c r="C2261" s="38" t="s">
        <v>887</v>
      </c>
      <c r="D2261" s="34">
        <v>7439.8</v>
      </c>
      <c r="E2261" s="35">
        <v>44614</v>
      </c>
      <c r="F2261" s="34">
        <v>7439.8</v>
      </c>
      <c r="G2261" s="36">
        <f>Tabla13[[#This Row],[Importe]]-Tabla13[[#This Row],[Pagado]]</f>
        <v>0</v>
      </c>
      <c r="H2261" s="38" t="s">
        <v>10</v>
      </c>
    </row>
    <row r="2262" spans="1:8" x14ac:dyDescent="0.25">
      <c r="A2262" s="31">
        <v>44613</v>
      </c>
      <c r="B2262" s="37" t="s">
        <v>6027</v>
      </c>
      <c r="C2262" s="38" t="s">
        <v>314</v>
      </c>
      <c r="D2262" s="34">
        <v>990</v>
      </c>
      <c r="E2262" s="35">
        <v>44613</v>
      </c>
      <c r="F2262" s="34">
        <v>990</v>
      </c>
      <c r="G2262" s="36">
        <f>Tabla13[[#This Row],[Importe]]-Tabla13[[#This Row],[Pagado]]</f>
        <v>0</v>
      </c>
      <c r="H2262" s="38" t="s">
        <v>10</v>
      </c>
    </row>
    <row r="2263" spans="1:8" ht="31.5" x14ac:dyDescent="0.25">
      <c r="A2263" s="31">
        <v>44613</v>
      </c>
      <c r="B2263" s="37" t="s">
        <v>6028</v>
      </c>
      <c r="C2263" s="38" t="s">
        <v>475</v>
      </c>
      <c r="D2263" s="34">
        <v>74671</v>
      </c>
      <c r="E2263" s="35" t="s">
        <v>6029</v>
      </c>
      <c r="F2263" s="34">
        <f>10700+63971</f>
        <v>74671</v>
      </c>
      <c r="G2263" s="36">
        <f>Tabla13[[#This Row],[Importe]]-Tabla13[[#This Row],[Pagado]]</f>
        <v>0</v>
      </c>
      <c r="H2263" s="38" t="s">
        <v>10</v>
      </c>
    </row>
    <row r="2264" spans="1:8" x14ac:dyDescent="0.25">
      <c r="A2264" s="31">
        <v>44613</v>
      </c>
      <c r="B2264" s="37" t="s">
        <v>6030</v>
      </c>
      <c r="C2264" s="38" t="s">
        <v>353</v>
      </c>
      <c r="D2264" s="34">
        <v>423.3</v>
      </c>
      <c r="E2264" s="35">
        <v>44613</v>
      </c>
      <c r="F2264" s="34">
        <v>423.3</v>
      </c>
      <c r="G2264" s="36">
        <f>Tabla13[[#This Row],[Importe]]-Tabla13[[#This Row],[Pagado]]</f>
        <v>0</v>
      </c>
      <c r="H2264" s="38" t="s">
        <v>10</v>
      </c>
    </row>
    <row r="2265" spans="1:8" x14ac:dyDescent="0.25">
      <c r="A2265" s="31">
        <v>44613</v>
      </c>
      <c r="B2265" s="37" t="s">
        <v>6031</v>
      </c>
      <c r="C2265" s="38" t="s">
        <v>481</v>
      </c>
      <c r="D2265" s="34">
        <v>346.8</v>
      </c>
      <c r="E2265" s="35">
        <v>44613</v>
      </c>
      <c r="F2265" s="34">
        <v>346.8</v>
      </c>
      <c r="G2265" s="36">
        <f>Tabla13[[#This Row],[Importe]]-Tabla13[[#This Row],[Pagado]]</f>
        <v>0</v>
      </c>
      <c r="H2265" s="38" t="s">
        <v>10</v>
      </c>
    </row>
    <row r="2266" spans="1:8" x14ac:dyDescent="0.25">
      <c r="A2266" s="31">
        <v>44613</v>
      </c>
      <c r="B2266" s="37" t="s">
        <v>6032</v>
      </c>
      <c r="C2266" s="38" t="s">
        <v>31</v>
      </c>
      <c r="D2266" s="34">
        <v>4003.2</v>
      </c>
      <c r="E2266" s="35">
        <v>44613</v>
      </c>
      <c r="F2266" s="34">
        <v>4003.2</v>
      </c>
      <c r="G2266" s="36">
        <f>Tabla13[[#This Row],[Importe]]-Tabla13[[#This Row],[Pagado]]</f>
        <v>0</v>
      </c>
      <c r="H2266" s="38" t="s">
        <v>10</v>
      </c>
    </row>
    <row r="2267" spans="1:8" x14ac:dyDescent="0.25">
      <c r="A2267" s="31">
        <v>44613</v>
      </c>
      <c r="B2267" s="37" t="s">
        <v>6033</v>
      </c>
      <c r="C2267" s="38" t="s">
        <v>83</v>
      </c>
      <c r="D2267" s="34">
        <v>2816</v>
      </c>
      <c r="E2267" s="35">
        <v>44613</v>
      </c>
      <c r="F2267" s="34">
        <v>2816</v>
      </c>
      <c r="G2267" s="36">
        <f>Tabla13[[#This Row],[Importe]]-Tabla13[[#This Row],[Pagado]]</f>
        <v>0</v>
      </c>
      <c r="H2267" s="38" t="s">
        <v>10</v>
      </c>
    </row>
    <row r="2268" spans="1:8" ht="31.5" x14ac:dyDescent="0.25">
      <c r="A2268" s="31">
        <v>44613</v>
      </c>
      <c r="B2268" s="37" t="s">
        <v>6034</v>
      </c>
      <c r="C2268" s="38" t="s">
        <v>39</v>
      </c>
      <c r="D2268" s="34">
        <v>22776.799999999999</v>
      </c>
      <c r="E2268" s="35" t="s">
        <v>6035</v>
      </c>
      <c r="F2268" s="34">
        <f>7000+15776.8</f>
        <v>22776.799999999999</v>
      </c>
      <c r="G2268" s="36">
        <f>Tabla13[[#This Row],[Importe]]-Tabla13[[#This Row],[Pagado]]</f>
        <v>0</v>
      </c>
      <c r="H2268" s="38" t="s">
        <v>10</v>
      </c>
    </row>
    <row r="2269" spans="1:8" x14ac:dyDescent="0.25">
      <c r="A2269" s="31">
        <v>44613</v>
      </c>
      <c r="B2269" s="37" t="s">
        <v>6036</v>
      </c>
      <c r="C2269" s="38" t="s">
        <v>120</v>
      </c>
      <c r="D2269" s="34">
        <v>3591.7</v>
      </c>
      <c r="E2269" s="35">
        <v>44615</v>
      </c>
      <c r="F2269" s="34">
        <v>3591.7</v>
      </c>
      <c r="G2269" s="36">
        <f>Tabla13[[#This Row],[Importe]]-Tabla13[[#This Row],[Pagado]]</f>
        <v>0</v>
      </c>
      <c r="H2269" s="38" t="s">
        <v>10</v>
      </c>
    </row>
    <row r="2270" spans="1:8" x14ac:dyDescent="0.25">
      <c r="A2270" s="31">
        <v>44613</v>
      </c>
      <c r="B2270" s="37" t="s">
        <v>6037</v>
      </c>
      <c r="C2270" s="38" t="s">
        <v>9</v>
      </c>
      <c r="D2270" s="34">
        <v>4987.2</v>
      </c>
      <c r="E2270" s="35">
        <v>44613</v>
      </c>
      <c r="F2270" s="34">
        <v>4987.2</v>
      </c>
      <c r="G2270" s="36">
        <f>Tabla13[[#This Row],[Importe]]-Tabla13[[#This Row],[Pagado]]</f>
        <v>0</v>
      </c>
      <c r="H2270" s="38" t="s">
        <v>10</v>
      </c>
    </row>
    <row r="2271" spans="1:8" x14ac:dyDescent="0.25">
      <c r="A2271" s="31">
        <v>44613</v>
      </c>
      <c r="B2271" s="37" t="s">
        <v>6038</v>
      </c>
      <c r="C2271" s="38" t="s">
        <v>109</v>
      </c>
      <c r="D2271" s="34">
        <v>3604.9</v>
      </c>
      <c r="E2271" s="35">
        <v>44614</v>
      </c>
      <c r="F2271" s="34">
        <v>3604.9</v>
      </c>
      <c r="G2271" s="36">
        <f>Tabla13[[#This Row],[Importe]]-Tabla13[[#This Row],[Pagado]]</f>
        <v>0</v>
      </c>
      <c r="H2271" s="38" t="s">
        <v>10</v>
      </c>
    </row>
    <row r="2272" spans="1:8" x14ac:dyDescent="0.25">
      <c r="A2272" s="31">
        <v>44613</v>
      </c>
      <c r="B2272" s="37" t="s">
        <v>6039</v>
      </c>
      <c r="C2272" s="38" t="s">
        <v>31</v>
      </c>
      <c r="D2272" s="34">
        <v>2510.8000000000002</v>
      </c>
      <c r="E2272" s="35">
        <v>44613</v>
      </c>
      <c r="F2272" s="34">
        <v>2510.8000000000002</v>
      </c>
      <c r="G2272" s="36">
        <f>Tabla13[[#This Row],[Importe]]-Tabla13[[#This Row],[Pagado]]</f>
        <v>0</v>
      </c>
      <c r="H2272" s="38" t="s">
        <v>10</v>
      </c>
    </row>
    <row r="2273" spans="1:8" x14ac:dyDescent="0.25">
      <c r="A2273" s="31">
        <v>44613</v>
      </c>
      <c r="B2273" s="37" t="s">
        <v>6040</v>
      </c>
      <c r="C2273" s="38" t="s">
        <v>326</v>
      </c>
      <c r="D2273" s="34">
        <v>4042</v>
      </c>
      <c r="E2273" s="35">
        <v>44614</v>
      </c>
      <c r="F2273" s="34">
        <v>4042</v>
      </c>
      <c r="G2273" s="36">
        <f>Tabla13[[#This Row],[Importe]]-Tabla13[[#This Row],[Pagado]]</f>
        <v>0</v>
      </c>
      <c r="H2273" s="38" t="s">
        <v>10</v>
      </c>
    </row>
    <row r="2274" spans="1:8" x14ac:dyDescent="0.25">
      <c r="A2274" s="31">
        <v>44613</v>
      </c>
      <c r="B2274" s="37" t="s">
        <v>6041</v>
      </c>
      <c r="C2274" s="38" t="s">
        <v>97</v>
      </c>
      <c r="D2274" s="34">
        <v>7910.1</v>
      </c>
      <c r="E2274" s="35">
        <v>44615</v>
      </c>
      <c r="F2274" s="34">
        <v>7910.1</v>
      </c>
      <c r="G2274" s="36">
        <f>Tabla13[[#This Row],[Importe]]-Tabla13[[#This Row],[Pagado]]</f>
        <v>0</v>
      </c>
      <c r="H2274" s="38" t="s">
        <v>10</v>
      </c>
    </row>
    <row r="2275" spans="1:8" x14ac:dyDescent="0.25">
      <c r="A2275" s="31">
        <v>44613</v>
      </c>
      <c r="B2275" s="37" t="s">
        <v>6042</v>
      </c>
      <c r="C2275" s="38" t="s">
        <v>2563</v>
      </c>
      <c r="D2275" s="34">
        <v>3586.8</v>
      </c>
      <c r="E2275" s="35">
        <v>44613</v>
      </c>
      <c r="F2275" s="34">
        <v>3586.8</v>
      </c>
      <c r="G2275" s="36">
        <f>Tabla13[[#This Row],[Importe]]-Tabla13[[#This Row],[Pagado]]</f>
        <v>0</v>
      </c>
      <c r="H2275" s="38" t="s">
        <v>10</v>
      </c>
    </row>
    <row r="2276" spans="1:8" x14ac:dyDescent="0.25">
      <c r="A2276" s="31">
        <v>44613</v>
      </c>
      <c r="B2276" s="37" t="s">
        <v>6043</v>
      </c>
      <c r="C2276" s="38" t="s">
        <v>64</v>
      </c>
      <c r="D2276" s="34">
        <v>3748.5</v>
      </c>
      <c r="E2276" s="35">
        <v>44615</v>
      </c>
      <c r="F2276" s="34">
        <v>3748.5</v>
      </c>
      <c r="G2276" s="36">
        <f>Tabla13[[#This Row],[Importe]]-Tabla13[[#This Row],[Pagado]]</f>
        <v>0</v>
      </c>
      <c r="H2276" s="38" t="s">
        <v>10</v>
      </c>
    </row>
    <row r="2277" spans="1:8" ht="31.5" x14ac:dyDescent="0.25">
      <c r="A2277" s="31">
        <v>44613</v>
      </c>
      <c r="B2277" s="37" t="s">
        <v>6044</v>
      </c>
      <c r="C2277" s="38" t="s">
        <v>93</v>
      </c>
      <c r="D2277" s="34">
        <v>6646.9</v>
      </c>
      <c r="E2277" s="35" t="s">
        <v>5872</v>
      </c>
      <c r="F2277" s="34">
        <f>3646+3000.9</f>
        <v>6646.9</v>
      </c>
      <c r="G2277" s="36">
        <f>Tabla13[[#This Row],[Importe]]-Tabla13[[#This Row],[Pagado]]</f>
        <v>0</v>
      </c>
      <c r="H2277" s="38" t="s">
        <v>10</v>
      </c>
    </row>
    <row r="2278" spans="1:8" x14ac:dyDescent="0.25">
      <c r="A2278" s="31">
        <v>44613</v>
      </c>
      <c r="B2278" s="37" t="s">
        <v>6045</v>
      </c>
      <c r="C2278" s="38" t="s">
        <v>345</v>
      </c>
      <c r="D2278" s="34">
        <v>910</v>
      </c>
      <c r="E2278" s="35">
        <v>44613</v>
      </c>
      <c r="F2278" s="34">
        <v>910</v>
      </c>
      <c r="G2278" s="36">
        <f>Tabla13[[#This Row],[Importe]]-Tabla13[[#This Row],[Pagado]]</f>
        <v>0</v>
      </c>
      <c r="H2278" s="38" t="s">
        <v>10</v>
      </c>
    </row>
    <row r="2279" spans="1:8" x14ac:dyDescent="0.25">
      <c r="A2279" s="31">
        <v>44613</v>
      </c>
      <c r="B2279" s="37" t="s">
        <v>6046</v>
      </c>
      <c r="C2279" s="38" t="s">
        <v>60</v>
      </c>
      <c r="D2279" s="34">
        <v>4145.3999999999996</v>
      </c>
      <c r="E2279" s="35">
        <v>44618</v>
      </c>
      <c r="F2279" s="34">
        <v>4145.3999999999996</v>
      </c>
      <c r="G2279" s="36">
        <f>Tabla13[[#This Row],[Importe]]-Tabla13[[#This Row],[Pagado]]</f>
        <v>0</v>
      </c>
      <c r="H2279" s="38" t="s">
        <v>10</v>
      </c>
    </row>
    <row r="2280" spans="1:8" x14ac:dyDescent="0.25">
      <c r="A2280" s="31">
        <v>44613</v>
      </c>
      <c r="B2280" s="37" t="s">
        <v>6047</v>
      </c>
      <c r="C2280" s="38" t="s">
        <v>407</v>
      </c>
      <c r="D2280" s="34">
        <v>44499.05</v>
      </c>
      <c r="E2280" s="35">
        <v>44617</v>
      </c>
      <c r="F2280" s="34">
        <v>44499.05</v>
      </c>
      <c r="G2280" s="36">
        <f>Tabla13[[#This Row],[Importe]]-Tabla13[[#This Row],[Pagado]]</f>
        <v>0</v>
      </c>
      <c r="H2280" s="38" t="s">
        <v>10</v>
      </c>
    </row>
    <row r="2281" spans="1:8" x14ac:dyDescent="0.25">
      <c r="A2281" s="31">
        <v>44613</v>
      </c>
      <c r="B2281" s="37" t="s">
        <v>6048</v>
      </c>
      <c r="C2281" s="38" t="s">
        <v>22</v>
      </c>
      <c r="D2281" s="34">
        <v>1840</v>
      </c>
      <c r="E2281" s="35">
        <v>44614</v>
      </c>
      <c r="F2281" s="34">
        <v>1840</v>
      </c>
      <c r="G2281" s="36">
        <f>Tabla13[[#This Row],[Importe]]-Tabla13[[#This Row],[Pagado]]</f>
        <v>0</v>
      </c>
      <c r="H2281" s="38" t="s">
        <v>10</v>
      </c>
    </row>
    <row r="2282" spans="1:8" x14ac:dyDescent="0.25">
      <c r="A2282" s="31">
        <v>44613</v>
      </c>
      <c r="B2282" s="37" t="s">
        <v>6049</v>
      </c>
      <c r="C2282" s="38" t="s">
        <v>22</v>
      </c>
      <c r="D2282" s="34">
        <v>47035.1</v>
      </c>
      <c r="E2282" s="35">
        <v>44614</v>
      </c>
      <c r="F2282" s="34">
        <v>47035.1</v>
      </c>
      <c r="G2282" s="36">
        <f>Tabla13[[#This Row],[Importe]]-Tabla13[[#This Row],[Pagado]]</f>
        <v>0</v>
      </c>
      <c r="H2282" s="38" t="s">
        <v>10</v>
      </c>
    </row>
    <row r="2283" spans="1:8" x14ac:dyDescent="0.25">
      <c r="A2283" s="31">
        <v>44613</v>
      </c>
      <c r="B2283" s="37" t="s">
        <v>6050</v>
      </c>
      <c r="C2283" s="38" t="s">
        <v>6051</v>
      </c>
      <c r="D2283" s="34">
        <v>0</v>
      </c>
      <c r="E2283" s="39" t="s">
        <v>189</v>
      </c>
      <c r="F2283" s="34">
        <v>0</v>
      </c>
      <c r="G2283" s="36">
        <f>Tabla13[[#This Row],[Importe]]-Tabla13[[#This Row],[Pagado]]</f>
        <v>0</v>
      </c>
      <c r="H2283" s="38" t="s">
        <v>189</v>
      </c>
    </row>
    <row r="2284" spans="1:8" x14ac:dyDescent="0.25">
      <c r="A2284" s="31">
        <v>44613</v>
      </c>
      <c r="B2284" s="37" t="s">
        <v>6052</v>
      </c>
      <c r="C2284" s="38" t="s">
        <v>5043</v>
      </c>
      <c r="D2284" s="34">
        <v>12693.9</v>
      </c>
      <c r="E2284" s="35">
        <v>44613</v>
      </c>
      <c r="F2284" s="34">
        <v>12693.9</v>
      </c>
      <c r="G2284" s="36">
        <f>Tabla13[[#This Row],[Importe]]-Tabla13[[#This Row],[Pagado]]</f>
        <v>0</v>
      </c>
      <c r="H2284" s="38" t="s">
        <v>10</v>
      </c>
    </row>
    <row r="2285" spans="1:8" x14ac:dyDescent="0.25">
      <c r="A2285" s="31">
        <v>44613</v>
      </c>
      <c r="B2285" s="37" t="s">
        <v>6053</v>
      </c>
      <c r="C2285" s="38" t="s">
        <v>89</v>
      </c>
      <c r="D2285" s="34">
        <v>6288.8</v>
      </c>
      <c r="E2285" s="35">
        <v>44614</v>
      </c>
      <c r="F2285" s="34">
        <v>6288.8</v>
      </c>
      <c r="G2285" s="36">
        <f>Tabla13[[#This Row],[Importe]]-Tabla13[[#This Row],[Pagado]]</f>
        <v>0</v>
      </c>
      <c r="H2285" s="38" t="s">
        <v>10</v>
      </c>
    </row>
    <row r="2286" spans="1:8" x14ac:dyDescent="0.25">
      <c r="A2286" s="31">
        <v>44613</v>
      </c>
      <c r="B2286" s="37" t="s">
        <v>6054</v>
      </c>
      <c r="C2286" s="38" t="s">
        <v>348</v>
      </c>
      <c r="D2286" s="34">
        <v>2466</v>
      </c>
      <c r="E2286" s="35">
        <v>44614</v>
      </c>
      <c r="F2286" s="34">
        <v>2466</v>
      </c>
      <c r="G2286" s="36">
        <f>Tabla13[[#This Row],[Importe]]-Tabla13[[#This Row],[Pagado]]</f>
        <v>0</v>
      </c>
      <c r="H2286" s="38" t="s">
        <v>10</v>
      </c>
    </row>
    <row r="2287" spans="1:8" x14ac:dyDescent="0.25">
      <c r="A2287" s="31">
        <v>44613</v>
      </c>
      <c r="B2287" s="37" t="s">
        <v>6055</v>
      </c>
      <c r="C2287" s="38" t="s">
        <v>131</v>
      </c>
      <c r="D2287" s="34">
        <v>6517</v>
      </c>
      <c r="E2287" s="35">
        <v>44613</v>
      </c>
      <c r="F2287" s="34">
        <v>6517</v>
      </c>
      <c r="G2287" s="36">
        <f>Tabla13[[#This Row],[Importe]]-Tabla13[[#This Row],[Pagado]]</f>
        <v>0</v>
      </c>
      <c r="H2287" s="38" t="s">
        <v>10</v>
      </c>
    </row>
    <row r="2288" spans="1:8" x14ac:dyDescent="0.25">
      <c r="A2288" s="31">
        <v>44613</v>
      </c>
      <c r="B2288" s="37" t="s">
        <v>6056</v>
      </c>
      <c r="C2288" s="38" t="s">
        <v>12</v>
      </c>
      <c r="D2288" s="34">
        <v>46676.800000000003</v>
      </c>
      <c r="E2288" s="35">
        <v>44614</v>
      </c>
      <c r="F2288" s="34">
        <v>46676.800000000003</v>
      </c>
      <c r="G2288" s="36">
        <f>Tabla13[[#This Row],[Importe]]-Tabla13[[#This Row],[Pagado]]</f>
        <v>0</v>
      </c>
      <c r="H2288" s="38" t="s">
        <v>10</v>
      </c>
    </row>
    <row r="2289" spans="1:8" x14ac:dyDescent="0.25">
      <c r="A2289" s="31">
        <v>44613</v>
      </c>
      <c r="B2289" s="37" t="s">
        <v>6057</v>
      </c>
      <c r="C2289" s="38" t="s">
        <v>114</v>
      </c>
      <c r="D2289" s="34">
        <v>3929.2</v>
      </c>
      <c r="E2289" s="35">
        <v>44614</v>
      </c>
      <c r="F2289" s="34">
        <v>3929.2</v>
      </c>
      <c r="G2289" s="36">
        <f>Tabla13[[#This Row],[Importe]]-Tabla13[[#This Row],[Pagado]]</f>
        <v>0</v>
      </c>
      <c r="H2289" s="38" t="s">
        <v>10</v>
      </c>
    </row>
    <row r="2290" spans="1:8" x14ac:dyDescent="0.25">
      <c r="A2290" s="31">
        <v>44613</v>
      </c>
      <c r="B2290" s="37" t="s">
        <v>6058</v>
      </c>
      <c r="C2290" s="38" t="s">
        <v>111</v>
      </c>
      <c r="D2290" s="34">
        <v>3698.9</v>
      </c>
      <c r="E2290" s="35">
        <v>44614</v>
      </c>
      <c r="F2290" s="34">
        <v>3698.9</v>
      </c>
      <c r="G2290" s="36">
        <f>Tabla13[[#This Row],[Importe]]-Tabla13[[#This Row],[Pagado]]</f>
        <v>0</v>
      </c>
      <c r="H2290" s="38" t="s">
        <v>10</v>
      </c>
    </row>
    <row r="2291" spans="1:8" x14ac:dyDescent="0.25">
      <c r="A2291" s="31">
        <v>44613</v>
      </c>
      <c r="B2291" s="37" t="s">
        <v>6059</v>
      </c>
      <c r="C2291" s="38" t="s">
        <v>105</v>
      </c>
      <c r="D2291" s="34">
        <v>4733.2</v>
      </c>
      <c r="E2291" s="35">
        <v>44614</v>
      </c>
      <c r="F2291" s="34">
        <v>4733.2</v>
      </c>
      <c r="G2291" s="36">
        <f>Tabla13[[#This Row],[Importe]]-Tabla13[[#This Row],[Pagado]]</f>
        <v>0</v>
      </c>
      <c r="H2291" s="38" t="s">
        <v>10</v>
      </c>
    </row>
    <row r="2292" spans="1:8" x14ac:dyDescent="0.25">
      <c r="A2292" s="31">
        <v>44613</v>
      </c>
      <c r="B2292" s="37" t="s">
        <v>6060</v>
      </c>
      <c r="C2292" s="38" t="s">
        <v>12</v>
      </c>
      <c r="D2292" s="34">
        <v>459.2</v>
      </c>
      <c r="E2292" s="35">
        <v>44614</v>
      </c>
      <c r="F2292" s="34">
        <v>459.2</v>
      </c>
      <c r="G2292" s="36">
        <f>Tabla13[[#This Row],[Importe]]-Tabla13[[#This Row],[Pagado]]</f>
        <v>0</v>
      </c>
      <c r="H2292" s="38" t="s">
        <v>10</v>
      </c>
    </row>
    <row r="2293" spans="1:8" x14ac:dyDescent="0.25">
      <c r="A2293" s="31">
        <v>44613</v>
      </c>
      <c r="B2293" s="37" t="s">
        <v>6061</v>
      </c>
      <c r="C2293" s="38" t="s">
        <v>53</v>
      </c>
      <c r="D2293" s="34">
        <v>2040</v>
      </c>
      <c r="E2293" s="35">
        <v>44613</v>
      </c>
      <c r="F2293" s="34">
        <v>2040</v>
      </c>
      <c r="G2293" s="36">
        <f>Tabla13[[#This Row],[Importe]]-Tabla13[[#This Row],[Pagado]]</f>
        <v>0</v>
      </c>
      <c r="H2293" s="38" t="s">
        <v>10</v>
      </c>
    </row>
    <row r="2294" spans="1:8" x14ac:dyDescent="0.25">
      <c r="A2294" s="31">
        <v>44613</v>
      </c>
      <c r="B2294" s="37" t="s">
        <v>6062</v>
      </c>
      <c r="C2294" s="38" t="s">
        <v>137</v>
      </c>
      <c r="D2294" s="34">
        <v>3884</v>
      </c>
      <c r="E2294" s="35">
        <v>44613</v>
      </c>
      <c r="F2294" s="34">
        <v>3884</v>
      </c>
      <c r="G2294" s="36">
        <f>Tabla13[[#This Row],[Importe]]-Tabla13[[#This Row],[Pagado]]</f>
        <v>0</v>
      </c>
      <c r="H2294" s="38" t="s">
        <v>10</v>
      </c>
    </row>
    <row r="2295" spans="1:8" x14ac:dyDescent="0.25">
      <c r="A2295" s="31">
        <v>44613</v>
      </c>
      <c r="B2295" s="37" t="s">
        <v>6063</v>
      </c>
      <c r="C2295" s="38" t="s">
        <v>16</v>
      </c>
      <c r="D2295" s="34">
        <v>3758.6</v>
      </c>
      <c r="E2295" s="35">
        <v>44613</v>
      </c>
      <c r="F2295" s="34">
        <v>3758.6</v>
      </c>
      <c r="G2295" s="36">
        <f>Tabla13[[#This Row],[Importe]]-Tabla13[[#This Row],[Pagado]]</f>
        <v>0</v>
      </c>
      <c r="H2295" s="38" t="s">
        <v>10</v>
      </c>
    </row>
    <row r="2296" spans="1:8" x14ac:dyDescent="0.25">
      <c r="A2296" s="31">
        <v>44613</v>
      </c>
      <c r="B2296" s="37" t="s">
        <v>6064</v>
      </c>
      <c r="C2296" s="38" t="s">
        <v>16</v>
      </c>
      <c r="D2296" s="34">
        <v>173.6</v>
      </c>
      <c r="E2296" s="35">
        <v>44613</v>
      </c>
      <c r="F2296" s="34">
        <v>173.6</v>
      </c>
      <c r="G2296" s="36">
        <f>Tabla13[[#This Row],[Importe]]-Tabla13[[#This Row],[Pagado]]</f>
        <v>0</v>
      </c>
      <c r="H2296" s="38" t="s">
        <v>10</v>
      </c>
    </row>
    <row r="2297" spans="1:8" x14ac:dyDescent="0.25">
      <c r="A2297" s="31">
        <v>44613</v>
      </c>
      <c r="B2297" s="37" t="s">
        <v>6065</v>
      </c>
      <c r="C2297" s="38" t="s">
        <v>228</v>
      </c>
      <c r="D2297" s="34">
        <v>5443.2</v>
      </c>
      <c r="E2297" s="35">
        <v>44613</v>
      </c>
      <c r="F2297" s="34">
        <v>5443.2</v>
      </c>
      <c r="G2297" s="36">
        <f>Tabla13[[#This Row],[Importe]]-Tabla13[[#This Row],[Pagado]]</f>
        <v>0</v>
      </c>
      <c r="H2297" s="38" t="s">
        <v>10</v>
      </c>
    </row>
    <row r="2298" spans="1:8" x14ac:dyDescent="0.25">
      <c r="A2298" s="31">
        <v>44613</v>
      </c>
      <c r="B2298" s="37" t="s">
        <v>6066</v>
      </c>
      <c r="C2298" s="38" t="s">
        <v>14</v>
      </c>
      <c r="D2298" s="34">
        <v>24442.2</v>
      </c>
      <c r="E2298" s="35">
        <v>44613</v>
      </c>
      <c r="F2298" s="34">
        <v>24442.2</v>
      </c>
      <c r="G2298" s="36">
        <f>Tabla13[[#This Row],[Importe]]-Tabla13[[#This Row],[Pagado]]</f>
        <v>0</v>
      </c>
      <c r="H2298" s="38" t="s">
        <v>10</v>
      </c>
    </row>
    <row r="2299" spans="1:8" x14ac:dyDescent="0.25">
      <c r="A2299" s="31">
        <v>44613</v>
      </c>
      <c r="B2299" s="37" t="s">
        <v>6067</v>
      </c>
      <c r="C2299" s="38" t="s">
        <v>373</v>
      </c>
      <c r="D2299" s="34">
        <v>2572.4</v>
      </c>
      <c r="E2299" s="35">
        <v>44613</v>
      </c>
      <c r="F2299" s="34">
        <v>2572.4</v>
      </c>
      <c r="G2299" s="36">
        <f>Tabla13[[#This Row],[Importe]]-Tabla13[[#This Row],[Pagado]]</f>
        <v>0</v>
      </c>
      <c r="H2299" s="38" t="s">
        <v>10</v>
      </c>
    </row>
    <row r="2300" spans="1:8" x14ac:dyDescent="0.25">
      <c r="A2300" s="31">
        <v>44613</v>
      </c>
      <c r="B2300" s="37" t="s">
        <v>6068</v>
      </c>
      <c r="C2300" s="38" t="s">
        <v>142</v>
      </c>
      <c r="D2300" s="34">
        <v>16586.599999999999</v>
      </c>
      <c r="E2300" s="35">
        <v>44617</v>
      </c>
      <c r="F2300" s="34">
        <v>16586.599999999999</v>
      </c>
      <c r="G2300" s="36">
        <f>Tabla13[[#This Row],[Importe]]-Tabla13[[#This Row],[Pagado]]</f>
        <v>0</v>
      </c>
      <c r="H2300" s="38" t="s">
        <v>10</v>
      </c>
    </row>
    <row r="2301" spans="1:8" x14ac:dyDescent="0.25">
      <c r="A2301" s="31">
        <v>44613</v>
      </c>
      <c r="B2301" s="37" t="s">
        <v>6069</v>
      </c>
      <c r="C2301" s="38" t="s">
        <v>226</v>
      </c>
      <c r="D2301" s="34">
        <v>3990</v>
      </c>
      <c r="E2301" s="35">
        <v>44613</v>
      </c>
      <c r="F2301" s="34">
        <v>3990</v>
      </c>
      <c r="G2301" s="36">
        <f>Tabla13[[#This Row],[Importe]]-Tabla13[[#This Row],[Pagado]]</f>
        <v>0</v>
      </c>
      <c r="H2301" s="38" t="s">
        <v>10</v>
      </c>
    </row>
    <row r="2302" spans="1:8" x14ac:dyDescent="0.25">
      <c r="A2302" s="31">
        <v>44613</v>
      </c>
      <c r="B2302" s="37" t="s">
        <v>6070</v>
      </c>
      <c r="C2302" s="38" t="s">
        <v>230</v>
      </c>
      <c r="D2302" s="34">
        <v>4465.3</v>
      </c>
      <c r="E2302" s="35">
        <v>44613</v>
      </c>
      <c r="F2302" s="34">
        <v>4465.3</v>
      </c>
      <c r="G2302" s="36">
        <f>Tabla13[[#This Row],[Importe]]-Tabla13[[#This Row],[Pagado]]</f>
        <v>0</v>
      </c>
      <c r="H2302" s="38" t="s">
        <v>10</v>
      </c>
    </row>
    <row r="2303" spans="1:8" x14ac:dyDescent="0.25">
      <c r="A2303" s="31">
        <v>44613</v>
      </c>
      <c r="B2303" s="37" t="s">
        <v>6071</v>
      </c>
      <c r="C2303" s="38" t="s">
        <v>365</v>
      </c>
      <c r="D2303" s="34">
        <v>608</v>
      </c>
      <c r="E2303" s="35">
        <v>44613</v>
      </c>
      <c r="F2303" s="34">
        <v>608</v>
      </c>
      <c r="G2303" s="36">
        <f>Tabla13[[#This Row],[Importe]]-Tabla13[[#This Row],[Pagado]]</f>
        <v>0</v>
      </c>
      <c r="H2303" s="38" t="s">
        <v>10</v>
      </c>
    </row>
    <row r="2304" spans="1:8" x14ac:dyDescent="0.25">
      <c r="A2304" s="31">
        <v>44613</v>
      </c>
      <c r="B2304" s="37" t="s">
        <v>6072</v>
      </c>
      <c r="C2304" s="38" t="s">
        <v>196</v>
      </c>
      <c r="D2304" s="34">
        <v>56699.519999999997</v>
      </c>
      <c r="E2304" s="35">
        <v>44617</v>
      </c>
      <c r="F2304" s="34">
        <v>56699.519999999997</v>
      </c>
      <c r="G2304" s="36">
        <f>Tabla13[[#This Row],[Importe]]-Tabla13[[#This Row],[Pagado]]</f>
        <v>0</v>
      </c>
      <c r="H2304" s="38" t="s">
        <v>10</v>
      </c>
    </row>
    <row r="2305" spans="1:8" x14ac:dyDescent="0.25">
      <c r="A2305" s="31">
        <v>44613</v>
      </c>
      <c r="B2305" s="37" t="s">
        <v>6073</v>
      </c>
      <c r="C2305" s="38" t="s">
        <v>56</v>
      </c>
      <c r="D2305" s="34">
        <v>2170.8000000000002</v>
      </c>
      <c r="E2305" s="35">
        <v>44613</v>
      </c>
      <c r="F2305" s="34">
        <v>2170.8000000000002</v>
      </c>
      <c r="G2305" s="36">
        <f>Tabla13[[#This Row],[Importe]]-Tabla13[[#This Row],[Pagado]]</f>
        <v>0</v>
      </c>
      <c r="H2305" s="38" t="s">
        <v>10</v>
      </c>
    </row>
    <row r="2306" spans="1:8" x14ac:dyDescent="0.25">
      <c r="A2306" s="31">
        <v>44613</v>
      </c>
      <c r="B2306" s="37" t="s">
        <v>6074</v>
      </c>
      <c r="C2306" s="38" t="s">
        <v>45</v>
      </c>
      <c r="D2306" s="34">
        <v>5757.8</v>
      </c>
      <c r="E2306" s="35">
        <v>44613</v>
      </c>
      <c r="F2306" s="34">
        <v>5757.8</v>
      </c>
      <c r="G2306" s="36">
        <f>Tabla13[[#This Row],[Importe]]-Tabla13[[#This Row],[Pagado]]</f>
        <v>0</v>
      </c>
      <c r="H2306" s="38" t="s">
        <v>10</v>
      </c>
    </row>
    <row r="2307" spans="1:8" x14ac:dyDescent="0.25">
      <c r="A2307" s="31">
        <v>44613</v>
      </c>
      <c r="B2307" s="37" t="s">
        <v>6075</v>
      </c>
      <c r="C2307" s="38" t="s">
        <v>49</v>
      </c>
      <c r="D2307" s="34">
        <v>2452.1</v>
      </c>
      <c r="E2307" s="35">
        <v>44613</v>
      </c>
      <c r="F2307" s="34">
        <v>2452.1</v>
      </c>
      <c r="G2307" s="36">
        <f>Tabla13[[#This Row],[Importe]]-Tabla13[[#This Row],[Pagado]]</f>
        <v>0</v>
      </c>
      <c r="H2307" s="38" t="s">
        <v>10</v>
      </c>
    </row>
    <row r="2308" spans="1:8" x14ac:dyDescent="0.25">
      <c r="A2308" s="31">
        <v>44613</v>
      </c>
      <c r="B2308" s="37" t="s">
        <v>6076</v>
      </c>
      <c r="C2308" s="38" t="s">
        <v>53</v>
      </c>
      <c r="D2308" s="34">
        <v>1860</v>
      </c>
      <c r="E2308" s="35">
        <v>44613</v>
      </c>
      <c r="F2308" s="34">
        <v>1860</v>
      </c>
      <c r="G2308" s="36">
        <f>Tabla13[[#This Row],[Importe]]-Tabla13[[#This Row],[Pagado]]</f>
        <v>0</v>
      </c>
      <c r="H2308" s="38" t="s">
        <v>10</v>
      </c>
    </row>
    <row r="2309" spans="1:8" x14ac:dyDescent="0.25">
      <c r="A2309" s="31">
        <v>44613</v>
      </c>
      <c r="B2309" s="37" t="s">
        <v>6077</v>
      </c>
      <c r="C2309" s="38" t="s">
        <v>2114</v>
      </c>
      <c r="D2309" s="34">
        <v>1323</v>
      </c>
      <c r="E2309" s="35">
        <v>44613</v>
      </c>
      <c r="F2309" s="34">
        <v>1323</v>
      </c>
      <c r="G2309" s="36">
        <f>Tabla13[[#This Row],[Importe]]-Tabla13[[#This Row],[Pagado]]</f>
        <v>0</v>
      </c>
      <c r="H2309" s="38" t="s">
        <v>10</v>
      </c>
    </row>
    <row r="2310" spans="1:8" x14ac:dyDescent="0.25">
      <c r="A2310" s="31">
        <v>44613</v>
      </c>
      <c r="B2310" s="37" t="s">
        <v>6078</v>
      </c>
      <c r="C2310" s="38" t="s">
        <v>3971</v>
      </c>
      <c r="D2310" s="34">
        <v>1812.8</v>
      </c>
      <c r="E2310" s="35">
        <v>44613</v>
      </c>
      <c r="F2310" s="34">
        <v>1812.8</v>
      </c>
      <c r="G2310" s="36">
        <f>Tabla13[[#This Row],[Importe]]-Tabla13[[#This Row],[Pagado]]</f>
        <v>0</v>
      </c>
      <c r="H2310" s="38" t="s">
        <v>10</v>
      </c>
    </row>
    <row r="2311" spans="1:8" x14ac:dyDescent="0.25">
      <c r="A2311" s="31">
        <v>44613</v>
      </c>
      <c r="B2311" s="37" t="s">
        <v>6079</v>
      </c>
      <c r="C2311" s="38" t="s">
        <v>1987</v>
      </c>
      <c r="D2311" s="34">
        <v>13209</v>
      </c>
      <c r="E2311" s="35">
        <v>44613</v>
      </c>
      <c r="F2311" s="34">
        <v>13209</v>
      </c>
      <c r="G2311" s="36">
        <f>Tabla13[[#This Row],[Importe]]-Tabla13[[#This Row],[Pagado]]</f>
        <v>0</v>
      </c>
      <c r="H2311" s="38" t="s">
        <v>10</v>
      </c>
    </row>
    <row r="2312" spans="1:8" x14ac:dyDescent="0.25">
      <c r="A2312" s="31">
        <v>44613</v>
      </c>
      <c r="B2312" s="37" t="s">
        <v>6080</v>
      </c>
      <c r="C2312" s="38" t="s">
        <v>140</v>
      </c>
      <c r="D2312" s="34">
        <v>963.9</v>
      </c>
      <c r="E2312" s="35">
        <v>44613</v>
      </c>
      <c r="F2312" s="34">
        <v>963.9</v>
      </c>
      <c r="G2312" s="36">
        <f>Tabla13[[#This Row],[Importe]]-Tabla13[[#This Row],[Pagado]]</f>
        <v>0</v>
      </c>
      <c r="H2312" s="38" t="s">
        <v>10</v>
      </c>
    </row>
    <row r="2313" spans="1:8" x14ac:dyDescent="0.25">
      <c r="A2313" s="31">
        <v>44613</v>
      </c>
      <c r="B2313" s="37" t="s">
        <v>6081</v>
      </c>
      <c r="C2313" s="38" t="s">
        <v>339</v>
      </c>
      <c r="D2313" s="34">
        <v>2169</v>
      </c>
      <c r="E2313" s="35">
        <v>44613</v>
      </c>
      <c r="F2313" s="34">
        <v>2169</v>
      </c>
      <c r="G2313" s="36">
        <f>Tabla13[[#This Row],[Importe]]-Tabla13[[#This Row],[Pagado]]</f>
        <v>0</v>
      </c>
      <c r="H2313" s="38" t="s">
        <v>10</v>
      </c>
    </row>
    <row r="2314" spans="1:8" x14ac:dyDescent="0.25">
      <c r="A2314" s="31">
        <v>44613</v>
      </c>
      <c r="B2314" s="37" t="s">
        <v>6082</v>
      </c>
      <c r="C2314" s="38" t="s">
        <v>129</v>
      </c>
      <c r="D2314" s="34">
        <v>3484.5</v>
      </c>
      <c r="E2314" s="35">
        <v>44613</v>
      </c>
      <c r="F2314" s="34">
        <v>3484.5</v>
      </c>
      <c r="G2314" s="36">
        <f>Tabla13[[#This Row],[Importe]]-Tabla13[[#This Row],[Pagado]]</f>
        <v>0</v>
      </c>
      <c r="H2314" s="38" t="s">
        <v>10</v>
      </c>
    </row>
    <row r="2315" spans="1:8" x14ac:dyDescent="0.25">
      <c r="A2315" s="31">
        <v>44613</v>
      </c>
      <c r="B2315" s="37" t="s">
        <v>6083</v>
      </c>
      <c r="C2315" s="38" t="s">
        <v>127</v>
      </c>
      <c r="D2315" s="34">
        <v>4893.1000000000004</v>
      </c>
      <c r="E2315" s="35">
        <v>44613</v>
      </c>
      <c r="F2315" s="34">
        <v>4893.1000000000004</v>
      </c>
      <c r="G2315" s="36">
        <f>Tabla13[[#This Row],[Importe]]-Tabla13[[#This Row],[Pagado]]</f>
        <v>0</v>
      </c>
      <c r="H2315" s="38" t="s">
        <v>10</v>
      </c>
    </row>
    <row r="2316" spans="1:8" x14ac:dyDescent="0.25">
      <c r="A2316" s="31">
        <v>44613</v>
      </c>
      <c r="B2316" s="37" t="s">
        <v>6084</v>
      </c>
      <c r="C2316" s="38" t="s">
        <v>261</v>
      </c>
      <c r="D2316" s="34">
        <v>35551.699999999997</v>
      </c>
      <c r="E2316" s="35">
        <v>44613</v>
      </c>
      <c r="F2316" s="34">
        <v>35551.699999999997</v>
      </c>
      <c r="G2316" s="36">
        <f>Tabla13[[#This Row],[Importe]]-Tabla13[[#This Row],[Pagado]]</f>
        <v>0</v>
      </c>
      <c r="H2316" s="38" t="s">
        <v>10</v>
      </c>
    </row>
    <row r="2317" spans="1:8" x14ac:dyDescent="0.25">
      <c r="A2317" s="31">
        <v>44613</v>
      </c>
      <c r="B2317" s="37" t="s">
        <v>6085</v>
      </c>
      <c r="C2317" s="38" t="s">
        <v>466</v>
      </c>
      <c r="D2317" s="34">
        <v>3000</v>
      </c>
      <c r="E2317" s="35">
        <v>44613</v>
      </c>
      <c r="F2317" s="34">
        <v>3000</v>
      </c>
      <c r="G2317" s="36">
        <f>Tabla13[[#This Row],[Importe]]-Tabla13[[#This Row],[Pagado]]</f>
        <v>0</v>
      </c>
      <c r="H2317" s="38" t="s">
        <v>10</v>
      </c>
    </row>
    <row r="2318" spans="1:8" x14ac:dyDescent="0.25">
      <c r="A2318" s="31">
        <v>44613</v>
      </c>
      <c r="B2318" s="37" t="s">
        <v>6086</v>
      </c>
      <c r="C2318" s="38" t="s">
        <v>31</v>
      </c>
      <c r="D2318" s="34">
        <v>689.5</v>
      </c>
      <c r="E2318" s="35">
        <v>44613</v>
      </c>
      <c r="F2318" s="34">
        <v>689.5</v>
      </c>
      <c r="G2318" s="36">
        <f>Tabla13[[#This Row],[Importe]]-Tabla13[[#This Row],[Pagado]]</f>
        <v>0</v>
      </c>
      <c r="H2318" s="38" t="s">
        <v>10</v>
      </c>
    </row>
    <row r="2319" spans="1:8" x14ac:dyDescent="0.25">
      <c r="A2319" s="31">
        <v>44613</v>
      </c>
      <c r="B2319" s="37" t="s">
        <v>6087</v>
      </c>
      <c r="C2319" s="38" t="s">
        <v>875</v>
      </c>
      <c r="D2319" s="34">
        <v>32592</v>
      </c>
      <c r="E2319" s="35">
        <v>44613</v>
      </c>
      <c r="F2319" s="34">
        <v>32592</v>
      </c>
      <c r="G2319" s="36">
        <f>Tabla13[[#This Row],[Importe]]-Tabla13[[#This Row],[Pagado]]</f>
        <v>0</v>
      </c>
      <c r="H2319" s="38" t="s">
        <v>10</v>
      </c>
    </row>
    <row r="2320" spans="1:8" x14ac:dyDescent="0.25">
      <c r="A2320" s="31">
        <v>44613</v>
      </c>
      <c r="B2320" s="37" t="s">
        <v>6088</v>
      </c>
      <c r="C2320" s="38" t="s">
        <v>244</v>
      </c>
      <c r="D2320" s="34">
        <v>4830</v>
      </c>
      <c r="E2320" s="35">
        <v>44613</v>
      </c>
      <c r="F2320" s="34">
        <v>4830</v>
      </c>
      <c r="G2320" s="36">
        <f>Tabla13[[#This Row],[Importe]]-Tabla13[[#This Row],[Pagado]]</f>
        <v>0</v>
      </c>
      <c r="H2320" s="38" t="s">
        <v>10</v>
      </c>
    </row>
    <row r="2321" spans="1:8" x14ac:dyDescent="0.25">
      <c r="A2321" s="31">
        <v>44613</v>
      </c>
      <c r="B2321" s="37" t="s">
        <v>6089</v>
      </c>
      <c r="C2321" s="38" t="s">
        <v>382</v>
      </c>
      <c r="D2321" s="34">
        <v>2310</v>
      </c>
      <c r="E2321" s="35">
        <v>44613</v>
      </c>
      <c r="F2321" s="34">
        <v>2310</v>
      </c>
      <c r="G2321" s="36">
        <f>Tabla13[[#This Row],[Importe]]-Tabla13[[#This Row],[Pagado]]</f>
        <v>0</v>
      </c>
      <c r="H2321" s="38" t="s">
        <v>10</v>
      </c>
    </row>
    <row r="2322" spans="1:8" x14ac:dyDescent="0.25">
      <c r="A2322" s="31">
        <v>44613</v>
      </c>
      <c r="B2322" s="37" t="s">
        <v>6090</v>
      </c>
      <c r="C2322" s="38" t="s">
        <v>27</v>
      </c>
      <c r="D2322" s="34">
        <v>708.4</v>
      </c>
      <c r="E2322" s="35">
        <v>44613</v>
      </c>
      <c r="F2322" s="34">
        <v>708.4</v>
      </c>
      <c r="G2322" s="36">
        <f>Tabla13[[#This Row],[Importe]]-Tabla13[[#This Row],[Pagado]]</f>
        <v>0</v>
      </c>
      <c r="H2322" s="38" t="s">
        <v>10</v>
      </c>
    </row>
    <row r="2323" spans="1:8" x14ac:dyDescent="0.25">
      <c r="A2323" s="31">
        <v>44613</v>
      </c>
      <c r="B2323" s="37" t="s">
        <v>6091</v>
      </c>
      <c r="C2323" s="38" t="s">
        <v>212</v>
      </c>
      <c r="D2323" s="34">
        <v>44908.800000000003</v>
      </c>
      <c r="E2323" s="35">
        <v>44616</v>
      </c>
      <c r="F2323" s="34">
        <v>44908.800000000003</v>
      </c>
      <c r="G2323" s="36">
        <f>Tabla13[[#This Row],[Importe]]-Tabla13[[#This Row],[Pagado]]</f>
        <v>0</v>
      </c>
      <c r="H2323" s="38" t="s">
        <v>10</v>
      </c>
    </row>
    <row r="2324" spans="1:8" x14ac:dyDescent="0.25">
      <c r="A2324" s="31">
        <v>44613</v>
      </c>
      <c r="B2324" s="37" t="s">
        <v>6092</v>
      </c>
      <c r="C2324" s="38" t="s">
        <v>804</v>
      </c>
      <c r="D2324" s="34">
        <v>15277.1</v>
      </c>
      <c r="E2324" s="35">
        <v>44613</v>
      </c>
      <c r="F2324" s="34">
        <v>15277.1</v>
      </c>
      <c r="G2324" s="36">
        <f>Tabla13[[#This Row],[Importe]]-Tabla13[[#This Row],[Pagado]]</f>
        <v>0</v>
      </c>
      <c r="H2324" s="38" t="s">
        <v>10</v>
      </c>
    </row>
    <row r="2325" spans="1:8" x14ac:dyDescent="0.25">
      <c r="A2325" s="31">
        <v>44613</v>
      </c>
      <c r="B2325" s="37" t="s">
        <v>6093</v>
      </c>
      <c r="C2325" s="38" t="s">
        <v>154</v>
      </c>
      <c r="D2325" s="34">
        <v>25846.9</v>
      </c>
      <c r="E2325" s="35">
        <v>44618</v>
      </c>
      <c r="F2325" s="34">
        <v>25846.9</v>
      </c>
      <c r="G2325" s="36">
        <f>Tabla13[[#This Row],[Importe]]-Tabla13[[#This Row],[Pagado]]</f>
        <v>0</v>
      </c>
      <c r="H2325" s="38" t="s">
        <v>10</v>
      </c>
    </row>
    <row r="2326" spans="1:8" x14ac:dyDescent="0.25">
      <c r="A2326" s="31">
        <v>44613</v>
      </c>
      <c r="B2326" s="37" t="s">
        <v>6094</v>
      </c>
      <c r="C2326" s="38" t="s">
        <v>206</v>
      </c>
      <c r="D2326" s="34">
        <v>24499.42</v>
      </c>
      <c r="E2326" s="35">
        <v>44616</v>
      </c>
      <c r="F2326" s="34">
        <v>24499.42</v>
      </c>
      <c r="G2326" s="36">
        <f>Tabla13[[#This Row],[Importe]]-Tabla13[[#This Row],[Pagado]]</f>
        <v>0</v>
      </c>
      <c r="H2326" s="38" t="s">
        <v>10</v>
      </c>
    </row>
    <row r="2327" spans="1:8" x14ac:dyDescent="0.25">
      <c r="A2327" s="31">
        <v>44613</v>
      </c>
      <c r="B2327" s="37" t="s">
        <v>6095</v>
      </c>
      <c r="C2327" s="38" t="s">
        <v>218</v>
      </c>
      <c r="D2327" s="34">
        <v>9214.6</v>
      </c>
      <c r="E2327" s="35">
        <v>44616</v>
      </c>
      <c r="F2327" s="34">
        <v>9214.6</v>
      </c>
      <c r="G2327" s="36">
        <f>Tabla13[[#This Row],[Importe]]-Tabla13[[#This Row],[Pagado]]</f>
        <v>0</v>
      </c>
      <c r="H2327" s="38" t="s">
        <v>10</v>
      </c>
    </row>
    <row r="2328" spans="1:8" x14ac:dyDescent="0.25">
      <c r="A2328" s="31">
        <v>44613</v>
      </c>
      <c r="B2328" s="37" t="s">
        <v>6096</v>
      </c>
      <c r="C2328" s="38" t="s">
        <v>240</v>
      </c>
      <c r="D2328" s="34">
        <v>9811.2000000000007</v>
      </c>
      <c r="E2328" s="35">
        <v>44613</v>
      </c>
      <c r="F2328" s="34">
        <v>9811.2000000000007</v>
      </c>
      <c r="G2328" s="36">
        <f>Tabla13[[#This Row],[Importe]]-Tabla13[[#This Row],[Pagado]]</f>
        <v>0</v>
      </c>
      <c r="H2328" s="38" t="s">
        <v>10</v>
      </c>
    </row>
    <row r="2329" spans="1:8" x14ac:dyDescent="0.25">
      <c r="A2329" s="31">
        <v>44613</v>
      </c>
      <c r="B2329" s="37" t="s">
        <v>6097</v>
      </c>
      <c r="C2329" s="38" t="s">
        <v>208</v>
      </c>
      <c r="D2329" s="34">
        <v>16169.1</v>
      </c>
      <c r="E2329" s="35">
        <v>44618</v>
      </c>
      <c r="F2329" s="34">
        <v>16169.1</v>
      </c>
      <c r="G2329" s="36">
        <f>Tabla13[[#This Row],[Importe]]-Tabla13[[#This Row],[Pagado]]</f>
        <v>0</v>
      </c>
      <c r="H2329" s="38" t="s">
        <v>10</v>
      </c>
    </row>
    <row r="2330" spans="1:8" x14ac:dyDescent="0.25">
      <c r="A2330" s="31">
        <v>44613</v>
      </c>
      <c r="B2330" s="37" t="s">
        <v>6098</v>
      </c>
      <c r="C2330" s="38" t="s">
        <v>233</v>
      </c>
      <c r="D2330" s="34">
        <v>4410</v>
      </c>
      <c r="E2330" s="35">
        <v>44613</v>
      </c>
      <c r="F2330" s="34">
        <v>4410</v>
      </c>
      <c r="G2330" s="36">
        <f>Tabla13[[#This Row],[Importe]]-Tabla13[[#This Row],[Pagado]]</f>
        <v>0</v>
      </c>
      <c r="H2330" s="38" t="s">
        <v>10</v>
      </c>
    </row>
    <row r="2331" spans="1:8" x14ac:dyDescent="0.25">
      <c r="A2331" s="31">
        <v>44613</v>
      </c>
      <c r="B2331" s="37" t="s">
        <v>6099</v>
      </c>
      <c r="C2331" s="38" t="s">
        <v>133</v>
      </c>
      <c r="D2331" s="34">
        <v>15130</v>
      </c>
      <c r="E2331" s="35">
        <v>44625</v>
      </c>
      <c r="F2331" s="34">
        <v>15130</v>
      </c>
      <c r="G2331" s="36">
        <f>Tabla13[[#This Row],[Importe]]-Tabla13[[#This Row],[Pagado]]</f>
        <v>0</v>
      </c>
      <c r="H2331" s="38" t="s">
        <v>10</v>
      </c>
    </row>
    <row r="2332" spans="1:8" x14ac:dyDescent="0.25">
      <c r="A2332" s="31">
        <v>44613</v>
      </c>
      <c r="B2332" s="37" t="s">
        <v>6100</v>
      </c>
      <c r="C2332" s="38" t="s">
        <v>840</v>
      </c>
      <c r="D2332" s="34">
        <v>11657.2</v>
      </c>
      <c r="E2332" s="35">
        <v>44613</v>
      </c>
      <c r="F2332" s="34">
        <v>11657.2</v>
      </c>
      <c r="G2332" s="36">
        <f>Tabla13[[#This Row],[Importe]]-Tabla13[[#This Row],[Pagado]]</f>
        <v>0</v>
      </c>
      <c r="H2332" s="38" t="s">
        <v>10</v>
      </c>
    </row>
    <row r="2333" spans="1:8" x14ac:dyDescent="0.25">
      <c r="A2333" s="31">
        <v>44613</v>
      </c>
      <c r="B2333" s="37" t="s">
        <v>6101</v>
      </c>
      <c r="C2333" s="38" t="s">
        <v>196</v>
      </c>
      <c r="D2333" s="34">
        <v>6470</v>
      </c>
      <c r="E2333" s="35">
        <v>44617</v>
      </c>
      <c r="F2333" s="34">
        <v>6470</v>
      </c>
      <c r="G2333" s="36">
        <f>Tabla13[[#This Row],[Importe]]-Tabla13[[#This Row],[Pagado]]</f>
        <v>0</v>
      </c>
      <c r="H2333" s="38" t="s">
        <v>10</v>
      </c>
    </row>
    <row r="2334" spans="1:8" x14ac:dyDescent="0.25">
      <c r="A2334" s="31">
        <v>44613</v>
      </c>
      <c r="B2334" s="37" t="s">
        <v>6102</v>
      </c>
      <c r="C2334" s="38" t="s">
        <v>222</v>
      </c>
      <c r="D2334" s="34">
        <v>8054.7</v>
      </c>
      <c r="E2334" s="35">
        <v>44613</v>
      </c>
      <c r="F2334" s="34">
        <v>8054.7</v>
      </c>
      <c r="G2334" s="36">
        <f>Tabla13[[#This Row],[Importe]]-Tabla13[[#This Row],[Pagado]]</f>
        <v>0</v>
      </c>
      <c r="H2334" s="38" t="s">
        <v>10</v>
      </c>
    </row>
    <row r="2335" spans="1:8" x14ac:dyDescent="0.25">
      <c r="A2335" s="31">
        <v>44613</v>
      </c>
      <c r="B2335" s="37" t="s">
        <v>6103</v>
      </c>
      <c r="C2335" s="38" t="s">
        <v>31</v>
      </c>
      <c r="D2335" s="34">
        <v>1758</v>
      </c>
      <c r="E2335" s="35">
        <v>44613</v>
      </c>
      <c r="F2335" s="34">
        <v>1758</v>
      </c>
      <c r="G2335" s="36">
        <f>Tabla13[[#This Row],[Importe]]-Tabla13[[#This Row],[Pagado]]</f>
        <v>0</v>
      </c>
      <c r="H2335" s="38" t="s">
        <v>10</v>
      </c>
    </row>
    <row r="2336" spans="1:8" x14ac:dyDescent="0.25">
      <c r="A2336" s="31">
        <v>44613</v>
      </c>
      <c r="B2336" s="37" t="s">
        <v>6104</v>
      </c>
      <c r="C2336" s="38" t="s">
        <v>1630</v>
      </c>
      <c r="D2336" s="34">
        <v>8780.7999999999993</v>
      </c>
      <c r="E2336" s="35">
        <v>44614</v>
      </c>
      <c r="F2336" s="34">
        <v>8780.7999999999993</v>
      </c>
      <c r="G2336" s="36">
        <f>Tabla13[[#This Row],[Importe]]-Tabla13[[#This Row],[Pagado]]</f>
        <v>0</v>
      </c>
      <c r="H2336" s="38" t="s">
        <v>10</v>
      </c>
    </row>
    <row r="2337" spans="1:8" ht="31.5" x14ac:dyDescent="0.25">
      <c r="A2337" s="31">
        <v>44613</v>
      </c>
      <c r="B2337" s="37" t="s">
        <v>6105</v>
      </c>
      <c r="C2337" s="41" t="s">
        <v>6106</v>
      </c>
      <c r="D2337" s="34">
        <v>0</v>
      </c>
      <c r="E2337" s="39" t="s">
        <v>189</v>
      </c>
      <c r="F2337" s="34">
        <v>0</v>
      </c>
      <c r="G2337" s="36">
        <f>Tabla13[[#This Row],[Importe]]-Tabla13[[#This Row],[Pagado]]</f>
        <v>0</v>
      </c>
      <c r="H2337" s="40" t="s">
        <v>6107</v>
      </c>
    </row>
    <row r="2338" spans="1:8" x14ac:dyDescent="0.25">
      <c r="A2338" s="31">
        <v>44613</v>
      </c>
      <c r="B2338" s="37" t="s">
        <v>6108</v>
      </c>
      <c r="C2338" s="38" t="s">
        <v>58</v>
      </c>
      <c r="D2338" s="34">
        <v>5472.8</v>
      </c>
      <c r="E2338" s="35">
        <v>44613</v>
      </c>
      <c r="F2338" s="34">
        <v>5472.8</v>
      </c>
      <c r="G2338" s="36">
        <f>Tabla13[[#This Row],[Importe]]-Tabla13[[#This Row],[Pagado]]</f>
        <v>0</v>
      </c>
      <c r="H2338" s="38" t="s">
        <v>10</v>
      </c>
    </row>
    <row r="2339" spans="1:8" x14ac:dyDescent="0.25">
      <c r="A2339" s="31">
        <v>44613</v>
      </c>
      <c r="B2339" s="37" t="s">
        <v>6109</v>
      </c>
      <c r="C2339" s="38" t="s">
        <v>31</v>
      </c>
      <c r="D2339" s="34">
        <v>295.10000000000002</v>
      </c>
      <c r="E2339" s="35">
        <v>44613</v>
      </c>
      <c r="F2339" s="34">
        <v>295.10000000000002</v>
      </c>
      <c r="G2339" s="36">
        <f>Tabla13[[#This Row],[Importe]]-Tabla13[[#This Row],[Pagado]]</f>
        <v>0</v>
      </c>
      <c r="H2339" s="38" t="s">
        <v>10</v>
      </c>
    </row>
    <row r="2340" spans="1:8" x14ac:dyDescent="0.25">
      <c r="A2340" s="31">
        <v>44613</v>
      </c>
      <c r="B2340" s="37" t="s">
        <v>6110</v>
      </c>
      <c r="C2340" s="38" t="s">
        <v>392</v>
      </c>
      <c r="D2340" s="34">
        <v>8978.7000000000007</v>
      </c>
      <c r="E2340" s="35">
        <v>44621</v>
      </c>
      <c r="F2340" s="34">
        <v>8978.7000000000007</v>
      </c>
      <c r="G2340" s="36">
        <f>Tabla13[[#This Row],[Importe]]-Tabla13[[#This Row],[Pagado]]</f>
        <v>0</v>
      </c>
      <c r="H2340" s="38" t="s">
        <v>10</v>
      </c>
    </row>
    <row r="2341" spans="1:8" x14ac:dyDescent="0.25">
      <c r="A2341" s="31">
        <v>44613</v>
      </c>
      <c r="B2341" s="37" t="s">
        <v>6111</v>
      </c>
      <c r="C2341" s="38" t="s">
        <v>6112</v>
      </c>
      <c r="D2341" s="34">
        <v>4005.2</v>
      </c>
      <c r="E2341" s="35">
        <v>44613</v>
      </c>
      <c r="F2341" s="34">
        <v>4005.2</v>
      </c>
      <c r="G2341" s="36">
        <f>Tabla13[[#This Row],[Importe]]-Tabla13[[#This Row],[Pagado]]</f>
        <v>0</v>
      </c>
      <c r="H2341" s="38" t="s">
        <v>10</v>
      </c>
    </row>
    <row r="2342" spans="1:8" x14ac:dyDescent="0.25">
      <c r="A2342" s="31">
        <v>44613</v>
      </c>
      <c r="B2342" s="37" t="s">
        <v>6113</v>
      </c>
      <c r="C2342" s="38" t="s">
        <v>275</v>
      </c>
      <c r="D2342" s="34">
        <v>147186.17000000001</v>
      </c>
      <c r="E2342" s="35">
        <v>44624</v>
      </c>
      <c r="F2342" s="34">
        <v>147186.17000000001</v>
      </c>
      <c r="G2342" s="36">
        <f>Tabla13[[#This Row],[Importe]]-Tabla13[[#This Row],[Pagado]]</f>
        <v>0</v>
      </c>
      <c r="H2342" s="38" t="s">
        <v>10</v>
      </c>
    </row>
    <row r="2343" spans="1:8" x14ac:dyDescent="0.25">
      <c r="A2343" s="31">
        <v>44613</v>
      </c>
      <c r="B2343" s="37" t="s">
        <v>6114</v>
      </c>
      <c r="C2343" s="38" t="s">
        <v>286</v>
      </c>
      <c r="D2343" s="34">
        <v>25000</v>
      </c>
      <c r="E2343" s="35">
        <v>44620</v>
      </c>
      <c r="F2343" s="34">
        <v>25000</v>
      </c>
      <c r="G2343" s="36">
        <f>Tabla13[[#This Row],[Importe]]-Tabla13[[#This Row],[Pagado]]</f>
        <v>0</v>
      </c>
      <c r="H2343" s="38" t="s">
        <v>10</v>
      </c>
    </row>
    <row r="2344" spans="1:8" x14ac:dyDescent="0.25">
      <c r="A2344" s="31">
        <v>44613</v>
      </c>
      <c r="B2344" s="37" t="s">
        <v>6115</v>
      </c>
      <c r="C2344" s="38" t="s">
        <v>173</v>
      </c>
      <c r="D2344" s="34">
        <v>39390</v>
      </c>
      <c r="E2344" s="35">
        <v>44614</v>
      </c>
      <c r="F2344" s="34">
        <v>39390</v>
      </c>
      <c r="G2344" s="36">
        <f>Tabla13[[#This Row],[Importe]]-Tabla13[[#This Row],[Pagado]]</f>
        <v>0</v>
      </c>
      <c r="H2344" s="38" t="s">
        <v>10</v>
      </c>
    </row>
    <row r="2345" spans="1:8" x14ac:dyDescent="0.25">
      <c r="A2345" s="31">
        <v>44613</v>
      </c>
      <c r="B2345" s="37" t="s">
        <v>6116</v>
      </c>
      <c r="C2345" s="38" t="s">
        <v>198</v>
      </c>
      <c r="D2345" s="34">
        <v>3654</v>
      </c>
      <c r="E2345" s="35">
        <v>44616</v>
      </c>
      <c r="F2345" s="34">
        <v>3654</v>
      </c>
      <c r="G2345" s="36">
        <f>Tabla13[[#This Row],[Importe]]-Tabla13[[#This Row],[Pagado]]</f>
        <v>0</v>
      </c>
      <c r="H2345" s="38" t="s">
        <v>10</v>
      </c>
    </row>
    <row r="2346" spans="1:8" x14ac:dyDescent="0.25">
      <c r="A2346" s="31">
        <v>44613</v>
      </c>
      <c r="B2346" s="37" t="s">
        <v>6117</v>
      </c>
      <c r="C2346" s="38" t="s">
        <v>312</v>
      </c>
      <c r="D2346" s="34">
        <v>1710</v>
      </c>
      <c r="E2346" s="35">
        <v>44613</v>
      </c>
      <c r="F2346" s="34">
        <v>1710</v>
      </c>
      <c r="G2346" s="36">
        <f>Tabla13[[#This Row],[Importe]]-Tabla13[[#This Row],[Pagado]]</f>
        <v>0</v>
      </c>
      <c r="H2346" s="38" t="s">
        <v>10</v>
      </c>
    </row>
    <row r="2347" spans="1:8" x14ac:dyDescent="0.25">
      <c r="A2347" s="31">
        <v>44613</v>
      </c>
      <c r="B2347" s="37" t="s">
        <v>6118</v>
      </c>
      <c r="C2347" s="38" t="s">
        <v>135</v>
      </c>
      <c r="D2347" s="34">
        <v>1443.3</v>
      </c>
      <c r="E2347" s="35">
        <v>44613</v>
      </c>
      <c r="F2347" s="34">
        <v>1443.3</v>
      </c>
      <c r="G2347" s="36">
        <f>Tabla13[[#This Row],[Importe]]-Tabla13[[#This Row],[Pagado]]</f>
        <v>0</v>
      </c>
      <c r="H2347" s="38" t="s">
        <v>10</v>
      </c>
    </row>
    <row r="2348" spans="1:8" x14ac:dyDescent="0.25">
      <c r="A2348" s="31">
        <v>44613</v>
      </c>
      <c r="B2348" s="37" t="s">
        <v>6119</v>
      </c>
      <c r="C2348" s="38" t="s">
        <v>71</v>
      </c>
      <c r="D2348" s="34">
        <v>10598.4</v>
      </c>
      <c r="E2348" s="35">
        <v>44613</v>
      </c>
      <c r="F2348" s="34">
        <v>10598.4</v>
      </c>
      <c r="G2348" s="36">
        <f>Tabla13[[#This Row],[Importe]]-Tabla13[[#This Row],[Pagado]]</f>
        <v>0</v>
      </c>
      <c r="H2348" s="38" t="s">
        <v>10</v>
      </c>
    </row>
    <row r="2349" spans="1:8" x14ac:dyDescent="0.25">
      <c r="A2349" s="31">
        <v>44613</v>
      </c>
      <c r="B2349" s="37" t="s">
        <v>6120</v>
      </c>
      <c r="C2349" s="38" t="s">
        <v>269</v>
      </c>
      <c r="D2349" s="34">
        <v>2828.2</v>
      </c>
      <c r="E2349" s="35">
        <v>44613</v>
      </c>
      <c r="F2349" s="34">
        <v>2828.2</v>
      </c>
      <c r="G2349" s="36">
        <f>Tabla13[[#This Row],[Importe]]-Tabla13[[#This Row],[Pagado]]</f>
        <v>0</v>
      </c>
      <c r="H2349" s="38" t="s">
        <v>10</v>
      </c>
    </row>
    <row r="2350" spans="1:8" x14ac:dyDescent="0.25">
      <c r="A2350" s="31">
        <v>44613</v>
      </c>
      <c r="B2350" s="37" t="s">
        <v>6121</v>
      </c>
      <c r="C2350" s="38" t="s">
        <v>24</v>
      </c>
      <c r="D2350" s="34">
        <v>3222.1</v>
      </c>
      <c r="E2350" s="35">
        <v>44613</v>
      </c>
      <c r="F2350" s="34">
        <v>3222.1</v>
      </c>
      <c r="G2350" s="36">
        <f>Tabla13[[#This Row],[Importe]]-Tabla13[[#This Row],[Pagado]]</f>
        <v>0</v>
      </c>
      <c r="H2350" s="38" t="s">
        <v>10</v>
      </c>
    </row>
    <row r="2351" spans="1:8" x14ac:dyDescent="0.25">
      <c r="A2351" s="31">
        <v>44613</v>
      </c>
      <c r="B2351" s="37" t="s">
        <v>6122</v>
      </c>
      <c r="C2351" s="38" t="s">
        <v>414</v>
      </c>
      <c r="D2351" s="34">
        <v>10570</v>
      </c>
      <c r="E2351" s="35">
        <v>44638</v>
      </c>
      <c r="F2351" s="34">
        <v>10570</v>
      </c>
      <c r="G2351" s="36">
        <f>Tabla13[[#This Row],[Importe]]-Tabla13[[#This Row],[Pagado]]</f>
        <v>0</v>
      </c>
      <c r="H2351" s="38" t="s">
        <v>10</v>
      </c>
    </row>
    <row r="2352" spans="1:8" x14ac:dyDescent="0.25">
      <c r="A2352" s="31">
        <v>44613</v>
      </c>
      <c r="B2352" s="37" t="s">
        <v>6123</v>
      </c>
      <c r="C2352" s="38" t="s">
        <v>249</v>
      </c>
      <c r="D2352" s="34">
        <v>4707.3</v>
      </c>
      <c r="E2352" s="35">
        <v>44613</v>
      </c>
      <c r="F2352" s="34">
        <v>4707.3</v>
      </c>
      <c r="G2352" s="36">
        <f>Tabla13[[#This Row],[Importe]]-Tabla13[[#This Row],[Pagado]]</f>
        <v>0</v>
      </c>
      <c r="H2352" s="38" t="s">
        <v>10</v>
      </c>
    </row>
    <row r="2353" spans="1:8" x14ac:dyDescent="0.25">
      <c r="A2353" s="31">
        <v>44613</v>
      </c>
      <c r="B2353" s="37" t="s">
        <v>6124</v>
      </c>
      <c r="C2353" s="38" t="s">
        <v>146</v>
      </c>
      <c r="D2353" s="34">
        <v>1360</v>
      </c>
      <c r="E2353" s="35">
        <v>44614</v>
      </c>
      <c r="F2353" s="34">
        <v>1360</v>
      </c>
      <c r="G2353" s="36">
        <f>Tabla13[[#This Row],[Importe]]-Tabla13[[#This Row],[Pagado]]</f>
        <v>0</v>
      </c>
      <c r="H2353" s="38" t="s">
        <v>10</v>
      </c>
    </row>
    <row r="2354" spans="1:8" x14ac:dyDescent="0.25">
      <c r="A2354" s="31">
        <v>44613</v>
      </c>
      <c r="B2354" s="37" t="s">
        <v>6125</v>
      </c>
      <c r="C2354" s="38" t="s">
        <v>169</v>
      </c>
      <c r="D2354" s="34">
        <v>480</v>
      </c>
      <c r="E2354" s="35">
        <v>44614</v>
      </c>
      <c r="F2354" s="34">
        <v>480</v>
      </c>
      <c r="G2354" s="36">
        <f>Tabla13[[#This Row],[Importe]]-Tabla13[[#This Row],[Pagado]]</f>
        <v>0</v>
      </c>
      <c r="H2354" s="38" t="s">
        <v>10</v>
      </c>
    </row>
    <row r="2355" spans="1:8" x14ac:dyDescent="0.25">
      <c r="A2355" s="31">
        <v>44613</v>
      </c>
      <c r="B2355" s="37" t="s">
        <v>6126</v>
      </c>
      <c r="C2355" s="38" t="s">
        <v>87</v>
      </c>
      <c r="D2355" s="34">
        <v>1555</v>
      </c>
      <c r="E2355" s="35">
        <v>44614</v>
      </c>
      <c r="F2355" s="34">
        <v>1555</v>
      </c>
      <c r="G2355" s="36">
        <f>Tabla13[[#This Row],[Importe]]-Tabla13[[#This Row],[Pagado]]</f>
        <v>0</v>
      </c>
      <c r="H2355" s="38" t="s">
        <v>10</v>
      </c>
    </row>
    <row r="2356" spans="1:8" x14ac:dyDescent="0.25">
      <c r="A2356" s="31">
        <v>44613</v>
      </c>
      <c r="B2356" s="37" t="s">
        <v>6127</v>
      </c>
      <c r="C2356" s="38" t="s">
        <v>31</v>
      </c>
      <c r="D2356" s="34">
        <v>504.7</v>
      </c>
      <c r="E2356" s="35">
        <v>44613</v>
      </c>
      <c r="F2356" s="34">
        <v>504.7</v>
      </c>
      <c r="G2356" s="36">
        <f>Tabla13[[#This Row],[Importe]]-Tabla13[[#This Row],[Pagado]]</f>
        <v>0</v>
      </c>
      <c r="H2356" s="38" t="s">
        <v>10</v>
      </c>
    </row>
    <row r="2357" spans="1:8" x14ac:dyDescent="0.25">
      <c r="A2357" s="31">
        <v>44613</v>
      </c>
      <c r="B2357" s="37" t="s">
        <v>6128</v>
      </c>
      <c r="C2357" s="38" t="s">
        <v>107</v>
      </c>
      <c r="D2357" s="34">
        <v>10704.9</v>
      </c>
      <c r="E2357" s="35">
        <v>44614</v>
      </c>
      <c r="F2357" s="34">
        <v>10704.9</v>
      </c>
      <c r="G2357" s="36">
        <f>Tabla13[[#This Row],[Importe]]-Tabla13[[#This Row],[Pagado]]</f>
        <v>0</v>
      </c>
      <c r="H2357" s="38" t="s">
        <v>10</v>
      </c>
    </row>
    <row r="2358" spans="1:8" x14ac:dyDescent="0.25">
      <c r="A2358" s="31">
        <v>44613</v>
      </c>
      <c r="B2358" s="37" t="s">
        <v>6129</v>
      </c>
      <c r="C2358" s="38" t="s">
        <v>419</v>
      </c>
      <c r="D2358" s="34">
        <v>6836.3</v>
      </c>
      <c r="E2358" s="35">
        <v>44613</v>
      </c>
      <c r="F2358" s="34">
        <v>6836.3</v>
      </c>
      <c r="G2358" s="36">
        <f>Tabla13[[#This Row],[Importe]]-Tabla13[[#This Row],[Pagado]]</f>
        <v>0</v>
      </c>
      <c r="H2358" s="38" t="s">
        <v>10</v>
      </c>
    </row>
    <row r="2359" spans="1:8" x14ac:dyDescent="0.25">
      <c r="A2359" s="31">
        <v>44613</v>
      </c>
      <c r="B2359" s="37" t="s">
        <v>6130</v>
      </c>
      <c r="C2359" s="38" t="s">
        <v>284</v>
      </c>
      <c r="D2359" s="34">
        <v>7535</v>
      </c>
      <c r="E2359" s="35">
        <v>44614</v>
      </c>
      <c r="F2359" s="34">
        <v>7535</v>
      </c>
      <c r="G2359" s="36">
        <f>Tabla13[[#This Row],[Importe]]-Tabla13[[#This Row],[Pagado]]</f>
        <v>0</v>
      </c>
      <c r="H2359" s="38" t="s">
        <v>10</v>
      </c>
    </row>
    <row r="2360" spans="1:8" x14ac:dyDescent="0.25">
      <c r="A2360" s="31">
        <v>44613</v>
      </c>
      <c r="B2360" s="37" t="s">
        <v>6131</v>
      </c>
      <c r="C2360" s="38" t="s">
        <v>280</v>
      </c>
      <c r="D2360" s="34">
        <v>470</v>
      </c>
      <c r="E2360" s="35">
        <v>44614</v>
      </c>
      <c r="F2360" s="34">
        <v>470</v>
      </c>
      <c r="G2360" s="36">
        <f>Tabla13[[#This Row],[Importe]]-Tabla13[[#This Row],[Pagado]]</f>
        <v>0</v>
      </c>
      <c r="H2360" s="38" t="s">
        <v>10</v>
      </c>
    </row>
    <row r="2361" spans="1:8" x14ac:dyDescent="0.25">
      <c r="A2361" s="31">
        <v>44613</v>
      </c>
      <c r="B2361" s="37" t="s">
        <v>6132</v>
      </c>
      <c r="C2361" s="38" t="s">
        <v>440</v>
      </c>
      <c r="D2361" s="34">
        <v>11552</v>
      </c>
      <c r="E2361" s="35">
        <v>44621</v>
      </c>
      <c r="F2361" s="34">
        <v>11552</v>
      </c>
      <c r="G2361" s="36">
        <f>Tabla13[[#This Row],[Importe]]-Tabla13[[#This Row],[Pagado]]</f>
        <v>0</v>
      </c>
      <c r="H2361" s="38" t="s">
        <v>10</v>
      </c>
    </row>
    <row r="2362" spans="1:8" x14ac:dyDescent="0.25">
      <c r="A2362" s="31">
        <v>44613</v>
      </c>
      <c r="B2362" s="37" t="s">
        <v>6133</v>
      </c>
      <c r="C2362" s="38" t="s">
        <v>291</v>
      </c>
      <c r="D2362" s="34">
        <v>2890</v>
      </c>
      <c r="E2362" s="35">
        <v>44614</v>
      </c>
      <c r="F2362" s="34">
        <v>2890</v>
      </c>
      <c r="G2362" s="36">
        <f>Tabla13[[#This Row],[Importe]]-Tabla13[[#This Row],[Pagado]]</f>
        <v>0</v>
      </c>
      <c r="H2362" s="38" t="s">
        <v>10</v>
      </c>
    </row>
    <row r="2363" spans="1:8" x14ac:dyDescent="0.25">
      <c r="A2363" s="31">
        <v>44613</v>
      </c>
      <c r="B2363" s="37" t="s">
        <v>6134</v>
      </c>
      <c r="C2363" s="38" t="s">
        <v>200</v>
      </c>
      <c r="D2363" s="34">
        <v>735</v>
      </c>
      <c r="E2363" s="35">
        <v>44614</v>
      </c>
      <c r="F2363" s="34">
        <v>735</v>
      </c>
      <c r="G2363" s="36">
        <f>Tabla13[[#This Row],[Importe]]-Tabla13[[#This Row],[Pagado]]</f>
        <v>0</v>
      </c>
      <c r="H2363" s="38" t="s">
        <v>10</v>
      </c>
    </row>
    <row r="2364" spans="1:8" x14ac:dyDescent="0.25">
      <c r="A2364" s="31">
        <v>44613</v>
      </c>
      <c r="B2364" s="37" t="s">
        <v>6135</v>
      </c>
      <c r="C2364" s="38" t="s">
        <v>275</v>
      </c>
      <c r="D2364" s="34">
        <v>1931.4</v>
      </c>
      <c r="E2364" s="35">
        <v>44624</v>
      </c>
      <c r="F2364" s="34">
        <v>1931.4</v>
      </c>
      <c r="G2364" s="36">
        <f>Tabla13[[#This Row],[Importe]]-Tabla13[[#This Row],[Pagado]]</f>
        <v>0</v>
      </c>
      <c r="H2364" s="38" t="s">
        <v>10</v>
      </c>
    </row>
    <row r="2365" spans="1:8" x14ac:dyDescent="0.25">
      <c r="A2365" s="31">
        <v>44613</v>
      </c>
      <c r="B2365" s="37" t="s">
        <v>6136</v>
      </c>
      <c r="C2365" s="38" t="s">
        <v>426</v>
      </c>
      <c r="D2365" s="34">
        <v>3855.4</v>
      </c>
      <c r="E2365" s="35">
        <v>44614</v>
      </c>
      <c r="F2365" s="34">
        <v>3855.4</v>
      </c>
      <c r="G2365" s="36">
        <f>Tabla13[[#This Row],[Importe]]-Tabla13[[#This Row],[Pagado]]</f>
        <v>0</v>
      </c>
      <c r="H2365" s="38" t="s">
        <v>10</v>
      </c>
    </row>
    <row r="2366" spans="1:8" x14ac:dyDescent="0.25">
      <c r="A2366" s="31">
        <v>44613</v>
      </c>
      <c r="B2366" s="37" t="s">
        <v>6137</v>
      </c>
      <c r="C2366" s="38" t="s">
        <v>175</v>
      </c>
      <c r="D2366" s="34">
        <v>19570.8</v>
      </c>
      <c r="E2366" s="35">
        <v>44614</v>
      </c>
      <c r="F2366" s="34">
        <v>19570.8</v>
      </c>
      <c r="G2366" s="36">
        <f>Tabla13[[#This Row],[Importe]]-Tabla13[[#This Row],[Pagado]]</f>
        <v>0</v>
      </c>
      <c r="H2366" s="38" t="s">
        <v>10</v>
      </c>
    </row>
    <row r="2367" spans="1:8" x14ac:dyDescent="0.25">
      <c r="A2367" s="31">
        <v>44613</v>
      </c>
      <c r="B2367" s="37" t="s">
        <v>6138</v>
      </c>
      <c r="C2367" s="38" t="s">
        <v>843</v>
      </c>
      <c r="D2367" s="34">
        <v>13560.4</v>
      </c>
      <c r="E2367" s="35">
        <v>44614</v>
      </c>
      <c r="F2367" s="34">
        <v>13560.4</v>
      </c>
      <c r="G2367" s="36">
        <f>Tabla13[[#This Row],[Importe]]-Tabla13[[#This Row],[Pagado]]</f>
        <v>0</v>
      </c>
      <c r="H2367" s="38" t="s">
        <v>10</v>
      </c>
    </row>
    <row r="2368" spans="1:8" x14ac:dyDescent="0.25">
      <c r="A2368" s="31">
        <v>44613</v>
      </c>
      <c r="B2368" s="37" t="s">
        <v>6139</v>
      </c>
      <c r="C2368" s="38" t="s">
        <v>149</v>
      </c>
      <c r="D2368" s="34">
        <v>1419.6</v>
      </c>
      <c r="E2368" s="35">
        <v>44613</v>
      </c>
      <c r="F2368" s="34">
        <v>1419.6</v>
      </c>
      <c r="G2368" s="36">
        <f>Tabla13[[#This Row],[Importe]]-Tabla13[[#This Row],[Pagado]]</f>
        <v>0</v>
      </c>
      <c r="H2368" s="38" t="s">
        <v>10</v>
      </c>
    </row>
    <row r="2369" spans="1:8" x14ac:dyDescent="0.25">
      <c r="A2369" s="31">
        <v>44613</v>
      </c>
      <c r="B2369" s="37" t="s">
        <v>6140</v>
      </c>
      <c r="C2369" s="38" t="s">
        <v>359</v>
      </c>
      <c r="D2369" s="34">
        <v>3265.8</v>
      </c>
      <c r="E2369" s="35">
        <v>44614</v>
      </c>
      <c r="F2369" s="34">
        <v>3265.8</v>
      </c>
      <c r="G2369" s="36">
        <f>Tabla13[[#This Row],[Importe]]-Tabla13[[#This Row],[Pagado]]</f>
        <v>0</v>
      </c>
      <c r="H2369" s="38" t="s">
        <v>10</v>
      </c>
    </row>
    <row r="2370" spans="1:8" x14ac:dyDescent="0.25">
      <c r="A2370" s="31">
        <v>44613</v>
      </c>
      <c r="B2370" s="37" t="s">
        <v>6141</v>
      </c>
      <c r="C2370" s="38" t="s">
        <v>75</v>
      </c>
      <c r="D2370" s="34">
        <v>5800</v>
      </c>
      <c r="E2370" s="35">
        <v>44614</v>
      </c>
      <c r="F2370" s="34">
        <v>5800</v>
      </c>
      <c r="G2370" s="36">
        <f>Tabla13[[#This Row],[Importe]]-Tabla13[[#This Row],[Pagado]]</f>
        <v>0</v>
      </c>
      <c r="H2370" s="38" t="s">
        <v>10</v>
      </c>
    </row>
    <row r="2371" spans="1:8" x14ac:dyDescent="0.25">
      <c r="A2371" s="31">
        <v>44613</v>
      </c>
      <c r="B2371" s="37" t="s">
        <v>6142</v>
      </c>
      <c r="C2371" s="38" t="s">
        <v>473</v>
      </c>
      <c r="D2371" s="34">
        <v>9792.4</v>
      </c>
      <c r="E2371" s="35">
        <v>44614</v>
      </c>
      <c r="F2371" s="34">
        <v>9792.4</v>
      </c>
      <c r="G2371" s="36">
        <f>Tabla13[[#This Row],[Importe]]-Tabla13[[#This Row],[Pagado]]</f>
        <v>0</v>
      </c>
      <c r="H2371" s="38" t="s">
        <v>10</v>
      </c>
    </row>
    <row r="2372" spans="1:8" x14ac:dyDescent="0.25">
      <c r="A2372" s="31">
        <v>44613</v>
      </c>
      <c r="B2372" s="37" t="s">
        <v>6143</v>
      </c>
      <c r="C2372" s="38" t="s">
        <v>246</v>
      </c>
      <c r="D2372" s="34">
        <v>32986.800000000003</v>
      </c>
      <c r="E2372" s="35">
        <v>44613</v>
      </c>
      <c r="F2372" s="34">
        <v>32986.800000000003</v>
      </c>
      <c r="G2372" s="36">
        <f>Tabla13[[#This Row],[Importe]]-Tabla13[[#This Row],[Pagado]]</f>
        <v>0</v>
      </c>
      <c r="H2372" s="38" t="s">
        <v>10</v>
      </c>
    </row>
    <row r="2373" spans="1:8" x14ac:dyDescent="0.25">
      <c r="A2373" s="31">
        <v>44613</v>
      </c>
      <c r="B2373" s="37" t="s">
        <v>6144</v>
      </c>
      <c r="C2373" s="38" t="s">
        <v>179</v>
      </c>
      <c r="D2373" s="34">
        <v>515</v>
      </c>
      <c r="E2373" s="35">
        <v>44613</v>
      </c>
      <c r="F2373" s="34">
        <v>515</v>
      </c>
      <c r="G2373" s="36">
        <f>Tabla13[[#This Row],[Importe]]-Tabla13[[#This Row],[Pagado]]</f>
        <v>0</v>
      </c>
      <c r="H2373" s="38" t="s">
        <v>10</v>
      </c>
    </row>
    <row r="2374" spans="1:8" x14ac:dyDescent="0.25">
      <c r="A2374" s="31">
        <v>44613</v>
      </c>
      <c r="B2374" s="37" t="s">
        <v>6145</v>
      </c>
      <c r="C2374" s="38" t="s">
        <v>1350</v>
      </c>
      <c r="D2374" s="34">
        <v>640.1</v>
      </c>
      <c r="E2374" s="35">
        <v>44613</v>
      </c>
      <c r="F2374" s="34">
        <v>640.1</v>
      </c>
      <c r="G2374" s="36">
        <f>Tabla13[[#This Row],[Importe]]-Tabla13[[#This Row],[Pagado]]</f>
        <v>0</v>
      </c>
      <c r="H2374" s="38" t="s">
        <v>10</v>
      </c>
    </row>
    <row r="2375" spans="1:8" x14ac:dyDescent="0.25">
      <c r="A2375" s="31">
        <v>44613</v>
      </c>
      <c r="B2375" s="37" t="s">
        <v>6146</v>
      </c>
      <c r="C2375" s="38" t="s">
        <v>251</v>
      </c>
      <c r="D2375" s="34">
        <v>1079</v>
      </c>
      <c r="E2375" s="35">
        <v>44613</v>
      </c>
      <c r="F2375" s="34">
        <v>1079</v>
      </c>
      <c r="G2375" s="36">
        <f>Tabla13[[#This Row],[Importe]]-Tabla13[[#This Row],[Pagado]]</f>
        <v>0</v>
      </c>
      <c r="H2375" s="38" t="s">
        <v>10</v>
      </c>
    </row>
    <row r="2376" spans="1:8" x14ac:dyDescent="0.25">
      <c r="A2376" s="31">
        <v>44613</v>
      </c>
      <c r="B2376" s="37" t="s">
        <v>6147</v>
      </c>
      <c r="C2376" s="38" t="s">
        <v>1313</v>
      </c>
      <c r="D2376" s="34">
        <v>8593.5</v>
      </c>
      <c r="E2376" s="35">
        <v>44613</v>
      </c>
      <c r="F2376" s="34">
        <v>8593.5</v>
      </c>
      <c r="G2376" s="36">
        <f>Tabla13[[#This Row],[Importe]]-Tabla13[[#This Row],[Pagado]]</f>
        <v>0</v>
      </c>
      <c r="H2376" s="38" t="s">
        <v>10</v>
      </c>
    </row>
    <row r="2377" spans="1:8" x14ac:dyDescent="0.25">
      <c r="A2377" s="31">
        <v>44613</v>
      </c>
      <c r="B2377" s="37" t="s">
        <v>6148</v>
      </c>
      <c r="C2377" s="38" t="s">
        <v>6149</v>
      </c>
      <c r="D2377" s="34">
        <v>0</v>
      </c>
      <c r="E2377" s="39" t="s">
        <v>189</v>
      </c>
      <c r="F2377" s="34">
        <v>0</v>
      </c>
      <c r="G2377" s="36">
        <f>Tabla13[[#This Row],[Importe]]-Tabla13[[#This Row],[Pagado]]</f>
        <v>0</v>
      </c>
      <c r="H2377" s="38" t="s">
        <v>189</v>
      </c>
    </row>
    <row r="2378" spans="1:8" x14ac:dyDescent="0.25">
      <c r="A2378" s="31">
        <v>44613</v>
      </c>
      <c r="B2378" s="37" t="s">
        <v>6150</v>
      </c>
      <c r="C2378" s="38" t="s">
        <v>142</v>
      </c>
      <c r="D2378" s="34">
        <v>16100</v>
      </c>
      <c r="E2378" s="35">
        <v>44617</v>
      </c>
      <c r="F2378" s="34">
        <v>16100</v>
      </c>
      <c r="G2378" s="36">
        <f>Tabla13[[#This Row],[Importe]]-Tabla13[[#This Row],[Pagado]]</f>
        <v>0</v>
      </c>
      <c r="H2378" s="38" t="s">
        <v>10</v>
      </c>
    </row>
    <row r="2379" spans="1:8" x14ac:dyDescent="0.25">
      <c r="A2379" s="31">
        <v>44613</v>
      </c>
      <c r="B2379" s="37" t="s">
        <v>6151</v>
      </c>
      <c r="C2379" s="38" t="s">
        <v>6152</v>
      </c>
      <c r="D2379" s="34">
        <v>32753</v>
      </c>
      <c r="E2379" s="35">
        <v>44613</v>
      </c>
      <c r="F2379" s="34">
        <v>32753</v>
      </c>
      <c r="G2379" s="36">
        <f>Tabla13[[#This Row],[Importe]]-Tabla13[[#This Row],[Pagado]]</f>
        <v>0</v>
      </c>
      <c r="H2379" s="38" t="s">
        <v>10</v>
      </c>
    </row>
    <row r="2380" spans="1:8" x14ac:dyDescent="0.25">
      <c r="A2380" s="31">
        <v>44613</v>
      </c>
      <c r="B2380" s="37" t="s">
        <v>6153</v>
      </c>
      <c r="C2380" s="38" t="s">
        <v>6152</v>
      </c>
      <c r="D2380" s="34">
        <v>5684</v>
      </c>
      <c r="E2380" s="35">
        <v>44613</v>
      </c>
      <c r="F2380" s="34">
        <v>5684</v>
      </c>
      <c r="G2380" s="36">
        <f>Tabla13[[#This Row],[Importe]]-Tabla13[[#This Row],[Pagado]]</f>
        <v>0</v>
      </c>
      <c r="H2380" s="38" t="s">
        <v>10</v>
      </c>
    </row>
    <row r="2381" spans="1:8" x14ac:dyDescent="0.25">
      <c r="A2381" s="31">
        <v>44613</v>
      </c>
      <c r="B2381" s="37" t="s">
        <v>6154</v>
      </c>
      <c r="C2381" s="38" t="s">
        <v>475</v>
      </c>
      <c r="D2381" s="34">
        <v>34902.699999999997</v>
      </c>
      <c r="E2381" s="35">
        <v>44615</v>
      </c>
      <c r="F2381" s="34">
        <v>34902.699999999997</v>
      </c>
      <c r="G2381" s="36">
        <f>Tabla13[[#This Row],[Importe]]-Tabla13[[#This Row],[Pagado]]</f>
        <v>0</v>
      </c>
      <c r="H2381" s="38" t="s">
        <v>10</v>
      </c>
    </row>
    <row r="2382" spans="1:8" x14ac:dyDescent="0.25">
      <c r="A2382" s="31">
        <v>44613</v>
      </c>
      <c r="B2382" s="37" t="s">
        <v>6155</v>
      </c>
      <c r="C2382" s="38" t="s">
        <v>475</v>
      </c>
      <c r="D2382" s="34">
        <v>4140.5</v>
      </c>
      <c r="E2382" s="35">
        <v>44615</v>
      </c>
      <c r="F2382" s="34">
        <v>4140.5</v>
      </c>
      <c r="G2382" s="36">
        <f>Tabla13[[#This Row],[Importe]]-Tabla13[[#This Row],[Pagado]]</f>
        <v>0</v>
      </c>
      <c r="H2382" s="38" t="s">
        <v>10</v>
      </c>
    </row>
    <row r="2383" spans="1:8" x14ac:dyDescent="0.25">
      <c r="A2383" s="31">
        <v>44613</v>
      </c>
      <c r="B2383" s="37" t="s">
        <v>6156</v>
      </c>
      <c r="C2383" s="38" t="s">
        <v>448</v>
      </c>
      <c r="D2383" s="34">
        <v>17620</v>
      </c>
      <c r="E2383" s="35">
        <v>44614</v>
      </c>
      <c r="F2383" s="34">
        <v>17620</v>
      </c>
      <c r="G2383" s="36">
        <f>Tabla13[[#This Row],[Importe]]-Tabla13[[#This Row],[Pagado]]</f>
        <v>0</v>
      </c>
      <c r="H2383" s="38" t="s">
        <v>10</v>
      </c>
    </row>
    <row r="2384" spans="1:8" x14ac:dyDescent="0.25">
      <c r="A2384" s="31">
        <v>44613</v>
      </c>
      <c r="B2384" s="37" t="s">
        <v>6157</v>
      </c>
      <c r="C2384" s="38" t="s">
        <v>53</v>
      </c>
      <c r="D2384" s="34">
        <v>1361.7</v>
      </c>
      <c r="E2384" s="35">
        <v>44613</v>
      </c>
      <c r="F2384" s="34">
        <v>1361.7</v>
      </c>
      <c r="G2384" s="36">
        <f>Tabla13[[#This Row],[Importe]]-Tabla13[[#This Row],[Pagado]]</f>
        <v>0</v>
      </c>
      <c r="H2384" s="38" t="s">
        <v>10</v>
      </c>
    </row>
    <row r="2385" spans="1:8" x14ac:dyDescent="0.25">
      <c r="A2385" s="31">
        <v>44613</v>
      </c>
      <c r="B2385" s="37" t="s">
        <v>6158</v>
      </c>
      <c r="C2385" s="38" t="s">
        <v>53</v>
      </c>
      <c r="D2385" s="34">
        <v>448.8</v>
      </c>
      <c r="E2385" s="35">
        <v>44613</v>
      </c>
      <c r="F2385" s="34">
        <v>448.8</v>
      </c>
      <c r="G2385" s="36">
        <f>Tabla13[[#This Row],[Importe]]-Tabla13[[#This Row],[Pagado]]</f>
        <v>0</v>
      </c>
      <c r="H2385" s="38" t="s">
        <v>10</v>
      </c>
    </row>
    <row r="2386" spans="1:8" x14ac:dyDescent="0.25">
      <c r="A2386" s="31">
        <v>44613</v>
      </c>
      <c r="B2386" s="37" t="s">
        <v>6159</v>
      </c>
      <c r="C2386" s="38" t="s">
        <v>95</v>
      </c>
      <c r="D2386" s="34">
        <v>3310.2</v>
      </c>
      <c r="E2386" s="35">
        <v>44613</v>
      </c>
      <c r="F2386" s="34">
        <v>3310.2</v>
      </c>
      <c r="G2386" s="36">
        <f>Tabla13[[#This Row],[Importe]]-Tabla13[[#This Row],[Pagado]]</f>
        <v>0</v>
      </c>
      <c r="H2386" s="38" t="s">
        <v>10</v>
      </c>
    </row>
    <row r="2387" spans="1:8" x14ac:dyDescent="0.25">
      <c r="A2387" s="31">
        <v>44613</v>
      </c>
      <c r="B2387" s="37" t="s">
        <v>6160</v>
      </c>
      <c r="C2387" s="38" t="s">
        <v>31</v>
      </c>
      <c r="D2387" s="34">
        <v>4010</v>
      </c>
      <c r="E2387" s="35">
        <v>44613</v>
      </c>
      <c r="F2387" s="34">
        <v>4010</v>
      </c>
      <c r="G2387" s="36">
        <f>Tabla13[[#This Row],[Importe]]-Tabla13[[#This Row],[Pagado]]</f>
        <v>0</v>
      </c>
      <c r="H2387" s="38" t="s">
        <v>10</v>
      </c>
    </row>
    <row r="2388" spans="1:8" x14ac:dyDescent="0.25">
      <c r="A2388" s="31">
        <v>44613</v>
      </c>
      <c r="B2388" s="37" t="s">
        <v>6161</v>
      </c>
      <c r="C2388" s="38" t="s">
        <v>303</v>
      </c>
      <c r="D2388" s="34">
        <v>26843.7</v>
      </c>
      <c r="E2388" s="35">
        <v>44620</v>
      </c>
      <c r="F2388" s="34">
        <v>26843.7</v>
      </c>
      <c r="G2388" s="36">
        <f>Tabla13[[#This Row],[Importe]]-Tabla13[[#This Row],[Pagado]]</f>
        <v>0</v>
      </c>
      <c r="H2388" s="38" t="s">
        <v>10</v>
      </c>
    </row>
    <row r="2389" spans="1:8" x14ac:dyDescent="0.25">
      <c r="A2389" s="31">
        <v>44613</v>
      </c>
      <c r="B2389" s="37" t="s">
        <v>6162</v>
      </c>
      <c r="C2389" s="38" t="s">
        <v>214</v>
      </c>
      <c r="D2389" s="34">
        <v>9082.4</v>
      </c>
      <c r="E2389" s="35">
        <v>44615</v>
      </c>
      <c r="F2389" s="34">
        <v>9082.4</v>
      </c>
      <c r="G2389" s="36">
        <f>Tabla13[[#This Row],[Importe]]-Tabla13[[#This Row],[Pagado]]</f>
        <v>0</v>
      </c>
      <c r="H2389" s="38" t="s">
        <v>10</v>
      </c>
    </row>
    <row r="2390" spans="1:8" x14ac:dyDescent="0.25">
      <c r="A2390" s="31">
        <v>44613</v>
      </c>
      <c r="B2390" s="37" t="s">
        <v>6163</v>
      </c>
      <c r="C2390" s="38" t="s">
        <v>2020</v>
      </c>
      <c r="D2390" s="34">
        <v>27000</v>
      </c>
      <c r="E2390" s="35">
        <v>44613</v>
      </c>
      <c r="F2390" s="34">
        <v>27000</v>
      </c>
      <c r="G2390" s="36">
        <f>Tabla13[[#This Row],[Importe]]-Tabla13[[#This Row],[Pagado]]</f>
        <v>0</v>
      </c>
      <c r="H2390" s="38" t="s">
        <v>10</v>
      </c>
    </row>
    <row r="2391" spans="1:8" x14ac:dyDescent="0.25">
      <c r="A2391" s="31">
        <v>44613</v>
      </c>
      <c r="B2391" s="37" t="s">
        <v>6164</v>
      </c>
      <c r="C2391" s="38" t="s">
        <v>2020</v>
      </c>
      <c r="D2391" s="34">
        <v>27000</v>
      </c>
      <c r="E2391" s="35">
        <v>44613</v>
      </c>
      <c r="F2391" s="34">
        <v>27000</v>
      </c>
      <c r="G2391" s="36">
        <f>Tabla13[[#This Row],[Importe]]-Tabla13[[#This Row],[Pagado]]</f>
        <v>0</v>
      </c>
      <c r="H2391" s="38" t="s">
        <v>10</v>
      </c>
    </row>
    <row r="2392" spans="1:8" x14ac:dyDescent="0.25">
      <c r="A2392" s="31">
        <v>44613</v>
      </c>
      <c r="B2392" s="37" t="s">
        <v>6165</v>
      </c>
      <c r="C2392" s="38" t="s">
        <v>31</v>
      </c>
      <c r="D2392" s="34">
        <v>1734.5</v>
      </c>
      <c r="E2392" s="35">
        <v>44613</v>
      </c>
      <c r="F2392" s="34">
        <v>1734.5</v>
      </c>
      <c r="G2392" s="36">
        <f>Tabla13[[#This Row],[Importe]]-Tabla13[[#This Row],[Pagado]]</f>
        <v>0</v>
      </c>
      <c r="H2392" s="38" t="s">
        <v>10</v>
      </c>
    </row>
    <row r="2393" spans="1:8" x14ac:dyDescent="0.25">
      <c r="A2393" s="31">
        <v>44613</v>
      </c>
      <c r="B2393" s="37" t="s">
        <v>6166</v>
      </c>
      <c r="C2393" s="38" t="s">
        <v>196</v>
      </c>
      <c r="D2393" s="34">
        <v>5335</v>
      </c>
      <c r="E2393" s="35">
        <v>44617</v>
      </c>
      <c r="F2393" s="34">
        <v>5335</v>
      </c>
      <c r="G2393" s="36">
        <f>Tabla13[[#This Row],[Importe]]-Tabla13[[#This Row],[Pagado]]</f>
        <v>0</v>
      </c>
      <c r="H2393" s="38" t="s">
        <v>10</v>
      </c>
    </row>
    <row r="2394" spans="1:8" x14ac:dyDescent="0.25">
      <c r="A2394" s="31">
        <v>44613</v>
      </c>
      <c r="B2394" s="37" t="s">
        <v>6167</v>
      </c>
      <c r="C2394" s="38" t="s">
        <v>2961</v>
      </c>
      <c r="D2394" s="34">
        <v>54151.199999999997</v>
      </c>
      <c r="E2394" s="35">
        <v>44615</v>
      </c>
      <c r="F2394" s="34">
        <v>54151.199999999997</v>
      </c>
      <c r="G2394" s="36">
        <f>Tabla13[[#This Row],[Importe]]-Tabla13[[#This Row],[Pagado]]</f>
        <v>0</v>
      </c>
      <c r="H2394" s="38" t="s">
        <v>10</v>
      </c>
    </row>
    <row r="2395" spans="1:8" x14ac:dyDescent="0.25">
      <c r="A2395" s="31">
        <v>44614</v>
      </c>
      <c r="B2395" s="37" t="s">
        <v>6168</v>
      </c>
      <c r="C2395" s="38" t="s">
        <v>887</v>
      </c>
      <c r="D2395" s="34">
        <v>11942.5</v>
      </c>
      <c r="E2395" s="35">
        <v>44615</v>
      </c>
      <c r="F2395" s="34">
        <v>11942.5</v>
      </c>
      <c r="G2395" s="36">
        <f>Tabla13[[#This Row],[Importe]]-Tabla13[[#This Row],[Pagado]]</f>
        <v>0</v>
      </c>
      <c r="H2395" s="38" t="s">
        <v>10</v>
      </c>
    </row>
    <row r="2396" spans="1:8" x14ac:dyDescent="0.25">
      <c r="A2396" s="31">
        <v>44614</v>
      </c>
      <c r="B2396" s="37" t="s">
        <v>6169</v>
      </c>
      <c r="C2396" s="38" t="s">
        <v>6170</v>
      </c>
      <c r="D2396" s="34">
        <v>0</v>
      </c>
      <c r="E2396" s="39" t="s">
        <v>189</v>
      </c>
      <c r="F2396" s="34">
        <v>0</v>
      </c>
      <c r="G2396" s="36">
        <f>Tabla13[[#This Row],[Importe]]-Tabla13[[#This Row],[Pagado]]</f>
        <v>0</v>
      </c>
      <c r="H2396" s="40" t="s">
        <v>6171</v>
      </c>
    </row>
    <row r="2397" spans="1:8" x14ac:dyDescent="0.25">
      <c r="A2397" s="31">
        <v>44614</v>
      </c>
      <c r="B2397" s="37" t="s">
        <v>6172</v>
      </c>
      <c r="C2397" s="38" t="s">
        <v>79</v>
      </c>
      <c r="D2397" s="34">
        <v>14824.2</v>
      </c>
      <c r="E2397" s="35">
        <v>44614</v>
      </c>
      <c r="F2397" s="34">
        <v>14824.2</v>
      </c>
      <c r="G2397" s="36">
        <f>Tabla13[[#This Row],[Importe]]-Tabla13[[#This Row],[Pagado]]</f>
        <v>0</v>
      </c>
      <c r="H2397" s="38" t="s">
        <v>10</v>
      </c>
    </row>
    <row r="2398" spans="1:8" x14ac:dyDescent="0.25">
      <c r="A2398" s="31">
        <v>44614</v>
      </c>
      <c r="B2398" s="37" t="s">
        <v>6173</v>
      </c>
      <c r="C2398" s="38" t="s">
        <v>481</v>
      </c>
      <c r="D2398" s="34">
        <v>1182.5999999999999</v>
      </c>
      <c r="E2398" s="35">
        <v>44614</v>
      </c>
      <c r="F2398" s="34">
        <v>1182.5999999999999</v>
      </c>
      <c r="G2398" s="36">
        <f>Tabla13[[#This Row],[Importe]]-Tabla13[[#This Row],[Pagado]]</f>
        <v>0</v>
      </c>
      <c r="H2398" s="38" t="s">
        <v>10</v>
      </c>
    </row>
    <row r="2399" spans="1:8" x14ac:dyDescent="0.25">
      <c r="A2399" s="31">
        <v>44614</v>
      </c>
      <c r="B2399" s="37" t="s">
        <v>6174</v>
      </c>
      <c r="C2399" s="38" t="s">
        <v>111</v>
      </c>
      <c r="D2399" s="34">
        <v>4295.8</v>
      </c>
      <c r="E2399" s="35">
        <v>44615</v>
      </c>
      <c r="F2399" s="34">
        <v>4295.8</v>
      </c>
      <c r="G2399" s="36">
        <f>Tabla13[[#This Row],[Importe]]-Tabla13[[#This Row],[Pagado]]</f>
        <v>0</v>
      </c>
      <c r="H2399" s="38" t="s">
        <v>10</v>
      </c>
    </row>
    <row r="2400" spans="1:8" x14ac:dyDescent="0.25">
      <c r="A2400" s="31">
        <v>44614</v>
      </c>
      <c r="B2400" s="37" t="s">
        <v>6175</v>
      </c>
      <c r="C2400" s="38" t="s">
        <v>105</v>
      </c>
      <c r="D2400" s="34">
        <v>4051.4</v>
      </c>
      <c r="E2400" s="35">
        <v>44615</v>
      </c>
      <c r="F2400" s="34">
        <v>4051.4</v>
      </c>
      <c r="G2400" s="36">
        <f>Tabla13[[#This Row],[Importe]]-Tabla13[[#This Row],[Pagado]]</f>
        <v>0</v>
      </c>
      <c r="H2400" s="38" t="s">
        <v>10</v>
      </c>
    </row>
    <row r="2401" spans="1:8" x14ac:dyDescent="0.25">
      <c r="A2401" s="31">
        <v>44614</v>
      </c>
      <c r="B2401" s="37" t="s">
        <v>6176</v>
      </c>
      <c r="C2401" s="38" t="s">
        <v>116</v>
      </c>
      <c r="D2401" s="34">
        <v>3586.8</v>
      </c>
      <c r="E2401" s="35">
        <v>44615</v>
      </c>
      <c r="F2401" s="34">
        <v>3586.8</v>
      </c>
      <c r="G2401" s="36">
        <f>Tabla13[[#This Row],[Importe]]-Tabla13[[#This Row],[Pagado]]</f>
        <v>0</v>
      </c>
      <c r="H2401" s="38" t="s">
        <v>10</v>
      </c>
    </row>
    <row r="2402" spans="1:8" x14ac:dyDescent="0.25">
      <c r="A2402" s="31">
        <v>44614</v>
      </c>
      <c r="B2402" s="37" t="s">
        <v>6177</v>
      </c>
      <c r="C2402" s="38" t="s">
        <v>85</v>
      </c>
      <c r="D2402" s="34">
        <v>1379</v>
      </c>
      <c r="E2402" s="35">
        <v>44614</v>
      </c>
      <c r="F2402" s="34">
        <v>1379</v>
      </c>
      <c r="G2402" s="36">
        <f>Tabla13[[#This Row],[Importe]]-Tabla13[[#This Row],[Pagado]]</f>
        <v>0</v>
      </c>
      <c r="H2402" s="38" t="s">
        <v>10</v>
      </c>
    </row>
    <row r="2403" spans="1:8" x14ac:dyDescent="0.25">
      <c r="A2403" s="31">
        <v>44614</v>
      </c>
      <c r="B2403" s="37" t="s">
        <v>6178</v>
      </c>
      <c r="C2403" s="38" t="s">
        <v>371</v>
      </c>
      <c r="D2403" s="34">
        <v>11345.8</v>
      </c>
      <c r="E2403" s="35">
        <v>44614</v>
      </c>
      <c r="F2403" s="34">
        <v>11345.8</v>
      </c>
      <c r="G2403" s="36">
        <f>Tabla13[[#This Row],[Importe]]-Tabla13[[#This Row],[Pagado]]</f>
        <v>0</v>
      </c>
      <c r="H2403" s="38" t="s">
        <v>10</v>
      </c>
    </row>
    <row r="2404" spans="1:8" x14ac:dyDescent="0.25">
      <c r="A2404" s="31">
        <v>44614</v>
      </c>
      <c r="B2404" s="37" t="s">
        <v>6179</v>
      </c>
      <c r="C2404" s="38" t="s">
        <v>105</v>
      </c>
      <c r="D2404" s="34">
        <v>2635.2</v>
      </c>
      <c r="E2404" s="35">
        <v>44615</v>
      </c>
      <c r="F2404" s="34">
        <v>2635.2</v>
      </c>
      <c r="G2404" s="36">
        <f>Tabla13[[#This Row],[Importe]]-Tabla13[[#This Row],[Pagado]]</f>
        <v>0</v>
      </c>
      <c r="H2404" s="38" t="s">
        <v>10</v>
      </c>
    </row>
    <row r="2405" spans="1:8" x14ac:dyDescent="0.25">
      <c r="A2405" s="31">
        <v>44614</v>
      </c>
      <c r="B2405" s="37" t="s">
        <v>6180</v>
      </c>
      <c r="C2405" s="38" t="s">
        <v>348</v>
      </c>
      <c r="D2405" s="34">
        <v>3675.4</v>
      </c>
      <c r="E2405" s="35">
        <v>44615</v>
      </c>
      <c r="F2405" s="34">
        <v>3675.4</v>
      </c>
      <c r="G2405" s="36">
        <f>Tabla13[[#This Row],[Importe]]-Tabla13[[#This Row],[Pagado]]</f>
        <v>0</v>
      </c>
      <c r="H2405" s="38" t="s">
        <v>10</v>
      </c>
    </row>
    <row r="2406" spans="1:8" x14ac:dyDescent="0.25">
      <c r="A2406" s="31">
        <v>44614</v>
      </c>
      <c r="B2406" s="37" t="s">
        <v>6181</v>
      </c>
      <c r="C2406" s="38" t="s">
        <v>114</v>
      </c>
      <c r="D2406" s="34">
        <v>8760.7999999999993</v>
      </c>
      <c r="E2406" s="35">
        <v>44616</v>
      </c>
      <c r="F2406" s="34">
        <v>8760.7999999999993</v>
      </c>
      <c r="G2406" s="36">
        <f>Tabla13[[#This Row],[Importe]]-Tabla13[[#This Row],[Pagado]]</f>
        <v>0</v>
      </c>
      <c r="H2406" s="38" t="s">
        <v>10</v>
      </c>
    </row>
    <row r="2407" spans="1:8" x14ac:dyDescent="0.25">
      <c r="A2407" s="31">
        <v>44614</v>
      </c>
      <c r="B2407" s="37" t="s">
        <v>6182</v>
      </c>
      <c r="C2407" s="38" t="s">
        <v>95</v>
      </c>
      <c r="D2407" s="34">
        <v>15569.2</v>
      </c>
      <c r="E2407" s="35">
        <v>44614</v>
      </c>
      <c r="F2407" s="34">
        <v>15569.2</v>
      </c>
      <c r="G2407" s="36">
        <f>Tabla13[[#This Row],[Importe]]-Tabla13[[#This Row],[Pagado]]</f>
        <v>0</v>
      </c>
      <c r="H2407" s="38" t="s">
        <v>10</v>
      </c>
    </row>
    <row r="2408" spans="1:8" x14ac:dyDescent="0.25">
      <c r="A2408" s="31">
        <v>44614</v>
      </c>
      <c r="B2408" s="37" t="s">
        <v>6183</v>
      </c>
      <c r="C2408" s="38" t="s">
        <v>75</v>
      </c>
      <c r="D2408" s="34">
        <v>5540</v>
      </c>
      <c r="E2408" s="35">
        <v>44614</v>
      </c>
      <c r="F2408" s="34">
        <v>5540</v>
      </c>
      <c r="G2408" s="36">
        <f>Tabla13[[#This Row],[Importe]]-Tabla13[[#This Row],[Pagado]]</f>
        <v>0</v>
      </c>
      <c r="H2408" s="38" t="s">
        <v>10</v>
      </c>
    </row>
    <row r="2409" spans="1:8" ht="31.5" x14ac:dyDescent="0.25">
      <c r="A2409" s="31">
        <v>44614</v>
      </c>
      <c r="B2409" s="37" t="s">
        <v>6184</v>
      </c>
      <c r="C2409" s="38" t="s">
        <v>39</v>
      </c>
      <c r="D2409" s="34">
        <v>19804.099999999999</v>
      </c>
      <c r="E2409" s="35" t="s">
        <v>6185</v>
      </c>
      <c r="F2409" s="34">
        <f>4000+15804.1</f>
        <v>19804.099999999999</v>
      </c>
      <c r="G2409" s="36">
        <f>Tabla13[[#This Row],[Importe]]-Tabla13[[#This Row],[Pagado]]</f>
        <v>0</v>
      </c>
      <c r="H2409" s="38" t="s">
        <v>10</v>
      </c>
    </row>
    <row r="2410" spans="1:8" x14ac:dyDescent="0.25">
      <c r="A2410" s="31">
        <v>44614</v>
      </c>
      <c r="B2410" s="37" t="s">
        <v>6186</v>
      </c>
      <c r="C2410" s="38" t="s">
        <v>22</v>
      </c>
      <c r="D2410" s="34">
        <v>40234.9</v>
      </c>
      <c r="E2410" s="35">
        <v>44616</v>
      </c>
      <c r="F2410" s="34">
        <v>40234.9</v>
      </c>
      <c r="G2410" s="36">
        <f>Tabla13[[#This Row],[Importe]]-Tabla13[[#This Row],[Pagado]]</f>
        <v>0</v>
      </c>
      <c r="H2410" s="38" t="s">
        <v>10</v>
      </c>
    </row>
    <row r="2411" spans="1:8" x14ac:dyDescent="0.25">
      <c r="A2411" s="31">
        <v>44614</v>
      </c>
      <c r="B2411" s="37" t="s">
        <v>6187</v>
      </c>
      <c r="C2411" s="38" t="s">
        <v>9</v>
      </c>
      <c r="D2411" s="34">
        <v>5809.5</v>
      </c>
      <c r="E2411" s="35">
        <v>44614</v>
      </c>
      <c r="F2411" s="34">
        <v>5809.5</v>
      </c>
      <c r="G2411" s="36">
        <f>Tabla13[[#This Row],[Importe]]-Tabla13[[#This Row],[Pagado]]</f>
        <v>0</v>
      </c>
      <c r="H2411" s="38" t="s">
        <v>10</v>
      </c>
    </row>
    <row r="2412" spans="1:8" x14ac:dyDescent="0.25">
      <c r="A2412" s="31">
        <v>44614</v>
      </c>
      <c r="B2412" s="37" t="s">
        <v>6188</v>
      </c>
      <c r="C2412" s="38" t="s">
        <v>64</v>
      </c>
      <c r="D2412" s="34">
        <v>4125.8</v>
      </c>
      <c r="E2412" s="35">
        <v>44615</v>
      </c>
      <c r="F2412" s="34">
        <v>4125.8</v>
      </c>
      <c r="G2412" s="36">
        <f>Tabla13[[#This Row],[Importe]]-Tabla13[[#This Row],[Pagado]]</f>
        <v>0</v>
      </c>
      <c r="H2412" s="38" t="s">
        <v>10</v>
      </c>
    </row>
    <row r="2413" spans="1:8" x14ac:dyDescent="0.25">
      <c r="A2413" s="31">
        <v>44614</v>
      </c>
      <c r="B2413" s="37" t="s">
        <v>6189</v>
      </c>
      <c r="C2413" s="38" t="s">
        <v>99</v>
      </c>
      <c r="D2413" s="34">
        <v>3835.2</v>
      </c>
      <c r="E2413" s="35">
        <v>44617</v>
      </c>
      <c r="F2413" s="34">
        <v>3835.2</v>
      </c>
      <c r="G2413" s="36">
        <f>Tabla13[[#This Row],[Importe]]-Tabla13[[#This Row],[Pagado]]</f>
        <v>0</v>
      </c>
      <c r="H2413" s="38" t="s">
        <v>10</v>
      </c>
    </row>
    <row r="2414" spans="1:8" x14ac:dyDescent="0.25">
      <c r="A2414" s="31">
        <v>44614</v>
      </c>
      <c r="B2414" s="37" t="s">
        <v>6190</v>
      </c>
      <c r="C2414" s="38" t="s">
        <v>4136</v>
      </c>
      <c r="D2414" s="34">
        <v>2149.4</v>
      </c>
      <c r="E2414" s="35">
        <v>44614</v>
      </c>
      <c r="F2414" s="34">
        <v>2149.4</v>
      </c>
      <c r="G2414" s="36">
        <f>Tabla13[[#This Row],[Importe]]-Tabla13[[#This Row],[Pagado]]</f>
        <v>0</v>
      </c>
      <c r="H2414" s="38" t="s">
        <v>10</v>
      </c>
    </row>
    <row r="2415" spans="1:8" x14ac:dyDescent="0.25">
      <c r="A2415" s="31">
        <v>44614</v>
      </c>
      <c r="B2415" s="37" t="s">
        <v>6191</v>
      </c>
      <c r="C2415" s="38" t="s">
        <v>99</v>
      </c>
      <c r="D2415" s="34">
        <v>1415</v>
      </c>
      <c r="E2415" s="35">
        <v>44616</v>
      </c>
      <c r="F2415" s="34">
        <v>1415</v>
      </c>
      <c r="G2415" s="36">
        <f>Tabla13[[#This Row],[Importe]]-Tabla13[[#This Row],[Pagado]]</f>
        <v>0</v>
      </c>
      <c r="H2415" s="38" t="s">
        <v>10</v>
      </c>
    </row>
    <row r="2416" spans="1:8" x14ac:dyDescent="0.25">
      <c r="A2416" s="31">
        <v>44614</v>
      </c>
      <c r="B2416" s="37" t="s">
        <v>6192</v>
      </c>
      <c r="C2416" s="38" t="s">
        <v>89</v>
      </c>
      <c r="D2416" s="34">
        <v>3513.6</v>
      </c>
      <c r="E2416" s="35">
        <v>44615</v>
      </c>
      <c r="F2416" s="34">
        <v>3513.6</v>
      </c>
      <c r="G2416" s="36">
        <f>Tabla13[[#This Row],[Importe]]-Tabla13[[#This Row],[Pagado]]</f>
        <v>0</v>
      </c>
      <c r="H2416" s="38" t="s">
        <v>10</v>
      </c>
    </row>
    <row r="2417" spans="1:8" x14ac:dyDescent="0.25">
      <c r="A2417" s="31">
        <v>44614</v>
      </c>
      <c r="B2417" s="37" t="s">
        <v>6193</v>
      </c>
      <c r="C2417" s="38" t="s">
        <v>93</v>
      </c>
      <c r="D2417" s="34">
        <v>1300</v>
      </c>
      <c r="E2417" s="35">
        <v>44615</v>
      </c>
      <c r="F2417" s="34">
        <v>1300</v>
      </c>
      <c r="G2417" s="36">
        <f>Tabla13[[#This Row],[Importe]]-Tabla13[[#This Row],[Pagado]]</f>
        <v>0</v>
      </c>
      <c r="H2417" s="38" t="s">
        <v>10</v>
      </c>
    </row>
    <row r="2418" spans="1:8" x14ac:dyDescent="0.25">
      <c r="A2418" s="31">
        <v>44614</v>
      </c>
      <c r="B2418" s="37" t="s">
        <v>6194</v>
      </c>
      <c r="C2418" s="38" t="s">
        <v>525</v>
      </c>
      <c r="D2418" s="34">
        <v>497</v>
      </c>
      <c r="E2418" s="35">
        <v>44614</v>
      </c>
      <c r="F2418" s="34">
        <v>497</v>
      </c>
      <c r="G2418" s="36">
        <f>Tabla13[[#This Row],[Importe]]-Tabla13[[#This Row],[Pagado]]</f>
        <v>0</v>
      </c>
      <c r="H2418" s="38" t="s">
        <v>10</v>
      </c>
    </row>
    <row r="2419" spans="1:8" x14ac:dyDescent="0.25">
      <c r="A2419" s="31">
        <v>44614</v>
      </c>
      <c r="B2419" s="37" t="s">
        <v>6195</v>
      </c>
      <c r="C2419" s="38" t="s">
        <v>151</v>
      </c>
      <c r="D2419" s="34">
        <v>6426</v>
      </c>
      <c r="E2419" s="35">
        <v>44614</v>
      </c>
      <c r="F2419" s="34">
        <v>6426</v>
      </c>
      <c r="G2419" s="36">
        <f>Tabla13[[#This Row],[Importe]]-Tabla13[[#This Row],[Pagado]]</f>
        <v>0</v>
      </c>
      <c r="H2419" s="38" t="s">
        <v>10</v>
      </c>
    </row>
    <row r="2420" spans="1:8" x14ac:dyDescent="0.25">
      <c r="A2420" s="31">
        <v>44614</v>
      </c>
      <c r="B2420" s="37" t="s">
        <v>6196</v>
      </c>
      <c r="C2420" s="38" t="s">
        <v>924</v>
      </c>
      <c r="D2420" s="34">
        <v>17028.68</v>
      </c>
      <c r="E2420" s="35">
        <v>44614</v>
      </c>
      <c r="F2420" s="34">
        <v>17028.68</v>
      </c>
      <c r="G2420" s="36">
        <f>Tabla13[[#This Row],[Importe]]-Tabla13[[#This Row],[Pagado]]</f>
        <v>0</v>
      </c>
      <c r="H2420" s="38" t="s">
        <v>10</v>
      </c>
    </row>
    <row r="2421" spans="1:8" x14ac:dyDescent="0.25">
      <c r="A2421" s="31">
        <v>44614</v>
      </c>
      <c r="B2421" s="37" t="s">
        <v>6197</v>
      </c>
      <c r="C2421" s="38" t="s">
        <v>520</v>
      </c>
      <c r="D2421" s="34">
        <v>9368.9</v>
      </c>
      <c r="E2421" s="35">
        <v>44614</v>
      </c>
      <c r="F2421" s="34">
        <v>9368.9</v>
      </c>
      <c r="G2421" s="36">
        <f>Tabla13[[#This Row],[Importe]]-Tabla13[[#This Row],[Pagado]]</f>
        <v>0</v>
      </c>
      <c r="H2421" s="38" t="s">
        <v>10</v>
      </c>
    </row>
    <row r="2422" spans="1:8" x14ac:dyDescent="0.25">
      <c r="A2422" s="31">
        <v>44614</v>
      </c>
      <c r="B2422" s="37" t="s">
        <v>6198</v>
      </c>
      <c r="C2422" s="38" t="s">
        <v>5906</v>
      </c>
      <c r="D2422" s="34">
        <v>2394.6</v>
      </c>
      <c r="E2422" s="35">
        <v>44614</v>
      </c>
      <c r="F2422" s="34">
        <v>2394.6</v>
      </c>
      <c r="G2422" s="36">
        <f>Tabla13[[#This Row],[Importe]]-Tabla13[[#This Row],[Pagado]]</f>
        <v>0</v>
      </c>
      <c r="H2422" s="38" t="s">
        <v>10</v>
      </c>
    </row>
    <row r="2423" spans="1:8" ht="31.5" x14ac:dyDescent="0.25">
      <c r="A2423" s="31">
        <v>44614</v>
      </c>
      <c r="B2423" s="37" t="s">
        <v>6199</v>
      </c>
      <c r="C2423" s="41" t="s">
        <v>6106</v>
      </c>
      <c r="D2423" s="34">
        <v>0</v>
      </c>
      <c r="E2423" s="39" t="s">
        <v>189</v>
      </c>
      <c r="F2423" s="34">
        <v>0</v>
      </c>
      <c r="G2423" s="36">
        <f>Tabla13[[#This Row],[Importe]]-Tabla13[[#This Row],[Pagado]]</f>
        <v>0</v>
      </c>
      <c r="H2423" s="38" t="s">
        <v>189</v>
      </c>
    </row>
    <row r="2424" spans="1:8" ht="31.5" x14ac:dyDescent="0.25">
      <c r="A2424" s="31">
        <v>44614</v>
      </c>
      <c r="B2424" s="37" t="s">
        <v>6200</v>
      </c>
      <c r="C2424" s="41" t="s">
        <v>6201</v>
      </c>
      <c r="D2424" s="34">
        <v>0</v>
      </c>
      <c r="E2424" s="39" t="s">
        <v>189</v>
      </c>
      <c r="F2424" s="34">
        <v>0</v>
      </c>
      <c r="G2424" s="36">
        <f>Tabla13[[#This Row],[Importe]]-Tabla13[[#This Row],[Pagado]]</f>
        <v>0</v>
      </c>
      <c r="H2424" s="40" t="s">
        <v>6202</v>
      </c>
    </row>
    <row r="2425" spans="1:8" x14ac:dyDescent="0.25">
      <c r="A2425" s="31">
        <v>44614</v>
      </c>
      <c r="B2425" s="37" t="s">
        <v>6203</v>
      </c>
      <c r="C2425" s="38" t="s">
        <v>275</v>
      </c>
      <c r="D2425" s="34">
        <v>115712.26</v>
      </c>
      <c r="E2425" s="35">
        <v>44624</v>
      </c>
      <c r="F2425" s="34">
        <v>115712.26</v>
      </c>
      <c r="G2425" s="36">
        <f>Tabla13[[#This Row],[Importe]]-Tabla13[[#This Row],[Pagado]]</f>
        <v>0</v>
      </c>
      <c r="H2425" s="38" t="s">
        <v>10</v>
      </c>
    </row>
    <row r="2426" spans="1:8" x14ac:dyDescent="0.25">
      <c r="A2426" s="31">
        <v>44614</v>
      </c>
      <c r="B2426" s="37" t="s">
        <v>6204</v>
      </c>
      <c r="C2426" s="38" t="s">
        <v>16</v>
      </c>
      <c r="D2426" s="34">
        <v>4147.7</v>
      </c>
      <c r="E2426" s="35">
        <v>44614</v>
      </c>
      <c r="F2426" s="34">
        <v>4147.7</v>
      </c>
      <c r="G2426" s="36">
        <f>Tabla13[[#This Row],[Importe]]-Tabla13[[#This Row],[Pagado]]</f>
        <v>0</v>
      </c>
      <c r="H2426" s="38" t="s">
        <v>10</v>
      </c>
    </row>
    <row r="2427" spans="1:8" x14ac:dyDescent="0.25">
      <c r="A2427" s="31">
        <v>44614</v>
      </c>
      <c r="B2427" s="37" t="s">
        <v>6205</v>
      </c>
      <c r="C2427" s="38" t="s">
        <v>216</v>
      </c>
      <c r="D2427" s="34">
        <v>1405</v>
      </c>
      <c r="E2427" s="35">
        <v>44614</v>
      </c>
      <c r="F2427" s="34">
        <v>1405</v>
      </c>
      <c r="G2427" s="36">
        <f>Tabla13[[#This Row],[Importe]]-Tabla13[[#This Row],[Pagado]]</f>
        <v>0</v>
      </c>
      <c r="H2427" s="38" t="s">
        <v>10</v>
      </c>
    </row>
    <row r="2428" spans="1:8" x14ac:dyDescent="0.25">
      <c r="A2428" s="31">
        <v>44614</v>
      </c>
      <c r="B2428" s="37" t="s">
        <v>6206</v>
      </c>
      <c r="C2428" s="38" t="s">
        <v>966</v>
      </c>
      <c r="D2428" s="34">
        <v>1525.44</v>
      </c>
      <c r="E2428" s="35">
        <v>44614</v>
      </c>
      <c r="F2428" s="34">
        <v>1525.44</v>
      </c>
      <c r="G2428" s="36">
        <f>Tabla13[[#This Row],[Importe]]-Tabla13[[#This Row],[Pagado]]</f>
        <v>0</v>
      </c>
      <c r="H2428" s="38" t="s">
        <v>10</v>
      </c>
    </row>
    <row r="2429" spans="1:8" x14ac:dyDescent="0.25">
      <c r="A2429" s="31">
        <v>44614</v>
      </c>
      <c r="B2429" s="37" t="s">
        <v>6207</v>
      </c>
      <c r="C2429" s="38" t="s">
        <v>157</v>
      </c>
      <c r="D2429" s="34">
        <v>2756.4</v>
      </c>
      <c r="E2429" s="35">
        <v>44614</v>
      </c>
      <c r="F2429" s="34">
        <v>2756.4</v>
      </c>
      <c r="G2429" s="36">
        <f>Tabla13[[#This Row],[Importe]]-Tabla13[[#This Row],[Pagado]]</f>
        <v>0</v>
      </c>
      <c r="H2429" s="38" t="s">
        <v>10</v>
      </c>
    </row>
    <row r="2430" spans="1:8" x14ac:dyDescent="0.25">
      <c r="A2430" s="31">
        <v>44614</v>
      </c>
      <c r="B2430" s="37" t="s">
        <v>6208</v>
      </c>
      <c r="C2430" s="38" t="s">
        <v>159</v>
      </c>
      <c r="D2430" s="34">
        <v>1958.4</v>
      </c>
      <c r="E2430" s="35">
        <v>44614</v>
      </c>
      <c r="F2430" s="34">
        <v>1958.4</v>
      </c>
      <c r="G2430" s="36">
        <f>Tabla13[[#This Row],[Importe]]-Tabla13[[#This Row],[Pagado]]</f>
        <v>0</v>
      </c>
      <c r="H2430" s="38" t="s">
        <v>10</v>
      </c>
    </row>
    <row r="2431" spans="1:8" x14ac:dyDescent="0.25">
      <c r="A2431" s="31">
        <v>44614</v>
      </c>
      <c r="B2431" s="37" t="s">
        <v>6209</v>
      </c>
      <c r="C2431" s="38" t="s">
        <v>142</v>
      </c>
      <c r="D2431" s="34">
        <v>86111.8</v>
      </c>
      <c r="E2431" s="35">
        <v>44617</v>
      </c>
      <c r="F2431" s="34">
        <v>86111.8</v>
      </c>
      <c r="G2431" s="36">
        <f>Tabla13[[#This Row],[Importe]]-Tabla13[[#This Row],[Pagado]]</f>
        <v>0</v>
      </c>
      <c r="H2431" s="38" t="s">
        <v>10</v>
      </c>
    </row>
    <row r="2432" spans="1:8" x14ac:dyDescent="0.25">
      <c r="A2432" s="31">
        <v>44614</v>
      </c>
      <c r="B2432" s="37" t="s">
        <v>6210</v>
      </c>
      <c r="C2432" s="38" t="s">
        <v>312</v>
      </c>
      <c r="D2432" s="34">
        <v>596.70000000000005</v>
      </c>
      <c r="E2432" s="35">
        <v>44614</v>
      </c>
      <c r="F2432" s="34">
        <v>596.70000000000005</v>
      </c>
      <c r="G2432" s="36">
        <f>Tabla13[[#This Row],[Importe]]-Tabla13[[#This Row],[Pagado]]</f>
        <v>0</v>
      </c>
      <c r="H2432" s="38" t="s">
        <v>10</v>
      </c>
    </row>
    <row r="2433" spans="1:8" x14ac:dyDescent="0.25">
      <c r="A2433" s="31">
        <v>44614</v>
      </c>
      <c r="B2433" s="37" t="s">
        <v>6211</v>
      </c>
      <c r="C2433" s="38" t="s">
        <v>319</v>
      </c>
      <c r="D2433" s="34">
        <v>2201.1</v>
      </c>
      <c r="E2433" s="35">
        <v>44614</v>
      </c>
      <c r="F2433" s="34">
        <v>2201.1</v>
      </c>
      <c r="G2433" s="36">
        <f>Tabla13[[#This Row],[Importe]]-Tabla13[[#This Row],[Pagado]]</f>
        <v>0</v>
      </c>
      <c r="H2433" s="38" t="s">
        <v>10</v>
      </c>
    </row>
    <row r="2434" spans="1:8" x14ac:dyDescent="0.25">
      <c r="A2434" s="31">
        <v>44614</v>
      </c>
      <c r="B2434" s="37" t="s">
        <v>6212</v>
      </c>
      <c r="C2434" s="38" t="s">
        <v>518</v>
      </c>
      <c r="D2434" s="34">
        <v>2288.8000000000002</v>
      </c>
      <c r="E2434" s="35">
        <v>44614</v>
      </c>
      <c r="F2434" s="34">
        <v>2288.8000000000002</v>
      </c>
      <c r="G2434" s="36">
        <f>Tabla13[[#This Row],[Importe]]-Tabla13[[#This Row],[Pagado]]</f>
        <v>0</v>
      </c>
      <c r="H2434" s="38" t="s">
        <v>10</v>
      </c>
    </row>
    <row r="2435" spans="1:8" x14ac:dyDescent="0.25">
      <c r="A2435" s="31">
        <v>44614</v>
      </c>
      <c r="B2435" s="37" t="s">
        <v>6213</v>
      </c>
      <c r="C2435" s="38" t="s">
        <v>53</v>
      </c>
      <c r="D2435" s="34">
        <v>4272.3</v>
      </c>
      <c r="E2435" s="35">
        <v>44614</v>
      </c>
      <c r="F2435" s="34">
        <v>4272.3</v>
      </c>
      <c r="G2435" s="36">
        <f>Tabla13[[#This Row],[Importe]]-Tabla13[[#This Row],[Pagado]]</f>
        <v>0</v>
      </c>
      <c r="H2435" s="38" t="s">
        <v>10</v>
      </c>
    </row>
    <row r="2436" spans="1:8" x14ac:dyDescent="0.25">
      <c r="A2436" s="31">
        <v>44614</v>
      </c>
      <c r="B2436" s="37" t="s">
        <v>6214</v>
      </c>
      <c r="C2436" s="38" t="s">
        <v>1537</v>
      </c>
      <c r="D2436" s="34">
        <v>1919.4</v>
      </c>
      <c r="E2436" s="35">
        <v>44614</v>
      </c>
      <c r="F2436" s="34">
        <v>1919.4</v>
      </c>
      <c r="G2436" s="36">
        <f>Tabla13[[#This Row],[Importe]]-Tabla13[[#This Row],[Pagado]]</f>
        <v>0</v>
      </c>
      <c r="H2436" s="38" t="s">
        <v>10</v>
      </c>
    </row>
    <row r="2437" spans="1:8" x14ac:dyDescent="0.25">
      <c r="A2437" s="31">
        <v>44614</v>
      </c>
      <c r="B2437" s="37" t="s">
        <v>6215</v>
      </c>
      <c r="C2437" s="38" t="s">
        <v>87</v>
      </c>
      <c r="D2437" s="34">
        <v>2057.8000000000002</v>
      </c>
      <c r="E2437" s="35">
        <v>44614</v>
      </c>
      <c r="F2437" s="34">
        <v>2057.8000000000002</v>
      </c>
      <c r="G2437" s="36">
        <f>Tabla13[[#This Row],[Importe]]-Tabla13[[#This Row],[Pagado]]</f>
        <v>0</v>
      </c>
      <c r="H2437" s="38" t="s">
        <v>10</v>
      </c>
    </row>
    <row r="2438" spans="1:8" x14ac:dyDescent="0.25">
      <c r="A2438" s="31">
        <v>44614</v>
      </c>
      <c r="B2438" s="37" t="s">
        <v>6216</v>
      </c>
      <c r="C2438" s="38" t="s">
        <v>314</v>
      </c>
      <c r="D2438" s="34">
        <v>1020</v>
      </c>
      <c r="E2438" s="35">
        <v>44614</v>
      </c>
      <c r="F2438" s="34">
        <v>1020</v>
      </c>
      <c r="G2438" s="36">
        <f>Tabla13[[#This Row],[Importe]]-Tabla13[[#This Row],[Pagado]]</f>
        <v>0</v>
      </c>
      <c r="H2438" s="38" t="s">
        <v>10</v>
      </c>
    </row>
    <row r="2439" spans="1:8" x14ac:dyDescent="0.25">
      <c r="A2439" s="31">
        <v>44614</v>
      </c>
      <c r="B2439" s="37" t="s">
        <v>6217</v>
      </c>
      <c r="C2439" s="38" t="s">
        <v>47</v>
      </c>
      <c r="D2439" s="34">
        <v>33335.5</v>
      </c>
      <c r="E2439" s="35">
        <v>44614</v>
      </c>
      <c r="F2439" s="34">
        <v>33335.5</v>
      </c>
      <c r="G2439" s="36">
        <f>Tabla13[[#This Row],[Importe]]-Tabla13[[#This Row],[Pagado]]</f>
        <v>0</v>
      </c>
      <c r="H2439" s="38" t="s">
        <v>10</v>
      </c>
    </row>
    <row r="2440" spans="1:8" x14ac:dyDescent="0.25">
      <c r="A2440" s="31">
        <v>44614</v>
      </c>
      <c r="B2440" s="37" t="s">
        <v>6218</v>
      </c>
      <c r="C2440" s="38" t="s">
        <v>127</v>
      </c>
      <c r="D2440" s="34">
        <v>3904.7</v>
      </c>
      <c r="E2440" s="35">
        <v>44614</v>
      </c>
      <c r="F2440" s="34">
        <v>3904.7</v>
      </c>
      <c r="G2440" s="36">
        <f>Tabla13[[#This Row],[Importe]]-Tabla13[[#This Row],[Pagado]]</f>
        <v>0</v>
      </c>
      <c r="H2440" s="38" t="s">
        <v>10</v>
      </c>
    </row>
    <row r="2441" spans="1:8" x14ac:dyDescent="0.25">
      <c r="A2441" s="31">
        <v>44614</v>
      </c>
      <c r="B2441" s="37" t="s">
        <v>6219</v>
      </c>
      <c r="C2441" s="38" t="s">
        <v>475</v>
      </c>
      <c r="D2441" s="34">
        <v>7399</v>
      </c>
      <c r="E2441" s="35">
        <v>44617</v>
      </c>
      <c r="F2441" s="34">
        <v>7399</v>
      </c>
      <c r="G2441" s="36">
        <f>Tabla13[[#This Row],[Importe]]-Tabla13[[#This Row],[Pagado]]</f>
        <v>0</v>
      </c>
      <c r="H2441" s="38" t="s">
        <v>10</v>
      </c>
    </row>
    <row r="2442" spans="1:8" x14ac:dyDescent="0.25">
      <c r="A2442" s="31">
        <v>44614</v>
      </c>
      <c r="B2442" s="37" t="s">
        <v>6220</v>
      </c>
      <c r="C2442" s="38" t="s">
        <v>131</v>
      </c>
      <c r="D2442" s="34">
        <v>8447.6</v>
      </c>
      <c r="E2442" s="35">
        <v>44614</v>
      </c>
      <c r="F2442" s="34">
        <v>8447.6</v>
      </c>
      <c r="G2442" s="36">
        <f>Tabla13[[#This Row],[Importe]]-Tabla13[[#This Row],[Pagado]]</f>
        <v>0</v>
      </c>
      <c r="H2442" s="38" t="s">
        <v>10</v>
      </c>
    </row>
    <row r="2443" spans="1:8" x14ac:dyDescent="0.25">
      <c r="A2443" s="31">
        <v>44614</v>
      </c>
      <c r="B2443" s="37" t="s">
        <v>6221</v>
      </c>
      <c r="C2443" s="38" t="s">
        <v>146</v>
      </c>
      <c r="D2443" s="34">
        <v>1849.7</v>
      </c>
      <c r="E2443" s="35">
        <v>44614</v>
      </c>
      <c r="F2443" s="34">
        <v>1849.7</v>
      </c>
      <c r="G2443" s="36">
        <f>Tabla13[[#This Row],[Importe]]-Tabla13[[#This Row],[Pagado]]</f>
        <v>0</v>
      </c>
      <c r="H2443" s="38" t="s">
        <v>10</v>
      </c>
    </row>
    <row r="2444" spans="1:8" x14ac:dyDescent="0.25">
      <c r="A2444" s="31">
        <v>44614</v>
      </c>
      <c r="B2444" s="37" t="s">
        <v>6222</v>
      </c>
      <c r="C2444" s="38" t="s">
        <v>357</v>
      </c>
      <c r="D2444" s="34">
        <v>1412.7</v>
      </c>
      <c r="E2444" s="35">
        <v>44614</v>
      </c>
      <c r="F2444" s="34">
        <v>1412.7</v>
      </c>
      <c r="G2444" s="36">
        <f>Tabla13[[#This Row],[Importe]]-Tabla13[[#This Row],[Pagado]]</f>
        <v>0</v>
      </c>
      <c r="H2444" s="38" t="s">
        <v>10</v>
      </c>
    </row>
    <row r="2445" spans="1:8" x14ac:dyDescent="0.25">
      <c r="A2445" s="31">
        <v>44614</v>
      </c>
      <c r="B2445" s="37" t="s">
        <v>6223</v>
      </c>
      <c r="C2445" s="38" t="s">
        <v>129</v>
      </c>
      <c r="D2445" s="34">
        <v>4003.1</v>
      </c>
      <c r="E2445" s="35">
        <v>44614</v>
      </c>
      <c r="F2445" s="34">
        <v>4003.1</v>
      </c>
      <c r="G2445" s="36">
        <f>Tabla13[[#This Row],[Importe]]-Tabla13[[#This Row],[Pagado]]</f>
        <v>0</v>
      </c>
      <c r="H2445" s="38" t="s">
        <v>10</v>
      </c>
    </row>
    <row r="2446" spans="1:8" x14ac:dyDescent="0.25">
      <c r="A2446" s="31">
        <v>44614</v>
      </c>
      <c r="B2446" s="37" t="s">
        <v>6224</v>
      </c>
      <c r="C2446" s="38" t="s">
        <v>140</v>
      </c>
      <c r="D2446" s="34">
        <v>3528</v>
      </c>
      <c r="E2446" s="35">
        <v>44614</v>
      </c>
      <c r="F2446" s="34">
        <v>3528</v>
      </c>
      <c r="G2446" s="36">
        <f>Tabla13[[#This Row],[Importe]]-Tabla13[[#This Row],[Pagado]]</f>
        <v>0</v>
      </c>
      <c r="H2446" s="38" t="s">
        <v>10</v>
      </c>
    </row>
    <row r="2447" spans="1:8" x14ac:dyDescent="0.25">
      <c r="A2447" s="31">
        <v>44614</v>
      </c>
      <c r="B2447" s="37" t="s">
        <v>6225</v>
      </c>
      <c r="C2447" s="38" t="s">
        <v>230</v>
      </c>
      <c r="D2447" s="34">
        <v>1876.5</v>
      </c>
      <c r="E2447" s="35">
        <v>44614</v>
      </c>
      <c r="F2447" s="34">
        <v>1876.5</v>
      </c>
      <c r="G2447" s="36">
        <f>Tabla13[[#This Row],[Importe]]-Tabla13[[#This Row],[Pagado]]</f>
        <v>0</v>
      </c>
      <c r="H2447" s="38" t="s">
        <v>10</v>
      </c>
    </row>
    <row r="2448" spans="1:8" x14ac:dyDescent="0.25">
      <c r="A2448" s="31">
        <v>44614</v>
      </c>
      <c r="B2448" s="37" t="s">
        <v>6226</v>
      </c>
      <c r="C2448" s="38" t="s">
        <v>380</v>
      </c>
      <c r="D2448" s="34">
        <v>6261.2</v>
      </c>
      <c r="E2448" s="35">
        <v>44614</v>
      </c>
      <c r="F2448" s="34">
        <v>6261.2</v>
      </c>
      <c r="G2448" s="36">
        <f>Tabla13[[#This Row],[Importe]]-Tabla13[[#This Row],[Pagado]]</f>
        <v>0</v>
      </c>
      <c r="H2448" s="38" t="s">
        <v>10</v>
      </c>
    </row>
    <row r="2449" spans="1:8" x14ac:dyDescent="0.25">
      <c r="A2449" s="31">
        <v>44614</v>
      </c>
      <c r="B2449" s="37" t="s">
        <v>6227</v>
      </c>
      <c r="C2449" s="38" t="s">
        <v>83</v>
      </c>
      <c r="D2449" s="34">
        <v>5637.5</v>
      </c>
      <c r="E2449" s="35">
        <v>44614</v>
      </c>
      <c r="F2449" s="34">
        <v>5637.5</v>
      </c>
      <c r="G2449" s="36">
        <f>Tabla13[[#This Row],[Importe]]-Tabla13[[#This Row],[Pagado]]</f>
        <v>0</v>
      </c>
      <c r="H2449" s="38" t="s">
        <v>10</v>
      </c>
    </row>
    <row r="2450" spans="1:8" x14ac:dyDescent="0.25">
      <c r="A2450" s="31">
        <v>44614</v>
      </c>
      <c r="B2450" s="37" t="s">
        <v>6228</v>
      </c>
      <c r="C2450" s="38" t="s">
        <v>107</v>
      </c>
      <c r="D2450" s="34">
        <v>11702.8</v>
      </c>
      <c r="E2450" s="35">
        <v>44614</v>
      </c>
      <c r="F2450" s="34">
        <v>11702.8</v>
      </c>
      <c r="G2450" s="36">
        <f>Tabla13[[#This Row],[Importe]]-Tabla13[[#This Row],[Pagado]]</f>
        <v>0</v>
      </c>
      <c r="H2450" s="38" t="s">
        <v>10</v>
      </c>
    </row>
    <row r="2451" spans="1:8" x14ac:dyDescent="0.25">
      <c r="A2451" s="31">
        <v>44614</v>
      </c>
      <c r="B2451" s="37" t="s">
        <v>6229</v>
      </c>
      <c r="C2451" s="38" t="s">
        <v>27</v>
      </c>
      <c r="D2451" s="34">
        <v>1345</v>
      </c>
      <c r="E2451" s="35">
        <v>44614</v>
      </c>
      <c r="F2451" s="34">
        <v>1345</v>
      </c>
      <c r="G2451" s="36">
        <f>Tabla13[[#This Row],[Importe]]-Tabla13[[#This Row],[Pagado]]</f>
        <v>0</v>
      </c>
      <c r="H2451" s="38" t="s">
        <v>10</v>
      </c>
    </row>
    <row r="2452" spans="1:8" x14ac:dyDescent="0.25">
      <c r="A2452" s="31">
        <v>44614</v>
      </c>
      <c r="B2452" s="37" t="s">
        <v>6230</v>
      </c>
      <c r="C2452" s="38" t="s">
        <v>27</v>
      </c>
      <c r="D2452" s="34">
        <v>450</v>
      </c>
      <c r="E2452" s="35">
        <v>44614</v>
      </c>
      <c r="F2452" s="34">
        <v>450</v>
      </c>
      <c r="G2452" s="36">
        <f>Tabla13[[#This Row],[Importe]]-Tabla13[[#This Row],[Pagado]]</f>
        <v>0</v>
      </c>
      <c r="H2452" s="38" t="s">
        <v>10</v>
      </c>
    </row>
    <row r="2453" spans="1:8" x14ac:dyDescent="0.25">
      <c r="A2453" s="31">
        <v>44614</v>
      </c>
      <c r="B2453" s="37" t="s">
        <v>6231</v>
      </c>
      <c r="C2453" s="38" t="s">
        <v>45</v>
      </c>
      <c r="D2453" s="34">
        <v>10530.7</v>
      </c>
      <c r="E2453" s="35">
        <v>44614</v>
      </c>
      <c r="F2453" s="34">
        <v>10530.7</v>
      </c>
      <c r="G2453" s="36">
        <f>Tabla13[[#This Row],[Importe]]-Tabla13[[#This Row],[Pagado]]</f>
        <v>0</v>
      </c>
      <c r="H2453" s="38" t="s">
        <v>10</v>
      </c>
    </row>
    <row r="2454" spans="1:8" x14ac:dyDescent="0.25">
      <c r="A2454" s="31">
        <v>44614</v>
      </c>
      <c r="B2454" s="37" t="s">
        <v>6232</v>
      </c>
      <c r="C2454" s="38" t="s">
        <v>224</v>
      </c>
      <c r="D2454" s="34">
        <v>1252</v>
      </c>
      <c r="E2454" s="35">
        <v>44614</v>
      </c>
      <c r="F2454" s="34">
        <v>1252</v>
      </c>
      <c r="G2454" s="36">
        <f>Tabla13[[#This Row],[Importe]]-Tabla13[[#This Row],[Pagado]]</f>
        <v>0</v>
      </c>
      <c r="H2454" s="38" t="s">
        <v>10</v>
      </c>
    </row>
    <row r="2455" spans="1:8" x14ac:dyDescent="0.25">
      <c r="A2455" s="31">
        <v>44614</v>
      </c>
      <c r="B2455" s="37" t="s">
        <v>6233</v>
      </c>
      <c r="C2455" s="38" t="s">
        <v>49</v>
      </c>
      <c r="D2455" s="34">
        <v>3155.2</v>
      </c>
      <c r="E2455" s="35">
        <v>44614</v>
      </c>
      <c r="F2455" s="34">
        <v>3155.2</v>
      </c>
      <c r="G2455" s="36">
        <f>Tabla13[[#This Row],[Importe]]-Tabla13[[#This Row],[Pagado]]</f>
        <v>0</v>
      </c>
      <c r="H2455" s="38" t="s">
        <v>10</v>
      </c>
    </row>
    <row r="2456" spans="1:8" x14ac:dyDescent="0.25">
      <c r="A2456" s="31">
        <v>44614</v>
      </c>
      <c r="B2456" s="37" t="s">
        <v>6234</v>
      </c>
      <c r="C2456" s="38" t="s">
        <v>31</v>
      </c>
      <c r="D2456" s="34">
        <v>2203.1999999999998</v>
      </c>
      <c r="E2456" s="35">
        <v>44614</v>
      </c>
      <c r="F2456" s="34">
        <v>2203.1999999999998</v>
      </c>
      <c r="G2456" s="36">
        <f>Tabla13[[#This Row],[Importe]]-Tabla13[[#This Row],[Pagado]]</f>
        <v>0</v>
      </c>
      <c r="H2456" s="38" t="s">
        <v>10</v>
      </c>
    </row>
    <row r="2457" spans="1:8" x14ac:dyDescent="0.25">
      <c r="A2457" s="31">
        <v>44614</v>
      </c>
      <c r="B2457" s="37" t="s">
        <v>6235</v>
      </c>
      <c r="C2457" s="38" t="s">
        <v>125</v>
      </c>
      <c r="D2457" s="34">
        <v>4127.5</v>
      </c>
      <c r="E2457" s="35">
        <v>44614</v>
      </c>
      <c r="F2457" s="34">
        <v>4127.5</v>
      </c>
      <c r="G2457" s="36">
        <f>Tabla13[[#This Row],[Importe]]-Tabla13[[#This Row],[Pagado]]</f>
        <v>0</v>
      </c>
      <c r="H2457" s="38" t="s">
        <v>10</v>
      </c>
    </row>
    <row r="2458" spans="1:8" x14ac:dyDescent="0.25">
      <c r="A2458" s="31">
        <v>44614</v>
      </c>
      <c r="B2458" s="37" t="s">
        <v>6236</v>
      </c>
      <c r="C2458" s="38" t="s">
        <v>169</v>
      </c>
      <c r="D2458" s="34">
        <v>918</v>
      </c>
      <c r="E2458" s="35">
        <v>44614</v>
      </c>
      <c r="F2458" s="34">
        <v>918</v>
      </c>
      <c r="G2458" s="36">
        <f>Tabla13[[#This Row],[Importe]]-Tabla13[[#This Row],[Pagado]]</f>
        <v>0</v>
      </c>
      <c r="H2458" s="38" t="s">
        <v>10</v>
      </c>
    </row>
    <row r="2459" spans="1:8" x14ac:dyDescent="0.25">
      <c r="A2459" s="31">
        <v>44614</v>
      </c>
      <c r="B2459" s="37" t="s">
        <v>6237</v>
      </c>
      <c r="C2459" s="38" t="s">
        <v>144</v>
      </c>
      <c r="D2459" s="34">
        <v>1818</v>
      </c>
      <c r="E2459" s="35">
        <v>44614</v>
      </c>
      <c r="F2459" s="34">
        <v>1818</v>
      </c>
      <c r="G2459" s="36">
        <f>Tabla13[[#This Row],[Importe]]-Tabla13[[#This Row],[Pagado]]</f>
        <v>0</v>
      </c>
      <c r="H2459" s="38" t="s">
        <v>10</v>
      </c>
    </row>
    <row r="2460" spans="1:8" x14ac:dyDescent="0.25">
      <c r="A2460" s="31">
        <v>44614</v>
      </c>
      <c r="B2460" s="37" t="s">
        <v>6238</v>
      </c>
      <c r="C2460" s="38" t="s">
        <v>24</v>
      </c>
      <c r="D2460" s="34">
        <v>1616.3</v>
      </c>
      <c r="E2460" s="35">
        <v>44614</v>
      </c>
      <c r="F2460" s="34">
        <v>1616.3</v>
      </c>
      <c r="G2460" s="36">
        <f>Tabla13[[#This Row],[Importe]]-Tabla13[[#This Row],[Pagado]]</f>
        <v>0</v>
      </c>
      <c r="H2460" s="38" t="s">
        <v>10</v>
      </c>
    </row>
    <row r="2461" spans="1:8" x14ac:dyDescent="0.25">
      <c r="A2461" s="31">
        <v>44614</v>
      </c>
      <c r="B2461" s="37" t="s">
        <v>6239</v>
      </c>
      <c r="C2461" s="38" t="s">
        <v>1003</v>
      </c>
      <c r="D2461" s="34">
        <v>1394</v>
      </c>
      <c r="E2461" s="35">
        <v>44614</v>
      </c>
      <c r="F2461" s="34">
        <v>1394</v>
      </c>
      <c r="G2461" s="36">
        <f>Tabla13[[#This Row],[Importe]]-Tabla13[[#This Row],[Pagado]]</f>
        <v>0</v>
      </c>
      <c r="H2461" s="38" t="s">
        <v>10</v>
      </c>
    </row>
    <row r="2462" spans="1:8" x14ac:dyDescent="0.25">
      <c r="A2462" s="31">
        <v>44614</v>
      </c>
      <c r="B2462" s="37" t="s">
        <v>6240</v>
      </c>
      <c r="C2462" s="38" t="s">
        <v>64</v>
      </c>
      <c r="D2462" s="34">
        <v>3399</v>
      </c>
      <c r="E2462" s="35">
        <v>44614</v>
      </c>
      <c r="F2462" s="34">
        <v>3399</v>
      </c>
      <c r="G2462" s="36">
        <f>Tabla13[[#This Row],[Importe]]-Tabla13[[#This Row],[Pagado]]</f>
        <v>0</v>
      </c>
      <c r="H2462" s="38" t="s">
        <v>10</v>
      </c>
    </row>
    <row r="2463" spans="1:8" x14ac:dyDescent="0.25">
      <c r="A2463" s="31">
        <v>44614</v>
      </c>
      <c r="B2463" s="37" t="s">
        <v>6241</v>
      </c>
      <c r="C2463" s="38" t="s">
        <v>3747</v>
      </c>
      <c r="D2463" s="34">
        <v>9492.4</v>
      </c>
      <c r="E2463" s="35">
        <v>44614</v>
      </c>
      <c r="F2463" s="34">
        <v>9492.4</v>
      </c>
      <c r="G2463" s="36">
        <f>Tabla13[[#This Row],[Importe]]-Tabla13[[#This Row],[Pagado]]</f>
        <v>0</v>
      </c>
      <c r="H2463" s="38" t="s">
        <v>10</v>
      </c>
    </row>
    <row r="2464" spans="1:8" x14ac:dyDescent="0.25">
      <c r="A2464" s="31">
        <v>44614</v>
      </c>
      <c r="B2464" s="37" t="s">
        <v>6242</v>
      </c>
      <c r="C2464" s="38" t="s">
        <v>191</v>
      </c>
      <c r="D2464" s="34">
        <v>1322.4</v>
      </c>
      <c r="E2464" s="35">
        <v>44614</v>
      </c>
      <c r="F2464" s="34">
        <v>1322.4</v>
      </c>
      <c r="G2464" s="36">
        <f>Tabla13[[#This Row],[Importe]]-Tabla13[[#This Row],[Pagado]]</f>
        <v>0</v>
      </c>
      <c r="H2464" s="38" t="s">
        <v>10</v>
      </c>
    </row>
    <row r="2465" spans="1:8" x14ac:dyDescent="0.25">
      <c r="A2465" s="31">
        <v>44614</v>
      </c>
      <c r="B2465" s="37" t="s">
        <v>6243</v>
      </c>
      <c r="C2465" s="38" t="s">
        <v>181</v>
      </c>
      <c r="D2465" s="34">
        <v>11403.2</v>
      </c>
      <c r="E2465" s="35">
        <v>44614</v>
      </c>
      <c r="F2465" s="34">
        <v>11403.2</v>
      </c>
      <c r="G2465" s="36">
        <f>Tabla13[[#This Row],[Importe]]-Tabla13[[#This Row],[Pagado]]</f>
        <v>0</v>
      </c>
      <c r="H2465" s="38" t="s">
        <v>10</v>
      </c>
    </row>
    <row r="2466" spans="1:8" x14ac:dyDescent="0.25">
      <c r="A2466" s="31">
        <v>44614</v>
      </c>
      <c r="B2466" s="37" t="s">
        <v>6244</v>
      </c>
      <c r="C2466" s="38" t="s">
        <v>426</v>
      </c>
      <c r="D2466" s="34">
        <v>6254.6</v>
      </c>
      <c r="E2466" s="35">
        <v>44614</v>
      </c>
      <c r="F2466" s="34">
        <v>6254.6</v>
      </c>
      <c r="G2466" s="36">
        <f>Tabla13[[#This Row],[Importe]]-Tabla13[[#This Row],[Pagado]]</f>
        <v>0</v>
      </c>
      <c r="H2466" s="38" t="s">
        <v>10</v>
      </c>
    </row>
    <row r="2467" spans="1:8" x14ac:dyDescent="0.25">
      <c r="A2467" s="31">
        <v>44614</v>
      </c>
      <c r="B2467" s="37" t="s">
        <v>6245</v>
      </c>
      <c r="C2467" s="38" t="s">
        <v>419</v>
      </c>
      <c r="D2467" s="34">
        <v>1630.2</v>
      </c>
      <c r="E2467" s="35">
        <v>44614</v>
      </c>
      <c r="F2467" s="34">
        <v>1630.2</v>
      </c>
      <c r="G2467" s="36">
        <f>Tabla13[[#This Row],[Importe]]-Tabla13[[#This Row],[Pagado]]</f>
        <v>0</v>
      </c>
      <c r="H2467" s="38" t="s">
        <v>10</v>
      </c>
    </row>
    <row r="2468" spans="1:8" x14ac:dyDescent="0.25">
      <c r="A2468" s="31">
        <v>44614</v>
      </c>
      <c r="B2468" s="37" t="s">
        <v>6246</v>
      </c>
      <c r="C2468" s="38" t="s">
        <v>62</v>
      </c>
      <c r="D2468" s="34">
        <v>2770.2</v>
      </c>
      <c r="E2468" s="35">
        <v>44614</v>
      </c>
      <c r="F2468" s="34">
        <v>2770.2</v>
      </c>
      <c r="G2468" s="36">
        <f>Tabla13[[#This Row],[Importe]]-Tabla13[[#This Row],[Pagado]]</f>
        <v>0</v>
      </c>
      <c r="H2468" s="38" t="s">
        <v>10</v>
      </c>
    </row>
    <row r="2469" spans="1:8" x14ac:dyDescent="0.25">
      <c r="A2469" s="31">
        <v>44614</v>
      </c>
      <c r="B2469" s="37" t="s">
        <v>6247</v>
      </c>
      <c r="C2469" s="38" t="s">
        <v>244</v>
      </c>
      <c r="D2469" s="34">
        <v>1285.2</v>
      </c>
      <c r="E2469" s="35">
        <v>44614</v>
      </c>
      <c r="F2469" s="34">
        <v>1285.2</v>
      </c>
      <c r="G2469" s="36">
        <f>Tabla13[[#This Row],[Importe]]-Tabla13[[#This Row],[Pagado]]</f>
        <v>0</v>
      </c>
      <c r="H2469" s="38" t="s">
        <v>10</v>
      </c>
    </row>
    <row r="2470" spans="1:8" x14ac:dyDescent="0.25">
      <c r="A2470" s="31">
        <v>44614</v>
      </c>
      <c r="B2470" s="37" t="s">
        <v>6248</v>
      </c>
      <c r="C2470" s="38" t="s">
        <v>67</v>
      </c>
      <c r="D2470" s="34">
        <v>925</v>
      </c>
      <c r="E2470" s="35">
        <v>44614</v>
      </c>
      <c r="F2470" s="34">
        <v>925</v>
      </c>
      <c r="G2470" s="36">
        <f>Tabla13[[#This Row],[Importe]]-Tabla13[[#This Row],[Pagado]]</f>
        <v>0</v>
      </c>
      <c r="H2470" s="38" t="s">
        <v>10</v>
      </c>
    </row>
    <row r="2471" spans="1:8" x14ac:dyDescent="0.25">
      <c r="A2471" s="31">
        <v>44614</v>
      </c>
      <c r="B2471" s="37" t="s">
        <v>6249</v>
      </c>
      <c r="C2471" s="38" t="s">
        <v>71</v>
      </c>
      <c r="D2471" s="34">
        <v>3276.6</v>
      </c>
      <c r="E2471" s="35" t="s">
        <v>6250</v>
      </c>
      <c r="F2471" s="34">
        <v>3276.6</v>
      </c>
      <c r="G2471" s="36">
        <f>Tabla13[[#This Row],[Importe]]-Tabla13[[#This Row],[Pagado]]</f>
        <v>0</v>
      </c>
      <c r="H2471" s="38" t="s">
        <v>10</v>
      </c>
    </row>
    <row r="2472" spans="1:8" x14ac:dyDescent="0.25">
      <c r="A2472" s="31">
        <v>44614</v>
      </c>
      <c r="B2472" s="37" t="s">
        <v>6251</v>
      </c>
      <c r="C2472" s="38" t="s">
        <v>6252</v>
      </c>
      <c r="D2472" s="34">
        <v>0</v>
      </c>
      <c r="E2472" s="39" t="s">
        <v>189</v>
      </c>
      <c r="F2472" s="34">
        <v>0</v>
      </c>
      <c r="G2472" s="36">
        <f>Tabla13[[#This Row],[Importe]]-Tabla13[[#This Row],[Pagado]]</f>
        <v>0</v>
      </c>
      <c r="H2472" s="40" t="s">
        <v>6253</v>
      </c>
    </row>
    <row r="2473" spans="1:8" x14ac:dyDescent="0.25">
      <c r="A2473" s="31">
        <v>44614</v>
      </c>
      <c r="B2473" s="37" t="s">
        <v>6254</v>
      </c>
      <c r="C2473" s="38" t="s">
        <v>31</v>
      </c>
      <c r="D2473" s="34">
        <v>3484</v>
      </c>
      <c r="E2473" s="35">
        <v>44614</v>
      </c>
      <c r="F2473" s="34">
        <v>3484</v>
      </c>
      <c r="G2473" s="36">
        <f>Tabla13[[#This Row],[Importe]]-Tabla13[[#This Row],[Pagado]]</f>
        <v>0</v>
      </c>
      <c r="H2473" s="38" t="s">
        <v>10</v>
      </c>
    </row>
    <row r="2474" spans="1:8" x14ac:dyDescent="0.25">
      <c r="A2474" s="31">
        <v>44614</v>
      </c>
      <c r="B2474" s="37" t="s">
        <v>6255</v>
      </c>
      <c r="C2474" s="38" t="s">
        <v>284</v>
      </c>
      <c r="D2474" s="34">
        <v>6165</v>
      </c>
      <c r="E2474" s="35">
        <v>44615</v>
      </c>
      <c r="F2474" s="34">
        <v>6165</v>
      </c>
      <c r="G2474" s="36">
        <f>Tabla13[[#This Row],[Importe]]-Tabla13[[#This Row],[Pagado]]</f>
        <v>0</v>
      </c>
      <c r="H2474" s="38" t="s">
        <v>10</v>
      </c>
    </row>
    <row r="2475" spans="1:8" x14ac:dyDescent="0.25">
      <c r="A2475" s="31">
        <v>44614</v>
      </c>
      <c r="B2475" s="37" t="s">
        <v>6256</v>
      </c>
      <c r="C2475" s="38" t="s">
        <v>2961</v>
      </c>
      <c r="D2475" s="34">
        <v>51314.400000000001</v>
      </c>
      <c r="E2475" s="35">
        <v>44615</v>
      </c>
      <c r="F2475" s="34">
        <v>51314.400000000001</v>
      </c>
      <c r="G2475" s="36">
        <f>Tabla13[[#This Row],[Importe]]-Tabla13[[#This Row],[Pagado]]</f>
        <v>0</v>
      </c>
      <c r="H2475" s="38" t="s">
        <v>10</v>
      </c>
    </row>
    <row r="2476" spans="1:8" x14ac:dyDescent="0.25">
      <c r="A2476" s="31">
        <v>44614</v>
      </c>
      <c r="B2476" s="37" t="s">
        <v>6257</v>
      </c>
      <c r="C2476" s="38" t="s">
        <v>275</v>
      </c>
      <c r="D2476" s="34">
        <v>31685.4</v>
      </c>
      <c r="E2476" s="35">
        <v>44624</v>
      </c>
      <c r="F2476" s="34">
        <v>31685.4</v>
      </c>
      <c r="G2476" s="36">
        <f>Tabla13[[#This Row],[Importe]]-Tabla13[[#This Row],[Pagado]]</f>
        <v>0</v>
      </c>
      <c r="H2476" s="38" t="s">
        <v>10</v>
      </c>
    </row>
    <row r="2477" spans="1:8" x14ac:dyDescent="0.25">
      <c r="A2477" s="31">
        <v>44614</v>
      </c>
      <c r="B2477" s="37" t="s">
        <v>6258</v>
      </c>
      <c r="C2477" s="38" t="s">
        <v>5345</v>
      </c>
      <c r="D2477" s="34">
        <v>1830</v>
      </c>
      <c r="E2477" s="35">
        <v>44615</v>
      </c>
      <c r="F2477" s="34">
        <v>1830</v>
      </c>
      <c r="G2477" s="36">
        <f>Tabla13[[#This Row],[Importe]]-Tabla13[[#This Row],[Pagado]]</f>
        <v>0</v>
      </c>
      <c r="H2477" s="38" t="s">
        <v>10</v>
      </c>
    </row>
    <row r="2478" spans="1:8" x14ac:dyDescent="0.25">
      <c r="A2478" s="31">
        <v>44614</v>
      </c>
      <c r="B2478" s="37" t="s">
        <v>6259</v>
      </c>
      <c r="C2478" s="38" t="s">
        <v>275</v>
      </c>
      <c r="D2478" s="34">
        <v>31158.400000000001</v>
      </c>
      <c r="E2478" s="35">
        <v>44624</v>
      </c>
      <c r="F2478" s="34">
        <v>31158.400000000001</v>
      </c>
      <c r="G2478" s="36">
        <f>Tabla13[[#This Row],[Importe]]-Tabla13[[#This Row],[Pagado]]</f>
        <v>0</v>
      </c>
      <c r="H2478" s="38" t="s">
        <v>10</v>
      </c>
    </row>
    <row r="2479" spans="1:8" x14ac:dyDescent="0.25">
      <c r="A2479" s="31">
        <v>44614</v>
      </c>
      <c r="B2479" s="37" t="s">
        <v>6260</v>
      </c>
      <c r="C2479" s="38" t="s">
        <v>67</v>
      </c>
      <c r="D2479" s="34">
        <v>1039.5999999999999</v>
      </c>
      <c r="E2479" s="35">
        <v>44614</v>
      </c>
      <c r="F2479" s="34">
        <v>1039.5999999999999</v>
      </c>
      <c r="G2479" s="36">
        <f>Tabla13[[#This Row],[Importe]]-Tabla13[[#This Row],[Pagado]]</f>
        <v>0</v>
      </c>
      <c r="H2479" s="38" t="s">
        <v>10</v>
      </c>
    </row>
    <row r="2480" spans="1:8" x14ac:dyDescent="0.25">
      <c r="A2480" s="31">
        <v>44614</v>
      </c>
      <c r="B2480" s="37" t="s">
        <v>6261</v>
      </c>
      <c r="C2480" s="38" t="s">
        <v>269</v>
      </c>
      <c r="D2480" s="34">
        <v>2313.3000000000002</v>
      </c>
      <c r="E2480" s="35">
        <v>44614</v>
      </c>
      <c r="F2480" s="34">
        <v>2313.3000000000002</v>
      </c>
      <c r="G2480" s="36">
        <f>Tabla13[[#This Row],[Importe]]-Tabla13[[#This Row],[Pagado]]</f>
        <v>0</v>
      </c>
      <c r="H2480" s="38" t="s">
        <v>10</v>
      </c>
    </row>
    <row r="2481" spans="1:8" x14ac:dyDescent="0.25">
      <c r="A2481" s="31">
        <v>44614</v>
      </c>
      <c r="B2481" s="37" t="s">
        <v>6262</v>
      </c>
      <c r="C2481" s="38" t="s">
        <v>431</v>
      </c>
      <c r="D2481" s="34">
        <v>600</v>
      </c>
      <c r="E2481" s="35">
        <v>44615</v>
      </c>
      <c r="F2481" s="34">
        <v>600</v>
      </c>
      <c r="G2481" s="36">
        <f>Tabla13[[#This Row],[Importe]]-Tabla13[[#This Row],[Pagado]]</f>
        <v>0</v>
      </c>
      <c r="H2481" s="38" t="s">
        <v>10</v>
      </c>
    </row>
    <row r="2482" spans="1:8" x14ac:dyDescent="0.25">
      <c r="A2482" s="31">
        <v>44614</v>
      </c>
      <c r="B2482" s="37" t="s">
        <v>6263</v>
      </c>
      <c r="C2482" s="38" t="s">
        <v>280</v>
      </c>
      <c r="D2482" s="34">
        <v>548.5</v>
      </c>
      <c r="E2482" s="35">
        <v>44615</v>
      </c>
      <c r="F2482" s="34">
        <v>548.5</v>
      </c>
      <c r="G2482" s="36">
        <f>Tabla13[[#This Row],[Importe]]-Tabla13[[#This Row],[Pagado]]</f>
        <v>0</v>
      </c>
      <c r="H2482" s="38" t="s">
        <v>10</v>
      </c>
    </row>
    <row r="2483" spans="1:8" x14ac:dyDescent="0.25">
      <c r="A2483" s="31">
        <v>44614</v>
      </c>
      <c r="B2483" s="37" t="s">
        <v>6264</v>
      </c>
      <c r="C2483" s="38" t="s">
        <v>179</v>
      </c>
      <c r="D2483" s="34">
        <v>815</v>
      </c>
      <c r="E2483" s="35">
        <v>44614</v>
      </c>
      <c r="F2483" s="34">
        <v>815</v>
      </c>
      <c r="G2483" s="36">
        <f>Tabla13[[#This Row],[Importe]]-Tabla13[[#This Row],[Pagado]]</f>
        <v>0</v>
      </c>
      <c r="H2483" s="38" t="s">
        <v>10</v>
      </c>
    </row>
    <row r="2484" spans="1:8" x14ac:dyDescent="0.25">
      <c r="A2484" s="31">
        <v>44614</v>
      </c>
      <c r="B2484" s="37" t="s">
        <v>6265</v>
      </c>
      <c r="C2484" s="38" t="s">
        <v>56</v>
      </c>
      <c r="D2484" s="34">
        <v>5700</v>
      </c>
      <c r="E2484" s="35">
        <v>44614</v>
      </c>
      <c r="F2484" s="34">
        <v>5700</v>
      </c>
      <c r="G2484" s="36">
        <f>Tabla13[[#This Row],[Importe]]-Tabla13[[#This Row],[Pagado]]</f>
        <v>0</v>
      </c>
      <c r="H2484" s="38" t="s">
        <v>10</v>
      </c>
    </row>
    <row r="2485" spans="1:8" x14ac:dyDescent="0.25">
      <c r="A2485" s="31">
        <v>44614</v>
      </c>
      <c r="B2485" s="37" t="s">
        <v>6266</v>
      </c>
      <c r="C2485" s="38" t="s">
        <v>3747</v>
      </c>
      <c r="D2485" s="34">
        <v>9272</v>
      </c>
      <c r="E2485" s="35">
        <v>44614</v>
      </c>
      <c r="F2485" s="34">
        <v>9272</v>
      </c>
      <c r="G2485" s="36">
        <f>Tabla13[[#This Row],[Importe]]-Tabla13[[#This Row],[Pagado]]</f>
        <v>0</v>
      </c>
      <c r="H2485" s="38" t="s">
        <v>10</v>
      </c>
    </row>
    <row r="2486" spans="1:8" x14ac:dyDescent="0.25">
      <c r="A2486" s="31">
        <v>44614</v>
      </c>
      <c r="B2486" s="37" t="s">
        <v>6267</v>
      </c>
      <c r="C2486" s="38" t="s">
        <v>368</v>
      </c>
      <c r="D2486" s="34">
        <v>5963.6</v>
      </c>
      <c r="E2486" s="35">
        <v>44614</v>
      </c>
      <c r="F2486" s="34">
        <v>5963.6</v>
      </c>
      <c r="G2486" s="36">
        <f>Tabla13[[#This Row],[Importe]]-Tabla13[[#This Row],[Pagado]]</f>
        <v>0</v>
      </c>
      <c r="H2486" s="38" t="s">
        <v>10</v>
      </c>
    </row>
    <row r="2487" spans="1:8" x14ac:dyDescent="0.25">
      <c r="A2487" s="31">
        <v>44614</v>
      </c>
      <c r="B2487" s="37" t="s">
        <v>6268</v>
      </c>
      <c r="C2487" s="38" t="s">
        <v>2961</v>
      </c>
      <c r="D2487" s="34">
        <v>49651.199999999997</v>
      </c>
      <c r="E2487" s="35">
        <v>44615</v>
      </c>
      <c r="F2487" s="34">
        <v>49651.199999999997</v>
      </c>
      <c r="G2487" s="36">
        <f>Tabla13[[#This Row],[Importe]]-Tabla13[[#This Row],[Pagado]]</f>
        <v>0</v>
      </c>
      <c r="H2487" s="38" t="s">
        <v>10</v>
      </c>
    </row>
    <row r="2488" spans="1:8" x14ac:dyDescent="0.25">
      <c r="A2488" s="31">
        <v>44614</v>
      </c>
      <c r="B2488" s="37" t="s">
        <v>6269</v>
      </c>
      <c r="C2488" s="38" t="s">
        <v>433</v>
      </c>
      <c r="D2488" s="34">
        <v>26280</v>
      </c>
      <c r="E2488" s="35">
        <v>44614</v>
      </c>
      <c r="F2488" s="34">
        <v>26280</v>
      </c>
      <c r="G2488" s="36">
        <f>Tabla13[[#This Row],[Importe]]-Tabla13[[#This Row],[Pagado]]</f>
        <v>0</v>
      </c>
      <c r="H2488" s="38" t="s">
        <v>10</v>
      </c>
    </row>
    <row r="2489" spans="1:8" x14ac:dyDescent="0.25">
      <c r="A2489" s="31">
        <v>44614</v>
      </c>
      <c r="B2489" s="37" t="s">
        <v>6270</v>
      </c>
      <c r="C2489" s="38" t="s">
        <v>452</v>
      </c>
      <c r="D2489" s="34">
        <v>2777.6</v>
      </c>
      <c r="E2489" s="35">
        <v>44614</v>
      </c>
      <c r="F2489" s="34">
        <v>2777.6</v>
      </c>
      <c r="G2489" s="36">
        <f>Tabla13[[#This Row],[Importe]]-Tabla13[[#This Row],[Pagado]]</f>
        <v>0</v>
      </c>
      <c r="H2489" s="38" t="s">
        <v>10</v>
      </c>
    </row>
    <row r="2490" spans="1:8" x14ac:dyDescent="0.25">
      <c r="A2490" s="31">
        <v>44614</v>
      </c>
      <c r="B2490" s="37" t="s">
        <v>6271</v>
      </c>
      <c r="C2490" s="38" t="s">
        <v>421</v>
      </c>
      <c r="D2490" s="34">
        <v>7000.2</v>
      </c>
      <c r="E2490" s="35">
        <v>44618</v>
      </c>
      <c r="F2490" s="34">
        <v>7000.2</v>
      </c>
      <c r="G2490" s="36">
        <f>Tabla13[[#This Row],[Importe]]-Tabla13[[#This Row],[Pagado]]</f>
        <v>0</v>
      </c>
      <c r="H2490" s="38" t="s">
        <v>10</v>
      </c>
    </row>
    <row r="2491" spans="1:8" x14ac:dyDescent="0.25">
      <c r="A2491" s="31">
        <v>44614</v>
      </c>
      <c r="B2491" s="37" t="s">
        <v>6272</v>
      </c>
      <c r="C2491" s="38" t="s">
        <v>6273</v>
      </c>
      <c r="D2491" s="34">
        <v>4760</v>
      </c>
      <c r="E2491" s="35">
        <v>44614</v>
      </c>
      <c r="F2491" s="34">
        <v>4760</v>
      </c>
      <c r="G2491" s="36">
        <f>Tabla13[[#This Row],[Importe]]-Tabla13[[#This Row],[Pagado]]</f>
        <v>0</v>
      </c>
      <c r="H2491" s="38" t="s">
        <v>10</v>
      </c>
    </row>
    <row r="2492" spans="1:8" x14ac:dyDescent="0.25">
      <c r="A2492" s="31">
        <v>44614</v>
      </c>
      <c r="B2492" s="37" t="s">
        <v>6274</v>
      </c>
      <c r="C2492" s="38" t="s">
        <v>407</v>
      </c>
      <c r="D2492" s="34">
        <v>6800</v>
      </c>
      <c r="E2492" s="35">
        <v>44617</v>
      </c>
      <c r="F2492" s="34">
        <v>6800</v>
      </c>
      <c r="G2492" s="36">
        <f>Tabla13[[#This Row],[Importe]]-Tabla13[[#This Row],[Pagado]]</f>
        <v>0</v>
      </c>
      <c r="H2492" s="38" t="s">
        <v>10</v>
      </c>
    </row>
    <row r="2493" spans="1:8" x14ac:dyDescent="0.25">
      <c r="A2493" s="31">
        <v>44614</v>
      </c>
      <c r="B2493" s="37" t="s">
        <v>6275</v>
      </c>
      <c r="C2493" s="38" t="s">
        <v>226</v>
      </c>
      <c r="D2493" s="34">
        <v>375</v>
      </c>
      <c r="E2493" s="35">
        <v>44614</v>
      </c>
      <c r="F2493" s="34">
        <v>375</v>
      </c>
      <c r="G2493" s="36">
        <f>Tabla13[[#This Row],[Importe]]-Tabla13[[#This Row],[Pagado]]</f>
        <v>0</v>
      </c>
      <c r="H2493" s="38" t="s">
        <v>10</v>
      </c>
    </row>
    <row r="2494" spans="1:8" x14ac:dyDescent="0.25">
      <c r="A2494" s="31">
        <v>44614</v>
      </c>
      <c r="B2494" s="37" t="s">
        <v>6276</v>
      </c>
      <c r="C2494" s="38" t="s">
        <v>275</v>
      </c>
      <c r="D2494" s="34">
        <v>29818.799999999999</v>
      </c>
      <c r="E2494" s="35">
        <v>44624</v>
      </c>
      <c r="F2494" s="34">
        <v>29818.799999999999</v>
      </c>
      <c r="G2494" s="36">
        <f>Tabla13[[#This Row],[Importe]]-Tabla13[[#This Row],[Pagado]]</f>
        <v>0</v>
      </c>
      <c r="H2494" s="38" t="s">
        <v>10</v>
      </c>
    </row>
    <row r="2495" spans="1:8" x14ac:dyDescent="0.25">
      <c r="A2495" s="31">
        <v>44614</v>
      </c>
      <c r="B2495" s="37" t="s">
        <v>6277</v>
      </c>
      <c r="C2495" s="38" t="s">
        <v>275</v>
      </c>
      <c r="D2495" s="34">
        <v>30342.400000000001</v>
      </c>
      <c r="E2495" s="35">
        <v>44624</v>
      </c>
      <c r="F2495" s="34">
        <f>6468.83+23873.57</f>
        <v>30342.400000000001</v>
      </c>
      <c r="G2495" s="36">
        <f>Tabla13[[#This Row],[Importe]]-Tabla13[[#This Row],[Pagado]]</f>
        <v>0</v>
      </c>
      <c r="H2495" s="38" t="s">
        <v>10</v>
      </c>
    </row>
    <row r="2496" spans="1:8" x14ac:dyDescent="0.25">
      <c r="A2496" s="31">
        <v>44614</v>
      </c>
      <c r="B2496" s="37" t="s">
        <v>6278</v>
      </c>
      <c r="C2496" s="38" t="s">
        <v>214</v>
      </c>
      <c r="D2496" s="34">
        <v>3300</v>
      </c>
      <c r="E2496" s="35">
        <v>44615</v>
      </c>
      <c r="F2496" s="34">
        <v>3300</v>
      </c>
      <c r="G2496" s="36">
        <f>Tabla13[[#This Row],[Importe]]-Tabla13[[#This Row],[Pagado]]</f>
        <v>0</v>
      </c>
      <c r="H2496" s="38" t="s">
        <v>10</v>
      </c>
    </row>
    <row r="2497" spans="1:8" x14ac:dyDescent="0.25">
      <c r="A2497" s="31">
        <v>44614</v>
      </c>
      <c r="B2497" s="37" t="s">
        <v>6279</v>
      </c>
      <c r="C2497" s="38" t="s">
        <v>3747</v>
      </c>
      <c r="D2497" s="34">
        <v>9899</v>
      </c>
      <c r="E2497" s="35">
        <v>44614</v>
      </c>
      <c r="F2497" s="34">
        <v>9899</v>
      </c>
      <c r="G2497" s="36">
        <f>Tabla13[[#This Row],[Importe]]-Tabla13[[#This Row],[Pagado]]</f>
        <v>0</v>
      </c>
      <c r="H2497" s="38" t="s">
        <v>10</v>
      </c>
    </row>
    <row r="2498" spans="1:8" x14ac:dyDescent="0.25">
      <c r="A2498" s="31">
        <v>44614</v>
      </c>
      <c r="B2498" s="37" t="s">
        <v>6280</v>
      </c>
      <c r="C2498" s="38" t="s">
        <v>419</v>
      </c>
      <c r="D2498" s="34">
        <v>4858.8</v>
      </c>
      <c r="E2498" s="35">
        <v>44614</v>
      </c>
      <c r="F2498" s="34">
        <v>4858.8</v>
      </c>
      <c r="G2498" s="36">
        <f>Tabla13[[#This Row],[Importe]]-Tabla13[[#This Row],[Pagado]]</f>
        <v>0</v>
      </c>
      <c r="H2498" s="38" t="s">
        <v>10</v>
      </c>
    </row>
    <row r="2499" spans="1:8" x14ac:dyDescent="0.25">
      <c r="A2499" s="31">
        <v>44614</v>
      </c>
      <c r="B2499" s="37" t="s">
        <v>6281</v>
      </c>
      <c r="C2499" s="38" t="s">
        <v>273</v>
      </c>
      <c r="D2499" s="34">
        <v>1523.2</v>
      </c>
      <c r="E2499" s="35">
        <v>44614</v>
      </c>
      <c r="F2499" s="34">
        <v>1523.2</v>
      </c>
      <c r="G2499" s="36">
        <f>Tabla13[[#This Row],[Importe]]-Tabla13[[#This Row],[Pagado]]</f>
        <v>0</v>
      </c>
      <c r="H2499" s="38" t="s">
        <v>10</v>
      </c>
    </row>
    <row r="2500" spans="1:8" x14ac:dyDescent="0.25">
      <c r="A2500" s="31">
        <v>44614</v>
      </c>
      <c r="B2500" s="37" t="s">
        <v>6282</v>
      </c>
      <c r="C2500" s="38" t="s">
        <v>463</v>
      </c>
      <c r="D2500" s="34">
        <v>584.6</v>
      </c>
      <c r="E2500" s="35">
        <v>44614</v>
      </c>
      <c r="F2500" s="34">
        <v>584.6</v>
      </c>
      <c r="G2500" s="36">
        <f>Tabla13[[#This Row],[Importe]]-Tabla13[[#This Row],[Pagado]]</f>
        <v>0</v>
      </c>
      <c r="H2500" s="38" t="s">
        <v>10</v>
      </c>
    </row>
    <row r="2501" spans="1:8" x14ac:dyDescent="0.25">
      <c r="A2501" s="31">
        <v>44614</v>
      </c>
      <c r="B2501" s="37" t="s">
        <v>6283</v>
      </c>
      <c r="C2501" s="38" t="s">
        <v>463</v>
      </c>
      <c r="D2501" s="34">
        <v>550</v>
      </c>
      <c r="E2501" s="35">
        <v>44620</v>
      </c>
      <c r="F2501" s="34">
        <v>550</v>
      </c>
      <c r="G2501" s="36">
        <f>Tabla13[[#This Row],[Importe]]-Tabla13[[#This Row],[Pagado]]</f>
        <v>0</v>
      </c>
      <c r="H2501" s="38" t="s">
        <v>10</v>
      </c>
    </row>
    <row r="2502" spans="1:8" x14ac:dyDescent="0.25">
      <c r="A2502" s="31">
        <v>44614</v>
      </c>
      <c r="B2502" s="37" t="s">
        <v>6284</v>
      </c>
      <c r="C2502" s="38" t="s">
        <v>214</v>
      </c>
      <c r="D2502" s="34">
        <v>940</v>
      </c>
      <c r="E2502" s="35">
        <v>44614</v>
      </c>
      <c r="F2502" s="34">
        <v>940</v>
      </c>
      <c r="G2502" s="36">
        <f>Tabla13[[#This Row],[Importe]]-Tabla13[[#This Row],[Pagado]]</f>
        <v>0</v>
      </c>
      <c r="H2502" s="38" t="s">
        <v>10</v>
      </c>
    </row>
    <row r="2503" spans="1:8" x14ac:dyDescent="0.25">
      <c r="A2503" s="31">
        <v>44614</v>
      </c>
      <c r="B2503" s="37" t="s">
        <v>6285</v>
      </c>
      <c r="C2503" s="38" t="s">
        <v>12</v>
      </c>
      <c r="D2503" s="34">
        <v>27073.4</v>
      </c>
      <c r="E2503" s="35">
        <v>44615</v>
      </c>
      <c r="F2503" s="34">
        <v>27073.4</v>
      </c>
      <c r="G2503" s="36">
        <f>Tabla13[[#This Row],[Importe]]-Tabla13[[#This Row],[Pagado]]</f>
        <v>0</v>
      </c>
      <c r="H2503" s="38" t="s">
        <v>10</v>
      </c>
    </row>
    <row r="2504" spans="1:8" x14ac:dyDescent="0.25">
      <c r="A2504" s="31">
        <v>44614</v>
      </c>
      <c r="B2504" s="37" t="s">
        <v>6286</v>
      </c>
      <c r="C2504" s="38" t="s">
        <v>69</v>
      </c>
      <c r="D2504" s="34">
        <v>2195</v>
      </c>
      <c r="E2504" s="35">
        <v>44614</v>
      </c>
      <c r="F2504" s="34">
        <v>2195</v>
      </c>
      <c r="G2504" s="36">
        <f>Tabla13[[#This Row],[Importe]]-Tabla13[[#This Row],[Pagado]]</f>
        <v>0</v>
      </c>
      <c r="H2504" s="38" t="s">
        <v>10</v>
      </c>
    </row>
    <row r="2505" spans="1:8" x14ac:dyDescent="0.25">
      <c r="A2505" s="31">
        <v>44614</v>
      </c>
      <c r="B2505" s="37" t="s">
        <v>6287</v>
      </c>
      <c r="C2505" s="38" t="s">
        <v>1706</v>
      </c>
      <c r="D2505" s="34">
        <v>3600</v>
      </c>
      <c r="E2505" s="35">
        <v>44614</v>
      </c>
      <c r="F2505" s="34">
        <v>3600</v>
      </c>
      <c r="G2505" s="36">
        <f>Tabla13[[#This Row],[Importe]]-Tabla13[[#This Row],[Pagado]]</f>
        <v>0</v>
      </c>
      <c r="H2505" s="38" t="s">
        <v>10</v>
      </c>
    </row>
    <row r="2506" spans="1:8" x14ac:dyDescent="0.25">
      <c r="A2506" s="31">
        <v>44614</v>
      </c>
      <c r="B2506" s="37" t="s">
        <v>6288</v>
      </c>
      <c r="C2506" s="38" t="s">
        <v>1706</v>
      </c>
      <c r="D2506" s="34">
        <v>3600</v>
      </c>
      <c r="E2506" s="35">
        <v>44614</v>
      </c>
      <c r="F2506" s="34">
        <v>3600</v>
      </c>
      <c r="G2506" s="36">
        <f>Tabla13[[#This Row],[Importe]]-Tabla13[[#This Row],[Pagado]]</f>
        <v>0</v>
      </c>
      <c r="H2506" s="38" t="s">
        <v>10</v>
      </c>
    </row>
    <row r="2507" spans="1:8" x14ac:dyDescent="0.25">
      <c r="A2507" s="31">
        <v>44614</v>
      </c>
      <c r="B2507" s="37" t="s">
        <v>6289</v>
      </c>
      <c r="C2507" s="38" t="s">
        <v>289</v>
      </c>
      <c r="D2507" s="34">
        <v>8280</v>
      </c>
      <c r="E2507" s="35">
        <v>44614</v>
      </c>
      <c r="F2507" s="34">
        <v>8280</v>
      </c>
      <c r="G2507" s="36">
        <f>Tabla13[[#This Row],[Importe]]-Tabla13[[#This Row],[Pagado]]</f>
        <v>0</v>
      </c>
      <c r="H2507" s="38" t="s">
        <v>10</v>
      </c>
    </row>
    <row r="2508" spans="1:8" x14ac:dyDescent="0.25">
      <c r="A2508" s="31">
        <v>44614</v>
      </c>
      <c r="B2508" s="37" t="s">
        <v>6290</v>
      </c>
      <c r="C2508" s="38" t="s">
        <v>298</v>
      </c>
      <c r="D2508" s="34">
        <v>1351.5</v>
      </c>
      <c r="E2508" s="35">
        <v>44614</v>
      </c>
      <c r="F2508" s="34">
        <v>1351.5</v>
      </c>
      <c r="G2508" s="36">
        <f>Tabla13[[#This Row],[Importe]]-Tabla13[[#This Row],[Pagado]]</f>
        <v>0</v>
      </c>
      <c r="H2508" s="38" t="s">
        <v>10</v>
      </c>
    </row>
    <row r="2509" spans="1:8" x14ac:dyDescent="0.25">
      <c r="A2509" s="31">
        <v>44614</v>
      </c>
      <c r="B2509" s="37" t="s">
        <v>6291</v>
      </c>
      <c r="C2509" s="38" t="s">
        <v>27</v>
      </c>
      <c r="D2509" s="34">
        <v>6658.2</v>
      </c>
      <c r="E2509" s="35">
        <v>44615</v>
      </c>
      <c r="F2509" s="34">
        <v>6658.2</v>
      </c>
      <c r="G2509" s="36">
        <f>Tabla13[[#This Row],[Importe]]-Tabla13[[#This Row],[Pagado]]</f>
        <v>0</v>
      </c>
      <c r="H2509" s="38" t="s">
        <v>10</v>
      </c>
    </row>
    <row r="2510" spans="1:8" x14ac:dyDescent="0.25">
      <c r="A2510" s="31">
        <v>44614</v>
      </c>
      <c r="B2510" s="37" t="s">
        <v>6292</v>
      </c>
      <c r="C2510" s="38" t="s">
        <v>31</v>
      </c>
      <c r="D2510" s="34">
        <v>25</v>
      </c>
      <c r="E2510" s="35">
        <v>44620</v>
      </c>
      <c r="F2510" s="34">
        <v>25</v>
      </c>
      <c r="G2510" s="36">
        <f>Tabla13[[#This Row],[Importe]]-Tabla13[[#This Row],[Pagado]]</f>
        <v>0</v>
      </c>
      <c r="H2510" s="38" t="s">
        <v>10</v>
      </c>
    </row>
    <row r="2511" spans="1:8" x14ac:dyDescent="0.25">
      <c r="A2511" s="31">
        <v>44615</v>
      </c>
      <c r="B2511" s="37" t="s">
        <v>6293</v>
      </c>
      <c r="C2511" s="38" t="s">
        <v>887</v>
      </c>
      <c r="D2511" s="34">
        <v>7934.6</v>
      </c>
      <c r="E2511" s="35">
        <v>44616</v>
      </c>
      <c r="F2511" s="34">
        <v>7934.6</v>
      </c>
      <c r="G2511" s="36">
        <f>Tabla13[[#This Row],[Importe]]-Tabla13[[#This Row],[Pagado]]</f>
        <v>0</v>
      </c>
      <c r="H2511" s="38" t="s">
        <v>10</v>
      </c>
    </row>
    <row r="2512" spans="1:8" x14ac:dyDescent="0.25">
      <c r="A2512" s="31">
        <v>44615</v>
      </c>
      <c r="B2512" s="37" t="s">
        <v>6294</v>
      </c>
      <c r="C2512" s="38" t="s">
        <v>1339</v>
      </c>
      <c r="D2512" s="34">
        <v>3786.8</v>
      </c>
      <c r="E2512" s="35">
        <v>44621</v>
      </c>
      <c r="F2512" s="34">
        <v>3786.8</v>
      </c>
      <c r="G2512" s="36">
        <f>Tabla13[[#This Row],[Importe]]-Tabla13[[#This Row],[Pagado]]</f>
        <v>0</v>
      </c>
      <c r="H2512" s="38" t="s">
        <v>10</v>
      </c>
    </row>
    <row r="2513" spans="1:8" x14ac:dyDescent="0.25">
      <c r="A2513" s="31">
        <v>44615</v>
      </c>
      <c r="B2513" s="37" t="s">
        <v>6295</v>
      </c>
      <c r="C2513" s="38" t="s">
        <v>481</v>
      </c>
      <c r="D2513" s="34">
        <v>2797.8</v>
      </c>
      <c r="E2513" s="35">
        <v>44615</v>
      </c>
      <c r="F2513" s="34">
        <v>2797.8</v>
      </c>
      <c r="G2513" s="36">
        <f>Tabla13[[#This Row],[Importe]]-Tabla13[[#This Row],[Pagado]]</f>
        <v>0</v>
      </c>
      <c r="H2513" s="38" t="s">
        <v>10</v>
      </c>
    </row>
    <row r="2514" spans="1:8" ht="47.25" x14ac:dyDescent="0.25">
      <c r="A2514" s="31">
        <v>44615</v>
      </c>
      <c r="B2514" s="37" t="s">
        <v>6296</v>
      </c>
      <c r="C2514" s="38" t="s">
        <v>475</v>
      </c>
      <c r="D2514" s="34">
        <v>59441.9</v>
      </c>
      <c r="E2514" s="35" t="s">
        <v>6297</v>
      </c>
      <c r="F2514" s="34">
        <f>9000+30000+20441.9</f>
        <v>59441.9</v>
      </c>
      <c r="G2514" s="36">
        <f>Tabla13[[#This Row],[Importe]]-Tabla13[[#This Row],[Pagado]]</f>
        <v>0</v>
      </c>
      <c r="H2514" s="38" t="s">
        <v>10</v>
      </c>
    </row>
    <row r="2515" spans="1:8" x14ac:dyDescent="0.25">
      <c r="A2515" s="31">
        <v>44615</v>
      </c>
      <c r="B2515" s="37" t="s">
        <v>6298</v>
      </c>
      <c r="C2515" s="38" t="s">
        <v>12</v>
      </c>
      <c r="D2515" s="34">
        <v>23429.4</v>
      </c>
      <c r="E2515" s="35">
        <v>44616</v>
      </c>
      <c r="F2515" s="34">
        <v>23429.4</v>
      </c>
      <c r="G2515" s="36">
        <f>Tabla13[[#This Row],[Importe]]-Tabla13[[#This Row],[Pagado]]</f>
        <v>0</v>
      </c>
      <c r="H2515" s="38" t="s">
        <v>10</v>
      </c>
    </row>
    <row r="2516" spans="1:8" x14ac:dyDescent="0.25">
      <c r="A2516" s="31">
        <v>44615</v>
      </c>
      <c r="B2516" s="37" t="s">
        <v>6299</v>
      </c>
      <c r="C2516" s="38" t="s">
        <v>2563</v>
      </c>
      <c r="D2516" s="34">
        <v>3640.7</v>
      </c>
      <c r="E2516" s="35">
        <v>44615</v>
      </c>
      <c r="F2516" s="34">
        <v>3640.7</v>
      </c>
      <c r="G2516" s="36">
        <f>Tabla13[[#This Row],[Importe]]-Tabla13[[#This Row],[Pagado]]</f>
        <v>0</v>
      </c>
      <c r="H2516" s="38" t="s">
        <v>10</v>
      </c>
    </row>
    <row r="2517" spans="1:8" x14ac:dyDescent="0.25">
      <c r="A2517" s="31">
        <v>44615</v>
      </c>
      <c r="B2517" s="37" t="s">
        <v>6300</v>
      </c>
      <c r="C2517" s="38" t="s">
        <v>109</v>
      </c>
      <c r="D2517" s="34">
        <v>4347.5</v>
      </c>
      <c r="E2517" s="35">
        <v>44616</v>
      </c>
      <c r="F2517" s="34">
        <v>4347.5</v>
      </c>
      <c r="G2517" s="36">
        <f>Tabla13[[#This Row],[Importe]]-Tabla13[[#This Row],[Pagado]]</f>
        <v>0</v>
      </c>
      <c r="H2517" s="38" t="s">
        <v>10</v>
      </c>
    </row>
    <row r="2518" spans="1:8" x14ac:dyDescent="0.25">
      <c r="A2518" s="31">
        <v>44615</v>
      </c>
      <c r="B2518" s="37" t="s">
        <v>6301</v>
      </c>
      <c r="C2518" s="38" t="s">
        <v>75</v>
      </c>
      <c r="D2518" s="34">
        <v>5760</v>
      </c>
      <c r="E2518" s="35">
        <v>44615</v>
      </c>
      <c r="F2518" s="34">
        <v>5760</v>
      </c>
      <c r="G2518" s="36">
        <f>Tabla13[[#This Row],[Importe]]-Tabla13[[#This Row],[Pagado]]</f>
        <v>0</v>
      </c>
      <c r="H2518" s="38" t="s">
        <v>10</v>
      </c>
    </row>
    <row r="2519" spans="1:8" x14ac:dyDescent="0.25">
      <c r="A2519" s="31">
        <v>44615</v>
      </c>
      <c r="B2519" s="37" t="s">
        <v>6302</v>
      </c>
      <c r="C2519" s="38" t="s">
        <v>9</v>
      </c>
      <c r="D2519" s="34">
        <v>5919.2</v>
      </c>
      <c r="E2519" s="35">
        <v>44615</v>
      </c>
      <c r="F2519" s="34">
        <v>5919.2</v>
      </c>
      <c r="G2519" s="36">
        <f>Tabla13[[#This Row],[Importe]]-Tabla13[[#This Row],[Pagado]]</f>
        <v>0</v>
      </c>
      <c r="H2519" s="38" t="s">
        <v>10</v>
      </c>
    </row>
    <row r="2520" spans="1:8" x14ac:dyDescent="0.25">
      <c r="A2520" s="31">
        <v>44615</v>
      </c>
      <c r="B2520" s="37" t="s">
        <v>6303</v>
      </c>
      <c r="C2520" s="38" t="s">
        <v>326</v>
      </c>
      <c r="D2520" s="34">
        <v>3990.3</v>
      </c>
      <c r="E2520" s="35">
        <v>44617</v>
      </c>
      <c r="F2520" s="34">
        <v>3990.3</v>
      </c>
      <c r="G2520" s="36">
        <f>Tabla13[[#This Row],[Importe]]-Tabla13[[#This Row],[Pagado]]</f>
        <v>0</v>
      </c>
      <c r="H2520" s="38" t="s">
        <v>10</v>
      </c>
    </row>
    <row r="2521" spans="1:8" x14ac:dyDescent="0.25">
      <c r="A2521" s="31">
        <v>44615</v>
      </c>
      <c r="B2521" s="37" t="s">
        <v>6304</v>
      </c>
      <c r="C2521" s="38" t="s">
        <v>22</v>
      </c>
      <c r="D2521" s="34">
        <v>39021.199999999997</v>
      </c>
      <c r="E2521" s="35">
        <v>44616</v>
      </c>
      <c r="F2521" s="34">
        <v>39021.199999999997</v>
      </c>
      <c r="G2521" s="36">
        <f>Tabla13[[#This Row],[Importe]]-Tabla13[[#This Row],[Pagado]]</f>
        <v>0</v>
      </c>
      <c r="H2521" s="38" t="s">
        <v>10</v>
      </c>
    </row>
    <row r="2522" spans="1:8" x14ac:dyDescent="0.25">
      <c r="A2522" s="31">
        <v>44615</v>
      </c>
      <c r="B2522" s="37" t="s">
        <v>6305</v>
      </c>
      <c r="C2522" s="38" t="s">
        <v>348</v>
      </c>
      <c r="D2522" s="34">
        <v>2325.6</v>
      </c>
      <c r="E2522" s="35">
        <v>44616</v>
      </c>
      <c r="F2522" s="34">
        <v>2325.6</v>
      </c>
      <c r="G2522" s="36">
        <f>Tabla13[[#This Row],[Importe]]-Tabla13[[#This Row],[Pagado]]</f>
        <v>0</v>
      </c>
      <c r="H2522" s="38" t="s">
        <v>10</v>
      </c>
    </row>
    <row r="2523" spans="1:8" x14ac:dyDescent="0.25">
      <c r="A2523" s="31">
        <v>44615</v>
      </c>
      <c r="B2523" s="37" t="s">
        <v>6306</v>
      </c>
      <c r="C2523" s="38" t="s">
        <v>97</v>
      </c>
      <c r="D2523" s="34">
        <v>3586.1</v>
      </c>
      <c r="E2523" s="35">
        <v>44616</v>
      </c>
      <c r="F2523" s="34">
        <v>3586.1</v>
      </c>
      <c r="G2523" s="36">
        <f>Tabla13[[#This Row],[Importe]]-Tabla13[[#This Row],[Pagado]]</f>
        <v>0</v>
      </c>
      <c r="H2523" s="38" t="s">
        <v>10</v>
      </c>
    </row>
    <row r="2524" spans="1:8" x14ac:dyDescent="0.25">
      <c r="A2524" s="31">
        <v>44615</v>
      </c>
      <c r="B2524" s="37" t="s">
        <v>6307</v>
      </c>
      <c r="C2524" s="38" t="s">
        <v>89</v>
      </c>
      <c r="D2524" s="34">
        <v>3204</v>
      </c>
      <c r="E2524" s="35">
        <v>44616</v>
      </c>
      <c r="F2524" s="34">
        <v>3204</v>
      </c>
      <c r="G2524" s="36">
        <f>Tabla13[[#This Row],[Importe]]-Tabla13[[#This Row],[Pagado]]</f>
        <v>0</v>
      </c>
      <c r="H2524" s="38" t="s">
        <v>10</v>
      </c>
    </row>
    <row r="2525" spans="1:8" x14ac:dyDescent="0.25">
      <c r="A2525" s="31">
        <v>44615</v>
      </c>
      <c r="B2525" s="37" t="s">
        <v>6308</v>
      </c>
      <c r="C2525" s="38" t="s">
        <v>114</v>
      </c>
      <c r="D2525" s="34">
        <v>3807</v>
      </c>
      <c r="E2525" s="35">
        <v>44616</v>
      </c>
      <c r="F2525" s="34">
        <v>3807</v>
      </c>
      <c r="G2525" s="36">
        <f>Tabla13[[#This Row],[Importe]]-Tabla13[[#This Row],[Pagado]]</f>
        <v>0</v>
      </c>
      <c r="H2525" s="38" t="s">
        <v>10</v>
      </c>
    </row>
    <row r="2526" spans="1:8" ht="31.5" x14ac:dyDescent="0.25">
      <c r="A2526" s="31">
        <v>44615</v>
      </c>
      <c r="B2526" s="37" t="s">
        <v>6309</v>
      </c>
      <c r="C2526" s="38" t="s">
        <v>39</v>
      </c>
      <c r="D2526" s="34">
        <v>11776.8</v>
      </c>
      <c r="E2526" s="35" t="s">
        <v>6310</v>
      </c>
      <c r="F2526" s="34">
        <f>3000+8776.8</f>
        <v>11776.8</v>
      </c>
      <c r="G2526" s="36">
        <f>Tabla13[[#This Row],[Importe]]-Tabla13[[#This Row],[Pagado]]</f>
        <v>0</v>
      </c>
      <c r="H2526" s="38" t="s">
        <v>10</v>
      </c>
    </row>
    <row r="2527" spans="1:8" x14ac:dyDescent="0.25">
      <c r="A2527" s="31">
        <v>44615</v>
      </c>
      <c r="B2527" s="37" t="s">
        <v>6311</v>
      </c>
      <c r="C2527" s="38" t="s">
        <v>93</v>
      </c>
      <c r="D2527" s="34">
        <v>4814.8</v>
      </c>
      <c r="E2527" s="35">
        <v>44616</v>
      </c>
      <c r="F2527" s="34">
        <v>4814.8</v>
      </c>
      <c r="G2527" s="36">
        <f>Tabla13[[#This Row],[Importe]]-Tabla13[[#This Row],[Pagado]]</f>
        <v>0</v>
      </c>
      <c r="H2527" s="38" t="s">
        <v>10</v>
      </c>
    </row>
    <row r="2528" spans="1:8" x14ac:dyDescent="0.25">
      <c r="A2528" s="31">
        <v>44615</v>
      </c>
      <c r="B2528" s="37" t="s">
        <v>6312</v>
      </c>
      <c r="C2528" s="38" t="s">
        <v>83</v>
      </c>
      <c r="D2528" s="34">
        <v>6722.4</v>
      </c>
      <c r="E2528" s="35">
        <v>44615</v>
      </c>
      <c r="F2528" s="34">
        <v>6722.4</v>
      </c>
      <c r="G2528" s="36">
        <f>Tabla13[[#This Row],[Importe]]-Tabla13[[#This Row],[Pagado]]</f>
        <v>0</v>
      </c>
      <c r="H2528" s="38" t="s">
        <v>10</v>
      </c>
    </row>
    <row r="2529" spans="1:8" x14ac:dyDescent="0.25">
      <c r="A2529" s="31">
        <v>44615</v>
      </c>
      <c r="B2529" s="37" t="s">
        <v>6313</v>
      </c>
      <c r="C2529" s="38" t="s">
        <v>105</v>
      </c>
      <c r="D2529" s="34">
        <v>5726.8</v>
      </c>
      <c r="E2529" s="35">
        <v>44616</v>
      </c>
      <c r="F2529" s="34">
        <v>5726.8</v>
      </c>
      <c r="G2529" s="36">
        <f>Tabla13[[#This Row],[Importe]]-Tabla13[[#This Row],[Pagado]]</f>
        <v>0</v>
      </c>
      <c r="H2529" s="38" t="s">
        <v>10</v>
      </c>
    </row>
    <row r="2530" spans="1:8" x14ac:dyDescent="0.25">
      <c r="A2530" s="31">
        <v>44615</v>
      </c>
      <c r="B2530" s="37" t="s">
        <v>6314</v>
      </c>
      <c r="C2530" s="38" t="s">
        <v>99</v>
      </c>
      <c r="D2530" s="34">
        <v>1450</v>
      </c>
      <c r="E2530" s="35">
        <v>44618</v>
      </c>
      <c r="F2530" s="34">
        <v>1450</v>
      </c>
      <c r="G2530" s="36">
        <f>Tabla13[[#This Row],[Importe]]-Tabla13[[#This Row],[Pagado]]</f>
        <v>0</v>
      </c>
      <c r="H2530" s="38" t="s">
        <v>10</v>
      </c>
    </row>
    <row r="2531" spans="1:8" x14ac:dyDescent="0.25">
      <c r="A2531" s="31">
        <v>44615</v>
      </c>
      <c r="B2531" s="37" t="s">
        <v>6315</v>
      </c>
      <c r="C2531" s="38" t="s">
        <v>64</v>
      </c>
      <c r="D2531" s="34">
        <v>7631.3</v>
      </c>
      <c r="E2531" s="35">
        <v>44617</v>
      </c>
      <c r="F2531" s="34">
        <v>7631.3</v>
      </c>
      <c r="G2531" s="36">
        <f>Tabla13[[#This Row],[Importe]]-Tabla13[[#This Row],[Pagado]]</f>
        <v>0</v>
      </c>
      <c r="H2531" s="38" t="s">
        <v>10</v>
      </c>
    </row>
    <row r="2532" spans="1:8" x14ac:dyDescent="0.25">
      <c r="A2532" s="31">
        <v>44615</v>
      </c>
      <c r="B2532" s="37" t="s">
        <v>6316</v>
      </c>
      <c r="C2532" s="38" t="s">
        <v>131</v>
      </c>
      <c r="D2532" s="34">
        <v>17659.599999999999</v>
      </c>
      <c r="E2532" s="35">
        <v>44615</v>
      </c>
      <c r="F2532" s="34">
        <v>17659.599999999999</v>
      </c>
      <c r="G2532" s="36">
        <f>Tabla13[[#This Row],[Importe]]-Tabla13[[#This Row],[Pagado]]</f>
        <v>0</v>
      </c>
      <c r="H2532" s="38" t="s">
        <v>10</v>
      </c>
    </row>
    <row r="2533" spans="1:8" x14ac:dyDescent="0.25">
      <c r="A2533" s="31">
        <v>44615</v>
      </c>
      <c r="B2533" s="37" t="s">
        <v>6317</v>
      </c>
      <c r="C2533" s="38" t="s">
        <v>87</v>
      </c>
      <c r="D2533" s="34">
        <v>1990</v>
      </c>
      <c r="E2533" s="35">
        <v>44615</v>
      </c>
      <c r="F2533" s="34">
        <v>1990</v>
      </c>
      <c r="G2533" s="36">
        <f>Tabla13[[#This Row],[Importe]]-Tabla13[[#This Row],[Pagado]]</f>
        <v>0</v>
      </c>
      <c r="H2533" s="38" t="s">
        <v>10</v>
      </c>
    </row>
    <row r="2534" spans="1:8" x14ac:dyDescent="0.25">
      <c r="A2534" s="31">
        <v>44615</v>
      </c>
      <c r="B2534" s="37" t="s">
        <v>6318</v>
      </c>
      <c r="C2534" s="38" t="s">
        <v>154</v>
      </c>
      <c r="D2534" s="34">
        <v>26121</v>
      </c>
      <c r="E2534" s="35">
        <v>44621</v>
      </c>
      <c r="F2534" s="34">
        <v>26121</v>
      </c>
      <c r="G2534" s="36">
        <f>Tabla13[[#This Row],[Importe]]-Tabla13[[#This Row],[Pagado]]</f>
        <v>0</v>
      </c>
      <c r="H2534" s="38" t="s">
        <v>10</v>
      </c>
    </row>
    <row r="2535" spans="1:8" x14ac:dyDescent="0.25">
      <c r="A2535" s="31">
        <v>44615</v>
      </c>
      <c r="B2535" s="37" t="s">
        <v>6319</v>
      </c>
      <c r="C2535" s="38" t="s">
        <v>12</v>
      </c>
      <c r="D2535" s="34">
        <v>6305.2</v>
      </c>
      <c r="E2535" s="35">
        <v>44616</v>
      </c>
      <c r="F2535" s="34">
        <v>6305.2</v>
      </c>
      <c r="G2535" s="36">
        <f>Tabla13[[#This Row],[Importe]]-Tabla13[[#This Row],[Pagado]]</f>
        <v>0</v>
      </c>
      <c r="H2535" s="38" t="s">
        <v>10</v>
      </c>
    </row>
    <row r="2536" spans="1:8" x14ac:dyDescent="0.25">
      <c r="A2536" s="31">
        <v>44615</v>
      </c>
      <c r="B2536" s="37" t="s">
        <v>6320</v>
      </c>
      <c r="C2536" s="38" t="s">
        <v>12</v>
      </c>
      <c r="D2536" s="34">
        <v>3072.3</v>
      </c>
      <c r="E2536" s="35">
        <v>44616</v>
      </c>
      <c r="F2536" s="34">
        <v>3072.3</v>
      </c>
      <c r="G2536" s="36">
        <f>Tabla13[[#This Row],[Importe]]-Tabla13[[#This Row],[Pagado]]</f>
        <v>0</v>
      </c>
      <c r="H2536" s="38" t="s">
        <v>10</v>
      </c>
    </row>
    <row r="2537" spans="1:8" x14ac:dyDescent="0.25">
      <c r="A2537" s="31">
        <v>44615</v>
      </c>
      <c r="B2537" s="37" t="s">
        <v>6321</v>
      </c>
      <c r="C2537" s="38" t="s">
        <v>53</v>
      </c>
      <c r="D2537" s="34">
        <v>3039.6</v>
      </c>
      <c r="E2537" s="35">
        <v>44615</v>
      </c>
      <c r="F2537" s="34">
        <v>3039.6</v>
      </c>
      <c r="G2537" s="36">
        <f>Tabla13[[#This Row],[Importe]]-Tabla13[[#This Row],[Pagado]]</f>
        <v>0</v>
      </c>
      <c r="H2537" s="38" t="s">
        <v>10</v>
      </c>
    </row>
    <row r="2538" spans="1:8" x14ac:dyDescent="0.25">
      <c r="A2538" s="31">
        <v>44615</v>
      </c>
      <c r="B2538" s="37" t="s">
        <v>6322</v>
      </c>
      <c r="C2538" s="38" t="s">
        <v>16</v>
      </c>
      <c r="D2538" s="34">
        <v>4315.8</v>
      </c>
      <c r="E2538" s="35">
        <v>44615</v>
      </c>
      <c r="F2538" s="34">
        <v>4315.8</v>
      </c>
      <c r="G2538" s="36">
        <f>Tabla13[[#This Row],[Importe]]-Tabla13[[#This Row],[Pagado]]</f>
        <v>0</v>
      </c>
      <c r="H2538" s="38" t="s">
        <v>10</v>
      </c>
    </row>
    <row r="2539" spans="1:8" x14ac:dyDescent="0.25">
      <c r="A2539" s="31">
        <v>44615</v>
      </c>
      <c r="B2539" s="37" t="s">
        <v>6323</v>
      </c>
      <c r="C2539" s="38" t="s">
        <v>142</v>
      </c>
      <c r="D2539" s="34">
        <v>49782.6</v>
      </c>
      <c r="E2539" s="35">
        <v>44617</v>
      </c>
      <c r="F2539" s="34">
        <v>49782.6</v>
      </c>
      <c r="G2539" s="36">
        <f>Tabla13[[#This Row],[Importe]]-Tabla13[[#This Row],[Pagado]]</f>
        <v>0</v>
      </c>
      <c r="H2539" s="38" t="s">
        <v>10</v>
      </c>
    </row>
    <row r="2540" spans="1:8" x14ac:dyDescent="0.25">
      <c r="A2540" s="31">
        <v>44615</v>
      </c>
      <c r="B2540" s="37" t="s">
        <v>6324</v>
      </c>
      <c r="C2540" s="38" t="s">
        <v>161</v>
      </c>
      <c r="D2540" s="34">
        <v>3542</v>
      </c>
      <c r="E2540" s="35">
        <v>44615</v>
      </c>
      <c r="F2540" s="34">
        <v>3542</v>
      </c>
      <c r="G2540" s="36">
        <f>Tabla13[[#This Row],[Importe]]-Tabla13[[#This Row],[Pagado]]</f>
        <v>0</v>
      </c>
      <c r="H2540" s="38" t="s">
        <v>10</v>
      </c>
    </row>
    <row r="2541" spans="1:8" x14ac:dyDescent="0.25">
      <c r="A2541" s="31">
        <v>44615</v>
      </c>
      <c r="B2541" s="37" t="s">
        <v>6325</v>
      </c>
      <c r="C2541" s="38" t="s">
        <v>275</v>
      </c>
      <c r="D2541" s="34">
        <v>18172.599999999999</v>
      </c>
      <c r="E2541" s="35">
        <v>44624</v>
      </c>
      <c r="F2541" s="34">
        <v>18172.599999999999</v>
      </c>
      <c r="G2541" s="36">
        <f>Tabla13[[#This Row],[Importe]]-Tabla13[[#This Row],[Pagado]]</f>
        <v>0</v>
      </c>
      <c r="H2541" s="38" t="s">
        <v>10</v>
      </c>
    </row>
    <row r="2542" spans="1:8" x14ac:dyDescent="0.25">
      <c r="A2542" s="31">
        <v>44615</v>
      </c>
      <c r="B2542" s="37" t="s">
        <v>6326</v>
      </c>
      <c r="C2542" s="38" t="s">
        <v>382</v>
      </c>
      <c r="D2542" s="34">
        <v>5505</v>
      </c>
      <c r="E2542" s="35">
        <v>44615</v>
      </c>
      <c r="F2542" s="34">
        <v>5505</v>
      </c>
      <c r="G2542" s="36">
        <f>Tabla13[[#This Row],[Importe]]-Tabla13[[#This Row],[Pagado]]</f>
        <v>0</v>
      </c>
      <c r="H2542" s="38" t="s">
        <v>10</v>
      </c>
    </row>
    <row r="2543" spans="1:8" x14ac:dyDescent="0.25">
      <c r="A2543" s="31">
        <v>44615</v>
      </c>
      <c r="B2543" s="37" t="s">
        <v>6327</v>
      </c>
      <c r="C2543" s="38" t="s">
        <v>373</v>
      </c>
      <c r="D2543" s="34">
        <v>2827.2</v>
      </c>
      <c r="E2543" s="35">
        <v>44615</v>
      </c>
      <c r="F2543" s="34">
        <v>2827.2</v>
      </c>
      <c r="G2543" s="36">
        <f>Tabla13[[#This Row],[Importe]]-Tabla13[[#This Row],[Pagado]]</f>
        <v>0</v>
      </c>
      <c r="H2543" s="38" t="s">
        <v>10</v>
      </c>
    </row>
    <row r="2544" spans="1:8" x14ac:dyDescent="0.25">
      <c r="A2544" s="31">
        <v>44615</v>
      </c>
      <c r="B2544" s="37" t="s">
        <v>6328</v>
      </c>
      <c r="C2544" s="38" t="s">
        <v>206</v>
      </c>
      <c r="D2544" s="34">
        <v>30132.1</v>
      </c>
      <c r="E2544" s="35">
        <v>44618</v>
      </c>
      <c r="F2544" s="34">
        <v>30132.1</v>
      </c>
      <c r="G2544" s="36">
        <f>Tabla13[[#This Row],[Importe]]-Tabla13[[#This Row],[Pagado]]</f>
        <v>0</v>
      </c>
      <c r="H2544" s="38" t="s">
        <v>10</v>
      </c>
    </row>
    <row r="2545" spans="1:8" x14ac:dyDescent="0.25">
      <c r="A2545" s="31">
        <v>44615</v>
      </c>
      <c r="B2545" s="37" t="s">
        <v>6329</v>
      </c>
      <c r="C2545" s="38" t="s">
        <v>216</v>
      </c>
      <c r="D2545" s="34">
        <v>1490</v>
      </c>
      <c r="E2545" s="35">
        <v>44615</v>
      </c>
      <c r="F2545" s="34">
        <v>1490</v>
      </c>
      <c r="G2545" s="36">
        <f>Tabla13[[#This Row],[Importe]]-Tabla13[[#This Row],[Pagado]]</f>
        <v>0</v>
      </c>
      <c r="H2545" s="38" t="s">
        <v>10</v>
      </c>
    </row>
    <row r="2546" spans="1:8" x14ac:dyDescent="0.25">
      <c r="A2546" s="31">
        <v>44615</v>
      </c>
      <c r="B2546" s="37" t="s">
        <v>6330</v>
      </c>
      <c r="C2546" s="38" t="s">
        <v>224</v>
      </c>
      <c r="D2546" s="34">
        <v>11781</v>
      </c>
      <c r="E2546" s="35">
        <v>44624</v>
      </c>
      <c r="F2546" s="34">
        <v>11781</v>
      </c>
      <c r="G2546" s="36">
        <f>Tabla13[[#This Row],[Importe]]-Tabla13[[#This Row],[Pagado]]</f>
        <v>0</v>
      </c>
      <c r="H2546" s="38" t="s">
        <v>10</v>
      </c>
    </row>
    <row r="2547" spans="1:8" x14ac:dyDescent="0.25">
      <c r="A2547" s="31">
        <v>44615</v>
      </c>
      <c r="B2547" s="37" t="s">
        <v>6331</v>
      </c>
      <c r="C2547" s="38" t="s">
        <v>173</v>
      </c>
      <c r="D2547" s="34">
        <v>12676.6</v>
      </c>
      <c r="E2547" s="35">
        <v>44616</v>
      </c>
      <c r="F2547" s="34">
        <v>12676.6</v>
      </c>
      <c r="G2547" s="36">
        <f>Tabla13[[#This Row],[Importe]]-Tabla13[[#This Row],[Pagado]]</f>
        <v>0</v>
      </c>
      <c r="H2547" s="38" t="s">
        <v>10</v>
      </c>
    </row>
    <row r="2548" spans="1:8" x14ac:dyDescent="0.25">
      <c r="A2548" s="31">
        <v>44615</v>
      </c>
      <c r="B2548" s="37" t="s">
        <v>6332</v>
      </c>
      <c r="C2548" s="38" t="s">
        <v>212</v>
      </c>
      <c r="D2548" s="34">
        <v>30108.5</v>
      </c>
      <c r="E2548" s="35">
        <v>44618</v>
      </c>
      <c r="F2548" s="34">
        <v>30108.5</v>
      </c>
      <c r="G2548" s="36">
        <f>Tabla13[[#This Row],[Importe]]-Tabla13[[#This Row],[Pagado]]</f>
        <v>0</v>
      </c>
      <c r="H2548" s="38" t="s">
        <v>10</v>
      </c>
    </row>
    <row r="2549" spans="1:8" x14ac:dyDescent="0.25">
      <c r="A2549" s="31">
        <v>44615</v>
      </c>
      <c r="B2549" s="37" t="s">
        <v>6333</v>
      </c>
      <c r="C2549" s="38" t="s">
        <v>49</v>
      </c>
      <c r="D2549" s="34">
        <v>3582</v>
      </c>
      <c r="E2549" s="35">
        <v>44615</v>
      </c>
      <c r="F2549" s="34">
        <v>3582</v>
      </c>
      <c r="G2549" s="36">
        <f>Tabla13[[#This Row],[Importe]]-Tabla13[[#This Row],[Pagado]]</f>
        <v>0</v>
      </c>
      <c r="H2549" s="38" t="s">
        <v>10</v>
      </c>
    </row>
    <row r="2550" spans="1:8" x14ac:dyDescent="0.25">
      <c r="A2550" s="31">
        <v>44615</v>
      </c>
      <c r="B2550" s="37" t="s">
        <v>6334</v>
      </c>
      <c r="C2550" s="38" t="s">
        <v>127</v>
      </c>
      <c r="D2550" s="34">
        <v>3875.2</v>
      </c>
      <c r="E2550" s="35">
        <v>44615</v>
      </c>
      <c r="F2550" s="34">
        <v>3875.2</v>
      </c>
      <c r="G2550" s="36">
        <f>Tabla13[[#This Row],[Importe]]-Tabla13[[#This Row],[Pagado]]</f>
        <v>0</v>
      </c>
      <c r="H2550" s="38" t="s">
        <v>10</v>
      </c>
    </row>
    <row r="2551" spans="1:8" x14ac:dyDescent="0.25">
      <c r="A2551" s="31">
        <v>44615</v>
      </c>
      <c r="B2551" s="37" t="s">
        <v>6335</v>
      </c>
      <c r="C2551" s="38" t="s">
        <v>107</v>
      </c>
      <c r="D2551" s="34">
        <v>7289.7</v>
      </c>
      <c r="E2551" s="35">
        <v>44615</v>
      </c>
      <c r="F2551" s="34">
        <v>7289.7</v>
      </c>
      <c r="G2551" s="36">
        <f>Tabla13[[#This Row],[Importe]]-Tabla13[[#This Row],[Pagado]]</f>
        <v>0</v>
      </c>
      <c r="H2551" s="38" t="s">
        <v>10</v>
      </c>
    </row>
    <row r="2552" spans="1:8" x14ac:dyDescent="0.25">
      <c r="A2552" s="31">
        <v>44615</v>
      </c>
      <c r="B2552" s="37" t="s">
        <v>6336</v>
      </c>
      <c r="C2552" s="38" t="s">
        <v>218</v>
      </c>
      <c r="D2552" s="34">
        <v>11586.1</v>
      </c>
      <c r="E2552" s="35">
        <v>44618</v>
      </c>
      <c r="F2552" s="34">
        <v>11586.1</v>
      </c>
      <c r="G2552" s="36">
        <f>Tabla13[[#This Row],[Importe]]-Tabla13[[#This Row],[Pagado]]</f>
        <v>0</v>
      </c>
      <c r="H2552" s="38" t="s">
        <v>10</v>
      </c>
    </row>
    <row r="2553" spans="1:8" x14ac:dyDescent="0.25">
      <c r="A2553" s="31">
        <v>44615</v>
      </c>
      <c r="B2553" s="37" t="s">
        <v>6337</v>
      </c>
      <c r="C2553" s="38" t="s">
        <v>56</v>
      </c>
      <c r="D2553" s="34">
        <v>5104</v>
      </c>
      <c r="E2553" s="35">
        <v>44615</v>
      </c>
      <c r="F2553" s="34">
        <v>5104</v>
      </c>
      <c r="G2553" s="36">
        <f>Tabla13[[#This Row],[Importe]]-Tabla13[[#This Row],[Pagado]]</f>
        <v>0</v>
      </c>
      <c r="H2553" s="38" t="s">
        <v>10</v>
      </c>
    </row>
    <row r="2554" spans="1:8" x14ac:dyDescent="0.25">
      <c r="A2554" s="31">
        <v>44615</v>
      </c>
      <c r="B2554" s="37" t="s">
        <v>6338</v>
      </c>
      <c r="C2554" s="38" t="s">
        <v>339</v>
      </c>
      <c r="D2554" s="34">
        <v>1962</v>
      </c>
      <c r="E2554" s="35">
        <v>44615</v>
      </c>
      <c r="F2554" s="34">
        <v>1962</v>
      </c>
      <c r="G2554" s="36">
        <f>Tabla13[[#This Row],[Importe]]-Tabla13[[#This Row],[Pagado]]</f>
        <v>0</v>
      </c>
      <c r="H2554" s="38" t="s">
        <v>10</v>
      </c>
    </row>
    <row r="2555" spans="1:8" x14ac:dyDescent="0.25">
      <c r="A2555" s="31">
        <v>44615</v>
      </c>
      <c r="B2555" s="37" t="s">
        <v>6339</v>
      </c>
      <c r="C2555" s="38" t="s">
        <v>146</v>
      </c>
      <c r="D2555" s="34">
        <v>1717.2</v>
      </c>
      <c r="E2555" s="35">
        <v>44615</v>
      </c>
      <c r="F2555" s="34">
        <v>1717.2</v>
      </c>
      <c r="G2555" s="36">
        <f>Tabla13[[#This Row],[Importe]]-Tabla13[[#This Row],[Pagado]]</f>
        <v>0</v>
      </c>
      <c r="H2555" s="38" t="s">
        <v>10</v>
      </c>
    </row>
    <row r="2556" spans="1:8" x14ac:dyDescent="0.25">
      <c r="A2556" s="31">
        <v>44615</v>
      </c>
      <c r="B2556" s="37" t="s">
        <v>6340</v>
      </c>
      <c r="C2556" s="38" t="s">
        <v>133</v>
      </c>
      <c r="D2556" s="34">
        <v>10210</v>
      </c>
      <c r="E2556" s="35">
        <v>44616</v>
      </c>
      <c r="F2556" s="34">
        <v>10210</v>
      </c>
      <c r="G2556" s="36">
        <f>Tabla13[[#This Row],[Importe]]-Tabla13[[#This Row],[Pagado]]</f>
        <v>0</v>
      </c>
      <c r="H2556" s="38" t="s">
        <v>10</v>
      </c>
    </row>
    <row r="2557" spans="1:8" x14ac:dyDescent="0.25">
      <c r="A2557" s="31">
        <v>44615</v>
      </c>
      <c r="B2557" s="37" t="s">
        <v>6341</v>
      </c>
      <c r="C2557" s="38" t="s">
        <v>357</v>
      </c>
      <c r="D2557" s="34">
        <v>1212.0999999999999</v>
      </c>
      <c r="E2557" s="35">
        <v>44615</v>
      </c>
      <c r="F2557" s="34">
        <v>1212.0999999999999</v>
      </c>
      <c r="G2557" s="36">
        <f>Tabla13[[#This Row],[Importe]]-Tabla13[[#This Row],[Pagado]]</f>
        <v>0</v>
      </c>
      <c r="H2557" s="38" t="s">
        <v>10</v>
      </c>
    </row>
    <row r="2558" spans="1:8" x14ac:dyDescent="0.25">
      <c r="A2558" s="31">
        <v>44615</v>
      </c>
      <c r="B2558" s="37" t="s">
        <v>6342</v>
      </c>
      <c r="C2558" s="38" t="s">
        <v>45</v>
      </c>
      <c r="D2558" s="34">
        <v>10370.1</v>
      </c>
      <c r="E2558" s="35">
        <v>44615</v>
      </c>
      <c r="F2558" s="34">
        <v>10370.1</v>
      </c>
      <c r="G2558" s="36">
        <f>Tabla13[[#This Row],[Importe]]-Tabla13[[#This Row],[Pagado]]</f>
        <v>0</v>
      </c>
      <c r="H2558" s="38" t="s">
        <v>10</v>
      </c>
    </row>
    <row r="2559" spans="1:8" x14ac:dyDescent="0.25">
      <c r="A2559" s="31">
        <v>44615</v>
      </c>
      <c r="B2559" s="37" t="s">
        <v>6343</v>
      </c>
      <c r="C2559" s="38" t="s">
        <v>140</v>
      </c>
      <c r="D2559" s="34">
        <v>431.4</v>
      </c>
      <c r="E2559" s="35">
        <v>44615</v>
      </c>
      <c r="F2559" s="34">
        <v>431.4</v>
      </c>
      <c r="G2559" s="36">
        <f>Tabla13[[#This Row],[Importe]]-Tabla13[[#This Row],[Pagado]]</f>
        <v>0</v>
      </c>
      <c r="H2559" s="38" t="s">
        <v>10</v>
      </c>
    </row>
    <row r="2560" spans="1:8" x14ac:dyDescent="0.25">
      <c r="A2560" s="31">
        <v>44615</v>
      </c>
      <c r="B2560" s="37" t="s">
        <v>6344</v>
      </c>
      <c r="C2560" s="38" t="s">
        <v>129</v>
      </c>
      <c r="D2560" s="34">
        <v>1871</v>
      </c>
      <c r="E2560" s="35">
        <v>44615</v>
      </c>
      <c r="F2560" s="34">
        <v>1871</v>
      </c>
      <c r="G2560" s="36">
        <f>Tabla13[[#This Row],[Importe]]-Tabla13[[#This Row],[Pagado]]</f>
        <v>0</v>
      </c>
      <c r="H2560" s="38" t="s">
        <v>10</v>
      </c>
    </row>
    <row r="2561" spans="1:8" x14ac:dyDescent="0.25">
      <c r="A2561" s="31">
        <v>44615</v>
      </c>
      <c r="B2561" s="37" t="s">
        <v>6345</v>
      </c>
      <c r="C2561" s="38" t="s">
        <v>193</v>
      </c>
      <c r="D2561" s="34">
        <v>5000</v>
      </c>
      <c r="E2561" s="35">
        <v>44615</v>
      </c>
      <c r="F2561" s="34">
        <v>5000</v>
      </c>
      <c r="G2561" s="36">
        <f>Tabla13[[#This Row],[Importe]]-Tabla13[[#This Row],[Pagado]]</f>
        <v>0</v>
      </c>
      <c r="H2561" s="38" t="s">
        <v>10</v>
      </c>
    </row>
    <row r="2562" spans="1:8" x14ac:dyDescent="0.25">
      <c r="A2562" s="31">
        <v>44615</v>
      </c>
      <c r="B2562" s="37" t="s">
        <v>6346</v>
      </c>
      <c r="C2562" s="38" t="s">
        <v>24</v>
      </c>
      <c r="D2562" s="34">
        <v>3633.2</v>
      </c>
      <c r="E2562" s="35">
        <v>44615</v>
      </c>
      <c r="F2562" s="34">
        <v>3633.2</v>
      </c>
      <c r="G2562" s="36">
        <f>Tabla13[[#This Row],[Importe]]-Tabla13[[#This Row],[Pagado]]</f>
        <v>0</v>
      </c>
      <c r="H2562" s="38" t="s">
        <v>10</v>
      </c>
    </row>
    <row r="2563" spans="1:8" x14ac:dyDescent="0.25">
      <c r="A2563" s="31">
        <v>44615</v>
      </c>
      <c r="B2563" s="37" t="s">
        <v>6347</v>
      </c>
      <c r="C2563" s="38" t="s">
        <v>169</v>
      </c>
      <c r="D2563" s="34">
        <v>517.4</v>
      </c>
      <c r="E2563" s="35">
        <v>44615</v>
      </c>
      <c r="F2563" s="34">
        <v>517.4</v>
      </c>
      <c r="G2563" s="36">
        <f>Tabla13[[#This Row],[Importe]]-Tabla13[[#This Row],[Pagado]]</f>
        <v>0</v>
      </c>
      <c r="H2563" s="38" t="s">
        <v>10</v>
      </c>
    </row>
    <row r="2564" spans="1:8" x14ac:dyDescent="0.25">
      <c r="A2564" s="31">
        <v>44615</v>
      </c>
      <c r="B2564" s="37" t="s">
        <v>6348</v>
      </c>
      <c r="C2564" s="38" t="s">
        <v>24</v>
      </c>
      <c r="D2564" s="34">
        <v>73.5</v>
      </c>
      <c r="E2564" s="35">
        <v>44615</v>
      </c>
      <c r="F2564" s="34">
        <v>73.5</v>
      </c>
      <c r="G2564" s="36">
        <f>Tabla13[[#This Row],[Importe]]-Tabla13[[#This Row],[Pagado]]</f>
        <v>0</v>
      </c>
      <c r="H2564" s="38" t="s">
        <v>10</v>
      </c>
    </row>
    <row r="2565" spans="1:8" x14ac:dyDescent="0.25">
      <c r="A2565" s="31">
        <v>44615</v>
      </c>
      <c r="B2565" s="37" t="s">
        <v>6349</v>
      </c>
      <c r="C2565" s="38" t="s">
        <v>528</v>
      </c>
      <c r="D2565" s="34">
        <v>32798.5</v>
      </c>
      <c r="E2565" s="35">
        <v>44617</v>
      </c>
      <c r="F2565" s="34">
        <v>32798.5</v>
      </c>
      <c r="G2565" s="36">
        <f>Tabla13[[#This Row],[Importe]]-Tabla13[[#This Row],[Pagado]]</f>
        <v>0</v>
      </c>
      <c r="H2565" s="38" t="s">
        <v>10</v>
      </c>
    </row>
    <row r="2566" spans="1:8" x14ac:dyDescent="0.25">
      <c r="A2566" s="31">
        <v>44615</v>
      </c>
      <c r="B2566" s="37" t="s">
        <v>6350</v>
      </c>
      <c r="C2566" s="38" t="s">
        <v>275</v>
      </c>
      <c r="D2566" s="34">
        <v>2508</v>
      </c>
      <c r="E2566" s="35">
        <v>44624</v>
      </c>
      <c r="F2566" s="34">
        <v>2508</v>
      </c>
      <c r="G2566" s="36">
        <f>Tabla13[[#This Row],[Importe]]-Tabla13[[#This Row],[Pagado]]</f>
        <v>0</v>
      </c>
      <c r="H2566" s="38" t="s">
        <v>10</v>
      </c>
    </row>
    <row r="2567" spans="1:8" x14ac:dyDescent="0.25">
      <c r="A2567" s="31">
        <v>44615</v>
      </c>
      <c r="B2567" s="37" t="s">
        <v>6351</v>
      </c>
      <c r="C2567" s="38" t="s">
        <v>541</v>
      </c>
      <c r="D2567" s="34">
        <v>14616</v>
      </c>
      <c r="E2567" s="35">
        <v>44617</v>
      </c>
      <c r="F2567" s="34">
        <v>14616</v>
      </c>
      <c r="G2567" s="36">
        <f>Tabla13[[#This Row],[Importe]]-Tabla13[[#This Row],[Pagado]]</f>
        <v>0</v>
      </c>
      <c r="H2567" s="38" t="s">
        <v>10</v>
      </c>
    </row>
    <row r="2568" spans="1:8" ht="31.5" x14ac:dyDescent="0.25">
      <c r="A2568" s="31">
        <v>44615</v>
      </c>
      <c r="B2568" s="37" t="s">
        <v>6352</v>
      </c>
      <c r="C2568" s="38" t="s">
        <v>592</v>
      </c>
      <c r="D2568" s="34">
        <v>40253.4</v>
      </c>
      <c r="E2568" s="35" t="s">
        <v>6981</v>
      </c>
      <c r="F2568" s="34">
        <f>10000+253.4+30000</f>
        <v>40253.4</v>
      </c>
      <c r="G2568" s="36">
        <f>Tabla13[[#This Row],[Importe]]-Tabla13[[#This Row],[Pagado]]</f>
        <v>0</v>
      </c>
      <c r="H2568" s="38" t="s">
        <v>10</v>
      </c>
    </row>
    <row r="2569" spans="1:8" x14ac:dyDescent="0.25">
      <c r="A2569" s="31">
        <v>44615</v>
      </c>
      <c r="B2569" s="37" t="s">
        <v>6353</v>
      </c>
      <c r="C2569" s="38" t="s">
        <v>5816</v>
      </c>
      <c r="D2569" s="34">
        <v>8675.4</v>
      </c>
      <c r="E2569" s="35">
        <v>44617</v>
      </c>
      <c r="F2569" s="34">
        <v>8675.4</v>
      </c>
      <c r="G2569" s="36">
        <f>Tabla13[[#This Row],[Importe]]-Tabla13[[#This Row],[Pagado]]</f>
        <v>0</v>
      </c>
      <c r="H2569" s="38" t="s">
        <v>10</v>
      </c>
    </row>
    <row r="2570" spans="1:8" x14ac:dyDescent="0.25">
      <c r="A2570" s="31">
        <v>44615</v>
      </c>
      <c r="B2570" s="37" t="s">
        <v>6354</v>
      </c>
      <c r="C2570" s="38" t="s">
        <v>214</v>
      </c>
      <c r="D2570" s="34">
        <v>1095</v>
      </c>
      <c r="E2570" s="35">
        <v>44615</v>
      </c>
      <c r="F2570" s="34">
        <v>1095</v>
      </c>
      <c r="G2570" s="36">
        <f>Tabla13[[#This Row],[Importe]]-Tabla13[[#This Row],[Pagado]]</f>
        <v>0</v>
      </c>
      <c r="H2570" s="38" t="s">
        <v>10</v>
      </c>
    </row>
    <row r="2571" spans="1:8" x14ac:dyDescent="0.25">
      <c r="A2571" s="31">
        <v>44615</v>
      </c>
      <c r="B2571" s="37" t="s">
        <v>6355</v>
      </c>
      <c r="C2571" s="38" t="s">
        <v>333</v>
      </c>
      <c r="D2571" s="34">
        <v>1839.75</v>
      </c>
      <c r="E2571" s="35">
        <v>44615</v>
      </c>
      <c r="F2571" s="34">
        <v>1839.75</v>
      </c>
      <c r="G2571" s="36">
        <f>Tabla13[[#This Row],[Importe]]-Tabla13[[#This Row],[Pagado]]</f>
        <v>0</v>
      </c>
      <c r="H2571" s="38" t="s">
        <v>10</v>
      </c>
    </row>
    <row r="2572" spans="1:8" x14ac:dyDescent="0.25">
      <c r="A2572" s="31">
        <v>44615</v>
      </c>
      <c r="B2572" s="37" t="s">
        <v>6356</v>
      </c>
      <c r="C2572" s="38" t="s">
        <v>230</v>
      </c>
      <c r="D2572" s="34">
        <v>4514</v>
      </c>
      <c r="E2572" s="35">
        <v>44615</v>
      </c>
      <c r="F2572" s="34">
        <v>4514</v>
      </c>
      <c r="G2572" s="36">
        <f>Tabla13[[#This Row],[Importe]]-Tabla13[[#This Row],[Pagado]]</f>
        <v>0</v>
      </c>
      <c r="H2572" s="38" t="s">
        <v>10</v>
      </c>
    </row>
    <row r="2573" spans="1:8" x14ac:dyDescent="0.25">
      <c r="A2573" s="31">
        <v>44615</v>
      </c>
      <c r="B2573" s="37" t="s">
        <v>6357</v>
      </c>
      <c r="C2573" s="38" t="s">
        <v>368</v>
      </c>
      <c r="D2573" s="34">
        <v>4081.28</v>
      </c>
      <c r="E2573" s="35">
        <v>44615</v>
      </c>
      <c r="F2573" s="34">
        <v>4081.28</v>
      </c>
      <c r="G2573" s="36">
        <f>Tabla13[[#This Row],[Importe]]-Tabla13[[#This Row],[Pagado]]</f>
        <v>0</v>
      </c>
      <c r="H2573" s="38" t="s">
        <v>10</v>
      </c>
    </row>
    <row r="2574" spans="1:8" x14ac:dyDescent="0.25">
      <c r="A2574" s="31">
        <v>44615</v>
      </c>
      <c r="B2574" s="37" t="s">
        <v>6358</v>
      </c>
      <c r="C2574" s="38" t="s">
        <v>198</v>
      </c>
      <c r="D2574" s="34">
        <v>2364.4</v>
      </c>
      <c r="E2574" s="35">
        <v>44616</v>
      </c>
      <c r="F2574" s="34">
        <v>2364.4</v>
      </c>
      <c r="G2574" s="36">
        <f>Tabla13[[#This Row],[Importe]]-Tabla13[[#This Row],[Pagado]]</f>
        <v>0</v>
      </c>
      <c r="H2574" s="38" t="s">
        <v>10</v>
      </c>
    </row>
    <row r="2575" spans="1:8" x14ac:dyDescent="0.25">
      <c r="A2575" s="31">
        <v>44615</v>
      </c>
      <c r="B2575" s="37" t="s">
        <v>6359</v>
      </c>
      <c r="C2575" s="38" t="s">
        <v>312</v>
      </c>
      <c r="D2575" s="34">
        <v>3668.4</v>
      </c>
      <c r="E2575" s="35">
        <v>44616</v>
      </c>
      <c r="F2575" s="34">
        <v>3668.4</v>
      </c>
      <c r="G2575" s="36">
        <f>Tabla13[[#This Row],[Importe]]-Tabla13[[#This Row],[Pagado]]</f>
        <v>0</v>
      </c>
      <c r="H2575" s="38" t="s">
        <v>10</v>
      </c>
    </row>
    <row r="2576" spans="1:8" x14ac:dyDescent="0.25">
      <c r="A2576" s="31">
        <v>44615</v>
      </c>
      <c r="B2576" s="37" t="s">
        <v>6360</v>
      </c>
      <c r="C2576" s="38" t="s">
        <v>200</v>
      </c>
      <c r="D2576" s="34">
        <v>785</v>
      </c>
      <c r="E2576" s="35">
        <v>44616</v>
      </c>
      <c r="F2576" s="34">
        <v>785</v>
      </c>
      <c r="G2576" s="36">
        <f>Tabla13[[#This Row],[Importe]]-Tabla13[[#This Row],[Pagado]]</f>
        <v>0</v>
      </c>
      <c r="H2576" s="38" t="s">
        <v>10</v>
      </c>
    </row>
    <row r="2577" spans="1:8" x14ac:dyDescent="0.25">
      <c r="A2577" s="31">
        <v>44615</v>
      </c>
      <c r="B2577" s="37" t="s">
        <v>6361</v>
      </c>
      <c r="C2577" s="38" t="s">
        <v>284</v>
      </c>
      <c r="D2577" s="34">
        <v>6275</v>
      </c>
      <c r="E2577" s="35">
        <v>44616</v>
      </c>
      <c r="F2577" s="34">
        <v>6275</v>
      </c>
      <c r="G2577" s="36">
        <f>Tabla13[[#This Row],[Importe]]-Tabla13[[#This Row],[Pagado]]</f>
        <v>0</v>
      </c>
      <c r="H2577" s="38" t="s">
        <v>10</v>
      </c>
    </row>
    <row r="2578" spans="1:8" x14ac:dyDescent="0.25">
      <c r="A2578" s="31">
        <v>44615</v>
      </c>
      <c r="B2578" s="37" t="s">
        <v>6362</v>
      </c>
      <c r="C2578" s="38" t="s">
        <v>5345</v>
      </c>
      <c r="D2578" s="34">
        <v>1830</v>
      </c>
      <c r="E2578" s="35">
        <v>44616</v>
      </c>
      <c r="F2578" s="34">
        <v>1830</v>
      </c>
      <c r="G2578" s="36">
        <f>Tabla13[[#This Row],[Importe]]-Tabla13[[#This Row],[Pagado]]</f>
        <v>0</v>
      </c>
      <c r="H2578" s="38" t="s">
        <v>10</v>
      </c>
    </row>
    <row r="2579" spans="1:8" x14ac:dyDescent="0.25">
      <c r="A2579" s="31">
        <v>44615</v>
      </c>
      <c r="B2579" s="37" t="s">
        <v>6363</v>
      </c>
      <c r="C2579" s="38" t="s">
        <v>359</v>
      </c>
      <c r="D2579" s="34">
        <v>775.2</v>
      </c>
      <c r="E2579" s="35">
        <v>44616</v>
      </c>
      <c r="F2579" s="34">
        <v>775.2</v>
      </c>
      <c r="G2579" s="36">
        <f>Tabla13[[#This Row],[Importe]]-Tabla13[[#This Row],[Pagado]]</f>
        <v>0</v>
      </c>
      <c r="H2579" s="38" t="s">
        <v>10</v>
      </c>
    </row>
    <row r="2580" spans="1:8" x14ac:dyDescent="0.25">
      <c r="A2580" s="31">
        <v>44615</v>
      </c>
      <c r="B2580" s="37" t="s">
        <v>6364</v>
      </c>
      <c r="C2580" s="38" t="s">
        <v>185</v>
      </c>
      <c r="D2580" s="34">
        <v>2992.5</v>
      </c>
      <c r="E2580" s="35">
        <v>44616</v>
      </c>
      <c r="F2580" s="34">
        <v>2992.5</v>
      </c>
      <c r="G2580" s="36">
        <f>Tabla13[[#This Row],[Importe]]-Tabla13[[#This Row],[Pagado]]</f>
        <v>0</v>
      </c>
      <c r="H2580" s="38" t="s">
        <v>10</v>
      </c>
    </row>
    <row r="2581" spans="1:8" x14ac:dyDescent="0.25">
      <c r="A2581" s="31">
        <v>44615</v>
      </c>
      <c r="B2581" s="37" t="s">
        <v>6365</v>
      </c>
      <c r="C2581" s="38" t="s">
        <v>58</v>
      </c>
      <c r="D2581" s="34">
        <v>4011.9</v>
      </c>
      <c r="E2581" s="35">
        <v>44615</v>
      </c>
      <c r="F2581" s="34">
        <v>4011.9</v>
      </c>
      <c r="G2581" s="36">
        <f>Tabla13[[#This Row],[Importe]]-Tabla13[[#This Row],[Pagado]]</f>
        <v>0</v>
      </c>
      <c r="H2581" s="38" t="s">
        <v>10</v>
      </c>
    </row>
    <row r="2582" spans="1:8" x14ac:dyDescent="0.25">
      <c r="A2582" s="31">
        <v>44615</v>
      </c>
      <c r="B2582" s="37" t="s">
        <v>6366</v>
      </c>
      <c r="C2582" s="38" t="s">
        <v>280</v>
      </c>
      <c r="D2582" s="34">
        <v>920</v>
      </c>
      <c r="E2582" s="35">
        <v>44616</v>
      </c>
      <c r="F2582" s="34">
        <v>920</v>
      </c>
      <c r="G2582" s="36">
        <f>Tabla13[[#This Row],[Importe]]-Tabla13[[#This Row],[Pagado]]</f>
        <v>0</v>
      </c>
      <c r="H2582" s="38" t="s">
        <v>10</v>
      </c>
    </row>
    <row r="2583" spans="1:8" x14ac:dyDescent="0.25">
      <c r="A2583" s="31">
        <v>44615</v>
      </c>
      <c r="B2583" s="37" t="s">
        <v>6367</v>
      </c>
      <c r="C2583" s="38" t="s">
        <v>282</v>
      </c>
      <c r="D2583" s="34">
        <v>2030</v>
      </c>
      <c r="E2583" s="35">
        <v>44616</v>
      </c>
      <c r="F2583" s="34">
        <v>2030</v>
      </c>
      <c r="G2583" s="36">
        <f>Tabla13[[#This Row],[Importe]]-Tabla13[[#This Row],[Pagado]]</f>
        <v>0</v>
      </c>
      <c r="H2583" s="38" t="s">
        <v>10</v>
      </c>
    </row>
    <row r="2584" spans="1:8" x14ac:dyDescent="0.25">
      <c r="A2584" s="31">
        <v>44615</v>
      </c>
      <c r="B2584" s="37" t="s">
        <v>6368</v>
      </c>
      <c r="C2584" s="38" t="s">
        <v>175</v>
      </c>
      <c r="D2584" s="34">
        <v>21876.1</v>
      </c>
      <c r="E2584" s="35">
        <v>44616</v>
      </c>
      <c r="F2584" s="34">
        <v>21876.1</v>
      </c>
      <c r="G2584" s="36">
        <f>Tabla13[[#This Row],[Importe]]-Tabla13[[#This Row],[Pagado]]</f>
        <v>0</v>
      </c>
      <c r="H2584" s="38" t="s">
        <v>10</v>
      </c>
    </row>
    <row r="2585" spans="1:8" x14ac:dyDescent="0.25">
      <c r="A2585" s="31">
        <v>44615</v>
      </c>
      <c r="B2585" s="37" t="s">
        <v>6369</v>
      </c>
      <c r="C2585" s="38" t="s">
        <v>31</v>
      </c>
      <c r="D2585" s="34">
        <v>1875</v>
      </c>
      <c r="E2585" s="35">
        <v>44616</v>
      </c>
      <c r="F2585" s="34">
        <v>1875</v>
      </c>
      <c r="G2585" s="36">
        <f>Tabla13[[#This Row],[Importe]]-Tabla13[[#This Row],[Pagado]]</f>
        <v>0</v>
      </c>
      <c r="H2585" s="38" t="s">
        <v>10</v>
      </c>
    </row>
    <row r="2586" spans="1:8" x14ac:dyDescent="0.25">
      <c r="A2586" s="31">
        <v>44615</v>
      </c>
      <c r="B2586" s="37" t="s">
        <v>6370</v>
      </c>
      <c r="C2586" s="38" t="s">
        <v>402</v>
      </c>
      <c r="D2586" s="34">
        <v>12925.4</v>
      </c>
      <c r="E2586" s="35">
        <v>44621</v>
      </c>
      <c r="F2586" s="34">
        <v>12925.4</v>
      </c>
      <c r="G2586" s="36">
        <f>Tabla13[[#This Row],[Importe]]-Tabla13[[#This Row],[Pagado]]</f>
        <v>0</v>
      </c>
      <c r="H2586" s="38" t="s">
        <v>10</v>
      </c>
    </row>
    <row r="2587" spans="1:8" x14ac:dyDescent="0.25">
      <c r="A2587" s="31">
        <v>44615</v>
      </c>
      <c r="B2587" s="37" t="s">
        <v>6371</v>
      </c>
      <c r="C2587" s="38" t="s">
        <v>400</v>
      </c>
      <c r="D2587" s="34">
        <v>5860</v>
      </c>
      <c r="E2587" s="35">
        <v>44621</v>
      </c>
      <c r="F2587" s="34">
        <v>5860</v>
      </c>
      <c r="G2587" s="36">
        <f>Tabla13[[#This Row],[Importe]]-Tabla13[[#This Row],[Pagado]]</f>
        <v>0</v>
      </c>
      <c r="H2587" s="38" t="s">
        <v>10</v>
      </c>
    </row>
    <row r="2588" spans="1:8" x14ac:dyDescent="0.25">
      <c r="A2588" s="31">
        <v>44615</v>
      </c>
      <c r="B2588" s="37" t="s">
        <v>6372</v>
      </c>
      <c r="C2588" s="38" t="s">
        <v>555</v>
      </c>
      <c r="D2588" s="34">
        <v>34966.44</v>
      </c>
      <c r="E2588" s="35">
        <v>44615</v>
      </c>
      <c r="F2588" s="34">
        <v>34966.44</v>
      </c>
      <c r="G2588" s="36">
        <f>Tabla13[[#This Row],[Importe]]-Tabla13[[#This Row],[Pagado]]</f>
        <v>0</v>
      </c>
      <c r="H2588" s="38" t="s">
        <v>10</v>
      </c>
    </row>
    <row r="2589" spans="1:8" x14ac:dyDescent="0.25">
      <c r="A2589" s="31">
        <v>44615</v>
      </c>
      <c r="B2589" s="37" t="s">
        <v>6373</v>
      </c>
      <c r="C2589" s="38" t="s">
        <v>273</v>
      </c>
      <c r="D2589" s="34">
        <v>842.4</v>
      </c>
      <c r="E2589" s="35">
        <v>44615</v>
      </c>
      <c r="F2589" s="34">
        <v>842.4</v>
      </c>
      <c r="G2589" s="36">
        <f>Tabla13[[#This Row],[Importe]]-Tabla13[[#This Row],[Pagado]]</f>
        <v>0</v>
      </c>
      <c r="H2589" s="38" t="s">
        <v>10</v>
      </c>
    </row>
    <row r="2590" spans="1:8" x14ac:dyDescent="0.25">
      <c r="A2590" s="31">
        <v>44615</v>
      </c>
      <c r="B2590" s="37" t="s">
        <v>6374</v>
      </c>
      <c r="C2590" s="38" t="s">
        <v>9</v>
      </c>
      <c r="D2590" s="34">
        <v>3203.4</v>
      </c>
      <c r="E2590" s="35">
        <v>44615</v>
      </c>
      <c r="F2590" s="34">
        <v>3203.4</v>
      </c>
      <c r="G2590" s="36">
        <f>Tabla13[[#This Row],[Importe]]-Tabla13[[#This Row],[Pagado]]</f>
        <v>0</v>
      </c>
      <c r="H2590" s="38" t="s">
        <v>10</v>
      </c>
    </row>
    <row r="2591" spans="1:8" x14ac:dyDescent="0.25">
      <c r="A2591" s="31">
        <v>44615</v>
      </c>
      <c r="B2591" s="37" t="s">
        <v>6375</v>
      </c>
      <c r="C2591" s="38" t="s">
        <v>6376</v>
      </c>
      <c r="D2591" s="34">
        <v>0</v>
      </c>
      <c r="E2591" s="39" t="s">
        <v>189</v>
      </c>
      <c r="F2591" s="34">
        <v>0</v>
      </c>
      <c r="G2591" s="36">
        <f>Tabla13[[#This Row],[Importe]]-Tabla13[[#This Row],[Pagado]]</f>
        <v>0</v>
      </c>
      <c r="H2591" s="40" t="s">
        <v>6377</v>
      </c>
    </row>
    <row r="2592" spans="1:8" x14ac:dyDescent="0.25">
      <c r="A2592" s="31">
        <v>44615</v>
      </c>
      <c r="B2592" s="37" t="s">
        <v>6378</v>
      </c>
      <c r="C2592" s="38" t="s">
        <v>31</v>
      </c>
      <c r="D2592" s="34">
        <v>441</v>
      </c>
      <c r="E2592" s="35">
        <v>44615</v>
      </c>
      <c r="F2592" s="34">
        <v>441</v>
      </c>
      <c r="G2592" s="36">
        <f>Tabla13[[#This Row],[Importe]]-Tabla13[[#This Row],[Pagado]]</f>
        <v>0</v>
      </c>
      <c r="H2592" s="38" t="s">
        <v>10</v>
      </c>
    </row>
    <row r="2593" spans="1:8" x14ac:dyDescent="0.25">
      <c r="A2593" s="31">
        <v>44615</v>
      </c>
      <c r="B2593" s="37" t="s">
        <v>6379</v>
      </c>
      <c r="C2593" s="38" t="s">
        <v>31</v>
      </c>
      <c r="D2593" s="34">
        <v>7003.6</v>
      </c>
      <c r="E2593" s="35">
        <v>44615</v>
      </c>
      <c r="F2593" s="34">
        <v>7003.6</v>
      </c>
      <c r="G2593" s="36">
        <f>Tabla13[[#This Row],[Importe]]-Tabla13[[#This Row],[Pagado]]</f>
        <v>0</v>
      </c>
      <c r="H2593" s="38" t="s">
        <v>10</v>
      </c>
    </row>
    <row r="2594" spans="1:8" x14ac:dyDescent="0.25">
      <c r="A2594" s="31">
        <v>44615</v>
      </c>
      <c r="B2594" s="37" t="s">
        <v>6380</v>
      </c>
      <c r="C2594" s="38" t="s">
        <v>857</v>
      </c>
      <c r="D2594" s="34">
        <v>640.4</v>
      </c>
      <c r="E2594" s="35">
        <v>44615</v>
      </c>
      <c r="F2594" s="34">
        <v>640.4</v>
      </c>
      <c r="G2594" s="36">
        <f>Tabla13[[#This Row],[Importe]]-Tabla13[[#This Row],[Pagado]]</f>
        <v>0</v>
      </c>
      <c r="H2594" s="38" t="s">
        <v>10</v>
      </c>
    </row>
    <row r="2595" spans="1:8" x14ac:dyDescent="0.25">
      <c r="A2595" s="31">
        <v>44615</v>
      </c>
      <c r="B2595" s="37" t="s">
        <v>6381</v>
      </c>
      <c r="C2595" s="38" t="s">
        <v>135</v>
      </c>
      <c r="D2595" s="34">
        <v>1720</v>
      </c>
      <c r="E2595" s="35">
        <v>44615</v>
      </c>
      <c r="F2595" s="34">
        <v>1720</v>
      </c>
      <c r="G2595" s="36">
        <f>Tabla13[[#This Row],[Importe]]-Tabla13[[#This Row],[Pagado]]</f>
        <v>0</v>
      </c>
      <c r="H2595" s="38" t="s">
        <v>10</v>
      </c>
    </row>
    <row r="2596" spans="1:8" x14ac:dyDescent="0.25">
      <c r="A2596" s="31">
        <v>44615</v>
      </c>
      <c r="B2596" s="37" t="s">
        <v>6382</v>
      </c>
      <c r="C2596" s="38" t="s">
        <v>196</v>
      </c>
      <c r="D2596" s="34">
        <v>105683.1</v>
      </c>
      <c r="E2596" s="35">
        <v>44617</v>
      </c>
      <c r="F2596" s="34">
        <v>105683.1</v>
      </c>
      <c r="G2596" s="36">
        <f>Tabla13[[#This Row],[Importe]]-Tabla13[[#This Row],[Pagado]]</f>
        <v>0</v>
      </c>
      <c r="H2596" s="38" t="s">
        <v>10</v>
      </c>
    </row>
    <row r="2597" spans="1:8" x14ac:dyDescent="0.25">
      <c r="A2597" s="31">
        <v>44615</v>
      </c>
      <c r="B2597" s="37" t="s">
        <v>6383</v>
      </c>
      <c r="C2597" s="38" t="s">
        <v>14</v>
      </c>
      <c r="D2597" s="34">
        <v>12991.5</v>
      </c>
      <c r="E2597" s="35">
        <v>44615</v>
      </c>
      <c r="F2597" s="34">
        <v>12991.5</v>
      </c>
      <c r="G2597" s="36">
        <f>Tabla13[[#This Row],[Importe]]-Tabla13[[#This Row],[Pagado]]</f>
        <v>0</v>
      </c>
      <c r="H2597" s="38" t="s">
        <v>10</v>
      </c>
    </row>
    <row r="2598" spans="1:8" x14ac:dyDescent="0.25">
      <c r="A2598" s="31">
        <v>44615</v>
      </c>
      <c r="B2598" s="37" t="s">
        <v>6384</v>
      </c>
      <c r="C2598" s="38" t="s">
        <v>31</v>
      </c>
      <c r="D2598" s="34">
        <v>714.4</v>
      </c>
      <c r="E2598" s="35">
        <v>44615</v>
      </c>
      <c r="F2598" s="34">
        <v>714.4</v>
      </c>
      <c r="G2598" s="36">
        <f>Tabla13[[#This Row],[Importe]]-Tabla13[[#This Row],[Pagado]]</f>
        <v>0</v>
      </c>
      <c r="H2598" s="38" t="s">
        <v>10</v>
      </c>
    </row>
    <row r="2599" spans="1:8" x14ac:dyDescent="0.25">
      <c r="A2599" s="31">
        <v>44615</v>
      </c>
      <c r="B2599" s="37" t="s">
        <v>6385</v>
      </c>
      <c r="C2599" s="38" t="s">
        <v>414</v>
      </c>
      <c r="D2599" s="34">
        <v>3.21</v>
      </c>
      <c r="E2599" s="35">
        <v>44620</v>
      </c>
      <c r="F2599" s="34">
        <v>3.21</v>
      </c>
      <c r="G2599" s="36">
        <f>Tabla13[[#This Row],[Importe]]-Tabla13[[#This Row],[Pagado]]</f>
        <v>0</v>
      </c>
      <c r="H2599" s="38" t="s">
        <v>10</v>
      </c>
    </row>
    <row r="2600" spans="1:8" x14ac:dyDescent="0.25">
      <c r="A2600" s="31">
        <v>44615</v>
      </c>
      <c r="B2600" s="37" t="s">
        <v>6386</v>
      </c>
      <c r="C2600" s="38" t="s">
        <v>804</v>
      </c>
      <c r="D2600" s="34">
        <v>5209.2</v>
      </c>
      <c r="E2600" s="35">
        <v>44615</v>
      </c>
      <c r="F2600" s="34">
        <v>5209.2</v>
      </c>
      <c r="G2600" s="36">
        <f>Tabla13[[#This Row],[Importe]]-Tabla13[[#This Row],[Pagado]]</f>
        <v>0</v>
      </c>
      <c r="H2600" s="38" t="s">
        <v>10</v>
      </c>
    </row>
    <row r="2601" spans="1:8" x14ac:dyDescent="0.25">
      <c r="A2601" s="31">
        <v>44615</v>
      </c>
      <c r="B2601" s="37" t="s">
        <v>6387</v>
      </c>
      <c r="C2601" s="38" t="s">
        <v>698</v>
      </c>
      <c r="D2601" s="34">
        <v>2667.6</v>
      </c>
      <c r="E2601" s="35">
        <v>44615</v>
      </c>
      <c r="F2601" s="34">
        <v>2667.6</v>
      </c>
      <c r="G2601" s="36">
        <f>Tabla13[[#This Row],[Importe]]-Tabla13[[#This Row],[Pagado]]</f>
        <v>0</v>
      </c>
      <c r="H2601" s="38" t="s">
        <v>10</v>
      </c>
    </row>
    <row r="2602" spans="1:8" x14ac:dyDescent="0.25">
      <c r="A2602" s="31">
        <v>44615</v>
      </c>
      <c r="B2602" s="37" t="s">
        <v>6388</v>
      </c>
      <c r="C2602" s="38" t="s">
        <v>414</v>
      </c>
      <c r="D2602" s="34">
        <v>12085</v>
      </c>
      <c r="E2602" s="35">
        <v>44638</v>
      </c>
      <c r="F2602" s="34">
        <v>12085</v>
      </c>
      <c r="G2602" s="36">
        <f>Tabla13[[#This Row],[Importe]]-Tabla13[[#This Row],[Pagado]]</f>
        <v>0</v>
      </c>
      <c r="H2602" s="38" t="s">
        <v>10</v>
      </c>
    </row>
    <row r="2603" spans="1:8" x14ac:dyDescent="0.25">
      <c r="A2603" s="31">
        <v>44615</v>
      </c>
      <c r="B2603" s="37" t="s">
        <v>6389</v>
      </c>
      <c r="C2603" s="38" t="s">
        <v>175</v>
      </c>
      <c r="D2603" s="34">
        <v>3929.2</v>
      </c>
      <c r="E2603" s="35">
        <v>44616</v>
      </c>
      <c r="F2603" s="34">
        <v>3929.2</v>
      </c>
      <c r="G2603" s="36">
        <f>Tabla13[[#This Row],[Importe]]-Tabla13[[#This Row],[Pagado]]</f>
        <v>0</v>
      </c>
      <c r="H2603" s="38" t="s">
        <v>10</v>
      </c>
    </row>
    <row r="2604" spans="1:8" x14ac:dyDescent="0.25">
      <c r="A2604" s="31">
        <v>44615</v>
      </c>
      <c r="B2604" s="37" t="s">
        <v>6390</v>
      </c>
      <c r="C2604" s="38" t="s">
        <v>31</v>
      </c>
      <c r="D2604" s="34">
        <v>797.5</v>
      </c>
      <c r="E2604" s="35">
        <v>44615</v>
      </c>
      <c r="F2604" s="34">
        <v>797.5</v>
      </c>
      <c r="G2604" s="36">
        <f>Tabla13[[#This Row],[Importe]]-Tabla13[[#This Row],[Pagado]]</f>
        <v>0</v>
      </c>
      <c r="H2604" s="38" t="s">
        <v>10</v>
      </c>
    </row>
    <row r="2605" spans="1:8" x14ac:dyDescent="0.25">
      <c r="A2605" s="31">
        <v>44615</v>
      </c>
      <c r="B2605" s="37" t="s">
        <v>6391</v>
      </c>
      <c r="C2605" s="38" t="s">
        <v>2139</v>
      </c>
      <c r="D2605" s="34">
        <v>713.4</v>
      </c>
      <c r="E2605" s="35">
        <v>44615</v>
      </c>
      <c r="F2605" s="34">
        <v>713.4</v>
      </c>
      <c r="G2605" s="36">
        <f>Tabla13[[#This Row],[Importe]]-Tabla13[[#This Row],[Pagado]]</f>
        <v>0</v>
      </c>
      <c r="H2605" s="38" t="s">
        <v>10</v>
      </c>
    </row>
    <row r="2606" spans="1:8" x14ac:dyDescent="0.25">
      <c r="A2606" s="31">
        <v>44615</v>
      </c>
      <c r="B2606" s="37" t="s">
        <v>6392</v>
      </c>
      <c r="C2606" s="38" t="s">
        <v>843</v>
      </c>
      <c r="D2606" s="34">
        <v>12400.4</v>
      </c>
      <c r="E2606" s="35">
        <v>44615</v>
      </c>
      <c r="F2606" s="34">
        <v>12400.4</v>
      </c>
      <c r="G2606" s="36">
        <f>Tabla13[[#This Row],[Importe]]-Tabla13[[#This Row],[Pagado]]</f>
        <v>0</v>
      </c>
      <c r="H2606" s="38" t="s">
        <v>10</v>
      </c>
    </row>
    <row r="2607" spans="1:8" x14ac:dyDescent="0.25">
      <c r="A2607" s="31">
        <v>44615</v>
      </c>
      <c r="B2607" s="37" t="s">
        <v>6393</v>
      </c>
      <c r="C2607" s="38" t="s">
        <v>62</v>
      </c>
      <c r="D2607" s="34">
        <v>7327</v>
      </c>
      <c r="E2607" s="35">
        <v>44615</v>
      </c>
      <c r="F2607" s="34">
        <v>7327</v>
      </c>
      <c r="G2607" s="36">
        <f>Tabla13[[#This Row],[Importe]]-Tabla13[[#This Row],[Pagado]]</f>
        <v>0</v>
      </c>
      <c r="H2607" s="38" t="s">
        <v>10</v>
      </c>
    </row>
    <row r="2608" spans="1:8" x14ac:dyDescent="0.25">
      <c r="A2608" s="31">
        <v>44615</v>
      </c>
      <c r="B2608" s="37" t="s">
        <v>6394</v>
      </c>
      <c r="C2608" s="38" t="s">
        <v>62</v>
      </c>
      <c r="D2608" s="34">
        <v>2542.1999999999998</v>
      </c>
      <c r="E2608" s="35">
        <v>44615</v>
      </c>
      <c r="F2608" s="34">
        <v>2542.1999999999998</v>
      </c>
      <c r="G2608" s="36">
        <f>Tabla13[[#This Row],[Importe]]-Tabla13[[#This Row],[Pagado]]</f>
        <v>0</v>
      </c>
      <c r="H2608" s="38" t="s">
        <v>10</v>
      </c>
    </row>
    <row r="2609" spans="1:8" x14ac:dyDescent="0.25">
      <c r="A2609" s="31">
        <v>44615</v>
      </c>
      <c r="B2609" s="37" t="s">
        <v>6395</v>
      </c>
      <c r="C2609" s="38" t="s">
        <v>612</v>
      </c>
      <c r="D2609" s="34">
        <v>1719.4</v>
      </c>
      <c r="E2609" s="35">
        <v>44615</v>
      </c>
      <c r="F2609" s="34">
        <v>1719.4</v>
      </c>
      <c r="G2609" s="36">
        <f>Tabla13[[#This Row],[Importe]]-Tabla13[[#This Row],[Pagado]]</f>
        <v>0</v>
      </c>
      <c r="H2609" s="38" t="s">
        <v>10</v>
      </c>
    </row>
    <row r="2610" spans="1:8" x14ac:dyDescent="0.25">
      <c r="A2610" s="31">
        <v>44615</v>
      </c>
      <c r="B2610" s="37" t="s">
        <v>6396</v>
      </c>
      <c r="C2610" s="38" t="s">
        <v>31</v>
      </c>
      <c r="D2610" s="34">
        <v>50</v>
      </c>
      <c r="E2610" s="35">
        <v>44615</v>
      </c>
      <c r="F2610" s="34">
        <v>50</v>
      </c>
      <c r="G2610" s="36">
        <f>Tabla13[[#This Row],[Importe]]-Tabla13[[#This Row],[Pagado]]</f>
        <v>0</v>
      </c>
      <c r="H2610" s="38" t="s">
        <v>10</v>
      </c>
    </row>
    <row r="2611" spans="1:8" x14ac:dyDescent="0.25">
      <c r="A2611" s="31">
        <v>44615</v>
      </c>
      <c r="B2611" s="37" t="s">
        <v>6397</v>
      </c>
      <c r="C2611" s="38" t="s">
        <v>396</v>
      </c>
      <c r="D2611" s="34">
        <v>10721.8</v>
      </c>
      <c r="E2611" s="35">
        <v>44621</v>
      </c>
      <c r="F2611" s="34">
        <v>10721.8</v>
      </c>
      <c r="G2611" s="36">
        <f>Tabla13[[#This Row],[Importe]]-Tabla13[[#This Row],[Pagado]]</f>
        <v>0</v>
      </c>
      <c r="H2611" s="38" t="s">
        <v>10</v>
      </c>
    </row>
    <row r="2612" spans="1:8" x14ac:dyDescent="0.25">
      <c r="A2612" s="31">
        <v>44615</v>
      </c>
      <c r="B2612" s="37" t="s">
        <v>6398</v>
      </c>
      <c r="C2612" s="38" t="s">
        <v>610</v>
      </c>
      <c r="D2612" s="34">
        <v>22056.799999999999</v>
      </c>
      <c r="E2612" s="35">
        <v>44615</v>
      </c>
      <c r="F2612" s="34">
        <v>22056.799999999999</v>
      </c>
      <c r="G2612" s="36">
        <f>Tabla13[[#This Row],[Importe]]-Tabla13[[#This Row],[Pagado]]</f>
        <v>0</v>
      </c>
      <c r="H2612" s="38" t="s">
        <v>10</v>
      </c>
    </row>
    <row r="2613" spans="1:8" x14ac:dyDescent="0.25">
      <c r="A2613" s="31">
        <v>44615</v>
      </c>
      <c r="B2613" s="37" t="s">
        <v>6399</v>
      </c>
      <c r="C2613" s="38" t="s">
        <v>296</v>
      </c>
      <c r="D2613" s="34">
        <v>889.2</v>
      </c>
      <c r="E2613" s="35">
        <v>44615</v>
      </c>
      <c r="F2613" s="34">
        <v>889.2</v>
      </c>
      <c r="G2613" s="36">
        <f>Tabla13[[#This Row],[Importe]]-Tabla13[[#This Row],[Pagado]]</f>
        <v>0</v>
      </c>
      <c r="H2613" s="38" t="s">
        <v>10</v>
      </c>
    </row>
    <row r="2614" spans="1:8" x14ac:dyDescent="0.25">
      <c r="A2614" s="31">
        <v>44615</v>
      </c>
      <c r="B2614" s="37" t="s">
        <v>6400</v>
      </c>
      <c r="C2614" s="38" t="s">
        <v>71</v>
      </c>
      <c r="D2614" s="34">
        <v>1048.4000000000001</v>
      </c>
      <c r="E2614" s="35">
        <v>44615</v>
      </c>
      <c r="F2614" s="34">
        <v>1048.4000000000001</v>
      </c>
      <c r="G2614" s="36">
        <f>Tabla13[[#This Row],[Importe]]-Tabla13[[#This Row],[Pagado]]</f>
        <v>0</v>
      </c>
      <c r="H2614" s="38" t="s">
        <v>10</v>
      </c>
    </row>
    <row r="2615" spans="1:8" x14ac:dyDescent="0.25">
      <c r="A2615" s="31">
        <v>44615</v>
      </c>
      <c r="B2615" s="37" t="s">
        <v>6401</v>
      </c>
      <c r="C2615" s="38" t="s">
        <v>459</v>
      </c>
      <c r="D2615" s="34">
        <v>159.6</v>
      </c>
      <c r="E2615" s="35">
        <v>44615</v>
      </c>
      <c r="F2615" s="34">
        <v>159.6</v>
      </c>
      <c r="G2615" s="36">
        <f>Tabla13[[#This Row],[Importe]]-Tabla13[[#This Row],[Pagado]]</f>
        <v>0</v>
      </c>
      <c r="H2615" s="38" t="s">
        <v>10</v>
      </c>
    </row>
    <row r="2616" spans="1:8" x14ac:dyDescent="0.25">
      <c r="A2616" s="31">
        <v>44615</v>
      </c>
      <c r="B2616" s="37" t="s">
        <v>6402</v>
      </c>
      <c r="C2616" s="38" t="s">
        <v>179</v>
      </c>
      <c r="D2616" s="34">
        <v>861.9</v>
      </c>
      <c r="E2616" s="35">
        <v>44616</v>
      </c>
      <c r="F2616" s="34">
        <v>861.9</v>
      </c>
      <c r="G2616" s="36">
        <f>Tabla13[[#This Row],[Importe]]-Tabla13[[#This Row],[Pagado]]</f>
        <v>0</v>
      </c>
      <c r="H2616" s="38" t="s">
        <v>10</v>
      </c>
    </row>
    <row r="2617" spans="1:8" x14ac:dyDescent="0.25">
      <c r="A2617" s="31">
        <v>44615</v>
      </c>
      <c r="B2617" s="37" t="s">
        <v>6403</v>
      </c>
      <c r="C2617" s="38" t="s">
        <v>681</v>
      </c>
      <c r="D2617" s="34">
        <v>11396.8</v>
      </c>
      <c r="E2617" s="35">
        <v>44622</v>
      </c>
      <c r="F2617" s="34">
        <v>11396.8</v>
      </c>
      <c r="G2617" s="36">
        <f>Tabla13[[#This Row],[Importe]]-Tabla13[[#This Row],[Pagado]]</f>
        <v>0</v>
      </c>
      <c r="H2617" s="38" t="s">
        <v>10</v>
      </c>
    </row>
    <row r="2618" spans="1:8" x14ac:dyDescent="0.25">
      <c r="A2618" s="31">
        <v>44615</v>
      </c>
      <c r="B2618" s="37" t="s">
        <v>6404</v>
      </c>
      <c r="C2618" s="38" t="s">
        <v>6405</v>
      </c>
      <c r="D2618" s="34">
        <v>3.02</v>
      </c>
      <c r="E2618" s="35">
        <v>44625</v>
      </c>
      <c r="F2618" s="34">
        <v>3.02</v>
      </c>
      <c r="G2618" s="36">
        <f>Tabla13[[#This Row],[Importe]]-Tabla13[[#This Row],[Pagado]]</f>
        <v>0</v>
      </c>
      <c r="H2618" s="38" t="s">
        <v>10</v>
      </c>
    </row>
    <row r="2619" spans="1:8" x14ac:dyDescent="0.25">
      <c r="A2619" s="31">
        <v>44615</v>
      </c>
      <c r="B2619" s="37" t="s">
        <v>6406</v>
      </c>
      <c r="C2619" s="38" t="s">
        <v>31</v>
      </c>
      <c r="D2619" s="34">
        <v>57.8</v>
      </c>
      <c r="E2619" s="35">
        <v>44616</v>
      </c>
      <c r="F2619" s="34">
        <v>57.8</v>
      </c>
      <c r="G2619" s="36">
        <f>Tabla13[[#This Row],[Importe]]-Tabla13[[#This Row],[Pagado]]</f>
        <v>0</v>
      </c>
      <c r="H2619" s="38" t="s">
        <v>10</v>
      </c>
    </row>
    <row r="2620" spans="1:8" x14ac:dyDescent="0.25">
      <c r="A2620" s="31">
        <v>44615</v>
      </c>
      <c r="B2620" s="37" t="s">
        <v>6407</v>
      </c>
      <c r="C2620" s="38" t="s">
        <v>291</v>
      </c>
      <c r="D2620" s="34">
        <v>5614.6</v>
      </c>
      <c r="E2620" s="35">
        <v>44616</v>
      </c>
      <c r="F2620" s="34">
        <v>5614.6</v>
      </c>
      <c r="G2620" s="36">
        <f>Tabla13[[#This Row],[Importe]]-Tabla13[[#This Row],[Pagado]]</f>
        <v>0</v>
      </c>
      <c r="H2620" s="38" t="s">
        <v>10</v>
      </c>
    </row>
    <row r="2621" spans="1:8" x14ac:dyDescent="0.25">
      <c r="A2621" s="31">
        <v>44615</v>
      </c>
      <c r="B2621" s="37" t="s">
        <v>6408</v>
      </c>
      <c r="C2621" s="38" t="s">
        <v>291</v>
      </c>
      <c r="D2621" s="34">
        <v>532</v>
      </c>
      <c r="E2621" s="35">
        <v>44616</v>
      </c>
      <c r="F2621" s="34">
        <v>532</v>
      </c>
      <c r="G2621" s="36">
        <f>Tabla13[[#This Row],[Importe]]-Tabla13[[#This Row],[Pagado]]</f>
        <v>0</v>
      </c>
      <c r="H2621" s="38" t="s">
        <v>10</v>
      </c>
    </row>
    <row r="2622" spans="1:8" x14ac:dyDescent="0.25">
      <c r="A2622" s="31">
        <v>44616</v>
      </c>
      <c r="B2622" s="37" t="s">
        <v>6409</v>
      </c>
      <c r="C2622" s="38" t="s">
        <v>887</v>
      </c>
      <c r="D2622" s="34">
        <v>10434</v>
      </c>
      <c r="E2622" s="35">
        <v>44617</v>
      </c>
      <c r="F2622" s="34">
        <v>10434</v>
      </c>
      <c r="G2622" s="36">
        <f>Tabla13[[#This Row],[Importe]]-Tabla13[[#This Row],[Pagado]]</f>
        <v>0</v>
      </c>
      <c r="H2622" s="38" t="s">
        <v>10</v>
      </c>
    </row>
    <row r="2623" spans="1:8" x14ac:dyDescent="0.25">
      <c r="A2623" s="31">
        <v>44616</v>
      </c>
      <c r="B2623" s="37" t="s">
        <v>6410</v>
      </c>
      <c r="C2623" s="38" t="s">
        <v>475</v>
      </c>
      <c r="D2623" s="34">
        <v>58007.5</v>
      </c>
      <c r="E2623" s="35">
        <v>44617</v>
      </c>
      <c r="F2623" s="34">
        <v>58007.5</v>
      </c>
      <c r="G2623" s="36">
        <f>Tabla13[[#This Row],[Importe]]-Tabla13[[#This Row],[Pagado]]</f>
        <v>0</v>
      </c>
      <c r="H2623" s="38" t="s">
        <v>10</v>
      </c>
    </row>
    <row r="2624" spans="1:8" x14ac:dyDescent="0.25">
      <c r="A2624" s="31">
        <v>44616</v>
      </c>
      <c r="B2624" s="37" t="s">
        <v>6411</v>
      </c>
      <c r="C2624" s="38" t="s">
        <v>12</v>
      </c>
      <c r="D2624" s="34">
        <v>25477.200000000001</v>
      </c>
      <c r="E2624" s="35">
        <v>44617</v>
      </c>
      <c r="F2624" s="34">
        <v>25477.200000000001</v>
      </c>
      <c r="G2624" s="36">
        <f>Tabla13[[#This Row],[Importe]]-Tabla13[[#This Row],[Pagado]]</f>
        <v>0</v>
      </c>
      <c r="H2624" s="38" t="s">
        <v>10</v>
      </c>
    </row>
    <row r="2625" spans="1:8" x14ac:dyDescent="0.25">
      <c r="A2625" s="31">
        <v>44616</v>
      </c>
      <c r="B2625" s="37" t="s">
        <v>6412</v>
      </c>
      <c r="C2625" s="38" t="s">
        <v>18</v>
      </c>
      <c r="D2625" s="34">
        <v>1292.2</v>
      </c>
      <c r="E2625" s="35">
        <v>44616</v>
      </c>
      <c r="F2625" s="34">
        <v>1292.2</v>
      </c>
      <c r="G2625" s="36">
        <f>Tabla13[[#This Row],[Importe]]-Tabla13[[#This Row],[Pagado]]</f>
        <v>0</v>
      </c>
      <c r="H2625" s="38" t="s">
        <v>10</v>
      </c>
    </row>
    <row r="2626" spans="1:8" x14ac:dyDescent="0.25">
      <c r="A2626" s="31">
        <v>44616</v>
      </c>
      <c r="B2626" s="37" t="s">
        <v>6413</v>
      </c>
      <c r="C2626" s="38" t="s">
        <v>83</v>
      </c>
      <c r="D2626" s="34">
        <v>6558.6</v>
      </c>
      <c r="E2626" s="35">
        <v>44616</v>
      </c>
      <c r="F2626" s="34">
        <v>6558.6</v>
      </c>
      <c r="G2626" s="36">
        <f>Tabla13[[#This Row],[Importe]]-Tabla13[[#This Row],[Pagado]]</f>
        <v>0</v>
      </c>
      <c r="H2626" s="38" t="s">
        <v>10</v>
      </c>
    </row>
    <row r="2627" spans="1:8" x14ac:dyDescent="0.25">
      <c r="A2627" s="31">
        <v>44616</v>
      </c>
      <c r="B2627" s="37" t="s">
        <v>6414</v>
      </c>
      <c r="C2627" s="38" t="s">
        <v>97</v>
      </c>
      <c r="D2627" s="34">
        <v>3595.5</v>
      </c>
      <c r="E2627" s="35">
        <v>44617</v>
      </c>
      <c r="F2627" s="34">
        <v>3595.5</v>
      </c>
      <c r="G2627" s="36">
        <f>Tabla13[[#This Row],[Importe]]-Tabla13[[#This Row],[Pagado]]</f>
        <v>0</v>
      </c>
      <c r="H2627" s="38" t="s">
        <v>10</v>
      </c>
    </row>
    <row r="2628" spans="1:8" x14ac:dyDescent="0.25">
      <c r="A2628" s="31">
        <v>44616</v>
      </c>
      <c r="B2628" s="37" t="s">
        <v>6415</v>
      </c>
      <c r="C2628" s="38" t="s">
        <v>120</v>
      </c>
      <c r="D2628" s="34">
        <v>3493.7</v>
      </c>
      <c r="E2628" s="35">
        <v>44619</v>
      </c>
      <c r="F2628" s="34">
        <v>3493.7</v>
      </c>
      <c r="G2628" s="36">
        <f>Tabla13[[#This Row],[Importe]]-Tabla13[[#This Row],[Pagado]]</f>
        <v>0</v>
      </c>
      <c r="H2628" s="38" t="s">
        <v>10</v>
      </c>
    </row>
    <row r="2629" spans="1:8" x14ac:dyDescent="0.25">
      <c r="A2629" s="31">
        <v>44616</v>
      </c>
      <c r="B2629" s="37" t="s">
        <v>6416</v>
      </c>
      <c r="C2629" s="38" t="s">
        <v>111</v>
      </c>
      <c r="D2629" s="34">
        <v>3445.1</v>
      </c>
      <c r="E2629" s="35">
        <v>44617</v>
      </c>
      <c r="F2629" s="34">
        <v>3445.1</v>
      </c>
      <c r="G2629" s="36">
        <f>Tabla13[[#This Row],[Importe]]-Tabla13[[#This Row],[Pagado]]</f>
        <v>0</v>
      </c>
      <c r="H2629" s="38" t="s">
        <v>10</v>
      </c>
    </row>
    <row r="2630" spans="1:8" x14ac:dyDescent="0.25">
      <c r="A2630" s="31">
        <v>44616</v>
      </c>
      <c r="B2630" s="37" t="s">
        <v>6417</v>
      </c>
      <c r="C2630" s="38" t="s">
        <v>93</v>
      </c>
      <c r="D2630" s="34">
        <v>3529.7</v>
      </c>
      <c r="E2630" s="35">
        <v>44617</v>
      </c>
      <c r="F2630" s="34">
        <v>3529.7</v>
      </c>
      <c r="G2630" s="36">
        <f>Tabla13[[#This Row],[Importe]]-Tabla13[[#This Row],[Pagado]]</f>
        <v>0</v>
      </c>
      <c r="H2630" s="38" t="s">
        <v>10</v>
      </c>
    </row>
    <row r="2631" spans="1:8" x14ac:dyDescent="0.25">
      <c r="A2631" s="31">
        <v>44616</v>
      </c>
      <c r="B2631" s="37" t="s">
        <v>6418</v>
      </c>
      <c r="C2631" s="38" t="s">
        <v>326</v>
      </c>
      <c r="D2631" s="34">
        <v>3680.1</v>
      </c>
      <c r="E2631" s="35">
        <v>44617</v>
      </c>
      <c r="F2631" s="34">
        <v>3680.1</v>
      </c>
      <c r="G2631" s="36">
        <f>Tabla13[[#This Row],[Importe]]-Tabla13[[#This Row],[Pagado]]</f>
        <v>0</v>
      </c>
      <c r="H2631" s="38" t="s">
        <v>10</v>
      </c>
    </row>
    <row r="2632" spans="1:8" x14ac:dyDescent="0.25">
      <c r="A2632" s="31">
        <v>44616</v>
      </c>
      <c r="B2632" s="37" t="s">
        <v>6419</v>
      </c>
      <c r="C2632" s="38" t="s">
        <v>60</v>
      </c>
      <c r="D2632" s="34">
        <v>3758.3</v>
      </c>
      <c r="E2632" s="35">
        <v>44621</v>
      </c>
      <c r="F2632" s="34">
        <v>3758.3</v>
      </c>
      <c r="G2632" s="36">
        <f>Tabla13[[#This Row],[Importe]]-Tabla13[[#This Row],[Pagado]]</f>
        <v>0</v>
      </c>
      <c r="H2632" s="38" t="s">
        <v>10</v>
      </c>
    </row>
    <row r="2633" spans="1:8" x14ac:dyDescent="0.25">
      <c r="A2633" s="31">
        <v>44616</v>
      </c>
      <c r="B2633" s="37" t="s">
        <v>6420</v>
      </c>
      <c r="C2633" s="38" t="s">
        <v>484</v>
      </c>
      <c r="D2633" s="34">
        <v>4152</v>
      </c>
      <c r="E2633" s="35">
        <v>44616</v>
      </c>
      <c r="F2633" s="34">
        <v>4152</v>
      </c>
      <c r="G2633" s="36">
        <f>Tabla13[[#This Row],[Importe]]-Tabla13[[#This Row],[Pagado]]</f>
        <v>0</v>
      </c>
      <c r="H2633" s="38" t="s">
        <v>10</v>
      </c>
    </row>
    <row r="2634" spans="1:8" x14ac:dyDescent="0.25">
      <c r="A2634" s="31">
        <v>44616</v>
      </c>
      <c r="B2634" s="37" t="s">
        <v>6421</v>
      </c>
      <c r="C2634" s="38" t="s">
        <v>31</v>
      </c>
      <c r="D2634" s="34">
        <v>1926.2</v>
      </c>
      <c r="E2634" s="35">
        <v>44616</v>
      </c>
      <c r="F2634" s="34">
        <v>1926.2</v>
      </c>
      <c r="G2634" s="36">
        <f>Tabla13[[#This Row],[Importe]]-Tabla13[[#This Row],[Pagado]]</f>
        <v>0</v>
      </c>
      <c r="H2634" s="38" t="s">
        <v>10</v>
      </c>
    </row>
    <row r="2635" spans="1:8" x14ac:dyDescent="0.25">
      <c r="A2635" s="31">
        <v>44616</v>
      </c>
      <c r="B2635" s="37" t="s">
        <v>6422</v>
      </c>
      <c r="C2635" s="38" t="s">
        <v>87</v>
      </c>
      <c r="D2635" s="34">
        <v>3615.4</v>
      </c>
      <c r="E2635" s="35">
        <v>44616</v>
      </c>
      <c r="F2635" s="34">
        <v>3615.4</v>
      </c>
      <c r="G2635" s="36">
        <f>Tabla13[[#This Row],[Importe]]-Tabla13[[#This Row],[Pagado]]</f>
        <v>0</v>
      </c>
      <c r="H2635" s="38" t="s">
        <v>10</v>
      </c>
    </row>
    <row r="2636" spans="1:8" x14ac:dyDescent="0.25">
      <c r="A2636" s="31">
        <v>44616</v>
      </c>
      <c r="B2636" s="37" t="s">
        <v>6423</v>
      </c>
      <c r="C2636" s="38" t="s">
        <v>105</v>
      </c>
      <c r="D2636" s="34">
        <v>7792.7</v>
      </c>
      <c r="E2636" s="35">
        <v>44617</v>
      </c>
      <c r="F2636" s="34">
        <v>7792.7</v>
      </c>
      <c r="G2636" s="36">
        <f>Tabla13[[#This Row],[Importe]]-Tabla13[[#This Row],[Pagado]]</f>
        <v>0</v>
      </c>
      <c r="H2636" s="38" t="s">
        <v>10</v>
      </c>
    </row>
    <row r="2637" spans="1:8" x14ac:dyDescent="0.25">
      <c r="A2637" s="31">
        <v>44616</v>
      </c>
      <c r="B2637" s="37" t="s">
        <v>6424</v>
      </c>
      <c r="C2637" s="38" t="s">
        <v>22</v>
      </c>
      <c r="D2637" s="34">
        <v>33546.6</v>
      </c>
      <c r="E2637" s="35">
        <v>44618</v>
      </c>
      <c r="F2637" s="34">
        <v>33546.6</v>
      </c>
      <c r="G2637" s="36">
        <f>Tabla13[[#This Row],[Importe]]-Tabla13[[#This Row],[Pagado]]</f>
        <v>0</v>
      </c>
      <c r="H2637" s="38" t="s">
        <v>10</v>
      </c>
    </row>
    <row r="2638" spans="1:8" x14ac:dyDescent="0.25">
      <c r="A2638" s="31">
        <v>44616</v>
      </c>
      <c r="B2638" s="37" t="s">
        <v>6425</v>
      </c>
      <c r="C2638" s="38" t="s">
        <v>39</v>
      </c>
      <c r="D2638" s="34">
        <v>16358</v>
      </c>
      <c r="E2638" s="35">
        <v>44619</v>
      </c>
      <c r="F2638" s="34">
        <v>16358</v>
      </c>
      <c r="G2638" s="36">
        <f>Tabla13[[#This Row],[Importe]]-Tabla13[[#This Row],[Pagado]]</f>
        <v>0</v>
      </c>
      <c r="H2638" s="38" t="s">
        <v>10</v>
      </c>
    </row>
    <row r="2639" spans="1:8" x14ac:dyDescent="0.25">
      <c r="A2639" s="31">
        <v>44616</v>
      </c>
      <c r="B2639" s="37" t="s">
        <v>6426</v>
      </c>
      <c r="C2639" s="38" t="s">
        <v>89</v>
      </c>
      <c r="D2639" s="34">
        <v>4403</v>
      </c>
      <c r="E2639" s="35">
        <v>44617</v>
      </c>
      <c r="F2639" s="34">
        <v>4403</v>
      </c>
      <c r="G2639" s="36">
        <f>Tabla13[[#This Row],[Importe]]-Tabla13[[#This Row],[Pagado]]</f>
        <v>0</v>
      </c>
      <c r="H2639" s="38" t="s">
        <v>10</v>
      </c>
    </row>
    <row r="2640" spans="1:8" x14ac:dyDescent="0.25">
      <c r="A2640" s="31">
        <v>44616</v>
      </c>
      <c r="B2640" s="37" t="s">
        <v>6427</v>
      </c>
      <c r="C2640" s="38" t="s">
        <v>114</v>
      </c>
      <c r="D2640" s="34">
        <v>4191.8999999999996</v>
      </c>
      <c r="E2640" s="35">
        <v>44618</v>
      </c>
      <c r="F2640" s="34">
        <v>4191.8999999999996</v>
      </c>
      <c r="G2640" s="36">
        <f>Tabla13[[#This Row],[Importe]]-Tabla13[[#This Row],[Pagado]]</f>
        <v>0</v>
      </c>
      <c r="H2640" s="38" t="s">
        <v>10</v>
      </c>
    </row>
    <row r="2641" spans="1:8" x14ac:dyDescent="0.25">
      <c r="A2641" s="31">
        <v>44616</v>
      </c>
      <c r="B2641" s="37" t="s">
        <v>6428</v>
      </c>
      <c r="C2641" s="38" t="s">
        <v>520</v>
      </c>
      <c r="D2641" s="34">
        <v>4748.8999999999996</v>
      </c>
      <c r="E2641" s="35">
        <v>44616</v>
      </c>
      <c r="F2641" s="34">
        <v>4748.8999999999996</v>
      </c>
      <c r="G2641" s="36">
        <f>Tabla13[[#This Row],[Importe]]-Tabla13[[#This Row],[Pagado]]</f>
        <v>0</v>
      </c>
      <c r="H2641" s="38" t="s">
        <v>10</v>
      </c>
    </row>
    <row r="2642" spans="1:8" x14ac:dyDescent="0.25">
      <c r="A2642" s="31">
        <v>44616</v>
      </c>
      <c r="B2642" s="37" t="s">
        <v>6429</v>
      </c>
      <c r="C2642" s="38" t="s">
        <v>348</v>
      </c>
      <c r="D2642" s="34">
        <v>2171.9</v>
      </c>
      <c r="E2642" s="35">
        <v>44617</v>
      </c>
      <c r="F2642" s="34">
        <v>2171.9</v>
      </c>
      <c r="G2642" s="36">
        <f>Tabla13[[#This Row],[Importe]]-Tabla13[[#This Row],[Pagado]]</f>
        <v>0</v>
      </c>
      <c r="H2642" s="38" t="s">
        <v>10</v>
      </c>
    </row>
    <row r="2643" spans="1:8" x14ac:dyDescent="0.25">
      <c r="A2643" s="31">
        <v>44616</v>
      </c>
      <c r="B2643" s="37" t="s">
        <v>6430</v>
      </c>
      <c r="C2643" s="38" t="s">
        <v>345</v>
      </c>
      <c r="D2643" s="34">
        <v>443.7</v>
      </c>
      <c r="E2643" s="35">
        <v>44616</v>
      </c>
      <c r="F2643" s="34">
        <v>443.7</v>
      </c>
      <c r="G2643" s="36">
        <f>Tabla13[[#This Row],[Importe]]-Tabla13[[#This Row],[Pagado]]</f>
        <v>0</v>
      </c>
      <c r="H2643" s="38" t="s">
        <v>10</v>
      </c>
    </row>
    <row r="2644" spans="1:8" x14ac:dyDescent="0.25">
      <c r="A2644" s="31">
        <v>44616</v>
      </c>
      <c r="B2644" s="37" t="s">
        <v>6431</v>
      </c>
      <c r="C2644" s="38" t="s">
        <v>157</v>
      </c>
      <c r="D2644" s="34">
        <v>5637.1</v>
      </c>
      <c r="E2644" s="35">
        <v>44616</v>
      </c>
      <c r="F2644" s="34">
        <v>5637.1</v>
      </c>
      <c r="G2644" s="36">
        <f>Tabla13[[#This Row],[Importe]]-Tabla13[[#This Row],[Pagado]]</f>
        <v>0</v>
      </c>
      <c r="H2644" s="38" t="s">
        <v>10</v>
      </c>
    </row>
    <row r="2645" spans="1:8" x14ac:dyDescent="0.25">
      <c r="A2645" s="31">
        <v>44616</v>
      </c>
      <c r="B2645" s="37" t="s">
        <v>6432</v>
      </c>
      <c r="C2645" s="38" t="s">
        <v>64</v>
      </c>
      <c r="D2645" s="34">
        <v>3491.4</v>
      </c>
      <c r="E2645" s="35">
        <v>44617</v>
      </c>
      <c r="F2645" s="34">
        <v>3491.4</v>
      </c>
      <c r="G2645" s="36">
        <f>Tabla13[[#This Row],[Importe]]-Tabla13[[#This Row],[Pagado]]</f>
        <v>0</v>
      </c>
      <c r="H2645" s="38" t="s">
        <v>10</v>
      </c>
    </row>
    <row r="2646" spans="1:8" x14ac:dyDescent="0.25">
      <c r="A2646" s="31">
        <v>44616</v>
      </c>
      <c r="B2646" s="37" t="s">
        <v>6433</v>
      </c>
      <c r="C2646" s="38" t="s">
        <v>9</v>
      </c>
      <c r="D2646" s="34">
        <v>6918.7</v>
      </c>
      <c r="E2646" s="35">
        <v>44616</v>
      </c>
      <c r="F2646" s="34">
        <v>6918.7</v>
      </c>
      <c r="G2646" s="36">
        <f>Tabla13[[#This Row],[Importe]]-Tabla13[[#This Row],[Pagado]]</f>
        <v>0</v>
      </c>
      <c r="H2646" s="38" t="s">
        <v>10</v>
      </c>
    </row>
    <row r="2647" spans="1:8" x14ac:dyDescent="0.25">
      <c r="A2647" s="31">
        <v>44616</v>
      </c>
      <c r="B2647" s="37" t="s">
        <v>6434</v>
      </c>
      <c r="C2647" s="38" t="s">
        <v>142</v>
      </c>
      <c r="D2647" s="34">
        <v>61856.639999999999</v>
      </c>
      <c r="E2647" s="35">
        <v>44643</v>
      </c>
      <c r="F2647" s="34">
        <v>61856.639999999999</v>
      </c>
      <c r="G2647" s="36">
        <f>Tabla13[[#This Row],[Importe]]-Tabla13[[#This Row],[Pagado]]</f>
        <v>0</v>
      </c>
      <c r="H2647" s="38" t="s">
        <v>10</v>
      </c>
    </row>
    <row r="2648" spans="1:8" x14ac:dyDescent="0.25">
      <c r="A2648" s="31">
        <v>44616</v>
      </c>
      <c r="B2648" s="37" t="s">
        <v>6435</v>
      </c>
      <c r="C2648" s="38" t="s">
        <v>934</v>
      </c>
      <c r="D2648" s="34">
        <v>4107.8</v>
      </c>
      <c r="E2648" s="35">
        <v>44616</v>
      </c>
      <c r="F2648" s="34">
        <v>4107.8</v>
      </c>
      <c r="G2648" s="36">
        <f>Tabla13[[#This Row],[Importe]]-Tabla13[[#This Row],[Pagado]]</f>
        <v>0</v>
      </c>
      <c r="H2648" s="38" t="s">
        <v>10</v>
      </c>
    </row>
    <row r="2649" spans="1:8" x14ac:dyDescent="0.25">
      <c r="A2649" s="31">
        <v>44616</v>
      </c>
      <c r="B2649" s="37" t="s">
        <v>6436</v>
      </c>
      <c r="C2649" s="38" t="s">
        <v>196</v>
      </c>
      <c r="D2649" s="34">
        <v>40039.56</v>
      </c>
      <c r="E2649" s="35">
        <v>44617</v>
      </c>
      <c r="F2649" s="34">
        <v>40039.56</v>
      </c>
      <c r="G2649" s="36">
        <f>Tabla13[[#This Row],[Importe]]-Tabla13[[#This Row],[Pagado]]</f>
        <v>0</v>
      </c>
      <c r="H2649" s="38" t="s">
        <v>10</v>
      </c>
    </row>
    <row r="2650" spans="1:8" x14ac:dyDescent="0.25">
      <c r="A2650" s="31">
        <v>44616</v>
      </c>
      <c r="B2650" s="37" t="s">
        <v>6437</v>
      </c>
      <c r="C2650" s="38" t="s">
        <v>319</v>
      </c>
      <c r="D2650" s="34">
        <v>6309.5</v>
      </c>
      <c r="E2650" s="35">
        <v>44616</v>
      </c>
      <c r="F2650" s="34">
        <v>6309.5</v>
      </c>
      <c r="G2650" s="36">
        <f>Tabla13[[#This Row],[Importe]]-Tabla13[[#This Row],[Pagado]]</f>
        <v>0</v>
      </c>
      <c r="H2650" s="38" t="s">
        <v>10</v>
      </c>
    </row>
    <row r="2651" spans="1:8" x14ac:dyDescent="0.25">
      <c r="A2651" s="31">
        <v>44616</v>
      </c>
      <c r="B2651" s="37" t="s">
        <v>6438</v>
      </c>
      <c r="C2651" s="38" t="s">
        <v>125</v>
      </c>
      <c r="D2651" s="34">
        <v>2862.3</v>
      </c>
      <c r="E2651" s="35">
        <v>44616</v>
      </c>
      <c r="F2651" s="34">
        <v>2862.3</v>
      </c>
      <c r="G2651" s="36">
        <f>Tabla13[[#This Row],[Importe]]-Tabla13[[#This Row],[Pagado]]</f>
        <v>0</v>
      </c>
      <c r="H2651" s="38" t="s">
        <v>10</v>
      </c>
    </row>
    <row r="2652" spans="1:8" x14ac:dyDescent="0.25">
      <c r="A2652" s="31">
        <v>44616</v>
      </c>
      <c r="B2652" s="37" t="s">
        <v>6439</v>
      </c>
      <c r="C2652" s="38" t="s">
        <v>473</v>
      </c>
      <c r="D2652" s="34">
        <v>11702.1</v>
      </c>
      <c r="E2652" s="35">
        <v>44616</v>
      </c>
      <c r="F2652" s="34">
        <v>11702.1</v>
      </c>
      <c r="G2652" s="36">
        <f>Tabla13[[#This Row],[Importe]]-Tabla13[[#This Row],[Pagado]]</f>
        <v>0</v>
      </c>
      <c r="H2652" s="38" t="s">
        <v>10</v>
      </c>
    </row>
    <row r="2653" spans="1:8" x14ac:dyDescent="0.25">
      <c r="A2653" s="31">
        <v>44616</v>
      </c>
      <c r="B2653" s="37" t="s">
        <v>6440</v>
      </c>
      <c r="C2653" s="38" t="s">
        <v>371</v>
      </c>
      <c r="D2653" s="34">
        <v>872.1</v>
      </c>
      <c r="E2653" s="35">
        <v>44616</v>
      </c>
      <c r="F2653" s="34">
        <v>872.1</v>
      </c>
      <c r="G2653" s="36">
        <f>Tabla13[[#This Row],[Importe]]-Tabla13[[#This Row],[Pagado]]</f>
        <v>0</v>
      </c>
      <c r="H2653" s="38" t="s">
        <v>10</v>
      </c>
    </row>
    <row r="2654" spans="1:8" x14ac:dyDescent="0.25">
      <c r="A2654" s="31">
        <v>44616</v>
      </c>
      <c r="B2654" s="37" t="s">
        <v>6441</v>
      </c>
      <c r="C2654" s="38" t="s">
        <v>924</v>
      </c>
      <c r="D2654" s="34">
        <v>12041.28</v>
      </c>
      <c r="E2654" s="35">
        <v>44616</v>
      </c>
      <c r="F2654" s="34">
        <v>12041.28</v>
      </c>
      <c r="G2654" s="36">
        <f>Tabla13[[#This Row],[Importe]]-Tabla13[[#This Row],[Pagado]]</f>
        <v>0</v>
      </c>
      <c r="H2654" s="38" t="s">
        <v>10</v>
      </c>
    </row>
    <row r="2655" spans="1:8" x14ac:dyDescent="0.25">
      <c r="A2655" s="31">
        <v>44616</v>
      </c>
      <c r="B2655" s="37" t="s">
        <v>6442</v>
      </c>
      <c r="C2655" s="38" t="s">
        <v>146</v>
      </c>
      <c r="D2655" s="34">
        <v>2215.4</v>
      </c>
      <c r="E2655" s="35">
        <v>44616</v>
      </c>
      <c r="F2655" s="34">
        <v>2215.4</v>
      </c>
      <c r="G2655" s="36">
        <f>Tabla13[[#This Row],[Importe]]-Tabla13[[#This Row],[Pagado]]</f>
        <v>0</v>
      </c>
      <c r="H2655" s="38" t="s">
        <v>10</v>
      </c>
    </row>
    <row r="2656" spans="1:8" x14ac:dyDescent="0.25">
      <c r="A2656" s="31">
        <v>44616</v>
      </c>
      <c r="B2656" s="37" t="s">
        <v>6443</v>
      </c>
      <c r="C2656" s="38" t="s">
        <v>618</v>
      </c>
      <c r="D2656" s="34">
        <v>7294.4</v>
      </c>
      <c r="E2656" s="35">
        <v>44616</v>
      </c>
      <c r="F2656" s="34">
        <v>7294.4</v>
      </c>
      <c r="G2656" s="36">
        <f>Tabla13[[#This Row],[Importe]]-Tabla13[[#This Row],[Pagado]]</f>
        <v>0</v>
      </c>
      <c r="H2656" s="38" t="s">
        <v>10</v>
      </c>
    </row>
    <row r="2657" spans="1:8" x14ac:dyDescent="0.25">
      <c r="A2657" s="31">
        <v>44616</v>
      </c>
      <c r="B2657" s="37" t="s">
        <v>6444</v>
      </c>
      <c r="C2657" s="38" t="s">
        <v>24</v>
      </c>
      <c r="D2657" s="34">
        <v>2592.6</v>
      </c>
      <c r="E2657" s="35">
        <v>44616</v>
      </c>
      <c r="F2657" s="34">
        <v>2592.6</v>
      </c>
      <c r="G2657" s="36">
        <f>Tabla13[[#This Row],[Importe]]-Tabla13[[#This Row],[Pagado]]</f>
        <v>0</v>
      </c>
      <c r="H2657" s="38" t="s">
        <v>10</v>
      </c>
    </row>
    <row r="2658" spans="1:8" x14ac:dyDescent="0.25">
      <c r="A2658" s="31">
        <v>44616</v>
      </c>
      <c r="B2658" s="37" t="s">
        <v>6445</v>
      </c>
      <c r="C2658" s="38" t="s">
        <v>24</v>
      </c>
      <c r="D2658" s="34">
        <v>665</v>
      </c>
      <c r="E2658" s="35">
        <v>44616</v>
      </c>
      <c r="F2658" s="34">
        <v>665</v>
      </c>
      <c r="G2658" s="36">
        <f>Tabla13[[#This Row],[Importe]]-Tabla13[[#This Row],[Pagado]]</f>
        <v>0</v>
      </c>
      <c r="H2658" s="38" t="s">
        <v>10</v>
      </c>
    </row>
    <row r="2659" spans="1:8" x14ac:dyDescent="0.25">
      <c r="A2659" s="31">
        <v>44616</v>
      </c>
      <c r="B2659" s="37" t="s">
        <v>6446</v>
      </c>
      <c r="C2659" s="38" t="s">
        <v>196</v>
      </c>
      <c r="D2659" s="34">
        <v>1553.4</v>
      </c>
      <c r="E2659" s="35">
        <v>44617</v>
      </c>
      <c r="F2659" s="34">
        <v>1553.4</v>
      </c>
      <c r="G2659" s="36">
        <f>Tabla13[[#This Row],[Importe]]-Tabla13[[#This Row],[Pagado]]</f>
        <v>0</v>
      </c>
      <c r="H2659" s="38" t="s">
        <v>10</v>
      </c>
    </row>
    <row r="2660" spans="1:8" x14ac:dyDescent="0.25">
      <c r="A2660" s="31">
        <v>44616</v>
      </c>
      <c r="B2660" s="37" t="s">
        <v>6447</v>
      </c>
      <c r="C2660" s="38" t="s">
        <v>151</v>
      </c>
      <c r="D2660" s="34">
        <v>7329.7</v>
      </c>
      <c r="E2660" s="35">
        <v>44616</v>
      </c>
      <c r="F2660" s="34">
        <v>7329.7</v>
      </c>
      <c r="G2660" s="36">
        <f>Tabla13[[#This Row],[Importe]]-Tabla13[[#This Row],[Pagado]]</f>
        <v>0</v>
      </c>
      <c r="H2660" s="38" t="s">
        <v>10</v>
      </c>
    </row>
    <row r="2661" spans="1:8" x14ac:dyDescent="0.25">
      <c r="A2661" s="31">
        <v>44616</v>
      </c>
      <c r="B2661" s="37" t="s">
        <v>6448</v>
      </c>
      <c r="C2661" s="38" t="s">
        <v>131</v>
      </c>
      <c r="D2661" s="34">
        <v>10040</v>
      </c>
      <c r="E2661" s="35">
        <v>44616</v>
      </c>
      <c r="F2661" s="34">
        <v>10040</v>
      </c>
      <c r="G2661" s="36">
        <f>Tabla13[[#This Row],[Importe]]-Tabla13[[#This Row],[Pagado]]</f>
        <v>0</v>
      </c>
      <c r="H2661" s="38" t="s">
        <v>10</v>
      </c>
    </row>
    <row r="2662" spans="1:8" x14ac:dyDescent="0.25">
      <c r="A2662" s="31">
        <v>44616</v>
      </c>
      <c r="B2662" s="37" t="s">
        <v>6449</v>
      </c>
      <c r="C2662" s="38" t="s">
        <v>333</v>
      </c>
      <c r="D2662" s="34">
        <v>2268.6999999999998</v>
      </c>
      <c r="E2662" s="35">
        <v>44616</v>
      </c>
      <c r="F2662" s="34">
        <v>2268.6999999999998</v>
      </c>
      <c r="G2662" s="36">
        <f>Tabla13[[#This Row],[Importe]]-Tabla13[[#This Row],[Pagado]]</f>
        <v>0</v>
      </c>
      <c r="H2662" s="38" t="s">
        <v>10</v>
      </c>
    </row>
    <row r="2663" spans="1:8" x14ac:dyDescent="0.25">
      <c r="A2663" s="31">
        <v>44616</v>
      </c>
      <c r="B2663" s="37" t="s">
        <v>6450</v>
      </c>
      <c r="C2663" s="38" t="s">
        <v>365</v>
      </c>
      <c r="D2663" s="34">
        <v>761.9</v>
      </c>
      <c r="E2663" s="35">
        <v>44616</v>
      </c>
      <c r="F2663" s="34">
        <v>761.9</v>
      </c>
      <c r="G2663" s="36">
        <f>Tabla13[[#This Row],[Importe]]-Tabla13[[#This Row],[Pagado]]</f>
        <v>0</v>
      </c>
      <c r="H2663" s="38" t="s">
        <v>10</v>
      </c>
    </row>
    <row r="2664" spans="1:8" x14ac:dyDescent="0.25">
      <c r="A2664" s="31">
        <v>44616</v>
      </c>
      <c r="B2664" s="37" t="s">
        <v>6451</v>
      </c>
      <c r="C2664" s="38" t="s">
        <v>159</v>
      </c>
      <c r="D2664" s="34">
        <v>3455.9</v>
      </c>
      <c r="E2664" s="35">
        <v>44616</v>
      </c>
      <c r="F2664" s="34">
        <v>3455.9</v>
      </c>
      <c r="G2664" s="36">
        <f>Tabla13[[#This Row],[Importe]]-Tabla13[[#This Row],[Pagado]]</f>
        <v>0</v>
      </c>
      <c r="H2664" s="38" t="s">
        <v>10</v>
      </c>
    </row>
    <row r="2665" spans="1:8" x14ac:dyDescent="0.25">
      <c r="A2665" s="31">
        <v>44616</v>
      </c>
      <c r="B2665" s="37" t="s">
        <v>6452</v>
      </c>
      <c r="C2665" s="38" t="s">
        <v>275</v>
      </c>
      <c r="D2665" s="34">
        <v>114189.4</v>
      </c>
      <c r="E2665" s="35">
        <v>44624</v>
      </c>
      <c r="F2665" s="34">
        <v>114189.4</v>
      </c>
      <c r="G2665" s="36">
        <f>Tabla13[[#This Row],[Importe]]-Tabla13[[#This Row],[Pagado]]</f>
        <v>0</v>
      </c>
      <c r="H2665" s="38" t="s">
        <v>10</v>
      </c>
    </row>
    <row r="2666" spans="1:8" x14ac:dyDescent="0.25">
      <c r="A2666" s="31">
        <v>44616</v>
      </c>
      <c r="B2666" s="37" t="s">
        <v>6453</v>
      </c>
      <c r="C2666" s="38" t="s">
        <v>75</v>
      </c>
      <c r="D2666" s="34">
        <v>5202</v>
      </c>
      <c r="E2666" s="35">
        <v>44616</v>
      </c>
      <c r="F2666" s="34">
        <v>5202</v>
      </c>
      <c r="G2666" s="36">
        <f>Tabla13[[#This Row],[Importe]]-Tabla13[[#This Row],[Pagado]]</f>
        <v>0</v>
      </c>
      <c r="H2666" s="38" t="s">
        <v>10</v>
      </c>
    </row>
    <row r="2667" spans="1:8" x14ac:dyDescent="0.25">
      <c r="A2667" s="31">
        <v>44616</v>
      </c>
      <c r="B2667" s="37" t="s">
        <v>6454</v>
      </c>
      <c r="C2667" s="38" t="s">
        <v>216</v>
      </c>
      <c r="D2667" s="34">
        <v>1499.4</v>
      </c>
      <c r="E2667" s="35">
        <v>44616</v>
      </c>
      <c r="F2667" s="34">
        <v>1499.4</v>
      </c>
      <c r="G2667" s="36">
        <f>Tabla13[[#This Row],[Importe]]-Tabla13[[#This Row],[Pagado]]</f>
        <v>0</v>
      </c>
      <c r="H2667" s="38" t="s">
        <v>10</v>
      </c>
    </row>
    <row r="2668" spans="1:8" x14ac:dyDescent="0.25">
      <c r="A2668" s="31">
        <v>44616</v>
      </c>
      <c r="B2668" s="37" t="s">
        <v>6455</v>
      </c>
      <c r="C2668" s="38" t="s">
        <v>157</v>
      </c>
      <c r="D2668" s="34">
        <v>880</v>
      </c>
      <c r="E2668" s="35">
        <v>44616</v>
      </c>
      <c r="F2668" s="34">
        <v>880</v>
      </c>
      <c r="G2668" s="36">
        <f>Tabla13[[#This Row],[Importe]]-Tabla13[[#This Row],[Pagado]]</f>
        <v>0</v>
      </c>
      <c r="H2668" s="38" t="s">
        <v>10</v>
      </c>
    </row>
    <row r="2669" spans="1:8" x14ac:dyDescent="0.25">
      <c r="A2669" s="31">
        <v>44616</v>
      </c>
      <c r="B2669" s="37" t="s">
        <v>6456</v>
      </c>
      <c r="C2669" s="38" t="s">
        <v>230</v>
      </c>
      <c r="D2669" s="34">
        <v>3629.9</v>
      </c>
      <c r="E2669" s="35">
        <v>44616</v>
      </c>
      <c r="F2669" s="34">
        <v>3629.9</v>
      </c>
      <c r="G2669" s="36">
        <f>Tabla13[[#This Row],[Importe]]-Tabla13[[#This Row],[Pagado]]</f>
        <v>0</v>
      </c>
      <c r="H2669" s="38" t="s">
        <v>10</v>
      </c>
    </row>
    <row r="2670" spans="1:8" x14ac:dyDescent="0.25">
      <c r="A2670" s="31">
        <v>44616</v>
      </c>
      <c r="B2670" s="37" t="s">
        <v>6457</v>
      </c>
      <c r="C2670" s="38" t="s">
        <v>647</v>
      </c>
      <c r="D2670" s="34">
        <v>4508.8999999999996</v>
      </c>
      <c r="E2670" s="35">
        <v>44616</v>
      </c>
      <c r="F2670" s="34">
        <v>4508.8999999999996</v>
      </c>
      <c r="G2670" s="36">
        <f>Tabla13[[#This Row],[Importe]]-Tabla13[[#This Row],[Pagado]]</f>
        <v>0</v>
      </c>
      <c r="H2670" s="38" t="s">
        <v>10</v>
      </c>
    </row>
    <row r="2671" spans="1:8" x14ac:dyDescent="0.25">
      <c r="A2671" s="31">
        <v>44616</v>
      </c>
      <c r="B2671" s="37" t="s">
        <v>6458</v>
      </c>
      <c r="C2671" s="38" t="s">
        <v>222</v>
      </c>
      <c r="D2671" s="34">
        <v>7581.6</v>
      </c>
      <c r="E2671" s="35">
        <v>44616</v>
      </c>
      <c r="F2671" s="34">
        <v>7581.6</v>
      </c>
      <c r="G2671" s="36">
        <f>Tabla13[[#This Row],[Importe]]-Tabla13[[#This Row],[Pagado]]</f>
        <v>0</v>
      </c>
      <c r="H2671" s="38" t="s">
        <v>10</v>
      </c>
    </row>
    <row r="2672" spans="1:8" x14ac:dyDescent="0.25">
      <c r="A2672" s="31">
        <v>44616</v>
      </c>
      <c r="B2672" s="37" t="s">
        <v>6459</v>
      </c>
      <c r="C2672" s="38" t="s">
        <v>226</v>
      </c>
      <c r="D2672" s="34">
        <v>6354.6</v>
      </c>
      <c r="E2672" s="35">
        <v>44616</v>
      </c>
      <c r="F2672" s="34">
        <v>6354.6</v>
      </c>
      <c r="G2672" s="36">
        <f>Tabla13[[#This Row],[Importe]]-Tabla13[[#This Row],[Pagado]]</f>
        <v>0</v>
      </c>
      <c r="H2672" s="38" t="s">
        <v>10</v>
      </c>
    </row>
    <row r="2673" spans="1:8" x14ac:dyDescent="0.25">
      <c r="A2673" s="31">
        <v>44616</v>
      </c>
      <c r="B2673" s="37" t="s">
        <v>6460</v>
      </c>
      <c r="C2673" s="38" t="s">
        <v>83</v>
      </c>
      <c r="D2673" s="34">
        <v>733.6</v>
      </c>
      <c r="E2673" s="35">
        <v>44616</v>
      </c>
      <c r="F2673" s="34">
        <v>733.6</v>
      </c>
      <c r="G2673" s="36">
        <f>Tabla13[[#This Row],[Importe]]-Tabla13[[#This Row],[Pagado]]</f>
        <v>0</v>
      </c>
      <c r="H2673" s="38" t="s">
        <v>10</v>
      </c>
    </row>
    <row r="2674" spans="1:8" x14ac:dyDescent="0.25">
      <c r="A2674" s="31">
        <v>44616</v>
      </c>
      <c r="B2674" s="37" t="s">
        <v>6461</v>
      </c>
      <c r="C2674" s="38" t="s">
        <v>664</v>
      </c>
      <c r="D2674" s="34">
        <v>22638.1</v>
      </c>
      <c r="E2674" s="35">
        <v>44616</v>
      </c>
      <c r="F2674" s="34">
        <v>22638.1</v>
      </c>
      <c r="G2674" s="36">
        <f>Tabla13[[#This Row],[Importe]]-Tabla13[[#This Row],[Pagado]]</f>
        <v>0</v>
      </c>
      <c r="H2674" s="38" t="s">
        <v>10</v>
      </c>
    </row>
    <row r="2675" spans="1:8" x14ac:dyDescent="0.25">
      <c r="A2675" s="31">
        <v>44616</v>
      </c>
      <c r="B2675" s="37" t="s">
        <v>6462</v>
      </c>
      <c r="C2675" s="38" t="s">
        <v>698</v>
      </c>
      <c r="D2675" s="34">
        <v>2667.6</v>
      </c>
      <c r="E2675" s="35">
        <v>44616</v>
      </c>
      <c r="F2675" s="34">
        <v>2667.6</v>
      </c>
      <c r="G2675" s="36">
        <f>Tabla13[[#This Row],[Importe]]-Tabla13[[#This Row],[Pagado]]</f>
        <v>0</v>
      </c>
      <c r="H2675" s="38" t="s">
        <v>10</v>
      </c>
    </row>
    <row r="2676" spans="1:8" x14ac:dyDescent="0.25">
      <c r="A2676" s="31">
        <v>44616</v>
      </c>
      <c r="B2676" s="37" t="s">
        <v>6463</v>
      </c>
      <c r="C2676" s="38" t="s">
        <v>79</v>
      </c>
      <c r="D2676" s="34">
        <v>8951.1</v>
      </c>
      <c r="E2676" s="35">
        <v>44616</v>
      </c>
      <c r="F2676" s="34">
        <v>8951.1</v>
      </c>
      <c r="G2676" s="36">
        <f>Tabla13[[#This Row],[Importe]]-Tabla13[[#This Row],[Pagado]]</f>
        <v>0</v>
      </c>
      <c r="H2676" s="38" t="s">
        <v>10</v>
      </c>
    </row>
    <row r="2677" spans="1:8" x14ac:dyDescent="0.25">
      <c r="A2677" s="31">
        <v>44616</v>
      </c>
      <c r="B2677" s="37" t="s">
        <v>6464</v>
      </c>
      <c r="C2677" s="38" t="s">
        <v>670</v>
      </c>
      <c r="D2677" s="34">
        <v>3842.8</v>
      </c>
      <c r="E2677" s="35">
        <v>44616</v>
      </c>
      <c r="F2677" s="34">
        <v>3842.8</v>
      </c>
      <c r="G2677" s="36">
        <f>Tabla13[[#This Row],[Importe]]-Tabla13[[#This Row],[Pagado]]</f>
        <v>0</v>
      </c>
      <c r="H2677" s="38" t="s">
        <v>10</v>
      </c>
    </row>
    <row r="2678" spans="1:8" x14ac:dyDescent="0.25">
      <c r="A2678" s="31">
        <v>44616</v>
      </c>
      <c r="B2678" s="37" t="s">
        <v>6465</v>
      </c>
      <c r="C2678" s="38" t="s">
        <v>31</v>
      </c>
      <c r="D2678" s="34">
        <v>894.2</v>
      </c>
      <c r="E2678" s="35">
        <v>44616</v>
      </c>
      <c r="F2678" s="34">
        <v>894.2</v>
      </c>
      <c r="G2678" s="36">
        <f>Tabla13[[#This Row],[Importe]]-Tabla13[[#This Row],[Pagado]]</f>
        <v>0</v>
      </c>
      <c r="H2678" s="38" t="s">
        <v>10</v>
      </c>
    </row>
    <row r="2679" spans="1:8" x14ac:dyDescent="0.25">
      <c r="A2679" s="31">
        <v>44616</v>
      </c>
      <c r="B2679" s="37" t="s">
        <v>6466</v>
      </c>
      <c r="C2679" s="38" t="s">
        <v>49</v>
      </c>
      <c r="D2679" s="34">
        <v>3787.2</v>
      </c>
      <c r="E2679" s="35">
        <v>44616</v>
      </c>
      <c r="F2679" s="34">
        <v>3787.2</v>
      </c>
      <c r="G2679" s="36">
        <f>Tabla13[[#This Row],[Importe]]-Tabla13[[#This Row],[Pagado]]</f>
        <v>0</v>
      </c>
      <c r="H2679" s="38" t="s">
        <v>10</v>
      </c>
    </row>
    <row r="2680" spans="1:8" x14ac:dyDescent="0.25">
      <c r="A2680" s="31">
        <v>44616</v>
      </c>
      <c r="B2680" s="37" t="s">
        <v>6467</v>
      </c>
      <c r="C2680" s="38" t="s">
        <v>45</v>
      </c>
      <c r="D2680" s="34">
        <v>11797.6</v>
      </c>
      <c r="E2680" s="35">
        <v>44616</v>
      </c>
      <c r="F2680" s="34">
        <v>11797.6</v>
      </c>
      <c r="G2680" s="36">
        <f>Tabla13[[#This Row],[Importe]]-Tabla13[[#This Row],[Pagado]]</f>
        <v>0</v>
      </c>
      <c r="H2680" s="38" t="s">
        <v>10</v>
      </c>
    </row>
    <row r="2681" spans="1:8" x14ac:dyDescent="0.25">
      <c r="A2681" s="31">
        <v>44616</v>
      </c>
      <c r="B2681" s="37" t="s">
        <v>6468</v>
      </c>
      <c r="C2681" s="38" t="s">
        <v>31</v>
      </c>
      <c r="D2681" s="34">
        <v>499.8</v>
      </c>
      <c r="E2681" s="35">
        <v>44616</v>
      </c>
      <c r="F2681" s="34">
        <v>499.8</v>
      </c>
      <c r="G2681" s="36">
        <f>Tabla13[[#This Row],[Importe]]-Tabla13[[#This Row],[Pagado]]</f>
        <v>0</v>
      </c>
      <c r="H2681" s="38" t="s">
        <v>10</v>
      </c>
    </row>
    <row r="2682" spans="1:8" x14ac:dyDescent="0.25">
      <c r="A2682" s="31">
        <v>44616</v>
      </c>
      <c r="B2682" s="37" t="s">
        <v>6469</v>
      </c>
      <c r="C2682" s="38" t="s">
        <v>6470</v>
      </c>
      <c r="D2682" s="34">
        <v>0</v>
      </c>
      <c r="E2682" s="39" t="s">
        <v>189</v>
      </c>
      <c r="F2682" s="34">
        <v>0</v>
      </c>
      <c r="G2682" s="36">
        <f>Tabla13[[#This Row],[Importe]]-Tabla13[[#This Row],[Pagado]]</f>
        <v>0</v>
      </c>
      <c r="H2682" s="38" t="s">
        <v>189</v>
      </c>
    </row>
    <row r="2683" spans="1:8" x14ac:dyDescent="0.25">
      <c r="A2683" s="31">
        <v>44616</v>
      </c>
      <c r="B2683" s="37" t="s">
        <v>6471</v>
      </c>
      <c r="C2683" s="38" t="s">
        <v>647</v>
      </c>
      <c r="D2683" s="34">
        <v>425.6</v>
      </c>
      <c r="E2683" s="35">
        <v>44616</v>
      </c>
      <c r="F2683" s="34">
        <v>425.6</v>
      </c>
      <c r="G2683" s="36">
        <f>Tabla13[[#This Row],[Importe]]-Tabla13[[#This Row],[Pagado]]</f>
        <v>0</v>
      </c>
      <c r="H2683" s="38" t="s">
        <v>10</v>
      </c>
    </row>
    <row r="2684" spans="1:8" x14ac:dyDescent="0.25">
      <c r="A2684" s="31">
        <v>44616</v>
      </c>
      <c r="B2684" s="37" t="s">
        <v>6472</v>
      </c>
      <c r="C2684" s="38" t="s">
        <v>698</v>
      </c>
      <c r="D2684" s="34">
        <v>907.8</v>
      </c>
      <c r="E2684" s="35">
        <v>44616</v>
      </c>
      <c r="F2684" s="34">
        <v>907.8</v>
      </c>
      <c r="G2684" s="36">
        <f>Tabla13[[#This Row],[Importe]]-Tabla13[[#This Row],[Pagado]]</f>
        <v>0</v>
      </c>
      <c r="H2684" s="38" t="s">
        <v>10</v>
      </c>
    </row>
    <row r="2685" spans="1:8" x14ac:dyDescent="0.25">
      <c r="A2685" s="31">
        <v>44616</v>
      </c>
      <c r="B2685" s="37" t="s">
        <v>6473</v>
      </c>
      <c r="C2685" s="38" t="s">
        <v>31</v>
      </c>
      <c r="D2685" s="34">
        <v>201.6</v>
      </c>
      <c r="E2685" s="35">
        <v>44616</v>
      </c>
      <c r="F2685" s="34">
        <v>201.6</v>
      </c>
      <c r="G2685" s="36">
        <f>Tabla13[[#This Row],[Importe]]-Tabla13[[#This Row],[Pagado]]</f>
        <v>0</v>
      </c>
      <c r="H2685" s="38" t="s">
        <v>10</v>
      </c>
    </row>
    <row r="2686" spans="1:8" x14ac:dyDescent="0.25">
      <c r="A2686" s="31">
        <v>44616</v>
      </c>
      <c r="B2686" s="37" t="s">
        <v>6474</v>
      </c>
      <c r="C2686" s="38" t="s">
        <v>47</v>
      </c>
      <c r="D2686" s="34">
        <v>47901</v>
      </c>
      <c r="E2686" s="35">
        <v>44616</v>
      </c>
      <c r="F2686" s="34">
        <v>47901</v>
      </c>
      <c r="G2686" s="36">
        <f>Tabla13[[#This Row],[Importe]]-Tabla13[[#This Row],[Pagado]]</f>
        <v>0</v>
      </c>
      <c r="H2686" s="38" t="s">
        <v>10</v>
      </c>
    </row>
    <row r="2687" spans="1:8" x14ac:dyDescent="0.25">
      <c r="A2687" s="31">
        <v>44616</v>
      </c>
      <c r="B2687" s="37" t="s">
        <v>6475</v>
      </c>
      <c r="C2687" s="38" t="s">
        <v>2383</v>
      </c>
      <c r="D2687" s="34">
        <v>3226.6</v>
      </c>
      <c r="E2687" s="35">
        <v>44616</v>
      </c>
      <c r="F2687" s="34">
        <v>3226.6</v>
      </c>
      <c r="G2687" s="36">
        <f>Tabla13[[#This Row],[Importe]]-Tabla13[[#This Row],[Pagado]]</f>
        <v>0</v>
      </c>
      <c r="H2687" s="38" t="s">
        <v>10</v>
      </c>
    </row>
    <row r="2688" spans="1:8" x14ac:dyDescent="0.25">
      <c r="A2688" s="31">
        <v>44616</v>
      </c>
      <c r="B2688" s="37" t="s">
        <v>6476</v>
      </c>
      <c r="C2688" s="38" t="s">
        <v>31</v>
      </c>
      <c r="D2688" s="34">
        <v>1081.2</v>
      </c>
      <c r="E2688" s="35">
        <v>44616</v>
      </c>
      <c r="F2688" s="34">
        <v>1081.2</v>
      </c>
      <c r="G2688" s="36">
        <f>Tabla13[[#This Row],[Importe]]-Tabla13[[#This Row],[Pagado]]</f>
        <v>0</v>
      </c>
      <c r="H2688" s="38" t="s">
        <v>10</v>
      </c>
    </row>
    <row r="2689" spans="1:8" x14ac:dyDescent="0.25">
      <c r="A2689" s="31">
        <v>44616</v>
      </c>
      <c r="B2689" s="37" t="s">
        <v>6477</v>
      </c>
      <c r="C2689" s="38" t="s">
        <v>47</v>
      </c>
      <c r="D2689" s="34">
        <v>2069.6</v>
      </c>
      <c r="E2689" s="35">
        <v>44616</v>
      </c>
      <c r="F2689" s="34">
        <v>2069.6</v>
      </c>
      <c r="G2689" s="36">
        <f>Tabla13[[#This Row],[Importe]]-Tabla13[[#This Row],[Pagado]]</f>
        <v>0</v>
      </c>
      <c r="H2689" s="38" t="s">
        <v>10</v>
      </c>
    </row>
    <row r="2690" spans="1:8" x14ac:dyDescent="0.25">
      <c r="A2690" s="31">
        <v>44616</v>
      </c>
      <c r="B2690" s="37" t="s">
        <v>6478</v>
      </c>
      <c r="C2690" s="38" t="s">
        <v>29</v>
      </c>
      <c r="D2690" s="34">
        <v>4875.6000000000004</v>
      </c>
      <c r="E2690" s="35">
        <v>44616</v>
      </c>
      <c r="F2690" s="34">
        <v>4875.6000000000004</v>
      </c>
      <c r="G2690" s="36">
        <f>Tabla13[[#This Row],[Importe]]-Tabla13[[#This Row],[Pagado]]</f>
        <v>0</v>
      </c>
      <c r="H2690" s="38" t="s">
        <v>10</v>
      </c>
    </row>
    <row r="2691" spans="1:8" x14ac:dyDescent="0.25">
      <c r="A2691" s="31">
        <v>44616</v>
      </c>
      <c r="B2691" s="37" t="s">
        <v>6479</v>
      </c>
      <c r="C2691" s="38" t="s">
        <v>840</v>
      </c>
      <c r="D2691" s="34">
        <v>12790.2</v>
      </c>
      <c r="E2691" s="35">
        <v>44616</v>
      </c>
      <c r="F2691" s="34">
        <v>12790.2</v>
      </c>
      <c r="G2691" s="36">
        <f>Tabla13[[#This Row],[Importe]]-Tabla13[[#This Row],[Pagado]]</f>
        <v>0</v>
      </c>
      <c r="H2691" s="38" t="s">
        <v>10</v>
      </c>
    </row>
    <row r="2692" spans="1:8" x14ac:dyDescent="0.25">
      <c r="A2692" s="31">
        <v>44616</v>
      </c>
      <c r="B2692" s="37" t="s">
        <v>6480</v>
      </c>
      <c r="C2692" s="38" t="s">
        <v>107</v>
      </c>
      <c r="D2692" s="34">
        <v>9593.5</v>
      </c>
      <c r="E2692" s="35">
        <v>44616</v>
      </c>
      <c r="F2692" s="34">
        <v>9593.5</v>
      </c>
      <c r="G2692" s="36">
        <f>Tabla13[[#This Row],[Importe]]-Tabla13[[#This Row],[Pagado]]</f>
        <v>0</v>
      </c>
      <c r="H2692" s="38" t="s">
        <v>10</v>
      </c>
    </row>
    <row r="2693" spans="1:8" x14ac:dyDescent="0.25">
      <c r="A2693" s="31">
        <v>44616</v>
      </c>
      <c r="B2693" s="37" t="s">
        <v>6481</v>
      </c>
      <c r="C2693" s="38" t="s">
        <v>228</v>
      </c>
      <c r="D2693" s="34">
        <v>6347.2</v>
      </c>
      <c r="E2693" s="35">
        <v>44616</v>
      </c>
      <c r="F2693" s="34">
        <v>6347.2</v>
      </c>
      <c r="G2693" s="36">
        <f>Tabla13[[#This Row],[Importe]]-Tabla13[[#This Row],[Pagado]]</f>
        <v>0</v>
      </c>
      <c r="H2693" s="38" t="s">
        <v>10</v>
      </c>
    </row>
    <row r="2694" spans="1:8" x14ac:dyDescent="0.25">
      <c r="A2694" s="31">
        <v>44616</v>
      </c>
      <c r="B2694" s="37" t="s">
        <v>6482</v>
      </c>
      <c r="C2694" s="38" t="s">
        <v>140</v>
      </c>
      <c r="D2694" s="34">
        <v>863.2</v>
      </c>
      <c r="E2694" s="35">
        <v>44616</v>
      </c>
      <c r="F2694" s="34">
        <v>863.2</v>
      </c>
      <c r="G2694" s="36">
        <f>Tabla13[[#This Row],[Importe]]-Tabla13[[#This Row],[Pagado]]</f>
        <v>0</v>
      </c>
      <c r="H2694" s="38" t="s">
        <v>10</v>
      </c>
    </row>
    <row r="2695" spans="1:8" x14ac:dyDescent="0.25">
      <c r="A2695" s="31">
        <v>44616</v>
      </c>
      <c r="B2695" s="37" t="s">
        <v>6483</v>
      </c>
      <c r="C2695" s="38" t="s">
        <v>357</v>
      </c>
      <c r="D2695" s="34">
        <v>3253.6</v>
      </c>
      <c r="E2695" s="35">
        <v>44616</v>
      </c>
      <c r="F2695" s="34">
        <v>3253.6</v>
      </c>
      <c r="G2695" s="36">
        <f>Tabla13[[#This Row],[Importe]]-Tabla13[[#This Row],[Pagado]]</f>
        <v>0</v>
      </c>
      <c r="H2695" s="38" t="s">
        <v>10</v>
      </c>
    </row>
    <row r="2696" spans="1:8" x14ac:dyDescent="0.25">
      <c r="A2696" s="31">
        <v>44616</v>
      </c>
      <c r="B2696" s="37" t="s">
        <v>6484</v>
      </c>
      <c r="C2696" s="38" t="s">
        <v>129</v>
      </c>
      <c r="D2696" s="34">
        <v>3953.6</v>
      </c>
      <c r="E2696" s="35">
        <v>44616</v>
      </c>
      <c r="F2696" s="34">
        <v>3953.6</v>
      </c>
      <c r="G2696" s="36">
        <f>Tabla13[[#This Row],[Importe]]-Tabla13[[#This Row],[Pagado]]</f>
        <v>0</v>
      </c>
      <c r="H2696" s="38" t="s">
        <v>10</v>
      </c>
    </row>
    <row r="2697" spans="1:8" x14ac:dyDescent="0.25">
      <c r="A2697" s="31">
        <v>44616</v>
      </c>
      <c r="B2697" s="37" t="s">
        <v>6485</v>
      </c>
      <c r="C2697" s="38" t="s">
        <v>127</v>
      </c>
      <c r="D2697" s="34">
        <v>3878.8</v>
      </c>
      <c r="E2697" s="35">
        <v>44616</v>
      </c>
      <c r="F2697" s="34">
        <v>3878.8</v>
      </c>
      <c r="G2697" s="36">
        <f>Tabla13[[#This Row],[Importe]]-Tabla13[[#This Row],[Pagado]]</f>
        <v>0</v>
      </c>
      <c r="H2697" s="38" t="s">
        <v>10</v>
      </c>
    </row>
    <row r="2698" spans="1:8" x14ac:dyDescent="0.25">
      <c r="A2698" s="31">
        <v>44616</v>
      </c>
      <c r="B2698" s="37" t="s">
        <v>6486</v>
      </c>
      <c r="C2698" s="38" t="s">
        <v>339</v>
      </c>
      <c r="D2698" s="34">
        <v>847.6</v>
      </c>
      <c r="E2698" s="35">
        <v>44616</v>
      </c>
      <c r="F2698" s="34">
        <v>847.6</v>
      </c>
      <c r="G2698" s="36">
        <f>Tabla13[[#This Row],[Importe]]-Tabla13[[#This Row],[Pagado]]</f>
        <v>0</v>
      </c>
      <c r="H2698" s="38" t="s">
        <v>10</v>
      </c>
    </row>
    <row r="2699" spans="1:8" x14ac:dyDescent="0.25">
      <c r="A2699" s="31">
        <v>44616</v>
      </c>
      <c r="B2699" s="37" t="s">
        <v>6487</v>
      </c>
      <c r="C2699" s="38" t="s">
        <v>804</v>
      </c>
      <c r="D2699" s="34">
        <v>11980.4</v>
      </c>
      <c r="E2699" s="35">
        <v>44616</v>
      </c>
      <c r="F2699" s="34">
        <v>11980.4</v>
      </c>
      <c r="G2699" s="36">
        <f>Tabla13[[#This Row],[Importe]]-Tabla13[[#This Row],[Pagado]]</f>
        <v>0</v>
      </c>
      <c r="H2699" s="38" t="s">
        <v>10</v>
      </c>
    </row>
    <row r="2700" spans="1:8" x14ac:dyDescent="0.25">
      <c r="A2700" s="31">
        <v>44616</v>
      </c>
      <c r="B2700" s="37" t="s">
        <v>6488</v>
      </c>
      <c r="C2700" s="38" t="s">
        <v>56</v>
      </c>
      <c r="D2700" s="34">
        <v>6474.1</v>
      </c>
      <c r="E2700" s="35">
        <v>44616</v>
      </c>
      <c r="F2700" s="34">
        <v>6474.1</v>
      </c>
      <c r="G2700" s="36">
        <f>Tabla13[[#This Row],[Importe]]-Tabla13[[#This Row],[Pagado]]</f>
        <v>0</v>
      </c>
      <c r="H2700" s="38" t="s">
        <v>10</v>
      </c>
    </row>
    <row r="2701" spans="1:8" x14ac:dyDescent="0.25">
      <c r="A2701" s="31">
        <v>44616</v>
      </c>
      <c r="B2701" s="37" t="s">
        <v>6489</v>
      </c>
      <c r="C2701" s="38" t="s">
        <v>612</v>
      </c>
      <c r="D2701" s="34">
        <v>26</v>
      </c>
      <c r="E2701" s="35">
        <v>44616</v>
      </c>
      <c r="F2701" s="34">
        <v>26</v>
      </c>
      <c r="G2701" s="36">
        <f>Tabla13[[#This Row],[Importe]]-Tabla13[[#This Row],[Pagado]]</f>
        <v>0</v>
      </c>
      <c r="H2701" s="38" t="s">
        <v>10</v>
      </c>
    </row>
    <row r="2702" spans="1:8" x14ac:dyDescent="0.25">
      <c r="A2702" s="31">
        <v>44616</v>
      </c>
      <c r="B2702" s="37" t="s">
        <v>6490</v>
      </c>
      <c r="C2702" s="38" t="s">
        <v>715</v>
      </c>
      <c r="D2702" s="34">
        <v>9282</v>
      </c>
      <c r="E2702" s="35">
        <v>44616</v>
      </c>
      <c r="F2702" s="34">
        <v>9282</v>
      </c>
      <c r="G2702" s="36">
        <f>Tabla13[[#This Row],[Importe]]-Tabla13[[#This Row],[Pagado]]</f>
        <v>0</v>
      </c>
      <c r="H2702" s="38" t="s">
        <v>10</v>
      </c>
    </row>
    <row r="2703" spans="1:8" x14ac:dyDescent="0.25">
      <c r="A2703" s="31">
        <v>44616</v>
      </c>
      <c r="B2703" s="37" t="s">
        <v>6491</v>
      </c>
      <c r="C2703" s="38" t="s">
        <v>31</v>
      </c>
      <c r="D2703" s="34">
        <v>1475.5</v>
      </c>
      <c r="E2703" s="35">
        <v>44616</v>
      </c>
      <c r="F2703" s="34">
        <v>1475.5</v>
      </c>
      <c r="G2703" s="36">
        <f>Tabla13[[#This Row],[Importe]]-Tabla13[[#This Row],[Pagado]]</f>
        <v>0</v>
      </c>
      <c r="H2703" s="38" t="s">
        <v>10</v>
      </c>
    </row>
    <row r="2704" spans="1:8" x14ac:dyDescent="0.25">
      <c r="A2704" s="31">
        <v>44616</v>
      </c>
      <c r="B2704" s="37" t="s">
        <v>6492</v>
      </c>
      <c r="C2704" s="38" t="s">
        <v>2139</v>
      </c>
      <c r="D2704" s="34">
        <v>980.4</v>
      </c>
      <c r="E2704" s="35">
        <v>44616</v>
      </c>
      <c r="F2704" s="34">
        <v>980.4</v>
      </c>
      <c r="G2704" s="36">
        <f>Tabla13[[#This Row],[Importe]]-Tabla13[[#This Row],[Pagado]]</f>
        <v>0</v>
      </c>
      <c r="H2704" s="38" t="s">
        <v>10</v>
      </c>
    </row>
    <row r="2705" spans="1:8" x14ac:dyDescent="0.25">
      <c r="A2705" s="31">
        <v>44616</v>
      </c>
      <c r="B2705" s="37" t="s">
        <v>6493</v>
      </c>
      <c r="C2705" s="38" t="s">
        <v>244</v>
      </c>
      <c r="D2705" s="34">
        <v>1821.6</v>
      </c>
      <c r="E2705" s="35">
        <v>44616</v>
      </c>
      <c r="F2705" s="34">
        <v>1821.6</v>
      </c>
      <c r="G2705" s="36">
        <f>Tabla13[[#This Row],[Importe]]-Tabla13[[#This Row],[Pagado]]</f>
        <v>0</v>
      </c>
      <c r="H2705" s="38" t="s">
        <v>10</v>
      </c>
    </row>
    <row r="2706" spans="1:8" x14ac:dyDescent="0.25">
      <c r="A2706" s="31">
        <v>44616</v>
      </c>
      <c r="B2706" s="37" t="s">
        <v>6494</v>
      </c>
      <c r="C2706" s="38" t="s">
        <v>269</v>
      </c>
      <c r="D2706" s="34">
        <v>3180</v>
      </c>
      <c r="E2706" s="35">
        <v>44616</v>
      </c>
      <c r="F2706" s="34">
        <v>3180</v>
      </c>
      <c r="G2706" s="36">
        <f>Tabla13[[#This Row],[Importe]]-Tabla13[[#This Row],[Pagado]]</f>
        <v>0</v>
      </c>
      <c r="H2706" s="38" t="s">
        <v>10</v>
      </c>
    </row>
    <row r="2707" spans="1:8" x14ac:dyDescent="0.25">
      <c r="A2707" s="31">
        <v>44616</v>
      </c>
      <c r="B2707" s="37" t="s">
        <v>6495</v>
      </c>
      <c r="C2707" s="38" t="s">
        <v>31</v>
      </c>
      <c r="D2707" s="34">
        <v>1101.5999999999999</v>
      </c>
      <c r="E2707" s="35">
        <v>44616</v>
      </c>
      <c r="F2707" s="34">
        <v>1101.5999999999999</v>
      </c>
      <c r="G2707" s="36">
        <f>Tabla13[[#This Row],[Importe]]-Tabla13[[#This Row],[Pagado]]</f>
        <v>0</v>
      </c>
      <c r="H2707" s="38" t="s">
        <v>10</v>
      </c>
    </row>
    <row r="2708" spans="1:8" x14ac:dyDescent="0.25">
      <c r="A2708" s="31">
        <v>44616</v>
      </c>
      <c r="B2708" s="37" t="s">
        <v>6496</v>
      </c>
      <c r="C2708" s="38" t="s">
        <v>71</v>
      </c>
      <c r="D2708" s="34">
        <v>3544.8</v>
      </c>
      <c r="E2708" s="35">
        <v>44616</v>
      </c>
      <c r="F2708" s="34">
        <v>3544.8</v>
      </c>
      <c r="G2708" s="36">
        <f>Tabla13[[#This Row],[Importe]]-Tabla13[[#This Row],[Pagado]]</f>
        <v>0</v>
      </c>
      <c r="H2708" s="38" t="s">
        <v>10</v>
      </c>
    </row>
    <row r="2709" spans="1:8" x14ac:dyDescent="0.25">
      <c r="A2709" s="31">
        <v>44616</v>
      </c>
      <c r="B2709" s="37" t="s">
        <v>6497</v>
      </c>
      <c r="C2709" s="38" t="s">
        <v>181</v>
      </c>
      <c r="D2709" s="34">
        <v>11556.4</v>
      </c>
      <c r="E2709" s="35">
        <v>44616</v>
      </c>
      <c r="F2709" s="34">
        <v>11556.4</v>
      </c>
      <c r="G2709" s="36">
        <f>Tabla13[[#This Row],[Importe]]-Tabla13[[#This Row],[Pagado]]</f>
        <v>0</v>
      </c>
      <c r="H2709" s="38" t="s">
        <v>10</v>
      </c>
    </row>
    <row r="2710" spans="1:8" x14ac:dyDescent="0.25">
      <c r="A2710" s="31">
        <v>44616</v>
      </c>
      <c r="B2710" s="37" t="s">
        <v>6498</v>
      </c>
      <c r="C2710" s="38" t="s">
        <v>414</v>
      </c>
      <c r="D2710" s="34">
        <v>6130.2</v>
      </c>
      <c r="E2710" s="35">
        <v>44638</v>
      </c>
      <c r="F2710" s="34">
        <v>6130.2</v>
      </c>
      <c r="G2710" s="36">
        <f>Tabla13[[#This Row],[Importe]]-Tabla13[[#This Row],[Pagado]]</f>
        <v>0</v>
      </c>
      <c r="H2710" s="38" t="s">
        <v>10</v>
      </c>
    </row>
    <row r="2711" spans="1:8" x14ac:dyDescent="0.25">
      <c r="A2711" s="31">
        <v>44616</v>
      </c>
      <c r="B2711" s="37" t="s">
        <v>6499</v>
      </c>
      <c r="C2711" s="38" t="s">
        <v>58</v>
      </c>
      <c r="D2711" s="34">
        <v>3348.5</v>
      </c>
      <c r="E2711" s="35">
        <v>44616</v>
      </c>
      <c r="F2711" s="34">
        <v>3348.5</v>
      </c>
      <c r="G2711" s="36">
        <f>Tabla13[[#This Row],[Importe]]-Tabla13[[#This Row],[Pagado]]</f>
        <v>0</v>
      </c>
      <c r="H2711" s="38" t="s">
        <v>10</v>
      </c>
    </row>
    <row r="2712" spans="1:8" x14ac:dyDescent="0.25">
      <c r="A2712" s="31">
        <v>44616</v>
      </c>
      <c r="B2712" s="37" t="s">
        <v>6500</v>
      </c>
      <c r="C2712" s="38" t="s">
        <v>175</v>
      </c>
      <c r="D2712" s="34">
        <v>33261.599999999999</v>
      </c>
      <c r="E2712" s="35">
        <v>44616</v>
      </c>
      <c r="F2712" s="34">
        <v>33261.599999999999</v>
      </c>
      <c r="G2712" s="36">
        <f>Tabla13[[#This Row],[Importe]]-Tabla13[[#This Row],[Pagado]]</f>
        <v>0</v>
      </c>
      <c r="H2712" s="38" t="s">
        <v>10</v>
      </c>
    </row>
    <row r="2713" spans="1:8" x14ac:dyDescent="0.25">
      <c r="A2713" s="31">
        <v>44616</v>
      </c>
      <c r="B2713" s="37" t="s">
        <v>6501</v>
      </c>
      <c r="C2713" s="38" t="s">
        <v>20</v>
      </c>
      <c r="D2713" s="34">
        <v>2414.4</v>
      </c>
      <c r="E2713" s="35">
        <v>44616</v>
      </c>
      <c r="F2713" s="34">
        <v>2414.4</v>
      </c>
      <c r="G2713" s="36">
        <f>Tabla13[[#This Row],[Importe]]-Tabla13[[#This Row],[Pagado]]</f>
        <v>0</v>
      </c>
      <c r="H2713" s="38" t="s">
        <v>10</v>
      </c>
    </row>
    <row r="2714" spans="1:8" x14ac:dyDescent="0.25">
      <c r="A2714" s="31">
        <v>44616</v>
      </c>
      <c r="B2714" s="37" t="s">
        <v>6502</v>
      </c>
      <c r="C2714" s="38" t="s">
        <v>576</v>
      </c>
      <c r="D2714" s="34">
        <v>2095.6</v>
      </c>
      <c r="E2714" s="35">
        <v>44616</v>
      </c>
      <c r="F2714" s="34">
        <v>2095.6</v>
      </c>
      <c r="G2714" s="36">
        <f>Tabla13[[#This Row],[Importe]]-Tabla13[[#This Row],[Pagado]]</f>
        <v>0</v>
      </c>
      <c r="H2714" s="38" t="s">
        <v>10</v>
      </c>
    </row>
    <row r="2715" spans="1:8" x14ac:dyDescent="0.25">
      <c r="A2715" s="31">
        <v>44616</v>
      </c>
      <c r="B2715" s="37" t="s">
        <v>6503</v>
      </c>
      <c r="C2715" s="38" t="s">
        <v>426</v>
      </c>
      <c r="D2715" s="34">
        <v>2454.4</v>
      </c>
      <c r="E2715" s="35">
        <v>44616</v>
      </c>
      <c r="F2715" s="34">
        <v>2454.4</v>
      </c>
      <c r="G2715" s="36">
        <f>Tabla13[[#This Row],[Importe]]-Tabla13[[#This Row],[Pagado]]</f>
        <v>0</v>
      </c>
      <c r="H2715" s="38" t="s">
        <v>10</v>
      </c>
    </row>
    <row r="2716" spans="1:8" x14ac:dyDescent="0.25">
      <c r="A2716" s="31">
        <v>44616</v>
      </c>
      <c r="B2716" s="37" t="s">
        <v>6504</v>
      </c>
      <c r="C2716" s="38" t="s">
        <v>67</v>
      </c>
      <c r="D2716" s="34">
        <v>8919.1</v>
      </c>
      <c r="E2716" s="35">
        <v>44616</v>
      </c>
      <c r="F2716" s="34">
        <v>8919.1</v>
      </c>
      <c r="G2716" s="36">
        <f>Tabla13[[#This Row],[Importe]]-Tabla13[[#This Row],[Pagado]]</f>
        <v>0</v>
      </c>
      <c r="H2716" s="38" t="s">
        <v>10</v>
      </c>
    </row>
    <row r="2717" spans="1:8" x14ac:dyDescent="0.25">
      <c r="A2717" s="31">
        <v>44616</v>
      </c>
      <c r="B2717" s="37" t="s">
        <v>6505</v>
      </c>
      <c r="C2717" s="38" t="s">
        <v>414</v>
      </c>
      <c r="D2717" s="34">
        <v>1600</v>
      </c>
      <c r="E2717" s="35">
        <v>44616</v>
      </c>
      <c r="F2717" s="34">
        <v>1600</v>
      </c>
      <c r="G2717" s="36">
        <f>Tabla13[[#This Row],[Importe]]-Tabla13[[#This Row],[Pagado]]</f>
        <v>0</v>
      </c>
      <c r="H2717" s="38" t="s">
        <v>10</v>
      </c>
    </row>
    <row r="2718" spans="1:8" x14ac:dyDescent="0.25">
      <c r="A2718" s="31">
        <v>44616</v>
      </c>
      <c r="B2718" s="37" t="s">
        <v>6506</v>
      </c>
      <c r="C2718" s="38" t="s">
        <v>67</v>
      </c>
      <c r="D2718" s="34">
        <v>988</v>
      </c>
      <c r="E2718" s="35">
        <v>44616</v>
      </c>
      <c r="F2718" s="34">
        <v>988</v>
      </c>
      <c r="G2718" s="36">
        <f>Tabla13[[#This Row],[Importe]]-Tabla13[[#This Row],[Pagado]]</f>
        <v>0</v>
      </c>
      <c r="H2718" s="38" t="s">
        <v>10</v>
      </c>
    </row>
    <row r="2719" spans="1:8" x14ac:dyDescent="0.25">
      <c r="A2719" s="31">
        <v>44616</v>
      </c>
      <c r="B2719" s="37" t="s">
        <v>6507</v>
      </c>
      <c r="C2719" s="38" t="s">
        <v>261</v>
      </c>
      <c r="D2719" s="34">
        <v>53974.8</v>
      </c>
      <c r="E2719" s="35">
        <v>44616</v>
      </c>
      <c r="F2719" s="34">
        <v>53974.8</v>
      </c>
      <c r="G2719" s="36">
        <f>Tabla13[[#This Row],[Importe]]-Tabla13[[#This Row],[Pagado]]</f>
        <v>0</v>
      </c>
      <c r="H2719" s="38" t="s">
        <v>10</v>
      </c>
    </row>
    <row r="2720" spans="1:8" x14ac:dyDescent="0.25">
      <c r="A2720" s="31">
        <v>44616</v>
      </c>
      <c r="B2720" s="37" t="s">
        <v>6508</v>
      </c>
      <c r="C2720" s="38" t="s">
        <v>69</v>
      </c>
      <c r="D2720" s="34">
        <v>2611.1999999999998</v>
      </c>
      <c r="E2720" s="35">
        <v>44616</v>
      </c>
      <c r="F2720" s="34">
        <v>2611.1999999999998</v>
      </c>
      <c r="G2720" s="36">
        <f>Tabla13[[#This Row],[Importe]]-Tabla13[[#This Row],[Pagado]]</f>
        <v>0</v>
      </c>
      <c r="H2720" s="38" t="s">
        <v>10</v>
      </c>
    </row>
    <row r="2721" spans="1:8" x14ac:dyDescent="0.25">
      <c r="A2721" s="31">
        <v>44616</v>
      </c>
      <c r="B2721" s="37" t="s">
        <v>6509</v>
      </c>
      <c r="C2721" s="38" t="s">
        <v>53</v>
      </c>
      <c r="D2721" s="34">
        <v>1700.4</v>
      </c>
      <c r="E2721" s="35">
        <v>44616</v>
      </c>
      <c r="F2721" s="34">
        <v>1700.4</v>
      </c>
      <c r="G2721" s="36">
        <f>Tabla13[[#This Row],[Importe]]-Tabla13[[#This Row],[Pagado]]</f>
        <v>0</v>
      </c>
      <c r="H2721" s="38" t="s">
        <v>10</v>
      </c>
    </row>
    <row r="2722" spans="1:8" x14ac:dyDescent="0.25">
      <c r="A2722" s="31">
        <v>44616</v>
      </c>
      <c r="B2722" s="37" t="s">
        <v>6510</v>
      </c>
      <c r="C2722" s="38" t="s">
        <v>450</v>
      </c>
      <c r="D2722" s="34">
        <v>3306</v>
      </c>
      <c r="E2722" s="35">
        <v>44616</v>
      </c>
      <c r="F2722" s="34">
        <v>3306</v>
      </c>
      <c r="G2722" s="36">
        <f>Tabla13[[#This Row],[Importe]]-Tabla13[[#This Row],[Pagado]]</f>
        <v>0</v>
      </c>
      <c r="H2722" s="38" t="s">
        <v>10</v>
      </c>
    </row>
    <row r="2723" spans="1:8" x14ac:dyDescent="0.25">
      <c r="A2723" s="31">
        <v>44616</v>
      </c>
      <c r="B2723" s="37" t="s">
        <v>6511</v>
      </c>
      <c r="C2723" s="38" t="s">
        <v>191</v>
      </c>
      <c r="D2723" s="34">
        <v>571.6</v>
      </c>
      <c r="E2723" s="35">
        <v>44616</v>
      </c>
      <c r="F2723" s="34">
        <v>571.6</v>
      </c>
      <c r="G2723" s="36">
        <f>Tabla13[[#This Row],[Importe]]-Tabla13[[#This Row],[Pagado]]</f>
        <v>0</v>
      </c>
      <c r="H2723" s="38" t="s">
        <v>10</v>
      </c>
    </row>
    <row r="2724" spans="1:8" x14ac:dyDescent="0.25">
      <c r="A2724" s="31">
        <v>44616</v>
      </c>
      <c r="B2724" s="37" t="s">
        <v>6512</v>
      </c>
      <c r="C2724" s="38" t="s">
        <v>1313</v>
      </c>
      <c r="D2724" s="34">
        <v>5418</v>
      </c>
      <c r="E2724" s="35">
        <v>44616</v>
      </c>
      <c r="F2724" s="34">
        <v>5418</v>
      </c>
      <c r="G2724" s="36">
        <f>Tabla13[[#This Row],[Importe]]-Tabla13[[#This Row],[Pagado]]</f>
        <v>0</v>
      </c>
      <c r="H2724" s="38" t="s">
        <v>10</v>
      </c>
    </row>
    <row r="2725" spans="1:8" x14ac:dyDescent="0.25">
      <c r="A2725" s="31">
        <v>44616</v>
      </c>
      <c r="B2725" s="37" t="s">
        <v>6513</v>
      </c>
      <c r="C2725" s="38" t="s">
        <v>605</v>
      </c>
      <c r="D2725" s="34">
        <v>34569</v>
      </c>
      <c r="E2725" s="35">
        <v>44617</v>
      </c>
      <c r="F2725" s="34">
        <v>34569</v>
      </c>
      <c r="G2725" s="36">
        <f>Tabla13[[#This Row],[Importe]]-Tabla13[[#This Row],[Pagado]]</f>
        <v>0</v>
      </c>
      <c r="H2725" s="38" t="s">
        <v>10</v>
      </c>
    </row>
    <row r="2726" spans="1:8" x14ac:dyDescent="0.25">
      <c r="A2726" s="31">
        <v>44616</v>
      </c>
      <c r="B2726" s="37" t="s">
        <v>6514</v>
      </c>
      <c r="C2726" s="38" t="s">
        <v>435</v>
      </c>
      <c r="D2726" s="34">
        <v>1187.2</v>
      </c>
      <c r="E2726" s="35">
        <v>44616</v>
      </c>
      <c r="F2726" s="34">
        <v>1187.2</v>
      </c>
      <c r="G2726" s="36">
        <f>Tabla13[[#This Row],[Importe]]-Tabla13[[#This Row],[Pagado]]</f>
        <v>0</v>
      </c>
      <c r="H2726" s="38" t="s">
        <v>10</v>
      </c>
    </row>
    <row r="2727" spans="1:8" x14ac:dyDescent="0.25">
      <c r="A2727" s="31">
        <v>44616</v>
      </c>
      <c r="B2727" s="37" t="s">
        <v>6515</v>
      </c>
      <c r="C2727" s="38" t="s">
        <v>284</v>
      </c>
      <c r="D2727" s="34">
        <v>5992.5</v>
      </c>
      <c r="E2727" s="35">
        <v>44617</v>
      </c>
      <c r="F2727" s="34">
        <v>5992.5</v>
      </c>
      <c r="G2727" s="36">
        <f>Tabla13[[#This Row],[Importe]]-Tabla13[[#This Row],[Pagado]]</f>
        <v>0</v>
      </c>
      <c r="H2727" s="38" t="s">
        <v>10</v>
      </c>
    </row>
    <row r="2728" spans="1:8" x14ac:dyDescent="0.25">
      <c r="A2728" s="31">
        <v>44616</v>
      </c>
      <c r="B2728" s="37" t="s">
        <v>6516</v>
      </c>
      <c r="C2728" s="38" t="s">
        <v>14</v>
      </c>
      <c r="D2728" s="34">
        <v>17569.7</v>
      </c>
      <c r="E2728" s="35">
        <v>44616</v>
      </c>
      <c r="F2728" s="34">
        <v>17569.7</v>
      </c>
      <c r="G2728" s="36">
        <f>Tabla13[[#This Row],[Importe]]-Tabla13[[#This Row],[Pagado]]</f>
        <v>0</v>
      </c>
      <c r="H2728" s="38" t="s">
        <v>10</v>
      </c>
    </row>
    <row r="2729" spans="1:8" x14ac:dyDescent="0.25">
      <c r="A2729" s="31">
        <v>44616</v>
      </c>
      <c r="B2729" s="37" t="s">
        <v>6517</v>
      </c>
      <c r="C2729" s="38" t="s">
        <v>5345</v>
      </c>
      <c r="D2729" s="34">
        <v>1020</v>
      </c>
      <c r="E2729" s="35">
        <v>44617</v>
      </c>
      <c r="F2729" s="34">
        <v>1020</v>
      </c>
      <c r="G2729" s="36">
        <f>Tabla13[[#This Row],[Importe]]-Tabla13[[#This Row],[Pagado]]</f>
        <v>0</v>
      </c>
      <c r="H2729" s="38" t="s">
        <v>10</v>
      </c>
    </row>
    <row r="2730" spans="1:8" x14ac:dyDescent="0.25">
      <c r="A2730" s="31">
        <v>44616</v>
      </c>
      <c r="B2730" s="37" t="s">
        <v>6518</v>
      </c>
      <c r="C2730" s="38" t="s">
        <v>280</v>
      </c>
      <c r="D2730" s="34">
        <v>510</v>
      </c>
      <c r="E2730" s="35">
        <v>44617</v>
      </c>
      <c r="F2730" s="34">
        <v>510</v>
      </c>
      <c r="G2730" s="36">
        <f>Tabla13[[#This Row],[Importe]]-Tabla13[[#This Row],[Pagado]]</f>
        <v>0</v>
      </c>
      <c r="H2730" s="38" t="s">
        <v>10</v>
      </c>
    </row>
    <row r="2731" spans="1:8" x14ac:dyDescent="0.25">
      <c r="A2731" s="31">
        <v>44616</v>
      </c>
      <c r="B2731" s="37" t="s">
        <v>6519</v>
      </c>
      <c r="C2731" s="38" t="s">
        <v>16</v>
      </c>
      <c r="D2731" s="34">
        <v>1346.2</v>
      </c>
      <c r="E2731" s="35">
        <v>44616</v>
      </c>
      <c r="F2731" s="34">
        <v>1346.2</v>
      </c>
      <c r="G2731" s="36">
        <f>Tabla13[[#This Row],[Importe]]-Tabla13[[#This Row],[Pagado]]</f>
        <v>0</v>
      </c>
      <c r="H2731" s="38" t="s">
        <v>10</v>
      </c>
    </row>
    <row r="2732" spans="1:8" x14ac:dyDescent="0.25">
      <c r="A2732" s="31">
        <v>44616</v>
      </c>
      <c r="B2732" s="37" t="s">
        <v>6520</v>
      </c>
      <c r="C2732" s="38" t="s">
        <v>849</v>
      </c>
      <c r="D2732" s="34">
        <v>4938.6000000000004</v>
      </c>
      <c r="E2732" s="35">
        <v>44616</v>
      </c>
      <c r="F2732" s="34">
        <v>4938.6000000000004</v>
      </c>
      <c r="G2732" s="36">
        <f>Tabla13[[#This Row],[Importe]]-Tabla13[[#This Row],[Pagado]]</f>
        <v>0</v>
      </c>
      <c r="H2732" s="38" t="s">
        <v>10</v>
      </c>
    </row>
    <row r="2733" spans="1:8" x14ac:dyDescent="0.25">
      <c r="A2733" s="31">
        <v>44616</v>
      </c>
      <c r="B2733" s="37" t="s">
        <v>6521</v>
      </c>
      <c r="C2733" s="38" t="s">
        <v>729</v>
      </c>
      <c r="D2733" s="34">
        <v>19146.599999999999</v>
      </c>
      <c r="E2733" s="35">
        <v>44617</v>
      </c>
      <c r="F2733" s="34">
        <v>19146.599999999999</v>
      </c>
      <c r="G2733" s="36">
        <f>Tabla13[[#This Row],[Importe]]-Tabla13[[#This Row],[Pagado]]</f>
        <v>0</v>
      </c>
      <c r="H2733" s="38" t="s">
        <v>10</v>
      </c>
    </row>
    <row r="2734" spans="1:8" x14ac:dyDescent="0.25">
      <c r="A2734" s="31">
        <v>44616</v>
      </c>
      <c r="B2734" s="37" t="s">
        <v>6522</v>
      </c>
      <c r="C2734" s="38" t="s">
        <v>368</v>
      </c>
      <c r="D2734" s="34">
        <v>1332.6</v>
      </c>
      <c r="E2734" s="35">
        <v>44617</v>
      </c>
      <c r="F2734" s="34">
        <v>1332.6</v>
      </c>
      <c r="G2734" s="36">
        <f>Tabla13[[#This Row],[Importe]]-Tabla13[[#This Row],[Pagado]]</f>
        <v>0</v>
      </c>
      <c r="H2734" s="38" t="s">
        <v>10</v>
      </c>
    </row>
    <row r="2735" spans="1:8" x14ac:dyDescent="0.25">
      <c r="A2735" s="31">
        <v>44616</v>
      </c>
      <c r="B2735" s="37" t="s">
        <v>6523</v>
      </c>
      <c r="C2735" s="38" t="s">
        <v>1021</v>
      </c>
      <c r="D2735" s="34">
        <v>684.4</v>
      </c>
      <c r="E2735" s="35">
        <v>44616</v>
      </c>
      <c r="F2735" s="34">
        <v>684.4</v>
      </c>
      <c r="G2735" s="36">
        <f>Tabla13[[#This Row],[Importe]]-Tabla13[[#This Row],[Pagado]]</f>
        <v>0</v>
      </c>
      <c r="H2735" s="38" t="s">
        <v>10</v>
      </c>
    </row>
    <row r="2736" spans="1:8" x14ac:dyDescent="0.25">
      <c r="A2736" s="31">
        <v>44616</v>
      </c>
      <c r="B2736" s="37" t="s">
        <v>6524</v>
      </c>
      <c r="C2736" s="38" t="s">
        <v>2027</v>
      </c>
      <c r="D2736" s="34">
        <v>26406</v>
      </c>
      <c r="E2736" s="35">
        <v>44616</v>
      </c>
      <c r="F2736" s="34">
        <v>26406</v>
      </c>
      <c r="G2736" s="36">
        <f>Tabla13[[#This Row],[Importe]]-Tabla13[[#This Row],[Pagado]]</f>
        <v>0</v>
      </c>
      <c r="H2736" s="38" t="s">
        <v>10</v>
      </c>
    </row>
    <row r="2737" spans="1:8" x14ac:dyDescent="0.25">
      <c r="A2737" s="31">
        <v>44616</v>
      </c>
      <c r="B2737" s="37" t="s">
        <v>6525</v>
      </c>
      <c r="C2737" s="38" t="s">
        <v>618</v>
      </c>
      <c r="D2737" s="34">
        <v>539</v>
      </c>
      <c r="E2737" s="35">
        <v>44616</v>
      </c>
      <c r="F2737" s="34">
        <v>539</v>
      </c>
      <c r="G2737" s="36">
        <f>Tabla13[[#This Row],[Importe]]-Tabla13[[#This Row],[Pagado]]</f>
        <v>0</v>
      </c>
      <c r="H2737" s="38" t="s">
        <v>10</v>
      </c>
    </row>
    <row r="2738" spans="1:8" x14ac:dyDescent="0.25">
      <c r="A2738" s="31">
        <v>44616</v>
      </c>
      <c r="B2738" s="37" t="s">
        <v>6526</v>
      </c>
      <c r="C2738" s="38" t="s">
        <v>2020</v>
      </c>
      <c r="D2738" s="34">
        <v>29400</v>
      </c>
      <c r="E2738" s="35">
        <v>44616</v>
      </c>
      <c r="F2738" s="34">
        <v>29400</v>
      </c>
      <c r="G2738" s="36">
        <f>Tabla13[[#This Row],[Importe]]-Tabla13[[#This Row],[Pagado]]</f>
        <v>0</v>
      </c>
      <c r="H2738" s="38" t="s">
        <v>10</v>
      </c>
    </row>
    <row r="2739" spans="1:8" x14ac:dyDescent="0.25">
      <c r="A2739" s="31">
        <v>44616</v>
      </c>
      <c r="B2739" s="37" t="s">
        <v>6527</v>
      </c>
      <c r="C2739" s="38" t="s">
        <v>6528</v>
      </c>
      <c r="D2739" s="34">
        <v>27000</v>
      </c>
      <c r="E2739" s="35">
        <v>44616</v>
      </c>
      <c r="F2739" s="34">
        <v>27000</v>
      </c>
      <c r="G2739" s="36">
        <f>Tabla13[[#This Row],[Importe]]-Tabla13[[#This Row],[Pagado]]</f>
        <v>0</v>
      </c>
      <c r="H2739" s="38" t="s">
        <v>10</v>
      </c>
    </row>
    <row r="2740" spans="1:8" x14ac:dyDescent="0.25">
      <c r="A2740" s="31">
        <v>44616</v>
      </c>
      <c r="B2740" s="37" t="s">
        <v>6529</v>
      </c>
      <c r="C2740" s="38" t="s">
        <v>31</v>
      </c>
      <c r="D2740" s="34">
        <v>551</v>
      </c>
      <c r="E2740" s="35">
        <v>44616</v>
      </c>
      <c r="F2740" s="34">
        <v>551</v>
      </c>
      <c r="G2740" s="36">
        <f>Tabla13[[#This Row],[Importe]]-Tabla13[[#This Row],[Pagado]]</f>
        <v>0</v>
      </c>
      <c r="H2740" s="38" t="s">
        <v>10</v>
      </c>
    </row>
    <row r="2741" spans="1:8" x14ac:dyDescent="0.25">
      <c r="A2741" s="31">
        <v>44616</v>
      </c>
      <c r="B2741" s="37" t="s">
        <v>6530</v>
      </c>
      <c r="C2741" s="38" t="s">
        <v>14</v>
      </c>
      <c r="D2741" s="34">
        <v>375</v>
      </c>
      <c r="E2741" s="35">
        <v>44616</v>
      </c>
      <c r="F2741" s="34">
        <v>375</v>
      </c>
      <c r="G2741" s="36">
        <f>Tabla13[[#This Row],[Importe]]-Tabla13[[#This Row],[Pagado]]</f>
        <v>0</v>
      </c>
      <c r="H2741" s="38" t="s">
        <v>10</v>
      </c>
    </row>
    <row r="2742" spans="1:8" x14ac:dyDescent="0.25">
      <c r="A2742" s="31">
        <v>44616</v>
      </c>
      <c r="B2742" s="37" t="s">
        <v>6531</v>
      </c>
      <c r="C2742" s="38" t="s">
        <v>214</v>
      </c>
      <c r="D2742" s="34">
        <v>1089</v>
      </c>
      <c r="E2742" s="35">
        <v>44617</v>
      </c>
      <c r="F2742" s="34">
        <v>1089</v>
      </c>
      <c r="G2742" s="36">
        <f>Tabla13[[#This Row],[Importe]]-Tabla13[[#This Row],[Pagado]]</f>
        <v>0</v>
      </c>
      <c r="H2742" s="38" t="s">
        <v>10</v>
      </c>
    </row>
    <row r="2743" spans="1:8" x14ac:dyDescent="0.25">
      <c r="A2743" s="31">
        <v>44616</v>
      </c>
      <c r="B2743" s="37" t="s">
        <v>6532</v>
      </c>
      <c r="C2743" s="38" t="s">
        <v>179</v>
      </c>
      <c r="D2743" s="34">
        <v>1586.1</v>
      </c>
      <c r="E2743" s="35">
        <v>44617</v>
      </c>
      <c r="F2743" s="34">
        <v>1586.1</v>
      </c>
      <c r="G2743" s="36">
        <f>Tabla13[[#This Row],[Importe]]-Tabla13[[#This Row],[Pagado]]</f>
        <v>0</v>
      </c>
      <c r="H2743" s="38" t="s">
        <v>10</v>
      </c>
    </row>
    <row r="2744" spans="1:8" x14ac:dyDescent="0.25">
      <c r="A2744" s="31">
        <v>44617</v>
      </c>
      <c r="B2744" s="37" t="s">
        <v>6533</v>
      </c>
      <c r="C2744" s="38" t="s">
        <v>887</v>
      </c>
      <c r="D2744" s="34">
        <v>8418.2000000000007</v>
      </c>
      <c r="E2744" s="35">
        <v>44618</v>
      </c>
      <c r="F2744" s="34">
        <v>8418.2000000000007</v>
      </c>
      <c r="G2744" s="36">
        <f>Tabla13[[#This Row],[Importe]]-Tabla13[[#This Row],[Pagado]]</f>
        <v>0</v>
      </c>
      <c r="H2744" s="38" t="s">
        <v>10</v>
      </c>
    </row>
    <row r="2745" spans="1:8" x14ac:dyDescent="0.25">
      <c r="A2745" s="31">
        <v>44617</v>
      </c>
      <c r="B2745" s="37" t="s">
        <v>6534</v>
      </c>
      <c r="C2745" s="38" t="s">
        <v>475</v>
      </c>
      <c r="D2745" s="34">
        <v>37786.800000000003</v>
      </c>
      <c r="E2745" s="35">
        <v>44618</v>
      </c>
      <c r="F2745" s="34">
        <v>37786.800000000003</v>
      </c>
      <c r="G2745" s="36">
        <f>Tabla13[[#This Row],[Importe]]-Tabla13[[#This Row],[Pagado]]</f>
        <v>0</v>
      </c>
      <c r="H2745" s="38" t="s">
        <v>10</v>
      </c>
    </row>
    <row r="2746" spans="1:8" x14ac:dyDescent="0.25">
      <c r="A2746" s="31">
        <v>44617</v>
      </c>
      <c r="B2746" s="37" t="s">
        <v>6535</v>
      </c>
      <c r="C2746" s="38" t="s">
        <v>31</v>
      </c>
      <c r="D2746" s="34">
        <v>3950</v>
      </c>
      <c r="E2746" s="35">
        <v>44617</v>
      </c>
      <c r="F2746" s="34">
        <v>3950</v>
      </c>
      <c r="G2746" s="36">
        <f>Tabla13[[#This Row],[Importe]]-Tabla13[[#This Row],[Pagado]]</f>
        <v>0</v>
      </c>
      <c r="H2746" s="38" t="s">
        <v>10</v>
      </c>
    </row>
    <row r="2747" spans="1:8" x14ac:dyDescent="0.25">
      <c r="A2747" s="31">
        <v>44617</v>
      </c>
      <c r="B2747" s="37" t="s">
        <v>6536</v>
      </c>
      <c r="C2747" s="38" t="s">
        <v>12</v>
      </c>
      <c r="D2747" s="34">
        <v>24638.15</v>
      </c>
      <c r="E2747" s="35">
        <v>44618</v>
      </c>
      <c r="F2747" s="34">
        <v>24638.15</v>
      </c>
      <c r="G2747" s="36">
        <f>Tabla13[[#This Row],[Importe]]-Tabla13[[#This Row],[Pagado]]</f>
        <v>0</v>
      </c>
      <c r="H2747" s="38" t="s">
        <v>10</v>
      </c>
    </row>
    <row r="2748" spans="1:8" x14ac:dyDescent="0.25">
      <c r="A2748" s="31">
        <v>44617</v>
      </c>
      <c r="B2748" s="37" t="s">
        <v>6537</v>
      </c>
      <c r="C2748" s="38" t="s">
        <v>481</v>
      </c>
      <c r="D2748" s="34">
        <v>1935.9</v>
      </c>
      <c r="E2748" s="35">
        <v>44617</v>
      </c>
      <c r="F2748" s="34">
        <v>1935.9</v>
      </c>
      <c r="G2748" s="36">
        <f>Tabla13[[#This Row],[Importe]]-Tabla13[[#This Row],[Pagado]]</f>
        <v>0</v>
      </c>
      <c r="H2748" s="38" t="s">
        <v>10</v>
      </c>
    </row>
    <row r="2749" spans="1:8" x14ac:dyDescent="0.25">
      <c r="A2749" s="31">
        <v>44617</v>
      </c>
      <c r="B2749" s="37" t="s">
        <v>6538</v>
      </c>
      <c r="C2749" s="38" t="s">
        <v>5043</v>
      </c>
      <c r="D2749" s="34">
        <v>7109.9</v>
      </c>
      <c r="E2749" s="35">
        <v>44620</v>
      </c>
      <c r="F2749" s="34">
        <v>7109.9</v>
      </c>
      <c r="G2749" s="36">
        <f>Tabla13[[#This Row],[Importe]]-Tabla13[[#This Row],[Pagado]]</f>
        <v>0</v>
      </c>
      <c r="H2749" s="38" t="s">
        <v>10</v>
      </c>
    </row>
    <row r="2750" spans="1:8" x14ac:dyDescent="0.25">
      <c r="A2750" s="31">
        <v>44617</v>
      </c>
      <c r="B2750" s="37" t="s">
        <v>6539</v>
      </c>
      <c r="C2750" s="38" t="s">
        <v>2563</v>
      </c>
      <c r="D2750" s="34">
        <v>3817.1</v>
      </c>
      <c r="E2750" s="35">
        <v>44617</v>
      </c>
      <c r="F2750" s="34">
        <v>3817.1</v>
      </c>
      <c r="G2750" s="36">
        <f>Tabla13[[#This Row],[Importe]]-Tabla13[[#This Row],[Pagado]]</f>
        <v>0</v>
      </c>
      <c r="H2750" s="38" t="s">
        <v>10</v>
      </c>
    </row>
    <row r="2751" spans="1:8" x14ac:dyDescent="0.25">
      <c r="A2751" s="31">
        <v>44617</v>
      </c>
      <c r="B2751" s="37" t="s">
        <v>6540</v>
      </c>
      <c r="C2751" s="38" t="s">
        <v>31</v>
      </c>
      <c r="D2751" s="34">
        <v>419.2</v>
      </c>
      <c r="E2751" s="35">
        <v>44617</v>
      </c>
      <c r="F2751" s="34">
        <v>419.2</v>
      </c>
      <c r="G2751" s="36">
        <f>Tabla13[[#This Row],[Importe]]-Tabla13[[#This Row],[Pagado]]</f>
        <v>0</v>
      </c>
      <c r="H2751" s="38" t="s">
        <v>10</v>
      </c>
    </row>
    <row r="2752" spans="1:8" x14ac:dyDescent="0.25">
      <c r="A2752" s="31">
        <v>44617</v>
      </c>
      <c r="B2752" s="37" t="s">
        <v>6541</v>
      </c>
      <c r="C2752" s="38" t="s">
        <v>97</v>
      </c>
      <c r="D2752" s="34">
        <v>7275.6</v>
      </c>
      <c r="E2752" s="35">
        <v>44618</v>
      </c>
      <c r="F2752" s="34">
        <v>7275.6</v>
      </c>
      <c r="G2752" s="36">
        <f>Tabla13[[#This Row],[Importe]]-Tabla13[[#This Row],[Pagado]]</f>
        <v>0</v>
      </c>
      <c r="H2752" s="38" t="s">
        <v>10</v>
      </c>
    </row>
    <row r="2753" spans="1:8" x14ac:dyDescent="0.25">
      <c r="A2753" s="31">
        <v>44617</v>
      </c>
      <c r="B2753" s="37" t="s">
        <v>6542</v>
      </c>
      <c r="C2753" s="38" t="s">
        <v>111</v>
      </c>
      <c r="D2753" s="34">
        <v>4009.1</v>
      </c>
      <c r="E2753" s="35">
        <v>44618</v>
      </c>
      <c r="F2753" s="34">
        <v>4009.1</v>
      </c>
      <c r="G2753" s="36">
        <f>Tabla13[[#This Row],[Importe]]-Tabla13[[#This Row],[Pagado]]</f>
        <v>0</v>
      </c>
      <c r="H2753" s="38" t="s">
        <v>10</v>
      </c>
    </row>
    <row r="2754" spans="1:8" x14ac:dyDescent="0.25">
      <c r="A2754" s="31">
        <v>44617</v>
      </c>
      <c r="B2754" s="37" t="s">
        <v>6543</v>
      </c>
      <c r="C2754" s="38" t="s">
        <v>95</v>
      </c>
      <c r="D2754" s="34">
        <v>11935</v>
      </c>
      <c r="E2754" s="35">
        <v>44617</v>
      </c>
      <c r="F2754" s="34">
        <v>11935</v>
      </c>
      <c r="G2754" s="36">
        <f>Tabla13[[#This Row],[Importe]]-Tabla13[[#This Row],[Pagado]]</f>
        <v>0</v>
      </c>
      <c r="H2754" s="38" t="s">
        <v>10</v>
      </c>
    </row>
    <row r="2755" spans="1:8" x14ac:dyDescent="0.25">
      <c r="A2755" s="31">
        <v>44617</v>
      </c>
      <c r="B2755" s="37" t="s">
        <v>6544</v>
      </c>
      <c r="C2755" s="38" t="s">
        <v>109</v>
      </c>
      <c r="D2755" s="34">
        <v>3426.3</v>
      </c>
      <c r="E2755" s="35">
        <v>44618</v>
      </c>
      <c r="F2755" s="34">
        <v>3426.3</v>
      </c>
      <c r="G2755" s="36">
        <f>Tabla13[[#This Row],[Importe]]-Tabla13[[#This Row],[Pagado]]</f>
        <v>0</v>
      </c>
      <c r="H2755" s="38" t="s">
        <v>10</v>
      </c>
    </row>
    <row r="2756" spans="1:8" x14ac:dyDescent="0.25">
      <c r="A2756" s="31">
        <v>44617</v>
      </c>
      <c r="B2756" s="37" t="s">
        <v>6545</v>
      </c>
      <c r="C2756" s="38" t="s">
        <v>83</v>
      </c>
      <c r="D2756" s="34">
        <v>5588.8</v>
      </c>
      <c r="E2756" s="35">
        <v>44617</v>
      </c>
      <c r="F2756" s="34">
        <v>5588.8</v>
      </c>
      <c r="G2756" s="36">
        <f>Tabla13[[#This Row],[Importe]]-Tabla13[[#This Row],[Pagado]]</f>
        <v>0</v>
      </c>
      <c r="H2756" s="38" t="s">
        <v>10</v>
      </c>
    </row>
    <row r="2757" spans="1:8" x14ac:dyDescent="0.25">
      <c r="A2757" s="31">
        <v>44617</v>
      </c>
      <c r="B2757" s="37" t="s">
        <v>6546</v>
      </c>
      <c r="C2757" s="38" t="s">
        <v>99</v>
      </c>
      <c r="D2757" s="34">
        <v>2590.8000000000002</v>
      </c>
      <c r="E2757" s="35">
        <v>44618</v>
      </c>
      <c r="F2757" s="34">
        <v>2590.8000000000002</v>
      </c>
      <c r="G2757" s="36">
        <f>Tabla13[[#This Row],[Importe]]-Tabla13[[#This Row],[Pagado]]</f>
        <v>0</v>
      </c>
      <c r="H2757" s="38" t="s">
        <v>10</v>
      </c>
    </row>
    <row r="2758" spans="1:8" x14ac:dyDescent="0.25">
      <c r="A2758" s="31">
        <v>44617</v>
      </c>
      <c r="B2758" s="37" t="s">
        <v>6547</v>
      </c>
      <c r="C2758" s="38" t="s">
        <v>64</v>
      </c>
      <c r="D2758" s="34">
        <v>4645.1000000000004</v>
      </c>
      <c r="E2758" s="35">
        <v>44618</v>
      </c>
      <c r="F2758" s="34">
        <v>4645.1000000000004</v>
      </c>
      <c r="G2758" s="36">
        <f>Tabla13[[#This Row],[Importe]]-Tabla13[[#This Row],[Pagado]]</f>
        <v>0</v>
      </c>
      <c r="H2758" s="38" t="s">
        <v>10</v>
      </c>
    </row>
    <row r="2759" spans="1:8" x14ac:dyDescent="0.25">
      <c r="A2759" s="31">
        <v>44617</v>
      </c>
      <c r="B2759" s="37" t="s">
        <v>6548</v>
      </c>
      <c r="C2759" s="38" t="s">
        <v>18</v>
      </c>
      <c r="D2759" s="34">
        <v>1392</v>
      </c>
      <c r="E2759" s="35">
        <v>44617</v>
      </c>
      <c r="F2759" s="34">
        <v>1392</v>
      </c>
      <c r="G2759" s="36">
        <f>Tabla13[[#This Row],[Importe]]-Tabla13[[#This Row],[Pagado]]</f>
        <v>0</v>
      </c>
      <c r="H2759" s="38" t="s">
        <v>10</v>
      </c>
    </row>
    <row r="2760" spans="1:8" x14ac:dyDescent="0.25">
      <c r="A2760" s="31">
        <v>44617</v>
      </c>
      <c r="B2760" s="37" t="s">
        <v>6549</v>
      </c>
      <c r="C2760" s="38" t="s">
        <v>75</v>
      </c>
      <c r="D2760" s="34">
        <v>5161.2</v>
      </c>
      <c r="E2760" s="35">
        <v>44617</v>
      </c>
      <c r="F2760" s="34">
        <v>5161.2</v>
      </c>
      <c r="G2760" s="36">
        <f>Tabla13[[#This Row],[Importe]]-Tabla13[[#This Row],[Pagado]]</f>
        <v>0</v>
      </c>
      <c r="H2760" s="38" t="s">
        <v>10</v>
      </c>
    </row>
    <row r="2761" spans="1:8" x14ac:dyDescent="0.25">
      <c r="A2761" s="31">
        <v>44617</v>
      </c>
      <c r="B2761" s="37" t="s">
        <v>6550</v>
      </c>
      <c r="C2761" s="38" t="s">
        <v>116</v>
      </c>
      <c r="D2761" s="34">
        <v>4155.2</v>
      </c>
      <c r="E2761" s="35">
        <v>44620</v>
      </c>
      <c r="F2761" s="34">
        <v>4155.2</v>
      </c>
      <c r="G2761" s="36">
        <f>Tabla13[[#This Row],[Importe]]-Tabla13[[#This Row],[Pagado]]</f>
        <v>0</v>
      </c>
      <c r="H2761" s="38" t="s">
        <v>10</v>
      </c>
    </row>
    <row r="2762" spans="1:8" x14ac:dyDescent="0.25">
      <c r="A2762" s="31">
        <v>44617</v>
      </c>
      <c r="B2762" s="37" t="s">
        <v>6551</v>
      </c>
      <c r="C2762" s="38" t="s">
        <v>149</v>
      </c>
      <c r="D2762" s="34">
        <v>3168</v>
      </c>
      <c r="E2762" s="35">
        <v>44617</v>
      </c>
      <c r="F2762" s="34">
        <v>3168</v>
      </c>
      <c r="G2762" s="36">
        <f>Tabla13[[#This Row],[Importe]]-Tabla13[[#This Row],[Pagado]]</f>
        <v>0</v>
      </c>
      <c r="H2762" s="38" t="s">
        <v>10</v>
      </c>
    </row>
    <row r="2763" spans="1:8" x14ac:dyDescent="0.25">
      <c r="A2763" s="31">
        <v>44617</v>
      </c>
      <c r="B2763" s="37" t="s">
        <v>6552</v>
      </c>
      <c r="C2763" s="38" t="s">
        <v>105</v>
      </c>
      <c r="D2763" s="34">
        <v>10899.7</v>
      </c>
      <c r="E2763" s="35">
        <v>44618</v>
      </c>
      <c r="F2763" s="34">
        <v>10899.7</v>
      </c>
      <c r="G2763" s="36">
        <f>Tabla13[[#This Row],[Importe]]-Tabla13[[#This Row],[Pagado]]</f>
        <v>0</v>
      </c>
      <c r="H2763" s="38" t="s">
        <v>10</v>
      </c>
    </row>
    <row r="2764" spans="1:8" x14ac:dyDescent="0.25">
      <c r="A2764" s="31">
        <v>44617</v>
      </c>
      <c r="B2764" s="37" t="s">
        <v>6553</v>
      </c>
      <c r="C2764" s="38" t="s">
        <v>326</v>
      </c>
      <c r="D2764" s="34">
        <v>4267.6000000000004</v>
      </c>
      <c r="E2764" s="35">
        <v>44618</v>
      </c>
      <c r="F2764" s="34">
        <v>4267.6000000000004</v>
      </c>
      <c r="G2764" s="36">
        <f>Tabla13[[#This Row],[Importe]]-Tabla13[[#This Row],[Pagado]]</f>
        <v>0</v>
      </c>
      <c r="H2764" s="38" t="s">
        <v>10</v>
      </c>
    </row>
    <row r="2765" spans="1:8" x14ac:dyDescent="0.25">
      <c r="A2765" s="31">
        <v>44617</v>
      </c>
      <c r="B2765" s="37" t="s">
        <v>6554</v>
      </c>
      <c r="C2765" s="38" t="s">
        <v>345</v>
      </c>
      <c r="D2765" s="34">
        <v>1127.4000000000001</v>
      </c>
      <c r="E2765" s="35">
        <v>44617</v>
      </c>
      <c r="F2765" s="34">
        <v>1127.4000000000001</v>
      </c>
      <c r="G2765" s="36">
        <f>Tabla13[[#This Row],[Importe]]-Tabla13[[#This Row],[Pagado]]</f>
        <v>0</v>
      </c>
      <c r="H2765" s="38" t="s">
        <v>10</v>
      </c>
    </row>
    <row r="2766" spans="1:8" x14ac:dyDescent="0.25">
      <c r="A2766" s="31">
        <v>44617</v>
      </c>
      <c r="B2766" s="37" t="s">
        <v>6555</v>
      </c>
      <c r="C2766" s="38" t="s">
        <v>31</v>
      </c>
      <c r="D2766" s="34">
        <v>4065.6</v>
      </c>
      <c r="E2766" s="35">
        <v>44617</v>
      </c>
      <c r="F2766" s="34">
        <v>4065.6</v>
      </c>
      <c r="G2766" s="36">
        <f>Tabla13[[#This Row],[Importe]]-Tabla13[[#This Row],[Pagado]]</f>
        <v>0</v>
      </c>
      <c r="H2766" s="38" t="s">
        <v>10</v>
      </c>
    </row>
    <row r="2767" spans="1:8" x14ac:dyDescent="0.25">
      <c r="A2767" s="31">
        <v>44617</v>
      </c>
      <c r="B2767" s="37" t="s">
        <v>6556</v>
      </c>
      <c r="C2767" s="38" t="s">
        <v>133</v>
      </c>
      <c r="D2767" s="34">
        <v>18436.5</v>
      </c>
      <c r="E2767" s="35">
        <v>44618</v>
      </c>
      <c r="F2767" s="34">
        <v>18436.5</v>
      </c>
      <c r="G2767" s="36">
        <f>Tabla13[[#This Row],[Importe]]-Tabla13[[#This Row],[Pagado]]</f>
        <v>0</v>
      </c>
      <c r="H2767" s="38" t="s">
        <v>10</v>
      </c>
    </row>
    <row r="2768" spans="1:8" x14ac:dyDescent="0.25">
      <c r="A2768" s="31">
        <v>44617</v>
      </c>
      <c r="B2768" s="37" t="s">
        <v>6557</v>
      </c>
      <c r="C2768" s="38" t="s">
        <v>314</v>
      </c>
      <c r="D2768" s="34">
        <v>3207.9</v>
      </c>
      <c r="E2768" s="35">
        <v>44617</v>
      </c>
      <c r="F2768" s="34">
        <v>3207.9</v>
      </c>
      <c r="G2768" s="36">
        <f>Tabla13[[#This Row],[Importe]]-Tabla13[[#This Row],[Pagado]]</f>
        <v>0</v>
      </c>
      <c r="H2768" s="38" t="s">
        <v>10</v>
      </c>
    </row>
    <row r="2769" spans="1:8" x14ac:dyDescent="0.25">
      <c r="A2769" s="31">
        <v>44617</v>
      </c>
      <c r="B2769" s="37" t="s">
        <v>6558</v>
      </c>
      <c r="C2769" s="38" t="s">
        <v>87</v>
      </c>
      <c r="D2769" s="34">
        <v>3593.2</v>
      </c>
      <c r="E2769" s="35">
        <v>44617</v>
      </c>
      <c r="F2769" s="34">
        <v>3593.2</v>
      </c>
      <c r="G2769" s="36">
        <f>Tabla13[[#This Row],[Importe]]-Tabla13[[#This Row],[Pagado]]</f>
        <v>0</v>
      </c>
      <c r="H2769" s="38" t="s">
        <v>10</v>
      </c>
    </row>
    <row r="2770" spans="1:8" x14ac:dyDescent="0.25">
      <c r="A2770" s="31">
        <v>44617</v>
      </c>
      <c r="B2770" s="37" t="s">
        <v>6559</v>
      </c>
      <c r="C2770" s="38" t="s">
        <v>275</v>
      </c>
      <c r="D2770" s="34">
        <v>108121.4</v>
      </c>
      <c r="E2770" s="35">
        <v>44624</v>
      </c>
      <c r="F2770" s="34">
        <v>108121.4</v>
      </c>
      <c r="G2770" s="36">
        <f>Tabla13[[#This Row],[Importe]]-Tabla13[[#This Row],[Pagado]]</f>
        <v>0</v>
      </c>
      <c r="H2770" s="38" t="s">
        <v>10</v>
      </c>
    </row>
    <row r="2771" spans="1:8" x14ac:dyDescent="0.25">
      <c r="A2771" s="31">
        <v>44617</v>
      </c>
      <c r="B2771" s="37" t="s">
        <v>6560</v>
      </c>
      <c r="C2771" s="38" t="s">
        <v>173</v>
      </c>
      <c r="D2771" s="34">
        <v>30513.8</v>
      </c>
      <c r="E2771" s="35">
        <v>44618</v>
      </c>
      <c r="F2771" s="34">
        <v>30513.8</v>
      </c>
      <c r="G2771" s="36">
        <f>Tabla13[[#This Row],[Importe]]-Tabla13[[#This Row],[Pagado]]</f>
        <v>0</v>
      </c>
      <c r="H2771" s="38" t="s">
        <v>10</v>
      </c>
    </row>
    <row r="2772" spans="1:8" x14ac:dyDescent="0.25">
      <c r="A2772" s="31">
        <v>44617</v>
      </c>
      <c r="B2772" s="37" t="s">
        <v>6561</v>
      </c>
      <c r="C2772" s="38" t="s">
        <v>348</v>
      </c>
      <c r="D2772" s="34">
        <v>1295</v>
      </c>
      <c r="E2772" s="35">
        <v>44617</v>
      </c>
      <c r="F2772" s="34">
        <v>1295</v>
      </c>
      <c r="G2772" s="36">
        <f>Tabla13[[#This Row],[Importe]]-Tabla13[[#This Row],[Pagado]]</f>
        <v>0</v>
      </c>
      <c r="H2772" s="38" t="s">
        <v>10</v>
      </c>
    </row>
    <row r="2773" spans="1:8" x14ac:dyDescent="0.25">
      <c r="A2773" s="31">
        <v>44617</v>
      </c>
      <c r="B2773" s="37" t="s">
        <v>6562</v>
      </c>
      <c r="C2773" s="38" t="s">
        <v>89</v>
      </c>
      <c r="D2773" s="34">
        <v>6167.9</v>
      </c>
      <c r="E2773" s="35">
        <v>44618</v>
      </c>
      <c r="F2773" s="34">
        <v>6167.9</v>
      </c>
      <c r="G2773" s="36">
        <f>Tabla13[[#This Row],[Importe]]-Tabla13[[#This Row],[Pagado]]</f>
        <v>0</v>
      </c>
      <c r="H2773" s="38" t="s">
        <v>10</v>
      </c>
    </row>
    <row r="2774" spans="1:8" x14ac:dyDescent="0.25">
      <c r="A2774" s="31">
        <v>44617</v>
      </c>
      <c r="B2774" s="37" t="s">
        <v>6563</v>
      </c>
      <c r="C2774" s="38" t="s">
        <v>878</v>
      </c>
      <c r="D2774" s="34">
        <v>3445</v>
      </c>
      <c r="E2774" s="35">
        <v>44617</v>
      </c>
      <c r="F2774" s="34">
        <v>3445</v>
      </c>
      <c r="G2774" s="36">
        <f>Tabla13[[#This Row],[Importe]]-Tabla13[[#This Row],[Pagado]]</f>
        <v>0</v>
      </c>
      <c r="H2774" s="38" t="s">
        <v>10</v>
      </c>
    </row>
    <row r="2775" spans="1:8" x14ac:dyDescent="0.25">
      <c r="A2775" s="31">
        <v>44617</v>
      </c>
      <c r="B2775" s="37" t="s">
        <v>6564</v>
      </c>
      <c r="C2775" s="38" t="s">
        <v>131</v>
      </c>
      <c r="D2775" s="34">
        <v>9170</v>
      </c>
      <c r="E2775" s="35">
        <v>44617</v>
      </c>
      <c r="F2775" s="34">
        <v>9170</v>
      </c>
      <c r="G2775" s="36">
        <f>Tabla13[[#This Row],[Importe]]-Tabla13[[#This Row],[Pagado]]</f>
        <v>0</v>
      </c>
      <c r="H2775" s="38" t="s">
        <v>10</v>
      </c>
    </row>
    <row r="2776" spans="1:8" x14ac:dyDescent="0.25">
      <c r="A2776" s="31">
        <v>44617</v>
      </c>
      <c r="B2776" s="37" t="s">
        <v>6565</v>
      </c>
      <c r="C2776" s="38" t="s">
        <v>9</v>
      </c>
      <c r="D2776" s="34">
        <v>6839.4</v>
      </c>
      <c r="E2776" s="35">
        <v>44617</v>
      </c>
      <c r="F2776" s="34">
        <v>6839.4</v>
      </c>
      <c r="G2776" s="36">
        <f>Tabla13[[#This Row],[Importe]]-Tabla13[[#This Row],[Pagado]]</f>
        <v>0</v>
      </c>
      <c r="H2776" s="38" t="s">
        <v>10</v>
      </c>
    </row>
    <row r="2777" spans="1:8" x14ac:dyDescent="0.25">
      <c r="A2777" s="31">
        <v>44617</v>
      </c>
      <c r="B2777" s="37" t="s">
        <v>6566</v>
      </c>
      <c r="C2777" s="38" t="s">
        <v>85</v>
      </c>
      <c r="D2777" s="34">
        <v>1231.5</v>
      </c>
      <c r="E2777" s="35">
        <v>44617</v>
      </c>
      <c r="F2777" s="34">
        <v>1231.5</v>
      </c>
      <c r="G2777" s="36">
        <f>Tabla13[[#This Row],[Importe]]-Tabla13[[#This Row],[Pagado]]</f>
        <v>0</v>
      </c>
      <c r="H2777" s="38" t="s">
        <v>10</v>
      </c>
    </row>
    <row r="2778" spans="1:8" x14ac:dyDescent="0.25">
      <c r="A2778" s="31">
        <v>44617</v>
      </c>
      <c r="B2778" s="37" t="s">
        <v>6567</v>
      </c>
      <c r="C2778" s="38" t="s">
        <v>22</v>
      </c>
      <c r="D2778" s="34">
        <v>30830.799999999999</v>
      </c>
      <c r="E2778" s="35">
        <v>44618</v>
      </c>
      <c r="F2778" s="34">
        <v>30830.799999999999</v>
      </c>
      <c r="G2778" s="36">
        <f>Tabla13[[#This Row],[Importe]]-Tabla13[[#This Row],[Pagado]]</f>
        <v>0</v>
      </c>
      <c r="H2778" s="38" t="s">
        <v>10</v>
      </c>
    </row>
    <row r="2779" spans="1:8" x14ac:dyDescent="0.25">
      <c r="A2779" s="31">
        <v>44617</v>
      </c>
      <c r="B2779" s="37" t="s">
        <v>6568</v>
      </c>
      <c r="C2779" s="38" t="s">
        <v>93</v>
      </c>
      <c r="D2779" s="34">
        <v>6189.1</v>
      </c>
      <c r="E2779" s="35">
        <v>44618</v>
      </c>
      <c r="F2779" s="34">
        <v>6189.1</v>
      </c>
      <c r="G2779" s="36">
        <f>Tabla13[[#This Row],[Importe]]-Tabla13[[#This Row],[Pagado]]</f>
        <v>0</v>
      </c>
      <c r="H2779" s="38" t="s">
        <v>10</v>
      </c>
    </row>
    <row r="2780" spans="1:8" x14ac:dyDescent="0.25">
      <c r="A2780" s="31">
        <v>44617</v>
      </c>
      <c r="B2780" s="37" t="s">
        <v>6569</v>
      </c>
      <c r="C2780" s="38" t="s">
        <v>703</v>
      </c>
      <c r="D2780" s="34">
        <v>6345</v>
      </c>
      <c r="E2780" s="35">
        <v>44617</v>
      </c>
      <c r="F2780" s="34">
        <v>6345</v>
      </c>
      <c r="G2780" s="36">
        <f>Tabla13[[#This Row],[Importe]]-Tabla13[[#This Row],[Pagado]]</f>
        <v>0</v>
      </c>
      <c r="H2780" s="38" t="s">
        <v>10</v>
      </c>
    </row>
    <row r="2781" spans="1:8" x14ac:dyDescent="0.25">
      <c r="A2781" s="31">
        <v>44617</v>
      </c>
      <c r="B2781" s="37" t="s">
        <v>6570</v>
      </c>
      <c r="C2781" s="38" t="s">
        <v>114</v>
      </c>
      <c r="D2781" s="34">
        <v>8769.2000000000007</v>
      </c>
      <c r="E2781" s="35">
        <v>44618</v>
      </c>
      <c r="F2781" s="34">
        <v>8769.2000000000007</v>
      </c>
      <c r="G2781" s="36">
        <f>Tabla13[[#This Row],[Importe]]-Tabla13[[#This Row],[Pagado]]</f>
        <v>0</v>
      </c>
      <c r="H2781" s="38" t="s">
        <v>10</v>
      </c>
    </row>
    <row r="2782" spans="1:8" x14ac:dyDescent="0.25">
      <c r="A2782" s="31">
        <v>44617</v>
      </c>
      <c r="B2782" s="37" t="s">
        <v>6571</v>
      </c>
      <c r="C2782" s="38" t="s">
        <v>144</v>
      </c>
      <c r="D2782" s="34">
        <v>2347.4</v>
      </c>
      <c r="E2782" s="35">
        <v>44617</v>
      </c>
      <c r="F2782" s="34">
        <v>2347.4</v>
      </c>
      <c r="G2782" s="36">
        <f>Tabla13[[#This Row],[Importe]]-Tabla13[[#This Row],[Pagado]]</f>
        <v>0</v>
      </c>
      <c r="H2782" s="38" t="s">
        <v>10</v>
      </c>
    </row>
    <row r="2783" spans="1:8" x14ac:dyDescent="0.25">
      <c r="A2783" s="31">
        <v>44617</v>
      </c>
      <c r="B2783" s="37" t="s">
        <v>6572</v>
      </c>
      <c r="C2783" s="38" t="s">
        <v>169</v>
      </c>
      <c r="D2783" s="34">
        <v>910.2</v>
      </c>
      <c r="E2783" s="35">
        <v>44617</v>
      </c>
      <c r="F2783" s="34">
        <v>910.2</v>
      </c>
      <c r="G2783" s="36">
        <f>Tabla13[[#This Row],[Importe]]-Tabla13[[#This Row],[Pagado]]</f>
        <v>0</v>
      </c>
      <c r="H2783" s="38" t="s">
        <v>10</v>
      </c>
    </row>
    <row r="2784" spans="1:8" x14ac:dyDescent="0.25">
      <c r="A2784" s="31">
        <v>44617</v>
      </c>
      <c r="B2784" s="37" t="s">
        <v>6573</v>
      </c>
      <c r="C2784" s="38" t="s">
        <v>125</v>
      </c>
      <c r="D2784" s="34">
        <v>1677.9</v>
      </c>
      <c r="E2784" s="35">
        <v>44617</v>
      </c>
      <c r="F2784" s="34">
        <v>1677.9</v>
      </c>
      <c r="G2784" s="36">
        <f>Tabla13[[#This Row],[Importe]]-Tabla13[[#This Row],[Pagado]]</f>
        <v>0</v>
      </c>
      <c r="H2784" s="38" t="s">
        <v>10</v>
      </c>
    </row>
    <row r="2785" spans="1:8" x14ac:dyDescent="0.25">
      <c r="A2785" s="31">
        <v>44617</v>
      </c>
      <c r="B2785" s="37" t="s">
        <v>6574</v>
      </c>
      <c r="C2785" s="38" t="s">
        <v>1558</v>
      </c>
      <c r="D2785" s="34">
        <v>666.4</v>
      </c>
      <c r="E2785" s="35">
        <v>44617</v>
      </c>
      <c r="F2785" s="34">
        <v>666.4</v>
      </c>
      <c r="G2785" s="36">
        <f>Tabla13[[#This Row],[Importe]]-Tabla13[[#This Row],[Pagado]]</f>
        <v>0</v>
      </c>
      <c r="H2785" s="38" t="s">
        <v>10</v>
      </c>
    </row>
    <row r="2786" spans="1:8" x14ac:dyDescent="0.25">
      <c r="A2786" s="31">
        <v>44617</v>
      </c>
      <c r="B2786" s="37" t="s">
        <v>6575</v>
      </c>
      <c r="C2786" s="38" t="s">
        <v>513</v>
      </c>
      <c r="D2786" s="34">
        <v>4869.2</v>
      </c>
      <c r="E2786" s="35">
        <v>44617</v>
      </c>
      <c r="F2786" s="34">
        <v>4869.2</v>
      </c>
      <c r="G2786" s="36">
        <f>Tabla13[[#This Row],[Importe]]-Tabla13[[#This Row],[Pagado]]</f>
        <v>0</v>
      </c>
      <c r="H2786" s="38" t="s">
        <v>10</v>
      </c>
    </row>
    <row r="2787" spans="1:8" ht="31.5" x14ac:dyDescent="0.25">
      <c r="A2787" s="31">
        <v>44617</v>
      </c>
      <c r="B2787" s="37" t="s">
        <v>6576</v>
      </c>
      <c r="C2787" s="38" t="s">
        <v>22</v>
      </c>
      <c r="D2787" s="34">
        <v>4456.1000000000004</v>
      </c>
      <c r="E2787" s="35" t="s">
        <v>6577</v>
      </c>
      <c r="F2787" s="34">
        <f>622.9+3833.2</f>
        <v>4456.0999999999995</v>
      </c>
      <c r="G2787" s="36">
        <f>Tabla13[[#This Row],[Importe]]-Tabla13[[#This Row],[Pagado]]</f>
        <v>0</v>
      </c>
      <c r="H2787" s="38" t="s">
        <v>10</v>
      </c>
    </row>
    <row r="2788" spans="1:8" ht="31.5" x14ac:dyDescent="0.25">
      <c r="A2788" s="31">
        <v>44617</v>
      </c>
      <c r="B2788" s="37" t="s">
        <v>6578</v>
      </c>
      <c r="C2788" s="38" t="s">
        <v>39</v>
      </c>
      <c r="D2788" s="34">
        <v>20546.400000000001</v>
      </c>
      <c r="E2788" s="35" t="s">
        <v>6974</v>
      </c>
      <c r="F2788" s="34">
        <f>8000+12546.4</f>
        <v>20546.400000000001</v>
      </c>
      <c r="G2788" s="36">
        <f>Tabla13[[#This Row],[Importe]]-Tabla13[[#This Row],[Pagado]]</f>
        <v>0</v>
      </c>
      <c r="H2788" s="38" t="s">
        <v>10</v>
      </c>
    </row>
    <row r="2789" spans="1:8" x14ac:dyDescent="0.25">
      <c r="A2789" s="31">
        <v>44617</v>
      </c>
      <c r="B2789" s="37" t="s">
        <v>6579</v>
      </c>
      <c r="C2789" s="38" t="s">
        <v>196</v>
      </c>
      <c r="D2789" s="34">
        <v>97272.02</v>
      </c>
      <c r="E2789" s="35">
        <v>44617</v>
      </c>
      <c r="F2789" s="34">
        <v>97272.02</v>
      </c>
      <c r="G2789" s="36">
        <f>Tabla13[[#This Row],[Importe]]-Tabla13[[#This Row],[Pagado]]</f>
        <v>0</v>
      </c>
      <c r="H2789" s="38" t="s">
        <v>10</v>
      </c>
    </row>
    <row r="2790" spans="1:8" x14ac:dyDescent="0.25">
      <c r="A2790" s="31">
        <v>44617</v>
      </c>
      <c r="B2790" s="37" t="s">
        <v>6580</v>
      </c>
      <c r="C2790" s="38" t="s">
        <v>31</v>
      </c>
      <c r="D2790" s="34">
        <v>1206.4000000000001</v>
      </c>
      <c r="E2790" s="35">
        <v>44617</v>
      </c>
      <c r="F2790" s="34">
        <v>1206.4000000000001</v>
      </c>
      <c r="G2790" s="36">
        <f>Tabla13[[#This Row],[Importe]]-Tabla13[[#This Row],[Pagado]]</f>
        <v>0</v>
      </c>
      <c r="H2790" s="38" t="s">
        <v>10</v>
      </c>
    </row>
    <row r="2791" spans="1:8" x14ac:dyDescent="0.25">
      <c r="A2791" s="31">
        <v>44617</v>
      </c>
      <c r="B2791" s="37" t="s">
        <v>6581</v>
      </c>
      <c r="C2791" s="38" t="s">
        <v>230</v>
      </c>
      <c r="D2791" s="34">
        <v>1197</v>
      </c>
      <c r="E2791" s="35">
        <v>44617</v>
      </c>
      <c r="F2791" s="34">
        <v>1197</v>
      </c>
      <c r="G2791" s="36">
        <f>Tabla13[[#This Row],[Importe]]-Tabla13[[#This Row],[Pagado]]</f>
        <v>0</v>
      </c>
      <c r="H2791" s="38" t="s">
        <v>10</v>
      </c>
    </row>
    <row r="2792" spans="1:8" x14ac:dyDescent="0.25">
      <c r="A2792" s="31">
        <v>44617</v>
      </c>
      <c r="B2792" s="37" t="s">
        <v>6582</v>
      </c>
      <c r="C2792" s="38" t="s">
        <v>146</v>
      </c>
      <c r="D2792" s="34">
        <v>12333.1</v>
      </c>
      <c r="E2792" s="35">
        <v>44617</v>
      </c>
      <c r="F2792" s="34">
        <v>12333.1</v>
      </c>
      <c r="G2792" s="36">
        <f>Tabla13[[#This Row],[Importe]]-Tabla13[[#This Row],[Pagado]]</f>
        <v>0</v>
      </c>
      <c r="H2792" s="38" t="s">
        <v>10</v>
      </c>
    </row>
    <row r="2793" spans="1:8" x14ac:dyDescent="0.25">
      <c r="A2793" s="31">
        <v>44617</v>
      </c>
      <c r="B2793" s="37" t="s">
        <v>6583</v>
      </c>
      <c r="C2793" s="38" t="s">
        <v>212</v>
      </c>
      <c r="D2793" s="34">
        <v>57294.400000000001</v>
      </c>
      <c r="E2793" s="35">
        <v>44623</v>
      </c>
      <c r="F2793" s="34">
        <v>57294.400000000001</v>
      </c>
      <c r="G2793" s="36">
        <f>Tabla13[[#This Row],[Importe]]-Tabla13[[#This Row],[Pagado]]</f>
        <v>0</v>
      </c>
      <c r="H2793" s="38" t="s">
        <v>10</v>
      </c>
    </row>
    <row r="2794" spans="1:8" x14ac:dyDescent="0.25">
      <c r="A2794" s="31">
        <v>44617</v>
      </c>
      <c r="B2794" s="37" t="s">
        <v>6584</v>
      </c>
      <c r="C2794" s="38" t="s">
        <v>6585</v>
      </c>
      <c r="D2794" s="34">
        <v>10010</v>
      </c>
      <c r="E2794" s="35">
        <v>44618</v>
      </c>
      <c r="F2794" s="34">
        <v>10010</v>
      </c>
      <c r="G2794" s="36">
        <f>Tabla13[[#This Row],[Importe]]-Tabla13[[#This Row],[Pagado]]</f>
        <v>0</v>
      </c>
      <c r="H2794" s="38" t="s">
        <v>10</v>
      </c>
    </row>
    <row r="2795" spans="1:8" x14ac:dyDescent="0.25">
      <c r="A2795" s="31">
        <v>44617</v>
      </c>
      <c r="B2795" s="37" t="s">
        <v>6586</v>
      </c>
      <c r="C2795" s="38" t="s">
        <v>35</v>
      </c>
      <c r="D2795" s="34">
        <v>3194</v>
      </c>
      <c r="E2795" s="35">
        <v>44617</v>
      </c>
      <c r="F2795" s="34">
        <v>3194</v>
      </c>
      <c r="G2795" s="36">
        <f>Tabla13[[#This Row],[Importe]]-Tabla13[[#This Row],[Pagado]]</f>
        <v>0</v>
      </c>
      <c r="H2795" s="38" t="s">
        <v>10</v>
      </c>
    </row>
    <row r="2796" spans="1:8" x14ac:dyDescent="0.25">
      <c r="A2796" s="31">
        <v>44617</v>
      </c>
      <c r="B2796" s="37" t="s">
        <v>6587</v>
      </c>
      <c r="C2796" s="38" t="s">
        <v>206</v>
      </c>
      <c r="D2796" s="34">
        <v>33200.28</v>
      </c>
      <c r="E2796" s="35">
        <v>44623</v>
      </c>
      <c r="F2796" s="34">
        <v>33200.28</v>
      </c>
      <c r="G2796" s="36">
        <f>Tabla13[[#This Row],[Importe]]-Tabla13[[#This Row],[Pagado]]</f>
        <v>0</v>
      </c>
      <c r="H2796" s="38" t="s">
        <v>10</v>
      </c>
    </row>
    <row r="2797" spans="1:8" x14ac:dyDescent="0.25">
      <c r="A2797" s="31">
        <v>44617</v>
      </c>
      <c r="B2797" s="37" t="s">
        <v>6588</v>
      </c>
      <c r="C2797" s="38" t="s">
        <v>37</v>
      </c>
      <c r="D2797" s="34">
        <v>2841.4</v>
      </c>
      <c r="E2797" s="35">
        <v>44617</v>
      </c>
      <c r="F2797" s="34">
        <v>2841.4</v>
      </c>
      <c r="G2797" s="36">
        <f>Tabla13[[#This Row],[Importe]]-Tabla13[[#This Row],[Pagado]]</f>
        <v>0</v>
      </c>
      <c r="H2797" s="38" t="s">
        <v>10</v>
      </c>
    </row>
    <row r="2798" spans="1:8" x14ac:dyDescent="0.25">
      <c r="A2798" s="31">
        <v>44617</v>
      </c>
      <c r="B2798" s="37" t="s">
        <v>6589</v>
      </c>
      <c r="C2798" s="38" t="s">
        <v>33</v>
      </c>
      <c r="D2798" s="34">
        <v>7406.8</v>
      </c>
      <c r="E2798" s="35">
        <v>44617</v>
      </c>
      <c r="F2798" s="34">
        <v>7406.8</v>
      </c>
      <c r="G2798" s="36">
        <f>Tabla13[[#This Row],[Importe]]-Tabla13[[#This Row],[Pagado]]</f>
        <v>0</v>
      </c>
      <c r="H2798" s="38" t="s">
        <v>10</v>
      </c>
    </row>
    <row r="2799" spans="1:8" x14ac:dyDescent="0.25">
      <c r="A2799" s="31">
        <v>44617</v>
      </c>
      <c r="B2799" s="37" t="s">
        <v>6590</v>
      </c>
      <c r="C2799" s="38" t="s">
        <v>647</v>
      </c>
      <c r="D2799" s="34">
        <v>1527.6</v>
      </c>
      <c r="E2799" s="35">
        <v>44617</v>
      </c>
      <c r="F2799" s="34">
        <v>1527.6</v>
      </c>
      <c r="G2799" s="36">
        <f>Tabla13[[#This Row],[Importe]]-Tabla13[[#This Row],[Pagado]]</f>
        <v>0</v>
      </c>
      <c r="H2799" s="38" t="s">
        <v>10</v>
      </c>
    </row>
    <row r="2800" spans="1:8" x14ac:dyDescent="0.25">
      <c r="A2800" s="31">
        <v>44617</v>
      </c>
      <c r="B2800" s="37" t="s">
        <v>6591</v>
      </c>
      <c r="C2800" s="38" t="s">
        <v>289</v>
      </c>
      <c r="D2800" s="34">
        <v>9607.1</v>
      </c>
      <c r="E2800" s="35">
        <v>44617</v>
      </c>
      <c r="F2800" s="34">
        <v>9607.1</v>
      </c>
      <c r="G2800" s="36">
        <f>Tabla13[[#This Row],[Importe]]-Tabla13[[#This Row],[Pagado]]</f>
        <v>0</v>
      </c>
      <c r="H2800" s="38" t="s">
        <v>10</v>
      </c>
    </row>
    <row r="2801" spans="1:8" x14ac:dyDescent="0.25">
      <c r="A2801" s="31">
        <v>44617</v>
      </c>
      <c r="B2801" s="37" t="s">
        <v>6592</v>
      </c>
      <c r="C2801" s="38" t="s">
        <v>29</v>
      </c>
      <c r="D2801" s="34">
        <v>4870.5</v>
      </c>
      <c r="E2801" s="35">
        <v>44617</v>
      </c>
      <c r="F2801" s="34">
        <v>4870.5</v>
      </c>
      <c r="G2801" s="36">
        <f>Tabla13[[#This Row],[Importe]]-Tabla13[[#This Row],[Pagado]]</f>
        <v>0</v>
      </c>
      <c r="H2801" s="38" t="s">
        <v>10</v>
      </c>
    </row>
    <row r="2802" spans="1:8" x14ac:dyDescent="0.25">
      <c r="A2802" s="31">
        <v>44617</v>
      </c>
      <c r="B2802" s="37" t="s">
        <v>6593</v>
      </c>
      <c r="C2802" s="38" t="s">
        <v>49</v>
      </c>
      <c r="D2802" s="34">
        <v>3927.6</v>
      </c>
      <c r="E2802" s="35">
        <v>44617</v>
      </c>
      <c r="F2802" s="34">
        <v>3927.6</v>
      </c>
      <c r="G2802" s="36">
        <f>Tabla13[[#This Row],[Importe]]-Tabla13[[#This Row],[Pagado]]</f>
        <v>0</v>
      </c>
      <c r="H2802" s="38" t="s">
        <v>10</v>
      </c>
    </row>
    <row r="2803" spans="1:8" x14ac:dyDescent="0.25">
      <c r="A2803" s="31">
        <v>44617</v>
      </c>
      <c r="B2803" s="37" t="s">
        <v>6594</v>
      </c>
      <c r="C2803" s="38" t="s">
        <v>6595</v>
      </c>
      <c r="D2803" s="34">
        <v>0</v>
      </c>
      <c r="E2803" s="39" t="s">
        <v>189</v>
      </c>
      <c r="F2803" s="34">
        <v>0</v>
      </c>
      <c r="G2803" s="36">
        <f>Tabla13[[#This Row],[Importe]]-Tabla13[[#This Row],[Pagado]]</f>
        <v>0</v>
      </c>
      <c r="H2803" s="38" t="s">
        <v>189</v>
      </c>
    </row>
    <row r="2804" spans="1:8" x14ac:dyDescent="0.25">
      <c r="A2804" s="31">
        <v>44617</v>
      </c>
      <c r="B2804" s="37" t="s">
        <v>6596</v>
      </c>
      <c r="C2804" s="38" t="s">
        <v>127</v>
      </c>
      <c r="D2804" s="34">
        <v>3434.4</v>
      </c>
      <c r="E2804" s="35">
        <v>44617</v>
      </c>
      <c r="F2804" s="34">
        <v>3434.4</v>
      </c>
      <c r="G2804" s="36">
        <f>Tabla13[[#This Row],[Importe]]-Tabla13[[#This Row],[Pagado]]</f>
        <v>0</v>
      </c>
      <c r="H2804" s="38" t="s">
        <v>10</v>
      </c>
    </row>
    <row r="2805" spans="1:8" x14ac:dyDescent="0.25">
      <c r="A2805" s="31">
        <v>44617</v>
      </c>
      <c r="B2805" s="37" t="s">
        <v>6597</v>
      </c>
      <c r="C2805" s="38" t="s">
        <v>129</v>
      </c>
      <c r="D2805" s="34">
        <v>774.8</v>
      </c>
      <c r="E2805" s="35">
        <v>44617</v>
      </c>
      <c r="F2805" s="34">
        <v>774.8</v>
      </c>
      <c r="G2805" s="36">
        <f>Tabla13[[#This Row],[Importe]]-Tabla13[[#This Row],[Pagado]]</f>
        <v>0</v>
      </c>
      <c r="H2805" s="38" t="s">
        <v>10</v>
      </c>
    </row>
    <row r="2806" spans="1:8" x14ac:dyDescent="0.25">
      <c r="A2806" s="31">
        <v>44617</v>
      </c>
      <c r="B2806" s="37" t="s">
        <v>6598</v>
      </c>
      <c r="C2806" s="38" t="s">
        <v>140</v>
      </c>
      <c r="D2806" s="34">
        <v>780</v>
      </c>
      <c r="E2806" s="35">
        <v>44617</v>
      </c>
      <c r="F2806" s="34">
        <v>780</v>
      </c>
      <c r="G2806" s="36">
        <f>Tabla13[[#This Row],[Importe]]-Tabla13[[#This Row],[Pagado]]</f>
        <v>0</v>
      </c>
      <c r="H2806" s="38" t="s">
        <v>10</v>
      </c>
    </row>
    <row r="2807" spans="1:8" x14ac:dyDescent="0.25">
      <c r="A2807" s="31">
        <v>44617</v>
      </c>
      <c r="B2807" s="37" t="s">
        <v>6599</v>
      </c>
      <c r="C2807" s="38" t="s">
        <v>373</v>
      </c>
      <c r="D2807" s="34">
        <v>1433.7</v>
      </c>
      <c r="E2807" s="35">
        <v>44617</v>
      </c>
      <c r="F2807" s="34">
        <v>1433.7</v>
      </c>
      <c r="G2807" s="36">
        <f>Tabla13[[#This Row],[Importe]]-Tabla13[[#This Row],[Pagado]]</f>
        <v>0</v>
      </c>
      <c r="H2807" s="38" t="s">
        <v>10</v>
      </c>
    </row>
    <row r="2808" spans="1:8" x14ac:dyDescent="0.25">
      <c r="A2808" s="31">
        <v>44617</v>
      </c>
      <c r="B2808" s="37" t="s">
        <v>6600</v>
      </c>
      <c r="C2808" s="38" t="s">
        <v>298</v>
      </c>
      <c r="D2808" s="34">
        <v>598.4</v>
      </c>
      <c r="E2808" s="35">
        <v>44617</v>
      </c>
      <c r="F2808" s="34">
        <v>598.4</v>
      </c>
      <c r="G2808" s="36">
        <f>Tabla13[[#This Row],[Importe]]-Tabla13[[#This Row],[Pagado]]</f>
        <v>0</v>
      </c>
      <c r="H2808" s="38" t="s">
        <v>10</v>
      </c>
    </row>
    <row r="2809" spans="1:8" x14ac:dyDescent="0.25">
      <c r="A2809" s="31">
        <v>44617</v>
      </c>
      <c r="B2809" s="37" t="s">
        <v>6601</v>
      </c>
      <c r="C2809" s="38" t="s">
        <v>969</v>
      </c>
      <c r="D2809" s="34">
        <v>5784.34</v>
      </c>
      <c r="E2809" s="35">
        <v>44617</v>
      </c>
      <c r="F2809" s="34">
        <v>5784.34</v>
      </c>
      <c r="G2809" s="36">
        <f>Tabla13[[#This Row],[Importe]]-Tabla13[[#This Row],[Pagado]]</f>
        <v>0</v>
      </c>
      <c r="H2809" s="38" t="s">
        <v>10</v>
      </c>
    </row>
    <row r="2810" spans="1:8" x14ac:dyDescent="0.25">
      <c r="A2810" s="31">
        <v>44617</v>
      </c>
      <c r="B2810" s="37" t="s">
        <v>6602</v>
      </c>
      <c r="C2810" s="38" t="s">
        <v>33</v>
      </c>
      <c r="D2810" s="34">
        <v>11143.5</v>
      </c>
      <c r="E2810" s="35">
        <v>44617</v>
      </c>
      <c r="F2810" s="34">
        <v>11143.5</v>
      </c>
      <c r="G2810" s="36">
        <f>Tabla13[[#This Row],[Importe]]-Tabla13[[#This Row],[Pagado]]</f>
        <v>0</v>
      </c>
      <c r="H2810" s="38" t="s">
        <v>10</v>
      </c>
    </row>
    <row r="2811" spans="1:8" x14ac:dyDescent="0.25">
      <c r="A2811" s="31">
        <v>44617</v>
      </c>
      <c r="B2811" s="37" t="s">
        <v>6603</v>
      </c>
      <c r="C2811" s="38" t="s">
        <v>24</v>
      </c>
      <c r="D2811" s="34">
        <v>4104</v>
      </c>
      <c r="E2811" s="35">
        <v>44617</v>
      </c>
      <c r="F2811" s="34">
        <v>4104</v>
      </c>
      <c r="G2811" s="36">
        <f>Tabla13[[#This Row],[Importe]]-Tabla13[[#This Row],[Pagado]]</f>
        <v>0</v>
      </c>
      <c r="H2811" s="38" t="s">
        <v>10</v>
      </c>
    </row>
    <row r="2812" spans="1:8" x14ac:dyDescent="0.25">
      <c r="A2812" s="31">
        <v>44617</v>
      </c>
      <c r="B2812" s="37" t="s">
        <v>6604</v>
      </c>
      <c r="C2812" s="38" t="s">
        <v>31</v>
      </c>
      <c r="D2812" s="34">
        <v>145.6</v>
      </c>
      <c r="E2812" s="35">
        <v>44617</v>
      </c>
      <c r="F2812" s="34">
        <v>145.6</v>
      </c>
      <c r="G2812" s="36">
        <f>Tabla13[[#This Row],[Importe]]-Tabla13[[#This Row],[Pagado]]</f>
        <v>0</v>
      </c>
      <c r="H2812" s="38" t="s">
        <v>10</v>
      </c>
    </row>
    <row r="2813" spans="1:8" x14ac:dyDescent="0.25">
      <c r="A2813" s="31">
        <v>44617</v>
      </c>
      <c r="B2813" s="37" t="s">
        <v>6605</v>
      </c>
      <c r="C2813" s="38" t="s">
        <v>224</v>
      </c>
      <c r="D2813" s="34">
        <v>1233.5999999999999</v>
      </c>
      <c r="E2813" s="35">
        <v>44617</v>
      </c>
      <c r="F2813" s="34">
        <v>1233.5999999999999</v>
      </c>
      <c r="G2813" s="36">
        <f>Tabla13[[#This Row],[Importe]]-Tabla13[[#This Row],[Pagado]]</f>
        <v>0</v>
      </c>
      <c r="H2813" s="38" t="s">
        <v>10</v>
      </c>
    </row>
    <row r="2814" spans="1:8" x14ac:dyDescent="0.25">
      <c r="A2814" s="31">
        <v>44617</v>
      </c>
      <c r="B2814" s="37" t="s">
        <v>6606</v>
      </c>
      <c r="C2814" s="38" t="s">
        <v>224</v>
      </c>
      <c r="D2814" s="34">
        <v>1670.1</v>
      </c>
      <c r="E2814" s="35">
        <v>44617</v>
      </c>
      <c r="F2814" s="34">
        <v>1670.1</v>
      </c>
      <c r="G2814" s="36">
        <f>Tabla13[[#This Row],[Importe]]-Tabla13[[#This Row],[Pagado]]</f>
        <v>0</v>
      </c>
      <c r="H2814" s="38" t="s">
        <v>10</v>
      </c>
    </row>
    <row r="2815" spans="1:8" x14ac:dyDescent="0.25">
      <c r="A2815" s="31">
        <v>44617</v>
      </c>
      <c r="B2815" s="37" t="s">
        <v>6607</v>
      </c>
      <c r="C2815" s="38" t="s">
        <v>191</v>
      </c>
      <c r="D2815" s="34">
        <v>2835</v>
      </c>
      <c r="E2815" s="35">
        <v>44617</v>
      </c>
      <c r="F2815" s="34">
        <v>2835</v>
      </c>
      <c r="G2815" s="36">
        <f>Tabla13[[#This Row],[Importe]]-Tabla13[[#This Row],[Pagado]]</f>
        <v>0</v>
      </c>
      <c r="H2815" s="38" t="s">
        <v>10</v>
      </c>
    </row>
    <row r="2816" spans="1:8" x14ac:dyDescent="0.25">
      <c r="A2816" s="31">
        <v>44617</v>
      </c>
      <c r="B2816" s="37" t="s">
        <v>6608</v>
      </c>
      <c r="C2816" s="38" t="s">
        <v>216</v>
      </c>
      <c r="D2816" s="34">
        <v>1463.7</v>
      </c>
      <c r="E2816" s="35">
        <v>44617</v>
      </c>
      <c r="F2816" s="34">
        <v>1463.7</v>
      </c>
      <c r="G2816" s="36">
        <f>Tabla13[[#This Row],[Importe]]-Tabla13[[#This Row],[Pagado]]</f>
        <v>0</v>
      </c>
      <c r="H2816" s="38" t="s">
        <v>10</v>
      </c>
    </row>
    <row r="2817" spans="1:8" x14ac:dyDescent="0.25">
      <c r="A2817" s="31">
        <v>44617</v>
      </c>
      <c r="B2817" s="37" t="s">
        <v>6609</v>
      </c>
      <c r="C2817" s="38" t="s">
        <v>31</v>
      </c>
      <c r="D2817" s="34">
        <v>6537.8</v>
      </c>
      <c r="E2817" s="35">
        <v>44617</v>
      </c>
      <c r="F2817" s="34">
        <v>6537.8</v>
      </c>
      <c r="G2817" s="36">
        <f>Tabla13[[#This Row],[Importe]]-Tabla13[[#This Row],[Pagado]]</f>
        <v>0</v>
      </c>
      <c r="H2817" s="38" t="s">
        <v>10</v>
      </c>
    </row>
    <row r="2818" spans="1:8" x14ac:dyDescent="0.25">
      <c r="A2818" s="31">
        <v>44617</v>
      </c>
      <c r="B2818" s="37" t="s">
        <v>6610</v>
      </c>
      <c r="C2818" s="38" t="s">
        <v>24</v>
      </c>
      <c r="D2818" s="34">
        <v>3640.7</v>
      </c>
      <c r="E2818" s="35">
        <v>44617</v>
      </c>
      <c r="F2818" s="34">
        <v>3640.7</v>
      </c>
      <c r="G2818" s="36">
        <f>Tabla13[[#This Row],[Importe]]-Tabla13[[#This Row],[Pagado]]</f>
        <v>0</v>
      </c>
      <c r="H2818" s="38" t="s">
        <v>10</v>
      </c>
    </row>
    <row r="2819" spans="1:8" x14ac:dyDescent="0.25">
      <c r="A2819" s="31">
        <v>44617</v>
      </c>
      <c r="B2819" s="37" t="s">
        <v>6611</v>
      </c>
      <c r="C2819" s="38" t="s">
        <v>452</v>
      </c>
      <c r="D2819" s="34">
        <v>5678.4</v>
      </c>
      <c r="E2819" s="35">
        <v>44617</v>
      </c>
      <c r="F2819" s="34">
        <v>5678.4</v>
      </c>
      <c r="G2819" s="36">
        <f>Tabla13[[#This Row],[Importe]]-Tabla13[[#This Row],[Pagado]]</f>
        <v>0</v>
      </c>
      <c r="H2819" s="38" t="s">
        <v>10</v>
      </c>
    </row>
    <row r="2820" spans="1:8" x14ac:dyDescent="0.25">
      <c r="A2820" s="31">
        <v>44617</v>
      </c>
      <c r="B2820" s="37" t="s">
        <v>6612</v>
      </c>
      <c r="C2820" s="38" t="s">
        <v>27</v>
      </c>
      <c r="D2820" s="34">
        <v>3278</v>
      </c>
      <c r="E2820" s="35">
        <v>44617</v>
      </c>
      <c r="F2820" s="34">
        <v>3278</v>
      </c>
      <c r="G2820" s="36">
        <f>Tabla13[[#This Row],[Importe]]-Tabla13[[#This Row],[Pagado]]</f>
        <v>0</v>
      </c>
      <c r="H2820" s="38" t="s">
        <v>10</v>
      </c>
    </row>
    <row r="2821" spans="1:8" x14ac:dyDescent="0.25">
      <c r="A2821" s="31">
        <v>44617</v>
      </c>
      <c r="B2821" s="37" t="s">
        <v>6613</v>
      </c>
      <c r="C2821" s="38" t="s">
        <v>840</v>
      </c>
      <c r="D2821" s="34">
        <v>5002.3999999999996</v>
      </c>
      <c r="E2821" s="35">
        <v>44617</v>
      </c>
      <c r="F2821" s="34">
        <v>5002.3999999999996</v>
      </c>
      <c r="G2821" s="36">
        <f>Tabla13[[#This Row],[Importe]]-Tabla13[[#This Row],[Pagado]]</f>
        <v>0</v>
      </c>
      <c r="H2821" s="38" t="s">
        <v>10</v>
      </c>
    </row>
    <row r="2822" spans="1:8" x14ac:dyDescent="0.25">
      <c r="A2822" s="31">
        <v>44617</v>
      </c>
      <c r="B2822" s="37" t="s">
        <v>6614</v>
      </c>
      <c r="C2822" s="38" t="s">
        <v>45</v>
      </c>
      <c r="D2822" s="34">
        <v>12015.5</v>
      </c>
      <c r="E2822" s="35">
        <v>44617</v>
      </c>
      <c r="F2822" s="34">
        <v>12015.5</v>
      </c>
      <c r="G2822" s="36">
        <f>Tabla13[[#This Row],[Importe]]-Tabla13[[#This Row],[Pagado]]</f>
        <v>0</v>
      </c>
      <c r="H2822" s="38" t="s">
        <v>10</v>
      </c>
    </row>
    <row r="2823" spans="1:8" x14ac:dyDescent="0.25">
      <c r="A2823" s="31">
        <v>44617</v>
      </c>
      <c r="B2823" s="37" t="s">
        <v>6615</v>
      </c>
      <c r="C2823" s="38" t="s">
        <v>67</v>
      </c>
      <c r="D2823" s="34">
        <v>2619.8000000000002</v>
      </c>
      <c r="E2823" s="35">
        <v>44617</v>
      </c>
      <c r="F2823" s="34">
        <v>2619.8000000000002</v>
      </c>
      <c r="G2823" s="36">
        <f>Tabla13[[#This Row],[Importe]]-Tabla13[[#This Row],[Pagado]]</f>
        <v>0</v>
      </c>
      <c r="H2823" s="38" t="s">
        <v>10</v>
      </c>
    </row>
    <row r="2824" spans="1:8" x14ac:dyDescent="0.25">
      <c r="A2824" s="31">
        <v>44617</v>
      </c>
      <c r="B2824" s="37" t="s">
        <v>6616</v>
      </c>
      <c r="C2824" s="38" t="s">
        <v>273</v>
      </c>
      <c r="D2824" s="34">
        <v>34748.639999999999</v>
      </c>
      <c r="E2824" s="35">
        <v>44617</v>
      </c>
      <c r="F2824" s="34">
        <v>34748.639999999999</v>
      </c>
      <c r="G2824" s="36">
        <f>Tabla13[[#This Row],[Importe]]-Tabla13[[#This Row],[Pagado]]</f>
        <v>0</v>
      </c>
      <c r="H2824" s="38" t="s">
        <v>10</v>
      </c>
    </row>
    <row r="2825" spans="1:8" x14ac:dyDescent="0.25">
      <c r="A2825" s="31">
        <v>44617</v>
      </c>
      <c r="B2825" s="37" t="s">
        <v>6617</v>
      </c>
      <c r="C2825" s="38" t="s">
        <v>2114</v>
      </c>
      <c r="D2825" s="34">
        <v>1400</v>
      </c>
      <c r="E2825" s="35">
        <v>44617</v>
      </c>
      <c r="F2825" s="34">
        <v>1400</v>
      </c>
      <c r="G2825" s="36">
        <f>Tabla13[[#This Row],[Importe]]-Tabla13[[#This Row],[Pagado]]</f>
        <v>0</v>
      </c>
      <c r="H2825" s="38" t="s">
        <v>10</v>
      </c>
    </row>
    <row r="2826" spans="1:8" x14ac:dyDescent="0.25">
      <c r="A2826" s="31">
        <v>44617</v>
      </c>
      <c r="B2826" s="37" t="s">
        <v>6618</v>
      </c>
      <c r="C2826" s="38" t="s">
        <v>142</v>
      </c>
      <c r="D2826" s="34">
        <v>145889.51999999999</v>
      </c>
      <c r="E2826" s="35">
        <v>44643</v>
      </c>
      <c r="F2826" s="34">
        <v>145889.51999999999</v>
      </c>
      <c r="G2826" s="36">
        <f>Tabla13[[#This Row],[Importe]]-Tabla13[[#This Row],[Pagado]]</f>
        <v>0</v>
      </c>
      <c r="H2826" s="38" t="s">
        <v>10</v>
      </c>
    </row>
    <row r="2827" spans="1:8" x14ac:dyDescent="0.25">
      <c r="A2827" s="31">
        <v>44617</v>
      </c>
      <c r="B2827" s="37" t="s">
        <v>6619</v>
      </c>
      <c r="C2827" s="38" t="s">
        <v>120</v>
      </c>
      <c r="D2827" s="34">
        <v>41349.919999999998</v>
      </c>
      <c r="E2827" s="35">
        <v>44617</v>
      </c>
      <c r="F2827" s="34">
        <v>41349.919999999998</v>
      </c>
      <c r="G2827" s="36">
        <f>Tabla13[[#This Row],[Importe]]-Tabla13[[#This Row],[Pagado]]</f>
        <v>0</v>
      </c>
      <c r="H2827" s="38" t="s">
        <v>10</v>
      </c>
    </row>
    <row r="2828" spans="1:8" x14ac:dyDescent="0.25">
      <c r="A2828" s="31">
        <v>44617</v>
      </c>
      <c r="B2828" s="37" t="s">
        <v>6620</v>
      </c>
      <c r="C2828" s="38" t="s">
        <v>312</v>
      </c>
      <c r="D2828" s="34">
        <v>3760.2</v>
      </c>
      <c r="E2828" s="35">
        <v>44617</v>
      </c>
      <c r="F2828" s="34">
        <v>3760.2</v>
      </c>
      <c r="G2828" s="36">
        <f>Tabla13[[#This Row],[Importe]]-Tabla13[[#This Row],[Pagado]]</f>
        <v>0</v>
      </c>
      <c r="H2828" s="38" t="s">
        <v>10</v>
      </c>
    </row>
    <row r="2829" spans="1:8" x14ac:dyDescent="0.25">
      <c r="A2829" s="31">
        <v>44617</v>
      </c>
      <c r="B2829" s="37" t="s">
        <v>6621</v>
      </c>
      <c r="C2829" s="38" t="s">
        <v>198</v>
      </c>
      <c r="D2829" s="34">
        <v>369.6</v>
      </c>
      <c r="E2829" s="35">
        <v>44617</v>
      </c>
      <c r="F2829" s="34">
        <v>369.6</v>
      </c>
      <c r="G2829" s="36">
        <f>Tabla13[[#This Row],[Importe]]-Tabla13[[#This Row],[Pagado]]</f>
        <v>0</v>
      </c>
      <c r="H2829" s="38" t="s">
        <v>10</v>
      </c>
    </row>
    <row r="2830" spans="1:8" x14ac:dyDescent="0.25">
      <c r="A2830" s="31">
        <v>44617</v>
      </c>
      <c r="B2830" s="37" t="s">
        <v>6622</v>
      </c>
      <c r="C2830" s="38" t="s">
        <v>142</v>
      </c>
      <c r="D2830" s="34">
        <v>200</v>
      </c>
      <c r="E2830" s="35">
        <v>44643</v>
      </c>
      <c r="F2830" s="34">
        <v>200</v>
      </c>
      <c r="G2830" s="36">
        <f>Tabla13[[#This Row],[Importe]]-Tabla13[[#This Row],[Pagado]]</f>
        <v>0</v>
      </c>
      <c r="H2830" s="38" t="s">
        <v>10</v>
      </c>
    </row>
    <row r="2831" spans="1:8" x14ac:dyDescent="0.25">
      <c r="A2831" s="31">
        <v>44617</v>
      </c>
      <c r="B2831" s="37" t="s">
        <v>6623</v>
      </c>
      <c r="C2831" s="38" t="s">
        <v>843</v>
      </c>
      <c r="D2831" s="34">
        <v>12342.4</v>
      </c>
      <c r="E2831" s="35">
        <v>44617</v>
      </c>
      <c r="F2831" s="34">
        <v>12342.4</v>
      </c>
      <c r="G2831" s="36">
        <f>Tabla13[[#This Row],[Importe]]-Tabla13[[#This Row],[Pagado]]</f>
        <v>0</v>
      </c>
      <c r="H2831" s="38" t="s">
        <v>10</v>
      </c>
    </row>
    <row r="2832" spans="1:8" x14ac:dyDescent="0.25">
      <c r="A2832" s="31">
        <v>44617</v>
      </c>
      <c r="B2832" s="37" t="s">
        <v>6624</v>
      </c>
      <c r="C2832" s="38" t="s">
        <v>6625</v>
      </c>
      <c r="D2832" s="34">
        <v>0</v>
      </c>
      <c r="E2832" s="39" t="s">
        <v>189</v>
      </c>
      <c r="F2832" s="34">
        <v>0</v>
      </c>
      <c r="G2832" s="36">
        <f>Tabla13[[#This Row],[Importe]]-Tabla13[[#This Row],[Pagado]]</f>
        <v>0</v>
      </c>
      <c r="H2832" s="38" t="s">
        <v>189</v>
      </c>
    </row>
    <row r="2833" spans="1:8" x14ac:dyDescent="0.25">
      <c r="A2833" s="31">
        <v>44617</v>
      </c>
      <c r="B2833" s="37" t="s">
        <v>6626</v>
      </c>
      <c r="C2833" s="38" t="s">
        <v>53</v>
      </c>
      <c r="D2833" s="34">
        <v>1133.5999999999999</v>
      </c>
      <c r="E2833" s="35">
        <v>44617</v>
      </c>
      <c r="F2833" s="34">
        <v>1133.5999999999999</v>
      </c>
      <c r="G2833" s="36">
        <f>Tabla13[[#This Row],[Importe]]-Tabla13[[#This Row],[Pagado]]</f>
        <v>0</v>
      </c>
      <c r="H2833" s="38" t="s">
        <v>10</v>
      </c>
    </row>
    <row r="2834" spans="1:8" x14ac:dyDescent="0.25">
      <c r="A2834" s="31">
        <v>44617</v>
      </c>
      <c r="B2834" s="37" t="s">
        <v>6627</v>
      </c>
      <c r="C2834" s="38" t="s">
        <v>233</v>
      </c>
      <c r="D2834" s="34">
        <v>5117.2</v>
      </c>
      <c r="E2834" s="35">
        <v>44617</v>
      </c>
      <c r="F2834" s="34">
        <v>5117.2</v>
      </c>
      <c r="G2834" s="36">
        <f>Tabla13[[#This Row],[Importe]]-Tabla13[[#This Row],[Pagado]]</f>
        <v>0</v>
      </c>
      <c r="H2834" s="38" t="s">
        <v>10</v>
      </c>
    </row>
    <row r="2835" spans="1:8" x14ac:dyDescent="0.25">
      <c r="A2835" s="31">
        <v>44617</v>
      </c>
      <c r="B2835" s="37" t="s">
        <v>6628</v>
      </c>
      <c r="C2835" s="38" t="s">
        <v>419</v>
      </c>
      <c r="D2835" s="34">
        <v>5577.6</v>
      </c>
      <c r="E2835" s="35">
        <v>44617</v>
      </c>
      <c r="F2835" s="34">
        <v>5577.6</v>
      </c>
      <c r="G2835" s="36">
        <f>Tabla13[[#This Row],[Importe]]-Tabla13[[#This Row],[Pagado]]</f>
        <v>0</v>
      </c>
      <c r="H2835" s="38" t="s">
        <v>10</v>
      </c>
    </row>
    <row r="2836" spans="1:8" x14ac:dyDescent="0.25">
      <c r="A2836" s="31">
        <v>44617</v>
      </c>
      <c r="B2836" s="37" t="s">
        <v>6629</v>
      </c>
      <c r="C2836" s="38" t="s">
        <v>154</v>
      </c>
      <c r="D2836" s="34">
        <v>51479.5</v>
      </c>
      <c r="E2836" s="35">
        <v>44623</v>
      </c>
      <c r="F2836" s="34">
        <v>51479.5</v>
      </c>
      <c r="G2836" s="36">
        <f>Tabla13[[#This Row],[Importe]]-Tabla13[[#This Row],[Pagado]]</f>
        <v>0</v>
      </c>
      <c r="H2836" s="38" t="s">
        <v>10</v>
      </c>
    </row>
    <row r="2837" spans="1:8" ht="31.5" x14ac:dyDescent="0.25">
      <c r="A2837" s="31">
        <v>44617</v>
      </c>
      <c r="B2837" s="37" t="s">
        <v>6630</v>
      </c>
      <c r="C2837" s="38" t="s">
        <v>392</v>
      </c>
      <c r="D2837" s="34">
        <v>12498</v>
      </c>
      <c r="E2837" s="35" t="s">
        <v>6982</v>
      </c>
      <c r="F2837" s="34">
        <f>10000+2498</f>
        <v>12498</v>
      </c>
      <c r="G2837" s="36">
        <f>Tabla13[[#This Row],[Importe]]-Tabla13[[#This Row],[Pagado]]</f>
        <v>0</v>
      </c>
      <c r="H2837" s="38" t="s">
        <v>10</v>
      </c>
    </row>
    <row r="2838" spans="1:8" x14ac:dyDescent="0.25">
      <c r="A2838" s="31">
        <v>44617</v>
      </c>
      <c r="B2838" s="37" t="s">
        <v>6631</v>
      </c>
      <c r="C2838" s="38" t="s">
        <v>51</v>
      </c>
      <c r="D2838" s="34">
        <v>2273.6</v>
      </c>
      <c r="E2838" s="35">
        <v>44617</v>
      </c>
      <c r="F2838" s="34">
        <v>2273.6</v>
      </c>
      <c r="G2838" s="36">
        <f>Tabla13[[#This Row],[Importe]]-Tabla13[[#This Row],[Pagado]]</f>
        <v>0</v>
      </c>
      <c r="H2838" s="38" t="s">
        <v>10</v>
      </c>
    </row>
    <row r="2839" spans="1:8" x14ac:dyDescent="0.25">
      <c r="A2839" s="31">
        <v>44617</v>
      </c>
      <c r="B2839" s="37" t="s">
        <v>6632</v>
      </c>
      <c r="C2839" s="38" t="s">
        <v>31</v>
      </c>
      <c r="D2839" s="34">
        <v>1862.4</v>
      </c>
      <c r="E2839" s="35">
        <v>44617</v>
      </c>
      <c r="F2839" s="34">
        <v>1862.4</v>
      </c>
      <c r="G2839" s="36">
        <f>Tabla13[[#This Row],[Importe]]-Tabla13[[#This Row],[Pagado]]</f>
        <v>0</v>
      </c>
      <c r="H2839" s="38" t="s">
        <v>10</v>
      </c>
    </row>
    <row r="2840" spans="1:8" x14ac:dyDescent="0.25">
      <c r="A2840" s="31">
        <v>44617</v>
      </c>
      <c r="B2840" s="37" t="s">
        <v>6633</v>
      </c>
      <c r="C2840" s="38" t="s">
        <v>218</v>
      </c>
      <c r="D2840" s="34">
        <v>26673</v>
      </c>
      <c r="E2840" s="35">
        <v>44623</v>
      </c>
      <c r="F2840" s="34">
        <v>26673</v>
      </c>
      <c r="G2840" s="36">
        <f>Tabla13[[#This Row],[Importe]]-Tabla13[[#This Row],[Pagado]]</f>
        <v>0</v>
      </c>
      <c r="H2840" s="38" t="s">
        <v>10</v>
      </c>
    </row>
    <row r="2841" spans="1:8" x14ac:dyDescent="0.25">
      <c r="A2841" s="31">
        <v>44617</v>
      </c>
      <c r="B2841" s="37" t="s">
        <v>6634</v>
      </c>
      <c r="C2841" s="38" t="s">
        <v>208</v>
      </c>
      <c r="D2841" s="34">
        <v>13596.7</v>
      </c>
      <c r="E2841" s="35">
        <v>44625</v>
      </c>
      <c r="F2841" s="34">
        <v>13596.7</v>
      </c>
      <c r="G2841" s="36">
        <f>Tabla13[[#This Row],[Importe]]-Tabla13[[#This Row],[Pagado]]</f>
        <v>0</v>
      </c>
      <c r="H2841" s="38" t="s">
        <v>10</v>
      </c>
    </row>
    <row r="2842" spans="1:8" x14ac:dyDescent="0.25">
      <c r="A2842" s="31">
        <v>44617</v>
      </c>
      <c r="B2842" s="37" t="s">
        <v>6635</v>
      </c>
      <c r="C2842" s="38" t="s">
        <v>845</v>
      </c>
      <c r="D2842" s="34">
        <v>1007.3</v>
      </c>
      <c r="E2842" s="35">
        <v>44617</v>
      </c>
      <c r="F2842" s="34">
        <v>1007.3</v>
      </c>
      <c r="G2842" s="36">
        <f>Tabla13[[#This Row],[Importe]]-Tabla13[[#This Row],[Pagado]]</f>
        <v>0</v>
      </c>
      <c r="H2842" s="38" t="s">
        <v>10</v>
      </c>
    </row>
    <row r="2843" spans="1:8" x14ac:dyDescent="0.25">
      <c r="A2843" s="31">
        <v>44617</v>
      </c>
      <c r="B2843" s="37" t="s">
        <v>6636</v>
      </c>
      <c r="C2843" s="38" t="s">
        <v>670</v>
      </c>
      <c r="D2843" s="34">
        <v>833.8</v>
      </c>
      <c r="E2843" s="35">
        <v>44617</v>
      </c>
      <c r="F2843" s="34">
        <v>833.8</v>
      </c>
      <c r="G2843" s="36">
        <f>Tabla13[[#This Row],[Importe]]-Tabla13[[#This Row],[Pagado]]</f>
        <v>0</v>
      </c>
      <c r="H2843" s="38" t="s">
        <v>10</v>
      </c>
    </row>
    <row r="2844" spans="1:8" x14ac:dyDescent="0.25">
      <c r="A2844" s="31">
        <v>44617</v>
      </c>
      <c r="B2844" s="37" t="s">
        <v>6637</v>
      </c>
      <c r="C2844" s="38" t="s">
        <v>414</v>
      </c>
      <c r="D2844" s="34">
        <v>15514.2</v>
      </c>
      <c r="E2844" s="35">
        <v>44617</v>
      </c>
      <c r="F2844" s="34">
        <v>15514.2</v>
      </c>
      <c r="G2844" s="36">
        <f>Tabla13[[#This Row],[Importe]]-Tabla13[[#This Row],[Pagado]]</f>
        <v>0</v>
      </c>
      <c r="H2844" s="38" t="s">
        <v>10</v>
      </c>
    </row>
    <row r="2845" spans="1:8" x14ac:dyDescent="0.25">
      <c r="A2845" s="31">
        <v>44617</v>
      </c>
      <c r="B2845" s="37" t="s">
        <v>6638</v>
      </c>
      <c r="C2845" s="38" t="s">
        <v>269</v>
      </c>
      <c r="D2845" s="34">
        <v>3290.8</v>
      </c>
      <c r="E2845" s="35">
        <v>44617</v>
      </c>
      <c r="F2845" s="34">
        <v>3290.8</v>
      </c>
      <c r="G2845" s="36">
        <f>Tabla13[[#This Row],[Importe]]-Tabla13[[#This Row],[Pagado]]</f>
        <v>0</v>
      </c>
      <c r="H2845" s="38" t="s">
        <v>10</v>
      </c>
    </row>
    <row r="2846" spans="1:8" x14ac:dyDescent="0.25">
      <c r="A2846" s="31">
        <v>44617</v>
      </c>
      <c r="B2846" s="37" t="s">
        <v>6639</v>
      </c>
      <c r="C2846" s="38" t="s">
        <v>135</v>
      </c>
      <c r="D2846" s="34">
        <v>1887.6</v>
      </c>
      <c r="E2846" s="35">
        <v>44617</v>
      </c>
      <c r="F2846" s="34">
        <v>1887.6</v>
      </c>
      <c r="G2846" s="36">
        <f>Tabla13[[#This Row],[Importe]]-Tabla13[[#This Row],[Pagado]]</f>
        <v>0</v>
      </c>
      <c r="H2846" s="38" t="s">
        <v>10</v>
      </c>
    </row>
    <row r="2847" spans="1:8" x14ac:dyDescent="0.25">
      <c r="A2847" s="31">
        <v>44617</v>
      </c>
      <c r="B2847" s="37" t="s">
        <v>6640</v>
      </c>
      <c r="C2847" s="38" t="s">
        <v>409</v>
      </c>
      <c r="D2847" s="34">
        <v>13700.4</v>
      </c>
      <c r="E2847" s="35">
        <v>44624</v>
      </c>
      <c r="F2847" s="34">
        <v>13700.4</v>
      </c>
      <c r="G2847" s="36">
        <f>Tabla13[[#This Row],[Importe]]-Tabla13[[#This Row],[Pagado]]</f>
        <v>0</v>
      </c>
      <c r="H2847" s="38" t="s">
        <v>10</v>
      </c>
    </row>
    <row r="2848" spans="1:8" x14ac:dyDescent="0.25">
      <c r="A2848" s="31">
        <v>44617</v>
      </c>
      <c r="B2848" s="37" t="s">
        <v>6641</v>
      </c>
      <c r="C2848" s="38" t="s">
        <v>298</v>
      </c>
      <c r="D2848" s="34">
        <v>6560</v>
      </c>
      <c r="E2848" s="35">
        <v>44617</v>
      </c>
      <c r="F2848" s="34">
        <v>6560</v>
      </c>
      <c r="G2848" s="36">
        <f>Tabla13[[#This Row],[Importe]]-Tabla13[[#This Row],[Pagado]]</f>
        <v>0</v>
      </c>
      <c r="H2848" s="38" t="s">
        <v>10</v>
      </c>
    </row>
    <row r="2849" spans="1:8" x14ac:dyDescent="0.25">
      <c r="A2849" s="31">
        <v>44617</v>
      </c>
      <c r="B2849" s="37" t="s">
        <v>6642</v>
      </c>
      <c r="C2849" s="38" t="s">
        <v>365</v>
      </c>
      <c r="D2849" s="34">
        <v>953.8</v>
      </c>
      <c r="E2849" s="35">
        <v>44617</v>
      </c>
      <c r="F2849" s="34">
        <v>953.8</v>
      </c>
      <c r="G2849" s="36">
        <f>Tabla13[[#This Row],[Importe]]-Tabla13[[#This Row],[Pagado]]</f>
        <v>0</v>
      </c>
      <c r="H2849" s="38" t="s">
        <v>10</v>
      </c>
    </row>
    <row r="2850" spans="1:8" x14ac:dyDescent="0.25">
      <c r="A2850" s="31">
        <v>44617</v>
      </c>
      <c r="B2850" s="37" t="s">
        <v>6643</v>
      </c>
      <c r="C2850" s="38" t="s">
        <v>365</v>
      </c>
      <c r="D2850" s="34">
        <v>950</v>
      </c>
      <c r="E2850" s="35">
        <v>44617</v>
      </c>
      <c r="F2850" s="34">
        <v>950</v>
      </c>
      <c r="G2850" s="36">
        <f>Tabla13[[#This Row],[Importe]]-Tabla13[[#This Row],[Pagado]]</f>
        <v>0</v>
      </c>
      <c r="H2850" s="38" t="s">
        <v>10</v>
      </c>
    </row>
    <row r="2851" spans="1:8" x14ac:dyDescent="0.25">
      <c r="A2851" s="31">
        <v>44617</v>
      </c>
      <c r="B2851" s="37" t="s">
        <v>6644</v>
      </c>
      <c r="C2851" s="38" t="s">
        <v>698</v>
      </c>
      <c r="D2851" s="34">
        <v>5165.1000000000004</v>
      </c>
      <c r="E2851" s="35">
        <v>44617</v>
      </c>
      <c r="F2851" s="34">
        <v>5165.1000000000004</v>
      </c>
      <c r="G2851" s="36">
        <f>Tabla13[[#This Row],[Importe]]-Tabla13[[#This Row],[Pagado]]</f>
        <v>0</v>
      </c>
      <c r="H2851" s="38" t="s">
        <v>10</v>
      </c>
    </row>
    <row r="2852" spans="1:8" x14ac:dyDescent="0.25">
      <c r="A2852" s="31">
        <v>44617</v>
      </c>
      <c r="B2852" s="37" t="s">
        <v>6645</v>
      </c>
      <c r="C2852" s="38" t="s">
        <v>95</v>
      </c>
      <c r="D2852" s="34">
        <v>820.4</v>
      </c>
      <c r="E2852" s="35">
        <v>44617</v>
      </c>
      <c r="F2852" s="34">
        <v>820.4</v>
      </c>
      <c r="G2852" s="36">
        <f>Tabla13[[#This Row],[Importe]]-Tabla13[[#This Row],[Pagado]]</f>
        <v>0</v>
      </c>
      <c r="H2852" s="38" t="s">
        <v>10</v>
      </c>
    </row>
    <row r="2853" spans="1:8" x14ac:dyDescent="0.25">
      <c r="A2853" s="31">
        <v>44617</v>
      </c>
      <c r="B2853" s="37" t="s">
        <v>6646</v>
      </c>
      <c r="C2853" s="38" t="s">
        <v>266</v>
      </c>
      <c r="D2853" s="34">
        <v>201.6</v>
      </c>
      <c r="E2853" s="35">
        <v>44617</v>
      </c>
      <c r="F2853" s="34">
        <v>201.6</v>
      </c>
      <c r="G2853" s="36">
        <f>Tabla13[[#This Row],[Importe]]-Tabla13[[#This Row],[Pagado]]</f>
        <v>0</v>
      </c>
      <c r="H2853" s="38" t="s">
        <v>10</v>
      </c>
    </row>
    <row r="2854" spans="1:8" x14ac:dyDescent="0.25">
      <c r="A2854" s="31">
        <v>44617</v>
      </c>
      <c r="B2854" s="37" t="s">
        <v>6647</v>
      </c>
      <c r="C2854" s="38" t="s">
        <v>2393</v>
      </c>
      <c r="D2854" s="34">
        <v>42473.7</v>
      </c>
      <c r="E2854" s="35">
        <v>44617</v>
      </c>
      <c r="F2854" s="34">
        <v>42473.7</v>
      </c>
      <c r="G2854" s="36">
        <f>Tabla13[[#This Row],[Importe]]-Tabla13[[#This Row],[Pagado]]</f>
        <v>0</v>
      </c>
      <c r="H2854" s="38" t="s">
        <v>10</v>
      </c>
    </row>
    <row r="2855" spans="1:8" x14ac:dyDescent="0.25">
      <c r="A2855" s="31">
        <v>44617</v>
      </c>
      <c r="B2855" s="37" t="s">
        <v>6648</v>
      </c>
      <c r="C2855" s="38" t="s">
        <v>31</v>
      </c>
      <c r="D2855" s="34">
        <v>1009.8</v>
      </c>
      <c r="E2855" s="35">
        <v>44617</v>
      </c>
      <c r="F2855" s="34">
        <v>1009.8</v>
      </c>
      <c r="G2855" s="36">
        <f>Tabla13[[#This Row],[Importe]]-Tabla13[[#This Row],[Pagado]]</f>
        <v>0</v>
      </c>
      <c r="H2855" s="38" t="s">
        <v>10</v>
      </c>
    </row>
    <row r="2856" spans="1:8" x14ac:dyDescent="0.25">
      <c r="A2856" s="31">
        <v>44617</v>
      </c>
      <c r="B2856" s="37" t="s">
        <v>6649</v>
      </c>
      <c r="C2856" s="38" t="s">
        <v>282</v>
      </c>
      <c r="D2856" s="34">
        <v>2065.5</v>
      </c>
      <c r="E2856" s="35">
        <v>44617</v>
      </c>
      <c r="F2856" s="34">
        <v>2065.5</v>
      </c>
      <c r="G2856" s="36">
        <f>Tabla13[[#This Row],[Importe]]-Tabla13[[#This Row],[Pagado]]</f>
        <v>0</v>
      </c>
      <c r="H2856" s="38" t="s">
        <v>10</v>
      </c>
    </row>
    <row r="2857" spans="1:8" x14ac:dyDescent="0.25">
      <c r="A2857" s="31">
        <v>44617</v>
      </c>
      <c r="B2857" s="37" t="s">
        <v>6650</v>
      </c>
      <c r="C2857" s="38" t="s">
        <v>284</v>
      </c>
      <c r="D2857" s="34">
        <v>7680.6</v>
      </c>
      <c r="E2857" s="35">
        <v>44617</v>
      </c>
      <c r="F2857" s="34">
        <v>7680.6</v>
      </c>
      <c r="G2857" s="36">
        <f>Tabla13[[#This Row],[Importe]]-Tabla13[[#This Row],[Pagado]]</f>
        <v>0</v>
      </c>
      <c r="H2857" s="38" t="s">
        <v>10</v>
      </c>
    </row>
    <row r="2858" spans="1:8" x14ac:dyDescent="0.25">
      <c r="A2858" s="31">
        <v>44617</v>
      </c>
      <c r="B2858" s="37" t="s">
        <v>6651</v>
      </c>
      <c r="C2858" s="38" t="s">
        <v>280</v>
      </c>
      <c r="D2858" s="34">
        <v>912.9</v>
      </c>
      <c r="E2858" s="35">
        <v>44617</v>
      </c>
      <c r="F2858" s="34">
        <v>912.9</v>
      </c>
      <c r="G2858" s="36">
        <f>Tabla13[[#This Row],[Importe]]-Tabla13[[#This Row],[Pagado]]</f>
        <v>0</v>
      </c>
      <c r="H2858" s="38" t="s">
        <v>10</v>
      </c>
    </row>
    <row r="2859" spans="1:8" x14ac:dyDescent="0.25">
      <c r="A2859" s="31">
        <v>44617</v>
      </c>
      <c r="B2859" s="37" t="s">
        <v>6652</v>
      </c>
      <c r="C2859" s="38" t="s">
        <v>5345</v>
      </c>
      <c r="D2859" s="34">
        <v>515.1</v>
      </c>
      <c r="E2859" s="35">
        <v>44617</v>
      </c>
      <c r="F2859" s="34">
        <v>515.1</v>
      </c>
      <c r="G2859" s="36">
        <f>Tabla13[[#This Row],[Importe]]-Tabla13[[#This Row],[Pagado]]</f>
        <v>0</v>
      </c>
      <c r="H2859" s="38" t="s">
        <v>10</v>
      </c>
    </row>
    <row r="2860" spans="1:8" x14ac:dyDescent="0.25">
      <c r="A2860" s="31">
        <v>44617</v>
      </c>
      <c r="B2860" s="37" t="s">
        <v>6653</v>
      </c>
      <c r="C2860" s="38" t="s">
        <v>5345</v>
      </c>
      <c r="D2860" s="34">
        <v>489.6</v>
      </c>
      <c r="E2860" s="35">
        <v>44617</v>
      </c>
      <c r="F2860" s="34">
        <v>489.6</v>
      </c>
      <c r="G2860" s="36">
        <f>Tabla13[[#This Row],[Importe]]-Tabla13[[#This Row],[Pagado]]</f>
        <v>0</v>
      </c>
      <c r="H2860" s="38" t="s">
        <v>10</v>
      </c>
    </row>
    <row r="2861" spans="1:8" x14ac:dyDescent="0.25">
      <c r="A2861" s="31">
        <v>44617</v>
      </c>
      <c r="B2861" s="37" t="s">
        <v>6654</v>
      </c>
      <c r="C2861" s="38" t="s">
        <v>142</v>
      </c>
      <c r="D2861" s="34">
        <v>2373.8000000000002</v>
      </c>
      <c r="E2861" s="35">
        <v>44643</v>
      </c>
      <c r="F2861" s="34">
        <v>2373.8000000000002</v>
      </c>
      <c r="G2861" s="36">
        <f>Tabla13[[#This Row],[Importe]]-Tabla13[[#This Row],[Pagado]]</f>
        <v>0</v>
      </c>
      <c r="H2861" s="38" t="s">
        <v>10</v>
      </c>
    </row>
    <row r="2862" spans="1:8" x14ac:dyDescent="0.25">
      <c r="A2862" s="31">
        <v>44617</v>
      </c>
      <c r="B2862" s="37" t="s">
        <v>6655</v>
      </c>
      <c r="C2862" s="38" t="s">
        <v>555</v>
      </c>
      <c r="D2862" s="34">
        <v>22685</v>
      </c>
      <c r="E2862" s="35">
        <v>44617</v>
      </c>
      <c r="F2862" s="34">
        <v>22685</v>
      </c>
      <c r="G2862" s="36">
        <f>Tabla13[[#This Row],[Importe]]-Tabla13[[#This Row],[Pagado]]</f>
        <v>0</v>
      </c>
      <c r="H2862" s="38" t="s">
        <v>10</v>
      </c>
    </row>
    <row r="2863" spans="1:8" x14ac:dyDescent="0.25">
      <c r="A2863" s="31">
        <v>44617</v>
      </c>
      <c r="B2863" s="37" t="s">
        <v>6656</v>
      </c>
      <c r="C2863" s="38" t="s">
        <v>107</v>
      </c>
      <c r="D2863" s="34">
        <v>8167.2</v>
      </c>
      <c r="E2863" s="35">
        <v>44617</v>
      </c>
      <c r="F2863" s="34">
        <v>8167.2</v>
      </c>
      <c r="G2863" s="36">
        <f>Tabla13[[#This Row],[Importe]]-Tabla13[[#This Row],[Pagado]]</f>
        <v>0</v>
      </c>
      <c r="H2863" s="38" t="s">
        <v>10</v>
      </c>
    </row>
    <row r="2864" spans="1:8" x14ac:dyDescent="0.25">
      <c r="A2864" s="31">
        <v>44617</v>
      </c>
      <c r="B2864" s="37" t="s">
        <v>6657</v>
      </c>
      <c r="C2864" s="38" t="s">
        <v>58</v>
      </c>
      <c r="D2864" s="34">
        <v>4292</v>
      </c>
      <c r="E2864" s="35">
        <v>44617</v>
      </c>
      <c r="F2864" s="34">
        <v>4292</v>
      </c>
      <c r="G2864" s="36">
        <f>Tabla13[[#This Row],[Importe]]-Tabla13[[#This Row],[Pagado]]</f>
        <v>0</v>
      </c>
      <c r="H2864" s="38" t="s">
        <v>10</v>
      </c>
    </row>
    <row r="2865" spans="1:8" x14ac:dyDescent="0.25">
      <c r="A2865" s="31">
        <v>44617</v>
      </c>
      <c r="B2865" s="37" t="s">
        <v>6658</v>
      </c>
      <c r="C2865" s="38" t="s">
        <v>605</v>
      </c>
      <c r="D2865" s="34">
        <v>32936.04</v>
      </c>
      <c r="E2865" s="35">
        <v>44618</v>
      </c>
      <c r="F2865" s="34">
        <v>32936.04</v>
      </c>
      <c r="G2865" s="36">
        <f>Tabla13[[#This Row],[Importe]]-Tabla13[[#This Row],[Pagado]]</f>
        <v>0</v>
      </c>
      <c r="H2865" s="38" t="s">
        <v>10</v>
      </c>
    </row>
    <row r="2866" spans="1:8" x14ac:dyDescent="0.25">
      <c r="A2866" s="31">
        <v>44617</v>
      </c>
      <c r="B2866" s="37" t="s">
        <v>6659</v>
      </c>
      <c r="C2866" s="38" t="s">
        <v>605</v>
      </c>
      <c r="D2866" s="34">
        <v>33867</v>
      </c>
      <c r="E2866" s="35">
        <v>44618</v>
      </c>
      <c r="F2866" s="34">
        <v>33867</v>
      </c>
      <c r="G2866" s="36">
        <f>Tabla13[[#This Row],[Importe]]-Tabla13[[#This Row],[Pagado]]</f>
        <v>0</v>
      </c>
      <c r="H2866" s="38" t="s">
        <v>10</v>
      </c>
    </row>
    <row r="2867" spans="1:8" x14ac:dyDescent="0.25">
      <c r="A2867" s="31">
        <v>44617</v>
      </c>
      <c r="B2867" s="37" t="s">
        <v>6660</v>
      </c>
      <c r="C2867" s="38" t="s">
        <v>857</v>
      </c>
      <c r="D2867" s="34">
        <v>632</v>
      </c>
      <c r="E2867" s="35">
        <v>44617</v>
      </c>
      <c r="F2867" s="34">
        <v>632</v>
      </c>
      <c r="G2867" s="36">
        <f>Tabla13[[#This Row],[Importe]]-Tabla13[[#This Row],[Pagado]]</f>
        <v>0</v>
      </c>
      <c r="H2867" s="38" t="s">
        <v>10</v>
      </c>
    </row>
    <row r="2868" spans="1:8" x14ac:dyDescent="0.25">
      <c r="A2868" s="31">
        <v>44617</v>
      </c>
      <c r="B2868" s="37" t="s">
        <v>6661</v>
      </c>
      <c r="C2868" s="38" t="s">
        <v>31</v>
      </c>
      <c r="D2868" s="34">
        <v>1767</v>
      </c>
      <c r="E2868" s="35">
        <v>44617</v>
      </c>
      <c r="F2868" s="34">
        <v>1767</v>
      </c>
      <c r="G2868" s="36">
        <f>Tabla13[[#This Row],[Importe]]-Tabla13[[#This Row],[Pagado]]</f>
        <v>0</v>
      </c>
      <c r="H2868" s="38" t="s">
        <v>10</v>
      </c>
    </row>
    <row r="2869" spans="1:8" x14ac:dyDescent="0.25">
      <c r="A2869" s="31">
        <v>44617</v>
      </c>
      <c r="B2869" s="37" t="s">
        <v>6662</v>
      </c>
      <c r="C2869" s="38" t="s">
        <v>9</v>
      </c>
      <c r="D2869" s="34">
        <v>2803.9</v>
      </c>
      <c r="E2869" s="35">
        <v>44617</v>
      </c>
      <c r="F2869" s="34">
        <v>2803.9</v>
      </c>
      <c r="G2869" s="36">
        <f>Tabla13[[#This Row],[Importe]]-Tabla13[[#This Row],[Pagado]]</f>
        <v>0</v>
      </c>
      <c r="H2869" s="38" t="s">
        <v>10</v>
      </c>
    </row>
    <row r="2870" spans="1:8" x14ac:dyDescent="0.25">
      <c r="A2870" s="31">
        <v>44617</v>
      </c>
      <c r="B2870" s="37" t="s">
        <v>6663</v>
      </c>
      <c r="C2870" s="38" t="s">
        <v>872</v>
      </c>
      <c r="D2870" s="34">
        <v>2920.9</v>
      </c>
      <c r="E2870" s="35">
        <v>44617</v>
      </c>
      <c r="F2870" s="34">
        <v>2920.9</v>
      </c>
      <c r="G2870" s="36">
        <f>Tabla13[[#This Row],[Importe]]-Tabla13[[#This Row],[Pagado]]</f>
        <v>0</v>
      </c>
      <c r="H2870" s="38" t="s">
        <v>10</v>
      </c>
    </row>
    <row r="2871" spans="1:8" x14ac:dyDescent="0.25">
      <c r="A2871" s="31">
        <v>44617</v>
      </c>
      <c r="B2871" s="37" t="s">
        <v>6664</v>
      </c>
      <c r="C2871" s="38" t="s">
        <v>31</v>
      </c>
      <c r="D2871" s="34">
        <v>103</v>
      </c>
      <c r="E2871" s="35">
        <v>44617</v>
      </c>
      <c r="F2871" s="34">
        <v>103</v>
      </c>
      <c r="G2871" s="36">
        <f>Tabla13[[#This Row],[Importe]]-Tabla13[[#This Row],[Pagado]]</f>
        <v>0</v>
      </c>
      <c r="H2871" s="38" t="s">
        <v>10</v>
      </c>
    </row>
    <row r="2872" spans="1:8" x14ac:dyDescent="0.25">
      <c r="A2872" s="31">
        <v>44617</v>
      </c>
      <c r="B2872" s="37" t="s">
        <v>6665</v>
      </c>
      <c r="C2872" s="38" t="s">
        <v>870</v>
      </c>
      <c r="D2872" s="34">
        <v>17088</v>
      </c>
      <c r="E2872" s="35">
        <v>44618</v>
      </c>
      <c r="F2872" s="34">
        <v>17088</v>
      </c>
      <c r="G2872" s="36">
        <f>Tabla13[[#This Row],[Importe]]-Tabla13[[#This Row],[Pagado]]</f>
        <v>0</v>
      </c>
      <c r="H2872" s="38" t="s">
        <v>10</v>
      </c>
    </row>
    <row r="2873" spans="1:8" x14ac:dyDescent="0.25">
      <c r="A2873" s="31">
        <v>44617</v>
      </c>
      <c r="B2873" s="37" t="s">
        <v>6666</v>
      </c>
      <c r="C2873" s="38" t="s">
        <v>6667</v>
      </c>
      <c r="D2873" s="34">
        <v>2189.6</v>
      </c>
      <c r="E2873" s="35">
        <v>44617</v>
      </c>
      <c r="F2873" s="34">
        <v>2189.6</v>
      </c>
      <c r="G2873" s="36">
        <f>Tabla13[[#This Row],[Importe]]-Tabla13[[#This Row],[Pagado]]</f>
        <v>0</v>
      </c>
      <c r="H2873" s="38" t="s">
        <v>10</v>
      </c>
    </row>
    <row r="2874" spans="1:8" x14ac:dyDescent="0.25">
      <c r="A2874" s="31">
        <v>44617</v>
      </c>
      <c r="B2874" s="37" t="s">
        <v>6668</v>
      </c>
      <c r="C2874" s="38" t="s">
        <v>1016</v>
      </c>
      <c r="D2874" s="34">
        <v>41391</v>
      </c>
      <c r="E2874" s="35">
        <v>44617</v>
      </c>
      <c r="F2874" s="34">
        <v>41391</v>
      </c>
      <c r="G2874" s="36">
        <f>Tabla13[[#This Row],[Importe]]-Tabla13[[#This Row],[Pagado]]</f>
        <v>0</v>
      </c>
      <c r="H2874" s="38" t="s">
        <v>10</v>
      </c>
    </row>
    <row r="2875" spans="1:8" x14ac:dyDescent="0.25">
      <c r="A2875" s="31">
        <v>44617</v>
      </c>
      <c r="B2875" s="37" t="s">
        <v>6669</v>
      </c>
      <c r="C2875" s="38" t="s">
        <v>612</v>
      </c>
      <c r="D2875" s="34">
        <v>225.4</v>
      </c>
      <c r="E2875" s="35">
        <v>44617</v>
      </c>
      <c r="F2875" s="34">
        <v>225.4</v>
      </c>
      <c r="G2875" s="36">
        <f>Tabla13[[#This Row],[Importe]]-Tabla13[[#This Row],[Pagado]]</f>
        <v>0</v>
      </c>
      <c r="H2875" s="38" t="s">
        <v>10</v>
      </c>
    </row>
    <row r="2876" spans="1:8" x14ac:dyDescent="0.25">
      <c r="A2876" s="31">
        <v>44617</v>
      </c>
      <c r="B2876" s="37" t="s">
        <v>6670</v>
      </c>
      <c r="C2876" s="38" t="s">
        <v>2139</v>
      </c>
      <c r="D2876" s="34">
        <v>1352.8</v>
      </c>
      <c r="E2876" s="35">
        <v>44617</v>
      </c>
      <c r="F2876" s="34">
        <v>1352.8</v>
      </c>
      <c r="G2876" s="36">
        <f>Tabla13[[#This Row],[Importe]]-Tabla13[[#This Row],[Pagado]]</f>
        <v>0</v>
      </c>
      <c r="H2876" s="38" t="s">
        <v>10</v>
      </c>
    </row>
    <row r="2877" spans="1:8" x14ac:dyDescent="0.25">
      <c r="A2877" s="31">
        <v>44617</v>
      </c>
      <c r="B2877" s="37" t="s">
        <v>6671</v>
      </c>
      <c r="C2877" s="38" t="s">
        <v>31</v>
      </c>
      <c r="D2877" s="34">
        <v>250.8</v>
      </c>
      <c r="E2877" s="35">
        <v>44617</v>
      </c>
      <c r="F2877" s="34">
        <v>250.8</v>
      </c>
      <c r="G2877" s="36">
        <f>Tabla13[[#This Row],[Importe]]-Tabla13[[#This Row],[Pagado]]</f>
        <v>0</v>
      </c>
      <c r="H2877" s="38" t="s">
        <v>10</v>
      </c>
    </row>
    <row r="2878" spans="1:8" x14ac:dyDescent="0.25">
      <c r="A2878" s="31">
        <v>44617</v>
      </c>
      <c r="B2878" s="37" t="s">
        <v>6672</v>
      </c>
      <c r="C2878" s="38" t="s">
        <v>56</v>
      </c>
      <c r="D2878" s="34">
        <v>8994.6</v>
      </c>
      <c r="E2878" s="35">
        <v>44617</v>
      </c>
      <c r="F2878" s="34">
        <v>8994.6</v>
      </c>
      <c r="G2878" s="36">
        <f>Tabla13[[#This Row],[Importe]]-Tabla13[[#This Row],[Pagado]]</f>
        <v>0</v>
      </c>
      <c r="H2878" s="38" t="s">
        <v>10</v>
      </c>
    </row>
    <row r="2879" spans="1:8" x14ac:dyDescent="0.25">
      <c r="A2879" s="31">
        <v>44618</v>
      </c>
      <c r="B2879" s="37" t="s">
        <v>6673</v>
      </c>
      <c r="C2879" s="38" t="s">
        <v>887</v>
      </c>
      <c r="D2879" s="34">
        <v>22030.5</v>
      </c>
      <c r="E2879" s="35">
        <v>44620</v>
      </c>
      <c r="F2879" s="34">
        <v>22030.5</v>
      </c>
      <c r="G2879" s="36">
        <f>Tabla13[[#This Row],[Importe]]-Tabla13[[#This Row],[Pagado]]</f>
        <v>0</v>
      </c>
      <c r="H2879" s="38" t="s">
        <v>10</v>
      </c>
    </row>
    <row r="2880" spans="1:8" x14ac:dyDescent="0.25">
      <c r="A2880" s="31">
        <v>44618</v>
      </c>
      <c r="B2880" s="37" t="s">
        <v>6674</v>
      </c>
      <c r="C2880" s="38" t="s">
        <v>475</v>
      </c>
      <c r="D2880" s="34">
        <v>52422.1</v>
      </c>
      <c r="E2880" s="35">
        <v>44619</v>
      </c>
      <c r="F2880" s="34">
        <v>52422.1</v>
      </c>
      <c r="G2880" s="36">
        <f>Tabla13[[#This Row],[Importe]]-Tabla13[[#This Row],[Pagado]]</f>
        <v>0</v>
      </c>
      <c r="H2880" s="38" t="s">
        <v>10</v>
      </c>
    </row>
    <row r="2881" spans="1:8" x14ac:dyDescent="0.25">
      <c r="A2881" s="31">
        <v>44618</v>
      </c>
      <c r="B2881" s="37" t="s">
        <v>6675</v>
      </c>
      <c r="C2881" s="38" t="s">
        <v>481</v>
      </c>
      <c r="D2881" s="34">
        <v>1426.3</v>
      </c>
      <c r="E2881" s="35">
        <v>44618</v>
      </c>
      <c r="F2881" s="34">
        <v>1426.3</v>
      </c>
      <c r="G2881" s="36">
        <f>Tabla13[[#This Row],[Importe]]-Tabla13[[#This Row],[Pagado]]</f>
        <v>0</v>
      </c>
      <c r="H2881" s="38" t="s">
        <v>10</v>
      </c>
    </row>
    <row r="2882" spans="1:8" x14ac:dyDescent="0.25">
      <c r="A2882" s="31">
        <v>44618</v>
      </c>
      <c r="B2882" s="37" t="s">
        <v>6676</v>
      </c>
      <c r="C2882" s="38" t="s">
        <v>12</v>
      </c>
      <c r="D2882" s="34">
        <v>45887.3</v>
      </c>
      <c r="E2882" s="35">
        <v>44619</v>
      </c>
      <c r="F2882" s="34">
        <v>45887.3</v>
      </c>
      <c r="G2882" s="36">
        <f>Tabla13[[#This Row],[Importe]]-Tabla13[[#This Row],[Pagado]]</f>
        <v>0</v>
      </c>
      <c r="H2882" s="38" t="s">
        <v>10</v>
      </c>
    </row>
    <row r="2883" spans="1:8" x14ac:dyDescent="0.25">
      <c r="A2883" s="31">
        <v>44618</v>
      </c>
      <c r="B2883" s="37" t="s">
        <v>6677</v>
      </c>
      <c r="C2883" s="38" t="s">
        <v>9</v>
      </c>
      <c r="D2883" s="34">
        <v>5884</v>
      </c>
      <c r="E2883" s="35">
        <v>44618</v>
      </c>
      <c r="F2883" s="34">
        <v>5884</v>
      </c>
      <c r="G2883" s="36">
        <f>Tabla13[[#This Row],[Importe]]-Tabla13[[#This Row],[Pagado]]</f>
        <v>0</v>
      </c>
      <c r="H2883" s="38" t="s">
        <v>10</v>
      </c>
    </row>
    <row r="2884" spans="1:8" x14ac:dyDescent="0.25">
      <c r="A2884" s="31">
        <v>44618</v>
      </c>
      <c r="B2884" s="37" t="s">
        <v>6678</v>
      </c>
      <c r="C2884" s="38" t="s">
        <v>159</v>
      </c>
      <c r="D2884" s="34">
        <v>3182.8</v>
      </c>
      <c r="E2884" s="35">
        <v>44618</v>
      </c>
      <c r="F2884" s="34">
        <v>3182.8</v>
      </c>
      <c r="G2884" s="36">
        <f>Tabla13[[#This Row],[Importe]]-Tabla13[[#This Row],[Pagado]]</f>
        <v>0</v>
      </c>
      <c r="H2884" s="38" t="s">
        <v>10</v>
      </c>
    </row>
    <row r="2885" spans="1:8" x14ac:dyDescent="0.25">
      <c r="A2885" s="31">
        <v>44618</v>
      </c>
      <c r="B2885" s="37" t="s">
        <v>6679</v>
      </c>
      <c r="C2885" s="38" t="s">
        <v>18</v>
      </c>
      <c r="D2885" s="34">
        <v>1467.4</v>
      </c>
      <c r="E2885" s="35">
        <v>44618</v>
      </c>
      <c r="F2885" s="34">
        <v>1467.4</v>
      </c>
      <c r="G2885" s="36">
        <f>Tabla13[[#This Row],[Importe]]-Tabla13[[#This Row],[Pagado]]</f>
        <v>0</v>
      </c>
      <c r="H2885" s="38" t="s">
        <v>10</v>
      </c>
    </row>
    <row r="2886" spans="1:8" x14ac:dyDescent="0.25">
      <c r="A2886" s="31">
        <v>44618</v>
      </c>
      <c r="B2886" s="37" t="s">
        <v>6680</v>
      </c>
      <c r="C2886" s="38" t="s">
        <v>87</v>
      </c>
      <c r="D2886" s="34">
        <v>2846.8</v>
      </c>
      <c r="E2886" s="35">
        <v>44618</v>
      </c>
      <c r="F2886" s="34">
        <v>2846.8</v>
      </c>
      <c r="G2886" s="36">
        <f>Tabla13[[#This Row],[Importe]]-Tabla13[[#This Row],[Pagado]]</f>
        <v>0</v>
      </c>
      <c r="H2886" s="38" t="s">
        <v>10</v>
      </c>
    </row>
    <row r="2887" spans="1:8" x14ac:dyDescent="0.25">
      <c r="A2887" s="31">
        <v>44618</v>
      </c>
      <c r="B2887" s="37" t="s">
        <v>6681</v>
      </c>
      <c r="C2887" s="38" t="s">
        <v>22</v>
      </c>
      <c r="D2887" s="34">
        <v>49836.7</v>
      </c>
      <c r="E2887" s="35">
        <v>44619</v>
      </c>
      <c r="F2887" s="34">
        <v>49836.7</v>
      </c>
      <c r="G2887" s="36">
        <f>Tabla13[[#This Row],[Importe]]-Tabla13[[#This Row],[Pagado]]</f>
        <v>0</v>
      </c>
      <c r="H2887" s="38" t="s">
        <v>10</v>
      </c>
    </row>
    <row r="2888" spans="1:8" x14ac:dyDescent="0.25">
      <c r="A2888" s="31">
        <v>44618</v>
      </c>
      <c r="B2888" s="37" t="s">
        <v>6682</v>
      </c>
      <c r="C2888" s="38" t="s">
        <v>314</v>
      </c>
      <c r="D2888" s="34">
        <v>4748.8</v>
      </c>
      <c r="E2888" s="35">
        <v>44618</v>
      </c>
      <c r="F2888" s="34">
        <v>4748.8</v>
      </c>
      <c r="G2888" s="36">
        <f>Tabla13[[#This Row],[Importe]]-Tabla13[[#This Row],[Pagado]]</f>
        <v>0</v>
      </c>
      <c r="H2888" s="38" t="s">
        <v>10</v>
      </c>
    </row>
    <row r="2889" spans="1:8" x14ac:dyDescent="0.25">
      <c r="A2889" s="31">
        <v>44618</v>
      </c>
      <c r="B2889" s="37" t="s">
        <v>6683</v>
      </c>
      <c r="C2889" s="38" t="s">
        <v>525</v>
      </c>
      <c r="D2889" s="34">
        <v>2130.8000000000002</v>
      </c>
      <c r="E2889" s="35">
        <v>44618</v>
      </c>
      <c r="F2889" s="34">
        <v>2130.8000000000002</v>
      </c>
      <c r="G2889" s="36">
        <f>Tabla13[[#This Row],[Importe]]-Tabla13[[#This Row],[Pagado]]</f>
        <v>0</v>
      </c>
      <c r="H2889" s="38" t="s">
        <v>10</v>
      </c>
    </row>
    <row r="2890" spans="1:8" x14ac:dyDescent="0.25">
      <c r="A2890" s="31">
        <v>44618</v>
      </c>
      <c r="B2890" s="37" t="s">
        <v>6684</v>
      </c>
      <c r="C2890" s="38" t="s">
        <v>319</v>
      </c>
      <c r="D2890" s="34">
        <v>4751.3599999999997</v>
      </c>
      <c r="E2890" s="35">
        <v>44618</v>
      </c>
      <c r="F2890" s="34">
        <v>4751.3599999999997</v>
      </c>
      <c r="G2890" s="36">
        <f>Tabla13[[#This Row],[Importe]]-Tabla13[[#This Row],[Pagado]]</f>
        <v>0</v>
      </c>
      <c r="H2890" s="38" t="s">
        <v>10</v>
      </c>
    </row>
    <row r="2891" spans="1:8" x14ac:dyDescent="0.25">
      <c r="A2891" s="31">
        <v>44618</v>
      </c>
      <c r="B2891" s="37" t="s">
        <v>6685</v>
      </c>
      <c r="C2891" s="38" t="s">
        <v>518</v>
      </c>
      <c r="D2891" s="34">
        <v>1940</v>
      </c>
      <c r="E2891" s="35">
        <v>44618</v>
      </c>
      <c r="F2891" s="34">
        <v>1940</v>
      </c>
      <c r="G2891" s="36">
        <f>Tabla13[[#This Row],[Importe]]-Tabla13[[#This Row],[Pagado]]</f>
        <v>0</v>
      </c>
      <c r="H2891" s="38" t="s">
        <v>10</v>
      </c>
    </row>
    <row r="2892" spans="1:8" x14ac:dyDescent="0.25">
      <c r="A2892" s="31">
        <v>44618</v>
      </c>
      <c r="B2892" s="37" t="s">
        <v>6686</v>
      </c>
      <c r="C2892" s="38" t="s">
        <v>518</v>
      </c>
      <c r="D2892" s="34">
        <v>1274</v>
      </c>
      <c r="E2892" s="35">
        <v>44618</v>
      </c>
      <c r="F2892" s="34">
        <v>1274</v>
      </c>
      <c r="G2892" s="36">
        <f>Tabla13[[#This Row],[Importe]]-Tabla13[[#This Row],[Pagado]]</f>
        <v>0</v>
      </c>
      <c r="H2892" s="38" t="s">
        <v>10</v>
      </c>
    </row>
    <row r="2893" spans="1:8" x14ac:dyDescent="0.25">
      <c r="A2893" s="31">
        <v>44618</v>
      </c>
      <c r="B2893" s="37" t="s">
        <v>6687</v>
      </c>
      <c r="C2893" s="38" t="s">
        <v>520</v>
      </c>
      <c r="D2893" s="34">
        <v>15326.2</v>
      </c>
      <c r="E2893" s="35">
        <v>44618</v>
      </c>
      <c r="F2893" s="34">
        <v>15326.2</v>
      </c>
      <c r="G2893" s="36">
        <f>Tabla13[[#This Row],[Importe]]-Tabla13[[#This Row],[Pagado]]</f>
        <v>0</v>
      </c>
      <c r="H2893" s="38" t="s">
        <v>10</v>
      </c>
    </row>
    <row r="2894" spans="1:8" x14ac:dyDescent="0.25">
      <c r="A2894" s="31">
        <v>44618</v>
      </c>
      <c r="B2894" s="37" t="s">
        <v>6688</v>
      </c>
      <c r="C2894" s="38" t="s">
        <v>159</v>
      </c>
      <c r="D2894" s="34">
        <v>4909.5</v>
      </c>
      <c r="E2894" s="35">
        <v>44618</v>
      </c>
      <c r="F2894" s="34">
        <v>4909.5</v>
      </c>
      <c r="G2894" s="36">
        <f>Tabla13[[#This Row],[Importe]]-Tabla13[[#This Row],[Pagado]]</f>
        <v>0</v>
      </c>
      <c r="H2894" s="38" t="s">
        <v>10</v>
      </c>
    </row>
    <row r="2895" spans="1:8" x14ac:dyDescent="0.25">
      <c r="A2895" s="31">
        <v>44618</v>
      </c>
      <c r="B2895" s="37" t="s">
        <v>6689</v>
      </c>
      <c r="C2895" s="38" t="s">
        <v>93</v>
      </c>
      <c r="D2895" s="34">
        <v>14721.6</v>
      </c>
      <c r="E2895" s="35">
        <v>44620</v>
      </c>
      <c r="F2895" s="34">
        <v>14721.6</v>
      </c>
      <c r="G2895" s="36">
        <f>Tabla13[[#This Row],[Importe]]-Tabla13[[#This Row],[Pagado]]</f>
        <v>0</v>
      </c>
      <c r="H2895" s="38" t="s">
        <v>10</v>
      </c>
    </row>
    <row r="2896" spans="1:8" x14ac:dyDescent="0.25">
      <c r="A2896" s="31">
        <v>44618</v>
      </c>
      <c r="B2896" s="37" t="s">
        <v>6690</v>
      </c>
      <c r="C2896" s="38" t="s">
        <v>345</v>
      </c>
      <c r="D2896" s="34">
        <v>436.8</v>
      </c>
      <c r="E2896" s="35">
        <v>44618</v>
      </c>
      <c r="F2896" s="34">
        <v>436.8</v>
      </c>
      <c r="G2896" s="36">
        <f>Tabla13[[#This Row],[Importe]]-Tabla13[[#This Row],[Pagado]]</f>
        <v>0</v>
      </c>
      <c r="H2896" s="38" t="s">
        <v>10</v>
      </c>
    </row>
    <row r="2897" spans="1:8" x14ac:dyDescent="0.25">
      <c r="A2897" s="31">
        <v>44618</v>
      </c>
      <c r="B2897" s="37" t="s">
        <v>6691</v>
      </c>
      <c r="C2897" s="38" t="s">
        <v>131</v>
      </c>
      <c r="D2897" s="34">
        <v>14081.6</v>
      </c>
      <c r="E2897" s="35">
        <v>44618</v>
      </c>
      <c r="F2897" s="34">
        <v>14081.6</v>
      </c>
      <c r="G2897" s="36">
        <f>Tabla13[[#This Row],[Importe]]-Tabla13[[#This Row],[Pagado]]</f>
        <v>0</v>
      </c>
      <c r="H2897" s="38" t="s">
        <v>10</v>
      </c>
    </row>
    <row r="2898" spans="1:8" x14ac:dyDescent="0.25">
      <c r="A2898" s="31">
        <v>44618</v>
      </c>
      <c r="B2898" s="37" t="s">
        <v>6692</v>
      </c>
      <c r="C2898" s="38" t="s">
        <v>371</v>
      </c>
      <c r="D2898" s="34">
        <v>6796.9</v>
      </c>
      <c r="E2898" s="35">
        <v>44618</v>
      </c>
      <c r="F2898" s="34">
        <v>6796.9</v>
      </c>
      <c r="G2898" s="36">
        <f>Tabla13[[#This Row],[Importe]]-Tabla13[[#This Row],[Pagado]]</f>
        <v>0</v>
      </c>
      <c r="H2898" s="38" t="s">
        <v>10</v>
      </c>
    </row>
    <row r="2899" spans="1:8" x14ac:dyDescent="0.25">
      <c r="A2899" s="31">
        <v>44618</v>
      </c>
      <c r="B2899" s="37" t="s">
        <v>6693</v>
      </c>
      <c r="C2899" s="38" t="s">
        <v>371</v>
      </c>
      <c r="D2899" s="34">
        <v>66558.240000000005</v>
      </c>
      <c r="E2899" s="35">
        <v>44618</v>
      </c>
      <c r="F2899" s="34">
        <v>66558.240000000005</v>
      </c>
      <c r="G2899" s="36">
        <f>Tabla13[[#This Row],[Importe]]-Tabla13[[#This Row],[Pagado]]</f>
        <v>0</v>
      </c>
      <c r="H2899" s="38" t="s">
        <v>10</v>
      </c>
    </row>
    <row r="2900" spans="1:8" ht="31.5" x14ac:dyDescent="0.25">
      <c r="A2900" s="31">
        <v>44618</v>
      </c>
      <c r="B2900" s="37" t="s">
        <v>6694</v>
      </c>
      <c r="C2900" s="38" t="s">
        <v>39</v>
      </c>
      <c r="D2900" s="34">
        <v>33004.5</v>
      </c>
      <c r="E2900" s="35" t="s">
        <v>6976</v>
      </c>
      <c r="F2900" s="34">
        <f>13000+20004.5</f>
        <v>33004.5</v>
      </c>
      <c r="G2900" s="36">
        <f>Tabla13[[#This Row],[Importe]]-Tabla13[[#This Row],[Pagado]]</f>
        <v>0</v>
      </c>
      <c r="H2900" s="38" t="s">
        <v>10</v>
      </c>
    </row>
    <row r="2901" spans="1:8" x14ac:dyDescent="0.25">
      <c r="A2901" s="31">
        <v>44618</v>
      </c>
      <c r="B2901" s="37" t="s">
        <v>6695</v>
      </c>
      <c r="C2901" s="38" t="s">
        <v>64</v>
      </c>
      <c r="D2901" s="34">
        <v>7648.9</v>
      </c>
      <c r="E2901" s="35">
        <v>44620</v>
      </c>
      <c r="F2901" s="34">
        <v>7648.9</v>
      </c>
      <c r="G2901" s="36">
        <f>Tabla13[[#This Row],[Importe]]-Tabla13[[#This Row],[Pagado]]</f>
        <v>0</v>
      </c>
      <c r="H2901" s="38" t="s">
        <v>10</v>
      </c>
    </row>
    <row r="2902" spans="1:8" ht="31.5" x14ac:dyDescent="0.25">
      <c r="A2902" s="31">
        <v>44618</v>
      </c>
      <c r="B2902" s="37" t="s">
        <v>6696</v>
      </c>
      <c r="C2902" s="38" t="s">
        <v>99</v>
      </c>
      <c r="D2902" s="34">
        <v>12400.6</v>
      </c>
      <c r="E2902" s="35" t="s">
        <v>6975</v>
      </c>
      <c r="F2902" s="34">
        <f>8500+3900.6</f>
        <v>12400.6</v>
      </c>
      <c r="G2902" s="36">
        <f>Tabla13[[#This Row],[Importe]]-Tabla13[[#This Row],[Pagado]]</f>
        <v>0</v>
      </c>
      <c r="H2902" s="38" t="s">
        <v>10</v>
      </c>
    </row>
    <row r="2903" spans="1:8" x14ac:dyDescent="0.25">
      <c r="A2903" s="31">
        <v>44618</v>
      </c>
      <c r="B2903" s="37" t="s">
        <v>6697</v>
      </c>
      <c r="C2903" s="38" t="s">
        <v>120</v>
      </c>
      <c r="D2903" s="34">
        <v>4081.7</v>
      </c>
      <c r="E2903" s="35">
        <v>44619</v>
      </c>
      <c r="F2903" s="34">
        <v>4081.7</v>
      </c>
      <c r="G2903" s="36">
        <f>Tabla13[[#This Row],[Importe]]-Tabla13[[#This Row],[Pagado]]</f>
        <v>0</v>
      </c>
      <c r="H2903" s="38" t="s">
        <v>10</v>
      </c>
    </row>
    <row r="2904" spans="1:8" x14ac:dyDescent="0.25">
      <c r="A2904" s="31">
        <v>44618</v>
      </c>
      <c r="B2904" s="37" t="s">
        <v>6698</v>
      </c>
      <c r="C2904" s="38" t="s">
        <v>105</v>
      </c>
      <c r="D2904" s="34">
        <v>7985.3</v>
      </c>
      <c r="E2904" s="35">
        <v>44620</v>
      </c>
      <c r="F2904" s="34">
        <v>7985.3</v>
      </c>
      <c r="G2904" s="36">
        <f>Tabla13[[#This Row],[Importe]]-Tabla13[[#This Row],[Pagado]]</f>
        <v>0</v>
      </c>
      <c r="H2904" s="38" t="s">
        <v>10</v>
      </c>
    </row>
    <row r="2905" spans="1:8" x14ac:dyDescent="0.25">
      <c r="A2905" s="31">
        <v>44618</v>
      </c>
      <c r="B2905" s="37" t="s">
        <v>6699</v>
      </c>
      <c r="C2905" s="38" t="s">
        <v>22</v>
      </c>
      <c r="D2905" s="34">
        <v>1852.8</v>
      </c>
      <c r="E2905" s="35">
        <v>44619</v>
      </c>
      <c r="F2905" s="34">
        <v>1852.8</v>
      </c>
      <c r="G2905" s="36">
        <f>Tabla13[[#This Row],[Importe]]-Tabla13[[#This Row],[Pagado]]</f>
        <v>0</v>
      </c>
      <c r="H2905" s="38" t="s">
        <v>10</v>
      </c>
    </row>
    <row r="2906" spans="1:8" x14ac:dyDescent="0.25">
      <c r="A2906" s="31">
        <v>44618</v>
      </c>
      <c r="B2906" s="37" t="s">
        <v>6700</v>
      </c>
      <c r="C2906" s="38" t="s">
        <v>31</v>
      </c>
      <c r="D2906" s="34">
        <v>4554.3</v>
      </c>
      <c r="E2906" s="35">
        <v>44618</v>
      </c>
      <c r="F2906" s="34">
        <v>4554.3</v>
      </c>
      <c r="G2906" s="36">
        <f>Tabla13[[#This Row],[Importe]]-Tabla13[[#This Row],[Pagado]]</f>
        <v>0</v>
      </c>
      <c r="H2906" s="38" t="s">
        <v>10</v>
      </c>
    </row>
    <row r="2907" spans="1:8" x14ac:dyDescent="0.25">
      <c r="A2907" s="31">
        <v>44618</v>
      </c>
      <c r="B2907" s="37" t="s">
        <v>6701</v>
      </c>
      <c r="C2907" s="38" t="s">
        <v>326</v>
      </c>
      <c r="D2907" s="34">
        <v>7947.7</v>
      </c>
      <c r="E2907" s="35">
        <v>44620</v>
      </c>
      <c r="F2907" s="34">
        <v>7947.7</v>
      </c>
      <c r="G2907" s="36">
        <f>Tabla13[[#This Row],[Importe]]-Tabla13[[#This Row],[Pagado]]</f>
        <v>0</v>
      </c>
      <c r="H2907" s="38" t="s">
        <v>10</v>
      </c>
    </row>
    <row r="2908" spans="1:8" x14ac:dyDescent="0.25">
      <c r="A2908" s="31">
        <v>44618</v>
      </c>
      <c r="B2908" s="37" t="s">
        <v>6702</v>
      </c>
      <c r="C2908" s="38" t="s">
        <v>109</v>
      </c>
      <c r="D2908" s="34">
        <v>3553.2</v>
      </c>
      <c r="E2908" s="35">
        <v>44620</v>
      </c>
      <c r="F2908" s="34">
        <v>3553.2</v>
      </c>
      <c r="G2908" s="36">
        <f>Tabla13[[#This Row],[Importe]]-Tabla13[[#This Row],[Pagado]]</f>
        <v>0</v>
      </c>
      <c r="H2908" s="38" t="s">
        <v>10</v>
      </c>
    </row>
    <row r="2909" spans="1:8" x14ac:dyDescent="0.25">
      <c r="A2909" s="31">
        <v>44618</v>
      </c>
      <c r="B2909" s="37" t="s">
        <v>6703</v>
      </c>
      <c r="C2909" s="38" t="s">
        <v>89</v>
      </c>
      <c r="D2909" s="34">
        <v>6843.8</v>
      </c>
      <c r="E2909" s="35">
        <v>44620</v>
      </c>
      <c r="F2909" s="34">
        <v>6843.8</v>
      </c>
      <c r="G2909" s="36">
        <f>Tabla13[[#This Row],[Importe]]-Tabla13[[#This Row],[Pagado]]</f>
        <v>0</v>
      </c>
      <c r="H2909" s="38" t="s">
        <v>10</v>
      </c>
    </row>
    <row r="2910" spans="1:8" x14ac:dyDescent="0.25">
      <c r="A2910" s="31">
        <v>44618</v>
      </c>
      <c r="B2910" s="37" t="s">
        <v>6704</v>
      </c>
      <c r="C2910" s="38" t="s">
        <v>60</v>
      </c>
      <c r="D2910" s="34">
        <v>7090.3</v>
      </c>
      <c r="E2910" s="35">
        <v>44625</v>
      </c>
      <c r="F2910" s="34">
        <v>7090.3</v>
      </c>
      <c r="G2910" s="36">
        <f>Tabla13[[#This Row],[Importe]]-Tabla13[[#This Row],[Pagado]]</f>
        <v>0</v>
      </c>
      <c r="H2910" s="38" t="s">
        <v>10</v>
      </c>
    </row>
    <row r="2911" spans="1:8" x14ac:dyDescent="0.25">
      <c r="A2911" s="31">
        <v>44618</v>
      </c>
      <c r="B2911" s="37" t="s">
        <v>6705</v>
      </c>
      <c r="C2911" s="38" t="s">
        <v>31</v>
      </c>
      <c r="D2911" s="34">
        <v>3374.6</v>
      </c>
      <c r="E2911" s="35">
        <v>44618</v>
      </c>
      <c r="F2911" s="34">
        <v>3374.6</v>
      </c>
      <c r="G2911" s="36">
        <f>Tabla13[[#This Row],[Importe]]-Tabla13[[#This Row],[Pagado]]</f>
        <v>0</v>
      </c>
      <c r="H2911" s="38" t="s">
        <v>10</v>
      </c>
    </row>
    <row r="2912" spans="1:8" x14ac:dyDescent="0.25">
      <c r="A2912" s="31">
        <v>44618</v>
      </c>
      <c r="B2912" s="37" t="s">
        <v>6706</v>
      </c>
      <c r="C2912" s="38" t="s">
        <v>111</v>
      </c>
      <c r="D2912" s="34">
        <v>7435.4</v>
      </c>
      <c r="E2912" s="35">
        <v>44620</v>
      </c>
      <c r="F2912" s="34">
        <v>7435.4</v>
      </c>
      <c r="G2912" s="36">
        <f>Tabla13[[#This Row],[Importe]]-Tabla13[[#This Row],[Pagado]]</f>
        <v>0</v>
      </c>
      <c r="H2912" s="38" t="s">
        <v>10</v>
      </c>
    </row>
    <row r="2913" spans="1:8" x14ac:dyDescent="0.25">
      <c r="A2913" s="31">
        <v>44618</v>
      </c>
      <c r="B2913" s="37" t="s">
        <v>6707</v>
      </c>
      <c r="C2913" s="38" t="s">
        <v>348</v>
      </c>
      <c r="D2913" s="34">
        <v>4620.8</v>
      </c>
      <c r="E2913" s="35">
        <v>44618</v>
      </c>
      <c r="F2913" s="34">
        <v>4620.8</v>
      </c>
      <c r="G2913" s="36">
        <f>Tabla13[[#This Row],[Importe]]-Tabla13[[#This Row],[Pagado]]</f>
        <v>0</v>
      </c>
      <c r="H2913" s="38" t="s">
        <v>10</v>
      </c>
    </row>
    <row r="2914" spans="1:8" x14ac:dyDescent="0.25">
      <c r="A2914" s="31">
        <v>44618</v>
      </c>
      <c r="B2914" s="37" t="s">
        <v>6708</v>
      </c>
      <c r="C2914" s="38" t="s">
        <v>97</v>
      </c>
      <c r="D2914" s="34">
        <v>11002.7</v>
      </c>
      <c r="E2914" s="35">
        <v>44620</v>
      </c>
      <c r="F2914" s="34">
        <v>11002.7</v>
      </c>
      <c r="G2914" s="36">
        <f>Tabla13[[#This Row],[Importe]]-Tabla13[[#This Row],[Pagado]]</f>
        <v>0</v>
      </c>
      <c r="H2914" s="38" t="s">
        <v>10</v>
      </c>
    </row>
    <row r="2915" spans="1:8" x14ac:dyDescent="0.25">
      <c r="A2915" s="31">
        <v>44618</v>
      </c>
      <c r="B2915" s="37" t="s">
        <v>6709</v>
      </c>
      <c r="C2915" s="38" t="s">
        <v>114</v>
      </c>
      <c r="D2915" s="34">
        <v>8634.1</v>
      </c>
      <c r="E2915" s="35">
        <v>44620</v>
      </c>
      <c r="F2915" s="34">
        <v>8634.1</v>
      </c>
      <c r="G2915" s="36">
        <f>Tabla13[[#This Row],[Importe]]-Tabla13[[#This Row],[Pagado]]</f>
        <v>0</v>
      </c>
      <c r="H2915" s="38" t="s">
        <v>10</v>
      </c>
    </row>
    <row r="2916" spans="1:8" x14ac:dyDescent="0.25">
      <c r="A2916" s="31">
        <v>44618</v>
      </c>
      <c r="B2916" s="37" t="s">
        <v>6710</v>
      </c>
      <c r="C2916" s="38" t="s">
        <v>357</v>
      </c>
      <c r="D2916" s="34">
        <v>775.9</v>
      </c>
      <c r="E2916" s="35">
        <v>44618</v>
      </c>
      <c r="F2916" s="34">
        <v>775.9</v>
      </c>
      <c r="G2916" s="36">
        <f>Tabla13[[#This Row],[Importe]]-Tabla13[[#This Row],[Pagado]]</f>
        <v>0</v>
      </c>
      <c r="H2916" s="38" t="s">
        <v>10</v>
      </c>
    </row>
    <row r="2917" spans="1:8" x14ac:dyDescent="0.25">
      <c r="A2917" s="31">
        <v>44618</v>
      </c>
      <c r="B2917" s="37" t="s">
        <v>6711</v>
      </c>
      <c r="C2917" s="38" t="s">
        <v>140</v>
      </c>
      <c r="D2917" s="34">
        <v>3821.5</v>
      </c>
      <c r="E2917" s="35">
        <v>44618</v>
      </c>
      <c r="F2917" s="34">
        <v>3821.5</v>
      </c>
      <c r="G2917" s="36">
        <f>Tabla13[[#This Row],[Importe]]-Tabla13[[#This Row],[Pagado]]</f>
        <v>0</v>
      </c>
      <c r="H2917" s="38" t="s">
        <v>10</v>
      </c>
    </row>
    <row r="2918" spans="1:8" x14ac:dyDescent="0.25">
      <c r="A2918" s="31">
        <v>44618</v>
      </c>
      <c r="B2918" s="37" t="s">
        <v>6712</v>
      </c>
      <c r="C2918" s="38" t="s">
        <v>129</v>
      </c>
      <c r="D2918" s="34">
        <v>4177</v>
      </c>
      <c r="E2918" s="35">
        <v>44618</v>
      </c>
      <c r="F2918" s="34">
        <v>4177</v>
      </c>
      <c r="G2918" s="36">
        <f>Tabla13[[#This Row],[Importe]]-Tabla13[[#This Row],[Pagado]]</f>
        <v>0</v>
      </c>
      <c r="H2918" s="38" t="s">
        <v>10</v>
      </c>
    </row>
    <row r="2919" spans="1:8" x14ac:dyDescent="0.25">
      <c r="A2919" s="31">
        <v>44618</v>
      </c>
      <c r="B2919" s="37" t="s">
        <v>6713</v>
      </c>
      <c r="C2919" s="38" t="s">
        <v>127</v>
      </c>
      <c r="D2919" s="34">
        <v>1356.8</v>
      </c>
      <c r="E2919" s="35">
        <v>44618</v>
      </c>
      <c r="F2919" s="34">
        <v>1356.8</v>
      </c>
      <c r="G2919" s="36">
        <f>Tabla13[[#This Row],[Importe]]-Tabla13[[#This Row],[Pagado]]</f>
        <v>0</v>
      </c>
      <c r="H2919" s="38" t="s">
        <v>10</v>
      </c>
    </row>
    <row r="2920" spans="1:8" x14ac:dyDescent="0.25">
      <c r="A2920" s="31">
        <v>44618</v>
      </c>
      <c r="B2920" s="37" t="s">
        <v>6714</v>
      </c>
      <c r="C2920" s="38" t="s">
        <v>196</v>
      </c>
      <c r="D2920" s="34">
        <v>96471.72</v>
      </c>
      <c r="E2920" s="35">
        <v>44624</v>
      </c>
      <c r="F2920" s="34">
        <v>96471.72</v>
      </c>
      <c r="G2920" s="36">
        <f>Tabla13[[#This Row],[Importe]]-Tabla13[[#This Row],[Pagado]]</f>
        <v>0</v>
      </c>
      <c r="H2920" s="38" t="s">
        <v>10</v>
      </c>
    </row>
    <row r="2921" spans="1:8" x14ac:dyDescent="0.25">
      <c r="A2921" s="31">
        <v>44618</v>
      </c>
      <c r="B2921" s="37" t="s">
        <v>6715</v>
      </c>
      <c r="C2921" s="38" t="s">
        <v>1650</v>
      </c>
      <c r="D2921" s="34">
        <v>1875</v>
      </c>
      <c r="E2921" s="35">
        <v>44618</v>
      </c>
      <c r="F2921" s="34">
        <v>1875</v>
      </c>
      <c r="G2921" s="36">
        <f>Tabla13[[#This Row],[Importe]]-Tabla13[[#This Row],[Pagado]]</f>
        <v>0</v>
      </c>
      <c r="H2921" s="38" t="s">
        <v>10</v>
      </c>
    </row>
    <row r="2922" spans="1:8" x14ac:dyDescent="0.25">
      <c r="A2922" s="31">
        <v>44618</v>
      </c>
      <c r="B2922" s="37" t="s">
        <v>6716</v>
      </c>
      <c r="C2922" s="38" t="s">
        <v>79</v>
      </c>
      <c r="D2922" s="34">
        <v>18391</v>
      </c>
      <c r="E2922" s="35">
        <v>44618</v>
      </c>
      <c r="F2922" s="34">
        <v>18391</v>
      </c>
      <c r="G2922" s="36">
        <f>Tabla13[[#This Row],[Importe]]-Tabla13[[#This Row],[Pagado]]</f>
        <v>0</v>
      </c>
      <c r="H2922" s="38" t="s">
        <v>10</v>
      </c>
    </row>
    <row r="2923" spans="1:8" x14ac:dyDescent="0.25">
      <c r="A2923" s="31">
        <v>44618</v>
      </c>
      <c r="B2923" s="37" t="s">
        <v>6717</v>
      </c>
      <c r="C2923" s="38" t="s">
        <v>16</v>
      </c>
      <c r="D2923" s="34">
        <v>5116</v>
      </c>
      <c r="E2923" s="35">
        <v>44618</v>
      </c>
      <c r="F2923" s="34">
        <v>5116</v>
      </c>
      <c r="G2923" s="36">
        <f>Tabla13[[#This Row],[Importe]]-Tabla13[[#This Row],[Pagado]]</f>
        <v>0</v>
      </c>
      <c r="H2923" s="38" t="s">
        <v>10</v>
      </c>
    </row>
    <row r="2924" spans="1:8" x14ac:dyDescent="0.25">
      <c r="A2924" s="31">
        <v>44618</v>
      </c>
      <c r="B2924" s="37" t="s">
        <v>6718</v>
      </c>
      <c r="C2924" s="38" t="s">
        <v>605</v>
      </c>
      <c r="D2924" s="34">
        <v>32887.08</v>
      </c>
      <c r="E2924" s="35">
        <v>44618</v>
      </c>
      <c r="F2924" s="34">
        <v>32887.08</v>
      </c>
      <c r="G2924" s="36">
        <f>Tabla13[[#This Row],[Importe]]-Tabla13[[#This Row],[Pagado]]</f>
        <v>0</v>
      </c>
      <c r="H2924" s="38" t="s">
        <v>10</v>
      </c>
    </row>
    <row r="2925" spans="1:8" x14ac:dyDescent="0.25">
      <c r="A2925" s="31">
        <v>44618</v>
      </c>
      <c r="B2925" s="37" t="s">
        <v>6719</v>
      </c>
      <c r="C2925" s="38" t="s">
        <v>43</v>
      </c>
      <c r="D2925" s="34">
        <v>6734.4</v>
      </c>
      <c r="E2925" s="35">
        <v>44618</v>
      </c>
      <c r="F2925" s="34">
        <v>6734.4</v>
      </c>
      <c r="G2925" s="36">
        <f>Tabla13[[#This Row],[Importe]]-Tabla13[[#This Row],[Pagado]]</f>
        <v>0</v>
      </c>
      <c r="H2925" s="38" t="s">
        <v>10</v>
      </c>
    </row>
    <row r="2926" spans="1:8" x14ac:dyDescent="0.25">
      <c r="A2926" s="31">
        <v>44618</v>
      </c>
      <c r="B2926" s="37" t="s">
        <v>6720</v>
      </c>
      <c r="C2926" s="38" t="s">
        <v>79</v>
      </c>
      <c r="D2926" s="34">
        <v>4181.7</v>
      </c>
      <c r="E2926" s="35">
        <v>44618</v>
      </c>
      <c r="F2926" s="34">
        <v>4181.7</v>
      </c>
      <c r="G2926" s="36">
        <f>Tabla13[[#This Row],[Importe]]-Tabla13[[#This Row],[Pagado]]</f>
        <v>0</v>
      </c>
      <c r="H2926" s="38" t="s">
        <v>10</v>
      </c>
    </row>
    <row r="2927" spans="1:8" x14ac:dyDescent="0.25">
      <c r="A2927" s="31">
        <v>44618</v>
      </c>
      <c r="B2927" s="37" t="s">
        <v>6721</v>
      </c>
      <c r="C2927" s="38" t="s">
        <v>161</v>
      </c>
      <c r="D2927" s="34">
        <v>3789.5</v>
      </c>
      <c r="E2927" s="35">
        <v>44618</v>
      </c>
      <c r="F2927" s="34">
        <v>3789.5</v>
      </c>
      <c r="G2927" s="36">
        <f>Tabla13[[#This Row],[Importe]]-Tabla13[[#This Row],[Pagado]]</f>
        <v>0</v>
      </c>
      <c r="H2927" s="38" t="s">
        <v>10</v>
      </c>
    </row>
    <row r="2928" spans="1:8" x14ac:dyDescent="0.25">
      <c r="A2928" s="31">
        <v>44618</v>
      </c>
      <c r="B2928" s="37" t="s">
        <v>6722</v>
      </c>
      <c r="C2928" s="38" t="s">
        <v>226</v>
      </c>
      <c r="D2928" s="34">
        <v>10568.2</v>
      </c>
      <c r="E2928" s="35">
        <v>44618</v>
      </c>
      <c r="F2928" s="34">
        <v>10568.2</v>
      </c>
      <c r="G2928" s="36">
        <f>Tabla13[[#This Row],[Importe]]-Tabla13[[#This Row],[Pagado]]</f>
        <v>0</v>
      </c>
      <c r="H2928" s="38" t="s">
        <v>10</v>
      </c>
    </row>
    <row r="2929" spans="1:8" x14ac:dyDescent="0.25">
      <c r="A2929" s="31">
        <v>44618</v>
      </c>
      <c r="B2929" s="37" t="s">
        <v>6723</v>
      </c>
      <c r="C2929" s="38" t="s">
        <v>380</v>
      </c>
      <c r="D2929" s="34">
        <v>7396.9</v>
      </c>
      <c r="E2929" s="35">
        <v>44618</v>
      </c>
      <c r="F2929" s="34">
        <v>7396.9</v>
      </c>
      <c r="G2929" s="36">
        <f>Tabla13[[#This Row],[Importe]]-Tabla13[[#This Row],[Pagado]]</f>
        <v>0</v>
      </c>
      <c r="H2929" s="38" t="s">
        <v>10</v>
      </c>
    </row>
    <row r="2930" spans="1:8" x14ac:dyDescent="0.25">
      <c r="A2930" s="31">
        <v>44618</v>
      </c>
      <c r="B2930" s="37" t="s">
        <v>6724</v>
      </c>
      <c r="C2930" s="38" t="s">
        <v>27</v>
      </c>
      <c r="D2930" s="34">
        <v>828</v>
      </c>
      <c r="E2930" s="35">
        <v>44618</v>
      </c>
      <c r="F2930" s="34">
        <v>828</v>
      </c>
      <c r="G2930" s="36">
        <f>Tabla13[[#This Row],[Importe]]-Tabla13[[#This Row],[Pagado]]</f>
        <v>0</v>
      </c>
      <c r="H2930" s="38" t="s">
        <v>10</v>
      </c>
    </row>
    <row r="2931" spans="1:8" x14ac:dyDescent="0.25">
      <c r="A2931" s="31">
        <v>44618</v>
      </c>
      <c r="B2931" s="37" t="s">
        <v>6725</v>
      </c>
      <c r="C2931" s="38" t="s">
        <v>135</v>
      </c>
      <c r="D2931" s="34">
        <v>1072.8</v>
      </c>
      <c r="E2931" s="35">
        <v>44618</v>
      </c>
      <c r="F2931" s="34">
        <v>1072.8</v>
      </c>
      <c r="G2931" s="36">
        <f>Tabla13[[#This Row],[Importe]]-Tabla13[[#This Row],[Pagado]]</f>
        <v>0</v>
      </c>
      <c r="H2931" s="38" t="s">
        <v>10</v>
      </c>
    </row>
    <row r="2932" spans="1:8" x14ac:dyDescent="0.25">
      <c r="A2932" s="31">
        <v>44618</v>
      </c>
      <c r="B2932" s="37" t="s">
        <v>6726</v>
      </c>
      <c r="C2932" s="38" t="s">
        <v>484</v>
      </c>
      <c r="D2932" s="34">
        <v>1879.2</v>
      </c>
      <c r="E2932" s="35">
        <v>44618</v>
      </c>
      <c r="F2932" s="34">
        <v>1879.2</v>
      </c>
      <c r="G2932" s="36">
        <f>Tabla13[[#This Row],[Importe]]-Tabla13[[#This Row],[Pagado]]</f>
        <v>0</v>
      </c>
      <c r="H2932" s="38" t="s">
        <v>10</v>
      </c>
    </row>
    <row r="2933" spans="1:8" x14ac:dyDescent="0.25">
      <c r="A2933" s="31">
        <v>44618</v>
      </c>
      <c r="B2933" s="37" t="s">
        <v>6727</v>
      </c>
      <c r="C2933" s="38" t="s">
        <v>29</v>
      </c>
      <c r="D2933" s="34">
        <v>5671</v>
      </c>
      <c r="E2933" s="35">
        <v>44618</v>
      </c>
      <c r="F2933" s="34">
        <v>5671</v>
      </c>
      <c r="G2933" s="36">
        <f>Tabla13[[#This Row],[Importe]]-Tabla13[[#This Row],[Pagado]]</f>
        <v>0</v>
      </c>
      <c r="H2933" s="38" t="s">
        <v>10</v>
      </c>
    </row>
    <row r="2934" spans="1:8" x14ac:dyDescent="0.25">
      <c r="A2934" s="31">
        <v>44618</v>
      </c>
      <c r="B2934" s="37" t="s">
        <v>6728</v>
      </c>
      <c r="C2934" s="38" t="s">
        <v>49</v>
      </c>
      <c r="D2934" s="34">
        <v>3229</v>
      </c>
      <c r="E2934" s="35">
        <v>44618</v>
      </c>
      <c r="F2934" s="34">
        <v>3229</v>
      </c>
      <c r="G2934" s="36">
        <f>Tabla13[[#This Row],[Importe]]-Tabla13[[#This Row],[Pagado]]</f>
        <v>0</v>
      </c>
      <c r="H2934" s="38" t="s">
        <v>10</v>
      </c>
    </row>
    <row r="2935" spans="1:8" x14ac:dyDescent="0.25">
      <c r="A2935" s="31">
        <v>44618</v>
      </c>
      <c r="B2935" s="37" t="s">
        <v>6729</v>
      </c>
      <c r="C2935" s="38" t="s">
        <v>484</v>
      </c>
      <c r="D2935" s="34">
        <v>4216</v>
      </c>
      <c r="E2935" s="35">
        <v>44618</v>
      </c>
      <c r="F2935" s="34">
        <v>4216</v>
      </c>
      <c r="G2935" s="36">
        <f>Tabla13[[#This Row],[Importe]]-Tabla13[[#This Row],[Pagado]]</f>
        <v>0</v>
      </c>
      <c r="H2935" s="38" t="s">
        <v>10</v>
      </c>
    </row>
    <row r="2936" spans="1:8" x14ac:dyDescent="0.25">
      <c r="A2936" s="31">
        <v>44618</v>
      </c>
      <c r="B2936" s="37" t="s">
        <v>6730</v>
      </c>
      <c r="C2936" s="38" t="s">
        <v>230</v>
      </c>
      <c r="D2936" s="34">
        <v>4972.5</v>
      </c>
      <c r="E2936" s="35">
        <v>44618</v>
      </c>
      <c r="F2936" s="34">
        <v>4972.5</v>
      </c>
      <c r="G2936" s="36">
        <f>Tabla13[[#This Row],[Importe]]-Tabla13[[#This Row],[Pagado]]</f>
        <v>0</v>
      </c>
      <c r="H2936" s="38" t="s">
        <v>10</v>
      </c>
    </row>
    <row r="2937" spans="1:8" x14ac:dyDescent="0.25">
      <c r="A2937" s="31">
        <v>44618</v>
      </c>
      <c r="B2937" s="37" t="s">
        <v>6731</v>
      </c>
      <c r="C2937" s="38" t="s">
        <v>230</v>
      </c>
      <c r="D2937" s="34">
        <v>211.2</v>
      </c>
      <c r="E2937" s="35">
        <v>44618</v>
      </c>
      <c r="F2937" s="34">
        <v>211.2</v>
      </c>
      <c r="G2937" s="36">
        <f>Tabla13[[#This Row],[Importe]]-Tabla13[[#This Row],[Pagado]]</f>
        <v>0</v>
      </c>
      <c r="H2937" s="38" t="s">
        <v>10</v>
      </c>
    </row>
    <row r="2938" spans="1:8" x14ac:dyDescent="0.25">
      <c r="A2938" s="31">
        <v>44618</v>
      </c>
      <c r="B2938" s="37" t="s">
        <v>6732</v>
      </c>
      <c r="C2938" s="38" t="s">
        <v>3971</v>
      </c>
      <c r="D2938" s="34">
        <v>8707.2000000000007</v>
      </c>
      <c r="E2938" s="35">
        <v>44618</v>
      </c>
      <c r="F2938" s="34">
        <v>8707.2000000000007</v>
      </c>
      <c r="G2938" s="36">
        <f>Tabla13[[#This Row],[Importe]]-Tabla13[[#This Row],[Pagado]]</f>
        <v>0</v>
      </c>
      <c r="H2938" s="38" t="s">
        <v>10</v>
      </c>
    </row>
    <row r="2939" spans="1:8" x14ac:dyDescent="0.25">
      <c r="A2939" s="31">
        <v>44618</v>
      </c>
      <c r="B2939" s="37" t="s">
        <v>6733</v>
      </c>
      <c r="C2939" s="38" t="s">
        <v>216</v>
      </c>
      <c r="D2939" s="34">
        <v>1102.4000000000001</v>
      </c>
      <c r="E2939" s="35">
        <v>44618</v>
      </c>
      <c r="F2939" s="34">
        <v>1102.4000000000001</v>
      </c>
      <c r="G2939" s="36">
        <f>Tabla13[[#This Row],[Importe]]-Tabla13[[#This Row],[Pagado]]</f>
        <v>0</v>
      </c>
      <c r="H2939" s="38" t="s">
        <v>10</v>
      </c>
    </row>
    <row r="2940" spans="1:8" x14ac:dyDescent="0.25">
      <c r="A2940" s="31">
        <v>44618</v>
      </c>
      <c r="B2940" s="37" t="s">
        <v>6734</v>
      </c>
      <c r="C2940" s="38" t="s">
        <v>71</v>
      </c>
      <c r="D2940" s="34">
        <v>3428.6</v>
      </c>
      <c r="E2940" s="35">
        <v>44618</v>
      </c>
      <c r="F2940" s="34">
        <v>3428.6</v>
      </c>
      <c r="G2940" s="36">
        <f>Tabla13[[#This Row],[Importe]]-Tabla13[[#This Row],[Pagado]]</f>
        <v>0</v>
      </c>
      <c r="H2940" s="38" t="s">
        <v>10</v>
      </c>
    </row>
    <row r="2941" spans="1:8" x14ac:dyDescent="0.25">
      <c r="A2941" s="31">
        <v>44618</v>
      </c>
      <c r="B2941" s="37" t="s">
        <v>6735</v>
      </c>
      <c r="C2941" s="38" t="s">
        <v>45</v>
      </c>
      <c r="D2941" s="34">
        <v>9819</v>
      </c>
      <c r="E2941" s="35">
        <v>44618</v>
      </c>
      <c r="F2941" s="34">
        <v>9819</v>
      </c>
      <c r="G2941" s="36">
        <f>Tabla13[[#This Row],[Importe]]-Tabla13[[#This Row],[Pagado]]</f>
        <v>0</v>
      </c>
      <c r="H2941" s="38" t="s">
        <v>10</v>
      </c>
    </row>
    <row r="2942" spans="1:8" x14ac:dyDescent="0.25">
      <c r="A2942" s="31">
        <v>44618</v>
      </c>
      <c r="B2942" s="37" t="s">
        <v>6736</v>
      </c>
      <c r="C2942" s="38" t="s">
        <v>142</v>
      </c>
      <c r="D2942" s="34">
        <v>40377.15</v>
      </c>
      <c r="E2942" s="35">
        <v>44643</v>
      </c>
      <c r="F2942" s="34">
        <v>40377.15</v>
      </c>
      <c r="G2942" s="36">
        <f>Tabla13[[#This Row],[Importe]]-Tabla13[[#This Row],[Pagado]]</f>
        <v>0</v>
      </c>
      <c r="H2942" s="38" t="s">
        <v>10</v>
      </c>
    </row>
    <row r="2943" spans="1:8" x14ac:dyDescent="0.25">
      <c r="A2943" s="31">
        <v>44618</v>
      </c>
      <c r="B2943" s="37" t="s">
        <v>6737</v>
      </c>
      <c r="C2943" s="38" t="s">
        <v>198</v>
      </c>
      <c r="D2943" s="34">
        <v>3931.6</v>
      </c>
      <c r="E2943" s="35">
        <v>44618</v>
      </c>
      <c r="F2943" s="34">
        <v>3931.6</v>
      </c>
      <c r="G2943" s="36">
        <f>Tabla13[[#This Row],[Importe]]-Tabla13[[#This Row],[Pagado]]</f>
        <v>0</v>
      </c>
      <c r="H2943" s="38" t="s">
        <v>10</v>
      </c>
    </row>
    <row r="2944" spans="1:8" x14ac:dyDescent="0.25">
      <c r="A2944" s="31">
        <v>44618</v>
      </c>
      <c r="B2944" s="37" t="s">
        <v>6738</v>
      </c>
      <c r="C2944" s="38" t="s">
        <v>24</v>
      </c>
      <c r="D2944" s="34">
        <v>2072.6</v>
      </c>
      <c r="E2944" s="35">
        <v>44618</v>
      </c>
      <c r="F2944" s="34">
        <v>2072.6</v>
      </c>
      <c r="G2944" s="36">
        <f>Tabla13[[#This Row],[Importe]]-Tabla13[[#This Row],[Pagado]]</f>
        <v>0</v>
      </c>
      <c r="H2944" s="38" t="s">
        <v>10</v>
      </c>
    </row>
    <row r="2945" spans="1:8" x14ac:dyDescent="0.25">
      <c r="A2945" s="31">
        <v>44618</v>
      </c>
      <c r="B2945" s="37" t="s">
        <v>6739</v>
      </c>
      <c r="C2945" s="38" t="s">
        <v>4136</v>
      </c>
      <c r="D2945" s="34">
        <v>4669.8999999999996</v>
      </c>
      <c r="E2945" s="35">
        <v>44618</v>
      </c>
      <c r="F2945" s="34">
        <v>4669.8999999999996</v>
      </c>
      <c r="G2945" s="36">
        <f>Tabla13[[#This Row],[Importe]]-Tabla13[[#This Row],[Pagado]]</f>
        <v>0</v>
      </c>
      <c r="H2945" s="38" t="s">
        <v>10</v>
      </c>
    </row>
    <row r="2946" spans="1:8" x14ac:dyDescent="0.25">
      <c r="A2946" s="31">
        <v>44618</v>
      </c>
      <c r="B2946" s="37" t="s">
        <v>6740</v>
      </c>
      <c r="C2946" s="38" t="s">
        <v>89</v>
      </c>
      <c r="D2946" s="34">
        <v>1463.2</v>
      </c>
      <c r="E2946" s="35">
        <v>44618</v>
      </c>
      <c r="F2946" s="34">
        <v>1463.2</v>
      </c>
      <c r="G2946" s="36">
        <f>Tabla13[[#This Row],[Importe]]-Tabla13[[#This Row],[Pagado]]</f>
        <v>0</v>
      </c>
      <c r="H2946" s="38" t="s">
        <v>10</v>
      </c>
    </row>
    <row r="2947" spans="1:8" x14ac:dyDescent="0.25">
      <c r="A2947" s="31">
        <v>44618</v>
      </c>
      <c r="B2947" s="37" t="s">
        <v>6741</v>
      </c>
      <c r="C2947" s="38" t="s">
        <v>698</v>
      </c>
      <c r="D2947" s="34">
        <v>3535.9</v>
      </c>
      <c r="E2947" s="35">
        <v>44618</v>
      </c>
      <c r="F2947" s="34">
        <v>3535.9</v>
      </c>
      <c r="G2947" s="36">
        <f>Tabla13[[#This Row],[Importe]]-Tabla13[[#This Row],[Pagado]]</f>
        <v>0</v>
      </c>
      <c r="H2947" s="38" t="s">
        <v>10</v>
      </c>
    </row>
    <row r="2948" spans="1:8" x14ac:dyDescent="0.25">
      <c r="A2948" s="31">
        <v>44618</v>
      </c>
      <c r="B2948" s="37" t="s">
        <v>6742</v>
      </c>
      <c r="C2948" s="38" t="s">
        <v>22</v>
      </c>
      <c r="D2948" s="34">
        <v>7036.4</v>
      </c>
      <c r="E2948" s="35">
        <v>44619</v>
      </c>
      <c r="F2948" s="34">
        <v>7036.4</v>
      </c>
      <c r="G2948" s="36">
        <f>Tabla13[[#This Row],[Importe]]-Tabla13[[#This Row],[Pagado]]</f>
        <v>0</v>
      </c>
      <c r="H2948" s="38" t="s">
        <v>10</v>
      </c>
    </row>
    <row r="2949" spans="1:8" x14ac:dyDescent="0.25">
      <c r="A2949" s="31">
        <v>44618</v>
      </c>
      <c r="B2949" s="37" t="s">
        <v>6743</v>
      </c>
      <c r="C2949" s="38" t="s">
        <v>53</v>
      </c>
      <c r="D2949" s="34">
        <v>6163.6</v>
      </c>
      <c r="E2949" s="35">
        <v>44618</v>
      </c>
      <c r="F2949" s="34">
        <v>6163.6</v>
      </c>
      <c r="G2949" s="36">
        <f>Tabla13[[#This Row],[Importe]]-Tabla13[[#This Row],[Pagado]]</f>
        <v>0</v>
      </c>
      <c r="H2949" s="38" t="s">
        <v>10</v>
      </c>
    </row>
    <row r="2950" spans="1:8" x14ac:dyDescent="0.25">
      <c r="A2950" s="31">
        <v>44618</v>
      </c>
      <c r="B2950" s="37" t="s">
        <v>6744</v>
      </c>
      <c r="C2950" s="38" t="s">
        <v>179</v>
      </c>
      <c r="D2950" s="34">
        <v>567.1</v>
      </c>
      <c r="E2950" s="35">
        <v>44618</v>
      </c>
      <c r="F2950" s="34">
        <v>567.1</v>
      </c>
      <c r="G2950" s="36">
        <f>Tabla13[[#This Row],[Importe]]-Tabla13[[#This Row],[Pagado]]</f>
        <v>0</v>
      </c>
      <c r="H2950" s="38" t="s">
        <v>10</v>
      </c>
    </row>
    <row r="2951" spans="1:8" x14ac:dyDescent="0.25">
      <c r="A2951" s="31">
        <v>44618</v>
      </c>
      <c r="B2951" s="37" t="s">
        <v>6745</v>
      </c>
      <c r="C2951" s="38" t="s">
        <v>85</v>
      </c>
      <c r="D2951" s="34">
        <v>1743.7</v>
      </c>
      <c r="E2951" s="35">
        <v>44618</v>
      </c>
      <c r="F2951" s="34">
        <v>1743.7</v>
      </c>
      <c r="G2951" s="36">
        <f>Tabla13[[#This Row],[Importe]]-Tabla13[[#This Row],[Pagado]]</f>
        <v>0</v>
      </c>
      <c r="H2951" s="38" t="s">
        <v>10</v>
      </c>
    </row>
    <row r="2952" spans="1:8" x14ac:dyDescent="0.25">
      <c r="A2952" s="31">
        <v>44618</v>
      </c>
      <c r="B2952" s="37" t="s">
        <v>6746</v>
      </c>
      <c r="C2952" s="38" t="s">
        <v>216</v>
      </c>
      <c r="D2952" s="34">
        <v>901</v>
      </c>
      <c r="E2952" s="35">
        <v>44618</v>
      </c>
      <c r="F2952" s="34">
        <v>901</v>
      </c>
      <c r="G2952" s="36">
        <f>Tabla13[[#This Row],[Importe]]-Tabla13[[#This Row],[Pagado]]</f>
        <v>0</v>
      </c>
      <c r="H2952" s="38" t="s">
        <v>10</v>
      </c>
    </row>
    <row r="2953" spans="1:8" x14ac:dyDescent="0.25">
      <c r="A2953" s="31">
        <v>44618</v>
      </c>
      <c r="B2953" s="37" t="s">
        <v>6747</v>
      </c>
      <c r="C2953" s="38" t="s">
        <v>62</v>
      </c>
      <c r="D2953" s="34">
        <v>3209.1</v>
      </c>
      <c r="E2953" s="35">
        <v>44618</v>
      </c>
      <c r="F2953" s="34">
        <v>3209.1</v>
      </c>
      <c r="G2953" s="36">
        <f>Tabla13[[#This Row],[Importe]]-Tabla13[[#This Row],[Pagado]]</f>
        <v>0</v>
      </c>
      <c r="H2953" s="38" t="s">
        <v>10</v>
      </c>
    </row>
    <row r="2954" spans="1:8" x14ac:dyDescent="0.25">
      <c r="A2954" s="31">
        <v>44618</v>
      </c>
      <c r="B2954" s="37" t="s">
        <v>6748</v>
      </c>
      <c r="C2954" s="38" t="s">
        <v>3402</v>
      </c>
      <c r="D2954" s="34">
        <v>1039.5999999999999</v>
      </c>
      <c r="E2954" s="35">
        <v>44618</v>
      </c>
      <c r="F2954" s="34">
        <v>1039.5999999999999</v>
      </c>
      <c r="G2954" s="36">
        <f>Tabla13[[#This Row],[Importe]]-Tabla13[[#This Row],[Pagado]]</f>
        <v>0</v>
      </c>
      <c r="H2954" s="38" t="s">
        <v>10</v>
      </c>
    </row>
    <row r="2955" spans="1:8" x14ac:dyDescent="0.25">
      <c r="A2955" s="31">
        <v>44618</v>
      </c>
      <c r="B2955" s="37" t="s">
        <v>6749</v>
      </c>
      <c r="C2955" s="38" t="s">
        <v>1064</v>
      </c>
      <c r="D2955" s="34">
        <v>2339.1999999999998</v>
      </c>
      <c r="E2955" s="35">
        <v>44618</v>
      </c>
      <c r="F2955" s="34">
        <v>2339.1999999999998</v>
      </c>
      <c r="G2955" s="36">
        <f>Tabla13[[#This Row],[Importe]]-Tabla13[[#This Row],[Pagado]]</f>
        <v>0</v>
      </c>
      <c r="H2955" s="38" t="s">
        <v>10</v>
      </c>
    </row>
    <row r="2956" spans="1:8" x14ac:dyDescent="0.25">
      <c r="A2956" s="31">
        <v>44618</v>
      </c>
      <c r="B2956" s="37" t="s">
        <v>6750</v>
      </c>
      <c r="C2956" s="38" t="s">
        <v>670</v>
      </c>
      <c r="D2956" s="34">
        <v>3586</v>
      </c>
      <c r="E2956" s="35">
        <v>44618</v>
      </c>
      <c r="F2956" s="34">
        <v>3586</v>
      </c>
      <c r="G2956" s="36">
        <f>Tabla13[[#This Row],[Importe]]-Tabla13[[#This Row],[Pagado]]</f>
        <v>0</v>
      </c>
      <c r="H2956" s="38" t="s">
        <v>10</v>
      </c>
    </row>
    <row r="2957" spans="1:8" x14ac:dyDescent="0.25">
      <c r="A2957" s="31">
        <v>44618</v>
      </c>
      <c r="B2957" s="37" t="s">
        <v>6751</v>
      </c>
      <c r="C2957" s="38" t="s">
        <v>31</v>
      </c>
      <c r="D2957" s="34">
        <v>1049.4000000000001</v>
      </c>
      <c r="E2957" s="35">
        <v>44618</v>
      </c>
      <c r="F2957" s="34">
        <v>1049.4000000000001</v>
      </c>
      <c r="G2957" s="36">
        <f>Tabla13[[#This Row],[Importe]]-Tabla13[[#This Row],[Pagado]]</f>
        <v>0</v>
      </c>
      <c r="H2957" s="38" t="s">
        <v>10</v>
      </c>
    </row>
    <row r="2958" spans="1:8" ht="31.5" x14ac:dyDescent="0.25">
      <c r="A2958" s="31">
        <v>44618</v>
      </c>
      <c r="B2958" s="37" t="s">
        <v>6752</v>
      </c>
      <c r="C2958" s="38" t="s">
        <v>275</v>
      </c>
      <c r="D2958" s="34">
        <v>150042.10999999999</v>
      </c>
      <c r="E2958" s="35" t="s">
        <v>6980</v>
      </c>
      <c r="F2958" s="34">
        <f>51655.03+98387.08</f>
        <v>150042.10999999999</v>
      </c>
      <c r="G2958" s="36">
        <f>Tabla13[[#This Row],[Importe]]-Tabla13[[#This Row],[Pagado]]</f>
        <v>0</v>
      </c>
      <c r="H2958" s="38" t="s">
        <v>10</v>
      </c>
    </row>
    <row r="2959" spans="1:8" x14ac:dyDescent="0.25">
      <c r="A2959" s="31">
        <v>44618</v>
      </c>
      <c r="B2959" s="37" t="s">
        <v>6753</v>
      </c>
      <c r="C2959" s="38" t="s">
        <v>75</v>
      </c>
      <c r="D2959" s="34">
        <v>6349.4</v>
      </c>
      <c r="E2959" s="35">
        <v>44619</v>
      </c>
      <c r="F2959" s="34">
        <v>6349.4</v>
      </c>
      <c r="G2959" s="36">
        <f>Tabla13[[#This Row],[Importe]]-Tabla13[[#This Row],[Pagado]]</f>
        <v>0</v>
      </c>
      <c r="H2959" s="38" t="s">
        <v>10</v>
      </c>
    </row>
    <row r="2960" spans="1:8" x14ac:dyDescent="0.25">
      <c r="A2960" s="31">
        <v>44618</v>
      </c>
      <c r="B2960" s="37" t="s">
        <v>6754</v>
      </c>
      <c r="C2960" s="38" t="s">
        <v>75</v>
      </c>
      <c r="D2960" s="34">
        <v>6996</v>
      </c>
      <c r="E2960" s="35">
        <v>44618</v>
      </c>
      <c r="F2960" s="34">
        <v>6996</v>
      </c>
      <c r="G2960" s="36">
        <f>Tabla13[[#This Row],[Importe]]-Tabla13[[#This Row],[Pagado]]</f>
        <v>0</v>
      </c>
      <c r="H2960" s="38" t="s">
        <v>10</v>
      </c>
    </row>
    <row r="2961" spans="1:8" x14ac:dyDescent="0.25">
      <c r="A2961" s="31">
        <v>44618</v>
      </c>
      <c r="B2961" s="37" t="s">
        <v>6755</v>
      </c>
      <c r="C2961" s="38" t="s">
        <v>1265</v>
      </c>
      <c r="D2961" s="34">
        <v>395.6</v>
      </c>
      <c r="E2961" s="35">
        <v>44618</v>
      </c>
      <c r="F2961" s="34">
        <v>395.6</v>
      </c>
      <c r="G2961" s="36">
        <f>Tabla13[[#This Row],[Importe]]-Tabla13[[#This Row],[Pagado]]</f>
        <v>0</v>
      </c>
      <c r="H2961" s="38" t="s">
        <v>10</v>
      </c>
    </row>
    <row r="2962" spans="1:8" x14ac:dyDescent="0.25">
      <c r="A2962" s="31">
        <v>44618</v>
      </c>
      <c r="B2962" s="37" t="s">
        <v>6756</v>
      </c>
      <c r="C2962" s="38" t="s">
        <v>71</v>
      </c>
      <c r="D2962" s="34">
        <v>1667.8</v>
      </c>
      <c r="E2962" s="35">
        <v>44618</v>
      </c>
      <c r="F2962" s="34">
        <v>1667.8</v>
      </c>
      <c r="G2962" s="36">
        <f>Tabla13[[#This Row],[Importe]]-Tabla13[[#This Row],[Pagado]]</f>
        <v>0</v>
      </c>
      <c r="H2962" s="38" t="s">
        <v>10</v>
      </c>
    </row>
    <row r="2963" spans="1:8" x14ac:dyDescent="0.25">
      <c r="A2963" s="31">
        <v>44618</v>
      </c>
      <c r="B2963" s="37" t="s">
        <v>6757</v>
      </c>
      <c r="C2963" s="38" t="s">
        <v>107</v>
      </c>
      <c r="D2963" s="34">
        <v>27882.2</v>
      </c>
      <c r="E2963" s="35">
        <v>44618</v>
      </c>
      <c r="F2963" s="34">
        <v>27882.2</v>
      </c>
      <c r="G2963" s="36">
        <f>Tabla13[[#This Row],[Importe]]-Tabla13[[#This Row],[Pagado]]</f>
        <v>0</v>
      </c>
      <c r="H2963" s="38" t="s">
        <v>10</v>
      </c>
    </row>
    <row r="2964" spans="1:8" x14ac:dyDescent="0.25">
      <c r="A2964" s="31">
        <v>44618</v>
      </c>
      <c r="B2964" s="37" t="s">
        <v>6758</v>
      </c>
      <c r="C2964" s="38" t="s">
        <v>426</v>
      </c>
      <c r="D2964" s="34">
        <v>4190</v>
      </c>
      <c r="E2964" s="35">
        <v>44618</v>
      </c>
      <c r="F2964" s="34">
        <v>4190</v>
      </c>
      <c r="G2964" s="36">
        <f>Tabla13[[#This Row],[Importe]]-Tabla13[[#This Row],[Pagado]]</f>
        <v>0</v>
      </c>
      <c r="H2964" s="38" t="s">
        <v>10</v>
      </c>
    </row>
    <row r="2965" spans="1:8" x14ac:dyDescent="0.25">
      <c r="A2965" s="31">
        <v>44618</v>
      </c>
      <c r="B2965" s="37" t="s">
        <v>6759</v>
      </c>
      <c r="C2965" s="38" t="s">
        <v>175</v>
      </c>
      <c r="D2965" s="34">
        <v>3698.9</v>
      </c>
      <c r="E2965" s="35">
        <v>44618</v>
      </c>
      <c r="F2965" s="34">
        <v>3698.9</v>
      </c>
      <c r="G2965" s="36">
        <f>Tabla13[[#This Row],[Importe]]-Tabla13[[#This Row],[Pagado]]</f>
        <v>0</v>
      </c>
      <c r="H2965" s="38" t="s">
        <v>10</v>
      </c>
    </row>
    <row r="2966" spans="1:8" x14ac:dyDescent="0.25">
      <c r="A2966" s="31">
        <v>44618</v>
      </c>
      <c r="B2966" s="37" t="s">
        <v>6760</v>
      </c>
      <c r="C2966" s="38" t="s">
        <v>1174</v>
      </c>
      <c r="D2966" s="34">
        <v>28000</v>
      </c>
      <c r="E2966" s="35">
        <v>44618</v>
      </c>
      <c r="F2966" s="34">
        <v>28000</v>
      </c>
      <c r="G2966" s="36">
        <f>Tabla13[[#This Row],[Importe]]-Tabla13[[#This Row],[Pagado]]</f>
        <v>0</v>
      </c>
      <c r="H2966" s="38" t="s">
        <v>10</v>
      </c>
    </row>
    <row r="2967" spans="1:8" x14ac:dyDescent="0.25">
      <c r="A2967" s="31">
        <v>44618</v>
      </c>
      <c r="B2967" s="37" t="s">
        <v>6761</v>
      </c>
      <c r="C2967" s="38" t="s">
        <v>461</v>
      </c>
      <c r="D2967" s="34">
        <v>394</v>
      </c>
      <c r="E2967" s="35">
        <v>44618</v>
      </c>
      <c r="F2967" s="34">
        <v>394</v>
      </c>
      <c r="G2967" s="36">
        <f>Tabla13[[#This Row],[Importe]]-Tabla13[[#This Row],[Pagado]]</f>
        <v>0</v>
      </c>
      <c r="H2967" s="38" t="s">
        <v>10</v>
      </c>
    </row>
    <row r="2968" spans="1:8" x14ac:dyDescent="0.25">
      <c r="A2968" s="31">
        <v>44618</v>
      </c>
      <c r="B2968" s="37" t="s">
        <v>6762</v>
      </c>
      <c r="C2968" s="38" t="s">
        <v>459</v>
      </c>
      <c r="D2968" s="34">
        <v>213</v>
      </c>
      <c r="E2968" s="35">
        <v>44618</v>
      </c>
      <c r="F2968" s="34">
        <v>213</v>
      </c>
      <c r="G2968" s="36">
        <f>Tabla13[[#This Row],[Importe]]-Tabla13[[#This Row],[Pagado]]</f>
        <v>0</v>
      </c>
      <c r="H2968" s="38" t="s">
        <v>10</v>
      </c>
    </row>
    <row r="2969" spans="1:8" x14ac:dyDescent="0.25">
      <c r="A2969" s="31">
        <v>44618</v>
      </c>
      <c r="B2969" s="37" t="s">
        <v>6763</v>
      </c>
      <c r="C2969" s="38" t="s">
        <v>457</v>
      </c>
      <c r="D2969" s="34">
        <v>198</v>
      </c>
      <c r="E2969" s="35">
        <v>44618</v>
      </c>
      <c r="F2969" s="34">
        <v>198</v>
      </c>
      <c r="G2969" s="36">
        <f>Tabla13[[#This Row],[Importe]]-Tabla13[[#This Row],[Pagado]]</f>
        <v>0</v>
      </c>
      <c r="H2969" s="38" t="s">
        <v>10</v>
      </c>
    </row>
    <row r="2970" spans="1:8" x14ac:dyDescent="0.25">
      <c r="A2970" s="31">
        <v>44618</v>
      </c>
      <c r="B2970" s="37" t="s">
        <v>6764</v>
      </c>
      <c r="C2970" s="38" t="s">
        <v>463</v>
      </c>
      <c r="D2970" s="34">
        <v>550</v>
      </c>
      <c r="E2970" s="35">
        <v>44620</v>
      </c>
      <c r="F2970" s="34">
        <v>550</v>
      </c>
      <c r="G2970" s="36">
        <f>Tabla13[[#This Row],[Importe]]-Tabla13[[#This Row],[Pagado]]</f>
        <v>0</v>
      </c>
      <c r="H2970" s="38" t="s">
        <v>10</v>
      </c>
    </row>
    <row r="2971" spans="1:8" x14ac:dyDescent="0.25">
      <c r="A2971" s="31">
        <v>44618</v>
      </c>
      <c r="B2971" s="37" t="s">
        <v>6765</v>
      </c>
      <c r="C2971" s="38" t="s">
        <v>181</v>
      </c>
      <c r="D2971" s="34">
        <v>14523.2</v>
      </c>
      <c r="E2971" s="35">
        <v>44618</v>
      </c>
      <c r="F2971" s="34">
        <v>14523.2</v>
      </c>
      <c r="G2971" s="36">
        <f>Tabla13[[#This Row],[Importe]]-Tabla13[[#This Row],[Pagado]]</f>
        <v>0</v>
      </c>
      <c r="H2971" s="38" t="s">
        <v>10</v>
      </c>
    </row>
    <row r="2972" spans="1:8" x14ac:dyDescent="0.25">
      <c r="A2972" s="31">
        <v>44618</v>
      </c>
      <c r="B2972" s="37" t="s">
        <v>6766</v>
      </c>
      <c r="C2972" s="38" t="s">
        <v>421</v>
      </c>
      <c r="D2972" s="34">
        <v>9584.5</v>
      </c>
      <c r="E2972" s="35">
        <v>44626</v>
      </c>
      <c r="F2972" s="34">
        <v>9584.5</v>
      </c>
      <c r="G2972" s="36">
        <f>Tabla13[[#This Row],[Importe]]-Tabla13[[#This Row],[Pagado]]</f>
        <v>0</v>
      </c>
      <c r="H2972" s="38" t="s">
        <v>10</v>
      </c>
    </row>
    <row r="2973" spans="1:8" x14ac:dyDescent="0.25">
      <c r="A2973" s="31">
        <v>44618</v>
      </c>
      <c r="B2973" s="37" t="s">
        <v>6767</v>
      </c>
      <c r="C2973" s="38" t="s">
        <v>681</v>
      </c>
      <c r="D2973" s="34">
        <v>3.39</v>
      </c>
      <c r="E2973" s="35">
        <v>44622</v>
      </c>
      <c r="F2973" s="34">
        <v>3.39</v>
      </c>
      <c r="G2973" s="36">
        <f>Tabla13[[#This Row],[Importe]]-Tabla13[[#This Row],[Pagado]]</f>
        <v>0</v>
      </c>
      <c r="H2973" s="38" t="s">
        <v>10</v>
      </c>
    </row>
    <row r="2974" spans="1:8" x14ac:dyDescent="0.25">
      <c r="A2974" s="31">
        <v>44618</v>
      </c>
      <c r="B2974" s="37" t="s">
        <v>6768</v>
      </c>
      <c r="C2974" s="38" t="s">
        <v>555</v>
      </c>
      <c r="D2974" s="34">
        <v>34065</v>
      </c>
      <c r="E2974" s="35">
        <v>44619</v>
      </c>
      <c r="F2974" s="34">
        <v>34065</v>
      </c>
      <c r="G2974" s="36">
        <f>Tabla13[[#This Row],[Importe]]-Tabla13[[#This Row],[Pagado]]</f>
        <v>0</v>
      </c>
      <c r="H2974" s="38" t="s">
        <v>10</v>
      </c>
    </row>
    <row r="2975" spans="1:8" x14ac:dyDescent="0.25">
      <c r="A2975" s="31">
        <v>44618</v>
      </c>
      <c r="B2975" s="37" t="s">
        <v>6769</v>
      </c>
      <c r="C2975" s="38" t="s">
        <v>407</v>
      </c>
      <c r="D2975" s="34">
        <v>7210</v>
      </c>
      <c r="E2975" s="35">
        <v>44620</v>
      </c>
      <c r="F2975" s="34">
        <v>7210</v>
      </c>
      <c r="G2975" s="36">
        <f>Tabla13[[#This Row],[Importe]]-Tabla13[[#This Row],[Pagado]]</f>
        <v>0</v>
      </c>
      <c r="H2975" s="38" t="s">
        <v>10</v>
      </c>
    </row>
    <row r="2976" spans="1:8" x14ac:dyDescent="0.25">
      <c r="A2976" s="31">
        <v>44618</v>
      </c>
      <c r="B2976" s="37" t="s">
        <v>6770</v>
      </c>
      <c r="C2976" s="38" t="s">
        <v>431</v>
      </c>
      <c r="D2976" s="34">
        <v>514.1</v>
      </c>
      <c r="E2976" s="35">
        <v>44619</v>
      </c>
      <c r="F2976" s="34">
        <v>514.1</v>
      </c>
      <c r="G2976" s="36">
        <f>Tabla13[[#This Row],[Importe]]-Tabla13[[#This Row],[Pagado]]</f>
        <v>0</v>
      </c>
      <c r="H2976" s="38" t="s">
        <v>10</v>
      </c>
    </row>
    <row r="2977" spans="1:8" x14ac:dyDescent="0.25">
      <c r="A2977" s="31">
        <v>44618</v>
      </c>
      <c r="B2977" s="37" t="s">
        <v>6771</v>
      </c>
      <c r="C2977" s="38" t="s">
        <v>280</v>
      </c>
      <c r="D2977" s="34">
        <v>2056.4</v>
      </c>
      <c r="E2977" s="35">
        <v>44619</v>
      </c>
      <c r="F2977" s="34">
        <v>2056.4</v>
      </c>
      <c r="G2977" s="36">
        <f>Tabla13[[#This Row],[Importe]]-Tabla13[[#This Row],[Pagado]]</f>
        <v>0</v>
      </c>
      <c r="H2977" s="38" t="s">
        <v>10</v>
      </c>
    </row>
    <row r="2978" spans="1:8" x14ac:dyDescent="0.25">
      <c r="A2978" s="31">
        <v>44618</v>
      </c>
      <c r="B2978" s="37" t="s">
        <v>6772</v>
      </c>
      <c r="C2978" s="38" t="s">
        <v>282</v>
      </c>
      <c r="D2978" s="34">
        <v>5623.3</v>
      </c>
      <c r="E2978" s="35">
        <v>44621</v>
      </c>
      <c r="F2978" s="34">
        <v>5623.3</v>
      </c>
      <c r="G2978" s="36">
        <f>Tabla13[[#This Row],[Importe]]-Tabla13[[#This Row],[Pagado]]</f>
        <v>0</v>
      </c>
      <c r="H2978" s="38" t="s">
        <v>10</v>
      </c>
    </row>
    <row r="2979" spans="1:8" x14ac:dyDescent="0.25">
      <c r="A2979" s="31">
        <v>44618</v>
      </c>
      <c r="B2979" s="37" t="s">
        <v>6773</v>
      </c>
      <c r="C2979" s="38" t="s">
        <v>191</v>
      </c>
      <c r="D2979" s="34">
        <v>2818.8</v>
      </c>
      <c r="E2979" s="35">
        <v>44618</v>
      </c>
      <c r="F2979" s="34">
        <v>2818.8</v>
      </c>
      <c r="G2979" s="36">
        <f>Tabla13[[#This Row],[Importe]]-Tabla13[[#This Row],[Pagado]]</f>
        <v>0</v>
      </c>
      <c r="H2979" s="38" t="s">
        <v>10</v>
      </c>
    </row>
    <row r="2980" spans="1:8" x14ac:dyDescent="0.25">
      <c r="A2980" s="31">
        <v>44618</v>
      </c>
      <c r="B2980" s="37" t="s">
        <v>6774</v>
      </c>
      <c r="C2980" s="38" t="s">
        <v>284</v>
      </c>
      <c r="D2980" s="34">
        <v>13239.4</v>
      </c>
      <c r="E2980" s="35">
        <v>44619</v>
      </c>
      <c r="F2980" s="34">
        <v>13239.4</v>
      </c>
      <c r="G2980" s="36">
        <f>Tabla13[[#This Row],[Importe]]-Tabla13[[#This Row],[Pagado]]</f>
        <v>0</v>
      </c>
      <c r="H2980" s="38" t="s">
        <v>10</v>
      </c>
    </row>
    <row r="2981" spans="1:8" x14ac:dyDescent="0.25">
      <c r="A2981" s="31">
        <v>44618</v>
      </c>
      <c r="B2981" s="37" t="s">
        <v>6775</v>
      </c>
      <c r="C2981" s="38" t="s">
        <v>3823</v>
      </c>
      <c r="D2981" s="34">
        <v>0</v>
      </c>
      <c r="E2981" s="39" t="s">
        <v>189</v>
      </c>
      <c r="F2981" s="34">
        <v>0</v>
      </c>
      <c r="G2981" s="36">
        <f>Tabla13[[#This Row],[Importe]]-Tabla13[[#This Row],[Pagado]]</f>
        <v>0</v>
      </c>
      <c r="H2981" s="38" t="s">
        <v>189</v>
      </c>
    </row>
    <row r="2982" spans="1:8" x14ac:dyDescent="0.25">
      <c r="A2982" s="31">
        <v>44618</v>
      </c>
      <c r="B2982" s="37" t="s">
        <v>6776</v>
      </c>
      <c r="C2982" s="38" t="s">
        <v>1038</v>
      </c>
      <c r="D2982" s="34">
        <v>1225.8</v>
      </c>
      <c r="E2982" s="35">
        <v>44618</v>
      </c>
      <c r="F2982" s="34">
        <v>1225.8</v>
      </c>
      <c r="G2982" s="36">
        <f>Tabla13[[#This Row],[Importe]]-Tabla13[[#This Row],[Pagado]]</f>
        <v>0</v>
      </c>
      <c r="H2982" s="38" t="s">
        <v>10</v>
      </c>
    </row>
    <row r="2983" spans="1:8" x14ac:dyDescent="0.25">
      <c r="A2983" s="31">
        <v>44618</v>
      </c>
      <c r="B2983" s="37" t="s">
        <v>6777</v>
      </c>
      <c r="C2983" s="38" t="s">
        <v>5345</v>
      </c>
      <c r="D2983" s="34">
        <v>3349.6</v>
      </c>
      <c r="E2983" s="35">
        <v>44619</v>
      </c>
      <c r="F2983" s="34">
        <v>3349.6</v>
      </c>
      <c r="G2983" s="36">
        <f>Tabla13[[#This Row],[Importe]]-Tabla13[[#This Row],[Pagado]]</f>
        <v>0</v>
      </c>
      <c r="H2983" s="38" t="s">
        <v>10</v>
      </c>
    </row>
    <row r="2984" spans="1:8" x14ac:dyDescent="0.25">
      <c r="A2984" s="31">
        <v>44618</v>
      </c>
      <c r="B2984" s="37" t="s">
        <v>6778</v>
      </c>
      <c r="C2984" s="38" t="s">
        <v>5043</v>
      </c>
      <c r="D2984" s="34">
        <v>1446.9</v>
      </c>
      <c r="E2984" s="35">
        <v>44619</v>
      </c>
      <c r="F2984" s="34">
        <v>1446.9</v>
      </c>
      <c r="G2984" s="36">
        <f>Tabla13[[#This Row],[Importe]]-Tabla13[[#This Row],[Pagado]]</f>
        <v>0</v>
      </c>
      <c r="H2984" s="38" t="s">
        <v>10</v>
      </c>
    </row>
    <row r="2985" spans="1:8" x14ac:dyDescent="0.25">
      <c r="A2985" s="31">
        <v>44618</v>
      </c>
      <c r="B2985" s="37" t="s">
        <v>6779</v>
      </c>
      <c r="C2985" s="38" t="s">
        <v>647</v>
      </c>
      <c r="D2985" s="34">
        <v>1027.5999999999999</v>
      </c>
      <c r="E2985" s="35">
        <v>44618</v>
      </c>
      <c r="F2985" s="34">
        <v>1027.5999999999999</v>
      </c>
      <c r="G2985" s="36">
        <f>Tabla13[[#This Row],[Importe]]-Tabla13[[#This Row],[Pagado]]</f>
        <v>0</v>
      </c>
      <c r="H2985" s="38" t="s">
        <v>10</v>
      </c>
    </row>
    <row r="2986" spans="1:8" x14ac:dyDescent="0.25">
      <c r="A2986" s="31">
        <v>44618</v>
      </c>
      <c r="B2986" s="37" t="s">
        <v>6780</v>
      </c>
      <c r="C2986" s="38" t="s">
        <v>58</v>
      </c>
      <c r="D2986" s="34">
        <v>3537.3</v>
      </c>
      <c r="E2986" s="35">
        <v>44618</v>
      </c>
      <c r="F2986" s="34">
        <v>3537.3</v>
      </c>
      <c r="G2986" s="36">
        <f>Tabla13[[#This Row],[Importe]]-Tabla13[[#This Row],[Pagado]]</f>
        <v>0</v>
      </c>
      <c r="H2986" s="38" t="s">
        <v>10</v>
      </c>
    </row>
    <row r="2987" spans="1:8" x14ac:dyDescent="0.25">
      <c r="A2987" s="31">
        <v>44618</v>
      </c>
      <c r="B2987" s="37" t="s">
        <v>6781</v>
      </c>
      <c r="C2987" s="38" t="s">
        <v>1706</v>
      </c>
      <c r="D2987" s="34">
        <v>5433.6</v>
      </c>
      <c r="E2987" s="35">
        <v>44618</v>
      </c>
      <c r="F2987" s="34">
        <v>5433.6</v>
      </c>
      <c r="G2987" s="36">
        <f>Tabla13[[#This Row],[Importe]]-Tabla13[[#This Row],[Pagado]]</f>
        <v>0</v>
      </c>
      <c r="H2987" s="38" t="s">
        <v>10</v>
      </c>
    </row>
    <row r="2988" spans="1:8" x14ac:dyDescent="0.25">
      <c r="A2988" s="31">
        <v>44618</v>
      </c>
      <c r="B2988" s="37" t="s">
        <v>6782</v>
      </c>
      <c r="C2988" s="38" t="s">
        <v>2139</v>
      </c>
      <c r="D2988" s="34">
        <v>2212.6</v>
      </c>
      <c r="E2988" s="35">
        <v>44618</v>
      </c>
      <c r="F2988" s="34">
        <v>2212.6</v>
      </c>
      <c r="G2988" s="36">
        <f>Tabla13[[#This Row],[Importe]]-Tabla13[[#This Row],[Pagado]]</f>
        <v>0</v>
      </c>
      <c r="H2988" s="38" t="s">
        <v>10</v>
      </c>
    </row>
    <row r="2989" spans="1:8" x14ac:dyDescent="0.25">
      <c r="A2989" s="31">
        <v>44618</v>
      </c>
      <c r="B2989" s="37" t="s">
        <v>6783</v>
      </c>
      <c r="C2989" s="38" t="s">
        <v>1421</v>
      </c>
      <c r="D2989" s="34">
        <v>36174.6</v>
      </c>
      <c r="E2989" s="35">
        <v>44618</v>
      </c>
      <c r="F2989" s="34">
        <v>36174.6</v>
      </c>
      <c r="G2989" s="36">
        <f>Tabla13[[#This Row],[Importe]]-Tabla13[[#This Row],[Pagado]]</f>
        <v>0</v>
      </c>
      <c r="H2989" s="38" t="s">
        <v>10</v>
      </c>
    </row>
    <row r="2990" spans="1:8" x14ac:dyDescent="0.25">
      <c r="A2990" s="31">
        <v>44618</v>
      </c>
      <c r="B2990" s="37" t="s">
        <v>6784</v>
      </c>
      <c r="C2990" s="38" t="s">
        <v>31</v>
      </c>
      <c r="D2990" s="34">
        <v>4301</v>
      </c>
      <c r="E2990" s="35">
        <v>44618</v>
      </c>
      <c r="F2990" s="34">
        <v>4301</v>
      </c>
      <c r="G2990" s="36">
        <f>Tabla13[[#This Row],[Importe]]-Tabla13[[#This Row],[Pagado]]</f>
        <v>0</v>
      </c>
      <c r="H2990" s="38" t="s">
        <v>10</v>
      </c>
    </row>
    <row r="2991" spans="1:8" x14ac:dyDescent="0.25">
      <c r="A2991" s="31">
        <v>44618</v>
      </c>
      <c r="B2991" s="37" t="s">
        <v>6785</v>
      </c>
      <c r="C2991" s="38" t="s">
        <v>135</v>
      </c>
      <c r="D2991" s="34">
        <v>53.2</v>
      </c>
      <c r="E2991" s="35">
        <v>44618</v>
      </c>
      <c r="F2991" s="34">
        <v>53.2</v>
      </c>
      <c r="G2991" s="36">
        <f>Tabla13[[#This Row],[Importe]]-Tabla13[[#This Row],[Pagado]]</f>
        <v>0</v>
      </c>
      <c r="H2991" s="38" t="s">
        <v>10</v>
      </c>
    </row>
    <row r="2992" spans="1:8" x14ac:dyDescent="0.25">
      <c r="A2992" s="31">
        <v>44618</v>
      </c>
      <c r="B2992" s="37" t="s">
        <v>6786</v>
      </c>
      <c r="C2992" s="38" t="s">
        <v>857</v>
      </c>
      <c r="D2992" s="34">
        <v>1587.6</v>
      </c>
      <c r="E2992" s="35">
        <v>44618</v>
      </c>
      <c r="F2992" s="34">
        <v>1587.6</v>
      </c>
      <c r="G2992" s="36">
        <f>Tabla13[[#This Row],[Importe]]-Tabla13[[#This Row],[Pagado]]</f>
        <v>0</v>
      </c>
      <c r="H2992" s="38" t="s">
        <v>10</v>
      </c>
    </row>
    <row r="2993" spans="1:8" x14ac:dyDescent="0.25">
      <c r="A2993" s="31">
        <v>44618</v>
      </c>
      <c r="B2993" s="37" t="s">
        <v>6787</v>
      </c>
      <c r="C2993" s="38" t="s">
        <v>1313</v>
      </c>
      <c r="D2993" s="34">
        <v>2838.6</v>
      </c>
      <c r="E2993" s="35">
        <v>44618</v>
      </c>
      <c r="F2993" s="34">
        <v>2838.6</v>
      </c>
      <c r="G2993" s="36">
        <f>Tabla13[[#This Row],[Importe]]-Tabla13[[#This Row],[Pagado]]</f>
        <v>0</v>
      </c>
      <c r="H2993" s="38" t="s">
        <v>10</v>
      </c>
    </row>
    <row r="2994" spans="1:8" x14ac:dyDescent="0.25">
      <c r="A2994" s="31">
        <v>44618</v>
      </c>
      <c r="B2994" s="37" t="s">
        <v>6788</v>
      </c>
      <c r="C2994" s="38" t="s">
        <v>857</v>
      </c>
      <c r="D2994" s="34">
        <v>570.4</v>
      </c>
      <c r="E2994" s="35">
        <v>44618</v>
      </c>
      <c r="F2994" s="34">
        <v>570.4</v>
      </c>
      <c r="G2994" s="36">
        <f>Tabla13[[#This Row],[Importe]]-Tabla13[[#This Row],[Pagado]]</f>
        <v>0</v>
      </c>
      <c r="H2994" s="38" t="s">
        <v>10</v>
      </c>
    </row>
    <row r="2995" spans="1:8" x14ac:dyDescent="0.25">
      <c r="A2995" s="31">
        <v>44618</v>
      </c>
      <c r="B2995" s="37" t="s">
        <v>6789</v>
      </c>
      <c r="C2995" s="38" t="s">
        <v>14</v>
      </c>
      <c r="D2995" s="34">
        <v>18614.599999999999</v>
      </c>
      <c r="E2995" s="35">
        <v>44618</v>
      </c>
      <c r="F2995" s="34">
        <v>18614.599999999999</v>
      </c>
      <c r="G2995" s="36">
        <f>Tabla13[[#This Row],[Importe]]-Tabla13[[#This Row],[Pagado]]</f>
        <v>0</v>
      </c>
      <c r="H2995" s="38" t="s">
        <v>10</v>
      </c>
    </row>
    <row r="2996" spans="1:8" x14ac:dyDescent="0.25">
      <c r="A2996" s="31">
        <v>44618</v>
      </c>
      <c r="B2996" s="37" t="s">
        <v>6790</v>
      </c>
      <c r="C2996" s="38" t="s">
        <v>31</v>
      </c>
      <c r="D2996" s="34">
        <v>795.2</v>
      </c>
      <c r="E2996" s="35">
        <v>44618</v>
      </c>
      <c r="F2996" s="34">
        <v>795.2</v>
      </c>
      <c r="G2996" s="36">
        <f>Tabla13[[#This Row],[Importe]]-Tabla13[[#This Row],[Pagado]]</f>
        <v>0</v>
      </c>
      <c r="H2996" s="38" t="s">
        <v>10</v>
      </c>
    </row>
    <row r="2997" spans="1:8" x14ac:dyDescent="0.25">
      <c r="A2997" s="31">
        <v>44618</v>
      </c>
      <c r="B2997" s="37" t="s">
        <v>6791</v>
      </c>
      <c r="C2997" s="38" t="s">
        <v>9</v>
      </c>
      <c r="D2997" s="34">
        <v>1819.6</v>
      </c>
      <c r="E2997" s="35">
        <v>44618</v>
      </c>
      <c r="F2997" s="34">
        <v>1819.6</v>
      </c>
      <c r="G2997" s="36">
        <f>Tabla13[[#This Row],[Importe]]-Tabla13[[#This Row],[Pagado]]</f>
        <v>0</v>
      </c>
      <c r="H2997" s="38" t="s">
        <v>10</v>
      </c>
    </row>
    <row r="2998" spans="1:8" x14ac:dyDescent="0.25">
      <c r="A2998" s="31">
        <v>44618</v>
      </c>
      <c r="B2998" s="37" t="s">
        <v>6792</v>
      </c>
      <c r="C2998" s="38" t="s">
        <v>31</v>
      </c>
      <c r="D2998" s="34">
        <v>80</v>
      </c>
      <c r="E2998" s="35">
        <v>44618</v>
      </c>
      <c r="F2998" s="34">
        <v>80</v>
      </c>
      <c r="G2998" s="36">
        <f>Tabla13[[#This Row],[Importe]]-Tabla13[[#This Row],[Pagado]]</f>
        <v>0</v>
      </c>
      <c r="H2998" s="38" t="s">
        <v>10</v>
      </c>
    </row>
    <row r="2999" spans="1:8" x14ac:dyDescent="0.25">
      <c r="A2999" s="31">
        <v>44618</v>
      </c>
      <c r="B2999" s="37" t="s">
        <v>6793</v>
      </c>
      <c r="C2999" s="38" t="s">
        <v>35</v>
      </c>
      <c r="D2999" s="34">
        <v>1943.6</v>
      </c>
      <c r="E2999" s="35">
        <v>44618</v>
      </c>
      <c r="F2999" s="34">
        <v>1943.6</v>
      </c>
      <c r="G2999" s="36">
        <f>Tabla13[[#This Row],[Importe]]-Tabla13[[#This Row],[Pagado]]</f>
        <v>0</v>
      </c>
      <c r="H2999" s="38" t="s">
        <v>10</v>
      </c>
    </row>
    <row r="3000" spans="1:8" x14ac:dyDescent="0.25">
      <c r="A3000" s="31">
        <v>44618</v>
      </c>
      <c r="B3000" s="37" t="s">
        <v>6794</v>
      </c>
      <c r="C3000" s="38" t="s">
        <v>31</v>
      </c>
      <c r="D3000" s="34">
        <v>95.2</v>
      </c>
      <c r="E3000" s="35">
        <v>44620</v>
      </c>
      <c r="F3000" s="34">
        <v>95.2</v>
      </c>
      <c r="G3000" s="36">
        <f>Tabla13[[#This Row],[Importe]]-Tabla13[[#This Row],[Pagado]]</f>
        <v>0</v>
      </c>
      <c r="H3000" s="38" t="s">
        <v>10</v>
      </c>
    </row>
    <row r="3001" spans="1:8" x14ac:dyDescent="0.25">
      <c r="A3001" s="31">
        <v>44618</v>
      </c>
      <c r="B3001" s="37" t="s">
        <v>6795</v>
      </c>
      <c r="C3001" s="38" t="s">
        <v>31</v>
      </c>
      <c r="D3001" s="34">
        <v>39</v>
      </c>
      <c r="E3001" s="35">
        <v>44618</v>
      </c>
      <c r="F3001" s="34">
        <v>39</v>
      </c>
      <c r="G3001" s="36">
        <f>Tabla13[[#This Row],[Importe]]-Tabla13[[#This Row],[Pagado]]</f>
        <v>0</v>
      </c>
      <c r="H3001" s="38" t="s">
        <v>10</v>
      </c>
    </row>
    <row r="3002" spans="1:8" x14ac:dyDescent="0.25">
      <c r="A3002" s="31">
        <v>44618</v>
      </c>
      <c r="B3002" s="37" t="s">
        <v>6796</v>
      </c>
      <c r="C3002" s="38" t="s">
        <v>31</v>
      </c>
      <c r="D3002" s="34">
        <v>615.6</v>
      </c>
      <c r="E3002" s="35">
        <v>44618</v>
      </c>
      <c r="F3002" s="34">
        <v>615.6</v>
      </c>
      <c r="G3002" s="36">
        <f>Tabla13[[#This Row],[Importe]]-Tabla13[[#This Row],[Pagado]]</f>
        <v>0</v>
      </c>
      <c r="H3002" s="38" t="s">
        <v>10</v>
      </c>
    </row>
    <row r="3003" spans="1:8" x14ac:dyDescent="0.25">
      <c r="A3003" s="31">
        <v>44619</v>
      </c>
      <c r="B3003" s="37" t="s">
        <v>6797</v>
      </c>
      <c r="C3003" s="38" t="s">
        <v>1187</v>
      </c>
      <c r="D3003" s="34">
        <v>1677.9</v>
      </c>
      <c r="E3003" s="35">
        <v>44619</v>
      </c>
      <c r="F3003" s="34">
        <v>1677.9</v>
      </c>
      <c r="G3003" s="36">
        <f>Tabla13[[#This Row],[Importe]]-Tabla13[[#This Row],[Pagado]]</f>
        <v>0</v>
      </c>
      <c r="H3003" s="38" t="s">
        <v>10</v>
      </c>
    </row>
    <row r="3004" spans="1:8" x14ac:dyDescent="0.25">
      <c r="A3004" s="31">
        <v>44619</v>
      </c>
      <c r="B3004" s="37" t="s">
        <v>6798</v>
      </c>
      <c r="C3004" s="38" t="s">
        <v>9</v>
      </c>
      <c r="D3004" s="34">
        <v>4042.2</v>
      </c>
      <c r="E3004" s="35">
        <v>44619</v>
      </c>
      <c r="F3004" s="34">
        <v>4042.2</v>
      </c>
      <c r="G3004" s="36">
        <f>Tabla13[[#This Row],[Importe]]-Tabla13[[#This Row],[Pagado]]</f>
        <v>0</v>
      </c>
      <c r="H3004" s="38" t="s">
        <v>10</v>
      </c>
    </row>
    <row r="3005" spans="1:8" x14ac:dyDescent="0.25">
      <c r="A3005" s="31">
        <v>44619</v>
      </c>
      <c r="B3005" s="37" t="s">
        <v>6799</v>
      </c>
      <c r="C3005" s="38" t="s">
        <v>20</v>
      </c>
      <c r="D3005" s="34">
        <v>5894.6</v>
      </c>
      <c r="E3005" s="35">
        <v>44619</v>
      </c>
      <c r="F3005" s="34">
        <v>5894.6</v>
      </c>
      <c r="G3005" s="36">
        <f>Tabla13[[#This Row],[Importe]]-Tabla13[[#This Row],[Pagado]]</f>
        <v>0</v>
      </c>
      <c r="H3005" s="38" t="s">
        <v>10</v>
      </c>
    </row>
    <row r="3006" spans="1:8" x14ac:dyDescent="0.25">
      <c r="A3006" s="31">
        <v>44619</v>
      </c>
      <c r="B3006" s="37" t="s">
        <v>6800</v>
      </c>
      <c r="C3006" s="38" t="s">
        <v>51</v>
      </c>
      <c r="D3006" s="34">
        <v>3721.2</v>
      </c>
      <c r="E3006" s="35">
        <v>44619</v>
      </c>
      <c r="F3006" s="34">
        <v>3721.2</v>
      </c>
      <c r="G3006" s="36">
        <f>Tabla13[[#This Row],[Importe]]-Tabla13[[#This Row],[Pagado]]</f>
        <v>0</v>
      </c>
      <c r="H3006" s="38" t="s">
        <v>10</v>
      </c>
    </row>
    <row r="3007" spans="1:8" x14ac:dyDescent="0.25">
      <c r="A3007" s="31">
        <v>44619</v>
      </c>
      <c r="B3007" s="37" t="s">
        <v>6801</v>
      </c>
      <c r="C3007" s="38" t="s">
        <v>22</v>
      </c>
      <c r="D3007" s="34">
        <v>44446.3</v>
      </c>
      <c r="E3007" s="35">
        <v>44620</v>
      </c>
      <c r="F3007" s="34">
        <v>44446.3</v>
      </c>
      <c r="G3007" s="36">
        <f>Tabla13[[#This Row],[Importe]]-Tabla13[[#This Row],[Pagado]]</f>
        <v>0</v>
      </c>
      <c r="H3007" s="38" t="s">
        <v>10</v>
      </c>
    </row>
    <row r="3008" spans="1:8" x14ac:dyDescent="0.25">
      <c r="A3008" s="31">
        <v>44619</v>
      </c>
      <c r="B3008" s="37" t="s">
        <v>6802</v>
      </c>
      <c r="C3008" s="38" t="s">
        <v>14</v>
      </c>
      <c r="D3008" s="34">
        <v>2532.5</v>
      </c>
      <c r="E3008" s="35">
        <v>44619</v>
      </c>
      <c r="F3008" s="34">
        <v>2532.5</v>
      </c>
      <c r="G3008" s="36">
        <f>Tabla13[[#This Row],[Importe]]-Tabla13[[#This Row],[Pagado]]</f>
        <v>0</v>
      </c>
      <c r="H3008" s="38" t="s">
        <v>10</v>
      </c>
    </row>
    <row r="3009" spans="1:8" ht="31.5" x14ac:dyDescent="0.25">
      <c r="A3009" s="31">
        <v>44619</v>
      </c>
      <c r="B3009" s="37" t="s">
        <v>6803</v>
      </c>
      <c r="C3009" s="38" t="s">
        <v>12</v>
      </c>
      <c r="D3009" s="34">
        <v>65228.800000000003</v>
      </c>
      <c r="E3009" s="35" t="s">
        <v>6975</v>
      </c>
      <c r="F3009" s="34">
        <f>52000+13228.8</f>
        <v>65228.800000000003</v>
      </c>
      <c r="G3009" s="36">
        <f>Tabla13[[#This Row],[Importe]]-Tabla13[[#This Row],[Pagado]]</f>
        <v>0</v>
      </c>
      <c r="H3009" s="38" t="s">
        <v>10</v>
      </c>
    </row>
    <row r="3010" spans="1:8" x14ac:dyDescent="0.25">
      <c r="A3010" s="31">
        <v>44619</v>
      </c>
      <c r="B3010" s="37" t="s">
        <v>6804</v>
      </c>
      <c r="C3010" s="38" t="s">
        <v>193</v>
      </c>
      <c r="D3010" s="34">
        <v>3360</v>
      </c>
      <c r="E3010" s="35">
        <v>44619</v>
      </c>
      <c r="F3010" s="34">
        <v>3360</v>
      </c>
      <c r="G3010" s="36">
        <f>Tabla13[[#This Row],[Importe]]-Tabla13[[#This Row],[Pagado]]</f>
        <v>0</v>
      </c>
      <c r="H3010" s="38" t="s">
        <v>10</v>
      </c>
    </row>
    <row r="3011" spans="1:8" x14ac:dyDescent="0.25">
      <c r="A3011" s="31">
        <v>44619</v>
      </c>
      <c r="B3011" s="37" t="s">
        <v>6805</v>
      </c>
      <c r="C3011" s="38" t="s">
        <v>49</v>
      </c>
      <c r="D3011" s="34">
        <v>3866.8</v>
      </c>
      <c r="E3011" s="35">
        <v>44619</v>
      </c>
      <c r="F3011" s="34">
        <v>3866.8</v>
      </c>
      <c r="G3011" s="36">
        <f>Tabla13[[#This Row],[Importe]]-Tabla13[[#This Row],[Pagado]]</f>
        <v>0</v>
      </c>
      <c r="H3011" s="38" t="s">
        <v>10</v>
      </c>
    </row>
    <row r="3012" spans="1:8" x14ac:dyDescent="0.25">
      <c r="A3012" s="31">
        <v>44619</v>
      </c>
      <c r="B3012" s="37" t="s">
        <v>6806</v>
      </c>
      <c r="C3012" s="38" t="s">
        <v>16</v>
      </c>
      <c r="D3012" s="34">
        <v>5689.5</v>
      </c>
      <c r="E3012" s="35">
        <v>44619</v>
      </c>
      <c r="F3012" s="34">
        <v>5689.5</v>
      </c>
      <c r="G3012" s="36">
        <f>Tabla13[[#This Row],[Importe]]-Tabla13[[#This Row],[Pagado]]</f>
        <v>0</v>
      </c>
      <c r="H3012" s="38" t="s">
        <v>10</v>
      </c>
    </row>
    <row r="3013" spans="1:8" x14ac:dyDescent="0.25">
      <c r="A3013" s="31">
        <v>44619</v>
      </c>
      <c r="B3013" s="37" t="s">
        <v>6807</v>
      </c>
      <c r="C3013" s="38" t="s">
        <v>475</v>
      </c>
      <c r="D3013" s="34">
        <v>45751.199999999997</v>
      </c>
      <c r="E3013" s="35">
        <v>44620</v>
      </c>
      <c r="F3013" s="34">
        <v>45751.199999999997</v>
      </c>
      <c r="G3013" s="36">
        <f>Tabla13[[#This Row],[Importe]]-Tabla13[[#This Row],[Pagado]]</f>
        <v>0</v>
      </c>
      <c r="H3013" s="38" t="s">
        <v>10</v>
      </c>
    </row>
    <row r="3014" spans="1:8" x14ac:dyDescent="0.25">
      <c r="A3014" s="31">
        <v>44619</v>
      </c>
      <c r="B3014" s="37" t="s">
        <v>6808</v>
      </c>
      <c r="C3014" s="38" t="s">
        <v>2780</v>
      </c>
      <c r="D3014" s="34">
        <v>738.5</v>
      </c>
      <c r="E3014" s="35">
        <v>44619</v>
      </c>
      <c r="F3014" s="34">
        <v>738.5</v>
      </c>
      <c r="G3014" s="36">
        <f>Tabla13[[#This Row],[Importe]]-Tabla13[[#This Row],[Pagado]]</f>
        <v>0</v>
      </c>
      <c r="H3014" s="38" t="s">
        <v>10</v>
      </c>
    </row>
    <row r="3015" spans="1:8" x14ac:dyDescent="0.25">
      <c r="A3015" s="31">
        <v>44619</v>
      </c>
      <c r="B3015" s="37" t="s">
        <v>6809</v>
      </c>
      <c r="C3015" s="38" t="s">
        <v>47</v>
      </c>
      <c r="D3015" s="34">
        <v>40767.300000000003</v>
      </c>
      <c r="E3015" s="35">
        <v>44619</v>
      </c>
      <c r="F3015" s="34">
        <v>40767.300000000003</v>
      </c>
      <c r="G3015" s="36">
        <f>Tabla13[[#This Row],[Importe]]-Tabla13[[#This Row],[Pagado]]</f>
        <v>0</v>
      </c>
      <c r="H3015" s="38" t="s">
        <v>10</v>
      </c>
    </row>
    <row r="3016" spans="1:8" x14ac:dyDescent="0.25">
      <c r="A3016" s="31">
        <v>44619</v>
      </c>
      <c r="B3016" s="37" t="s">
        <v>6810</v>
      </c>
      <c r="C3016" s="38" t="s">
        <v>6811</v>
      </c>
      <c r="D3016" s="34">
        <v>0</v>
      </c>
      <c r="E3016" s="39" t="s">
        <v>189</v>
      </c>
      <c r="F3016" s="34">
        <v>0</v>
      </c>
      <c r="G3016" s="36">
        <f>Tabla13[[#This Row],[Importe]]-Tabla13[[#This Row],[Pagado]]</f>
        <v>0</v>
      </c>
      <c r="H3016" s="40" t="s">
        <v>6812</v>
      </c>
    </row>
    <row r="3017" spans="1:8" x14ac:dyDescent="0.25">
      <c r="A3017" s="31">
        <v>44619</v>
      </c>
      <c r="B3017" s="37" t="s">
        <v>6813</v>
      </c>
      <c r="C3017" s="38" t="s">
        <v>33</v>
      </c>
      <c r="D3017" s="34">
        <v>18921.599999999999</v>
      </c>
      <c r="E3017" s="35">
        <v>44619</v>
      </c>
      <c r="F3017" s="34">
        <v>18921.599999999999</v>
      </c>
      <c r="G3017" s="36">
        <f>Tabla13[[#This Row],[Importe]]-Tabla13[[#This Row],[Pagado]]</f>
        <v>0</v>
      </c>
      <c r="H3017" s="38" t="s">
        <v>10</v>
      </c>
    </row>
    <row r="3018" spans="1:8" x14ac:dyDescent="0.25">
      <c r="A3018" s="31">
        <v>44619</v>
      </c>
      <c r="B3018" s="37" t="s">
        <v>6814</v>
      </c>
      <c r="C3018" s="38" t="s">
        <v>224</v>
      </c>
      <c r="D3018" s="34">
        <v>817</v>
      </c>
      <c r="E3018" s="35">
        <v>44619</v>
      </c>
      <c r="F3018" s="34">
        <v>817</v>
      </c>
      <c r="G3018" s="36">
        <f>Tabla13[[#This Row],[Importe]]-Tabla13[[#This Row],[Pagado]]</f>
        <v>0</v>
      </c>
      <c r="H3018" s="38" t="s">
        <v>10</v>
      </c>
    </row>
    <row r="3019" spans="1:8" x14ac:dyDescent="0.25">
      <c r="A3019" s="31">
        <v>44619</v>
      </c>
      <c r="B3019" s="37" t="s">
        <v>6815</v>
      </c>
      <c r="C3019" s="38" t="s">
        <v>481</v>
      </c>
      <c r="D3019" s="34">
        <v>1331.4</v>
      </c>
      <c r="E3019" s="35">
        <v>44619</v>
      </c>
      <c r="F3019" s="34">
        <v>1331.4</v>
      </c>
      <c r="G3019" s="36">
        <f>Tabla13[[#This Row],[Importe]]-Tabla13[[#This Row],[Pagado]]</f>
        <v>0</v>
      </c>
      <c r="H3019" s="38" t="s">
        <v>10</v>
      </c>
    </row>
    <row r="3020" spans="1:8" x14ac:dyDescent="0.25">
      <c r="A3020" s="31">
        <v>44619</v>
      </c>
      <c r="B3020" s="37" t="s">
        <v>6816</v>
      </c>
      <c r="C3020" s="38" t="s">
        <v>373</v>
      </c>
      <c r="D3020" s="34">
        <v>498.2</v>
      </c>
      <c r="E3020" s="35">
        <v>44619</v>
      </c>
      <c r="F3020" s="34">
        <v>498.2</v>
      </c>
      <c r="G3020" s="36">
        <f>Tabla13[[#This Row],[Importe]]-Tabla13[[#This Row],[Pagado]]</f>
        <v>0</v>
      </c>
      <c r="H3020" s="38" t="s">
        <v>10</v>
      </c>
    </row>
    <row r="3021" spans="1:8" x14ac:dyDescent="0.25">
      <c r="A3021" s="31">
        <v>44619</v>
      </c>
      <c r="B3021" s="37" t="s">
        <v>6817</v>
      </c>
      <c r="C3021" s="38" t="s">
        <v>56</v>
      </c>
      <c r="D3021" s="34">
        <v>3994.1</v>
      </c>
      <c r="E3021" s="35">
        <v>44619</v>
      </c>
      <c r="F3021" s="34">
        <v>3994.1</v>
      </c>
      <c r="G3021" s="36">
        <f>Tabla13[[#This Row],[Importe]]-Tabla13[[#This Row],[Pagado]]</f>
        <v>0</v>
      </c>
      <c r="H3021" s="38" t="s">
        <v>10</v>
      </c>
    </row>
    <row r="3022" spans="1:8" x14ac:dyDescent="0.25">
      <c r="A3022" s="31">
        <v>44619</v>
      </c>
      <c r="B3022" s="37" t="s">
        <v>6818</v>
      </c>
      <c r="C3022" s="38" t="s">
        <v>27</v>
      </c>
      <c r="D3022" s="34">
        <v>2740.7</v>
      </c>
      <c r="E3022" s="35">
        <v>44619</v>
      </c>
      <c r="F3022" s="34">
        <v>2740.7</v>
      </c>
      <c r="G3022" s="36">
        <f>Tabla13[[#This Row],[Importe]]-Tabla13[[#This Row],[Pagado]]</f>
        <v>0</v>
      </c>
      <c r="H3022" s="38" t="s">
        <v>10</v>
      </c>
    </row>
    <row r="3023" spans="1:8" x14ac:dyDescent="0.25">
      <c r="A3023" s="31">
        <v>44619</v>
      </c>
      <c r="B3023" s="37" t="s">
        <v>6819</v>
      </c>
      <c r="C3023" s="38" t="s">
        <v>29</v>
      </c>
      <c r="D3023" s="34">
        <v>5729.3</v>
      </c>
      <c r="E3023" s="35">
        <v>44619</v>
      </c>
      <c r="F3023" s="34">
        <v>5729.3</v>
      </c>
      <c r="G3023" s="36">
        <f>Tabla13[[#This Row],[Importe]]-Tabla13[[#This Row],[Pagado]]</f>
        <v>0</v>
      </c>
      <c r="H3023" s="38" t="s">
        <v>10</v>
      </c>
    </row>
    <row r="3024" spans="1:8" x14ac:dyDescent="0.25">
      <c r="A3024" s="31">
        <v>44619</v>
      </c>
      <c r="B3024" s="37" t="s">
        <v>6820</v>
      </c>
      <c r="C3024" s="38" t="s">
        <v>45</v>
      </c>
      <c r="D3024" s="34">
        <v>7926.9</v>
      </c>
      <c r="E3024" s="35">
        <v>44619</v>
      </c>
      <c r="F3024" s="34">
        <v>7926.9</v>
      </c>
      <c r="G3024" s="36">
        <f>Tabla13[[#This Row],[Importe]]-Tabla13[[#This Row],[Pagado]]</f>
        <v>0</v>
      </c>
      <c r="H3024" s="38" t="s">
        <v>10</v>
      </c>
    </row>
    <row r="3025" spans="1:8" x14ac:dyDescent="0.25">
      <c r="A3025" s="31">
        <v>44619</v>
      </c>
      <c r="B3025" s="37" t="s">
        <v>6821</v>
      </c>
      <c r="C3025" s="38" t="s">
        <v>24</v>
      </c>
      <c r="D3025" s="34">
        <v>3612.6</v>
      </c>
      <c r="E3025" s="35">
        <v>44619</v>
      </c>
      <c r="F3025" s="34">
        <v>3612.6</v>
      </c>
      <c r="G3025" s="36">
        <f>Tabla13[[#This Row],[Importe]]-Tabla13[[#This Row],[Pagado]]</f>
        <v>0</v>
      </c>
      <c r="H3025" s="38" t="s">
        <v>10</v>
      </c>
    </row>
    <row r="3026" spans="1:8" x14ac:dyDescent="0.25">
      <c r="A3026" s="31">
        <v>44619</v>
      </c>
      <c r="B3026" s="37" t="s">
        <v>6822</v>
      </c>
      <c r="C3026" s="38" t="s">
        <v>216</v>
      </c>
      <c r="D3026" s="34">
        <v>2305.5</v>
      </c>
      <c r="E3026" s="35">
        <v>44619</v>
      </c>
      <c r="F3026" s="34">
        <v>2305.5</v>
      </c>
      <c r="G3026" s="36">
        <f>Tabla13[[#This Row],[Importe]]-Tabla13[[#This Row],[Pagado]]</f>
        <v>0</v>
      </c>
      <c r="H3026" s="38" t="s">
        <v>10</v>
      </c>
    </row>
    <row r="3027" spans="1:8" x14ac:dyDescent="0.25">
      <c r="A3027" s="31">
        <v>44619</v>
      </c>
      <c r="B3027" s="37" t="s">
        <v>6823</v>
      </c>
      <c r="C3027" s="38" t="s">
        <v>37</v>
      </c>
      <c r="D3027" s="34">
        <v>2471.6</v>
      </c>
      <c r="E3027" s="35">
        <v>44619</v>
      </c>
      <c r="F3027" s="34">
        <v>2471.6</v>
      </c>
      <c r="G3027" s="36">
        <f>Tabla13[[#This Row],[Importe]]-Tabla13[[#This Row],[Pagado]]</f>
        <v>0</v>
      </c>
      <c r="H3027" s="38" t="s">
        <v>10</v>
      </c>
    </row>
    <row r="3028" spans="1:8" x14ac:dyDescent="0.25">
      <c r="A3028" s="31">
        <v>44619</v>
      </c>
      <c r="B3028" s="37" t="s">
        <v>6824</v>
      </c>
      <c r="C3028" s="38" t="s">
        <v>382</v>
      </c>
      <c r="D3028" s="34">
        <v>8374</v>
      </c>
      <c r="E3028" s="35">
        <v>44619</v>
      </c>
      <c r="F3028" s="34">
        <v>8374</v>
      </c>
      <c r="G3028" s="36">
        <f>Tabla13[[#This Row],[Importe]]-Tabla13[[#This Row],[Pagado]]</f>
        <v>0</v>
      </c>
      <c r="H3028" s="38" t="s">
        <v>10</v>
      </c>
    </row>
    <row r="3029" spans="1:8" x14ac:dyDescent="0.25">
      <c r="A3029" s="31">
        <v>44619</v>
      </c>
      <c r="B3029" s="37" t="s">
        <v>6825</v>
      </c>
      <c r="C3029" s="38" t="s">
        <v>326</v>
      </c>
      <c r="D3029" s="34">
        <v>4160.3</v>
      </c>
      <c r="E3029" s="35">
        <v>44619</v>
      </c>
      <c r="F3029" s="34">
        <v>4160.3</v>
      </c>
      <c r="G3029" s="36">
        <f>Tabla13[[#This Row],[Importe]]-Tabla13[[#This Row],[Pagado]]</f>
        <v>0</v>
      </c>
      <c r="H3029" s="38" t="s">
        <v>10</v>
      </c>
    </row>
    <row r="3030" spans="1:8" x14ac:dyDescent="0.25">
      <c r="A3030" s="31">
        <v>44619</v>
      </c>
      <c r="B3030" s="37" t="s">
        <v>6826</v>
      </c>
      <c r="C3030" s="38" t="s">
        <v>244</v>
      </c>
      <c r="D3030" s="34">
        <v>2296.6</v>
      </c>
      <c r="E3030" s="35">
        <v>44619</v>
      </c>
      <c r="F3030" s="34">
        <v>2296.6</v>
      </c>
      <c r="G3030" s="36">
        <f>Tabla13[[#This Row],[Importe]]-Tabla13[[#This Row],[Pagado]]</f>
        <v>0</v>
      </c>
      <c r="H3030" s="38" t="s">
        <v>10</v>
      </c>
    </row>
    <row r="3031" spans="1:8" x14ac:dyDescent="0.25">
      <c r="A3031" s="31">
        <v>44619</v>
      </c>
      <c r="B3031" s="37" t="s">
        <v>6827</v>
      </c>
      <c r="C3031" s="38" t="s">
        <v>56</v>
      </c>
      <c r="D3031" s="34">
        <v>5879.5</v>
      </c>
      <c r="E3031" s="35">
        <v>44619</v>
      </c>
      <c r="F3031" s="34">
        <v>5879.5</v>
      </c>
      <c r="G3031" s="36">
        <f>Tabla13[[#This Row],[Importe]]-Tabla13[[#This Row],[Pagado]]</f>
        <v>0</v>
      </c>
      <c r="H3031" s="38" t="s">
        <v>10</v>
      </c>
    </row>
    <row r="3032" spans="1:8" x14ac:dyDescent="0.25">
      <c r="A3032" s="31">
        <v>44619</v>
      </c>
      <c r="B3032" s="37" t="s">
        <v>6828</v>
      </c>
      <c r="C3032" s="38" t="s">
        <v>31</v>
      </c>
      <c r="D3032" s="34">
        <v>163</v>
      </c>
      <c r="E3032" s="35">
        <v>44620</v>
      </c>
      <c r="F3032" s="34">
        <v>163</v>
      </c>
      <c r="G3032" s="36">
        <f>Tabla13[[#This Row],[Importe]]-Tabla13[[#This Row],[Pagado]]</f>
        <v>0</v>
      </c>
      <c r="H3032" s="38" t="s">
        <v>10</v>
      </c>
    </row>
    <row r="3033" spans="1:8" x14ac:dyDescent="0.25">
      <c r="A3033" s="31">
        <v>44619</v>
      </c>
      <c r="B3033" s="37" t="s">
        <v>6829</v>
      </c>
      <c r="C3033" s="38" t="s">
        <v>214</v>
      </c>
      <c r="D3033" s="34">
        <v>1473.4</v>
      </c>
      <c r="E3033" s="35">
        <v>44619</v>
      </c>
      <c r="F3033" s="34">
        <v>1473.4</v>
      </c>
      <c r="G3033" s="36">
        <f>Tabla13[[#This Row],[Importe]]-Tabla13[[#This Row],[Pagado]]</f>
        <v>0</v>
      </c>
      <c r="H3033" s="38" t="s">
        <v>10</v>
      </c>
    </row>
    <row r="3034" spans="1:8" x14ac:dyDescent="0.25">
      <c r="A3034" s="31">
        <v>44619</v>
      </c>
      <c r="B3034" s="37" t="s">
        <v>6830</v>
      </c>
      <c r="C3034" s="38" t="s">
        <v>58</v>
      </c>
      <c r="D3034" s="34">
        <v>1820</v>
      </c>
      <c r="E3034" s="35">
        <v>44619</v>
      </c>
      <c r="F3034" s="34">
        <v>1820</v>
      </c>
      <c r="G3034" s="36">
        <f>Tabla13[[#This Row],[Importe]]-Tabla13[[#This Row],[Pagado]]</f>
        <v>0</v>
      </c>
      <c r="H3034" s="38" t="s">
        <v>10</v>
      </c>
    </row>
    <row r="3035" spans="1:8" x14ac:dyDescent="0.25">
      <c r="A3035" s="31">
        <v>44619</v>
      </c>
      <c r="B3035" s="37" t="s">
        <v>6831</v>
      </c>
      <c r="C3035" s="38" t="s">
        <v>58</v>
      </c>
      <c r="D3035" s="34">
        <v>2656.2</v>
      </c>
      <c r="E3035" s="35">
        <v>44619</v>
      </c>
      <c r="F3035" s="34">
        <v>2656.2</v>
      </c>
      <c r="G3035" s="36">
        <f>Tabla13[[#This Row],[Importe]]-Tabla13[[#This Row],[Pagado]]</f>
        <v>0</v>
      </c>
      <c r="H3035" s="38" t="s">
        <v>10</v>
      </c>
    </row>
    <row r="3036" spans="1:8" x14ac:dyDescent="0.25">
      <c r="A3036" s="31">
        <v>44619</v>
      </c>
      <c r="B3036" s="37" t="s">
        <v>6832</v>
      </c>
      <c r="C3036" s="38" t="s">
        <v>67</v>
      </c>
      <c r="D3036" s="34">
        <v>3696.2</v>
      </c>
      <c r="E3036" s="35">
        <v>44619</v>
      </c>
      <c r="F3036" s="34">
        <v>3696.2</v>
      </c>
      <c r="G3036" s="36">
        <f>Tabla13[[#This Row],[Importe]]-Tabla13[[#This Row],[Pagado]]</f>
        <v>0</v>
      </c>
      <c r="H3036" s="38" t="s">
        <v>10</v>
      </c>
    </row>
    <row r="3037" spans="1:8" x14ac:dyDescent="0.25">
      <c r="A3037" s="31">
        <v>44619</v>
      </c>
      <c r="B3037" s="37" t="s">
        <v>6833</v>
      </c>
      <c r="C3037" s="38" t="s">
        <v>71</v>
      </c>
      <c r="D3037" s="34">
        <v>1236</v>
      </c>
      <c r="E3037" s="35">
        <v>44619</v>
      </c>
      <c r="F3037" s="34">
        <v>1236</v>
      </c>
      <c r="G3037" s="36">
        <f>Tabla13[[#This Row],[Importe]]-Tabla13[[#This Row],[Pagado]]</f>
        <v>0</v>
      </c>
      <c r="H3037" s="38" t="s">
        <v>10</v>
      </c>
    </row>
    <row r="3038" spans="1:8" x14ac:dyDescent="0.25">
      <c r="A3038" s="31">
        <v>44619</v>
      </c>
      <c r="B3038" s="37" t="s">
        <v>6834</v>
      </c>
      <c r="C3038" s="38" t="s">
        <v>16</v>
      </c>
      <c r="D3038" s="34">
        <v>412</v>
      </c>
      <c r="E3038" s="35">
        <v>44619</v>
      </c>
      <c r="F3038" s="34">
        <v>412</v>
      </c>
      <c r="G3038" s="36">
        <f>Tabla13[[#This Row],[Importe]]-Tabla13[[#This Row],[Pagado]]</f>
        <v>0</v>
      </c>
      <c r="H3038" s="38" t="s">
        <v>10</v>
      </c>
    </row>
    <row r="3039" spans="1:8" x14ac:dyDescent="0.25">
      <c r="A3039" s="31">
        <v>44619</v>
      </c>
      <c r="B3039" s="37" t="s">
        <v>6835</v>
      </c>
      <c r="C3039" s="38" t="s">
        <v>804</v>
      </c>
      <c r="D3039" s="34">
        <v>17924.099999999999</v>
      </c>
      <c r="E3039" s="35">
        <v>44619</v>
      </c>
      <c r="F3039" s="34">
        <v>17924.099999999999</v>
      </c>
      <c r="G3039" s="36">
        <f>Tabla13[[#This Row],[Importe]]-Tabla13[[#This Row],[Pagado]]</f>
        <v>0</v>
      </c>
      <c r="H3039" s="38" t="s">
        <v>10</v>
      </c>
    </row>
    <row r="3040" spans="1:8" x14ac:dyDescent="0.25">
      <c r="A3040" s="31">
        <v>44619</v>
      </c>
      <c r="B3040" s="37" t="s">
        <v>6836</v>
      </c>
      <c r="C3040" s="38" t="s">
        <v>31</v>
      </c>
      <c r="D3040" s="34">
        <v>1049.4000000000001</v>
      </c>
      <c r="E3040" s="35">
        <v>44619</v>
      </c>
      <c r="F3040" s="34">
        <v>1049.4000000000001</v>
      </c>
      <c r="G3040" s="36">
        <f>Tabla13[[#This Row],[Importe]]-Tabla13[[#This Row],[Pagado]]</f>
        <v>0</v>
      </c>
      <c r="H3040" s="38" t="s">
        <v>10</v>
      </c>
    </row>
    <row r="3041" spans="1:8" x14ac:dyDescent="0.25">
      <c r="A3041" s="31">
        <v>44619</v>
      </c>
      <c r="B3041" s="37" t="s">
        <v>6837</v>
      </c>
      <c r="C3041" s="38" t="s">
        <v>191</v>
      </c>
      <c r="D3041" s="34">
        <v>2911.6</v>
      </c>
      <c r="E3041" s="35">
        <v>44619</v>
      </c>
      <c r="F3041" s="34">
        <v>2911.6</v>
      </c>
      <c r="G3041" s="36">
        <f>Tabla13[[#This Row],[Importe]]-Tabla13[[#This Row],[Pagado]]</f>
        <v>0</v>
      </c>
      <c r="H3041" s="38" t="s">
        <v>10</v>
      </c>
    </row>
    <row r="3042" spans="1:8" x14ac:dyDescent="0.25">
      <c r="A3042" s="31">
        <v>44619</v>
      </c>
      <c r="B3042" s="37" t="s">
        <v>6838</v>
      </c>
      <c r="C3042" s="38" t="s">
        <v>62</v>
      </c>
      <c r="D3042" s="34">
        <v>4893.2</v>
      </c>
      <c r="E3042" s="35">
        <v>44619</v>
      </c>
      <c r="F3042" s="34">
        <v>4893.2</v>
      </c>
      <c r="G3042" s="36">
        <f>Tabla13[[#This Row],[Importe]]-Tabla13[[#This Row],[Pagado]]</f>
        <v>0</v>
      </c>
      <c r="H3042" s="38" t="s">
        <v>10</v>
      </c>
    </row>
    <row r="3043" spans="1:8" x14ac:dyDescent="0.25">
      <c r="A3043" s="31">
        <v>44619</v>
      </c>
      <c r="B3043" s="37" t="s">
        <v>6839</v>
      </c>
      <c r="C3043" s="38" t="s">
        <v>53</v>
      </c>
      <c r="D3043" s="34">
        <v>1947.3</v>
      </c>
      <c r="E3043" s="35">
        <v>44619</v>
      </c>
      <c r="F3043" s="34">
        <v>1947.3</v>
      </c>
      <c r="G3043" s="36">
        <f>Tabla13[[#This Row],[Importe]]-Tabla13[[#This Row],[Pagado]]</f>
        <v>0</v>
      </c>
      <c r="H3043" s="38" t="s">
        <v>10</v>
      </c>
    </row>
    <row r="3044" spans="1:8" x14ac:dyDescent="0.25">
      <c r="A3044" s="31">
        <v>44619</v>
      </c>
      <c r="B3044" s="37" t="s">
        <v>6840</v>
      </c>
      <c r="C3044" s="38" t="s">
        <v>16</v>
      </c>
      <c r="D3044" s="34">
        <v>1488</v>
      </c>
      <c r="E3044" s="35">
        <v>44619</v>
      </c>
      <c r="F3044" s="34">
        <v>1488</v>
      </c>
      <c r="G3044" s="36">
        <f>Tabla13[[#This Row],[Importe]]-Tabla13[[#This Row],[Pagado]]</f>
        <v>0</v>
      </c>
      <c r="H3044" s="38" t="s">
        <v>10</v>
      </c>
    </row>
    <row r="3045" spans="1:8" x14ac:dyDescent="0.25">
      <c r="A3045" s="31">
        <v>44619</v>
      </c>
      <c r="B3045" s="37" t="s">
        <v>6841</v>
      </c>
      <c r="C3045" s="38" t="s">
        <v>69</v>
      </c>
      <c r="D3045" s="34">
        <v>2247.1999999999998</v>
      </c>
      <c r="E3045" s="35">
        <v>44619</v>
      </c>
      <c r="F3045" s="34">
        <v>2247.1999999999998</v>
      </c>
      <c r="G3045" s="36">
        <f>Tabla13[[#This Row],[Importe]]-Tabla13[[#This Row],[Pagado]]</f>
        <v>0</v>
      </c>
      <c r="H3045" s="38" t="s">
        <v>10</v>
      </c>
    </row>
    <row r="3046" spans="1:8" x14ac:dyDescent="0.25">
      <c r="A3046" s="31">
        <v>44619</v>
      </c>
      <c r="B3046" s="37" t="s">
        <v>6842</v>
      </c>
      <c r="C3046" s="38" t="s">
        <v>67</v>
      </c>
      <c r="D3046" s="34">
        <v>199.5</v>
      </c>
      <c r="E3046" s="35">
        <v>44619</v>
      </c>
      <c r="F3046" s="34">
        <v>199.5</v>
      </c>
      <c r="G3046" s="36">
        <f>Tabla13[[#This Row],[Importe]]-Tabla13[[#This Row],[Pagado]]</f>
        <v>0</v>
      </c>
      <c r="H3046" s="38" t="s">
        <v>10</v>
      </c>
    </row>
    <row r="3047" spans="1:8" x14ac:dyDescent="0.25">
      <c r="A3047" s="31">
        <v>44619</v>
      </c>
      <c r="B3047" s="37" t="s">
        <v>6843</v>
      </c>
      <c r="C3047" s="38" t="s">
        <v>31</v>
      </c>
      <c r="D3047" s="34">
        <v>912</v>
      </c>
      <c r="E3047" s="35">
        <v>44619</v>
      </c>
      <c r="F3047" s="34">
        <v>912</v>
      </c>
      <c r="G3047" s="36">
        <f>Tabla13[[#This Row],[Importe]]-Tabla13[[#This Row],[Pagado]]</f>
        <v>0</v>
      </c>
      <c r="H3047" s="38" t="s">
        <v>10</v>
      </c>
    </row>
    <row r="3048" spans="1:8" x14ac:dyDescent="0.25">
      <c r="A3048" s="31">
        <v>44620</v>
      </c>
      <c r="B3048" s="37" t="s">
        <v>6844</v>
      </c>
      <c r="C3048" s="38" t="s">
        <v>887</v>
      </c>
      <c r="D3048" s="34">
        <v>6643.5</v>
      </c>
      <c r="E3048" s="35">
        <v>44621</v>
      </c>
      <c r="F3048" s="34">
        <v>6643.5</v>
      </c>
      <c r="G3048" s="36">
        <f>Tabla13[[#This Row],[Importe]]-Tabla13[[#This Row],[Pagado]]</f>
        <v>0</v>
      </c>
      <c r="H3048" s="38" t="s">
        <v>10</v>
      </c>
    </row>
    <row r="3049" spans="1:8" x14ac:dyDescent="0.25">
      <c r="A3049" s="31">
        <v>44620</v>
      </c>
      <c r="B3049" s="37" t="s">
        <v>6845</v>
      </c>
      <c r="C3049" s="38" t="s">
        <v>475</v>
      </c>
      <c r="D3049" s="34">
        <v>74024.399999999994</v>
      </c>
      <c r="E3049" s="35">
        <v>44621</v>
      </c>
      <c r="F3049" s="34">
        <v>74024.399999999994</v>
      </c>
      <c r="G3049" s="36">
        <f>Tabla13[[#This Row],[Importe]]-Tabla13[[#This Row],[Pagado]]</f>
        <v>0</v>
      </c>
      <c r="H3049" s="38" t="s">
        <v>10</v>
      </c>
    </row>
    <row r="3050" spans="1:8" x14ac:dyDescent="0.25">
      <c r="A3050" s="31">
        <v>44620</v>
      </c>
      <c r="B3050" s="37" t="s">
        <v>6846</v>
      </c>
      <c r="C3050" s="38" t="s">
        <v>353</v>
      </c>
      <c r="D3050" s="34">
        <v>1171.5999999999999</v>
      </c>
      <c r="E3050" s="35">
        <v>44620</v>
      </c>
      <c r="F3050" s="34">
        <v>1171.5999999999999</v>
      </c>
      <c r="G3050" s="36">
        <f>Tabla13[[#This Row],[Importe]]-Tabla13[[#This Row],[Pagado]]</f>
        <v>0</v>
      </c>
      <c r="H3050" s="38" t="s">
        <v>10</v>
      </c>
    </row>
    <row r="3051" spans="1:8" x14ac:dyDescent="0.25">
      <c r="A3051" s="31">
        <v>44620</v>
      </c>
      <c r="B3051" s="37" t="s">
        <v>6847</v>
      </c>
      <c r="C3051" s="38" t="s">
        <v>12</v>
      </c>
      <c r="D3051" s="34">
        <v>45184.7</v>
      </c>
      <c r="E3051" s="35">
        <v>44621</v>
      </c>
      <c r="F3051" s="34">
        <v>45184.7</v>
      </c>
      <c r="G3051" s="36">
        <f>Tabla13[[#This Row],[Importe]]-Tabla13[[#This Row],[Pagado]]</f>
        <v>0</v>
      </c>
      <c r="H3051" s="38" t="s">
        <v>10</v>
      </c>
    </row>
    <row r="3052" spans="1:8" x14ac:dyDescent="0.25">
      <c r="A3052" s="31">
        <v>44620</v>
      </c>
      <c r="B3052" s="37" t="s">
        <v>6848</v>
      </c>
      <c r="C3052" s="38" t="s">
        <v>75</v>
      </c>
      <c r="D3052" s="34">
        <v>4997.8999999999996</v>
      </c>
      <c r="E3052" s="35">
        <v>44620</v>
      </c>
      <c r="F3052" s="34">
        <v>4997.8999999999996</v>
      </c>
      <c r="G3052" s="36">
        <f>Tabla13[[#This Row],[Importe]]-Tabla13[[#This Row],[Pagado]]</f>
        <v>0</v>
      </c>
      <c r="H3052" s="38" t="s">
        <v>10</v>
      </c>
    </row>
    <row r="3053" spans="1:8" x14ac:dyDescent="0.25">
      <c r="A3053" s="31">
        <v>44620</v>
      </c>
      <c r="B3053" s="37" t="s">
        <v>6849</v>
      </c>
      <c r="C3053" s="38" t="s">
        <v>142</v>
      </c>
      <c r="D3053" s="34">
        <v>2909.4</v>
      </c>
      <c r="E3053" s="35">
        <v>44643</v>
      </c>
      <c r="F3053" s="34">
        <v>2909.4</v>
      </c>
      <c r="G3053" s="36">
        <f>Tabla13[[#This Row],[Importe]]-Tabla13[[#This Row],[Pagado]]</f>
        <v>0</v>
      </c>
      <c r="H3053" s="38" t="s">
        <v>10</v>
      </c>
    </row>
    <row r="3054" spans="1:8" x14ac:dyDescent="0.25">
      <c r="A3054" s="31">
        <v>44620</v>
      </c>
      <c r="B3054" s="37" t="s">
        <v>6850</v>
      </c>
      <c r="C3054" s="38" t="s">
        <v>1021</v>
      </c>
      <c r="D3054" s="34">
        <v>574.20000000000005</v>
      </c>
      <c r="E3054" s="35">
        <v>44620</v>
      </c>
      <c r="F3054" s="34">
        <v>574.20000000000005</v>
      </c>
      <c r="G3054" s="36">
        <f>Tabla13[[#This Row],[Importe]]-Tabla13[[#This Row],[Pagado]]</f>
        <v>0</v>
      </c>
      <c r="H3054" s="38" t="s">
        <v>10</v>
      </c>
    </row>
    <row r="3055" spans="1:8" x14ac:dyDescent="0.25">
      <c r="A3055" s="31">
        <v>44620</v>
      </c>
      <c r="B3055" s="37" t="s">
        <v>6851</v>
      </c>
      <c r="C3055" s="38" t="s">
        <v>9</v>
      </c>
      <c r="D3055" s="34">
        <v>6969.8</v>
      </c>
      <c r="E3055" s="35">
        <v>44620</v>
      </c>
      <c r="F3055" s="34">
        <v>6969.8</v>
      </c>
      <c r="G3055" s="36">
        <f>Tabla13[[#This Row],[Importe]]-Tabla13[[#This Row],[Pagado]]</f>
        <v>0</v>
      </c>
      <c r="H3055" s="38" t="s">
        <v>10</v>
      </c>
    </row>
    <row r="3056" spans="1:8" x14ac:dyDescent="0.25">
      <c r="A3056" s="31">
        <v>44620</v>
      </c>
      <c r="B3056" s="37" t="s">
        <v>6852</v>
      </c>
      <c r="C3056" s="38" t="s">
        <v>109</v>
      </c>
      <c r="D3056" s="34">
        <v>3642.5</v>
      </c>
      <c r="E3056" s="35">
        <v>44621</v>
      </c>
      <c r="F3056" s="34">
        <v>3642.5</v>
      </c>
      <c r="G3056" s="36">
        <f>Tabla13[[#This Row],[Importe]]-Tabla13[[#This Row],[Pagado]]</f>
        <v>0</v>
      </c>
      <c r="H3056" s="38" t="s">
        <v>10</v>
      </c>
    </row>
    <row r="3057" spans="1:8" x14ac:dyDescent="0.25">
      <c r="A3057" s="31">
        <v>44620</v>
      </c>
      <c r="B3057" s="37" t="s">
        <v>6853</v>
      </c>
      <c r="C3057" s="38" t="s">
        <v>83</v>
      </c>
      <c r="D3057" s="34">
        <v>7876.4</v>
      </c>
      <c r="E3057" s="35">
        <v>44620</v>
      </c>
      <c r="F3057" s="34">
        <v>7876.4</v>
      </c>
      <c r="G3057" s="36">
        <f>Tabla13[[#This Row],[Importe]]-Tabla13[[#This Row],[Pagado]]</f>
        <v>0</v>
      </c>
      <c r="H3057" s="38" t="s">
        <v>10</v>
      </c>
    </row>
    <row r="3058" spans="1:8" x14ac:dyDescent="0.25">
      <c r="A3058" s="31">
        <v>44620</v>
      </c>
      <c r="B3058" s="37" t="s">
        <v>6854</v>
      </c>
      <c r="C3058" s="38" t="s">
        <v>326</v>
      </c>
      <c r="D3058" s="34">
        <v>3999.7</v>
      </c>
      <c r="E3058" s="35">
        <v>44624</v>
      </c>
      <c r="F3058" s="34">
        <v>3999.7</v>
      </c>
      <c r="G3058" s="36">
        <f>Tabla13[[#This Row],[Importe]]-Tabla13[[#This Row],[Pagado]]</f>
        <v>0</v>
      </c>
      <c r="H3058" s="38" t="s">
        <v>10</v>
      </c>
    </row>
    <row r="3059" spans="1:8" x14ac:dyDescent="0.25">
      <c r="A3059" s="31">
        <v>44620</v>
      </c>
      <c r="B3059" s="37" t="s">
        <v>6855</v>
      </c>
      <c r="C3059" s="38" t="s">
        <v>97</v>
      </c>
      <c r="D3059" s="34">
        <v>7816.1</v>
      </c>
      <c r="E3059" s="35">
        <v>44623</v>
      </c>
      <c r="F3059" s="34">
        <v>7816.1</v>
      </c>
      <c r="G3059" s="36">
        <f>Tabla13[[#This Row],[Importe]]-Tabla13[[#This Row],[Pagado]]</f>
        <v>0</v>
      </c>
      <c r="H3059" s="38" t="s">
        <v>10</v>
      </c>
    </row>
    <row r="3060" spans="1:8" x14ac:dyDescent="0.25">
      <c r="A3060" s="31">
        <v>44620</v>
      </c>
      <c r="B3060" s="37" t="s">
        <v>6856</v>
      </c>
      <c r="C3060" s="38" t="s">
        <v>111</v>
      </c>
      <c r="D3060" s="34">
        <v>3736.5</v>
      </c>
      <c r="E3060" s="35">
        <v>44622</v>
      </c>
      <c r="F3060" s="34">
        <v>3736.5</v>
      </c>
      <c r="G3060" s="36">
        <f>Tabla13[[#This Row],[Importe]]-Tabla13[[#This Row],[Pagado]]</f>
        <v>0</v>
      </c>
      <c r="H3060" s="38" t="s">
        <v>10</v>
      </c>
    </row>
    <row r="3061" spans="1:8" x14ac:dyDescent="0.25">
      <c r="A3061" s="31">
        <v>44620</v>
      </c>
      <c r="B3061" s="37" t="s">
        <v>6857</v>
      </c>
      <c r="C3061" s="38" t="s">
        <v>2563</v>
      </c>
      <c r="D3061" s="34">
        <v>3959.2</v>
      </c>
      <c r="E3061" s="35">
        <v>44620</v>
      </c>
      <c r="F3061" s="34">
        <v>3959.2</v>
      </c>
      <c r="G3061" s="36">
        <f>Tabla13[[#This Row],[Importe]]-Tabla13[[#This Row],[Pagado]]</f>
        <v>0</v>
      </c>
      <c r="H3061" s="38" t="s">
        <v>10</v>
      </c>
    </row>
    <row r="3062" spans="1:8" x14ac:dyDescent="0.25">
      <c r="A3062" s="31">
        <v>44620</v>
      </c>
      <c r="B3062" s="37" t="s">
        <v>6858</v>
      </c>
      <c r="C3062" s="38" t="s">
        <v>99</v>
      </c>
      <c r="D3062" s="34">
        <v>4032.6</v>
      </c>
      <c r="E3062" s="35">
        <v>44621</v>
      </c>
      <c r="F3062" s="34">
        <v>4032.6</v>
      </c>
      <c r="G3062" s="36">
        <f>Tabla13[[#This Row],[Importe]]-Tabla13[[#This Row],[Pagado]]</f>
        <v>0</v>
      </c>
      <c r="H3062" s="38" t="s">
        <v>10</v>
      </c>
    </row>
    <row r="3063" spans="1:8" x14ac:dyDescent="0.25">
      <c r="A3063" s="31">
        <v>44620</v>
      </c>
      <c r="B3063" s="37" t="s">
        <v>6859</v>
      </c>
      <c r="C3063" s="38" t="s">
        <v>87</v>
      </c>
      <c r="D3063" s="34">
        <v>2397.8000000000002</v>
      </c>
      <c r="E3063" s="35">
        <v>44620</v>
      </c>
      <c r="F3063" s="34">
        <v>2397.8000000000002</v>
      </c>
      <c r="G3063" s="36">
        <f>Tabla13[[#This Row],[Importe]]-Tabla13[[#This Row],[Pagado]]</f>
        <v>0</v>
      </c>
      <c r="H3063" s="38" t="s">
        <v>10</v>
      </c>
    </row>
    <row r="3064" spans="1:8" x14ac:dyDescent="0.25">
      <c r="A3064" s="31">
        <v>44620</v>
      </c>
      <c r="B3064" s="37" t="s">
        <v>6860</v>
      </c>
      <c r="C3064" s="38" t="s">
        <v>484</v>
      </c>
      <c r="D3064" s="34">
        <v>4024</v>
      </c>
      <c r="E3064" s="35">
        <v>44620</v>
      </c>
      <c r="F3064" s="34">
        <v>4024</v>
      </c>
      <c r="G3064" s="36">
        <f>Tabla13[[#This Row],[Importe]]-Tabla13[[#This Row],[Pagado]]</f>
        <v>0</v>
      </c>
      <c r="H3064" s="38" t="s">
        <v>10</v>
      </c>
    </row>
    <row r="3065" spans="1:8" x14ac:dyDescent="0.25">
      <c r="A3065" s="31">
        <v>44620</v>
      </c>
      <c r="B3065" s="37" t="s">
        <v>6861</v>
      </c>
      <c r="C3065" s="38" t="s">
        <v>314</v>
      </c>
      <c r="D3065" s="34">
        <v>1521.1</v>
      </c>
      <c r="E3065" s="35">
        <v>44620</v>
      </c>
      <c r="F3065" s="34">
        <v>1521.1</v>
      </c>
      <c r="G3065" s="36">
        <f>Tabla13[[#This Row],[Importe]]-Tabla13[[#This Row],[Pagado]]</f>
        <v>0</v>
      </c>
      <c r="H3065" s="38" t="s">
        <v>10</v>
      </c>
    </row>
    <row r="3066" spans="1:8" x14ac:dyDescent="0.25">
      <c r="A3066" s="31">
        <v>44620</v>
      </c>
      <c r="B3066" s="37" t="s">
        <v>6862</v>
      </c>
      <c r="C3066" s="38" t="s">
        <v>120</v>
      </c>
      <c r="D3066" s="34">
        <v>3836.7</v>
      </c>
      <c r="E3066" s="35">
        <v>44622</v>
      </c>
      <c r="F3066" s="34">
        <v>3836.7</v>
      </c>
      <c r="G3066" s="36">
        <f>Tabla13[[#This Row],[Importe]]-Tabla13[[#This Row],[Pagado]]</f>
        <v>0</v>
      </c>
      <c r="H3066" s="38" t="s">
        <v>10</v>
      </c>
    </row>
    <row r="3067" spans="1:8" x14ac:dyDescent="0.25">
      <c r="A3067" s="31">
        <v>44620</v>
      </c>
      <c r="B3067" s="37" t="s">
        <v>6863</v>
      </c>
      <c r="C3067" s="38" t="s">
        <v>6864</v>
      </c>
      <c r="D3067" s="34">
        <v>26982.7</v>
      </c>
      <c r="E3067" s="35">
        <v>44620</v>
      </c>
      <c r="F3067" s="34">
        <v>26982.7</v>
      </c>
      <c r="G3067" s="36">
        <f>Tabla13[[#This Row],[Importe]]-Tabla13[[#This Row],[Pagado]]</f>
        <v>0</v>
      </c>
      <c r="H3067" s="38" t="s">
        <v>10</v>
      </c>
    </row>
    <row r="3068" spans="1:8" x14ac:dyDescent="0.25">
      <c r="A3068" s="31">
        <v>44620</v>
      </c>
      <c r="B3068" s="37" t="s">
        <v>6865</v>
      </c>
      <c r="C3068" s="38" t="s">
        <v>60</v>
      </c>
      <c r="D3068" s="34">
        <v>3694.6</v>
      </c>
      <c r="E3068" s="35">
        <v>44621</v>
      </c>
      <c r="F3068" s="34">
        <v>3694.6</v>
      </c>
      <c r="G3068" s="36">
        <f>Tabla13[[#This Row],[Importe]]-Tabla13[[#This Row],[Pagado]]</f>
        <v>0</v>
      </c>
      <c r="H3068" s="38" t="s">
        <v>10</v>
      </c>
    </row>
    <row r="3069" spans="1:8" x14ac:dyDescent="0.25">
      <c r="A3069" s="31">
        <v>44620</v>
      </c>
      <c r="B3069" s="37" t="s">
        <v>6866</v>
      </c>
      <c r="C3069" s="38" t="s">
        <v>64</v>
      </c>
      <c r="D3069" s="34">
        <v>3635</v>
      </c>
      <c r="E3069" s="35">
        <v>44621</v>
      </c>
      <c r="F3069" s="34">
        <v>3635</v>
      </c>
      <c r="G3069" s="36">
        <f>Tabla13[[#This Row],[Importe]]-Tabla13[[#This Row],[Pagado]]</f>
        <v>0</v>
      </c>
      <c r="H3069" s="38" t="s">
        <v>10</v>
      </c>
    </row>
    <row r="3070" spans="1:8" x14ac:dyDescent="0.25">
      <c r="A3070" s="31">
        <v>44620</v>
      </c>
      <c r="B3070" s="37" t="s">
        <v>6867</v>
      </c>
      <c r="C3070" s="38" t="s">
        <v>89</v>
      </c>
      <c r="D3070" s="34">
        <v>5105.1000000000004</v>
      </c>
      <c r="E3070" s="35">
        <v>44621</v>
      </c>
      <c r="F3070" s="34">
        <v>5105.1000000000004</v>
      </c>
      <c r="G3070" s="36">
        <f>Tabla13[[#This Row],[Importe]]-Tabla13[[#This Row],[Pagado]]</f>
        <v>0</v>
      </c>
      <c r="H3070" s="38" t="s">
        <v>10</v>
      </c>
    </row>
    <row r="3071" spans="1:8" x14ac:dyDescent="0.25">
      <c r="A3071" s="31">
        <v>44620</v>
      </c>
      <c r="B3071" s="37" t="s">
        <v>6868</v>
      </c>
      <c r="C3071" s="38" t="s">
        <v>31</v>
      </c>
      <c r="D3071" s="34">
        <v>1804</v>
      </c>
      <c r="E3071" s="35">
        <v>44620</v>
      </c>
      <c r="F3071" s="34">
        <v>1804</v>
      </c>
      <c r="G3071" s="36">
        <f>Tabla13[[#This Row],[Importe]]-Tabla13[[#This Row],[Pagado]]</f>
        <v>0</v>
      </c>
      <c r="H3071" s="38" t="s">
        <v>10</v>
      </c>
    </row>
    <row r="3072" spans="1:8" x14ac:dyDescent="0.25">
      <c r="A3072" s="31">
        <v>44620</v>
      </c>
      <c r="B3072" s="37" t="s">
        <v>6869</v>
      </c>
      <c r="C3072" s="38" t="s">
        <v>348</v>
      </c>
      <c r="D3072" s="34">
        <v>2710.5</v>
      </c>
      <c r="E3072" s="35">
        <v>44621</v>
      </c>
      <c r="F3072" s="34">
        <v>2710.5</v>
      </c>
      <c r="G3072" s="36">
        <f>Tabla13[[#This Row],[Importe]]-Tabla13[[#This Row],[Pagado]]</f>
        <v>0</v>
      </c>
      <c r="H3072" s="38" t="s">
        <v>10</v>
      </c>
    </row>
    <row r="3073" spans="1:8" ht="31.5" x14ac:dyDescent="0.25">
      <c r="A3073" s="31">
        <v>44620</v>
      </c>
      <c r="B3073" s="37" t="s">
        <v>6870</v>
      </c>
      <c r="C3073" s="38" t="s">
        <v>39</v>
      </c>
      <c r="D3073" s="34">
        <v>23218.3</v>
      </c>
      <c r="E3073" s="35" t="s">
        <v>6978</v>
      </c>
      <c r="F3073" s="34">
        <f>5000+18218.3</f>
        <v>23218.3</v>
      </c>
      <c r="G3073" s="36">
        <f>Tabla13[[#This Row],[Importe]]-Tabla13[[#This Row],[Pagado]]</f>
        <v>0</v>
      </c>
      <c r="H3073" s="38" t="s">
        <v>10</v>
      </c>
    </row>
    <row r="3074" spans="1:8" x14ac:dyDescent="0.25">
      <c r="A3074" s="31">
        <v>44620</v>
      </c>
      <c r="B3074" s="37" t="s">
        <v>6871</v>
      </c>
      <c r="C3074" s="38" t="s">
        <v>137</v>
      </c>
      <c r="D3074" s="34">
        <v>2240</v>
      </c>
      <c r="E3074" s="35">
        <v>44620</v>
      </c>
      <c r="F3074" s="34">
        <v>2240</v>
      </c>
      <c r="G3074" s="36">
        <f>Tabla13[[#This Row],[Importe]]-Tabla13[[#This Row],[Pagado]]</f>
        <v>0</v>
      </c>
      <c r="H3074" s="38" t="s">
        <v>10</v>
      </c>
    </row>
    <row r="3075" spans="1:8" x14ac:dyDescent="0.25">
      <c r="A3075" s="31">
        <v>44620</v>
      </c>
      <c r="B3075" s="37" t="s">
        <v>6872</v>
      </c>
      <c r="C3075" s="38" t="s">
        <v>114</v>
      </c>
      <c r="D3075" s="34">
        <v>7928.5</v>
      </c>
      <c r="E3075" s="35">
        <v>44621</v>
      </c>
      <c r="F3075" s="34">
        <v>7928.5</v>
      </c>
      <c r="G3075" s="36">
        <f>Tabla13[[#This Row],[Importe]]-Tabla13[[#This Row],[Pagado]]</f>
        <v>0</v>
      </c>
      <c r="H3075" s="38" t="s">
        <v>10</v>
      </c>
    </row>
    <row r="3076" spans="1:8" x14ac:dyDescent="0.25">
      <c r="A3076" s="31">
        <v>44620</v>
      </c>
      <c r="B3076" s="37" t="s">
        <v>6873</v>
      </c>
      <c r="C3076" s="38" t="s">
        <v>924</v>
      </c>
      <c r="D3076" s="34">
        <v>12958.8</v>
      </c>
      <c r="E3076" s="35">
        <v>44620</v>
      </c>
      <c r="F3076" s="34">
        <v>12958.8</v>
      </c>
      <c r="G3076" s="36">
        <f>Tabla13[[#This Row],[Importe]]-Tabla13[[#This Row],[Pagado]]</f>
        <v>0</v>
      </c>
      <c r="H3076" s="38" t="s">
        <v>10</v>
      </c>
    </row>
    <row r="3077" spans="1:8" x14ac:dyDescent="0.25">
      <c r="A3077" s="31">
        <v>44620</v>
      </c>
      <c r="B3077" s="37" t="s">
        <v>6874</v>
      </c>
      <c r="C3077" s="38" t="s">
        <v>131</v>
      </c>
      <c r="D3077" s="34">
        <v>10712</v>
      </c>
      <c r="E3077" s="35">
        <v>44620</v>
      </c>
      <c r="F3077" s="34">
        <v>10712</v>
      </c>
      <c r="G3077" s="36">
        <f>Tabla13[[#This Row],[Importe]]-Tabla13[[#This Row],[Pagado]]</f>
        <v>0</v>
      </c>
      <c r="H3077" s="38" t="s">
        <v>10</v>
      </c>
    </row>
    <row r="3078" spans="1:8" x14ac:dyDescent="0.25">
      <c r="A3078" s="31">
        <v>44620</v>
      </c>
      <c r="B3078" s="37" t="s">
        <v>6875</v>
      </c>
      <c r="C3078" s="38" t="s">
        <v>1965</v>
      </c>
      <c r="D3078" s="34">
        <v>5538.6</v>
      </c>
      <c r="E3078" s="35">
        <v>44620</v>
      </c>
      <c r="F3078" s="34">
        <v>5538.6</v>
      </c>
      <c r="G3078" s="36">
        <f>Tabla13[[#This Row],[Importe]]-Tabla13[[#This Row],[Pagado]]</f>
        <v>0</v>
      </c>
      <c r="H3078" s="38" t="s">
        <v>10</v>
      </c>
    </row>
    <row r="3079" spans="1:8" ht="31.5" x14ac:dyDescent="0.25">
      <c r="A3079" s="31">
        <v>44620</v>
      </c>
      <c r="B3079" s="37" t="s">
        <v>6876</v>
      </c>
      <c r="C3079" s="38" t="s">
        <v>105</v>
      </c>
      <c r="D3079" s="34">
        <v>4637.8</v>
      </c>
      <c r="E3079" s="35" t="s">
        <v>6976</v>
      </c>
      <c r="F3079" s="34">
        <f>2700+1937.8</f>
        <v>4637.8</v>
      </c>
      <c r="G3079" s="36">
        <f>Tabla13[[#This Row],[Importe]]-Tabla13[[#This Row],[Pagado]]</f>
        <v>0</v>
      </c>
      <c r="H3079" s="38" t="s">
        <v>10</v>
      </c>
    </row>
    <row r="3080" spans="1:8" x14ac:dyDescent="0.25">
      <c r="A3080" s="31">
        <v>44620</v>
      </c>
      <c r="B3080" s="37" t="s">
        <v>6877</v>
      </c>
      <c r="C3080" s="38" t="s">
        <v>345</v>
      </c>
      <c r="D3080" s="34">
        <v>1499.9</v>
      </c>
      <c r="E3080" s="35">
        <v>44620</v>
      </c>
      <c r="F3080" s="34">
        <v>1499.9</v>
      </c>
      <c r="G3080" s="36">
        <f>Tabla13[[#This Row],[Importe]]-Tabla13[[#This Row],[Pagado]]</f>
        <v>0</v>
      </c>
      <c r="H3080" s="38" t="s">
        <v>10</v>
      </c>
    </row>
    <row r="3081" spans="1:8" x14ac:dyDescent="0.25">
      <c r="A3081" s="31">
        <v>44620</v>
      </c>
      <c r="B3081" s="37" t="s">
        <v>6878</v>
      </c>
      <c r="C3081" s="38" t="s">
        <v>93</v>
      </c>
      <c r="D3081" s="34">
        <v>5887</v>
      </c>
      <c r="E3081" s="35">
        <v>44621</v>
      </c>
      <c r="F3081" s="34">
        <v>5887</v>
      </c>
      <c r="G3081" s="36">
        <f>Tabla13[[#This Row],[Importe]]-Tabla13[[#This Row],[Pagado]]</f>
        <v>0</v>
      </c>
      <c r="H3081" s="38" t="s">
        <v>10</v>
      </c>
    </row>
    <row r="3082" spans="1:8" x14ac:dyDescent="0.25">
      <c r="A3082" s="31">
        <v>44620</v>
      </c>
      <c r="B3082" s="37" t="s">
        <v>6879</v>
      </c>
      <c r="C3082" s="38" t="s">
        <v>22</v>
      </c>
      <c r="D3082" s="34">
        <v>76111.7</v>
      </c>
      <c r="E3082" s="35">
        <v>44623</v>
      </c>
      <c r="F3082" s="34">
        <v>76111.7</v>
      </c>
      <c r="G3082" s="36">
        <f>Tabla13[[#This Row],[Importe]]-Tabla13[[#This Row],[Pagado]]</f>
        <v>0</v>
      </c>
      <c r="H3082" s="38" t="s">
        <v>10</v>
      </c>
    </row>
    <row r="3083" spans="1:8" x14ac:dyDescent="0.25">
      <c r="A3083" s="31">
        <v>44620</v>
      </c>
      <c r="B3083" s="37" t="s">
        <v>6880</v>
      </c>
      <c r="C3083" s="38" t="s">
        <v>414</v>
      </c>
      <c r="D3083" s="34">
        <v>3356.16</v>
      </c>
      <c r="E3083" s="35">
        <v>44620</v>
      </c>
      <c r="F3083" s="34">
        <v>3356.16</v>
      </c>
      <c r="G3083" s="36">
        <f>Tabla13[[#This Row],[Importe]]-Tabla13[[#This Row],[Pagado]]</f>
        <v>0</v>
      </c>
      <c r="H3083" s="38" t="s">
        <v>10</v>
      </c>
    </row>
    <row r="3084" spans="1:8" x14ac:dyDescent="0.25">
      <c r="A3084" s="31">
        <v>44620</v>
      </c>
      <c r="B3084" s="37" t="s">
        <v>6881</v>
      </c>
      <c r="C3084" s="38" t="s">
        <v>414</v>
      </c>
      <c r="D3084" s="34">
        <v>16260.4</v>
      </c>
      <c r="E3084" s="35">
        <v>44620</v>
      </c>
      <c r="F3084" s="34">
        <v>16260.4</v>
      </c>
      <c r="G3084" s="36">
        <f>Tabla13[[#This Row],[Importe]]-Tabla13[[#This Row],[Pagado]]</f>
        <v>0</v>
      </c>
      <c r="H3084" s="38" t="s">
        <v>10</v>
      </c>
    </row>
    <row r="3085" spans="1:8" x14ac:dyDescent="0.25">
      <c r="A3085" s="31">
        <v>44620</v>
      </c>
      <c r="B3085" s="37" t="s">
        <v>6882</v>
      </c>
      <c r="C3085" s="38" t="s">
        <v>16</v>
      </c>
      <c r="D3085" s="34">
        <v>2804.4</v>
      </c>
      <c r="E3085" s="35">
        <v>44620</v>
      </c>
      <c r="F3085" s="34">
        <v>2804.4</v>
      </c>
      <c r="G3085" s="36">
        <f>Tabla13[[#This Row],[Importe]]-Tabla13[[#This Row],[Pagado]]</f>
        <v>0</v>
      </c>
      <c r="H3085" s="38" t="s">
        <v>10</v>
      </c>
    </row>
    <row r="3086" spans="1:8" x14ac:dyDescent="0.25">
      <c r="A3086" s="31">
        <v>44620</v>
      </c>
      <c r="B3086" s="37" t="s">
        <v>6883</v>
      </c>
      <c r="C3086" s="38" t="s">
        <v>275</v>
      </c>
      <c r="D3086" s="34">
        <v>19093</v>
      </c>
      <c r="E3086" s="35">
        <v>44631</v>
      </c>
      <c r="F3086" s="34">
        <v>19093</v>
      </c>
      <c r="G3086" s="36">
        <f>Tabla13[[#This Row],[Importe]]-Tabla13[[#This Row],[Pagado]]</f>
        <v>0</v>
      </c>
      <c r="H3086" s="38" t="s">
        <v>10</v>
      </c>
    </row>
    <row r="3087" spans="1:8" x14ac:dyDescent="0.25">
      <c r="A3087" s="31">
        <v>44620</v>
      </c>
      <c r="B3087" s="37" t="s">
        <v>6884</v>
      </c>
      <c r="C3087" s="38" t="s">
        <v>6885</v>
      </c>
      <c r="D3087" s="34">
        <v>0</v>
      </c>
      <c r="E3087" s="39" t="s">
        <v>189</v>
      </c>
      <c r="F3087" s="34">
        <v>0</v>
      </c>
      <c r="G3087" s="36">
        <f>Tabla13[[#This Row],[Importe]]-Tabla13[[#This Row],[Pagado]]</f>
        <v>0</v>
      </c>
      <c r="H3087" s="40" t="s">
        <v>6886</v>
      </c>
    </row>
    <row r="3088" spans="1:8" x14ac:dyDescent="0.25">
      <c r="A3088" s="31">
        <v>44620</v>
      </c>
      <c r="B3088" s="37" t="s">
        <v>6887</v>
      </c>
      <c r="C3088" s="38" t="s">
        <v>27</v>
      </c>
      <c r="D3088" s="34">
        <v>3660.4</v>
      </c>
      <c r="E3088" s="35">
        <v>44620</v>
      </c>
      <c r="F3088" s="34">
        <v>3660.4</v>
      </c>
      <c r="G3088" s="36">
        <f>Tabla13[[#This Row],[Importe]]-Tabla13[[#This Row],[Pagado]]</f>
        <v>0</v>
      </c>
      <c r="H3088" s="38" t="s">
        <v>10</v>
      </c>
    </row>
    <row r="3089" spans="1:8" x14ac:dyDescent="0.25">
      <c r="A3089" s="31">
        <v>44620</v>
      </c>
      <c r="B3089" s="37" t="s">
        <v>6888</v>
      </c>
      <c r="C3089" s="38" t="s">
        <v>373</v>
      </c>
      <c r="D3089" s="34">
        <v>1250.8</v>
      </c>
      <c r="E3089" s="35">
        <v>44620</v>
      </c>
      <c r="F3089" s="34">
        <v>1250.8</v>
      </c>
      <c r="G3089" s="36">
        <f>Tabla13[[#This Row],[Importe]]-Tabla13[[#This Row],[Pagado]]</f>
        <v>0</v>
      </c>
      <c r="H3089" s="38" t="s">
        <v>10</v>
      </c>
    </row>
    <row r="3090" spans="1:8" x14ac:dyDescent="0.25">
      <c r="A3090" s="31">
        <v>44620</v>
      </c>
      <c r="B3090" s="37" t="s">
        <v>6889</v>
      </c>
      <c r="C3090" s="38" t="s">
        <v>226</v>
      </c>
      <c r="D3090" s="34">
        <v>2347.9</v>
      </c>
      <c r="E3090" s="35">
        <v>44620</v>
      </c>
      <c r="F3090" s="34">
        <v>2347.9</v>
      </c>
      <c r="G3090" s="36">
        <f>Tabla13[[#This Row],[Importe]]-Tabla13[[#This Row],[Pagado]]</f>
        <v>0</v>
      </c>
      <c r="H3090" s="38" t="s">
        <v>10</v>
      </c>
    </row>
    <row r="3091" spans="1:8" x14ac:dyDescent="0.25">
      <c r="A3091" s="31">
        <v>44620</v>
      </c>
      <c r="B3091" s="37" t="s">
        <v>6890</v>
      </c>
      <c r="C3091" s="38" t="s">
        <v>275</v>
      </c>
      <c r="D3091" s="34">
        <v>16162.2</v>
      </c>
      <c r="E3091" s="35">
        <v>44631</v>
      </c>
      <c r="F3091" s="34">
        <v>16162.2</v>
      </c>
      <c r="G3091" s="36">
        <f>Tabla13[[#This Row],[Importe]]-Tabla13[[#This Row],[Pagado]]</f>
        <v>0</v>
      </c>
      <c r="H3091" s="38" t="s">
        <v>10</v>
      </c>
    </row>
    <row r="3092" spans="1:8" x14ac:dyDescent="0.25">
      <c r="A3092" s="31">
        <v>44620</v>
      </c>
      <c r="B3092" s="37" t="s">
        <v>6891</v>
      </c>
      <c r="C3092" s="38" t="s">
        <v>357</v>
      </c>
      <c r="D3092" s="34">
        <v>2963.2</v>
      </c>
      <c r="E3092" s="35">
        <v>44620</v>
      </c>
      <c r="F3092" s="34">
        <v>2963.2</v>
      </c>
      <c r="G3092" s="36">
        <f>Tabla13[[#This Row],[Importe]]-Tabla13[[#This Row],[Pagado]]</f>
        <v>0</v>
      </c>
      <c r="H3092" s="38" t="s">
        <v>10</v>
      </c>
    </row>
    <row r="3093" spans="1:8" x14ac:dyDescent="0.25">
      <c r="A3093" s="31">
        <v>44620</v>
      </c>
      <c r="B3093" s="37" t="s">
        <v>6892</v>
      </c>
      <c r="C3093" s="38" t="s">
        <v>49</v>
      </c>
      <c r="D3093" s="34">
        <v>4290</v>
      </c>
      <c r="E3093" s="35">
        <v>44620</v>
      </c>
      <c r="F3093" s="34">
        <v>4290</v>
      </c>
      <c r="G3093" s="36">
        <f>Tabla13[[#This Row],[Importe]]-Tabla13[[#This Row],[Pagado]]</f>
        <v>0</v>
      </c>
      <c r="H3093" s="38" t="s">
        <v>10</v>
      </c>
    </row>
    <row r="3094" spans="1:8" x14ac:dyDescent="0.25">
      <c r="A3094" s="31">
        <v>44620</v>
      </c>
      <c r="B3094" s="37" t="s">
        <v>6893</v>
      </c>
      <c r="C3094" s="38" t="s">
        <v>175</v>
      </c>
      <c r="D3094" s="34">
        <v>7646.9</v>
      </c>
      <c r="E3094" s="35">
        <v>44620</v>
      </c>
      <c r="F3094" s="34">
        <v>7646.9</v>
      </c>
      <c r="G3094" s="36">
        <f>Tabla13[[#This Row],[Importe]]-Tabla13[[#This Row],[Pagado]]</f>
        <v>0</v>
      </c>
      <c r="H3094" s="38" t="s">
        <v>10</v>
      </c>
    </row>
    <row r="3095" spans="1:8" x14ac:dyDescent="0.25">
      <c r="A3095" s="31">
        <v>44620</v>
      </c>
      <c r="B3095" s="37" t="s">
        <v>6894</v>
      </c>
      <c r="C3095" s="38" t="s">
        <v>129</v>
      </c>
      <c r="D3095" s="34">
        <v>4312.6000000000004</v>
      </c>
      <c r="E3095" s="35">
        <v>44620</v>
      </c>
      <c r="F3095" s="34">
        <v>4312.6000000000004</v>
      </c>
      <c r="G3095" s="36">
        <f>Tabla13[[#This Row],[Importe]]-Tabla13[[#This Row],[Pagado]]</f>
        <v>0</v>
      </c>
      <c r="H3095" s="38" t="s">
        <v>10</v>
      </c>
    </row>
    <row r="3096" spans="1:8" x14ac:dyDescent="0.25">
      <c r="A3096" s="31">
        <v>44620</v>
      </c>
      <c r="B3096" s="37" t="s">
        <v>6895</v>
      </c>
      <c r="C3096" s="38" t="s">
        <v>196</v>
      </c>
      <c r="D3096" s="34">
        <v>63981.4</v>
      </c>
      <c r="E3096" s="35">
        <v>44624</v>
      </c>
      <c r="F3096" s="34">
        <v>63981.4</v>
      </c>
      <c r="G3096" s="36">
        <f>Tabla13[[#This Row],[Importe]]-Tabla13[[#This Row],[Pagado]]</f>
        <v>0</v>
      </c>
      <c r="H3096" s="38" t="s">
        <v>10</v>
      </c>
    </row>
    <row r="3097" spans="1:8" x14ac:dyDescent="0.25">
      <c r="A3097" s="31">
        <v>44620</v>
      </c>
      <c r="B3097" s="37" t="s">
        <v>6896</v>
      </c>
      <c r="C3097" s="38" t="s">
        <v>196</v>
      </c>
      <c r="D3097" s="34">
        <v>28417.4</v>
      </c>
      <c r="E3097" s="35">
        <v>44624</v>
      </c>
      <c r="F3097" s="34">
        <v>28417.4</v>
      </c>
      <c r="G3097" s="36">
        <f>Tabla13[[#This Row],[Importe]]-Tabla13[[#This Row],[Pagado]]</f>
        <v>0</v>
      </c>
      <c r="H3097" s="38" t="s">
        <v>10</v>
      </c>
    </row>
    <row r="3098" spans="1:8" x14ac:dyDescent="0.25">
      <c r="A3098" s="31">
        <v>44620</v>
      </c>
      <c r="B3098" s="37" t="s">
        <v>6897</v>
      </c>
      <c r="C3098" s="38" t="s">
        <v>339</v>
      </c>
      <c r="D3098" s="34">
        <v>1512</v>
      </c>
      <c r="E3098" s="35">
        <v>44620</v>
      </c>
      <c r="F3098" s="34">
        <v>1512</v>
      </c>
      <c r="G3098" s="36">
        <f>Tabla13[[#This Row],[Importe]]-Tabla13[[#This Row],[Pagado]]</f>
        <v>0</v>
      </c>
      <c r="H3098" s="38" t="s">
        <v>10</v>
      </c>
    </row>
    <row r="3099" spans="1:8" x14ac:dyDescent="0.25">
      <c r="A3099" s="31">
        <v>44620</v>
      </c>
      <c r="B3099" s="37" t="s">
        <v>6898</v>
      </c>
      <c r="C3099" s="38" t="s">
        <v>224</v>
      </c>
      <c r="D3099" s="34">
        <v>525.20000000000005</v>
      </c>
      <c r="E3099" s="35">
        <v>44620</v>
      </c>
      <c r="F3099" s="34">
        <v>525.20000000000005</v>
      </c>
      <c r="G3099" s="36">
        <f>Tabla13[[#This Row],[Importe]]-Tabla13[[#This Row],[Pagado]]</f>
        <v>0</v>
      </c>
      <c r="H3099" s="38" t="s">
        <v>10</v>
      </c>
    </row>
    <row r="3100" spans="1:8" x14ac:dyDescent="0.25">
      <c r="A3100" s="31">
        <v>44620</v>
      </c>
      <c r="B3100" s="37" t="s">
        <v>6899</v>
      </c>
      <c r="C3100" s="38" t="s">
        <v>5816</v>
      </c>
      <c r="D3100" s="34">
        <v>4340</v>
      </c>
      <c r="E3100" s="35">
        <v>44621</v>
      </c>
      <c r="F3100" s="34">
        <v>4340</v>
      </c>
      <c r="G3100" s="36">
        <f>Tabla13[[#This Row],[Importe]]-Tabla13[[#This Row],[Pagado]]</f>
        <v>0</v>
      </c>
      <c r="H3100" s="38" t="s">
        <v>10</v>
      </c>
    </row>
    <row r="3101" spans="1:8" x14ac:dyDescent="0.25">
      <c r="A3101" s="31">
        <v>44620</v>
      </c>
      <c r="B3101" s="37" t="s">
        <v>6900</v>
      </c>
      <c r="C3101" s="38" t="s">
        <v>127</v>
      </c>
      <c r="D3101" s="34">
        <v>4454.3999999999996</v>
      </c>
      <c r="E3101" s="35">
        <v>44620</v>
      </c>
      <c r="F3101" s="34">
        <v>4454.3999999999996</v>
      </c>
      <c r="G3101" s="36">
        <f>Tabla13[[#This Row],[Importe]]-Tabla13[[#This Row],[Pagado]]</f>
        <v>0</v>
      </c>
      <c r="H3101" s="38" t="s">
        <v>10</v>
      </c>
    </row>
    <row r="3102" spans="1:8" x14ac:dyDescent="0.25">
      <c r="A3102" s="31">
        <v>44620</v>
      </c>
      <c r="B3102" s="37" t="s">
        <v>6901</v>
      </c>
      <c r="C3102" s="38" t="s">
        <v>140</v>
      </c>
      <c r="D3102" s="34">
        <v>204</v>
      </c>
      <c r="E3102" s="35">
        <v>44620</v>
      </c>
      <c r="F3102" s="34">
        <v>204</v>
      </c>
      <c r="G3102" s="36">
        <f>Tabla13[[#This Row],[Importe]]-Tabla13[[#This Row],[Pagado]]</f>
        <v>0</v>
      </c>
      <c r="H3102" s="38" t="s">
        <v>10</v>
      </c>
    </row>
    <row r="3103" spans="1:8" x14ac:dyDescent="0.25">
      <c r="A3103" s="31">
        <v>44620</v>
      </c>
      <c r="B3103" s="37" t="s">
        <v>6902</v>
      </c>
      <c r="C3103" s="38" t="s">
        <v>133</v>
      </c>
      <c r="D3103" s="34">
        <v>13536.2</v>
      </c>
      <c r="E3103" s="35">
        <v>44621</v>
      </c>
      <c r="F3103" s="34">
        <v>13536.2</v>
      </c>
      <c r="G3103" s="36">
        <f>Tabla13[[#This Row],[Importe]]-Tabla13[[#This Row],[Pagado]]</f>
        <v>0</v>
      </c>
      <c r="H3103" s="38" t="s">
        <v>10</v>
      </c>
    </row>
    <row r="3104" spans="1:8" x14ac:dyDescent="0.25">
      <c r="A3104" s="31">
        <v>44620</v>
      </c>
      <c r="B3104" s="37" t="s">
        <v>6903</v>
      </c>
      <c r="C3104" s="38" t="s">
        <v>333</v>
      </c>
      <c r="D3104" s="34">
        <v>295.10000000000002</v>
      </c>
      <c r="E3104" s="35">
        <v>44620</v>
      </c>
      <c r="F3104" s="34">
        <v>295.10000000000002</v>
      </c>
      <c r="G3104" s="36">
        <f>Tabla13[[#This Row],[Importe]]-Tabla13[[#This Row],[Pagado]]</f>
        <v>0</v>
      </c>
      <c r="H3104" s="38" t="s">
        <v>10</v>
      </c>
    </row>
    <row r="3105" spans="1:8" x14ac:dyDescent="0.25">
      <c r="A3105" s="31">
        <v>44620</v>
      </c>
      <c r="B3105" s="37" t="s">
        <v>6904</v>
      </c>
      <c r="C3105" s="38" t="s">
        <v>191</v>
      </c>
      <c r="D3105" s="34">
        <v>1659.9</v>
      </c>
      <c r="E3105" s="35">
        <v>44620</v>
      </c>
      <c r="F3105" s="34">
        <v>1659.9</v>
      </c>
      <c r="G3105" s="36">
        <f>Tabla13[[#This Row],[Importe]]-Tabla13[[#This Row],[Pagado]]</f>
        <v>0</v>
      </c>
      <c r="H3105" s="38" t="s">
        <v>10</v>
      </c>
    </row>
    <row r="3106" spans="1:8" x14ac:dyDescent="0.25">
      <c r="A3106" s="31">
        <v>44620</v>
      </c>
      <c r="B3106" s="37" t="s">
        <v>6905</v>
      </c>
      <c r="C3106" s="38" t="s">
        <v>373</v>
      </c>
      <c r="D3106" s="34">
        <v>2622</v>
      </c>
      <c r="E3106" s="35">
        <v>44620</v>
      </c>
      <c r="F3106" s="34">
        <v>2622</v>
      </c>
      <c r="G3106" s="36">
        <f>Tabla13[[#This Row],[Importe]]-Tabla13[[#This Row],[Pagado]]</f>
        <v>0</v>
      </c>
      <c r="H3106" s="38" t="s">
        <v>10</v>
      </c>
    </row>
    <row r="3107" spans="1:8" x14ac:dyDescent="0.25">
      <c r="A3107" s="31">
        <v>44620</v>
      </c>
      <c r="B3107" s="37" t="s">
        <v>6906</v>
      </c>
      <c r="C3107" s="38" t="s">
        <v>31</v>
      </c>
      <c r="D3107" s="34">
        <v>720.6</v>
      </c>
      <c r="E3107" s="35">
        <v>44620</v>
      </c>
      <c r="F3107" s="34">
        <v>720.6</v>
      </c>
      <c r="G3107" s="36">
        <f>Tabla13[[#This Row],[Importe]]-Tabla13[[#This Row],[Pagado]]</f>
        <v>0</v>
      </c>
      <c r="H3107" s="38" t="s">
        <v>10</v>
      </c>
    </row>
    <row r="3108" spans="1:8" x14ac:dyDescent="0.25">
      <c r="A3108" s="31">
        <v>44620</v>
      </c>
      <c r="B3108" s="37" t="s">
        <v>6907</v>
      </c>
      <c r="C3108" s="38" t="s">
        <v>179</v>
      </c>
      <c r="D3108" s="34">
        <v>789.7</v>
      </c>
      <c r="E3108" s="35">
        <v>44620</v>
      </c>
      <c r="F3108" s="34">
        <v>789.7</v>
      </c>
      <c r="G3108" s="36">
        <f>Tabla13[[#This Row],[Importe]]-Tabla13[[#This Row],[Pagado]]</f>
        <v>0</v>
      </c>
      <c r="H3108" s="38" t="s">
        <v>10</v>
      </c>
    </row>
    <row r="3109" spans="1:8" x14ac:dyDescent="0.25">
      <c r="A3109" s="31">
        <v>44620</v>
      </c>
      <c r="B3109" s="37" t="s">
        <v>6908</v>
      </c>
      <c r="C3109" s="38" t="s">
        <v>45</v>
      </c>
      <c r="D3109" s="34">
        <v>7014.9</v>
      </c>
      <c r="E3109" s="35">
        <v>44620</v>
      </c>
      <c r="F3109" s="34">
        <v>7014.9</v>
      </c>
      <c r="G3109" s="36">
        <f>Tabla13[[#This Row],[Importe]]-Tabla13[[#This Row],[Pagado]]</f>
        <v>0</v>
      </c>
      <c r="H3109" s="38" t="s">
        <v>10</v>
      </c>
    </row>
    <row r="3110" spans="1:8" x14ac:dyDescent="0.25">
      <c r="A3110" s="31">
        <v>44620</v>
      </c>
      <c r="B3110" s="37" t="s">
        <v>6909</v>
      </c>
      <c r="C3110" s="38" t="s">
        <v>24</v>
      </c>
      <c r="D3110" s="34">
        <v>3607.4</v>
      </c>
      <c r="E3110" s="35">
        <v>44620</v>
      </c>
      <c r="F3110" s="34">
        <v>3607.4</v>
      </c>
      <c r="G3110" s="36">
        <f>Tabla13[[#This Row],[Importe]]-Tabla13[[#This Row],[Pagado]]</f>
        <v>0</v>
      </c>
      <c r="H3110" s="38" t="s">
        <v>10</v>
      </c>
    </row>
    <row r="3111" spans="1:8" x14ac:dyDescent="0.25">
      <c r="A3111" s="31">
        <v>44620</v>
      </c>
      <c r="B3111" s="37" t="s">
        <v>6910</v>
      </c>
      <c r="C3111" s="38" t="s">
        <v>2114</v>
      </c>
      <c r="D3111" s="34">
        <v>1536.5</v>
      </c>
      <c r="E3111" s="35">
        <v>44620</v>
      </c>
      <c r="F3111" s="34">
        <v>1536.5</v>
      </c>
      <c r="G3111" s="36">
        <f>Tabla13[[#This Row],[Importe]]-Tabla13[[#This Row],[Pagado]]</f>
        <v>0</v>
      </c>
      <c r="H3111" s="38" t="s">
        <v>10</v>
      </c>
    </row>
    <row r="3112" spans="1:8" x14ac:dyDescent="0.25">
      <c r="A3112" s="31">
        <v>44620</v>
      </c>
      <c r="B3112" s="37" t="s">
        <v>6911</v>
      </c>
      <c r="C3112" s="38" t="s">
        <v>216</v>
      </c>
      <c r="D3112" s="34">
        <v>1144.8</v>
      </c>
      <c r="E3112" s="35">
        <v>44620</v>
      </c>
      <c r="F3112" s="34">
        <v>1144.8</v>
      </c>
      <c r="G3112" s="36">
        <f>Tabla13[[#This Row],[Importe]]-Tabla13[[#This Row],[Pagado]]</f>
        <v>0</v>
      </c>
      <c r="H3112" s="38" t="s">
        <v>10</v>
      </c>
    </row>
    <row r="3113" spans="1:8" x14ac:dyDescent="0.25">
      <c r="A3113" s="31">
        <v>44620</v>
      </c>
      <c r="B3113" s="37" t="s">
        <v>6912</v>
      </c>
      <c r="C3113" s="38" t="s">
        <v>22</v>
      </c>
      <c r="D3113" s="34">
        <v>1738.88</v>
      </c>
      <c r="E3113" s="35">
        <v>44624</v>
      </c>
      <c r="F3113" s="34">
        <v>1738.88</v>
      </c>
      <c r="G3113" s="36">
        <f>Tabla13[[#This Row],[Importe]]-Tabla13[[#This Row],[Pagado]]</f>
        <v>0</v>
      </c>
      <c r="H3113" s="38" t="s">
        <v>10</v>
      </c>
    </row>
    <row r="3114" spans="1:8" x14ac:dyDescent="0.25">
      <c r="A3114" s="31">
        <v>44620</v>
      </c>
      <c r="B3114" s="37" t="s">
        <v>6913</v>
      </c>
      <c r="C3114" s="38" t="s">
        <v>154</v>
      </c>
      <c r="D3114" s="34">
        <v>23078.400000000001</v>
      </c>
      <c r="E3114" s="35">
        <v>44623</v>
      </c>
      <c r="F3114" s="34">
        <v>23078.400000000001</v>
      </c>
      <c r="G3114" s="36">
        <f>Tabla13[[#This Row],[Importe]]-Tabla13[[#This Row],[Pagado]]</f>
        <v>0</v>
      </c>
      <c r="H3114" s="38" t="s">
        <v>10</v>
      </c>
    </row>
    <row r="3115" spans="1:8" x14ac:dyDescent="0.25">
      <c r="A3115" s="31">
        <v>44620</v>
      </c>
      <c r="B3115" s="37" t="s">
        <v>6914</v>
      </c>
      <c r="C3115" s="38" t="s">
        <v>541</v>
      </c>
      <c r="D3115" s="34">
        <v>12544</v>
      </c>
      <c r="E3115" s="35">
        <v>44621</v>
      </c>
      <c r="F3115" s="34">
        <v>12544</v>
      </c>
      <c r="G3115" s="36">
        <f>Tabla13[[#This Row],[Importe]]-Tabla13[[#This Row],[Pagado]]</f>
        <v>0</v>
      </c>
      <c r="H3115" s="38" t="s">
        <v>10</v>
      </c>
    </row>
    <row r="3116" spans="1:8" x14ac:dyDescent="0.25">
      <c r="A3116" s="31">
        <v>44620</v>
      </c>
      <c r="B3116" s="37" t="s">
        <v>6915</v>
      </c>
      <c r="C3116" s="38" t="s">
        <v>31</v>
      </c>
      <c r="D3116" s="34">
        <v>16979.599999999999</v>
      </c>
      <c r="E3116" s="35">
        <v>44620</v>
      </c>
      <c r="F3116" s="34">
        <v>16979.599999999999</v>
      </c>
      <c r="G3116" s="36">
        <f>Tabla13[[#This Row],[Importe]]-Tabla13[[#This Row],[Pagado]]</f>
        <v>0</v>
      </c>
      <c r="H3116" s="38" t="s">
        <v>10</v>
      </c>
    </row>
    <row r="3117" spans="1:8" x14ac:dyDescent="0.25">
      <c r="A3117" s="31">
        <v>44620</v>
      </c>
      <c r="B3117" s="37" t="s">
        <v>6916</v>
      </c>
      <c r="C3117" s="38" t="s">
        <v>222</v>
      </c>
      <c r="D3117" s="34">
        <v>7805.4</v>
      </c>
      <c r="E3117" s="35">
        <v>44620</v>
      </c>
      <c r="F3117" s="34">
        <v>7805.4</v>
      </c>
      <c r="G3117" s="36">
        <f>Tabla13[[#This Row],[Importe]]-Tabla13[[#This Row],[Pagado]]</f>
        <v>0</v>
      </c>
      <c r="H3117" s="38" t="s">
        <v>10</v>
      </c>
    </row>
    <row r="3118" spans="1:8" x14ac:dyDescent="0.25">
      <c r="A3118" s="31">
        <v>44620</v>
      </c>
      <c r="B3118" s="37" t="s">
        <v>6917</v>
      </c>
      <c r="C3118" s="38" t="s">
        <v>212</v>
      </c>
      <c r="D3118" s="34">
        <v>35682.5</v>
      </c>
      <c r="E3118" s="35">
        <v>44623</v>
      </c>
      <c r="F3118" s="34">
        <v>35682.5</v>
      </c>
      <c r="G3118" s="36">
        <f>Tabla13[[#This Row],[Importe]]-Tabla13[[#This Row],[Pagado]]</f>
        <v>0</v>
      </c>
      <c r="H3118" s="38" t="s">
        <v>10</v>
      </c>
    </row>
    <row r="3119" spans="1:8" x14ac:dyDescent="0.25">
      <c r="A3119" s="31">
        <v>44620</v>
      </c>
      <c r="B3119" s="37" t="s">
        <v>6918</v>
      </c>
      <c r="C3119" s="38" t="s">
        <v>173</v>
      </c>
      <c r="D3119" s="34">
        <v>54982.8</v>
      </c>
      <c r="E3119" s="35">
        <v>44621</v>
      </c>
      <c r="F3119" s="34">
        <v>54982.8</v>
      </c>
      <c r="G3119" s="36">
        <f>Tabla13[[#This Row],[Importe]]-Tabla13[[#This Row],[Pagado]]</f>
        <v>0</v>
      </c>
      <c r="H3119" s="38" t="s">
        <v>10</v>
      </c>
    </row>
    <row r="3120" spans="1:8" x14ac:dyDescent="0.25">
      <c r="A3120" s="31">
        <v>44620</v>
      </c>
      <c r="B3120" s="37" t="s">
        <v>6919</v>
      </c>
      <c r="C3120" s="38" t="s">
        <v>6585</v>
      </c>
      <c r="D3120" s="34">
        <v>3173.5</v>
      </c>
      <c r="E3120" s="35">
        <v>44621</v>
      </c>
      <c r="F3120" s="34">
        <v>3173.5</v>
      </c>
      <c r="G3120" s="36">
        <f>Tabla13[[#This Row],[Importe]]-Tabla13[[#This Row],[Pagado]]</f>
        <v>0</v>
      </c>
      <c r="H3120" s="38" t="s">
        <v>10</v>
      </c>
    </row>
    <row r="3121" spans="1:8" x14ac:dyDescent="0.25">
      <c r="A3121" s="31">
        <v>44620</v>
      </c>
      <c r="B3121" s="37" t="s">
        <v>6920</v>
      </c>
      <c r="C3121" s="38" t="s">
        <v>698</v>
      </c>
      <c r="D3121" s="34">
        <v>6598.3</v>
      </c>
      <c r="E3121" s="35">
        <v>44620</v>
      </c>
      <c r="F3121" s="34">
        <v>6598.3</v>
      </c>
      <c r="G3121" s="36">
        <f>Tabla13[[#This Row],[Importe]]-Tabla13[[#This Row],[Pagado]]</f>
        <v>0</v>
      </c>
      <c r="H3121" s="38" t="s">
        <v>10</v>
      </c>
    </row>
    <row r="3122" spans="1:8" x14ac:dyDescent="0.25">
      <c r="A3122" s="31">
        <v>44620</v>
      </c>
      <c r="B3122" s="37" t="s">
        <v>6921</v>
      </c>
      <c r="C3122" s="38" t="s">
        <v>419</v>
      </c>
      <c r="D3122" s="34">
        <v>5528.4</v>
      </c>
      <c r="E3122" s="35">
        <v>44620</v>
      </c>
      <c r="F3122" s="34">
        <v>5528.4</v>
      </c>
      <c r="G3122" s="36">
        <f>Tabla13[[#This Row],[Importe]]-Tabla13[[#This Row],[Pagado]]</f>
        <v>0</v>
      </c>
      <c r="H3122" s="38" t="s">
        <v>10</v>
      </c>
    </row>
    <row r="3123" spans="1:8" x14ac:dyDescent="0.25">
      <c r="A3123" s="31">
        <v>44620</v>
      </c>
      <c r="B3123" s="37" t="s">
        <v>6922</v>
      </c>
      <c r="C3123" s="38" t="s">
        <v>214</v>
      </c>
      <c r="D3123" s="34">
        <v>1001.7</v>
      </c>
      <c r="E3123" s="35">
        <v>44620</v>
      </c>
      <c r="F3123" s="34">
        <v>1001.7</v>
      </c>
      <c r="G3123" s="36">
        <f>Tabla13[[#This Row],[Importe]]-Tabla13[[#This Row],[Pagado]]</f>
        <v>0</v>
      </c>
      <c r="H3123" s="38" t="s">
        <v>10</v>
      </c>
    </row>
    <row r="3124" spans="1:8" x14ac:dyDescent="0.25">
      <c r="A3124" s="31">
        <v>44620</v>
      </c>
      <c r="B3124" s="37" t="s">
        <v>6923</v>
      </c>
      <c r="C3124" s="38" t="s">
        <v>1239</v>
      </c>
      <c r="D3124" s="34">
        <v>9433.7999999999993</v>
      </c>
      <c r="E3124" s="35">
        <v>44620</v>
      </c>
      <c r="F3124" s="34">
        <v>9433.7999999999993</v>
      </c>
      <c r="G3124" s="36">
        <f>Tabla13[[#This Row],[Importe]]-Tabla13[[#This Row],[Pagado]]</f>
        <v>0</v>
      </c>
      <c r="H3124" s="38" t="s">
        <v>10</v>
      </c>
    </row>
    <row r="3125" spans="1:8" x14ac:dyDescent="0.25">
      <c r="A3125" s="31">
        <v>44620</v>
      </c>
      <c r="B3125" s="37" t="s">
        <v>6924</v>
      </c>
      <c r="C3125" s="38" t="s">
        <v>240</v>
      </c>
      <c r="D3125" s="34">
        <v>9766.4</v>
      </c>
      <c r="E3125" s="35">
        <v>44620</v>
      </c>
      <c r="F3125" s="34">
        <v>9766.4</v>
      </c>
      <c r="G3125" s="36">
        <f>Tabla13[[#This Row],[Importe]]-Tabla13[[#This Row],[Pagado]]</f>
        <v>0</v>
      </c>
      <c r="H3125" s="38" t="s">
        <v>10</v>
      </c>
    </row>
    <row r="3126" spans="1:8" x14ac:dyDescent="0.25">
      <c r="A3126" s="31">
        <v>44620</v>
      </c>
      <c r="B3126" s="37" t="s">
        <v>6925</v>
      </c>
      <c r="C3126" s="38" t="s">
        <v>31</v>
      </c>
      <c r="D3126" s="34">
        <v>1138.1600000000001</v>
      </c>
      <c r="E3126" s="35">
        <v>44620</v>
      </c>
      <c r="F3126" s="34">
        <v>1138.1600000000001</v>
      </c>
      <c r="G3126" s="36">
        <f>Tabla13[[#This Row],[Importe]]-Tabla13[[#This Row],[Pagado]]</f>
        <v>0</v>
      </c>
      <c r="H3126" s="38" t="s">
        <v>10</v>
      </c>
    </row>
    <row r="3127" spans="1:8" x14ac:dyDescent="0.25">
      <c r="A3127" s="31">
        <v>44620</v>
      </c>
      <c r="B3127" s="37" t="s">
        <v>6926</v>
      </c>
      <c r="C3127" s="38" t="s">
        <v>56</v>
      </c>
      <c r="D3127" s="34">
        <v>5557.5</v>
      </c>
      <c r="E3127" s="35">
        <v>44620</v>
      </c>
      <c r="F3127" s="34">
        <v>5557.5</v>
      </c>
      <c r="G3127" s="36">
        <f>Tabla13[[#This Row],[Importe]]-Tabla13[[#This Row],[Pagado]]</f>
        <v>0</v>
      </c>
      <c r="H3127" s="38" t="s">
        <v>10</v>
      </c>
    </row>
    <row r="3128" spans="1:8" x14ac:dyDescent="0.25">
      <c r="A3128" s="31">
        <v>44620</v>
      </c>
      <c r="B3128" s="37" t="s">
        <v>6927</v>
      </c>
      <c r="C3128" s="38" t="s">
        <v>56</v>
      </c>
      <c r="D3128" s="34">
        <v>26</v>
      </c>
      <c r="E3128" s="35">
        <v>44620</v>
      </c>
      <c r="F3128" s="34">
        <v>26</v>
      </c>
      <c r="G3128" s="36">
        <f>Tabla13[[#This Row],[Importe]]-Tabla13[[#This Row],[Pagado]]</f>
        <v>0</v>
      </c>
      <c r="H3128" s="38" t="s">
        <v>10</v>
      </c>
    </row>
    <row r="3129" spans="1:8" x14ac:dyDescent="0.25">
      <c r="A3129" s="31">
        <v>44620</v>
      </c>
      <c r="B3129" s="37" t="s">
        <v>6928</v>
      </c>
      <c r="C3129" s="38" t="s">
        <v>64</v>
      </c>
      <c r="D3129" s="34">
        <v>3470.5</v>
      </c>
      <c r="E3129" s="35">
        <v>44620</v>
      </c>
      <c r="F3129" s="34">
        <v>3470.5</v>
      </c>
      <c r="G3129" s="36">
        <f>Tabla13[[#This Row],[Importe]]-Tabla13[[#This Row],[Pagado]]</f>
        <v>0</v>
      </c>
      <c r="H3129" s="38" t="s">
        <v>10</v>
      </c>
    </row>
    <row r="3130" spans="1:8" x14ac:dyDescent="0.25">
      <c r="A3130" s="31">
        <v>44620</v>
      </c>
      <c r="B3130" s="37" t="s">
        <v>6929</v>
      </c>
      <c r="C3130" s="38" t="s">
        <v>475</v>
      </c>
      <c r="D3130" s="34">
        <v>31325.7</v>
      </c>
      <c r="E3130" s="35">
        <v>44621</v>
      </c>
      <c r="F3130" s="34">
        <v>31325.7</v>
      </c>
      <c r="G3130" s="36">
        <f>Tabla13[[#This Row],[Importe]]-Tabla13[[#This Row],[Pagado]]</f>
        <v>0</v>
      </c>
      <c r="H3130" s="38" t="s">
        <v>10</v>
      </c>
    </row>
    <row r="3131" spans="1:8" x14ac:dyDescent="0.25">
      <c r="A3131" s="31">
        <v>44620</v>
      </c>
      <c r="B3131" s="37" t="s">
        <v>6930</v>
      </c>
      <c r="C3131" s="38" t="s">
        <v>47</v>
      </c>
      <c r="D3131" s="34">
        <v>41461.800000000003</v>
      </c>
      <c r="E3131" s="35">
        <v>44620</v>
      </c>
      <c r="F3131" s="34">
        <v>41461.800000000003</v>
      </c>
      <c r="G3131" s="36">
        <f>Tabla13[[#This Row],[Importe]]-Tabla13[[#This Row],[Pagado]]</f>
        <v>0</v>
      </c>
      <c r="H3131" s="38" t="s">
        <v>10</v>
      </c>
    </row>
    <row r="3132" spans="1:8" x14ac:dyDescent="0.25">
      <c r="A3132" s="31">
        <v>44620</v>
      </c>
      <c r="B3132" s="37" t="s">
        <v>6931</v>
      </c>
      <c r="C3132" s="38" t="s">
        <v>58</v>
      </c>
      <c r="D3132" s="34">
        <v>2691</v>
      </c>
      <c r="E3132" s="35">
        <v>44620</v>
      </c>
      <c r="F3132" s="34">
        <v>2691</v>
      </c>
      <c r="G3132" s="36">
        <f>Tabla13[[#This Row],[Importe]]-Tabla13[[#This Row],[Pagado]]</f>
        <v>0</v>
      </c>
      <c r="H3132" s="38" t="s">
        <v>10</v>
      </c>
    </row>
    <row r="3133" spans="1:8" x14ac:dyDescent="0.25">
      <c r="A3133" s="31">
        <v>44620</v>
      </c>
      <c r="B3133" s="37" t="s">
        <v>6932</v>
      </c>
      <c r="C3133" s="38" t="s">
        <v>196</v>
      </c>
      <c r="D3133" s="34">
        <v>3848.8</v>
      </c>
      <c r="E3133" s="35">
        <v>44624</v>
      </c>
      <c r="F3133" s="34">
        <v>3848.8</v>
      </c>
      <c r="G3133" s="36">
        <f>Tabla13[[#This Row],[Importe]]-Tabla13[[#This Row],[Pagado]]</f>
        <v>0</v>
      </c>
      <c r="H3133" s="38" t="s">
        <v>10</v>
      </c>
    </row>
    <row r="3134" spans="1:8" x14ac:dyDescent="0.25">
      <c r="A3134" s="31">
        <v>44620</v>
      </c>
      <c r="B3134" s="37" t="s">
        <v>6933</v>
      </c>
      <c r="C3134" s="38" t="s">
        <v>3999</v>
      </c>
      <c r="D3134" s="34">
        <v>1560</v>
      </c>
      <c r="E3134" s="35">
        <v>44620</v>
      </c>
      <c r="F3134" s="34">
        <v>1560</v>
      </c>
      <c r="G3134" s="36">
        <f>Tabla13[[#This Row],[Importe]]-Tabla13[[#This Row],[Pagado]]</f>
        <v>0</v>
      </c>
      <c r="H3134" s="38" t="s">
        <v>10</v>
      </c>
    </row>
    <row r="3135" spans="1:8" x14ac:dyDescent="0.25">
      <c r="A3135" s="31">
        <v>44620</v>
      </c>
      <c r="B3135" s="37" t="s">
        <v>6934</v>
      </c>
      <c r="C3135" s="38" t="s">
        <v>208</v>
      </c>
      <c r="D3135" s="34">
        <v>11676.5</v>
      </c>
      <c r="E3135" s="35">
        <v>44625</v>
      </c>
      <c r="F3135" s="34">
        <v>11676.5</v>
      </c>
      <c r="G3135" s="36">
        <f>Tabla13[[#This Row],[Importe]]-Tabla13[[#This Row],[Pagado]]</f>
        <v>0</v>
      </c>
      <c r="H3135" s="38" t="s">
        <v>10</v>
      </c>
    </row>
    <row r="3136" spans="1:8" x14ac:dyDescent="0.25">
      <c r="A3136" s="31">
        <v>44620</v>
      </c>
      <c r="B3136" s="37" t="s">
        <v>6935</v>
      </c>
      <c r="C3136" s="38" t="s">
        <v>857</v>
      </c>
      <c r="D3136" s="34">
        <v>1160</v>
      </c>
      <c r="E3136" s="35">
        <v>44620</v>
      </c>
      <c r="F3136" s="34">
        <v>1160</v>
      </c>
      <c r="G3136" s="36">
        <f>Tabla13[[#This Row],[Importe]]-Tabla13[[#This Row],[Pagado]]</f>
        <v>0</v>
      </c>
      <c r="H3136" s="38" t="s">
        <v>10</v>
      </c>
    </row>
    <row r="3137" spans="1:8" x14ac:dyDescent="0.25">
      <c r="A3137" s="31">
        <v>44620</v>
      </c>
      <c r="B3137" s="37" t="s">
        <v>6936</v>
      </c>
      <c r="C3137" s="38" t="s">
        <v>218</v>
      </c>
      <c r="D3137" s="34">
        <v>12450</v>
      </c>
      <c r="E3137" s="35">
        <v>44623</v>
      </c>
      <c r="F3137" s="34">
        <v>12450</v>
      </c>
      <c r="G3137" s="36">
        <f>Tabla13[[#This Row],[Importe]]-Tabla13[[#This Row],[Pagado]]</f>
        <v>0</v>
      </c>
      <c r="H3137" s="38" t="s">
        <v>10</v>
      </c>
    </row>
    <row r="3138" spans="1:8" x14ac:dyDescent="0.25">
      <c r="A3138" s="31">
        <v>44620</v>
      </c>
      <c r="B3138" s="37" t="s">
        <v>6937</v>
      </c>
      <c r="C3138" s="38" t="s">
        <v>206</v>
      </c>
      <c r="D3138" s="34">
        <v>20487.099999999999</v>
      </c>
      <c r="E3138" s="35">
        <v>44623</v>
      </c>
      <c r="F3138" s="34">
        <v>20487.099999999999</v>
      </c>
      <c r="G3138" s="36">
        <f>Tabla13[[#This Row],[Importe]]-Tabla13[[#This Row],[Pagado]]</f>
        <v>0</v>
      </c>
      <c r="H3138" s="38" t="s">
        <v>10</v>
      </c>
    </row>
    <row r="3139" spans="1:8" x14ac:dyDescent="0.25">
      <c r="A3139" s="31">
        <v>44620</v>
      </c>
      <c r="B3139" s="37" t="s">
        <v>6938</v>
      </c>
      <c r="C3139" s="38" t="s">
        <v>4493</v>
      </c>
      <c r="D3139" s="34">
        <v>6318</v>
      </c>
      <c r="E3139" s="35">
        <v>44620</v>
      </c>
      <c r="F3139" s="34">
        <v>6318</v>
      </c>
      <c r="G3139" s="36">
        <f>Tabla13[[#This Row],[Importe]]-Tabla13[[#This Row],[Pagado]]</f>
        <v>0</v>
      </c>
      <c r="H3139" s="38" t="s">
        <v>10</v>
      </c>
    </row>
    <row r="3140" spans="1:8" x14ac:dyDescent="0.25">
      <c r="A3140" s="31">
        <v>44620</v>
      </c>
      <c r="B3140" s="37" t="s">
        <v>6939</v>
      </c>
      <c r="C3140" s="38" t="s">
        <v>71</v>
      </c>
      <c r="D3140" s="34">
        <v>2613.4</v>
      </c>
      <c r="E3140" s="35">
        <v>44620</v>
      </c>
      <c r="F3140" s="34">
        <v>2613.4</v>
      </c>
      <c r="G3140" s="36">
        <f>Tabla13[[#This Row],[Importe]]-Tabla13[[#This Row],[Pagado]]</f>
        <v>0</v>
      </c>
      <c r="H3140" s="38" t="s">
        <v>10</v>
      </c>
    </row>
    <row r="3141" spans="1:8" x14ac:dyDescent="0.25">
      <c r="A3141" s="31">
        <v>44620</v>
      </c>
      <c r="B3141" s="37" t="s">
        <v>6940</v>
      </c>
      <c r="C3141" s="38" t="s">
        <v>135</v>
      </c>
      <c r="D3141" s="34">
        <v>1263.5999999999999</v>
      </c>
      <c r="E3141" s="35">
        <v>44620</v>
      </c>
      <c r="F3141" s="34">
        <v>1263.5999999999999</v>
      </c>
      <c r="G3141" s="36">
        <f>Tabla13[[#This Row],[Importe]]-Tabla13[[#This Row],[Pagado]]</f>
        <v>0</v>
      </c>
      <c r="H3141" s="38" t="s">
        <v>10</v>
      </c>
    </row>
    <row r="3142" spans="1:8" x14ac:dyDescent="0.25">
      <c r="A3142" s="31">
        <v>44620</v>
      </c>
      <c r="B3142" s="37" t="s">
        <v>6941</v>
      </c>
      <c r="C3142" s="38" t="s">
        <v>53</v>
      </c>
      <c r="D3142" s="34">
        <v>2889</v>
      </c>
      <c r="E3142" s="35">
        <v>44620</v>
      </c>
      <c r="F3142" s="34">
        <v>2889</v>
      </c>
      <c r="G3142" s="36">
        <f>Tabla13[[#This Row],[Importe]]-Tabla13[[#This Row],[Pagado]]</f>
        <v>0</v>
      </c>
      <c r="H3142" s="38" t="s">
        <v>10</v>
      </c>
    </row>
    <row r="3143" spans="1:8" x14ac:dyDescent="0.25">
      <c r="A3143" s="31">
        <v>44620</v>
      </c>
      <c r="B3143" s="37" t="s">
        <v>6942</v>
      </c>
      <c r="C3143" s="38" t="s">
        <v>107</v>
      </c>
      <c r="D3143" s="34">
        <v>11703.3</v>
      </c>
      <c r="E3143" s="35">
        <v>44621</v>
      </c>
      <c r="F3143" s="34">
        <v>11703.3</v>
      </c>
      <c r="G3143" s="36">
        <f>Tabla13[[#This Row],[Importe]]-Tabla13[[#This Row],[Pagado]]</f>
        <v>0</v>
      </c>
      <c r="H3143" s="38" t="s">
        <v>10</v>
      </c>
    </row>
    <row r="3144" spans="1:8" x14ac:dyDescent="0.25">
      <c r="A3144" s="31">
        <v>44620</v>
      </c>
      <c r="B3144" s="37" t="s">
        <v>6943</v>
      </c>
      <c r="C3144" s="38" t="s">
        <v>664</v>
      </c>
      <c r="D3144" s="34">
        <v>5292</v>
      </c>
      <c r="E3144" s="35">
        <v>44621</v>
      </c>
      <c r="F3144" s="34">
        <v>5292</v>
      </c>
      <c r="G3144" s="36">
        <f>Tabla13[[#This Row],[Importe]]-Tabla13[[#This Row],[Pagado]]</f>
        <v>0</v>
      </c>
      <c r="H3144" s="38" t="s">
        <v>10</v>
      </c>
    </row>
    <row r="3145" spans="1:8" x14ac:dyDescent="0.25">
      <c r="A3145" s="31">
        <v>44620</v>
      </c>
      <c r="B3145" s="37" t="s">
        <v>6944</v>
      </c>
      <c r="C3145" s="38" t="s">
        <v>2393</v>
      </c>
      <c r="D3145" s="34">
        <v>53265</v>
      </c>
      <c r="E3145" s="35">
        <v>44620</v>
      </c>
      <c r="F3145" s="34">
        <v>53265</v>
      </c>
      <c r="G3145" s="36">
        <f>Tabla13[[#This Row],[Importe]]-Tabla13[[#This Row],[Pagado]]</f>
        <v>0</v>
      </c>
      <c r="H3145" s="38" t="s">
        <v>10</v>
      </c>
    </row>
    <row r="3146" spans="1:8" x14ac:dyDescent="0.25">
      <c r="A3146" s="31">
        <v>44620</v>
      </c>
      <c r="B3146" s="37" t="s">
        <v>6945</v>
      </c>
      <c r="C3146" s="38" t="s">
        <v>144</v>
      </c>
      <c r="D3146" s="34">
        <v>2228.6999999999998</v>
      </c>
      <c r="E3146" s="35">
        <v>44621</v>
      </c>
      <c r="F3146" s="34">
        <v>2228.6999999999998</v>
      </c>
      <c r="G3146" s="36">
        <f>Tabla13[[#This Row],[Importe]]-Tabla13[[#This Row],[Pagado]]</f>
        <v>0</v>
      </c>
      <c r="H3146" s="38" t="s">
        <v>10</v>
      </c>
    </row>
    <row r="3147" spans="1:8" x14ac:dyDescent="0.25">
      <c r="A3147" s="31">
        <v>44620</v>
      </c>
      <c r="B3147" s="37" t="s">
        <v>6946</v>
      </c>
      <c r="C3147" s="38" t="s">
        <v>6947</v>
      </c>
      <c r="D3147" s="34">
        <v>0</v>
      </c>
      <c r="E3147" s="39" t="s">
        <v>189</v>
      </c>
      <c r="F3147" s="34">
        <v>0</v>
      </c>
      <c r="G3147" s="36">
        <f>Tabla13[[#This Row],[Importe]]-Tabla13[[#This Row],[Pagado]]</f>
        <v>0</v>
      </c>
      <c r="H3147" s="38" t="s">
        <v>189</v>
      </c>
    </row>
    <row r="3148" spans="1:8" x14ac:dyDescent="0.25">
      <c r="A3148" s="31">
        <v>44620</v>
      </c>
      <c r="B3148" s="37" t="s">
        <v>6948</v>
      </c>
      <c r="C3148" s="38" t="s">
        <v>2393</v>
      </c>
      <c r="D3148" s="34">
        <v>1088</v>
      </c>
      <c r="E3148" s="35">
        <v>44620</v>
      </c>
      <c r="F3148" s="34">
        <v>1088</v>
      </c>
      <c r="G3148" s="36">
        <f>Tabla13[[#This Row],[Importe]]-Tabla13[[#This Row],[Pagado]]</f>
        <v>0</v>
      </c>
      <c r="H3148" s="38" t="s">
        <v>10</v>
      </c>
    </row>
    <row r="3149" spans="1:8" x14ac:dyDescent="0.25">
      <c r="A3149" s="31">
        <v>44620</v>
      </c>
      <c r="B3149" s="37" t="s">
        <v>6949</v>
      </c>
      <c r="C3149" s="38" t="s">
        <v>31</v>
      </c>
      <c r="D3149" s="34">
        <v>1836</v>
      </c>
      <c r="E3149" s="35">
        <v>44620</v>
      </c>
      <c r="F3149" s="34">
        <v>1836</v>
      </c>
      <c r="G3149" s="36">
        <f>Tabla13[[#This Row],[Importe]]-Tabla13[[#This Row],[Pagado]]</f>
        <v>0</v>
      </c>
      <c r="H3149" s="38" t="s">
        <v>10</v>
      </c>
    </row>
    <row r="3150" spans="1:8" x14ac:dyDescent="0.25">
      <c r="A3150" s="31">
        <v>44620</v>
      </c>
      <c r="B3150" s="37" t="s">
        <v>6950</v>
      </c>
      <c r="C3150" s="38" t="s">
        <v>4502</v>
      </c>
      <c r="D3150" s="34">
        <v>715.8</v>
      </c>
      <c r="E3150" s="35">
        <v>44620</v>
      </c>
      <c r="F3150" s="34">
        <v>715.8</v>
      </c>
      <c r="G3150" s="36">
        <f>Tabla13[[#This Row],[Importe]]-Tabla13[[#This Row],[Pagado]]</f>
        <v>0</v>
      </c>
      <c r="H3150" s="38" t="s">
        <v>10</v>
      </c>
    </row>
    <row r="3151" spans="1:8" x14ac:dyDescent="0.25">
      <c r="A3151" s="31">
        <v>44620</v>
      </c>
      <c r="B3151" s="37" t="s">
        <v>6951</v>
      </c>
      <c r="C3151" s="38" t="s">
        <v>414</v>
      </c>
      <c r="D3151" s="34">
        <v>3643.2</v>
      </c>
      <c r="E3151" s="35">
        <v>44621</v>
      </c>
      <c r="F3151" s="34">
        <v>3643.2</v>
      </c>
      <c r="G3151" s="36">
        <f>Tabla13[[#This Row],[Importe]]-Tabla13[[#This Row],[Pagado]]</f>
        <v>0</v>
      </c>
      <c r="H3151" s="38" t="s">
        <v>10</v>
      </c>
    </row>
    <row r="3152" spans="1:8" x14ac:dyDescent="0.25">
      <c r="A3152" s="31">
        <v>44620</v>
      </c>
      <c r="B3152" s="37" t="s">
        <v>6952</v>
      </c>
      <c r="C3152" s="38" t="s">
        <v>214</v>
      </c>
      <c r="D3152" s="34">
        <v>14669</v>
      </c>
      <c r="E3152" s="35">
        <v>44621</v>
      </c>
      <c r="F3152" s="34">
        <v>14669</v>
      </c>
      <c r="G3152" s="36">
        <f>Tabla13[[#This Row],[Importe]]-Tabla13[[#This Row],[Pagado]]</f>
        <v>0</v>
      </c>
      <c r="H3152" s="38" t="s">
        <v>10</v>
      </c>
    </row>
    <row r="3153" spans="1:8" x14ac:dyDescent="0.25">
      <c r="A3153" s="31">
        <v>44620</v>
      </c>
      <c r="B3153" s="37" t="s">
        <v>6953</v>
      </c>
      <c r="C3153" s="38" t="s">
        <v>261</v>
      </c>
      <c r="D3153" s="34">
        <v>48417.9</v>
      </c>
      <c r="E3153" s="35">
        <v>44620</v>
      </c>
      <c r="F3153" s="34">
        <v>48417.9</v>
      </c>
      <c r="G3153" s="36">
        <f>Tabla13[[#This Row],[Importe]]-Tabla13[[#This Row],[Pagado]]</f>
        <v>0</v>
      </c>
      <c r="H3153" s="38" t="s">
        <v>10</v>
      </c>
    </row>
    <row r="3154" spans="1:8" x14ac:dyDescent="0.25">
      <c r="A3154" s="31">
        <v>44620</v>
      </c>
      <c r="B3154" s="37" t="s">
        <v>6954</v>
      </c>
      <c r="C3154" s="38" t="s">
        <v>2961</v>
      </c>
      <c r="D3154" s="34">
        <v>49845.599999999999</v>
      </c>
      <c r="E3154" s="35">
        <v>44621</v>
      </c>
      <c r="F3154" s="34">
        <v>49845.599999999999</v>
      </c>
      <c r="G3154" s="36">
        <f>Tabla13[[#This Row],[Importe]]-Tabla13[[#This Row],[Pagado]]</f>
        <v>0</v>
      </c>
      <c r="H3154" s="38" t="s">
        <v>10</v>
      </c>
    </row>
    <row r="3155" spans="1:8" x14ac:dyDescent="0.25">
      <c r="A3155" s="31">
        <v>44620</v>
      </c>
      <c r="B3155" s="37" t="s">
        <v>6955</v>
      </c>
      <c r="C3155" s="38" t="s">
        <v>282</v>
      </c>
      <c r="D3155" s="34">
        <v>1600.6</v>
      </c>
      <c r="E3155" s="35">
        <v>11689</v>
      </c>
      <c r="F3155" s="34">
        <v>1600.6</v>
      </c>
      <c r="G3155" s="36">
        <f>Tabla13[[#This Row],[Importe]]-Tabla13[[#This Row],[Pagado]]</f>
        <v>0</v>
      </c>
      <c r="H3155" s="38" t="s">
        <v>10</v>
      </c>
    </row>
    <row r="3156" spans="1:8" x14ac:dyDescent="0.25">
      <c r="A3156" s="31">
        <v>44620</v>
      </c>
      <c r="B3156" s="37" t="s">
        <v>6956</v>
      </c>
      <c r="C3156" s="38" t="s">
        <v>284</v>
      </c>
      <c r="D3156" s="34">
        <v>5490.8</v>
      </c>
      <c r="E3156" s="35">
        <v>44621</v>
      </c>
      <c r="F3156" s="34">
        <v>5490.8</v>
      </c>
      <c r="G3156" s="36">
        <f>Tabla13[[#This Row],[Importe]]-Tabla13[[#This Row],[Pagado]]</f>
        <v>0</v>
      </c>
      <c r="H3156" s="38" t="s">
        <v>10</v>
      </c>
    </row>
    <row r="3157" spans="1:8" x14ac:dyDescent="0.25">
      <c r="A3157" s="31">
        <v>44620</v>
      </c>
      <c r="B3157" s="37" t="s">
        <v>6957</v>
      </c>
      <c r="C3157" s="38" t="s">
        <v>2139</v>
      </c>
      <c r="D3157" s="34">
        <v>1518.4</v>
      </c>
      <c r="E3157" s="35">
        <v>44620</v>
      </c>
      <c r="F3157" s="34">
        <v>1518.4</v>
      </c>
      <c r="G3157" s="36">
        <f>Tabla13[[#This Row],[Importe]]-Tabla13[[#This Row],[Pagado]]</f>
        <v>0</v>
      </c>
      <c r="H3157" s="38" t="s">
        <v>10</v>
      </c>
    </row>
    <row r="3158" spans="1:8" x14ac:dyDescent="0.25">
      <c r="A3158" s="31">
        <v>44620</v>
      </c>
      <c r="B3158" s="37" t="s">
        <v>6958</v>
      </c>
      <c r="C3158" s="38" t="s">
        <v>368</v>
      </c>
      <c r="D3158" s="34">
        <v>5656</v>
      </c>
      <c r="E3158" s="35">
        <v>44621</v>
      </c>
      <c r="F3158" s="34">
        <v>5656</v>
      </c>
      <c r="G3158" s="36">
        <f>Tabla13[[#This Row],[Importe]]-Tabla13[[#This Row],[Pagado]]</f>
        <v>0</v>
      </c>
      <c r="H3158" s="38" t="s">
        <v>10</v>
      </c>
    </row>
    <row r="3159" spans="1:8" x14ac:dyDescent="0.25">
      <c r="A3159" s="31">
        <v>44620</v>
      </c>
      <c r="B3159" s="37" t="s">
        <v>6959</v>
      </c>
      <c r="C3159" s="38" t="s">
        <v>291</v>
      </c>
      <c r="D3159" s="34">
        <v>2884</v>
      </c>
      <c r="E3159" s="35">
        <v>44621</v>
      </c>
      <c r="F3159" s="34">
        <v>2884</v>
      </c>
      <c r="G3159" s="36">
        <f>Tabla13[[#This Row],[Importe]]-Tabla13[[#This Row],[Pagado]]</f>
        <v>0</v>
      </c>
      <c r="H3159" s="38" t="s">
        <v>10</v>
      </c>
    </row>
    <row r="3160" spans="1:8" x14ac:dyDescent="0.25">
      <c r="A3160" s="31">
        <v>44620</v>
      </c>
      <c r="B3160" s="37" t="s">
        <v>6960</v>
      </c>
      <c r="C3160" s="38" t="s">
        <v>2961</v>
      </c>
      <c r="D3160" s="34">
        <v>52257.599999999999</v>
      </c>
      <c r="E3160" s="35">
        <v>44621</v>
      </c>
      <c r="F3160" s="34">
        <v>52257.599999999999</v>
      </c>
      <c r="G3160" s="36">
        <f>Tabla13[[#This Row],[Importe]]-Tabla13[[#This Row],[Pagado]]</f>
        <v>0</v>
      </c>
      <c r="H3160" s="38" t="s">
        <v>10</v>
      </c>
    </row>
    <row r="3161" spans="1:8" x14ac:dyDescent="0.25">
      <c r="A3161" s="31">
        <v>44620</v>
      </c>
      <c r="B3161" s="37" t="s">
        <v>6961</v>
      </c>
      <c r="C3161" s="38" t="s">
        <v>31</v>
      </c>
      <c r="D3161" s="34">
        <v>44.2</v>
      </c>
      <c r="E3161" s="35">
        <v>44620</v>
      </c>
      <c r="F3161" s="34">
        <v>44.2</v>
      </c>
      <c r="G3161" s="36">
        <f>Tabla13[[#This Row],[Importe]]-Tabla13[[#This Row],[Pagado]]</f>
        <v>0</v>
      </c>
      <c r="H3161" s="38" t="s">
        <v>10</v>
      </c>
    </row>
    <row r="3162" spans="1:8" x14ac:dyDescent="0.25">
      <c r="A3162" s="31">
        <v>44620</v>
      </c>
      <c r="B3162" s="37" t="s">
        <v>6962</v>
      </c>
      <c r="C3162" s="38" t="s">
        <v>6963</v>
      </c>
      <c r="D3162" s="34">
        <v>0</v>
      </c>
      <c r="E3162" s="39" t="s">
        <v>189</v>
      </c>
      <c r="F3162" s="34">
        <v>0</v>
      </c>
      <c r="G3162" s="36">
        <f>Tabla13[[#This Row],[Importe]]-Tabla13[[#This Row],[Pagado]]</f>
        <v>0</v>
      </c>
      <c r="H3162" s="40" t="s">
        <v>6964</v>
      </c>
    </row>
    <row r="3163" spans="1:8" x14ac:dyDescent="0.25">
      <c r="A3163" s="31">
        <v>44620</v>
      </c>
      <c r="B3163" s="37" t="s">
        <v>6965</v>
      </c>
      <c r="C3163" s="38" t="s">
        <v>14</v>
      </c>
      <c r="D3163" s="34">
        <v>13863.2</v>
      </c>
      <c r="E3163" s="35">
        <v>44620</v>
      </c>
      <c r="F3163" s="34">
        <v>13863.2</v>
      </c>
      <c r="G3163" s="36">
        <f>Tabla13[[#This Row],[Importe]]-Tabla13[[#This Row],[Pagado]]</f>
        <v>0</v>
      </c>
      <c r="H3163" s="38" t="s">
        <v>10</v>
      </c>
    </row>
    <row r="3164" spans="1:8" x14ac:dyDescent="0.25">
      <c r="A3164" s="31">
        <v>44620</v>
      </c>
      <c r="B3164" s="37" t="s">
        <v>6966</v>
      </c>
      <c r="C3164" s="38" t="s">
        <v>303</v>
      </c>
      <c r="D3164" s="34">
        <v>32666.2</v>
      </c>
      <c r="E3164" s="35">
        <v>44627</v>
      </c>
      <c r="F3164" s="34">
        <v>32666.2</v>
      </c>
      <c r="G3164" s="36">
        <f>Tabla13[[#This Row],[Importe]]-Tabla13[[#This Row],[Pagado]]</f>
        <v>0</v>
      </c>
      <c r="H3164" s="38" t="s">
        <v>10</v>
      </c>
    </row>
    <row r="3165" spans="1:8" x14ac:dyDescent="0.25">
      <c r="A3165" s="31">
        <v>44620</v>
      </c>
      <c r="B3165" s="37" t="s">
        <v>6967</v>
      </c>
      <c r="C3165" s="38" t="s">
        <v>31</v>
      </c>
      <c r="D3165" s="34">
        <v>739.2</v>
      </c>
      <c r="E3165" s="35">
        <v>44620</v>
      </c>
      <c r="F3165" s="34">
        <v>739.2</v>
      </c>
      <c r="G3165" s="36">
        <f>Tabla13[[#This Row],[Importe]]-Tabla13[[#This Row],[Pagado]]</f>
        <v>0</v>
      </c>
      <c r="H3165" s="38" t="s">
        <v>10</v>
      </c>
    </row>
    <row r="3166" spans="1:8" x14ac:dyDescent="0.25">
      <c r="A3166" s="31">
        <v>44620</v>
      </c>
      <c r="B3166" s="37" t="s">
        <v>6968</v>
      </c>
      <c r="C3166" s="38" t="s">
        <v>31</v>
      </c>
      <c r="D3166" s="34">
        <v>436.8</v>
      </c>
      <c r="E3166" s="35">
        <v>44620</v>
      </c>
      <c r="F3166" s="34">
        <v>436.8</v>
      </c>
      <c r="G3166" s="36">
        <f>Tabla13[[#This Row],[Importe]]-Tabla13[[#This Row],[Pagado]]</f>
        <v>0</v>
      </c>
      <c r="H3166" s="38" t="s">
        <v>10</v>
      </c>
    </row>
    <row r="3167" spans="1:8" x14ac:dyDescent="0.25">
      <c r="A3167" s="31">
        <v>44620</v>
      </c>
      <c r="B3167" s="37" t="s">
        <v>6969</v>
      </c>
      <c r="C3167" s="38" t="s">
        <v>1313</v>
      </c>
      <c r="D3167" s="34">
        <v>9145.7999999999993</v>
      </c>
      <c r="E3167" s="35">
        <v>44620</v>
      </c>
      <c r="F3167" s="34">
        <v>9145.7999999999993</v>
      </c>
      <c r="G3167" s="36">
        <f>Tabla13[[#This Row],[Importe]]-Tabla13[[#This Row],[Pagado]]</f>
        <v>0</v>
      </c>
      <c r="H3167" s="38" t="s">
        <v>10</v>
      </c>
    </row>
    <row r="3168" spans="1:8" x14ac:dyDescent="0.25">
      <c r="A3168" s="31">
        <v>44620</v>
      </c>
      <c r="B3168" s="37" t="s">
        <v>6970</v>
      </c>
      <c r="C3168" s="38" t="s">
        <v>22</v>
      </c>
      <c r="D3168" s="34">
        <v>8040.9</v>
      </c>
      <c r="E3168" s="35">
        <v>44623</v>
      </c>
      <c r="F3168" s="34">
        <v>8040.9</v>
      </c>
      <c r="G3168" s="36">
        <f>Tabla13[[#This Row],[Importe]]-Tabla13[[#This Row],[Pagado]]</f>
        <v>0</v>
      </c>
      <c r="H3168" s="38" t="s">
        <v>10</v>
      </c>
    </row>
    <row r="3169" spans="1:9" x14ac:dyDescent="0.25">
      <c r="A3169" s="31">
        <v>44620</v>
      </c>
      <c r="B3169" s="37" t="s">
        <v>6971</v>
      </c>
      <c r="C3169" s="38" t="s">
        <v>301</v>
      </c>
      <c r="D3169" s="34">
        <v>15953.6</v>
      </c>
      <c r="E3169" s="35">
        <v>44620</v>
      </c>
      <c r="F3169" s="34">
        <v>15953.6</v>
      </c>
      <c r="G3169" s="36">
        <f>Tabla13[[#This Row],[Importe]]-Tabla13[[#This Row],[Pagado]]</f>
        <v>0</v>
      </c>
      <c r="H3169" s="38" t="s">
        <v>10</v>
      </c>
    </row>
    <row r="3170" spans="1:9" x14ac:dyDescent="0.25">
      <c r="A3170" s="31">
        <v>44620</v>
      </c>
      <c r="B3170" s="37" t="s">
        <v>6972</v>
      </c>
      <c r="C3170" s="38" t="s">
        <v>289</v>
      </c>
      <c r="D3170" s="34">
        <v>9899.2999999999993</v>
      </c>
      <c r="E3170" s="35">
        <v>44620</v>
      </c>
      <c r="F3170" s="34">
        <v>9899.2999999999993</v>
      </c>
      <c r="G3170" s="36">
        <f>Tabla13[[#This Row],[Importe]]-Tabla13[[#This Row],[Pagado]]</f>
        <v>0</v>
      </c>
      <c r="H3170" s="38" t="s">
        <v>10</v>
      </c>
    </row>
    <row r="3171" spans="1:9" x14ac:dyDescent="0.25">
      <c r="A3171" s="31">
        <v>44620</v>
      </c>
      <c r="B3171" s="37" t="s">
        <v>6973</v>
      </c>
      <c r="C3171" s="38" t="s">
        <v>414</v>
      </c>
      <c r="D3171" s="34">
        <v>3340.8</v>
      </c>
      <c r="E3171" s="35">
        <v>44621</v>
      </c>
      <c r="F3171" s="34">
        <v>3340.8</v>
      </c>
      <c r="G3171" s="36">
        <f>Tabla13[[#This Row],[Importe]]-Tabla13[[#This Row],[Pagado]]</f>
        <v>0</v>
      </c>
      <c r="H3171" s="38" t="s">
        <v>10</v>
      </c>
    </row>
    <row r="3172" spans="1:9" x14ac:dyDescent="0.25">
      <c r="A3172" s="106"/>
      <c r="B3172" s="114"/>
      <c r="C3172" s="107"/>
      <c r="D3172" s="115">
        <f>SUBTOTAL(109,Tabla13[Importe])</f>
        <v>28472232.540000003</v>
      </c>
      <c r="E3172" s="109"/>
      <c r="F3172" s="115">
        <f>SUBTOTAL(109,Tabla13[Pagado])</f>
        <v>28472232.540000003</v>
      </c>
      <c r="G3172" s="116">
        <f>SUBTOTAL(109,Tabla13[Saldo])</f>
        <v>0</v>
      </c>
      <c r="H3172" s="107"/>
      <c r="I3172" s="107"/>
    </row>
    <row r="3176" spans="1:9" ht="16.5" thickBot="1" x14ac:dyDescent="0.3">
      <c r="E3176" s="42"/>
      <c r="F3176" s="42"/>
    </row>
    <row r="3177" spans="1:9" x14ac:dyDescent="0.25">
      <c r="E3177" s="192">
        <f>Tabla13[[#Totals],[Importe]]-Tabla13[[#Totals],[Pagado]]</f>
        <v>0</v>
      </c>
      <c r="F3177" s="193"/>
    </row>
    <row r="3178" spans="1:9" ht="16.5" thickBot="1" x14ac:dyDescent="0.3">
      <c r="E3178" s="194"/>
      <c r="F3178" s="195"/>
    </row>
  </sheetData>
  <mergeCells count="3">
    <mergeCell ref="E3177:F3178"/>
    <mergeCell ref="Q1118:Q1119"/>
    <mergeCell ref="P1118:P1119"/>
  </mergeCells>
  <pageMargins left="0.17" right="0.13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-0.249977111117893"/>
  </sheetPr>
  <dimension ref="A1:J3454"/>
  <sheetViews>
    <sheetView zoomScale="115" zoomScaleNormal="115" workbookViewId="0">
      <pane xSplit="2" ySplit="1" topLeftCell="D3437" activePane="bottomRight" state="frozen"/>
      <selection pane="topRight" activeCell="C1" sqref="C1"/>
      <selection pane="bottomLeft" activeCell="A2" sqref="A2"/>
      <selection pane="bottomRight" activeCell="G3455" sqref="G3455"/>
    </sheetView>
  </sheetViews>
  <sheetFormatPr baseColWidth="10" defaultRowHeight="15.75" x14ac:dyDescent="0.25"/>
  <cols>
    <col min="1" max="1" width="16.28515625" style="31" customWidth="1"/>
    <col min="2" max="2" width="13" style="32" customWidth="1"/>
    <col min="3" max="3" width="50.140625" style="61" bestFit="1" customWidth="1"/>
    <col min="4" max="4" width="22.140625" style="52" customWidth="1"/>
    <col min="5" max="5" width="15.28515625" style="35" customWidth="1"/>
    <col min="6" max="6" width="21" style="52" bestFit="1" customWidth="1"/>
    <col min="7" max="7" width="20.140625" style="53" customWidth="1"/>
    <col min="8" max="8" width="17.7109375" style="32" customWidth="1"/>
    <col min="9" max="16384" width="11.42578125" style="33"/>
  </cols>
  <sheetData>
    <row r="1" spans="1:8" s="50" customFormat="1" ht="34.5" customHeight="1" x14ac:dyDescent="0.25">
      <c r="A1" s="44" t="s">
        <v>0</v>
      </c>
      <c r="B1" s="45" t="s">
        <v>1</v>
      </c>
      <c r="C1" s="46" t="s">
        <v>2</v>
      </c>
      <c r="D1" s="47" t="s">
        <v>3</v>
      </c>
      <c r="E1" s="48" t="s">
        <v>4</v>
      </c>
      <c r="F1" s="47" t="s">
        <v>5</v>
      </c>
      <c r="G1" s="49" t="s">
        <v>6</v>
      </c>
      <c r="H1" s="45" t="s">
        <v>7</v>
      </c>
    </row>
    <row r="2" spans="1:8" x14ac:dyDescent="0.25">
      <c r="A2" s="31">
        <v>44621</v>
      </c>
      <c r="B2" s="37" t="s">
        <v>6984</v>
      </c>
      <c r="C2" s="51" t="s">
        <v>887</v>
      </c>
      <c r="D2" s="52">
        <v>7508.2</v>
      </c>
      <c r="E2" s="35">
        <v>44622</v>
      </c>
      <c r="F2" s="52">
        <v>7508.2</v>
      </c>
      <c r="G2" s="53">
        <f>Tabla14[[#This Row],[Importe]]-Tabla14[[#This Row],[Pagado]]</f>
        <v>0</v>
      </c>
      <c r="H2" s="37" t="s">
        <v>10</v>
      </c>
    </row>
    <row r="3" spans="1:8" x14ac:dyDescent="0.25">
      <c r="A3" s="31">
        <v>44621</v>
      </c>
      <c r="B3" s="37" t="s">
        <v>6985</v>
      </c>
      <c r="C3" s="51" t="s">
        <v>475</v>
      </c>
      <c r="D3" s="52">
        <v>3395.7</v>
      </c>
      <c r="E3" s="35">
        <v>44624</v>
      </c>
      <c r="F3" s="52">
        <v>3395.7</v>
      </c>
      <c r="G3" s="53">
        <f>Tabla14[[#This Row],[Importe]]-Tabla14[[#This Row],[Pagado]]</f>
        <v>0</v>
      </c>
      <c r="H3" s="37" t="s">
        <v>10</v>
      </c>
    </row>
    <row r="4" spans="1:8" x14ac:dyDescent="0.25">
      <c r="A4" s="31">
        <v>44621</v>
      </c>
      <c r="B4" s="37" t="s">
        <v>6986</v>
      </c>
      <c r="C4" s="51" t="s">
        <v>887</v>
      </c>
      <c r="D4" s="52">
        <v>157.5</v>
      </c>
      <c r="E4" s="35">
        <v>44625</v>
      </c>
      <c r="F4" s="52">
        <v>157.5</v>
      </c>
      <c r="G4" s="53">
        <f>Tabla14[[#This Row],[Importe]]-Tabla14[[#This Row],[Pagado]]</f>
        <v>0</v>
      </c>
      <c r="H4" s="37" t="s">
        <v>10</v>
      </c>
    </row>
    <row r="5" spans="1:8" x14ac:dyDescent="0.25">
      <c r="A5" s="31">
        <v>44621</v>
      </c>
      <c r="B5" s="37" t="s">
        <v>6987</v>
      </c>
      <c r="C5" s="51" t="s">
        <v>75</v>
      </c>
      <c r="D5" s="52">
        <v>4377.8</v>
      </c>
      <c r="E5" s="35">
        <v>44621</v>
      </c>
      <c r="F5" s="52">
        <v>4377.8</v>
      </c>
      <c r="G5" s="53">
        <f>Tabla14[[#This Row],[Importe]]-Tabla14[[#This Row],[Pagado]]</f>
        <v>0</v>
      </c>
      <c r="H5" s="37" t="s">
        <v>10</v>
      </c>
    </row>
    <row r="6" spans="1:8" x14ac:dyDescent="0.25">
      <c r="A6" s="31">
        <v>44621</v>
      </c>
      <c r="B6" s="37" t="s">
        <v>6988</v>
      </c>
      <c r="C6" s="51" t="s">
        <v>473</v>
      </c>
      <c r="D6" s="52">
        <v>4664</v>
      </c>
      <c r="E6" s="35">
        <v>44621</v>
      </c>
      <c r="F6" s="52">
        <v>4664</v>
      </c>
      <c r="G6" s="53">
        <f>Tabla14[[#This Row],[Importe]]-Tabla14[[#This Row],[Pagado]]</f>
        <v>0</v>
      </c>
      <c r="H6" s="37" t="s">
        <v>10</v>
      </c>
    </row>
    <row r="7" spans="1:8" x14ac:dyDescent="0.25">
      <c r="A7" s="31">
        <v>44621</v>
      </c>
      <c r="B7" s="37" t="s">
        <v>6989</v>
      </c>
      <c r="C7" s="51" t="s">
        <v>481</v>
      </c>
      <c r="D7" s="52">
        <v>1464.4</v>
      </c>
      <c r="E7" s="35">
        <v>44621</v>
      </c>
      <c r="F7" s="52">
        <v>1464.4</v>
      </c>
      <c r="G7" s="53">
        <f>Tabla14[[#This Row],[Importe]]-Tabla14[[#This Row],[Pagado]]</f>
        <v>0</v>
      </c>
      <c r="H7" s="37" t="s">
        <v>10</v>
      </c>
    </row>
    <row r="8" spans="1:8" x14ac:dyDescent="0.25">
      <c r="A8" s="31">
        <v>44621</v>
      </c>
      <c r="B8" s="37" t="s">
        <v>6990</v>
      </c>
      <c r="C8" s="51" t="s">
        <v>12</v>
      </c>
      <c r="D8" s="52">
        <v>25103.599999999999</v>
      </c>
      <c r="E8" s="35">
        <v>44622</v>
      </c>
      <c r="F8" s="52">
        <v>25103.599999999999</v>
      </c>
      <c r="G8" s="53">
        <f>Tabla14[[#This Row],[Importe]]-Tabla14[[#This Row],[Pagado]]</f>
        <v>0</v>
      </c>
      <c r="H8" s="37" t="s">
        <v>10</v>
      </c>
    </row>
    <row r="9" spans="1:8" x14ac:dyDescent="0.25">
      <c r="A9" s="31">
        <v>44621</v>
      </c>
      <c r="B9" s="37" t="s">
        <v>6991</v>
      </c>
      <c r="C9" s="51" t="s">
        <v>9</v>
      </c>
      <c r="D9" s="52">
        <v>6569.2</v>
      </c>
      <c r="E9" s="35">
        <v>44621</v>
      </c>
      <c r="F9" s="52">
        <v>6569.2</v>
      </c>
      <c r="G9" s="53">
        <f>Tabla14[[#This Row],[Importe]]-Tabla14[[#This Row],[Pagado]]</f>
        <v>0</v>
      </c>
      <c r="H9" s="37" t="s">
        <v>10</v>
      </c>
    </row>
    <row r="10" spans="1:8" x14ac:dyDescent="0.25">
      <c r="A10" s="31">
        <v>44621</v>
      </c>
      <c r="B10" s="37" t="s">
        <v>6992</v>
      </c>
      <c r="C10" s="51" t="s">
        <v>18</v>
      </c>
      <c r="D10" s="52">
        <v>1455.8</v>
      </c>
      <c r="E10" s="35">
        <v>44621</v>
      </c>
      <c r="F10" s="52">
        <v>1455.8</v>
      </c>
      <c r="G10" s="53">
        <f>Tabla14[[#This Row],[Importe]]-Tabla14[[#This Row],[Pagado]]</f>
        <v>0</v>
      </c>
      <c r="H10" s="37" t="s">
        <v>10</v>
      </c>
    </row>
    <row r="11" spans="1:8" x14ac:dyDescent="0.25">
      <c r="A11" s="31">
        <v>44621</v>
      </c>
      <c r="B11" s="37" t="s">
        <v>6993</v>
      </c>
      <c r="C11" s="51" t="s">
        <v>105</v>
      </c>
      <c r="D11" s="52">
        <v>3962.1</v>
      </c>
      <c r="E11" s="35">
        <v>44622</v>
      </c>
      <c r="F11" s="52">
        <v>3962.1</v>
      </c>
      <c r="G11" s="53">
        <f>Tabla14[[#This Row],[Importe]]-Tabla14[[#This Row],[Pagado]]</f>
        <v>0</v>
      </c>
      <c r="H11" s="37" t="s">
        <v>10</v>
      </c>
    </row>
    <row r="12" spans="1:8" x14ac:dyDescent="0.25">
      <c r="A12" s="31">
        <v>44621</v>
      </c>
      <c r="B12" s="37" t="s">
        <v>6994</v>
      </c>
      <c r="C12" s="51" t="s">
        <v>345</v>
      </c>
      <c r="D12" s="52">
        <v>720.8</v>
      </c>
      <c r="E12" s="35">
        <v>44621</v>
      </c>
      <c r="F12" s="52">
        <v>720.8</v>
      </c>
      <c r="G12" s="53">
        <f>Tabla14[[#This Row],[Importe]]-Tabla14[[#This Row],[Pagado]]</f>
        <v>0</v>
      </c>
      <c r="H12" s="37" t="s">
        <v>10</v>
      </c>
    </row>
    <row r="13" spans="1:8" x14ac:dyDescent="0.25">
      <c r="A13" s="31">
        <v>44621</v>
      </c>
      <c r="B13" s="37" t="s">
        <v>6995</v>
      </c>
      <c r="C13" s="51" t="s">
        <v>109</v>
      </c>
      <c r="D13" s="52">
        <v>3708.3</v>
      </c>
      <c r="E13" s="35">
        <v>44622</v>
      </c>
      <c r="F13" s="52">
        <v>3708.3</v>
      </c>
      <c r="G13" s="53">
        <f>Tabla14[[#This Row],[Importe]]-Tabla14[[#This Row],[Pagado]]</f>
        <v>0</v>
      </c>
      <c r="H13" s="37" t="s">
        <v>10</v>
      </c>
    </row>
    <row r="14" spans="1:8" x14ac:dyDescent="0.25">
      <c r="A14" s="31">
        <v>44621</v>
      </c>
      <c r="B14" s="37" t="s">
        <v>6996</v>
      </c>
      <c r="C14" s="51" t="s">
        <v>116</v>
      </c>
      <c r="D14" s="52">
        <v>3567.2</v>
      </c>
      <c r="E14" s="35">
        <v>44623</v>
      </c>
      <c r="F14" s="52">
        <v>3567.2</v>
      </c>
      <c r="G14" s="53">
        <f>Tabla14[[#This Row],[Importe]]-Tabla14[[#This Row],[Pagado]]</f>
        <v>0</v>
      </c>
      <c r="H14" s="37" t="s">
        <v>10</v>
      </c>
    </row>
    <row r="15" spans="1:8" x14ac:dyDescent="0.25">
      <c r="A15" s="31">
        <v>44621</v>
      </c>
      <c r="B15" s="37" t="s">
        <v>6997</v>
      </c>
      <c r="C15" s="51" t="s">
        <v>111</v>
      </c>
      <c r="D15" s="52">
        <v>3938.6</v>
      </c>
      <c r="E15" s="35">
        <v>44623</v>
      </c>
      <c r="F15" s="52">
        <v>3938.6</v>
      </c>
      <c r="G15" s="53">
        <f>Tabla14[[#This Row],[Importe]]-Tabla14[[#This Row],[Pagado]]</f>
        <v>0</v>
      </c>
      <c r="H15" s="37" t="s">
        <v>10</v>
      </c>
    </row>
    <row r="16" spans="1:8" x14ac:dyDescent="0.25">
      <c r="A16" s="31">
        <v>44621</v>
      </c>
      <c r="B16" s="37" t="s">
        <v>6998</v>
      </c>
      <c r="C16" s="51" t="s">
        <v>99</v>
      </c>
      <c r="D16" s="52">
        <v>5402.9</v>
      </c>
      <c r="E16" s="35">
        <v>44624</v>
      </c>
      <c r="F16" s="52">
        <v>5402.9</v>
      </c>
      <c r="G16" s="53">
        <f>Tabla14[[#This Row],[Importe]]-Tabla14[[#This Row],[Pagado]]</f>
        <v>0</v>
      </c>
      <c r="H16" s="37" t="s">
        <v>10</v>
      </c>
    </row>
    <row r="17" spans="1:8" x14ac:dyDescent="0.25">
      <c r="A17" s="31">
        <v>44621</v>
      </c>
      <c r="B17" s="37" t="s">
        <v>6999</v>
      </c>
      <c r="C17" s="51" t="s">
        <v>93</v>
      </c>
      <c r="D17" s="52">
        <v>6008.7</v>
      </c>
      <c r="E17" s="35">
        <v>44622</v>
      </c>
      <c r="F17" s="52">
        <v>6008.7</v>
      </c>
      <c r="G17" s="53">
        <f>Tabla14[[#This Row],[Importe]]-Tabla14[[#This Row],[Pagado]]</f>
        <v>0</v>
      </c>
      <c r="H17" s="37" t="s">
        <v>10</v>
      </c>
    </row>
    <row r="18" spans="1:8" x14ac:dyDescent="0.25">
      <c r="A18" s="31">
        <v>44621</v>
      </c>
      <c r="B18" s="37" t="s">
        <v>7000</v>
      </c>
      <c r="C18" s="51" t="s">
        <v>64</v>
      </c>
      <c r="D18" s="52">
        <v>3913.8</v>
      </c>
      <c r="E18" s="35">
        <v>44623</v>
      </c>
      <c r="F18" s="52">
        <v>3913.8</v>
      </c>
      <c r="G18" s="53">
        <f>Tabla14[[#This Row],[Importe]]-Tabla14[[#This Row],[Pagado]]</f>
        <v>0</v>
      </c>
      <c r="H18" s="37" t="s">
        <v>10</v>
      </c>
    </row>
    <row r="19" spans="1:8" x14ac:dyDescent="0.25">
      <c r="A19" s="31">
        <v>44621</v>
      </c>
      <c r="B19" s="37" t="s">
        <v>7001</v>
      </c>
      <c r="C19" s="51" t="s">
        <v>2563</v>
      </c>
      <c r="D19" s="52">
        <v>3880.8</v>
      </c>
      <c r="E19" s="35">
        <v>44621</v>
      </c>
      <c r="F19" s="52">
        <v>3880.8</v>
      </c>
      <c r="G19" s="53">
        <f>Tabla14[[#This Row],[Importe]]-Tabla14[[#This Row],[Pagado]]</f>
        <v>0</v>
      </c>
      <c r="H19" s="37" t="s">
        <v>10</v>
      </c>
    </row>
    <row r="20" spans="1:8" x14ac:dyDescent="0.25">
      <c r="A20" s="31">
        <v>44621</v>
      </c>
      <c r="B20" s="37" t="s">
        <v>7002</v>
      </c>
      <c r="C20" s="51" t="s">
        <v>89</v>
      </c>
      <c r="D20" s="52">
        <v>6881.4</v>
      </c>
      <c r="E20" s="35">
        <v>44622</v>
      </c>
      <c r="F20" s="52">
        <v>6881.4</v>
      </c>
      <c r="G20" s="53">
        <f>Tabla14[[#This Row],[Importe]]-Tabla14[[#This Row],[Pagado]]</f>
        <v>0</v>
      </c>
      <c r="H20" s="37" t="s">
        <v>10</v>
      </c>
    </row>
    <row r="21" spans="1:8" x14ac:dyDescent="0.25">
      <c r="A21" s="31">
        <v>44621</v>
      </c>
      <c r="B21" s="37" t="s">
        <v>7003</v>
      </c>
      <c r="C21" s="51" t="s">
        <v>114</v>
      </c>
      <c r="D21" s="52">
        <v>4653.3999999999996</v>
      </c>
      <c r="E21" s="35">
        <v>44623</v>
      </c>
      <c r="F21" s="52">
        <v>4653.3999999999996</v>
      </c>
      <c r="G21" s="53">
        <f>Tabla14[[#This Row],[Importe]]-Tabla14[[#This Row],[Pagado]]</f>
        <v>0</v>
      </c>
      <c r="H21" s="37" t="s">
        <v>10</v>
      </c>
    </row>
    <row r="22" spans="1:8" x14ac:dyDescent="0.25">
      <c r="A22" s="31">
        <v>44621</v>
      </c>
      <c r="B22" s="37" t="s">
        <v>7004</v>
      </c>
      <c r="C22" s="51" t="s">
        <v>7005</v>
      </c>
      <c r="D22" s="52">
        <v>0</v>
      </c>
      <c r="E22" s="39" t="s">
        <v>189</v>
      </c>
      <c r="F22" s="52">
        <v>0</v>
      </c>
      <c r="G22" s="53">
        <f>Tabla14[[#This Row],[Importe]]-Tabla14[[#This Row],[Pagado]]</f>
        <v>0</v>
      </c>
      <c r="H22" s="37" t="s">
        <v>189</v>
      </c>
    </row>
    <row r="23" spans="1:8" x14ac:dyDescent="0.25">
      <c r="A23" s="31">
        <v>44621</v>
      </c>
      <c r="B23" s="37" t="s">
        <v>7006</v>
      </c>
      <c r="C23" s="51" t="s">
        <v>83</v>
      </c>
      <c r="D23" s="52">
        <v>4132.8</v>
      </c>
      <c r="E23" s="35">
        <v>44621</v>
      </c>
      <c r="F23" s="52">
        <v>4132.8</v>
      </c>
      <c r="G23" s="53">
        <f>Tabla14[[#This Row],[Importe]]-Tabla14[[#This Row],[Pagado]]</f>
        <v>0</v>
      </c>
      <c r="H23" s="37" t="s">
        <v>10</v>
      </c>
    </row>
    <row r="24" spans="1:8" x14ac:dyDescent="0.25">
      <c r="A24" s="31">
        <v>44621</v>
      </c>
      <c r="B24" s="37" t="s">
        <v>7007</v>
      </c>
      <c r="C24" s="51" t="s">
        <v>407</v>
      </c>
      <c r="D24" s="52">
        <v>7000</v>
      </c>
      <c r="E24" s="35">
        <v>44623</v>
      </c>
      <c r="F24" s="52">
        <v>7000</v>
      </c>
      <c r="G24" s="53">
        <f>Tabla14[[#This Row],[Importe]]-Tabla14[[#This Row],[Pagado]]</f>
        <v>0</v>
      </c>
      <c r="H24" s="37" t="s">
        <v>10</v>
      </c>
    </row>
    <row r="25" spans="1:8" x14ac:dyDescent="0.25">
      <c r="A25" s="31">
        <v>44621</v>
      </c>
      <c r="B25" s="37" t="s">
        <v>7008</v>
      </c>
      <c r="C25" s="51" t="s">
        <v>31</v>
      </c>
      <c r="D25" s="52">
        <v>1892.1</v>
      </c>
      <c r="E25" s="35">
        <v>44621</v>
      </c>
      <c r="F25" s="52">
        <v>1892.1</v>
      </c>
      <c r="G25" s="53">
        <f>Tabla14[[#This Row],[Importe]]-Tabla14[[#This Row],[Pagado]]</f>
        <v>0</v>
      </c>
      <c r="H25" s="37" t="s">
        <v>10</v>
      </c>
    </row>
    <row r="26" spans="1:8" x14ac:dyDescent="0.25">
      <c r="A26" s="31">
        <v>44621</v>
      </c>
      <c r="B26" s="37" t="s">
        <v>7009</v>
      </c>
      <c r="C26" s="51" t="s">
        <v>314</v>
      </c>
      <c r="D26" s="52">
        <v>1086.5</v>
      </c>
      <c r="E26" s="35">
        <v>44621</v>
      </c>
      <c r="F26" s="52">
        <v>1086.5</v>
      </c>
      <c r="G26" s="53">
        <f>Tabla14[[#This Row],[Importe]]-Tabla14[[#This Row],[Pagado]]</f>
        <v>0</v>
      </c>
      <c r="H26" s="37" t="s">
        <v>10</v>
      </c>
    </row>
    <row r="27" spans="1:8" x14ac:dyDescent="0.25">
      <c r="A27" s="31">
        <v>44621</v>
      </c>
      <c r="B27" s="37" t="s">
        <v>7010</v>
      </c>
      <c r="C27" s="51" t="s">
        <v>53</v>
      </c>
      <c r="D27" s="52">
        <v>3204.5</v>
      </c>
      <c r="E27" s="35">
        <v>44621</v>
      </c>
      <c r="F27" s="52">
        <v>3204.5</v>
      </c>
      <c r="G27" s="53">
        <f>Tabla14[[#This Row],[Importe]]-Tabla14[[#This Row],[Pagado]]</f>
        <v>0</v>
      </c>
      <c r="H27" s="37" t="s">
        <v>10</v>
      </c>
    </row>
    <row r="28" spans="1:8" x14ac:dyDescent="0.25">
      <c r="A28" s="31">
        <v>44621</v>
      </c>
      <c r="B28" s="37" t="s">
        <v>7011</v>
      </c>
      <c r="C28" s="51" t="s">
        <v>16</v>
      </c>
      <c r="D28" s="52">
        <v>3833.2</v>
      </c>
      <c r="E28" s="35">
        <v>44621</v>
      </c>
      <c r="F28" s="52">
        <v>3833.2</v>
      </c>
      <c r="G28" s="53">
        <f>Tabla14[[#This Row],[Importe]]-Tabla14[[#This Row],[Pagado]]</f>
        <v>0</v>
      </c>
      <c r="H28" s="37" t="s">
        <v>10</v>
      </c>
    </row>
    <row r="29" spans="1:8" x14ac:dyDescent="0.25">
      <c r="A29" s="31">
        <v>44621</v>
      </c>
      <c r="B29" s="37" t="s">
        <v>7012</v>
      </c>
      <c r="C29" s="51" t="s">
        <v>87</v>
      </c>
      <c r="D29" s="52">
        <v>1727</v>
      </c>
      <c r="E29" s="35">
        <v>44621</v>
      </c>
      <c r="F29" s="52">
        <v>1727</v>
      </c>
      <c r="G29" s="53">
        <f>Tabla14[[#This Row],[Importe]]-Tabla14[[#This Row],[Pagado]]</f>
        <v>0</v>
      </c>
      <c r="H29" s="37" t="s">
        <v>10</v>
      </c>
    </row>
    <row r="30" spans="1:8" x14ac:dyDescent="0.25">
      <c r="A30" s="31">
        <v>44621</v>
      </c>
      <c r="B30" s="37" t="s">
        <v>7013</v>
      </c>
      <c r="C30" s="51" t="s">
        <v>151</v>
      </c>
      <c r="D30" s="52">
        <v>6735.3</v>
      </c>
      <c r="E30" s="35">
        <v>44622</v>
      </c>
      <c r="F30" s="52">
        <v>6735.3</v>
      </c>
      <c r="G30" s="53">
        <f>Tabla14[[#This Row],[Importe]]-Tabla14[[#This Row],[Pagado]]</f>
        <v>0</v>
      </c>
      <c r="H30" s="37" t="s">
        <v>10</v>
      </c>
    </row>
    <row r="31" spans="1:8" x14ac:dyDescent="0.25">
      <c r="A31" s="31">
        <v>44621</v>
      </c>
      <c r="B31" s="37" t="s">
        <v>7014</v>
      </c>
      <c r="C31" s="51" t="s">
        <v>224</v>
      </c>
      <c r="D31" s="52">
        <v>1334</v>
      </c>
      <c r="E31" s="35">
        <v>44621</v>
      </c>
      <c r="F31" s="52">
        <v>1334</v>
      </c>
      <c r="G31" s="53">
        <f>Tabla14[[#This Row],[Importe]]-Tabla14[[#This Row],[Pagado]]</f>
        <v>0</v>
      </c>
      <c r="H31" s="37" t="s">
        <v>10</v>
      </c>
    </row>
    <row r="32" spans="1:8" x14ac:dyDescent="0.25">
      <c r="A32" s="31">
        <v>44621</v>
      </c>
      <c r="B32" s="37" t="s">
        <v>7015</v>
      </c>
      <c r="C32" s="51" t="s">
        <v>125</v>
      </c>
      <c r="D32" s="52">
        <v>4338.1000000000004</v>
      </c>
      <c r="E32" s="35">
        <v>44621</v>
      </c>
      <c r="F32" s="52">
        <v>4338.1000000000004</v>
      </c>
      <c r="G32" s="53">
        <f>Tabla14[[#This Row],[Importe]]-Tabla14[[#This Row],[Pagado]]</f>
        <v>0</v>
      </c>
      <c r="H32" s="37" t="s">
        <v>10</v>
      </c>
    </row>
    <row r="33" spans="1:8" x14ac:dyDescent="0.25">
      <c r="A33" s="31">
        <v>44621</v>
      </c>
      <c r="B33" s="37" t="s">
        <v>7016</v>
      </c>
      <c r="C33" s="51" t="s">
        <v>520</v>
      </c>
      <c r="D33" s="52">
        <v>10650</v>
      </c>
      <c r="E33" s="35">
        <v>44622</v>
      </c>
      <c r="F33" s="52">
        <v>10650</v>
      </c>
      <c r="G33" s="53">
        <f>Tabla14[[#This Row],[Importe]]-Tabla14[[#This Row],[Pagado]]</f>
        <v>0</v>
      </c>
      <c r="H33" s="37" t="s">
        <v>10</v>
      </c>
    </row>
    <row r="34" spans="1:8" x14ac:dyDescent="0.25">
      <c r="A34" s="31">
        <v>44621</v>
      </c>
      <c r="B34" s="37" t="s">
        <v>7017</v>
      </c>
      <c r="C34" s="51" t="s">
        <v>56</v>
      </c>
      <c r="D34" s="52">
        <v>6298.5</v>
      </c>
      <c r="E34" s="35">
        <v>44621</v>
      </c>
      <c r="F34" s="52">
        <v>6298.5</v>
      </c>
      <c r="G34" s="53">
        <f>Tabla14[[#This Row],[Importe]]-Tabla14[[#This Row],[Pagado]]</f>
        <v>0</v>
      </c>
      <c r="H34" s="37" t="s">
        <v>10</v>
      </c>
    </row>
    <row r="35" spans="1:8" x14ac:dyDescent="0.25">
      <c r="A35" s="31">
        <v>44621</v>
      </c>
      <c r="B35" s="37" t="s">
        <v>7018</v>
      </c>
      <c r="C35" s="51" t="s">
        <v>131</v>
      </c>
      <c r="D35" s="52">
        <v>9360</v>
      </c>
      <c r="E35" s="35">
        <v>44621</v>
      </c>
      <c r="F35" s="52">
        <v>9360</v>
      </c>
      <c r="G35" s="53">
        <f>Tabla14[[#This Row],[Importe]]-Tabla14[[#This Row],[Pagado]]</f>
        <v>0</v>
      </c>
      <c r="H35" s="37" t="s">
        <v>10</v>
      </c>
    </row>
    <row r="36" spans="1:8" x14ac:dyDescent="0.25">
      <c r="A36" s="31">
        <v>44621</v>
      </c>
      <c r="B36" s="37" t="s">
        <v>7019</v>
      </c>
      <c r="C36" s="51" t="s">
        <v>56</v>
      </c>
      <c r="D36" s="52">
        <v>26</v>
      </c>
      <c r="E36" s="35">
        <v>44621</v>
      </c>
      <c r="F36" s="52">
        <v>26</v>
      </c>
      <c r="G36" s="53">
        <f>Tabla14[[#This Row],[Importe]]-Tabla14[[#This Row],[Pagado]]</f>
        <v>0</v>
      </c>
      <c r="H36" s="37" t="s">
        <v>10</v>
      </c>
    </row>
    <row r="37" spans="1:8" x14ac:dyDescent="0.25">
      <c r="A37" s="31">
        <v>44621</v>
      </c>
      <c r="B37" s="37" t="s">
        <v>7020</v>
      </c>
      <c r="C37" s="51" t="s">
        <v>27</v>
      </c>
      <c r="D37" s="52">
        <v>1510.4</v>
      </c>
      <c r="E37" s="35">
        <v>44621</v>
      </c>
      <c r="F37" s="52">
        <v>1510.4</v>
      </c>
      <c r="G37" s="53">
        <f>Tabla14[[#This Row],[Importe]]-Tabla14[[#This Row],[Pagado]]</f>
        <v>0</v>
      </c>
      <c r="H37" s="37" t="s">
        <v>10</v>
      </c>
    </row>
    <row r="38" spans="1:8" x14ac:dyDescent="0.25">
      <c r="A38" s="31">
        <v>44621</v>
      </c>
      <c r="B38" s="37" t="s">
        <v>7021</v>
      </c>
      <c r="C38" s="51" t="s">
        <v>161</v>
      </c>
      <c r="D38" s="52">
        <v>3503.5</v>
      </c>
      <c r="E38" s="35">
        <v>44621</v>
      </c>
      <c r="F38" s="52">
        <v>3503.5</v>
      </c>
      <c r="G38" s="53">
        <f>Tabla14[[#This Row],[Importe]]-Tabla14[[#This Row],[Pagado]]</f>
        <v>0</v>
      </c>
      <c r="H38" s="37" t="s">
        <v>10</v>
      </c>
    </row>
    <row r="39" spans="1:8" x14ac:dyDescent="0.25">
      <c r="A39" s="31">
        <v>44621</v>
      </c>
      <c r="B39" s="37" t="s">
        <v>7022</v>
      </c>
      <c r="C39" s="51" t="s">
        <v>179</v>
      </c>
      <c r="D39" s="52">
        <v>816.2</v>
      </c>
      <c r="E39" s="35">
        <v>44621</v>
      </c>
      <c r="F39" s="52">
        <v>816.2</v>
      </c>
      <c r="G39" s="53">
        <f>Tabla14[[#This Row],[Importe]]-Tabla14[[#This Row],[Pagado]]</f>
        <v>0</v>
      </c>
      <c r="H39" s="37" t="s">
        <v>10</v>
      </c>
    </row>
    <row r="40" spans="1:8" x14ac:dyDescent="0.25">
      <c r="A40" s="31">
        <v>44621</v>
      </c>
      <c r="B40" s="37" t="s">
        <v>7023</v>
      </c>
      <c r="C40" s="51" t="s">
        <v>142</v>
      </c>
      <c r="D40" s="52">
        <v>74016.2</v>
      </c>
      <c r="E40" s="35" t="s">
        <v>7024</v>
      </c>
      <c r="F40" s="52">
        <v>74016.2</v>
      </c>
      <c r="G40" s="53">
        <f>Tabla14[[#This Row],[Importe]]-Tabla14[[#This Row],[Pagado]]</f>
        <v>0</v>
      </c>
      <c r="H40" s="37" t="s">
        <v>10</v>
      </c>
    </row>
    <row r="41" spans="1:8" x14ac:dyDescent="0.25">
      <c r="A41" s="31">
        <v>44621</v>
      </c>
      <c r="B41" s="37" t="s">
        <v>7025</v>
      </c>
      <c r="C41" s="51" t="s">
        <v>518</v>
      </c>
      <c r="D41" s="52">
        <v>1918.3</v>
      </c>
      <c r="E41" s="35">
        <v>44622</v>
      </c>
      <c r="F41" s="52">
        <v>1918.3</v>
      </c>
      <c r="G41" s="53">
        <f>Tabla14[[#This Row],[Importe]]-Tabla14[[#This Row],[Pagado]]</f>
        <v>0</v>
      </c>
      <c r="H41" s="37" t="s">
        <v>10</v>
      </c>
    </row>
    <row r="42" spans="1:8" x14ac:dyDescent="0.25">
      <c r="A42" s="31">
        <v>44621</v>
      </c>
      <c r="B42" s="37" t="s">
        <v>7026</v>
      </c>
      <c r="C42" s="51" t="s">
        <v>159</v>
      </c>
      <c r="D42" s="52">
        <v>750</v>
      </c>
      <c r="E42" s="35">
        <v>44622</v>
      </c>
      <c r="F42" s="52">
        <v>750</v>
      </c>
      <c r="G42" s="53">
        <f>Tabla14[[#This Row],[Importe]]-Tabla14[[#This Row],[Pagado]]</f>
        <v>0</v>
      </c>
      <c r="H42" s="37" t="s">
        <v>10</v>
      </c>
    </row>
    <row r="43" spans="1:8" x14ac:dyDescent="0.25">
      <c r="A43" s="31">
        <v>44621</v>
      </c>
      <c r="B43" s="37" t="s">
        <v>7027</v>
      </c>
      <c r="C43" s="51" t="s">
        <v>157</v>
      </c>
      <c r="D43" s="52">
        <v>3020</v>
      </c>
      <c r="E43" s="35">
        <v>44622</v>
      </c>
      <c r="F43" s="52">
        <v>3020</v>
      </c>
      <c r="G43" s="53">
        <f>Tabla14[[#This Row],[Importe]]-Tabla14[[#This Row],[Pagado]]</f>
        <v>0</v>
      </c>
      <c r="H43" s="37" t="s">
        <v>10</v>
      </c>
    </row>
    <row r="44" spans="1:8" x14ac:dyDescent="0.25">
      <c r="A44" s="31">
        <v>44621</v>
      </c>
      <c r="B44" s="37" t="s">
        <v>7028</v>
      </c>
      <c r="C44" s="51" t="s">
        <v>157</v>
      </c>
      <c r="D44" s="52">
        <v>1070</v>
      </c>
      <c r="E44" s="35">
        <v>44622</v>
      </c>
      <c r="F44" s="52">
        <v>1070</v>
      </c>
      <c r="G44" s="53">
        <f>Tabla14[[#This Row],[Importe]]-Tabla14[[#This Row],[Pagado]]</f>
        <v>0</v>
      </c>
      <c r="H44" s="37" t="s">
        <v>10</v>
      </c>
    </row>
    <row r="45" spans="1:8" x14ac:dyDescent="0.25">
      <c r="A45" s="31">
        <v>44621</v>
      </c>
      <c r="B45" s="37" t="s">
        <v>7029</v>
      </c>
      <c r="C45" s="51" t="s">
        <v>518</v>
      </c>
      <c r="D45" s="52">
        <v>2780.54</v>
      </c>
      <c r="E45" s="35">
        <v>44622</v>
      </c>
      <c r="F45" s="52">
        <v>2780.54</v>
      </c>
      <c r="G45" s="53">
        <f>Tabla14[[#This Row],[Importe]]-Tabla14[[#This Row],[Pagado]]</f>
        <v>0</v>
      </c>
      <c r="H45" s="37" t="s">
        <v>10</v>
      </c>
    </row>
    <row r="46" spans="1:8" x14ac:dyDescent="0.25">
      <c r="A46" s="31">
        <v>44621</v>
      </c>
      <c r="B46" s="37" t="s">
        <v>7030</v>
      </c>
      <c r="C46" s="51" t="s">
        <v>466</v>
      </c>
      <c r="D46" s="52">
        <v>16800</v>
      </c>
      <c r="E46" s="35">
        <v>44621</v>
      </c>
      <c r="F46" s="52">
        <v>16800</v>
      </c>
      <c r="G46" s="53">
        <f>Tabla14[[#This Row],[Importe]]-Tabla14[[#This Row],[Pagado]]</f>
        <v>0</v>
      </c>
      <c r="H46" s="37" t="s">
        <v>10</v>
      </c>
    </row>
    <row r="47" spans="1:8" x14ac:dyDescent="0.25">
      <c r="A47" s="31">
        <v>44621</v>
      </c>
      <c r="B47" s="37" t="s">
        <v>7031</v>
      </c>
      <c r="C47" s="51" t="s">
        <v>373</v>
      </c>
      <c r="D47" s="52">
        <v>2918.4</v>
      </c>
      <c r="E47" s="35">
        <v>44621</v>
      </c>
      <c r="F47" s="52">
        <v>2918.4</v>
      </c>
      <c r="G47" s="53">
        <f>Tabla14[[#This Row],[Importe]]-Tabla14[[#This Row],[Pagado]]</f>
        <v>0</v>
      </c>
      <c r="H47" s="37" t="s">
        <v>10</v>
      </c>
    </row>
    <row r="48" spans="1:8" x14ac:dyDescent="0.25">
      <c r="A48" s="31">
        <v>44621</v>
      </c>
      <c r="B48" s="37" t="s">
        <v>7032</v>
      </c>
      <c r="C48" s="51" t="s">
        <v>79</v>
      </c>
      <c r="D48" s="52">
        <v>4589.8</v>
      </c>
      <c r="E48" s="35">
        <v>44622</v>
      </c>
      <c r="F48" s="52">
        <v>4589.8</v>
      </c>
      <c r="G48" s="53">
        <f>Tabla14[[#This Row],[Importe]]-Tabla14[[#This Row],[Pagado]]</f>
        <v>0</v>
      </c>
      <c r="H48" s="37" t="s">
        <v>10</v>
      </c>
    </row>
    <row r="49" spans="1:8" x14ac:dyDescent="0.25">
      <c r="A49" s="31">
        <v>44621</v>
      </c>
      <c r="B49" s="37" t="s">
        <v>7033</v>
      </c>
      <c r="C49" s="51" t="s">
        <v>426</v>
      </c>
      <c r="D49" s="52">
        <v>3413.2</v>
      </c>
      <c r="E49" s="35">
        <v>44621</v>
      </c>
      <c r="F49" s="52">
        <v>3413.2</v>
      </c>
      <c r="G49" s="53">
        <f>Tabla14[[#This Row],[Importe]]-Tabla14[[#This Row],[Pagado]]</f>
        <v>0</v>
      </c>
      <c r="H49" s="37" t="s">
        <v>10</v>
      </c>
    </row>
    <row r="50" spans="1:8" x14ac:dyDescent="0.25">
      <c r="A50" s="31">
        <v>44621</v>
      </c>
      <c r="B50" s="37" t="s">
        <v>7034</v>
      </c>
      <c r="C50" s="51" t="s">
        <v>79</v>
      </c>
      <c r="D50" s="52">
        <v>6731</v>
      </c>
      <c r="E50" s="35">
        <v>44622</v>
      </c>
      <c r="F50" s="52">
        <v>6731</v>
      </c>
      <c r="G50" s="53">
        <f>Tabla14[[#This Row],[Importe]]-Tabla14[[#This Row],[Pagado]]</f>
        <v>0</v>
      </c>
      <c r="H50" s="37" t="s">
        <v>10</v>
      </c>
    </row>
    <row r="51" spans="1:8" x14ac:dyDescent="0.25">
      <c r="A51" s="31">
        <v>44621</v>
      </c>
      <c r="B51" s="37" t="s">
        <v>7035</v>
      </c>
      <c r="C51" s="51" t="s">
        <v>525</v>
      </c>
      <c r="D51" s="52">
        <v>290.5</v>
      </c>
      <c r="E51" s="35">
        <v>44622</v>
      </c>
      <c r="F51" s="52">
        <v>290.5</v>
      </c>
      <c r="G51" s="53">
        <f>Tabla14[[#This Row],[Importe]]-Tabla14[[#This Row],[Pagado]]</f>
        <v>0</v>
      </c>
      <c r="H51" s="37" t="s">
        <v>10</v>
      </c>
    </row>
    <row r="52" spans="1:8" x14ac:dyDescent="0.25">
      <c r="A52" s="31">
        <v>44621</v>
      </c>
      <c r="B52" s="37" t="s">
        <v>7036</v>
      </c>
      <c r="C52" s="51" t="s">
        <v>159</v>
      </c>
      <c r="D52" s="52">
        <v>108.5</v>
      </c>
      <c r="E52" s="35">
        <v>44622</v>
      </c>
      <c r="F52" s="52">
        <v>108.5</v>
      </c>
      <c r="G52" s="53">
        <f>Tabla14[[#This Row],[Importe]]-Tabla14[[#This Row],[Pagado]]</f>
        <v>0</v>
      </c>
      <c r="H52" s="37" t="s">
        <v>10</v>
      </c>
    </row>
    <row r="53" spans="1:8" x14ac:dyDescent="0.25">
      <c r="A53" s="31">
        <v>44621</v>
      </c>
      <c r="B53" s="37" t="s">
        <v>7037</v>
      </c>
      <c r="C53" s="51" t="s">
        <v>934</v>
      </c>
      <c r="D53" s="52">
        <v>1000</v>
      </c>
      <c r="E53" s="35">
        <v>44622</v>
      </c>
      <c r="F53" s="52">
        <v>1000</v>
      </c>
      <c r="G53" s="53">
        <f>Tabla14[[#This Row],[Importe]]-Tabla14[[#This Row],[Pagado]]</f>
        <v>0</v>
      </c>
      <c r="H53" s="37" t="s">
        <v>10</v>
      </c>
    </row>
    <row r="54" spans="1:8" x14ac:dyDescent="0.25">
      <c r="A54" s="31">
        <v>44621</v>
      </c>
      <c r="B54" s="37" t="s">
        <v>7038</v>
      </c>
      <c r="C54" s="51" t="s">
        <v>312</v>
      </c>
      <c r="D54" s="52">
        <v>3468.4</v>
      </c>
      <c r="E54" s="35">
        <v>44621</v>
      </c>
      <c r="F54" s="52">
        <v>3468.4</v>
      </c>
      <c r="G54" s="53">
        <f>Tabla14[[#This Row],[Importe]]-Tabla14[[#This Row],[Pagado]]</f>
        <v>0</v>
      </c>
      <c r="H54" s="37" t="s">
        <v>10</v>
      </c>
    </row>
    <row r="55" spans="1:8" x14ac:dyDescent="0.25">
      <c r="A55" s="31">
        <v>44621</v>
      </c>
      <c r="B55" s="37" t="s">
        <v>7039</v>
      </c>
      <c r="C55" s="51" t="s">
        <v>230</v>
      </c>
      <c r="D55" s="52">
        <v>4511.2</v>
      </c>
      <c r="E55" s="35">
        <v>44621</v>
      </c>
      <c r="F55" s="52">
        <v>4511.2</v>
      </c>
      <c r="G55" s="53">
        <f>Tabla14[[#This Row],[Importe]]-Tabla14[[#This Row],[Pagado]]</f>
        <v>0</v>
      </c>
      <c r="H55" s="37" t="s">
        <v>10</v>
      </c>
    </row>
    <row r="56" spans="1:8" x14ac:dyDescent="0.25">
      <c r="A56" s="31">
        <v>44621</v>
      </c>
      <c r="B56" s="37" t="s">
        <v>7040</v>
      </c>
      <c r="C56" s="51" t="s">
        <v>698</v>
      </c>
      <c r="D56" s="52">
        <v>5188.2</v>
      </c>
      <c r="E56" s="35">
        <v>44621</v>
      </c>
      <c r="F56" s="52">
        <v>5188.2</v>
      </c>
      <c r="G56" s="53">
        <f>Tabla14[[#This Row],[Importe]]-Tabla14[[#This Row],[Pagado]]</f>
        <v>0</v>
      </c>
      <c r="H56" s="37" t="s">
        <v>10</v>
      </c>
    </row>
    <row r="57" spans="1:8" x14ac:dyDescent="0.25">
      <c r="A57" s="31">
        <v>44621</v>
      </c>
      <c r="B57" s="37" t="s">
        <v>7041</v>
      </c>
      <c r="C57" s="51" t="s">
        <v>357</v>
      </c>
      <c r="D57" s="52">
        <v>251.6</v>
      </c>
      <c r="E57" s="35">
        <v>44621</v>
      </c>
      <c r="F57" s="52">
        <v>251.6</v>
      </c>
      <c r="G57" s="53">
        <f>Tabla14[[#This Row],[Importe]]-Tabla14[[#This Row],[Pagado]]</f>
        <v>0</v>
      </c>
      <c r="H57" s="37" t="s">
        <v>10</v>
      </c>
    </row>
    <row r="58" spans="1:8" x14ac:dyDescent="0.25">
      <c r="A58" s="31">
        <v>44621</v>
      </c>
      <c r="B58" s="37" t="s">
        <v>7042</v>
      </c>
      <c r="C58" s="51" t="s">
        <v>198</v>
      </c>
      <c r="D58" s="52">
        <v>3939.72</v>
      </c>
      <c r="E58" s="35">
        <v>44621</v>
      </c>
      <c r="F58" s="52">
        <v>3939.72</v>
      </c>
      <c r="G58" s="53">
        <f>Tabla14[[#This Row],[Importe]]-Tabla14[[#This Row],[Pagado]]</f>
        <v>0</v>
      </c>
      <c r="H58" s="37" t="s">
        <v>10</v>
      </c>
    </row>
    <row r="59" spans="1:8" x14ac:dyDescent="0.25">
      <c r="A59" s="31">
        <v>44621</v>
      </c>
      <c r="B59" s="37" t="s">
        <v>7043</v>
      </c>
      <c r="C59" s="51" t="s">
        <v>357</v>
      </c>
      <c r="D59" s="52">
        <v>1377</v>
      </c>
      <c r="E59" s="35">
        <v>44621</v>
      </c>
      <c r="F59" s="52">
        <v>1377</v>
      </c>
      <c r="G59" s="53">
        <f>Tabla14[[#This Row],[Importe]]-Tabla14[[#This Row],[Pagado]]</f>
        <v>0</v>
      </c>
      <c r="H59" s="37" t="s">
        <v>10</v>
      </c>
    </row>
    <row r="60" spans="1:8" x14ac:dyDescent="0.25">
      <c r="A60" s="31">
        <v>44621</v>
      </c>
      <c r="B60" s="37" t="s">
        <v>7044</v>
      </c>
      <c r="C60" s="51" t="s">
        <v>140</v>
      </c>
      <c r="D60" s="52">
        <v>2411</v>
      </c>
      <c r="E60" s="35">
        <v>44621</v>
      </c>
      <c r="F60" s="52">
        <v>2411</v>
      </c>
      <c r="G60" s="53">
        <f>Tabla14[[#This Row],[Importe]]-Tabla14[[#This Row],[Pagado]]</f>
        <v>0</v>
      </c>
      <c r="H60" s="37" t="s">
        <v>10</v>
      </c>
    </row>
    <row r="61" spans="1:8" x14ac:dyDescent="0.25">
      <c r="A61" s="31">
        <v>44621</v>
      </c>
      <c r="B61" s="37" t="s">
        <v>7045</v>
      </c>
      <c r="C61" s="51" t="s">
        <v>129</v>
      </c>
      <c r="D61" s="52">
        <v>3348.8</v>
      </c>
      <c r="E61" s="35">
        <v>44621</v>
      </c>
      <c r="F61" s="52">
        <v>3348.8</v>
      </c>
      <c r="G61" s="53">
        <f>Tabla14[[#This Row],[Importe]]-Tabla14[[#This Row],[Pagado]]</f>
        <v>0</v>
      </c>
      <c r="H61" s="37" t="s">
        <v>10</v>
      </c>
    </row>
    <row r="62" spans="1:8" x14ac:dyDescent="0.25">
      <c r="A62" s="31">
        <v>44621</v>
      </c>
      <c r="B62" s="37" t="s">
        <v>7046</v>
      </c>
      <c r="C62" s="51" t="s">
        <v>127</v>
      </c>
      <c r="D62" s="52">
        <v>4567.8</v>
      </c>
      <c r="E62" s="35">
        <v>44621</v>
      </c>
      <c r="F62" s="52">
        <v>4567.8</v>
      </c>
      <c r="G62" s="53">
        <f>Tabla14[[#This Row],[Importe]]-Tabla14[[#This Row],[Pagado]]</f>
        <v>0</v>
      </c>
      <c r="H62" s="37" t="s">
        <v>10</v>
      </c>
    </row>
    <row r="63" spans="1:8" x14ac:dyDescent="0.25">
      <c r="A63" s="31">
        <v>44621</v>
      </c>
      <c r="B63" s="37" t="s">
        <v>7047</v>
      </c>
      <c r="C63" s="51" t="s">
        <v>49</v>
      </c>
      <c r="D63" s="52">
        <v>3357.8</v>
      </c>
      <c r="E63" s="35">
        <v>44621</v>
      </c>
      <c r="F63" s="52">
        <v>3357.8</v>
      </c>
      <c r="G63" s="53">
        <f>Tabla14[[#This Row],[Importe]]-Tabla14[[#This Row],[Pagado]]</f>
        <v>0</v>
      </c>
      <c r="H63" s="37" t="s">
        <v>10</v>
      </c>
    </row>
    <row r="64" spans="1:8" x14ac:dyDescent="0.25">
      <c r="A64" s="31">
        <v>44621</v>
      </c>
      <c r="B64" s="37" t="s">
        <v>7048</v>
      </c>
      <c r="C64" s="51" t="s">
        <v>339</v>
      </c>
      <c r="D64" s="52">
        <v>486</v>
      </c>
      <c r="E64" s="35">
        <v>44625</v>
      </c>
      <c r="F64" s="52">
        <v>486</v>
      </c>
      <c r="G64" s="53">
        <f>Tabla14[[#This Row],[Importe]]-Tabla14[[#This Row],[Pagado]]</f>
        <v>0</v>
      </c>
      <c r="H64" s="37" t="s">
        <v>10</v>
      </c>
    </row>
    <row r="65" spans="1:8" x14ac:dyDescent="0.25">
      <c r="A65" s="31">
        <v>44621</v>
      </c>
      <c r="B65" s="37" t="s">
        <v>7049</v>
      </c>
      <c r="C65" s="51" t="s">
        <v>107</v>
      </c>
      <c r="D65" s="52">
        <v>8966</v>
      </c>
      <c r="E65" s="35">
        <v>44621</v>
      </c>
      <c r="F65" s="52">
        <v>8966</v>
      </c>
      <c r="G65" s="53">
        <f>Tabla14[[#This Row],[Importe]]-Tabla14[[#This Row],[Pagado]]</f>
        <v>0</v>
      </c>
      <c r="H65" s="37" t="s">
        <v>10</v>
      </c>
    </row>
    <row r="66" spans="1:8" x14ac:dyDescent="0.25">
      <c r="A66" s="31">
        <v>44621</v>
      </c>
      <c r="B66" s="37" t="s">
        <v>7050</v>
      </c>
      <c r="C66" s="51" t="s">
        <v>45</v>
      </c>
      <c r="D66" s="52">
        <v>6706.2</v>
      </c>
      <c r="E66" s="35">
        <v>44621</v>
      </c>
      <c r="F66" s="52">
        <v>6706.2</v>
      </c>
      <c r="G66" s="53">
        <f>Tabla14[[#This Row],[Importe]]-Tabla14[[#This Row],[Pagado]]</f>
        <v>0</v>
      </c>
      <c r="H66" s="37" t="s">
        <v>10</v>
      </c>
    </row>
    <row r="67" spans="1:8" x14ac:dyDescent="0.25">
      <c r="A67" s="31">
        <v>44621</v>
      </c>
      <c r="B67" s="37" t="s">
        <v>7051</v>
      </c>
      <c r="C67" s="51" t="s">
        <v>1339</v>
      </c>
      <c r="D67" s="52">
        <v>2776.8</v>
      </c>
      <c r="E67" s="35">
        <v>44628</v>
      </c>
      <c r="F67" s="52">
        <v>2776.8</v>
      </c>
      <c r="G67" s="53">
        <f>Tabla14[[#This Row],[Importe]]-Tabla14[[#This Row],[Pagado]]</f>
        <v>0</v>
      </c>
      <c r="H67" s="37" t="s">
        <v>10</v>
      </c>
    </row>
    <row r="68" spans="1:8" x14ac:dyDescent="0.25">
      <c r="A68" s="31">
        <v>44621</v>
      </c>
      <c r="B68" s="37" t="s">
        <v>7052</v>
      </c>
      <c r="C68" s="51" t="s">
        <v>24</v>
      </c>
      <c r="D68" s="52">
        <v>2280.3000000000002</v>
      </c>
      <c r="E68" s="35">
        <v>44621</v>
      </c>
      <c r="F68" s="52">
        <v>2280.3000000000002</v>
      </c>
      <c r="G68" s="53">
        <f>Tabla14[[#This Row],[Importe]]-Tabla14[[#This Row],[Pagado]]</f>
        <v>0</v>
      </c>
      <c r="H68" s="37" t="s">
        <v>10</v>
      </c>
    </row>
    <row r="69" spans="1:8" x14ac:dyDescent="0.25">
      <c r="A69" s="31">
        <v>44621</v>
      </c>
      <c r="B69" s="37" t="s">
        <v>7053</v>
      </c>
      <c r="C69" s="51" t="s">
        <v>396</v>
      </c>
      <c r="D69" s="52">
        <v>15813.5</v>
      </c>
      <c r="E69" s="35">
        <v>44629</v>
      </c>
      <c r="F69" s="52">
        <v>15813.5</v>
      </c>
      <c r="G69" s="53">
        <f>Tabla14[[#This Row],[Importe]]-Tabla14[[#This Row],[Pagado]]</f>
        <v>0</v>
      </c>
      <c r="H69" s="37" t="s">
        <v>10</v>
      </c>
    </row>
    <row r="70" spans="1:8" x14ac:dyDescent="0.25">
      <c r="A70" s="31">
        <v>44621</v>
      </c>
      <c r="B70" s="37" t="s">
        <v>7054</v>
      </c>
      <c r="C70" s="51" t="s">
        <v>31</v>
      </c>
      <c r="D70" s="52">
        <v>3645.6</v>
      </c>
      <c r="E70" s="35">
        <v>44621</v>
      </c>
      <c r="F70" s="52">
        <v>3645.6</v>
      </c>
      <c r="G70" s="53">
        <f>Tabla14[[#This Row],[Importe]]-Tabla14[[#This Row],[Pagado]]</f>
        <v>0</v>
      </c>
      <c r="H70" s="37" t="s">
        <v>10</v>
      </c>
    </row>
    <row r="71" spans="1:8" x14ac:dyDescent="0.25">
      <c r="A71" s="31">
        <v>44621</v>
      </c>
      <c r="B71" s="37" t="s">
        <v>7055</v>
      </c>
      <c r="C71" s="51" t="s">
        <v>58</v>
      </c>
      <c r="D71" s="52">
        <v>5731.8</v>
      </c>
      <c r="E71" s="35">
        <v>44621</v>
      </c>
      <c r="F71" s="52">
        <v>5731.8</v>
      </c>
      <c r="G71" s="53">
        <f>Tabla14[[#This Row],[Importe]]-Tabla14[[#This Row],[Pagado]]</f>
        <v>0</v>
      </c>
      <c r="H71" s="37" t="s">
        <v>10</v>
      </c>
    </row>
    <row r="72" spans="1:8" x14ac:dyDescent="0.25">
      <c r="A72" s="31">
        <v>44621</v>
      </c>
      <c r="B72" s="37" t="s">
        <v>7056</v>
      </c>
      <c r="C72" s="51" t="s">
        <v>333</v>
      </c>
      <c r="D72" s="52">
        <v>1404</v>
      </c>
      <c r="E72" s="35">
        <v>44621</v>
      </c>
      <c r="F72" s="52">
        <v>1404</v>
      </c>
      <c r="G72" s="53">
        <f>Tabla14[[#This Row],[Importe]]-Tabla14[[#This Row],[Pagado]]</f>
        <v>0</v>
      </c>
      <c r="H72" s="37" t="s">
        <v>10</v>
      </c>
    </row>
    <row r="73" spans="1:8" x14ac:dyDescent="0.25">
      <c r="A73" s="31">
        <v>44621</v>
      </c>
      <c r="B73" s="37" t="s">
        <v>7057</v>
      </c>
      <c r="C73" s="51" t="s">
        <v>146</v>
      </c>
      <c r="D73" s="52">
        <v>2138.4</v>
      </c>
      <c r="E73" s="35">
        <v>44621</v>
      </c>
      <c r="F73" s="52">
        <v>2138.4</v>
      </c>
      <c r="G73" s="53">
        <f>Tabla14[[#This Row],[Importe]]-Tabla14[[#This Row],[Pagado]]</f>
        <v>0</v>
      </c>
      <c r="H73" s="37" t="s">
        <v>10</v>
      </c>
    </row>
    <row r="74" spans="1:8" x14ac:dyDescent="0.25">
      <c r="A74" s="31">
        <v>44621</v>
      </c>
      <c r="B74" s="37" t="s">
        <v>7058</v>
      </c>
      <c r="C74" s="51" t="s">
        <v>179</v>
      </c>
      <c r="D74" s="52">
        <v>795</v>
      </c>
      <c r="E74" s="35">
        <v>44621</v>
      </c>
      <c r="F74" s="52">
        <v>795</v>
      </c>
      <c r="G74" s="53">
        <f>Tabla14[[#This Row],[Importe]]-Tabla14[[#This Row],[Pagado]]</f>
        <v>0</v>
      </c>
      <c r="H74" s="37" t="s">
        <v>10</v>
      </c>
    </row>
    <row r="75" spans="1:8" x14ac:dyDescent="0.25">
      <c r="A75" s="31">
        <v>44621</v>
      </c>
      <c r="B75" s="37" t="s">
        <v>7059</v>
      </c>
      <c r="C75" s="51" t="s">
        <v>216</v>
      </c>
      <c r="D75" s="52">
        <v>1701.3</v>
      </c>
      <c r="E75" s="35">
        <v>44621</v>
      </c>
      <c r="F75" s="52">
        <v>1701.3</v>
      </c>
      <c r="G75" s="53">
        <f>Tabla14[[#This Row],[Importe]]-Tabla14[[#This Row],[Pagado]]</f>
        <v>0</v>
      </c>
      <c r="H75" s="37" t="s">
        <v>10</v>
      </c>
    </row>
    <row r="76" spans="1:8" x14ac:dyDescent="0.25">
      <c r="A76" s="31">
        <v>44621</v>
      </c>
      <c r="B76" s="37" t="s">
        <v>7060</v>
      </c>
      <c r="C76" s="51" t="s">
        <v>419</v>
      </c>
      <c r="D76" s="52">
        <v>4723.7</v>
      </c>
      <c r="E76" s="35">
        <v>44621</v>
      </c>
      <c r="F76" s="52">
        <v>4723.7</v>
      </c>
      <c r="G76" s="53">
        <f>Tabla14[[#This Row],[Importe]]-Tabla14[[#This Row],[Pagado]]</f>
        <v>0</v>
      </c>
      <c r="H76" s="37" t="s">
        <v>10</v>
      </c>
    </row>
    <row r="77" spans="1:8" x14ac:dyDescent="0.25">
      <c r="A77" s="31">
        <v>44621</v>
      </c>
      <c r="B77" s="37" t="s">
        <v>7061</v>
      </c>
      <c r="C77" s="51" t="s">
        <v>31</v>
      </c>
      <c r="D77" s="52">
        <v>614.79999999999995</v>
      </c>
      <c r="E77" s="35">
        <v>44621</v>
      </c>
      <c r="F77" s="52">
        <v>614.79999999999995</v>
      </c>
      <c r="G77" s="53">
        <f>Tabla14[[#This Row],[Importe]]-Tabla14[[#This Row],[Pagado]]</f>
        <v>0</v>
      </c>
      <c r="H77" s="37" t="s">
        <v>10</v>
      </c>
    </row>
    <row r="78" spans="1:8" x14ac:dyDescent="0.25">
      <c r="A78" s="31">
        <v>44621</v>
      </c>
      <c r="B78" s="37" t="s">
        <v>7062</v>
      </c>
      <c r="C78" s="51" t="s">
        <v>419</v>
      </c>
      <c r="D78" s="52">
        <v>3615.6</v>
      </c>
      <c r="E78" s="35">
        <v>44621</v>
      </c>
      <c r="F78" s="52">
        <v>3615.6</v>
      </c>
      <c r="G78" s="53">
        <f>Tabla14[[#This Row],[Importe]]-Tabla14[[#This Row],[Pagado]]</f>
        <v>0</v>
      </c>
      <c r="H78" s="37" t="s">
        <v>10</v>
      </c>
    </row>
    <row r="79" spans="1:8" x14ac:dyDescent="0.25">
      <c r="A79" s="31">
        <v>44621</v>
      </c>
      <c r="B79" s="37" t="s">
        <v>7063</v>
      </c>
      <c r="C79" s="51" t="s">
        <v>51</v>
      </c>
      <c r="D79" s="52">
        <v>1550.4</v>
      </c>
      <c r="E79" s="35">
        <v>44621</v>
      </c>
      <c r="F79" s="52">
        <v>1550.4</v>
      </c>
      <c r="G79" s="53">
        <f>Tabla14[[#This Row],[Importe]]-Tabla14[[#This Row],[Pagado]]</f>
        <v>0</v>
      </c>
      <c r="H79" s="37" t="s">
        <v>10</v>
      </c>
    </row>
    <row r="80" spans="1:8" x14ac:dyDescent="0.25">
      <c r="A80" s="31">
        <v>44621</v>
      </c>
      <c r="B80" s="37" t="s">
        <v>7064</v>
      </c>
      <c r="C80" s="51" t="s">
        <v>191</v>
      </c>
      <c r="D80" s="52">
        <v>1458</v>
      </c>
      <c r="E80" s="35">
        <v>44621</v>
      </c>
      <c r="F80" s="52">
        <v>1458</v>
      </c>
      <c r="G80" s="53">
        <f>Tabla14[[#This Row],[Importe]]-Tabla14[[#This Row],[Pagado]]</f>
        <v>0</v>
      </c>
      <c r="H80" s="37" t="s">
        <v>10</v>
      </c>
    </row>
    <row r="81" spans="1:8" x14ac:dyDescent="0.25">
      <c r="A81" s="31">
        <v>44621</v>
      </c>
      <c r="B81" s="37" t="s">
        <v>7065</v>
      </c>
      <c r="C81" s="51" t="s">
        <v>275</v>
      </c>
      <c r="D81" s="52">
        <v>89472.2</v>
      </c>
      <c r="E81" s="35">
        <v>44631</v>
      </c>
      <c r="F81" s="52">
        <v>89472.2</v>
      </c>
      <c r="G81" s="53">
        <f>Tabla14[[#This Row],[Importe]]-Tabla14[[#This Row],[Pagado]]</f>
        <v>0</v>
      </c>
      <c r="H81" s="37" t="s">
        <v>10</v>
      </c>
    </row>
    <row r="82" spans="1:8" x14ac:dyDescent="0.25">
      <c r="A82" s="31">
        <v>44621</v>
      </c>
      <c r="B82" s="37" t="s">
        <v>7066</v>
      </c>
      <c r="C82" s="51" t="s">
        <v>233</v>
      </c>
      <c r="D82" s="52">
        <v>4017.4</v>
      </c>
      <c r="E82" s="35">
        <v>44621</v>
      </c>
      <c r="F82" s="52">
        <v>4017.4</v>
      </c>
      <c r="G82" s="53">
        <f>Tabla14[[#This Row],[Importe]]-Tabla14[[#This Row],[Pagado]]</f>
        <v>0</v>
      </c>
      <c r="H82" s="37" t="s">
        <v>10</v>
      </c>
    </row>
    <row r="83" spans="1:8" x14ac:dyDescent="0.25">
      <c r="A83" s="31">
        <v>44621</v>
      </c>
      <c r="B83" s="37" t="s">
        <v>7067</v>
      </c>
      <c r="C83" s="51" t="s">
        <v>670</v>
      </c>
      <c r="D83" s="52">
        <v>3689.8</v>
      </c>
      <c r="E83" s="35">
        <v>44621</v>
      </c>
      <c r="F83" s="52">
        <v>3689.8</v>
      </c>
      <c r="G83" s="53">
        <f>Tabla14[[#This Row],[Importe]]-Tabla14[[#This Row],[Pagado]]</f>
        <v>0</v>
      </c>
      <c r="H83" s="37" t="s">
        <v>10</v>
      </c>
    </row>
    <row r="84" spans="1:8" x14ac:dyDescent="0.25">
      <c r="A84" s="31">
        <v>44621</v>
      </c>
      <c r="B84" s="37" t="s">
        <v>7068</v>
      </c>
      <c r="C84" s="51" t="s">
        <v>273</v>
      </c>
      <c r="D84" s="52">
        <v>840</v>
      </c>
      <c r="E84" s="35">
        <v>44621</v>
      </c>
      <c r="F84" s="52">
        <v>840</v>
      </c>
      <c r="G84" s="53">
        <f>Tabla14[[#This Row],[Importe]]-Tabla14[[#This Row],[Pagado]]</f>
        <v>0</v>
      </c>
      <c r="H84" s="37" t="s">
        <v>10</v>
      </c>
    </row>
    <row r="85" spans="1:8" x14ac:dyDescent="0.25">
      <c r="A85" s="31">
        <v>44621</v>
      </c>
      <c r="B85" s="37" t="s">
        <v>7069</v>
      </c>
      <c r="C85" s="51" t="s">
        <v>244</v>
      </c>
      <c r="D85" s="52">
        <v>996.4</v>
      </c>
      <c r="E85" s="35">
        <v>44621</v>
      </c>
      <c r="F85" s="52">
        <v>996.4</v>
      </c>
      <c r="G85" s="53">
        <f>Tabla14[[#This Row],[Importe]]-Tabla14[[#This Row],[Pagado]]</f>
        <v>0</v>
      </c>
      <c r="H85" s="37" t="s">
        <v>10</v>
      </c>
    </row>
    <row r="86" spans="1:8" x14ac:dyDescent="0.25">
      <c r="A86" s="31">
        <v>44621</v>
      </c>
      <c r="B86" s="37" t="s">
        <v>7070</v>
      </c>
      <c r="C86" s="51" t="s">
        <v>69</v>
      </c>
      <c r="D86" s="52">
        <v>2114.6999999999998</v>
      </c>
      <c r="E86" s="35">
        <v>44621</v>
      </c>
      <c r="F86" s="52">
        <v>2114.6999999999998</v>
      </c>
      <c r="G86" s="53">
        <f>Tabla14[[#This Row],[Importe]]-Tabla14[[#This Row],[Pagado]]</f>
        <v>0</v>
      </c>
      <c r="H86" s="37" t="s">
        <v>10</v>
      </c>
    </row>
    <row r="87" spans="1:8" x14ac:dyDescent="0.25">
      <c r="A87" s="31">
        <v>44621</v>
      </c>
      <c r="B87" s="37" t="s">
        <v>7071</v>
      </c>
      <c r="C87" s="51" t="s">
        <v>857</v>
      </c>
      <c r="D87" s="52">
        <v>170.8</v>
      </c>
      <c r="E87" s="35">
        <v>44621</v>
      </c>
      <c r="F87" s="52">
        <v>170.8</v>
      </c>
      <c r="G87" s="53">
        <f>Tabla14[[#This Row],[Importe]]-Tabla14[[#This Row],[Pagado]]</f>
        <v>0</v>
      </c>
      <c r="H87" s="37" t="s">
        <v>10</v>
      </c>
    </row>
    <row r="88" spans="1:8" x14ac:dyDescent="0.25">
      <c r="A88" s="31">
        <v>44621</v>
      </c>
      <c r="B88" s="37" t="s">
        <v>7072</v>
      </c>
      <c r="C88" s="51" t="s">
        <v>67</v>
      </c>
      <c r="D88" s="52">
        <v>1545</v>
      </c>
      <c r="E88" s="35">
        <v>44621</v>
      </c>
      <c r="F88" s="52">
        <v>1545</v>
      </c>
      <c r="G88" s="53">
        <f>Tabla14[[#This Row],[Importe]]-Tabla14[[#This Row],[Pagado]]</f>
        <v>0</v>
      </c>
      <c r="H88" s="37" t="s">
        <v>10</v>
      </c>
    </row>
    <row r="89" spans="1:8" x14ac:dyDescent="0.25">
      <c r="A89" s="31">
        <v>44621</v>
      </c>
      <c r="B89" s="37" t="s">
        <v>7073</v>
      </c>
      <c r="C89" s="51" t="s">
        <v>31</v>
      </c>
      <c r="D89" s="52">
        <v>1113</v>
      </c>
      <c r="E89" s="35">
        <v>44621</v>
      </c>
      <c r="F89" s="52">
        <v>1113</v>
      </c>
      <c r="G89" s="53">
        <f>Tabla14[[#This Row],[Importe]]-Tabla14[[#This Row],[Pagado]]</f>
        <v>0</v>
      </c>
      <c r="H89" s="37" t="s">
        <v>10</v>
      </c>
    </row>
    <row r="90" spans="1:8" x14ac:dyDescent="0.25">
      <c r="A90" s="31">
        <v>44621</v>
      </c>
      <c r="B90" s="37" t="s">
        <v>7074</v>
      </c>
      <c r="C90" s="51" t="s">
        <v>39</v>
      </c>
      <c r="D90" s="52">
        <v>7212.8</v>
      </c>
      <c r="E90" s="35">
        <v>44622</v>
      </c>
      <c r="F90" s="52">
        <v>7212.8</v>
      </c>
      <c r="G90" s="53">
        <f>Tabla14[[#This Row],[Importe]]-Tabla14[[#This Row],[Pagado]]</f>
        <v>0</v>
      </c>
      <c r="H90" s="37" t="s">
        <v>10</v>
      </c>
    </row>
    <row r="91" spans="1:8" x14ac:dyDescent="0.25">
      <c r="A91" s="31">
        <v>44621</v>
      </c>
      <c r="B91" s="37" t="s">
        <v>7075</v>
      </c>
      <c r="C91" s="51" t="s">
        <v>1265</v>
      </c>
      <c r="D91" s="52">
        <v>2096</v>
      </c>
      <c r="E91" s="35">
        <v>44621</v>
      </c>
      <c r="F91" s="52">
        <v>2096</v>
      </c>
      <c r="G91" s="53">
        <f>Tabla14[[#This Row],[Importe]]-Tabla14[[#This Row],[Pagado]]</f>
        <v>0</v>
      </c>
      <c r="H91" s="37" t="s">
        <v>10</v>
      </c>
    </row>
    <row r="92" spans="1:8" x14ac:dyDescent="0.25">
      <c r="A92" s="31">
        <v>44621</v>
      </c>
      <c r="B92" s="37" t="s">
        <v>7076</v>
      </c>
      <c r="C92" s="51" t="s">
        <v>452</v>
      </c>
      <c r="D92" s="52">
        <v>3060.4</v>
      </c>
      <c r="E92" s="35">
        <v>44621</v>
      </c>
      <c r="F92" s="52">
        <v>3060.4</v>
      </c>
      <c r="G92" s="53">
        <f>Tabla14[[#This Row],[Importe]]-Tabla14[[#This Row],[Pagado]]</f>
        <v>0</v>
      </c>
      <c r="H92" s="37" t="s">
        <v>10</v>
      </c>
    </row>
    <row r="93" spans="1:8" x14ac:dyDescent="0.25">
      <c r="A93" s="31">
        <v>44621</v>
      </c>
      <c r="B93" s="37" t="s">
        <v>7077</v>
      </c>
      <c r="C93" s="51" t="s">
        <v>400</v>
      </c>
      <c r="D93" s="52">
        <v>9187.4</v>
      </c>
      <c r="E93" s="35">
        <v>44629</v>
      </c>
      <c r="F93" s="52">
        <v>9187.4</v>
      </c>
      <c r="G93" s="53">
        <f>Tabla14[[#This Row],[Importe]]-Tabla14[[#This Row],[Pagado]]</f>
        <v>0</v>
      </c>
      <c r="H93" s="37" t="s">
        <v>10</v>
      </c>
    </row>
    <row r="94" spans="1:8" x14ac:dyDescent="0.25">
      <c r="A94" s="31">
        <v>44621</v>
      </c>
      <c r="B94" s="37" t="s">
        <v>7078</v>
      </c>
      <c r="C94" s="51" t="s">
        <v>402</v>
      </c>
      <c r="D94" s="52">
        <v>14048.8</v>
      </c>
      <c r="E94" s="35">
        <v>44629</v>
      </c>
      <c r="F94" s="52">
        <v>14048.8</v>
      </c>
      <c r="G94" s="53">
        <f>Tabla14[[#This Row],[Importe]]-Tabla14[[#This Row],[Pagado]]</f>
        <v>0</v>
      </c>
      <c r="H94" s="37" t="s">
        <v>10</v>
      </c>
    </row>
    <row r="95" spans="1:8" x14ac:dyDescent="0.25">
      <c r="A95" s="31">
        <v>44621</v>
      </c>
      <c r="B95" s="37" t="s">
        <v>7079</v>
      </c>
      <c r="C95" s="51" t="s">
        <v>135</v>
      </c>
      <c r="D95" s="52">
        <v>1123.2</v>
      </c>
      <c r="E95" s="35">
        <v>44621</v>
      </c>
      <c r="F95" s="52">
        <v>1123.2</v>
      </c>
      <c r="G95" s="53">
        <f>Tabla14[[#This Row],[Importe]]-Tabla14[[#This Row],[Pagado]]</f>
        <v>0</v>
      </c>
      <c r="H95" s="37" t="s">
        <v>10</v>
      </c>
    </row>
    <row r="96" spans="1:8" x14ac:dyDescent="0.25">
      <c r="A96" s="31">
        <v>44621</v>
      </c>
      <c r="B96" s="37" t="s">
        <v>7080</v>
      </c>
      <c r="C96" s="51" t="s">
        <v>448</v>
      </c>
      <c r="D96" s="52">
        <v>19094.400000000001</v>
      </c>
      <c r="E96" s="35">
        <v>44621</v>
      </c>
      <c r="F96" s="52">
        <v>19094.400000000001</v>
      </c>
      <c r="G96" s="53">
        <f>Tabla14[[#This Row],[Importe]]-Tabla14[[#This Row],[Pagado]]</f>
        <v>0</v>
      </c>
      <c r="H96" s="37" t="s">
        <v>10</v>
      </c>
    </row>
    <row r="97" spans="1:8" x14ac:dyDescent="0.25">
      <c r="A97" s="31">
        <v>44621</v>
      </c>
      <c r="B97" s="37" t="s">
        <v>7081</v>
      </c>
      <c r="C97" s="51" t="s">
        <v>433</v>
      </c>
      <c r="D97" s="52">
        <v>28320</v>
      </c>
      <c r="E97" s="35">
        <v>44621</v>
      </c>
      <c r="F97" s="52">
        <v>28320</v>
      </c>
      <c r="G97" s="53">
        <f>Tabla14[[#This Row],[Importe]]-Tabla14[[#This Row],[Pagado]]</f>
        <v>0</v>
      </c>
      <c r="H97" s="37" t="s">
        <v>10</v>
      </c>
    </row>
    <row r="98" spans="1:8" x14ac:dyDescent="0.25">
      <c r="A98" s="31">
        <v>44621</v>
      </c>
      <c r="B98" s="37" t="s">
        <v>7082</v>
      </c>
      <c r="C98" s="51" t="s">
        <v>135</v>
      </c>
      <c r="D98" s="52">
        <v>95.2</v>
      </c>
      <c r="E98" s="35">
        <v>44621</v>
      </c>
      <c r="F98" s="52">
        <v>95.2</v>
      </c>
      <c r="G98" s="53">
        <f>Tabla14[[#This Row],[Importe]]-Tabla14[[#This Row],[Pagado]]</f>
        <v>0</v>
      </c>
      <c r="H98" s="37" t="s">
        <v>10</v>
      </c>
    </row>
    <row r="99" spans="1:8" x14ac:dyDescent="0.25">
      <c r="A99" s="31">
        <v>44621</v>
      </c>
      <c r="B99" s="37" t="s">
        <v>7083</v>
      </c>
      <c r="C99" s="51" t="s">
        <v>226</v>
      </c>
      <c r="D99" s="52">
        <v>5546.1</v>
      </c>
      <c r="E99" s="35">
        <v>44621</v>
      </c>
      <c r="F99" s="52">
        <v>5546.1</v>
      </c>
      <c r="G99" s="53">
        <f>Tabla14[[#This Row],[Importe]]-Tabla14[[#This Row],[Pagado]]</f>
        <v>0</v>
      </c>
      <c r="H99" s="37" t="s">
        <v>10</v>
      </c>
    </row>
    <row r="100" spans="1:8" x14ac:dyDescent="0.25">
      <c r="A100" s="31">
        <v>44621</v>
      </c>
      <c r="B100" s="37" t="s">
        <v>7084</v>
      </c>
      <c r="C100" s="51" t="s">
        <v>263</v>
      </c>
      <c r="D100" s="52">
        <v>17864</v>
      </c>
      <c r="E100" s="35">
        <v>44622</v>
      </c>
      <c r="F100" s="52">
        <v>17864</v>
      </c>
      <c r="G100" s="53">
        <f>Tabla14[[#This Row],[Importe]]-Tabla14[[#This Row],[Pagado]]</f>
        <v>0</v>
      </c>
      <c r="H100" s="37" t="s">
        <v>10</v>
      </c>
    </row>
    <row r="101" spans="1:8" x14ac:dyDescent="0.25">
      <c r="A101" s="31">
        <v>44621</v>
      </c>
      <c r="B101" s="37" t="s">
        <v>7085</v>
      </c>
      <c r="C101" s="51" t="s">
        <v>51</v>
      </c>
      <c r="D101" s="52">
        <v>193.2</v>
      </c>
      <c r="E101" s="35">
        <v>44621</v>
      </c>
      <c r="F101" s="52">
        <v>193.2</v>
      </c>
      <c r="G101" s="53">
        <f>Tabla14[[#This Row],[Importe]]-Tabla14[[#This Row],[Pagado]]</f>
        <v>0</v>
      </c>
      <c r="H101" s="37" t="s">
        <v>10</v>
      </c>
    </row>
    <row r="102" spans="1:8" x14ac:dyDescent="0.25">
      <c r="A102" s="31">
        <v>44621</v>
      </c>
      <c r="B102" s="37" t="s">
        <v>7086</v>
      </c>
      <c r="C102" s="51" t="s">
        <v>440</v>
      </c>
      <c r="D102" s="52">
        <v>20444.38</v>
      </c>
      <c r="E102" s="35">
        <v>44635</v>
      </c>
      <c r="F102" s="52">
        <v>20444.38</v>
      </c>
      <c r="G102" s="53">
        <f>Tabla14[[#This Row],[Importe]]-Tabla14[[#This Row],[Pagado]]</f>
        <v>0</v>
      </c>
      <c r="H102" s="37" t="s">
        <v>10</v>
      </c>
    </row>
    <row r="103" spans="1:8" x14ac:dyDescent="0.25">
      <c r="A103" s="31">
        <v>44621</v>
      </c>
      <c r="B103" s="37" t="s">
        <v>7087</v>
      </c>
      <c r="C103" s="51" t="s">
        <v>284</v>
      </c>
      <c r="D103" s="52">
        <v>6508.4</v>
      </c>
      <c r="E103" s="35">
        <v>44622</v>
      </c>
      <c r="F103" s="52">
        <v>6508.4</v>
      </c>
      <c r="G103" s="53">
        <f>Tabla14[[#This Row],[Importe]]-Tabla14[[#This Row],[Pagado]]</f>
        <v>0</v>
      </c>
      <c r="H103" s="37" t="s">
        <v>10</v>
      </c>
    </row>
    <row r="104" spans="1:8" x14ac:dyDescent="0.25">
      <c r="A104" s="31">
        <v>44621</v>
      </c>
      <c r="B104" s="37" t="s">
        <v>7088</v>
      </c>
      <c r="C104" s="51" t="s">
        <v>5345</v>
      </c>
      <c r="D104" s="52">
        <v>1033.5</v>
      </c>
      <c r="E104" s="35">
        <v>44622</v>
      </c>
      <c r="F104" s="52">
        <v>1033.5</v>
      </c>
      <c r="G104" s="53">
        <f>Tabla14[[#This Row],[Importe]]-Tabla14[[#This Row],[Pagado]]</f>
        <v>0</v>
      </c>
      <c r="H104" s="37" t="s">
        <v>10</v>
      </c>
    </row>
    <row r="105" spans="1:8" x14ac:dyDescent="0.25">
      <c r="A105" s="31">
        <v>44621</v>
      </c>
      <c r="B105" s="37" t="s">
        <v>7089</v>
      </c>
      <c r="C105" s="51" t="s">
        <v>280</v>
      </c>
      <c r="D105" s="52">
        <v>545.9</v>
      </c>
      <c r="E105" s="35">
        <v>44622</v>
      </c>
      <c r="F105" s="52">
        <v>545.9</v>
      </c>
      <c r="G105" s="53">
        <f>Tabla14[[#This Row],[Importe]]-Tabla14[[#This Row],[Pagado]]</f>
        <v>0</v>
      </c>
      <c r="H105" s="37" t="s">
        <v>10</v>
      </c>
    </row>
    <row r="106" spans="1:8" x14ac:dyDescent="0.25">
      <c r="A106" s="31">
        <v>44621</v>
      </c>
      <c r="B106" s="37" t="s">
        <v>7090</v>
      </c>
      <c r="C106" s="51" t="s">
        <v>181</v>
      </c>
      <c r="D106" s="52">
        <v>6867.2</v>
      </c>
      <c r="E106" s="35">
        <v>44622</v>
      </c>
      <c r="F106" s="52">
        <v>6867.2</v>
      </c>
      <c r="G106" s="53">
        <f>Tabla14[[#This Row],[Importe]]-Tabla14[[#This Row],[Pagado]]</f>
        <v>0</v>
      </c>
      <c r="H106" s="37" t="s">
        <v>10</v>
      </c>
    </row>
    <row r="107" spans="1:8" x14ac:dyDescent="0.25">
      <c r="A107" s="31">
        <v>44621</v>
      </c>
      <c r="B107" s="37" t="s">
        <v>7091</v>
      </c>
      <c r="C107" s="51" t="s">
        <v>181</v>
      </c>
      <c r="D107" s="52">
        <v>3421.6</v>
      </c>
      <c r="E107" s="35">
        <v>44622</v>
      </c>
      <c r="F107" s="52">
        <v>3421.6</v>
      </c>
      <c r="G107" s="53">
        <f>Tabla14[[#This Row],[Importe]]-Tabla14[[#This Row],[Pagado]]</f>
        <v>0</v>
      </c>
      <c r="H107" s="37" t="s">
        <v>10</v>
      </c>
    </row>
    <row r="108" spans="1:8" x14ac:dyDescent="0.25">
      <c r="A108" s="31">
        <v>44621</v>
      </c>
      <c r="B108" s="37" t="s">
        <v>7092</v>
      </c>
      <c r="C108" s="51" t="s">
        <v>368</v>
      </c>
      <c r="D108" s="52">
        <v>2608.4</v>
      </c>
      <c r="E108" s="35">
        <v>44622</v>
      </c>
      <c r="F108" s="52">
        <v>2608.4</v>
      </c>
      <c r="G108" s="53">
        <f>Tabla14[[#This Row],[Importe]]-Tabla14[[#This Row],[Pagado]]</f>
        <v>0</v>
      </c>
      <c r="H108" s="37" t="s">
        <v>10</v>
      </c>
    </row>
    <row r="109" spans="1:8" x14ac:dyDescent="0.25">
      <c r="A109" s="31">
        <v>44621</v>
      </c>
      <c r="B109" s="37" t="s">
        <v>7093</v>
      </c>
      <c r="C109" s="51" t="s">
        <v>200</v>
      </c>
      <c r="D109" s="52">
        <v>540.6</v>
      </c>
      <c r="E109" s="35">
        <v>44622</v>
      </c>
      <c r="F109" s="52">
        <v>540.6</v>
      </c>
      <c r="G109" s="53">
        <f>Tabla14[[#This Row],[Importe]]-Tabla14[[#This Row],[Pagado]]</f>
        <v>0</v>
      </c>
      <c r="H109" s="37" t="s">
        <v>10</v>
      </c>
    </row>
    <row r="110" spans="1:8" x14ac:dyDescent="0.25">
      <c r="A110" s="31">
        <v>44621</v>
      </c>
      <c r="B110" s="37" t="s">
        <v>7094</v>
      </c>
      <c r="C110" s="51" t="s">
        <v>31</v>
      </c>
      <c r="D110" s="52">
        <v>210.8</v>
      </c>
      <c r="E110" s="35">
        <v>44621</v>
      </c>
      <c r="F110" s="52">
        <v>210.8</v>
      </c>
      <c r="G110" s="53">
        <f>Tabla14[[#This Row],[Importe]]-Tabla14[[#This Row],[Pagado]]</f>
        <v>0</v>
      </c>
      <c r="H110" s="37" t="s">
        <v>10</v>
      </c>
    </row>
    <row r="111" spans="1:8" x14ac:dyDescent="0.25">
      <c r="A111" s="31">
        <v>44621</v>
      </c>
      <c r="B111" s="37" t="s">
        <v>7095</v>
      </c>
      <c r="C111" s="51" t="s">
        <v>459</v>
      </c>
      <c r="D111" s="52">
        <v>670.6</v>
      </c>
      <c r="E111" s="35">
        <v>44621</v>
      </c>
      <c r="F111" s="52">
        <v>670.6</v>
      </c>
      <c r="G111" s="53">
        <f>Tabla14[[#This Row],[Importe]]-Tabla14[[#This Row],[Pagado]]</f>
        <v>0</v>
      </c>
      <c r="H111" s="37" t="s">
        <v>10</v>
      </c>
    </row>
    <row r="112" spans="1:8" x14ac:dyDescent="0.25">
      <c r="A112" s="31">
        <v>44621</v>
      </c>
      <c r="B112" s="37" t="s">
        <v>7096</v>
      </c>
      <c r="C112" s="51" t="s">
        <v>71</v>
      </c>
      <c r="D112" s="52">
        <v>6686.4</v>
      </c>
      <c r="E112" s="35">
        <v>44621</v>
      </c>
      <c r="F112" s="52">
        <v>6686.4</v>
      </c>
      <c r="G112" s="53">
        <f>Tabla14[[#This Row],[Importe]]-Tabla14[[#This Row],[Pagado]]</f>
        <v>0</v>
      </c>
      <c r="H112" s="37" t="s">
        <v>10</v>
      </c>
    </row>
    <row r="113" spans="1:8" x14ac:dyDescent="0.25">
      <c r="A113" s="31">
        <v>44621</v>
      </c>
      <c r="B113" s="37" t="s">
        <v>7097</v>
      </c>
      <c r="C113" s="51" t="s">
        <v>7098</v>
      </c>
      <c r="D113" s="52">
        <v>1848</v>
      </c>
      <c r="E113" s="35">
        <v>44621</v>
      </c>
      <c r="F113" s="52">
        <v>1848</v>
      </c>
      <c r="G113" s="53">
        <f>Tabla14[[#This Row],[Importe]]-Tabla14[[#This Row],[Pagado]]</f>
        <v>0</v>
      </c>
      <c r="H113" s="37" t="s">
        <v>10</v>
      </c>
    </row>
    <row r="114" spans="1:8" x14ac:dyDescent="0.25">
      <c r="A114" s="31">
        <v>44621</v>
      </c>
      <c r="B114" s="37" t="s">
        <v>7099</v>
      </c>
      <c r="C114" s="51" t="s">
        <v>269</v>
      </c>
      <c r="D114" s="52">
        <v>750</v>
      </c>
      <c r="E114" s="35">
        <v>44621</v>
      </c>
      <c r="F114" s="52">
        <v>750</v>
      </c>
      <c r="G114" s="53">
        <f>Tabla14[[#This Row],[Importe]]-Tabla14[[#This Row],[Pagado]]</f>
        <v>0</v>
      </c>
      <c r="H114" s="37" t="s">
        <v>10</v>
      </c>
    </row>
    <row r="115" spans="1:8" x14ac:dyDescent="0.25">
      <c r="A115" s="31">
        <v>44621</v>
      </c>
      <c r="B115" s="37" t="s">
        <v>7100</v>
      </c>
      <c r="C115" s="51" t="s">
        <v>1706</v>
      </c>
      <c r="D115" s="52">
        <v>8760</v>
      </c>
      <c r="E115" s="35">
        <v>44621</v>
      </c>
      <c r="F115" s="52">
        <v>8760</v>
      </c>
      <c r="G115" s="53">
        <f>Tabla14[[#This Row],[Importe]]-Tabla14[[#This Row],[Pagado]]</f>
        <v>0</v>
      </c>
      <c r="H115" s="37" t="s">
        <v>10</v>
      </c>
    </row>
    <row r="116" spans="1:8" x14ac:dyDescent="0.25">
      <c r="A116" s="31">
        <v>44621</v>
      </c>
      <c r="B116" s="37" t="s">
        <v>7101</v>
      </c>
      <c r="C116" s="51" t="s">
        <v>263</v>
      </c>
      <c r="D116" s="52">
        <v>141439.79999999999</v>
      </c>
      <c r="E116" s="35">
        <v>44621</v>
      </c>
      <c r="F116" s="52">
        <v>141439.79999999999</v>
      </c>
      <c r="G116" s="53">
        <f>Tabla14[[#This Row],[Importe]]-Tabla14[[#This Row],[Pagado]]</f>
        <v>0</v>
      </c>
      <c r="H116" s="37" t="s">
        <v>10</v>
      </c>
    </row>
    <row r="117" spans="1:8" x14ac:dyDescent="0.25">
      <c r="A117" s="31">
        <v>44621</v>
      </c>
      <c r="B117" s="37" t="s">
        <v>7102</v>
      </c>
      <c r="C117" s="51" t="s">
        <v>414</v>
      </c>
      <c r="D117" s="52">
        <v>1.69</v>
      </c>
      <c r="E117" s="35">
        <v>44625</v>
      </c>
      <c r="F117" s="52">
        <v>1.69</v>
      </c>
      <c r="G117" s="53">
        <f>Tabla14[[#This Row],[Importe]]-Tabla14[[#This Row],[Pagado]]</f>
        <v>0</v>
      </c>
      <c r="H117" s="37" t="s">
        <v>10</v>
      </c>
    </row>
    <row r="118" spans="1:8" x14ac:dyDescent="0.25">
      <c r="A118" s="31">
        <v>44621</v>
      </c>
      <c r="B118" s="37" t="s">
        <v>7103</v>
      </c>
      <c r="C118" s="51" t="s">
        <v>994</v>
      </c>
      <c r="D118" s="52">
        <v>1050</v>
      </c>
      <c r="E118" s="35">
        <v>44621</v>
      </c>
      <c r="F118" s="52">
        <v>1050</v>
      </c>
      <c r="G118" s="53">
        <f>Tabla14[[#This Row],[Importe]]-Tabla14[[#This Row],[Pagado]]</f>
        <v>0</v>
      </c>
      <c r="H118" s="37" t="s">
        <v>10</v>
      </c>
    </row>
    <row r="119" spans="1:8" x14ac:dyDescent="0.25">
      <c r="A119" s="31">
        <v>44622</v>
      </c>
      <c r="B119" s="37" t="s">
        <v>7104</v>
      </c>
      <c r="C119" s="51" t="s">
        <v>20</v>
      </c>
      <c r="D119" s="52">
        <v>1266.9000000000001</v>
      </c>
      <c r="E119" s="35">
        <v>44622</v>
      </c>
      <c r="F119" s="52">
        <v>1266.9000000000001</v>
      </c>
      <c r="G119" s="53">
        <f>Tabla14[[#This Row],[Importe]]-Tabla14[[#This Row],[Pagado]]</f>
        <v>0</v>
      </c>
      <c r="H119" s="37" t="s">
        <v>10</v>
      </c>
    </row>
    <row r="120" spans="1:8" x14ac:dyDescent="0.25">
      <c r="A120" s="31">
        <v>44622</v>
      </c>
      <c r="B120" s="37" t="s">
        <v>7105</v>
      </c>
      <c r="C120" s="51" t="s">
        <v>924</v>
      </c>
      <c r="D120" s="52">
        <v>1272</v>
      </c>
      <c r="E120" s="35">
        <v>44622</v>
      </c>
      <c r="F120" s="52">
        <v>1272</v>
      </c>
      <c r="G120" s="53">
        <f>Tabla14[[#This Row],[Importe]]-Tabla14[[#This Row],[Pagado]]</f>
        <v>0</v>
      </c>
      <c r="H120" s="37" t="s">
        <v>10</v>
      </c>
    </row>
    <row r="121" spans="1:8" x14ac:dyDescent="0.25">
      <c r="A121" s="31">
        <v>44622</v>
      </c>
      <c r="B121" s="37" t="s">
        <v>7106</v>
      </c>
      <c r="C121" s="51" t="s">
        <v>95</v>
      </c>
      <c r="D121" s="52">
        <v>18005</v>
      </c>
      <c r="E121" s="35">
        <v>44622</v>
      </c>
      <c r="F121" s="52">
        <v>18005</v>
      </c>
      <c r="G121" s="53">
        <f>Tabla14[[#This Row],[Importe]]-Tabla14[[#This Row],[Pagado]]</f>
        <v>0</v>
      </c>
      <c r="H121" s="37" t="s">
        <v>10</v>
      </c>
    </row>
    <row r="122" spans="1:8" x14ac:dyDescent="0.25">
      <c r="A122" s="31">
        <v>44622</v>
      </c>
      <c r="B122" s="37" t="s">
        <v>7107</v>
      </c>
      <c r="C122" s="51" t="s">
        <v>18</v>
      </c>
      <c r="D122" s="52">
        <v>1518</v>
      </c>
      <c r="E122" s="35">
        <v>44622</v>
      </c>
      <c r="F122" s="52">
        <v>1518</v>
      </c>
      <c r="G122" s="53">
        <f>Tabla14[[#This Row],[Importe]]-Tabla14[[#This Row],[Pagado]]</f>
        <v>0</v>
      </c>
      <c r="H122" s="37" t="s">
        <v>10</v>
      </c>
    </row>
    <row r="123" spans="1:8" x14ac:dyDescent="0.25">
      <c r="A123" s="31">
        <v>44622</v>
      </c>
      <c r="B123" s="37" t="s">
        <v>7108</v>
      </c>
      <c r="C123" s="51" t="s">
        <v>31</v>
      </c>
      <c r="D123" s="52">
        <v>3924.5</v>
      </c>
      <c r="E123" s="35">
        <v>44622</v>
      </c>
      <c r="F123" s="52">
        <v>3924.5</v>
      </c>
      <c r="G123" s="53">
        <f>Tabla14[[#This Row],[Importe]]-Tabla14[[#This Row],[Pagado]]</f>
        <v>0</v>
      </c>
      <c r="H123" s="37" t="s">
        <v>10</v>
      </c>
    </row>
    <row r="124" spans="1:8" x14ac:dyDescent="0.25">
      <c r="A124" s="31">
        <v>44622</v>
      </c>
      <c r="B124" s="37" t="s">
        <v>7109</v>
      </c>
      <c r="C124" s="51" t="s">
        <v>348</v>
      </c>
      <c r="D124" s="52">
        <v>2552</v>
      </c>
      <c r="E124" s="35">
        <v>44622</v>
      </c>
      <c r="F124" s="52">
        <v>2552</v>
      </c>
      <c r="G124" s="53">
        <f>Tabla14[[#This Row],[Importe]]-Tabla14[[#This Row],[Pagado]]</f>
        <v>0</v>
      </c>
      <c r="H124" s="37" t="s">
        <v>10</v>
      </c>
    </row>
    <row r="125" spans="1:8" x14ac:dyDescent="0.25">
      <c r="A125" s="31">
        <v>44622</v>
      </c>
      <c r="B125" s="37" t="s">
        <v>7110</v>
      </c>
      <c r="C125" s="51" t="s">
        <v>105</v>
      </c>
      <c r="D125" s="52">
        <v>907.2</v>
      </c>
      <c r="E125" s="35">
        <v>44623</v>
      </c>
      <c r="F125" s="52">
        <v>907.2</v>
      </c>
      <c r="G125" s="53">
        <f>Tabla14[[#This Row],[Importe]]-Tabla14[[#This Row],[Pagado]]</f>
        <v>0</v>
      </c>
      <c r="H125" s="37" t="s">
        <v>10</v>
      </c>
    </row>
    <row r="126" spans="1:8" x14ac:dyDescent="0.25">
      <c r="A126" s="31">
        <v>44622</v>
      </c>
      <c r="B126" s="37" t="s">
        <v>7111</v>
      </c>
      <c r="C126" s="51" t="s">
        <v>89</v>
      </c>
      <c r="D126" s="52">
        <v>2612</v>
      </c>
      <c r="E126" s="35">
        <v>44623</v>
      </c>
      <c r="F126" s="52">
        <v>2612</v>
      </c>
      <c r="G126" s="53">
        <f>Tabla14[[#This Row],[Importe]]-Tabla14[[#This Row],[Pagado]]</f>
        <v>0</v>
      </c>
      <c r="H126" s="37" t="s">
        <v>10</v>
      </c>
    </row>
    <row r="127" spans="1:8" x14ac:dyDescent="0.25">
      <c r="A127" s="31">
        <v>44622</v>
      </c>
      <c r="B127" s="37" t="s">
        <v>7112</v>
      </c>
      <c r="C127" s="51" t="s">
        <v>99</v>
      </c>
      <c r="D127" s="52">
        <v>2322</v>
      </c>
      <c r="E127" s="35">
        <v>44623</v>
      </c>
      <c r="F127" s="52">
        <v>2322</v>
      </c>
      <c r="G127" s="53">
        <f>Tabla14[[#This Row],[Importe]]-Tabla14[[#This Row],[Pagado]]</f>
        <v>0</v>
      </c>
      <c r="H127" s="37" t="s">
        <v>10</v>
      </c>
    </row>
    <row r="128" spans="1:8" x14ac:dyDescent="0.25">
      <c r="A128" s="31">
        <v>44622</v>
      </c>
      <c r="B128" s="37" t="s">
        <v>7113</v>
      </c>
      <c r="C128" s="51" t="s">
        <v>9</v>
      </c>
      <c r="D128" s="52">
        <v>7253.9</v>
      </c>
      <c r="E128" s="35">
        <v>44622</v>
      </c>
      <c r="F128" s="52">
        <v>7253.9</v>
      </c>
      <c r="G128" s="53">
        <f>Tabla14[[#This Row],[Importe]]-Tabla14[[#This Row],[Pagado]]</f>
        <v>0</v>
      </c>
      <c r="H128" s="37" t="s">
        <v>10</v>
      </c>
    </row>
    <row r="129" spans="1:8" ht="31.5" x14ac:dyDescent="0.25">
      <c r="A129" s="31">
        <v>44622</v>
      </c>
      <c r="B129" s="37" t="s">
        <v>7114</v>
      </c>
      <c r="C129" s="51" t="s">
        <v>93</v>
      </c>
      <c r="D129" s="52">
        <v>6733.9</v>
      </c>
      <c r="E129" s="35" t="s">
        <v>7115</v>
      </c>
      <c r="F129" s="52">
        <f>3700+3033.9</f>
        <v>6733.9</v>
      </c>
      <c r="G129" s="53">
        <f>Tabla14[[#This Row],[Importe]]-Tabla14[[#This Row],[Pagado]]</f>
        <v>0</v>
      </c>
      <c r="H129" s="37" t="s">
        <v>10</v>
      </c>
    </row>
    <row r="130" spans="1:8" x14ac:dyDescent="0.25">
      <c r="A130" s="31">
        <v>44622</v>
      </c>
      <c r="B130" s="37" t="s">
        <v>7116</v>
      </c>
      <c r="C130" s="51" t="s">
        <v>109</v>
      </c>
      <c r="D130" s="52">
        <v>4201.8</v>
      </c>
      <c r="E130" s="35">
        <v>44623</v>
      </c>
      <c r="F130" s="52">
        <v>4201.8</v>
      </c>
      <c r="G130" s="53">
        <f>Tabla14[[#This Row],[Importe]]-Tabla14[[#This Row],[Pagado]]</f>
        <v>0</v>
      </c>
      <c r="H130" s="37" t="s">
        <v>10</v>
      </c>
    </row>
    <row r="131" spans="1:8" x14ac:dyDescent="0.25">
      <c r="A131" s="31">
        <v>44622</v>
      </c>
      <c r="B131" s="37" t="s">
        <v>7117</v>
      </c>
      <c r="C131" s="51" t="s">
        <v>484</v>
      </c>
      <c r="D131" s="52">
        <v>4600</v>
      </c>
      <c r="E131" s="35">
        <v>44622</v>
      </c>
      <c r="F131" s="52">
        <v>4600</v>
      </c>
      <c r="G131" s="53">
        <f>Tabla14[[#This Row],[Importe]]-Tabla14[[#This Row],[Pagado]]</f>
        <v>0</v>
      </c>
      <c r="H131" s="37" t="s">
        <v>10</v>
      </c>
    </row>
    <row r="132" spans="1:8" x14ac:dyDescent="0.25">
      <c r="A132" s="31">
        <v>44622</v>
      </c>
      <c r="B132" s="37" t="s">
        <v>7118</v>
      </c>
      <c r="C132" s="51" t="s">
        <v>131</v>
      </c>
      <c r="D132" s="52">
        <v>12667</v>
      </c>
      <c r="E132" s="35">
        <v>44622</v>
      </c>
      <c r="F132" s="52">
        <v>12667</v>
      </c>
      <c r="G132" s="53">
        <f>Tabla14[[#This Row],[Importe]]-Tabla14[[#This Row],[Pagado]]</f>
        <v>0</v>
      </c>
      <c r="H132" s="37" t="s">
        <v>10</v>
      </c>
    </row>
    <row r="133" spans="1:8" x14ac:dyDescent="0.25">
      <c r="A133" s="31">
        <v>44622</v>
      </c>
      <c r="B133" s="37" t="s">
        <v>7119</v>
      </c>
      <c r="C133" s="51" t="s">
        <v>12</v>
      </c>
      <c r="D133" s="52">
        <v>11895.4</v>
      </c>
      <c r="E133" s="35">
        <v>44622</v>
      </c>
      <c r="F133" s="52">
        <v>11895.4</v>
      </c>
      <c r="G133" s="53">
        <f>Tabla14[[#This Row],[Importe]]-Tabla14[[#This Row],[Pagado]]</f>
        <v>0</v>
      </c>
      <c r="H133" s="37" t="s">
        <v>10</v>
      </c>
    </row>
    <row r="134" spans="1:8" x14ac:dyDescent="0.25">
      <c r="A134" s="31">
        <v>44622</v>
      </c>
      <c r="B134" s="37" t="s">
        <v>7120</v>
      </c>
      <c r="C134" s="51" t="s">
        <v>53</v>
      </c>
      <c r="D134" s="52">
        <v>1243</v>
      </c>
      <c r="E134" s="35">
        <v>44622</v>
      </c>
      <c r="F134" s="52">
        <v>1243</v>
      </c>
      <c r="G134" s="53">
        <f>Tabla14[[#This Row],[Importe]]-Tabla14[[#This Row],[Pagado]]</f>
        <v>0</v>
      </c>
      <c r="H134" s="37" t="s">
        <v>10</v>
      </c>
    </row>
    <row r="135" spans="1:8" x14ac:dyDescent="0.25">
      <c r="A135" s="31">
        <v>44622</v>
      </c>
      <c r="B135" s="37" t="s">
        <v>7121</v>
      </c>
      <c r="C135" s="51" t="s">
        <v>83</v>
      </c>
      <c r="D135" s="52">
        <v>9156.7999999999993</v>
      </c>
      <c r="E135" s="35">
        <v>44622</v>
      </c>
      <c r="F135" s="52">
        <v>9156.7999999999993</v>
      </c>
      <c r="G135" s="53">
        <f>Tabla14[[#This Row],[Importe]]-Tabla14[[#This Row],[Pagado]]</f>
        <v>0</v>
      </c>
      <c r="H135" s="37" t="s">
        <v>10</v>
      </c>
    </row>
    <row r="136" spans="1:8" x14ac:dyDescent="0.25">
      <c r="A136" s="31">
        <v>44622</v>
      </c>
      <c r="B136" s="37" t="s">
        <v>7122</v>
      </c>
      <c r="C136" s="51" t="s">
        <v>87</v>
      </c>
      <c r="D136" s="52">
        <v>2087</v>
      </c>
      <c r="E136" s="35">
        <v>44622</v>
      </c>
      <c r="F136" s="52">
        <v>2087</v>
      </c>
      <c r="G136" s="53">
        <f>Tabla14[[#This Row],[Importe]]-Tabla14[[#This Row],[Pagado]]</f>
        <v>0</v>
      </c>
      <c r="H136" s="37" t="s">
        <v>10</v>
      </c>
    </row>
    <row r="137" spans="1:8" x14ac:dyDescent="0.25">
      <c r="A137" s="31">
        <v>44622</v>
      </c>
      <c r="B137" s="37" t="s">
        <v>7123</v>
      </c>
      <c r="C137" s="51" t="s">
        <v>27</v>
      </c>
      <c r="D137" s="52">
        <v>1451.4</v>
      </c>
      <c r="E137" s="35">
        <v>44622</v>
      </c>
      <c r="F137" s="52">
        <v>1451.4</v>
      </c>
      <c r="G137" s="53">
        <f>Tabla14[[#This Row],[Importe]]-Tabla14[[#This Row],[Pagado]]</f>
        <v>0</v>
      </c>
      <c r="H137" s="37" t="s">
        <v>10</v>
      </c>
    </row>
    <row r="138" spans="1:8" x14ac:dyDescent="0.25">
      <c r="A138" s="31">
        <v>44622</v>
      </c>
      <c r="B138" s="37" t="s">
        <v>7124</v>
      </c>
      <c r="C138" s="51" t="s">
        <v>7125</v>
      </c>
      <c r="D138" s="52">
        <v>2455.9</v>
      </c>
      <c r="E138" s="35">
        <v>44622</v>
      </c>
      <c r="F138" s="52">
        <v>2455.9</v>
      </c>
      <c r="G138" s="53">
        <f>Tabla14[[#This Row],[Importe]]-Tabla14[[#This Row],[Pagado]]</f>
        <v>0</v>
      </c>
      <c r="H138" s="37" t="s">
        <v>10</v>
      </c>
    </row>
    <row r="139" spans="1:8" x14ac:dyDescent="0.25">
      <c r="A139" s="31">
        <v>44622</v>
      </c>
      <c r="B139" s="37" t="s">
        <v>7126</v>
      </c>
      <c r="C139" s="51" t="s">
        <v>212</v>
      </c>
      <c r="D139" s="52">
        <v>22106.9</v>
      </c>
      <c r="E139" s="35">
        <v>44625</v>
      </c>
      <c r="F139" s="52">
        <v>22106.9</v>
      </c>
      <c r="G139" s="53">
        <f>Tabla14[[#This Row],[Importe]]-Tabla14[[#This Row],[Pagado]]</f>
        <v>0</v>
      </c>
      <c r="H139" s="37" t="s">
        <v>10</v>
      </c>
    </row>
    <row r="140" spans="1:8" x14ac:dyDescent="0.25">
      <c r="A140" s="31">
        <v>44622</v>
      </c>
      <c r="B140" s="37" t="s">
        <v>7127</v>
      </c>
      <c r="C140" s="51" t="s">
        <v>154</v>
      </c>
      <c r="D140" s="52">
        <v>24516.2</v>
      </c>
      <c r="E140" s="35">
        <v>44631</v>
      </c>
      <c r="F140" s="52">
        <v>24516.2</v>
      </c>
      <c r="G140" s="53">
        <f>Tabla14[[#This Row],[Importe]]-Tabla14[[#This Row],[Pagado]]</f>
        <v>0</v>
      </c>
      <c r="H140" s="37" t="s">
        <v>10</v>
      </c>
    </row>
    <row r="141" spans="1:8" x14ac:dyDescent="0.25">
      <c r="A141" s="31">
        <v>44622</v>
      </c>
      <c r="B141" s="37" t="s">
        <v>7128</v>
      </c>
      <c r="C141" s="51" t="s">
        <v>49</v>
      </c>
      <c r="D141" s="52">
        <v>3066</v>
      </c>
      <c r="E141" s="35">
        <v>44622</v>
      </c>
      <c r="F141" s="52">
        <v>3066</v>
      </c>
      <c r="G141" s="53">
        <f>Tabla14[[#This Row],[Importe]]-Tabla14[[#This Row],[Pagado]]</f>
        <v>0</v>
      </c>
      <c r="H141" s="37" t="s">
        <v>10</v>
      </c>
    </row>
    <row r="142" spans="1:8" x14ac:dyDescent="0.25">
      <c r="A142" s="31">
        <v>44622</v>
      </c>
      <c r="B142" s="37" t="s">
        <v>7129</v>
      </c>
      <c r="C142" s="51" t="s">
        <v>6585</v>
      </c>
      <c r="D142" s="52">
        <v>3575</v>
      </c>
      <c r="E142" s="35">
        <v>44623</v>
      </c>
      <c r="F142" s="52">
        <v>3575</v>
      </c>
      <c r="G142" s="53">
        <f>Tabla14[[#This Row],[Importe]]-Tabla14[[#This Row],[Pagado]]</f>
        <v>0</v>
      </c>
      <c r="H142" s="37" t="s">
        <v>10</v>
      </c>
    </row>
    <row r="143" spans="1:8" x14ac:dyDescent="0.25">
      <c r="A143" s="31">
        <v>44622</v>
      </c>
      <c r="B143" s="37" t="s">
        <v>7130</v>
      </c>
      <c r="C143" s="51" t="s">
        <v>218</v>
      </c>
      <c r="D143" s="52">
        <v>12743.6</v>
      </c>
      <c r="E143" s="35">
        <v>44625</v>
      </c>
      <c r="F143" s="52">
        <v>12743.6</v>
      </c>
      <c r="G143" s="53">
        <f>Tabla14[[#This Row],[Importe]]-Tabla14[[#This Row],[Pagado]]</f>
        <v>0</v>
      </c>
      <c r="H143" s="37" t="s">
        <v>10</v>
      </c>
    </row>
    <row r="144" spans="1:8" x14ac:dyDescent="0.25">
      <c r="A144" s="31">
        <v>44622</v>
      </c>
      <c r="B144" s="37" t="s">
        <v>7131</v>
      </c>
      <c r="C144" s="51" t="s">
        <v>142</v>
      </c>
      <c r="D144" s="52">
        <v>38036.6</v>
      </c>
      <c r="E144" s="35" t="s">
        <v>7024</v>
      </c>
      <c r="F144" s="52">
        <v>38036.6</v>
      </c>
      <c r="G144" s="53">
        <f>Tabla14[[#This Row],[Importe]]-Tabla14[[#This Row],[Pagado]]</f>
        <v>0</v>
      </c>
      <c r="H144" s="37" t="s">
        <v>10</v>
      </c>
    </row>
    <row r="145" spans="1:8" x14ac:dyDescent="0.25">
      <c r="A145" s="31">
        <v>44622</v>
      </c>
      <c r="B145" s="37" t="s">
        <v>7132</v>
      </c>
      <c r="C145" s="51" t="s">
        <v>206</v>
      </c>
      <c r="D145" s="52">
        <v>28144</v>
      </c>
      <c r="E145" s="35">
        <v>44625</v>
      </c>
      <c r="F145" s="52">
        <v>28144</v>
      </c>
      <c r="G145" s="53">
        <f>Tabla14[[#This Row],[Importe]]-Tabla14[[#This Row],[Pagado]]</f>
        <v>0</v>
      </c>
      <c r="H145" s="37" t="s">
        <v>10</v>
      </c>
    </row>
    <row r="146" spans="1:8" x14ac:dyDescent="0.25">
      <c r="A146" s="31">
        <v>44622</v>
      </c>
      <c r="B146" s="37" t="s">
        <v>7133</v>
      </c>
      <c r="C146" s="51" t="s">
        <v>3971</v>
      </c>
      <c r="D146" s="52">
        <v>1172.3</v>
      </c>
      <c r="E146" s="35">
        <v>44622</v>
      </c>
      <c r="F146" s="52">
        <v>1172.3</v>
      </c>
      <c r="G146" s="53">
        <f>Tabla14[[#This Row],[Importe]]-Tabla14[[#This Row],[Pagado]]</f>
        <v>0</v>
      </c>
      <c r="H146" s="37" t="s">
        <v>10</v>
      </c>
    </row>
    <row r="147" spans="1:8" x14ac:dyDescent="0.25">
      <c r="A147" s="31">
        <v>44622</v>
      </c>
      <c r="B147" s="37" t="s">
        <v>7134</v>
      </c>
      <c r="C147" s="51" t="s">
        <v>592</v>
      </c>
      <c r="D147" s="52">
        <v>28695.8</v>
      </c>
      <c r="E147" s="35">
        <v>44623</v>
      </c>
      <c r="F147" s="52">
        <v>28695.8</v>
      </c>
      <c r="G147" s="53">
        <f>Tabla14[[#This Row],[Importe]]-Tabla14[[#This Row],[Pagado]]</f>
        <v>0</v>
      </c>
      <c r="H147" s="37" t="s">
        <v>10</v>
      </c>
    </row>
    <row r="148" spans="1:8" x14ac:dyDescent="0.25">
      <c r="A148" s="31">
        <v>44622</v>
      </c>
      <c r="B148" s="37" t="s">
        <v>7135</v>
      </c>
      <c r="C148" s="51" t="s">
        <v>191</v>
      </c>
      <c r="D148" s="52">
        <v>1702.5</v>
      </c>
      <c r="E148" s="35">
        <v>44622</v>
      </c>
      <c r="F148" s="52">
        <v>1702.5</v>
      </c>
      <c r="G148" s="53">
        <f>Tabla14[[#This Row],[Importe]]-Tabla14[[#This Row],[Pagado]]</f>
        <v>0</v>
      </c>
      <c r="H148" s="37" t="s">
        <v>10</v>
      </c>
    </row>
    <row r="149" spans="1:8" x14ac:dyDescent="0.25">
      <c r="A149" s="31">
        <v>44622</v>
      </c>
      <c r="B149" s="37" t="s">
        <v>7136</v>
      </c>
      <c r="C149" s="51" t="s">
        <v>357</v>
      </c>
      <c r="D149" s="52">
        <v>892</v>
      </c>
      <c r="E149" s="35">
        <v>44622</v>
      </c>
      <c r="F149" s="52">
        <v>892</v>
      </c>
      <c r="G149" s="53">
        <f>Tabla14[[#This Row],[Importe]]-Tabla14[[#This Row],[Pagado]]</f>
        <v>0</v>
      </c>
      <c r="H149" s="37" t="s">
        <v>10</v>
      </c>
    </row>
    <row r="150" spans="1:8" x14ac:dyDescent="0.25">
      <c r="A150" s="31">
        <v>44622</v>
      </c>
      <c r="B150" s="37" t="s">
        <v>7137</v>
      </c>
      <c r="C150" s="51" t="s">
        <v>140</v>
      </c>
      <c r="D150" s="52">
        <v>4354.8</v>
      </c>
      <c r="E150" s="35">
        <v>44622</v>
      </c>
      <c r="F150" s="52">
        <v>4354.8</v>
      </c>
      <c r="G150" s="53">
        <f>Tabla14[[#This Row],[Importe]]-Tabla14[[#This Row],[Pagado]]</f>
        <v>0</v>
      </c>
      <c r="H150" s="37" t="s">
        <v>10</v>
      </c>
    </row>
    <row r="151" spans="1:8" x14ac:dyDescent="0.25">
      <c r="A151" s="31">
        <v>44622</v>
      </c>
      <c r="B151" s="37" t="s">
        <v>7138</v>
      </c>
      <c r="C151" s="51" t="s">
        <v>127</v>
      </c>
      <c r="D151" s="52">
        <v>1468.5</v>
      </c>
      <c r="E151" s="35">
        <v>44622</v>
      </c>
      <c r="F151" s="52">
        <v>1468.5</v>
      </c>
      <c r="G151" s="53">
        <f>Tabla14[[#This Row],[Importe]]-Tabla14[[#This Row],[Pagado]]</f>
        <v>0</v>
      </c>
      <c r="H151" s="37" t="s">
        <v>10</v>
      </c>
    </row>
    <row r="152" spans="1:8" x14ac:dyDescent="0.25">
      <c r="A152" s="31">
        <v>44622</v>
      </c>
      <c r="B152" s="37" t="s">
        <v>7139</v>
      </c>
      <c r="C152" s="51" t="s">
        <v>24</v>
      </c>
      <c r="D152" s="52">
        <v>2127</v>
      </c>
      <c r="E152" s="35">
        <v>44622</v>
      </c>
      <c r="F152" s="52">
        <v>2127</v>
      </c>
      <c r="G152" s="53">
        <f>Tabla14[[#This Row],[Importe]]-Tabla14[[#This Row],[Pagado]]</f>
        <v>0</v>
      </c>
      <c r="H152" s="37" t="s">
        <v>10</v>
      </c>
    </row>
    <row r="153" spans="1:8" x14ac:dyDescent="0.25">
      <c r="A153" s="31">
        <v>44622</v>
      </c>
      <c r="B153" s="37" t="s">
        <v>7140</v>
      </c>
      <c r="C153" s="51" t="s">
        <v>129</v>
      </c>
      <c r="D153" s="52">
        <v>1061.5</v>
      </c>
      <c r="E153" s="35">
        <v>44622</v>
      </c>
      <c r="F153" s="52">
        <v>1061.5</v>
      </c>
      <c r="G153" s="53">
        <f>Tabla14[[#This Row],[Importe]]-Tabla14[[#This Row],[Pagado]]</f>
        <v>0</v>
      </c>
      <c r="H153" s="37" t="s">
        <v>10</v>
      </c>
    </row>
    <row r="154" spans="1:8" x14ac:dyDescent="0.25">
      <c r="A154" s="31">
        <v>44622</v>
      </c>
      <c r="B154" s="37" t="s">
        <v>7141</v>
      </c>
      <c r="C154" s="51" t="s">
        <v>133</v>
      </c>
      <c r="D154" s="52">
        <v>10098</v>
      </c>
      <c r="E154" s="35">
        <v>44623</v>
      </c>
      <c r="F154" s="52">
        <v>10098</v>
      </c>
      <c r="G154" s="53">
        <f>Tabla14[[#This Row],[Importe]]-Tabla14[[#This Row],[Pagado]]</f>
        <v>0</v>
      </c>
      <c r="H154" s="37" t="s">
        <v>10</v>
      </c>
    </row>
    <row r="155" spans="1:8" x14ac:dyDescent="0.25">
      <c r="A155" s="31">
        <v>44622</v>
      </c>
      <c r="B155" s="37" t="s">
        <v>7142</v>
      </c>
      <c r="C155" s="51" t="s">
        <v>33</v>
      </c>
      <c r="D155" s="52">
        <v>13945.1</v>
      </c>
      <c r="E155" s="35">
        <v>44622</v>
      </c>
      <c r="F155" s="52">
        <v>13945.1</v>
      </c>
      <c r="G155" s="53">
        <f>Tabla14[[#This Row],[Importe]]-Tabla14[[#This Row],[Pagado]]</f>
        <v>0</v>
      </c>
      <c r="H155" s="37" t="s">
        <v>10</v>
      </c>
    </row>
    <row r="156" spans="1:8" x14ac:dyDescent="0.25">
      <c r="A156" s="31">
        <v>44622</v>
      </c>
      <c r="B156" s="37" t="s">
        <v>7143</v>
      </c>
      <c r="C156" s="51" t="s">
        <v>587</v>
      </c>
      <c r="D156" s="52">
        <v>5614.56</v>
      </c>
      <c r="E156" s="35">
        <v>44622</v>
      </c>
      <c r="F156" s="52">
        <v>5614.56</v>
      </c>
      <c r="G156" s="53">
        <f>Tabla14[[#This Row],[Importe]]-Tabla14[[#This Row],[Pagado]]</f>
        <v>0</v>
      </c>
      <c r="H156" s="37" t="s">
        <v>10</v>
      </c>
    </row>
    <row r="157" spans="1:8" x14ac:dyDescent="0.25">
      <c r="A157" s="31">
        <v>44622</v>
      </c>
      <c r="B157" s="37" t="s">
        <v>7144</v>
      </c>
      <c r="C157" s="51" t="s">
        <v>133</v>
      </c>
      <c r="D157" s="52">
        <v>2359.8000000000002</v>
      </c>
      <c r="E157" s="35">
        <v>44623</v>
      </c>
      <c r="F157" s="52">
        <v>2359.8000000000002</v>
      </c>
      <c r="G157" s="53">
        <f>Tabla14[[#This Row],[Importe]]-Tabla14[[#This Row],[Pagado]]</f>
        <v>0</v>
      </c>
      <c r="H157" s="37" t="s">
        <v>10</v>
      </c>
    </row>
    <row r="158" spans="1:8" x14ac:dyDescent="0.25">
      <c r="A158" s="31">
        <v>44622</v>
      </c>
      <c r="B158" s="37" t="s">
        <v>7145</v>
      </c>
      <c r="C158" s="51" t="s">
        <v>154</v>
      </c>
      <c r="D158" s="52">
        <v>1849.6</v>
      </c>
      <c r="E158" s="35">
        <v>44631</v>
      </c>
      <c r="F158" s="52">
        <v>1849.6</v>
      </c>
      <c r="G158" s="53">
        <f>Tabla14[[#This Row],[Importe]]-Tabla14[[#This Row],[Pagado]]</f>
        <v>0</v>
      </c>
      <c r="H158" s="37" t="s">
        <v>10</v>
      </c>
    </row>
    <row r="159" spans="1:8" x14ac:dyDescent="0.25">
      <c r="A159" s="31">
        <v>44622</v>
      </c>
      <c r="B159" s="37" t="s">
        <v>7146</v>
      </c>
      <c r="C159" s="51" t="s">
        <v>275</v>
      </c>
      <c r="D159" s="52">
        <v>92885.5</v>
      </c>
      <c r="E159" s="35">
        <v>44631</v>
      </c>
      <c r="F159" s="52">
        <v>92885.5</v>
      </c>
      <c r="G159" s="53">
        <f>Tabla14[[#This Row],[Importe]]-Tabla14[[#This Row],[Pagado]]</f>
        <v>0</v>
      </c>
      <c r="H159" s="37" t="s">
        <v>10</v>
      </c>
    </row>
    <row r="160" spans="1:8" x14ac:dyDescent="0.25">
      <c r="A160" s="31">
        <v>44622</v>
      </c>
      <c r="B160" s="37" t="s">
        <v>7147</v>
      </c>
      <c r="C160" s="51" t="s">
        <v>275</v>
      </c>
      <c r="D160" s="52">
        <v>9120.7999999999993</v>
      </c>
      <c r="E160" s="35">
        <v>44631</v>
      </c>
      <c r="F160" s="52">
        <v>9120.7999999999993</v>
      </c>
      <c r="G160" s="53">
        <f>Tabla14[[#This Row],[Importe]]-Tabla14[[#This Row],[Pagado]]</f>
        <v>0</v>
      </c>
      <c r="H160" s="37" t="s">
        <v>10</v>
      </c>
    </row>
    <row r="161" spans="1:8" x14ac:dyDescent="0.25">
      <c r="A161" s="31">
        <v>44622</v>
      </c>
      <c r="B161" s="37" t="s">
        <v>7148</v>
      </c>
      <c r="C161" s="51" t="s">
        <v>555</v>
      </c>
      <c r="D161" s="52">
        <v>32142.2</v>
      </c>
      <c r="E161" s="35">
        <v>44622</v>
      </c>
      <c r="F161" s="52">
        <v>32142.2</v>
      </c>
      <c r="G161" s="53">
        <f>Tabla14[[#This Row],[Importe]]-Tabla14[[#This Row],[Pagado]]</f>
        <v>0</v>
      </c>
      <c r="H161" s="37" t="s">
        <v>10</v>
      </c>
    </row>
    <row r="162" spans="1:8" x14ac:dyDescent="0.25">
      <c r="A162" s="31">
        <v>44622</v>
      </c>
      <c r="B162" s="37" t="s">
        <v>7149</v>
      </c>
      <c r="C162" s="51" t="s">
        <v>24</v>
      </c>
      <c r="D162" s="52">
        <v>224</v>
      </c>
      <c r="E162" s="35">
        <v>44622</v>
      </c>
      <c r="F162" s="52">
        <v>224</v>
      </c>
      <c r="G162" s="53">
        <f>Tabla14[[#This Row],[Importe]]-Tabla14[[#This Row],[Pagado]]</f>
        <v>0</v>
      </c>
      <c r="H162" s="37" t="s">
        <v>10</v>
      </c>
    </row>
    <row r="163" spans="1:8" x14ac:dyDescent="0.25">
      <c r="A163" s="31">
        <v>44622</v>
      </c>
      <c r="B163" s="37" t="s">
        <v>7150</v>
      </c>
      <c r="C163" s="51" t="s">
        <v>31</v>
      </c>
      <c r="D163" s="52">
        <v>817.2</v>
      </c>
      <c r="E163" s="35">
        <v>44622</v>
      </c>
      <c r="F163" s="52">
        <v>817.2</v>
      </c>
      <c r="G163" s="53">
        <f>Tabla14[[#This Row],[Importe]]-Tabla14[[#This Row],[Pagado]]</f>
        <v>0</v>
      </c>
      <c r="H163" s="37" t="s">
        <v>10</v>
      </c>
    </row>
    <row r="164" spans="1:8" x14ac:dyDescent="0.25">
      <c r="A164" s="31">
        <v>44622</v>
      </c>
      <c r="B164" s="37" t="s">
        <v>7151</v>
      </c>
      <c r="C164" s="51" t="s">
        <v>196</v>
      </c>
      <c r="D164" s="52">
        <v>20212.599999999999</v>
      </c>
      <c r="E164" s="35">
        <v>44624</v>
      </c>
      <c r="F164" s="52">
        <v>20212.599999999999</v>
      </c>
      <c r="G164" s="53">
        <f>Tabla14[[#This Row],[Importe]]-Tabla14[[#This Row],[Pagado]]</f>
        <v>0</v>
      </c>
      <c r="H164" s="37" t="s">
        <v>10</v>
      </c>
    </row>
    <row r="165" spans="1:8" x14ac:dyDescent="0.25">
      <c r="A165" s="31">
        <v>44622</v>
      </c>
      <c r="B165" s="37" t="s">
        <v>7152</v>
      </c>
      <c r="C165" s="51" t="s">
        <v>419</v>
      </c>
      <c r="D165" s="52">
        <v>9223.6</v>
      </c>
      <c r="E165" s="35">
        <v>44622</v>
      </c>
      <c r="F165" s="52">
        <v>9223.6</v>
      </c>
      <c r="G165" s="53">
        <f>Tabla14[[#This Row],[Importe]]-Tabla14[[#This Row],[Pagado]]</f>
        <v>0</v>
      </c>
      <c r="H165" s="37" t="s">
        <v>10</v>
      </c>
    </row>
    <row r="166" spans="1:8" x14ac:dyDescent="0.25">
      <c r="A166" s="31">
        <v>44622</v>
      </c>
      <c r="B166" s="37" t="s">
        <v>7153</v>
      </c>
      <c r="C166" s="51" t="s">
        <v>196</v>
      </c>
      <c r="D166" s="52">
        <v>2787.2</v>
      </c>
      <c r="E166" s="35">
        <v>44624</v>
      </c>
      <c r="F166" s="52">
        <v>2787.2</v>
      </c>
      <c r="G166" s="53">
        <f>Tabla14[[#This Row],[Importe]]-Tabla14[[#This Row],[Pagado]]</f>
        <v>0</v>
      </c>
      <c r="H166" s="37" t="s">
        <v>10</v>
      </c>
    </row>
    <row r="167" spans="1:8" x14ac:dyDescent="0.25">
      <c r="A167" s="31">
        <v>44622</v>
      </c>
      <c r="B167" s="37" t="s">
        <v>7154</v>
      </c>
      <c r="C167" s="51" t="s">
        <v>365</v>
      </c>
      <c r="D167" s="52">
        <v>317.3</v>
      </c>
      <c r="E167" s="35">
        <v>44622</v>
      </c>
      <c r="F167" s="52">
        <v>317.3</v>
      </c>
      <c r="G167" s="53">
        <f>Tabla14[[#This Row],[Importe]]-Tabla14[[#This Row],[Pagado]]</f>
        <v>0</v>
      </c>
      <c r="H167" s="37" t="s">
        <v>10</v>
      </c>
    </row>
    <row r="168" spans="1:8" x14ac:dyDescent="0.25">
      <c r="A168" s="31">
        <v>44622</v>
      </c>
      <c r="B168" s="37" t="s">
        <v>7155</v>
      </c>
      <c r="C168" s="51" t="s">
        <v>698</v>
      </c>
      <c r="D168" s="52">
        <v>4256.3999999999996</v>
      </c>
      <c r="E168" s="35">
        <v>44622</v>
      </c>
      <c r="F168" s="52">
        <v>4256.3999999999996</v>
      </c>
      <c r="G168" s="53">
        <f>Tabla14[[#This Row],[Importe]]-Tabla14[[#This Row],[Pagado]]</f>
        <v>0</v>
      </c>
      <c r="H168" s="37" t="s">
        <v>10</v>
      </c>
    </row>
    <row r="169" spans="1:8" x14ac:dyDescent="0.25">
      <c r="A169" s="31">
        <v>44622</v>
      </c>
      <c r="B169" s="37" t="s">
        <v>7156</v>
      </c>
      <c r="C169" s="51" t="s">
        <v>31</v>
      </c>
      <c r="D169" s="52">
        <v>10053.200000000001</v>
      </c>
      <c r="E169" s="35">
        <v>44622</v>
      </c>
      <c r="F169" s="52">
        <v>10053.200000000001</v>
      </c>
      <c r="G169" s="53">
        <f>Tabla14[[#This Row],[Importe]]-Tabla14[[#This Row],[Pagado]]</f>
        <v>0</v>
      </c>
      <c r="H169" s="37" t="s">
        <v>10</v>
      </c>
    </row>
    <row r="170" spans="1:8" x14ac:dyDescent="0.25">
      <c r="A170" s="31">
        <v>44622</v>
      </c>
      <c r="B170" s="37" t="s">
        <v>7157</v>
      </c>
      <c r="C170" s="51" t="s">
        <v>31</v>
      </c>
      <c r="D170" s="52">
        <v>714</v>
      </c>
      <c r="E170" s="35">
        <v>44622</v>
      </c>
      <c r="F170" s="52">
        <v>714</v>
      </c>
      <c r="G170" s="53">
        <f>Tabla14[[#This Row],[Importe]]-Tabla14[[#This Row],[Pagado]]</f>
        <v>0</v>
      </c>
      <c r="H170" s="37" t="s">
        <v>10</v>
      </c>
    </row>
    <row r="171" spans="1:8" x14ac:dyDescent="0.25">
      <c r="A171" s="31">
        <v>44622</v>
      </c>
      <c r="B171" s="37" t="s">
        <v>7158</v>
      </c>
      <c r="C171" s="51" t="s">
        <v>284</v>
      </c>
      <c r="D171" s="52">
        <v>6631.2</v>
      </c>
      <c r="E171" s="35">
        <v>44623</v>
      </c>
      <c r="F171" s="52">
        <v>6631.2</v>
      </c>
      <c r="G171" s="53">
        <f>Tabla14[[#This Row],[Importe]]-Tabla14[[#This Row],[Pagado]]</f>
        <v>0</v>
      </c>
      <c r="H171" s="37" t="s">
        <v>10</v>
      </c>
    </row>
    <row r="172" spans="1:8" x14ac:dyDescent="0.25">
      <c r="A172" s="31">
        <v>44622</v>
      </c>
      <c r="B172" s="37" t="s">
        <v>7159</v>
      </c>
      <c r="C172" s="51" t="s">
        <v>200</v>
      </c>
      <c r="D172" s="52">
        <v>610.20000000000005</v>
      </c>
      <c r="E172" s="35">
        <v>44623</v>
      </c>
      <c r="F172" s="52">
        <v>610.20000000000005</v>
      </c>
      <c r="G172" s="53">
        <f>Tabla14[[#This Row],[Importe]]-Tabla14[[#This Row],[Pagado]]</f>
        <v>0</v>
      </c>
      <c r="H172" s="37" t="s">
        <v>10</v>
      </c>
    </row>
    <row r="173" spans="1:8" x14ac:dyDescent="0.25">
      <c r="A173" s="31">
        <v>44622</v>
      </c>
      <c r="B173" s="37" t="s">
        <v>7160</v>
      </c>
      <c r="C173" s="51" t="s">
        <v>282</v>
      </c>
      <c r="D173" s="52">
        <v>2305.8000000000002</v>
      </c>
      <c r="E173" s="35">
        <v>44623</v>
      </c>
      <c r="F173" s="52">
        <v>2305.8000000000002</v>
      </c>
      <c r="G173" s="53">
        <f>Tabla14[[#This Row],[Importe]]-Tabla14[[#This Row],[Pagado]]</f>
        <v>0</v>
      </c>
      <c r="H173" s="37" t="s">
        <v>10</v>
      </c>
    </row>
    <row r="174" spans="1:8" x14ac:dyDescent="0.25">
      <c r="A174" s="31">
        <v>44622</v>
      </c>
      <c r="B174" s="37" t="s">
        <v>7161</v>
      </c>
      <c r="C174" s="51" t="s">
        <v>5345</v>
      </c>
      <c r="D174" s="52">
        <v>1593</v>
      </c>
      <c r="E174" s="35">
        <v>44623</v>
      </c>
      <c r="F174" s="52">
        <v>1593</v>
      </c>
      <c r="G174" s="53">
        <f>Tabla14[[#This Row],[Importe]]-Tabla14[[#This Row],[Pagado]]</f>
        <v>0</v>
      </c>
      <c r="H174" s="37" t="s">
        <v>10</v>
      </c>
    </row>
    <row r="175" spans="1:8" x14ac:dyDescent="0.25">
      <c r="A175" s="31">
        <v>44622</v>
      </c>
      <c r="B175" s="37" t="s">
        <v>7162</v>
      </c>
      <c r="C175" s="51" t="s">
        <v>280</v>
      </c>
      <c r="D175" s="52">
        <v>966.6</v>
      </c>
      <c r="E175" s="35">
        <v>44623</v>
      </c>
      <c r="F175" s="52">
        <v>966.6</v>
      </c>
      <c r="G175" s="53">
        <f>Tabla14[[#This Row],[Importe]]-Tabla14[[#This Row],[Pagado]]</f>
        <v>0</v>
      </c>
      <c r="H175" s="37" t="s">
        <v>10</v>
      </c>
    </row>
    <row r="176" spans="1:8" x14ac:dyDescent="0.25">
      <c r="A176" s="31">
        <v>44622</v>
      </c>
      <c r="B176" s="37" t="s">
        <v>7163</v>
      </c>
      <c r="C176" s="51" t="s">
        <v>263</v>
      </c>
      <c r="D176" s="52">
        <v>12980.4</v>
      </c>
      <c r="E176" s="35">
        <v>44629</v>
      </c>
      <c r="F176" s="52">
        <v>12980.4</v>
      </c>
      <c r="G176" s="53">
        <f>Tabla14[[#This Row],[Importe]]-Tabla14[[#This Row],[Pagado]]</f>
        <v>0</v>
      </c>
      <c r="H176" s="37" t="s">
        <v>10</v>
      </c>
    </row>
    <row r="177" spans="1:8" x14ac:dyDescent="0.25">
      <c r="A177" s="31">
        <v>44622</v>
      </c>
      <c r="B177" s="37" t="s">
        <v>7164</v>
      </c>
      <c r="C177" s="51" t="s">
        <v>31</v>
      </c>
      <c r="D177" s="52">
        <v>3969</v>
      </c>
      <c r="E177" s="35">
        <v>44622</v>
      </c>
      <c r="F177" s="52">
        <v>3969</v>
      </c>
      <c r="G177" s="53">
        <f>Tabla14[[#This Row],[Importe]]-Tabla14[[#This Row],[Pagado]]</f>
        <v>0</v>
      </c>
      <c r="H177" s="37" t="s">
        <v>10</v>
      </c>
    </row>
    <row r="178" spans="1:8" x14ac:dyDescent="0.25">
      <c r="A178" s="31">
        <v>44622</v>
      </c>
      <c r="B178" s="37" t="s">
        <v>7165</v>
      </c>
      <c r="C178" s="51" t="s">
        <v>435</v>
      </c>
      <c r="D178" s="52">
        <v>1313.2</v>
      </c>
      <c r="E178" s="35">
        <v>44622</v>
      </c>
      <c r="F178" s="52">
        <v>1313.2</v>
      </c>
      <c r="G178" s="53">
        <f>Tabla14[[#This Row],[Importe]]-Tabla14[[#This Row],[Pagado]]</f>
        <v>0</v>
      </c>
      <c r="H178" s="37" t="s">
        <v>10</v>
      </c>
    </row>
    <row r="179" spans="1:8" x14ac:dyDescent="0.25">
      <c r="A179" s="31">
        <v>44622</v>
      </c>
      <c r="B179" s="37" t="s">
        <v>7166</v>
      </c>
      <c r="C179" s="51" t="s">
        <v>7167</v>
      </c>
      <c r="D179" s="52">
        <v>1720.4</v>
      </c>
      <c r="E179" s="35">
        <v>44622</v>
      </c>
      <c r="F179" s="52">
        <v>1720.4</v>
      </c>
      <c r="G179" s="53">
        <f>Tabla14[[#This Row],[Importe]]-Tabla14[[#This Row],[Pagado]]</f>
        <v>0</v>
      </c>
      <c r="H179" s="37" t="s">
        <v>10</v>
      </c>
    </row>
    <row r="180" spans="1:8" x14ac:dyDescent="0.25">
      <c r="A180" s="31">
        <v>44622</v>
      </c>
      <c r="B180" s="37" t="s">
        <v>7168</v>
      </c>
      <c r="C180" s="51" t="s">
        <v>31</v>
      </c>
      <c r="D180" s="52">
        <v>2865.9</v>
      </c>
      <c r="E180" s="35">
        <v>44622</v>
      </c>
      <c r="F180" s="52">
        <v>2865.9</v>
      </c>
      <c r="G180" s="53">
        <f>Tabla14[[#This Row],[Importe]]-Tabla14[[#This Row],[Pagado]]</f>
        <v>0</v>
      </c>
      <c r="H180" s="37" t="s">
        <v>10</v>
      </c>
    </row>
    <row r="181" spans="1:8" x14ac:dyDescent="0.25">
      <c r="A181" s="31">
        <v>44622</v>
      </c>
      <c r="B181" s="37" t="s">
        <v>7169</v>
      </c>
      <c r="C181" s="51" t="s">
        <v>196</v>
      </c>
      <c r="D181" s="52">
        <v>76427.399999999994</v>
      </c>
      <c r="E181" s="35">
        <v>44624</v>
      </c>
      <c r="F181" s="52">
        <v>76427.399999999994</v>
      </c>
      <c r="G181" s="53">
        <f>Tabla14[[#This Row],[Importe]]-Tabla14[[#This Row],[Pagado]]</f>
        <v>0</v>
      </c>
      <c r="H181" s="37" t="s">
        <v>10</v>
      </c>
    </row>
    <row r="182" spans="1:8" x14ac:dyDescent="0.25">
      <c r="A182" s="31">
        <v>44622</v>
      </c>
      <c r="B182" s="37" t="s">
        <v>7170</v>
      </c>
      <c r="C182" s="51" t="s">
        <v>196</v>
      </c>
      <c r="D182" s="52">
        <v>21897</v>
      </c>
      <c r="E182" s="35">
        <v>44624</v>
      </c>
      <c r="F182" s="52">
        <v>21897</v>
      </c>
      <c r="G182" s="53">
        <f>Tabla14[[#This Row],[Importe]]-Tabla14[[#This Row],[Pagado]]</f>
        <v>0</v>
      </c>
      <c r="H182" s="37" t="s">
        <v>10</v>
      </c>
    </row>
    <row r="183" spans="1:8" x14ac:dyDescent="0.25">
      <c r="A183" s="31">
        <v>44622</v>
      </c>
      <c r="B183" s="37" t="s">
        <v>7171</v>
      </c>
      <c r="C183" s="51" t="s">
        <v>31</v>
      </c>
      <c r="D183" s="52">
        <v>832.2</v>
      </c>
      <c r="E183" s="35">
        <v>44622</v>
      </c>
      <c r="F183" s="52">
        <v>832.2</v>
      </c>
      <c r="G183" s="53">
        <f>Tabla14[[#This Row],[Importe]]-Tabla14[[#This Row],[Pagado]]</f>
        <v>0</v>
      </c>
      <c r="H183" s="37" t="s">
        <v>10</v>
      </c>
    </row>
    <row r="184" spans="1:8" x14ac:dyDescent="0.25">
      <c r="A184" s="31">
        <v>44622</v>
      </c>
      <c r="B184" s="37" t="s">
        <v>7172</v>
      </c>
      <c r="C184" s="51" t="s">
        <v>31</v>
      </c>
      <c r="D184" s="52">
        <v>416</v>
      </c>
      <c r="E184" s="35">
        <v>44622</v>
      </c>
      <c r="F184" s="52">
        <v>416</v>
      </c>
      <c r="G184" s="53">
        <f>Tabla14[[#This Row],[Importe]]-Tabla14[[#This Row],[Pagado]]</f>
        <v>0</v>
      </c>
      <c r="H184" s="37" t="s">
        <v>10</v>
      </c>
    </row>
    <row r="185" spans="1:8" x14ac:dyDescent="0.25">
      <c r="A185" s="31">
        <v>44622</v>
      </c>
      <c r="B185" s="37" t="s">
        <v>7173</v>
      </c>
      <c r="C185" s="51" t="s">
        <v>804</v>
      </c>
      <c r="D185" s="52">
        <v>10140</v>
      </c>
      <c r="E185" s="35">
        <v>44622</v>
      </c>
      <c r="F185" s="52">
        <v>10140</v>
      </c>
      <c r="G185" s="53">
        <f>Tabla14[[#This Row],[Importe]]-Tabla14[[#This Row],[Pagado]]</f>
        <v>0</v>
      </c>
      <c r="H185" s="37" t="s">
        <v>10</v>
      </c>
    </row>
    <row r="186" spans="1:8" x14ac:dyDescent="0.25">
      <c r="A186" s="31">
        <v>44622</v>
      </c>
      <c r="B186" s="37" t="s">
        <v>7174</v>
      </c>
      <c r="C186" s="51" t="s">
        <v>31</v>
      </c>
      <c r="D186" s="52">
        <v>128</v>
      </c>
      <c r="E186" s="35">
        <v>44622</v>
      </c>
      <c r="F186" s="52">
        <v>128</v>
      </c>
      <c r="G186" s="53">
        <f>Tabla14[[#This Row],[Importe]]-Tabla14[[#This Row],[Pagado]]</f>
        <v>0</v>
      </c>
      <c r="H186" s="37" t="s">
        <v>10</v>
      </c>
    </row>
    <row r="187" spans="1:8" x14ac:dyDescent="0.25">
      <c r="A187" s="31">
        <v>44622</v>
      </c>
      <c r="B187" s="37" t="s">
        <v>7175</v>
      </c>
      <c r="C187" s="51" t="s">
        <v>450</v>
      </c>
      <c r="D187" s="52">
        <v>2100</v>
      </c>
      <c r="E187" s="35">
        <v>44622</v>
      </c>
      <c r="F187" s="52">
        <v>2100</v>
      </c>
      <c r="G187" s="53">
        <f>Tabla14[[#This Row],[Importe]]-Tabla14[[#This Row],[Pagado]]</f>
        <v>0</v>
      </c>
      <c r="H187" s="37" t="s">
        <v>10</v>
      </c>
    </row>
    <row r="188" spans="1:8" x14ac:dyDescent="0.25">
      <c r="A188" s="31">
        <v>44622</v>
      </c>
      <c r="B188" s="37" t="s">
        <v>7176</v>
      </c>
      <c r="C188" s="51" t="s">
        <v>31</v>
      </c>
      <c r="D188" s="52">
        <v>3910.4</v>
      </c>
      <c r="E188" s="35">
        <v>44622</v>
      </c>
      <c r="F188" s="52">
        <v>3910.4</v>
      </c>
      <c r="G188" s="53">
        <f>Tabla14[[#This Row],[Importe]]-Tabla14[[#This Row],[Pagado]]</f>
        <v>0</v>
      </c>
      <c r="H188" s="37" t="s">
        <v>10</v>
      </c>
    </row>
    <row r="189" spans="1:8" x14ac:dyDescent="0.25">
      <c r="A189" s="31">
        <v>44622</v>
      </c>
      <c r="B189" s="37" t="s">
        <v>7177</v>
      </c>
      <c r="C189" s="51" t="s">
        <v>291</v>
      </c>
      <c r="D189" s="52">
        <v>724.5</v>
      </c>
      <c r="E189" s="35">
        <v>44623</v>
      </c>
      <c r="F189" s="52">
        <v>724.5</v>
      </c>
      <c r="G189" s="53">
        <f>Tabla14[[#This Row],[Importe]]-Tabla14[[#This Row],[Pagado]]</f>
        <v>0</v>
      </c>
      <c r="H189" s="37" t="s">
        <v>10</v>
      </c>
    </row>
    <row r="190" spans="1:8" x14ac:dyDescent="0.25">
      <c r="A190" s="31">
        <v>44622</v>
      </c>
      <c r="B190" s="37" t="s">
        <v>7178</v>
      </c>
      <c r="C190" s="51" t="s">
        <v>7179</v>
      </c>
      <c r="D190" s="52">
        <v>0</v>
      </c>
      <c r="E190" s="39" t="s">
        <v>189</v>
      </c>
      <c r="F190" s="52">
        <v>0</v>
      </c>
      <c r="G190" s="53">
        <f>Tabla14[[#This Row],[Importe]]-Tabla14[[#This Row],[Pagado]]</f>
        <v>0</v>
      </c>
      <c r="H190" s="54" t="s">
        <v>7180</v>
      </c>
    </row>
    <row r="191" spans="1:8" x14ac:dyDescent="0.25">
      <c r="A191" s="31">
        <v>44622</v>
      </c>
      <c r="B191" s="37" t="s">
        <v>7181</v>
      </c>
      <c r="C191" s="51" t="s">
        <v>291</v>
      </c>
      <c r="D191" s="52">
        <v>3646.8</v>
      </c>
      <c r="E191" s="35">
        <v>44623</v>
      </c>
      <c r="F191" s="52">
        <v>3646.8</v>
      </c>
      <c r="G191" s="53">
        <f>Tabla14[[#This Row],[Importe]]-Tabla14[[#This Row],[Pagado]]</f>
        <v>0</v>
      </c>
      <c r="H191" s="37" t="s">
        <v>10</v>
      </c>
    </row>
    <row r="192" spans="1:8" x14ac:dyDescent="0.25">
      <c r="A192" s="31">
        <v>44622</v>
      </c>
      <c r="B192" s="37" t="s">
        <v>7182</v>
      </c>
      <c r="C192" s="51" t="s">
        <v>31</v>
      </c>
      <c r="D192" s="52">
        <v>198</v>
      </c>
      <c r="E192" s="35">
        <v>44622</v>
      </c>
      <c r="F192" s="52">
        <v>198</v>
      </c>
      <c r="G192" s="53">
        <f>Tabla14[[#This Row],[Importe]]-Tabla14[[#This Row],[Pagado]]</f>
        <v>0</v>
      </c>
      <c r="H192" s="37" t="s">
        <v>10</v>
      </c>
    </row>
    <row r="193" spans="1:8" x14ac:dyDescent="0.25">
      <c r="A193" s="31">
        <v>44622</v>
      </c>
      <c r="B193" s="37" t="s">
        <v>7183</v>
      </c>
      <c r="C193" s="51" t="s">
        <v>53</v>
      </c>
      <c r="D193" s="52">
        <v>1369.5</v>
      </c>
      <c r="E193" s="35">
        <v>44622</v>
      </c>
      <c r="F193" s="52">
        <v>1369.5</v>
      </c>
      <c r="G193" s="53">
        <f>Tabla14[[#This Row],[Importe]]-Tabla14[[#This Row],[Pagado]]</f>
        <v>0</v>
      </c>
      <c r="H193" s="37" t="s">
        <v>10</v>
      </c>
    </row>
    <row r="194" spans="1:8" x14ac:dyDescent="0.25">
      <c r="A194" s="31">
        <v>44622</v>
      </c>
      <c r="B194" s="37" t="s">
        <v>7184</v>
      </c>
      <c r="C194" s="51" t="s">
        <v>610</v>
      </c>
      <c r="D194" s="52">
        <v>20059.2</v>
      </c>
      <c r="E194" s="35">
        <v>44622</v>
      </c>
      <c r="F194" s="52">
        <v>20059.2</v>
      </c>
      <c r="G194" s="53">
        <f>Tabla14[[#This Row],[Importe]]-Tabla14[[#This Row],[Pagado]]</f>
        <v>0</v>
      </c>
      <c r="H194" s="37" t="s">
        <v>10</v>
      </c>
    </row>
    <row r="195" spans="1:8" x14ac:dyDescent="0.25">
      <c r="A195" s="31">
        <v>44622</v>
      </c>
      <c r="B195" s="37" t="s">
        <v>7185</v>
      </c>
      <c r="C195" s="51" t="s">
        <v>3900</v>
      </c>
      <c r="D195" s="52">
        <v>1252.8</v>
      </c>
      <c r="E195" s="35">
        <v>44622</v>
      </c>
      <c r="F195" s="52">
        <v>1252.8</v>
      </c>
      <c r="G195" s="53">
        <f>Tabla14[[#This Row],[Importe]]-Tabla14[[#This Row],[Pagado]]</f>
        <v>0</v>
      </c>
      <c r="H195" s="37" t="s">
        <v>10</v>
      </c>
    </row>
    <row r="196" spans="1:8" x14ac:dyDescent="0.25">
      <c r="A196" s="31">
        <v>44622</v>
      </c>
      <c r="B196" s="37" t="s">
        <v>7186</v>
      </c>
      <c r="C196" s="51" t="s">
        <v>31</v>
      </c>
      <c r="D196" s="52">
        <v>185.6</v>
      </c>
      <c r="E196" s="35">
        <v>44644</v>
      </c>
      <c r="F196" s="52">
        <v>185.6</v>
      </c>
      <c r="G196" s="53">
        <f>Tabla14[[#This Row],[Importe]]-Tabla14[[#This Row],[Pagado]]</f>
        <v>0</v>
      </c>
      <c r="H196" s="37" t="s">
        <v>10</v>
      </c>
    </row>
    <row r="197" spans="1:8" x14ac:dyDescent="0.25">
      <c r="A197" s="31">
        <v>44623</v>
      </c>
      <c r="B197" s="37" t="s">
        <v>7187</v>
      </c>
      <c r="C197" s="51" t="s">
        <v>887</v>
      </c>
      <c r="D197" s="52">
        <v>12595.3</v>
      </c>
      <c r="E197" s="35">
        <v>44624</v>
      </c>
      <c r="F197" s="52">
        <v>12595.3</v>
      </c>
      <c r="G197" s="53">
        <f>Tabla14[[#This Row],[Importe]]-Tabla14[[#This Row],[Pagado]]</f>
        <v>0</v>
      </c>
      <c r="H197" s="37" t="s">
        <v>10</v>
      </c>
    </row>
    <row r="198" spans="1:8" x14ac:dyDescent="0.25">
      <c r="A198" s="31">
        <v>44623</v>
      </c>
      <c r="B198" s="37" t="s">
        <v>7188</v>
      </c>
      <c r="C198" s="51" t="s">
        <v>481</v>
      </c>
      <c r="D198" s="52">
        <v>440</v>
      </c>
      <c r="E198" s="35">
        <v>44623</v>
      </c>
      <c r="F198" s="52">
        <v>440</v>
      </c>
      <c r="G198" s="53">
        <f>Tabla14[[#This Row],[Importe]]-Tabla14[[#This Row],[Pagado]]</f>
        <v>0</v>
      </c>
      <c r="H198" s="37" t="s">
        <v>10</v>
      </c>
    </row>
    <row r="199" spans="1:8" ht="31.5" x14ac:dyDescent="0.25">
      <c r="A199" s="31">
        <v>44623</v>
      </c>
      <c r="B199" s="37" t="s">
        <v>7189</v>
      </c>
      <c r="C199" s="51" t="s">
        <v>475</v>
      </c>
      <c r="D199" s="52">
        <v>69455.100000000006</v>
      </c>
      <c r="E199" s="35" t="s">
        <v>7190</v>
      </c>
      <c r="F199" s="52">
        <f>62500+6955.1</f>
        <v>69455.100000000006</v>
      </c>
      <c r="G199" s="53">
        <f>Tabla14[[#This Row],[Importe]]-Tabla14[[#This Row],[Pagado]]</f>
        <v>0</v>
      </c>
      <c r="H199" s="37" t="s">
        <v>10</v>
      </c>
    </row>
    <row r="200" spans="1:8" x14ac:dyDescent="0.25">
      <c r="A200" s="31">
        <v>44623</v>
      </c>
      <c r="B200" s="37" t="s">
        <v>7191</v>
      </c>
      <c r="C200" s="51" t="s">
        <v>56</v>
      </c>
      <c r="D200" s="52">
        <v>6207.3</v>
      </c>
      <c r="E200" s="35">
        <v>44623</v>
      </c>
      <c r="F200" s="52">
        <v>6207.3</v>
      </c>
      <c r="G200" s="53">
        <f>Tabla14[[#This Row],[Importe]]-Tabla14[[#This Row],[Pagado]]</f>
        <v>0</v>
      </c>
      <c r="H200" s="37" t="s">
        <v>10</v>
      </c>
    </row>
    <row r="201" spans="1:8" x14ac:dyDescent="0.25">
      <c r="A201" s="31">
        <v>44623</v>
      </c>
      <c r="B201" s="37" t="s">
        <v>7192</v>
      </c>
      <c r="C201" s="51" t="s">
        <v>75</v>
      </c>
      <c r="D201" s="52">
        <v>3542.4</v>
      </c>
      <c r="E201" s="35">
        <v>44623</v>
      </c>
      <c r="F201" s="52">
        <v>3542.4</v>
      </c>
      <c r="G201" s="53">
        <f>Tabla14[[#This Row],[Importe]]-Tabla14[[#This Row],[Pagado]]</f>
        <v>0</v>
      </c>
      <c r="H201" s="37" t="s">
        <v>10</v>
      </c>
    </row>
    <row r="202" spans="1:8" x14ac:dyDescent="0.25">
      <c r="A202" s="31">
        <v>44623</v>
      </c>
      <c r="B202" s="37" t="s">
        <v>7193</v>
      </c>
      <c r="C202" s="51" t="s">
        <v>12</v>
      </c>
      <c r="D202" s="52">
        <v>36353.449999999997</v>
      </c>
      <c r="E202" s="35">
        <v>44624</v>
      </c>
      <c r="F202" s="52">
        <v>36353.449999999997</v>
      </c>
      <c r="G202" s="53">
        <f>Tabla14[[#This Row],[Importe]]-Tabla14[[#This Row],[Pagado]]</f>
        <v>0</v>
      </c>
      <c r="H202" s="37" t="s">
        <v>10</v>
      </c>
    </row>
    <row r="203" spans="1:8" x14ac:dyDescent="0.25">
      <c r="A203" s="31">
        <v>44623</v>
      </c>
      <c r="B203" s="37" t="s">
        <v>7194</v>
      </c>
      <c r="C203" s="51" t="s">
        <v>618</v>
      </c>
      <c r="D203" s="52">
        <v>9773.2000000000007</v>
      </c>
      <c r="E203" s="35">
        <v>44623</v>
      </c>
      <c r="F203" s="52">
        <v>9773.2000000000007</v>
      </c>
      <c r="G203" s="53">
        <f>Tabla14[[#This Row],[Importe]]-Tabla14[[#This Row],[Pagado]]</f>
        <v>0</v>
      </c>
      <c r="H203" s="37" t="s">
        <v>10</v>
      </c>
    </row>
    <row r="204" spans="1:8" x14ac:dyDescent="0.25">
      <c r="A204" s="31">
        <v>44623</v>
      </c>
      <c r="B204" s="37" t="s">
        <v>7195</v>
      </c>
      <c r="C204" s="51" t="s">
        <v>473</v>
      </c>
      <c r="D204" s="52">
        <v>10047.799999999999</v>
      </c>
      <c r="E204" s="35">
        <v>44623</v>
      </c>
      <c r="F204" s="52">
        <v>10047.799999999999</v>
      </c>
      <c r="G204" s="53">
        <f>Tabla14[[#This Row],[Importe]]-Tabla14[[#This Row],[Pagado]]</f>
        <v>0</v>
      </c>
      <c r="H204" s="37" t="s">
        <v>10</v>
      </c>
    </row>
    <row r="205" spans="1:8" x14ac:dyDescent="0.25">
      <c r="A205" s="31">
        <v>44623</v>
      </c>
      <c r="B205" s="37" t="s">
        <v>7196</v>
      </c>
      <c r="C205" s="51" t="s">
        <v>9</v>
      </c>
      <c r="D205" s="52">
        <v>3423.5</v>
      </c>
      <c r="E205" s="35">
        <v>44623</v>
      </c>
      <c r="F205" s="52">
        <v>3423.5</v>
      </c>
      <c r="G205" s="53">
        <f>Tabla14[[#This Row],[Importe]]-Tabla14[[#This Row],[Pagado]]</f>
        <v>0</v>
      </c>
      <c r="H205" s="37" t="s">
        <v>10</v>
      </c>
    </row>
    <row r="206" spans="1:8" x14ac:dyDescent="0.25">
      <c r="A206" s="31">
        <v>44623</v>
      </c>
      <c r="B206" s="37" t="s">
        <v>7197</v>
      </c>
      <c r="C206" s="51" t="s">
        <v>175</v>
      </c>
      <c r="D206" s="52">
        <v>17144.2</v>
      </c>
      <c r="E206" s="35">
        <v>44623</v>
      </c>
      <c r="F206" s="52">
        <v>17144.2</v>
      </c>
      <c r="G206" s="53">
        <f>Tabla14[[#This Row],[Importe]]-Tabla14[[#This Row],[Pagado]]</f>
        <v>0</v>
      </c>
      <c r="H206" s="37" t="s">
        <v>10</v>
      </c>
    </row>
    <row r="207" spans="1:8" x14ac:dyDescent="0.25">
      <c r="A207" s="31">
        <v>44623</v>
      </c>
      <c r="B207" s="37" t="s">
        <v>7198</v>
      </c>
      <c r="C207" s="51" t="s">
        <v>9</v>
      </c>
      <c r="D207" s="52">
        <v>1840</v>
      </c>
      <c r="E207" s="35">
        <v>44623</v>
      </c>
      <c r="F207" s="52">
        <v>1840</v>
      </c>
      <c r="G207" s="53">
        <f>Tabla14[[#This Row],[Importe]]-Tabla14[[#This Row],[Pagado]]</f>
        <v>0</v>
      </c>
      <c r="H207" s="37" t="s">
        <v>10</v>
      </c>
    </row>
    <row r="208" spans="1:8" x14ac:dyDescent="0.25">
      <c r="A208" s="31">
        <v>44623</v>
      </c>
      <c r="B208" s="37" t="s">
        <v>7199</v>
      </c>
      <c r="C208" s="51" t="s">
        <v>181</v>
      </c>
      <c r="D208" s="52">
        <v>11862.4</v>
      </c>
      <c r="E208" s="35">
        <v>44623</v>
      </c>
      <c r="F208" s="52">
        <v>11862.4</v>
      </c>
      <c r="G208" s="53">
        <f>Tabla14[[#This Row],[Importe]]-Tabla14[[#This Row],[Pagado]]</f>
        <v>0</v>
      </c>
      <c r="H208" s="37" t="s">
        <v>10</v>
      </c>
    </row>
    <row r="209" spans="1:8" x14ac:dyDescent="0.25">
      <c r="A209" s="31">
        <v>44623</v>
      </c>
      <c r="B209" s="37" t="s">
        <v>7200</v>
      </c>
      <c r="C209" s="51" t="s">
        <v>312</v>
      </c>
      <c r="D209" s="52">
        <v>979</v>
      </c>
      <c r="E209" s="35">
        <v>44623</v>
      </c>
      <c r="F209" s="52">
        <v>979</v>
      </c>
      <c r="G209" s="53">
        <f>Tabla14[[#This Row],[Importe]]-Tabla14[[#This Row],[Pagado]]</f>
        <v>0</v>
      </c>
      <c r="H209" s="37" t="s">
        <v>10</v>
      </c>
    </row>
    <row r="210" spans="1:8" x14ac:dyDescent="0.25">
      <c r="A210" s="31">
        <v>44623</v>
      </c>
      <c r="B210" s="37" t="s">
        <v>7201</v>
      </c>
      <c r="C210" s="51" t="s">
        <v>12</v>
      </c>
      <c r="D210" s="52">
        <v>3382.3</v>
      </c>
      <c r="E210" s="35">
        <v>44624</v>
      </c>
      <c r="F210" s="52">
        <v>3382.3</v>
      </c>
      <c r="G210" s="53">
        <f>Tabla14[[#This Row],[Importe]]-Tabla14[[#This Row],[Pagado]]</f>
        <v>0</v>
      </c>
      <c r="H210" s="37" t="s">
        <v>10</v>
      </c>
    </row>
    <row r="211" spans="1:8" x14ac:dyDescent="0.25">
      <c r="A211" s="31">
        <v>44623</v>
      </c>
      <c r="B211" s="37" t="s">
        <v>7202</v>
      </c>
      <c r="C211" s="51" t="s">
        <v>426</v>
      </c>
      <c r="D211" s="52">
        <v>2310</v>
      </c>
      <c r="E211" s="35">
        <v>44623</v>
      </c>
      <c r="F211" s="52">
        <v>2310</v>
      </c>
      <c r="G211" s="53">
        <f>Tabla14[[#This Row],[Importe]]-Tabla14[[#This Row],[Pagado]]</f>
        <v>0</v>
      </c>
      <c r="H211" s="37" t="s">
        <v>10</v>
      </c>
    </row>
    <row r="212" spans="1:8" x14ac:dyDescent="0.25">
      <c r="A212" s="31">
        <v>44623</v>
      </c>
      <c r="B212" s="37" t="s">
        <v>7203</v>
      </c>
      <c r="C212" s="51" t="s">
        <v>83</v>
      </c>
      <c r="D212" s="52">
        <v>13535.2</v>
      </c>
      <c r="E212" s="35">
        <v>44623</v>
      </c>
      <c r="F212" s="52">
        <v>13535.2</v>
      </c>
      <c r="G212" s="53">
        <f>Tabla14[[#This Row],[Importe]]-Tabla14[[#This Row],[Pagado]]</f>
        <v>0</v>
      </c>
      <c r="H212" s="37" t="s">
        <v>10</v>
      </c>
    </row>
    <row r="213" spans="1:8" x14ac:dyDescent="0.25">
      <c r="A213" s="31">
        <v>44623</v>
      </c>
      <c r="B213" s="37" t="s">
        <v>7204</v>
      </c>
      <c r="C213" s="51" t="s">
        <v>664</v>
      </c>
      <c r="D213" s="52">
        <v>11484</v>
      </c>
      <c r="E213" s="35">
        <v>44623</v>
      </c>
      <c r="F213" s="52">
        <v>11484</v>
      </c>
      <c r="G213" s="53">
        <f>Tabla14[[#This Row],[Importe]]-Tabla14[[#This Row],[Pagado]]</f>
        <v>0</v>
      </c>
      <c r="H213" s="37" t="s">
        <v>10</v>
      </c>
    </row>
    <row r="214" spans="1:8" x14ac:dyDescent="0.25">
      <c r="A214" s="31">
        <v>44623</v>
      </c>
      <c r="B214" s="37" t="s">
        <v>7205</v>
      </c>
      <c r="C214" s="51" t="s">
        <v>89</v>
      </c>
      <c r="D214" s="52">
        <v>5176</v>
      </c>
      <c r="E214" s="35">
        <v>44624</v>
      </c>
      <c r="F214" s="52">
        <v>5176</v>
      </c>
      <c r="G214" s="53">
        <f>Tabla14[[#This Row],[Importe]]-Tabla14[[#This Row],[Pagado]]</f>
        <v>0</v>
      </c>
      <c r="H214" s="37" t="s">
        <v>10</v>
      </c>
    </row>
    <row r="215" spans="1:8" x14ac:dyDescent="0.25">
      <c r="A215" s="31">
        <v>44623</v>
      </c>
      <c r="B215" s="37" t="s">
        <v>7206</v>
      </c>
      <c r="C215" s="51" t="s">
        <v>97</v>
      </c>
      <c r="D215" s="52">
        <v>8342.5</v>
      </c>
      <c r="E215" s="35">
        <v>44624</v>
      </c>
      <c r="F215" s="52">
        <v>8342.5</v>
      </c>
      <c r="G215" s="53">
        <f>Tabla14[[#This Row],[Importe]]-Tabla14[[#This Row],[Pagado]]</f>
        <v>0</v>
      </c>
      <c r="H215" s="37" t="s">
        <v>10</v>
      </c>
    </row>
    <row r="216" spans="1:8" x14ac:dyDescent="0.25">
      <c r="A216" s="31">
        <v>44623</v>
      </c>
      <c r="B216" s="37" t="s">
        <v>7207</v>
      </c>
      <c r="C216" s="51" t="s">
        <v>114</v>
      </c>
      <c r="D216" s="52">
        <v>9259</v>
      </c>
      <c r="E216" s="35">
        <v>44624</v>
      </c>
      <c r="F216" s="52">
        <v>9259</v>
      </c>
      <c r="G216" s="53">
        <f>Tabla14[[#This Row],[Importe]]-Tabla14[[#This Row],[Pagado]]</f>
        <v>0</v>
      </c>
      <c r="H216" s="37" t="s">
        <v>10</v>
      </c>
    </row>
    <row r="217" spans="1:8" x14ac:dyDescent="0.25">
      <c r="A217" s="31">
        <v>44623</v>
      </c>
      <c r="B217" s="37" t="s">
        <v>7208</v>
      </c>
      <c r="C217" s="51" t="s">
        <v>60</v>
      </c>
      <c r="D217" s="52">
        <v>3758.3</v>
      </c>
      <c r="E217" s="35">
        <v>44627</v>
      </c>
      <c r="F217" s="52">
        <v>3758.3</v>
      </c>
      <c r="G217" s="53">
        <f>Tabla14[[#This Row],[Importe]]-Tabla14[[#This Row],[Pagado]]</f>
        <v>0</v>
      </c>
      <c r="H217" s="37" t="s">
        <v>10</v>
      </c>
    </row>
    <row r="218" spans="1:8" x14ac:dyDescent="0.25">
      <c r="A218" s="31">
        <v>44623</v>
      </c>
      <c r="B218" s="37" t="s">
        <v>7209</v>
      </c>
      <c r="C218" s="51" t="s">
        <v>111</v>
      </c>
      <c r="D218" s="52">
        <v>3980.9</v>
      </c>
      <c r="E218" s="35">
        <v>44624</v>
      </c>
      <c r="F218" s="52">
        <v>3980.9</v>
      </c>
      <c r="G218" s="53">
        <f>Tabla14[[#This Row],[Importe]]-Tabla14[[#This Row],[Pagado]]</f>
        <v>0</v>
      </c>
      <c r="H218" s="37" t="s">
        <v>10</v>
      </c>
    </row>
    <row r="219" spans="1:8" x14ac:dyDescent="0.25">
      <c r="A219" s="31">
        <v>44623</v>
      </c>
      <c r="B219" s="37" t="s">
        <v>7210</v>
      </c>
      <c r="C219" s="51" t="s">
        <v>99</v>
      </c>
      <c r="D219" s="52">
        <v>4338.1000000000004</v>
      </c>
      <c r="E219" s="35">
        <v>44627</v>
      </c>
      <c r="F219" s="52">
        <v>4338.1000000000004</v>
      </c>
      <c r="G219" s="53">
        <f>Tabla14[[#This Row],[Importe]]-Tabla14[[#This Row],[Pagado]]</f>
        <v>0</v>
      </c>
      <c r="H219" s="37" t="s">
        <v>10</v>
      </c>
    </row>
    <row r="220" spans="1:8" x14ac:dyDescent="0.25">
      <c r="A220" s="31">
        <v>44623</v>
      </c>
      <c r="B220" s="37" t="s">
        <v>7211</v>
      </c>
      <c r="C220" s="51" t="s">
        <v>120</v>
      </c>
      <c r="D220" s="52">
        <v>4429.6000000000004</v>
      </c>
      <c r="E220" s="35">
        <v>44625</v>
      </c>
      <c r="F220" s="52">
        <v>4429.6000000000004</v>
      </c>
      <c r="G220" s="53">
        <f>Tabla14[[#This Row],[Importe]]-Tabla14[[#This Row],[Pagado]]</f>
        <v>0</v>
      </c>
      <c r="H220" s="37" t="s">
        <v>10</v>
      </c>
    </row>
    <row r="221" spans="1:8" x14ac:dyDescent="0.25">
      <c r="A221" s="31">
        <v>44623</v>
      </c>
      <c r="B221" s="37" t="s">
        <v>7212</v>
      </c>
      <c r="C221" s="51" t="s">
        <v>326</v>
      </c>
      <c r="D221" s="52">
        <v>4164.2</v>
      </c>
      <c r="E221" s="35">
        <v>44624</v>
      </c>
      <c r="F221" s="52">
        <v>4164.2</v>
      </c>
      <c r="G221" s="53">
        <f>Tabla14[[#This Row],[Importe]]-Tabla14[[#This Row],[Pagado]]</f>
        <v>0</v>
      </c>
      <c r="H221" s="37" t="s">
        <v>10</v>
      </c>
    </row>
    <row r="222" spans="1:8" x14ac:dyDescent="0.25">
      <c r="A222" s="31">
        <v>44623</v>
      </c>
      <c r="B222" s="37" t="s">
        <v>7213</v>
      </c>
      <c r="C222" s="51" t="s">
        <v>230</v>
      </c>
      <c r="D222" s="52">
        <v>5151.1000000000004</v>
      </c>
      <c r="E222" s="35">
        <v>44623</v>
      </c>
      <c r="F222" s="52">
        <v>5151.1000000000004</v>
      </c>
      <c r="G222" s="53">
        <f>Tabla14[[#This Row],[Importe]]-Tabla14[[#This Row],[Pagado]]</f>
        <v>0</v>
      </c>
      <c r="H222" s="37" t="s">
        <v>10</v>
      </c>
    </row>
    <row r="223" spans="1:8" x14ac:dyDescent="0.25">
      <c r="A223" s="31">
        <v>44623</v>
      </c>
      <c r="B223" s="37" t="s">
        <v>7214</v>
      </c>
      <c r="C223" s="51" t="s">
        <v>39</v>
      </c>
      <c r="D223" s="52">
        <v>22375</v>
      </c>
      <c r="E223" s="35">
        <v>44626</v>
      </c>
      <c r="F223" s="52">
        <v>22375</v>
      </c>
      <c r="G223" s="53">
        <f>Tabla14[[#This Row],[Importe]]-Tabla14[[#This Row],[Pagado]]</f>
        <v>0</v>
      </c>
      <c r="H223" s="37" t="s">
        <v>10</v>
      </c>
    </row>
    <row r="224" spans="1:8" x14ac:dyDescent="0.25">
      <c r="A224" s="31">
        <v>44623</v>
      </c>
      <c r="B224" s="37" t="s">
        <v>7215</v>
      </c>
      <c r="C224" s="51" t="s">
        <v>22</v>
      </c>
      <c r="D224" s="52">
        <v>45014.6</v>
      </c>
      <c r="E224" s="35">
        <v>44624</v>
      </c>
      <c r="F224" s="52">
        <v>45014.6</v>
      </c>
      <c r="G224" s="53">
        <f>Tabla14[[#This Row],[Importe]]-Tabla14[[#This Row],[Pagado]]</f>
        <v>0</v>
      </c>
      <c r="H224" s="37" t="s">
        <v>10</v>
      </c>
    </row>
    <row r="225" spans="1:8" x14ac:dyDescent="0.25">
      <c r="A225" s="31">
        <v>44623</v>
      </c>
      <c r="B225" s="37" t="s">
        <v>7216</v>
      </c>
      <c r="C225" s="51" t="s">
        <v>105</v>
      </c>
      <c r="D225" s="52">
        <v>5572.8</v>
      </c>
      <c r="E225" s="35">
        <v>44624</v>
      </c>
      <c r="F225" s="52">
        <v>5572.8</v>
      </c>
      <c r="G225" s="53">
        <f>Tabla14[[#This Row],[Importe]]-Tabla14[[#This Row],[Pagado]]</f>
        <v>0</v>
      </c>
      <c r="H225" s="37" t="s">
        <v>10</v>
      </c>
    </row>
    <row r="226" spans="1:8" x14ac:dyDescent="0.25">
      <c r="A226" s="31">
        <v>44623</v>
      </c>
      <c r="B226" s="37" t="s">
        <v>7217</v>
      </c>
      <c r="C226" s="51" t="s">
        <v>64</v>
      </c>
      <c r="D226" s="52">
        <v>4240.1000000000004</v>
      </c>
      <c r="E226" s="35">
        <v>44624</v>
      </c>
      <c r="F226" s="52">
        <v>4240.1000000000004</v>
      </c>
      <c r="G226" s="53">
        <f>Tabla14[[#This Row],[Importe]]-Tabla14[[#This Row],[Pagado]]</f>
        <v>0</v>
      </c>
      <c r="H226" s="37" t="s">
        <v>10</v>
      </c>
    </row>
    <row r="227" spans="1:8" x14ac:dyDescent="0.25">
      <c r="A227" s="31">
        <v>44623</v>
      </c>
      <c r="B227" s="37" t="s">
        <v>7218</v>
      </c>
      <c r="C227" s="51" t="s">
        <v>7219</v>
      </c>
      <c r="D227" s="52">
        <v>0</v>
      </c>
      <c r="E227" s="39" t="s">
        <v>189</v>
      </c>
      <c r="F227" s="52">
        <v>0</v>
      </c>
      <c r="G227" s="53">
        <f>Tabla14[[#This Row],[Importe]]-Tabla14[[#This Row],[Pagado]]</f>
        <v>0</v>
      </c>
      <c r="H227" s="37" t="s">
        <v>189</v>
      </c>
    </row>
    <row r="228" spans="1:8" x14ac:dyDescent="0.25">
      <c r="A228" s="31">
        <v>44623</v>
      </c>
      <c r="B228" s="37" t="s">
        <v>7220</v>
      </c>
      <c r="C228" s="51" t="s">
        <v>924</v>
      </c>
      <c r="D228" s="52">
        <v>12400.24</v>
      </c>
      <c r="E228" s="35">
        <v>44623</v>
      </c>
      <c r="F228" s="52">
        <v>12400.24</v>
      </c>
      <c r="G228" s="53">
        <f>Tabla14[[#This Row],[Importe]]-Tabla14[[#This Row],[Pagado]]</f>
        <v>0</v>
      </c>
      <c r="H228" s="37" t="s">
        <v>10</v>
      </c>
    </row>
    <row r="229" spans="1:8" x14ac:dyDescent="0.25">
      <c r="A229" s="31">
        <v>44623</v>
      </c>
      <c r="B229" s="37" t="s">
        <v>7221</v>
      </c>
      <c r="C229" s="51" t="s">
        <v>131</v>
      </c>
      <c r="D229" s="52">
        <v>11522.2</v>
      </c>
      <c r="E229" s="35">
        <v>44623</v>
      </c>
      <c r="F229" s="52">
        <v>11522.2</v>
      </c>
      <c r="G229" s="53">
        <f>Tabla14[[#This Row],[Importe]]-Tabla14[[#This Row],[Pagado]]</f>
        <v>0</v>
      </c>
      <c r="H229" s="37" t="s">
        <v>10</v>
      </c>
    </row>
    <row r="230" spans="1:8" x14ac:dyDescent="0.25">
      <c r="A230" s="31">
        <v>44623</v>
      </c>
      <c r="B230" s="37" t="s">
        <v>7222</v>
      </c>
      <c r="C230" s="51" t="s">
        <v>87</v>
      </c>
      <c r="D230" s="52">
        <v>2742.8</v>
      </c>
      <c r="E230" s="35">
        <v>44623</v>
      </c>
      <c r="F230" s="52">
        <v>2742.8</v>
      </c>
      <c r="G230" s="53">
        <f>Tabla14[[#This Row],[Importe]]-Tabla14[[#This Row],[Pagado]]</f>
        <v>0</v>
      </c>
      <c r="H230" s="37" t="s">
        <v>10</v>
      </c>
    </row>
    <row r="231" spans="1:8" x14ac:dyDescent="0.25">
      <c r="A231" s="31">
        <v>44623</v>
      </c>
      <c r="B231" s="37" t="s">
        <v>7223</v>
      </c>
      <c r="C231" s="51" t="s">
        <v>348</v>
      </c>
      <c r="D231" s="52">
        <v>2984</v>
      </c>
      <c r="E231" s="35">
        <v>44623</v>
      </c>
      <c r="F231" s="52">
        <v>2984</v>
      </c>
      <c r="G231" s="53">
        <f>Tabla14[[#This Row],[Importe]]-Tabla14[[#This Row],[Pagado]]</f>
        <v>0</v>
      </c>
      <c r="H231" s="37" t="s">
        <v>10</v>
      </c>
    </row>
    <row r="232" spans="1:8" x14ac:dyDescent="0.25">
      <c r="A232" s="31">
        <v>44623</v>
      </c>
      <c r="B232" s="37" t="s">
        <v>7224</v>
      </c>
      <c r="C232" s="51" t="s">
        <v>1481</v>
      </c>
      <c r="D232" s="52">
        <v>2804</v>
      </c>
      <c r="E232" s="35">
        <v>44623</v>
      </c>
      <c r="F232" s="52">
        <v>2804</v>
      </c>
      <c r="G232" s="53">
        <f>Tabla14[[#This Row],[Importe]]-Tabla14[[#This Row],[Pagado]]</f>
        <v>0</v>
      </c>
      <c r="H232" s="37" t="s">
        <v>10</v>
      </c>
    </row>
    <row r="233" spans="1:8" x14ac:dyDescent="0.25">
      <c r="A233" s="31">
        <v>44623</v>
      </c>
      <c r="B233" s="37" t="s">
        <v>7225</v>
      </c>
      <c r="C233" s="51" t="s">
        <v>157</v>
      </c>
      <c r="D233" s="52">
        <v>5828.9</v>
      </c>
      <c r="E233" s="35">
        <v>44623</v>
      </c>
      <c r="F233" s="52">
        <v>5828.9</v>
      </c>
      <c r="G233" s="53">
        <f>Tabla14[[#This Row],[Importe]]-Tabla14[[#This Row],[Pagado]]</f>
        <v>0</v>
      </c>
      <c r="H233" s="37" t="s">
        <v>10</v>
      </c>
    </row>
    <row r="234" spans="1:8" x14ac:dyDescent="0.25">
      <c r="A234" s="31">
        <v>44623</v>
      </c>
      <c r="B234" s="37" t="s">
        <v>7226</v>
      </c>
      <c r="C234" s="51" t="s">
        <v>14</v>
      </c>
      <c r="D234" s="52">
        <v>25377.8</v>
      </c>
      <c r="E234" s="35">
        <v>44623</v>
      </c>
      <c r="F234" s="52">
        <v>25377.8</v>
      </c>
      <c r="G234" s="53">
        <f>Tabla14[[#This Row],[Importe]]-Tabla14[[#This Row],[Pagado]]</f>
        <v>0</v>
      </c>
      <c r="H234" s="37" t="s">
        <v>10</v>
      </c>
    </row>
    <row r="235" spans="1:8" x14ac:dyDescent="0.25">
      <c r="A235" s="31">
        <v>44623</v>
      </c>
      <c r="B235" s="37" t="s">
        <v>7227</v>
      </c>
      <c r="C235" s="51" t="s">
        <v>359</v>
      </c>
      <c r="D235" s="52">
        <v>940</v>
      </c>
      <c r="E235" s="35">
        <v>44623</v>
      </c>
      <c r="F235" s="52">
        <v>940</v>
      </c>
      <c r="G235" s="53">
        <f>Tabla14[[#This Row],[Importe]]-Tabla14[[#This Row],[Pagado]]</f>
        <v>0</v>
      </c>
      <c r="H235" s="37" t="s">
        <v>10</v>
      </c>
    </row>
    <row r="236" spans="1:8" x14ac:dyDescent="0.25">
      <c r="A236" s="31">
        <v>44623</v>
      </c>
      <c r="B236" s="37" t="s">
        <v>7228</v>
      </c>
      <c r="C236" s="51" t="s">
        <v>200</v>
      </c>
      <c r="D236" s="52">
        <v>858.6</v>
      </c>
      <c r="E236" s="35">
        <v>44623</v>
      </c>
      <c r="F236" s="52">
        <v>858.6</v>
      </c>
      <c r="G236" s="53">
        <f>Tabla14[[#This Row],[Importe]]-Tabla14[[#This Row],[Pagado]]</f>
        <v>0</v>
      </c>
      <c r="H236" s="37" t="s">
        <v>10</v>
      </c>
    </row>
    <row r="237" spans="1:8" x14ac:dyDescent="0.25">
      <c r="A237" s="31">
        <v>44623</v>
      </c>
      <c r="B237" s="37" t="s">
        <v>7229</v>
      </c>
      <c r="C237" s="51" t="s">
        <v>159</v>
      </c>
      <c r="D237" s="52">
        <v>2116</v>
      </c>
      <c r="E237" s="35">
        <v>44623</v>
      </c>
      <c r="F237" s="52">
        <v>2116</v>
      </c>
      <c r="G237" s="53">
        <f>Tabla14[[#This Row],[Importe]]-Tabla14[[#This Row],[Pagado]]</f>
        <v>0</v>
      </c>
      <c r="H237" s="37" t="s">
        <v>10</v>
      </c>
    </row>
    <row r="238" spans="1:8" x14ac:dyDescent="0.25">
      <c r="A238" s="31">
        <v>44623</v>
      </c>
      <c r="B238" s="37" t="s">
        <v>7230</v>
      </c>
      <c r="C238" s="51" t="s">
        <v>484</v>
      </c>
      <c r="D238" s="52">
        <v>4088</v>
      </c>
      <c r="E238" s="35">
        <v>44623</v>
      </c>
      <c r="F238" s="52">
        <v>4088</v>
      </c>
      <c r="G238" s="53">
        <f>Tabla14[[#This Row],[Importe]]-Tabla14[[#This Row],[Pagado]]</f>
        <v>0</v>
      </c>
      <c r="H238" s="37" t="s">
        <v>10</v>
      </c>
    </row>
    <row r="239" spans="1:8" x14ac:dyDescent="0.25">
      <c r="A239" s="31">
        <v>44623</v>
      </c>
      <c r="B239" s="37" t="s">
        <v>7231</v>
      </c>
      <c r="C239" s="51" t="s">
        <v>49</v>
      </c>
      <c r="D239" s="52">
        <v>3018.8</v>
      </c>
      <c r="E239" s="35">
        <v>44623</v>
      </c>
      <c r="F239" s="52">
        <v>3018.8</v>
      </c>
      <c r="G239" s="53">
        <f>Tabla14[[#This Row],[Importe]]-Tabla14[[#This Row],[Pagado]]</f>
        <v>0</v>
      </c>
      <c r="H239" s="37" t="s">
        <v>10</v>
      </c>
    </row>
    <row r="240" spans="1:8" x14ac:dyDescent="0.25">
      <c r="A240" s="31">
        <v>44623</v>
      </c>
      <c r="B240" s="37" t="s">
        <v>7232</v>
      </c>
      <c r="C240" s="51" t="s">
        <v>142</v>
      </c>
      <c r="D240" s="52">
        <v>52111.11</v>
      </c>
      <c r="E240" s="35" t="s">
        <v>7024</v>
      </c>
      <c r="F240" s="52">
        <v>52111.11</v>
      </c>
      <c r="G240" s="53">
        <f>Tabla14[[#This Row],[Importe]]-Tabla14[[#This Row],[Pagado]]</f>
        <v>0</v>
      </c>
      <c r="H240" s="37" t="s">
        <v>10</v>
      </c>
    </row>
    <row r="241" spans="1:8" x14ac:dyDescent="0.25">
      <c r="A241" s="31">
        <v>44623</v>
      </c>
      <c r="B241" s="37" t="s">
        <v>7233</v>
      </c>
      <c r="C241" s="51" t="s">
        <v>319</v>
      </c>
      <c r="D241" s="52">
        <v>8138.5</v>
      </c>
      <c r="E241" s="35">
        <v>44623</v>
      </c>
      <c r="F241" s="52">
        <v>8138.5</v>
      </c>
      <c r="G241" s="53">
        <f>Tabla14[[#This Row],[Importe]]-Tabla14[[#This Row],[Pagado]]</f>
        <v>0</v>
      </c>
      <c r="H241" s="37" t="s">
        <v>10</v>
      </c>
    </row>
    <row r="242" spans="1:8" x14ac:dyDescent="0.25">
      <c r="A242" s="31">
        <v>44623</v>
      </c>
      <c r="B242" s="37" t="s">
        <v>7234</v>
      </c>
      <c r="C242" s="51" t="s">
        <v>31</v>
      </c>
      <c r="D242" s="52">
        <v>1454</v>
      </c>
      <c r="E242" s="35">
        <v>44623</v>
      </c>
      <c r="F242" s="52">
        <v>1454</v>
      </c>
      <c r="G242" s="53">
        <f>Tabla14[[#This Row],[Importe]]-Tabla14[[#This Row],[Pagado]]</f>
        <v>0</v>
      </c>
      <c r="H242" s="37" t="s">
        <v>10</v>
      </c>
    </row>
    <row r="243" spans="1:8" x14ac:dyDescent="0.25">
      <c r="A243" s="31">
        <v>44623</v>
      </c>
      <c r="B243" s="37" t="s">
        <v>7235</v>
      </c>
      <c r="C243" s="51" t="s">
        <v>157</v>
      </c>
      <c r="D243" s="52">
        <v>348.4</v>
      </c>
      <c r="E243" s="35">
        <v>44623</v>
      </c>
      <c r="F243" s="52">
        <v>348.4</v>
      </c>
      <c r="G243" s="53">
        <f>Tabla14[[#This Row],[Importe]]-Tabla14[[#This Row],[Pagado]]</f>
        <v>0</v>
      </c>
      <c r="H243" s="37" t="s">
        <v>10</v>
      </c>
    </row>
    <row r="244" spans="1:8" x14ac:dyDescent="0.25">
      <c r="A244" s="31">
        <v>44623</v>
      </c>
      <c r="B244" s="37" t="s">
        <v>7236</v>
      </c>
      <c r="C244" s="51" t="s">
        <v>27</v>
      </c>
      <c r="D244" s="52">
        <v>2884.2</v>
      </c>
      <c r="E244" s="35">
        <v>44623</v>
      </c>
      <c r="F244" s="52">
        <v>2884.2</v>
      </c>
      <c r="G244" s="53">
        <f>Tabla14[[#This Row],[Importe]]-Tabla14[[#This Row],[Pagado]]</f>
        <v>0</v>
      </c>
      <c r="H244" s="37" t="s">
        <v>10</v>
      </c>
    </row>
    <row r="245" spans="1:8" x14ac:dyDescent="0.25">
      <c r="A245" s="31">
        <v>44623</v>
      </c>
      <c r="B245" s="37" t="s">
        <v>7237</v>
      </c>
      <c r="C245" s="51" t="s">
        <v>647</v>
      </c>
      <c r="D245" s="52">
        <v>4510.1000000000004</v>
      </c>
      <c r="E245" s="35">
        <v>44623</v>
      </c>
      <c r="F245" s="52">
        <v>4510.1000000000004</v>
      </c>
      <c r="G245" s="53">
        <f>Tabla14[[#This Row],[Importe]]-Tabla14[[#This Row],[Pagado]]</f>
        <v>0</v>
      </c>
      <c r="H245" s="37" t="s">
        <v>10</v>
      </c>
    </row>
    <row r="246" spans="1:8" x14ac:dyDescent="0.25">
      <c r="A246" s="31">
        <v>44623</v>
      </c>
      <c r="B246" s="37" t="s">
        <v>7238</v>
      </c>
      <c r="C246" s="51" t="s">
        <v>7239</v>
      </c>
      <c r="D246" s="52">
        <v>6650</v>
      </c>
      <c r="E246" s="35">
        <v>44623</v>
      </c>
      <c r="F246" s="52">
        <v>6650</v>
      </c>
      <c r="G246" s="53">
        <f>Tabla14[[#This Row],[Importe]]-Tabla14[[#This Row],[Pagado]]</f>
        <v>0</v>
      </c>
      <c r="H246" s="37" t="s">
        <v>10</v>
      </c>
    </row>
    <row r="247" spans="1:8" x14ac:dyDescent="0.25">
      <c r="A247" s="31">
        <v>44623</v>
      </c>
      <c r="B247" s="37" t="s">
        <v>7240</v>
      </c>
      <c r="C247" s="51" t="s">
        <v>53</v>
      </c>
      <c r="D247" s="52">
        <v>2746.7</v>
      </c>
      <c r="E247" s="35">
        <v>44623</v>
      </c>
      <c r="F247" s="52">
        <v>2746.7</v>
      </c>
      <c r="G247" s="53">
        <f>Tabla14[[#This Row],[Importe]]-Tabla14[[#This Row],[Pagado]]</f>
        <v>0</v>
      </c>
      <c r="H247" s="37" t="s">
        <v>10</v>
      </c>
    </row>
    <row r="248" spans="1:8" x14ac:dyDescent="0.25">
      <c r="A248" s="31">
        <v>44623</v>
      </c>
      <c r="B248" s="37" t="s">
        <v>7241</v>
      </c>
      <c r="C248" s="51" t="s">
        <v>58</v>
      </c>
      <c r="D248" s="52">
        <v>3884</v>
      </c>
      <c r="E248" s="35">
        <v>44623</v>
      </c>
      <c r="F248" s="52">
        <v>3884</v>
      </c>
      <c r="G248" s="53">
        <f>Tabla14[[#This Row],[Importe]]-Tabla14[[#This Row],[Pagado]]</f>
        <v>0</v>
      </c>
      <c r="H248" s="37" t="s">
        <v>10</v>
      </c>
    </row>
    <row r="249" spans="1:8" x14ac:dyDescent="0.25">
      <c r="A249" s="31">
        <v>44623</v>
      </c>
      <c r="B249" s="37" t="s">
        <v>7242</v>
      </c>
      <c r="C249" s="51" t="s">
        <v>47</v>
      </c>
      <c r="D249" s="52">
        <v>52866.3</v>
      </c>
      <c r="E249" s="35">
        <v>44623</v>
      </c>
      <c r="F249" s="52">
        <v>52866.3</v>
      </c>
      <c r="G249" s="53">
        <f>Tabla14[[#This Row],[Importe]]-Tabla14[[#This Row],[Pagado]]</f>
        <v>0</v>
      </c>
      <c r="H249" s="37" t="s">
        <v>10</v>
      </c>
    </row>
    <row r="250" spans="1:8" x14ac:dyDescent="0.25">
      <c r="A250" s="31">
        <v>44623</v>
      </c>
      <c r="B250" s="37" t="s">
        <v>7243</v>
      </c>
      <c r="C250" s="51" t="s">
        <v>373</v>
      </c>
      <c r="D250" s="52">
        <v>506</v>
      </c>
      <c r="E250" s="35">
        <v>44623</v>
      </c>
      <c r="F250" s="52">
        <v>506</v>
      </c>
      <c r="G250" s="53">
        <f>Tabla14[[#This Row],[Importe]]-Tabla14[[#This Row],[Pagado]]</f>
        <v>0</v>
      </c>
      <c r="H250" s="37" t="s">
        <v>10</v>
      </c>
    </row>
    <row r="251" spans="1:8" x14ac:dyDescent="0.25">
      <c r="A251" s="31">
        <v>44623</v>
      </c>
      <c r="B251" s="37" t="s">
        <v>7244</v>
      </c>
      <c r="C251" s="51" t="s">
        <v>647</v>
      </c>
      <c r="D251" s="52">
        <v>1000.4</v>
      </c>
      <c r="E251" s="35">
        <v>44623</v>
      </c>
      <c r="F251" s="52">
        <v>1000.4</v>
      </c>
      <c r="G251" s="53">
        <f>Tabla14[[#This Row],[Importe]]-Tabla14[[#This Row],[Pagado]]</f>
        <v>0</v>
      </c>
      <c r="H251" s="37" t="s">
        <v>10</v>
      </c>
    </row>
    <row r="252" spans="1:8" x14ac:dyDescent="0.25">
      <c r="A252" s="31">
        <v>44623</v>
      </c>
      <c r="B252" s="37" t="s">
        <v>7245</v>
      </c>
      <c r="C252" s="51" t="s">
        <v>14</v>
      </c>
      <c r="D252" s="52">
        <v>4403.8999999999996</v>
      </c>
      <c r="E252" s="35">
        <v>44623</v>
      </c>
      <c r="F252" s="52">
        <v>4403.8999999999996</v>
      </c>
      <c r="G252" s="53">
        <f>Tabla14[[#This Row],[Importe]]-Tabla14[[#This Row],[Pagado]]</f>
        <v>0</v>
      </c>
      <c r="H252" s="37" t="s">
        <v>10</v>
      </c>
    </row>
    <row r="253" spans="1:8" x14ac:dyDescent="0.25">
      <c r="A253" s="31">
        <v>44623</v>
      </c>
      <c r="B253" s="37" t="s">
        <v>7246</v>
      </c>
      <c r="C253" s="51" t="s">
        <v>520</v>
      </c>
      <c r="D253" s="52">
        <v>12746</v>
      </c>
      <c r="E253" s="35">
        <v>44623</v>
      </c>
      <c r="F253" s="52">
        <v>12746</v>
      </c>
      <c r="G253" s="53">
        <f>Tabla14[[#This Row],[Importe]]-Tabla14[[#This Row],[Pagado]]</f>
        <v>0</v>
      </c>
      <c r="H253" s="37" t="s">
        <v>10</v>
      </c>
    </row>
    <row r="254" spans="1:8" x14ac:dyDescent="0.25">
      <c r="A254" s="31">
        <v>44623</v>
      </c>
      <c r="B254" s="37" t="s">
        <v>7247</v>
      </c>
      <c r="C254" s="51" t="s">
        <v>29</v>
      </c>
      <c r="D254" s="52">
        <v>3817.8</v>
      </c>
      <c r="E254" s="35">
        <v>44623</v>
      </c>
      <c r="F254" s="52">
        <v>3817.8</v>
      </c>
      <c r="G254" s="53">
        <f>Tabla14[[#This Row],[Importe]]-Tabla14[[#This Row],[Pagado]]</f>
        <v>0</v>
      </c>
      <c r="H254" s="37" t="s">
        <v>10</v>
      </c>
    </row>
    <row r="255" spans="1:8" x14ac:dyDescent="0.25">
      <c r="A255" s="31">
        <v>44623</v>
      </c>
      <c r="B255" s="37" t="s">
        <v>7248</v>
      </c>
      <c r="C255" s="51" t="s">
        <v>647</v>
      </c>
      <c r="D255" s="52">
        <v>352.8</v>
      </c>
      <c r="E255" s="35">
        <v>44623</v>
      </c>
      <c r="F255" s="52">
        <v>352.8</v>
      </c>
      <c r="G255" s="53">
        <f>Tabla14[[#This Row],[Importe]]-Tabla14[[#This Row],[Pagado]]</f>
        <v>0</v>
      </c>
      <c r="H255" s="37" t="s">
        <v>10</v>
      </c>
    </row>
    <row r="256" spans="1:8" x14ac:dyDescent="0.25">
      <c r="A256" s="31">
        <v>44623</v>
      </c>
      <c r="B256" s="37" t="s">
        <v>7249</v>
      </c>
      <c r="C256" s="51" t="s">
        <v>520</v>
      </c>
      <c r="D256" s="52">
        <v>301</v>
      </c>
      <c r="E256" s="35">
        <v>44623</v>
      </c>
      <c r="F256" s="52">
        <v>301</v>
      </c>
      <c r="G256" s="53">
        <f>Tabla14[[#This Row],[Importe]]-Tabla14[[#This Row],[Pagado]]</f>
        <v>0</v>
      </c>
      <c r="H256" s="37" t="s">
        <v>10</v>
      </c>
    </row>
    <row r="257" spans="1:8" x14ac:dyDescent="0.25">
      <c r="A257" s="31">
        <v>44623</v>
      </c>
      <c r="B257" s="37" t="s">
        <v>7250</v>
      </c>
      <c r="C257" s="51" t="s">
        <v>79</v>
      </c>
      <c r="D257" s="52">
        <v>6652.8</v>
      </c>
      <c r="E257" s="35">
        <v>44623</v>
      </c>
      <c r="F257" s="52">
        <v>6652.8</v>
      </c>
      <c r="G257" s="53">
        <f>Tabla14[[#This Row],[Importe]]-Tabla14[[#This Row],[Pagado]]</f>
        <v>0</v>
      </c>
      <c r="H257" s="37" t="s">
        <v>10</v>
      </c>
    </row>
    <row r="258" spans="1:8" x14ac:dyDescent="0.25">
      <c r="A258" s="31">
        <v>44623</v>
      </c>
      <c r="B258" s="37" t="s">
        <v>7251</v>
      </c>
      <c r="C258" s="51" t="s">
        <v>216</v>
      </c>
      <c r="D258" s="52">
        <v>1522.8</v>
      </c>
      <c r="E258" s="35">
        <v>44623</v>
      </c>
      <c r="F258" s="52">
        <v>1522.8</v>
      </c>
      <c r="G258" s="53">
        <f>Tabla14[[#This Row],[Importe]]-Tabla14[[#This Row],[Pagado]]</f>
        <v>0</v>
      </c>
      <c r="H258" s="37" t="s">
        <v>10</v>
      </c>
    </row>
    <row r="259" spans="1:8" x14ac:dyDescent="0.25">
      <c r="A259" s="31">
        <v>44623</v>
      </c>
      <c r="B259" s="37" t="s">
        <v>7252</v>
      </c>
      <c r="C259" s="51" t="s">
        <v>1239</v>
      </c>
      <c r="D259" s="52">
        <v>8782.2000000000007</v>
      </c>
      <c r="E259" s="35">
        <v>44623</v>
      </c>
      <c r="F259" s="52">
        <v>8782.2000000000007</v>
      </c>
      <c r="G259" s="53">
        <f>Tabla14[[#This Row],[Importe]]-Tabla14[[#This Row],[Pagado]]</f>
        <v>0</v>
      </c>
      <c r="H259" s="37" t="s">
        <v>10</v>
      </c>
    </row>
    <row r="260" spans="1:8" x14ac:dyDescent="0.25">
      <c r="A260" s="31">
        <v>44623</v>
      </c>
      <c r="B260" s="37" t="s">
        <v>7253</v>
      </c>
      <c r="C260" s="51" t="s">
        <v>45</v>
      </c>
      <c r="D260" s="52">
        <v>14224.4</v>
      </c>
      <c r="E260" s="35">
        <v>44623</v>
      </c>
      <c r="F260" s="52">
        <v>14224.4</v>
      </c>
      <c r="G260" s="53">
        <f>Tabla14[[#This Row],[Importe]]-Tabla14[[#This Row],[Pagado]]</f>
        <v>0</v>
      </c>
      <c r="H260" s="37" t="s">
        <v>10</v>
      </c>
    </row>
    <row r="261" spans="1:8" x14ac:dyDescent="0.25">
      <c r="A261" s="31">
        <v>44623</v>
      </c>
      <c r="B261" s="37" t="s">
        <v>7254</v>
      </c>
      <c r="C261" s="51" t="s">
        <v>518</v>
      </c>
      <c r="D261" s="52">
        <v>1386.4</v>
      </c>
      <c r="E261" s="35">
        <v>44623</v>
      </c>
      <c r="F261" s="52">
        <v>1386.4</v>
      </c>
      <c r="G261" s="53">
        <f>Tabla14[[#This Row],[Importe]]-Tabla14[[#This Row],[Pagado]]</f>
        <v>0</v>
      </c>
      <c r="H261" s="37" t="s">
        <v>10</v>
      </c>
    </row>
    <row r="262" spans="1:8" x14ac:dyDescent="0.25">
      <c r="A262" s="31">
        <v>44623</v>
      </c>
      <c r="B262" s="37" t="s">
        <v>7255</v>
      </c>
      <c r="C262" s="51" t="s">
        <v>222</v>
      </c>
      <c r="D262" s="52">
        <v>7430.6</v>
      </c>
      <c r="E262" s="35">
        <v>44623</v>
      </c>
      <c r="F262" s="52">
        <v>7430.6</v>
      </c>
      <c r="G262" s="53">
        <f>Tabla14[[#This Row],[Importe]]-Tabla14[[#This Row],[Pagado]]</f>
        <v>0</v>
      </c>
      <c r="H262" s="37" t="s">
        <v>10</v>
      </c>
    </row>
    <row r="263" spans="1:8" x14ac:dyDescent="0.25">
      <c r="A263" s="31">
        <v>44623</v>
      </c>
      <c r="B263" s="37" t="s">
        <v>7256</v>
      </c>
      <c r="C263" s="51" t="s">
        <v>214</v>
      </c>
      <c r="D263" s="52">
        <v>1117.8</v>
      </c>
      <c r="E263" s="35">
        <v>44623</v>
      </c>
      <c r="F263" s="52">
        <v>1117.8</v>
      </c>
      <c r="G263" s="53">
        <f>Tabla14[[#This Row],[Importe]]-Tabla14[[#This Row],[Pagado]]</f>
        <v>0</v>
      </c>
      <c r="H263" s="37" t="s">
        <v>10</v>
      </c>
    </row>
    <row r="264" spans="1:8" x14ac:dyDescent="0.25">
      <c r="A264" s="31">
        <v>44623</v>
      </c>
      <c r="B264" s="37" t="s">
        <v>7257</v>
      </c>
      <c r="C264" s="51" t="s">
        <v>24</v>
      </c>
      <c r="D264" s="52">
        <v>2911.6</v>
      </c>
      <c r="E264" s="35">
        <v>44623</v>
      </c>
      <c r="F264" s="52">
        <v>2911.6</v>
      </c>
      <c r="G264" s="53">
        <f>Tabla14[[#This Row],[Importe]]-Tabla14[[#This Row],[Pagado]]</f>
        <v>0</v>
      </c>
      <c r="H264" s="37" t="s">
        <v>10</v>
      </c>
    </row>
    <row r="265" spans="1:8" x14ac:dyDescent="0.25">
      <c r="A265" s="31">
        <v>44623</v>
      </c>
      <c r="B265" s="37" t="s">
        <v>7258</v>
      </c>
      <c r="C265" s="51" t="s">
        <v>228</v>
      </c>
      <c r="D265" s="52">
        <v>5538</v>
      </c>
      <c r="E265" s="35">
        <v>44623</v>
      </c>
      <c r="F265" s="52">
        <v>5538</v>
      </c>
      <c r="G265" s="53">
        <f>Tabla14[[#This Row],[Importe]]-Tabla14[[#This Row],[Pagado]]</f>
        <v>0</v>
      </c>
      <c r="H265" s="37" t="s">
        <v>10</v>
      </c>
    </row>
    <row r="266" spans="1:8" x14ac:dyDescent="0.25">
      <c r="A266" s="31">
        <v>44623</v>
      </c>
      <c r="B266" s="37" t="s">
        <v>7259</v>
      </c>
      <c r="C266" s="51" t="s">
        <v>1505</v>
      </c>
      <c r="D266" s="52">
        <v>7447.4</v>
      </c>
      <c r="E266" s="35">
        <v>44623</v>
      </c>
      <c r="F266" s="52">
        <v>7447.4</v>
      </c>
      <c r="G266" s="53">
        <f>Tabla14[[#This Row],[Importe]]-Tabla14[[#This Row],[Pagado]]</f>
        <v>0</v>
      </c>
      <c r="H266" s="37" t="s">
        <v>10</v>
      </c>
    </row>
    <row r="267" spans="1:8" x14ac:dyDescent="0.25">
      <c r="A267" s="31">
        <v>44623</v>
      </c>
      <c r="B267" s="37" t="s">
        <v>7260</v>
      </c>
      <c r="C267" s="51" t="s">
        <v>67</v>
      </c>
      <c r="D267" s="52">
        <v>10695.6</v>
      </c>
      <c r="E267" s="35">
        <v>44623</v>
      </c>
      <c r="F267" s="52">
        <v>10695.6</v>
      </c>
      <c r="G267" s="53">
        <f>Tabla14[[#This Row],[Importe]]-Tabla14[[#This Row],[Pagado]]</f>
        <v>0</v>
      </c>
      <c r="H267" s="37" t="s">
        <v>10</v>
      </c>
    </row>
    <row r="268" spans="1:8" x14ac:dyDescent="0.25">
      <c r="A268" s="31">
        <v>44623</v>
      </c>
      <c r="B268" s="37" t="s">
        <v>7261</v>
      </c>
      <c r="C268" s="51" t="s">
        <v>67</v>
      </c>
      <c r="D268" s="52">
        <v>1040</v>
      </c>
      <c r="E268" s="35">
        <v>44623</v>
      </c>
      <c r="F268" s="52">
        <v>1040</v>
      </c>
      <c r="G268" s="53">
        <f>Tabla14[[#This Row],[Importe]]-Tabla14[[#This Row],[Pagado]]</f>
        <v>0</v>
      </c>
      <c r="H268" s="37" t="s">
        <v>10</v>
      </c>
    </row>
    <row r="269" spans="1:8" x14ac:dyDescent="0.25">
      <c r="A269" s="31">
        <v>44623</v>
      </c>
      <c r="B269" s="37" t="s">
        <v>7262</v>
      </c>
      <c r="C269" s="51" t="s">
        <v>2383</v>
      </c>
      <c r="D269" s="52">
        <v>2040</v>
      </c>
      <c r="E269" s="35">
        <v>44623</v>
      </c>
      <c r="F269" s="52">
        <v>2040</v>
      </c>
      <c r="G269" s="53">
        <f>Tabla14[[#This Row],[Importe]]-Tabla14[[#This Row],[Pagado]]</f>
        <v>0</v>
      </c>
      <c r="H269" s="37" t="s">
        <v>10</v>
      </c>
    </row>
    <row r="270" spans="1:8" x14ac:dyDescent="0.25">
      <c r="A270" s="31">
        <v>44623</v>
      </c>
      <c r="B270" s="37" t="s">
        <v>7263</v>
      </c>
      <c r="C270" s="51" t="s">
        <v>142</v>
      </c>
      <c r="D270" s="52">
        <v>394.2</v>
      </c>
      <c r="E270" s="35" t="s">
        <v>7024</v>
      </c>
      <c r="F270" s="52">
        <v>394.2</v>
      </c>
      <c r="G270" s="53">
        <f>Tabla14[[#This Row],[Importe]]-Tabla14[[#This Row],[Pagado]]</f>
        <v>0</v>
      </c>
      <c r="H270" s="37" t="s">
        <v>10</v>
      </c>
    </row>
    <row r="271" spans="1:8" x14ac:dyDescent="0.25">
      <c r="A271" s="31">
        <v>44623</v>
      </c>
      <c r="B271" s="37" t="s">
        <v>7264</v>
      </c>
      <c r="C271" s="51" t="s">
        <v>715</v>
      </c>
      <c r="D271" s="52">
        <v>4800</v>
      </c>
      <c r="E271" s="35">
        <v>44623</v>
      </c>
      <c r="F271" s="52">
        <v>4800</v>
      </c>
      <c r="G271" s="53">
        <f>Tabla14[[#This Row],[Importe]]-Tabla14[[#This Row],[Pagado]]</f>
        <v>0</v>
      </c>
      <c r="H271" s="37" t="s">
        <v>10</v>
      </c>
    </row>
    <row r="272" spans="1:8" x14ac:dyDescent="0.25">
      <c r="A272" s="31">
        <v>44623</v>
      </c>
      <c r="B272" s="37" t="s">
        <v>7265</v>
      </c>
      <c r="C272" s="51" t="s">
        <v>146</v>
      </c>
      <c r="D272" s="52">
        <v>5540.4</v>
      </c>
      <c r="E272" s="35">
        <v>44623</v>
      </c>
      <c r="F272" s="52">
        <v>5540.4</v>
      </c>
      <c r="G272" s="53">
        <f>Tabla14[[#This Row],[Importe]]-Tabla14[[#This Row],[Pagado]]</f>
        <v>0</v>
      </c>
      <c r="H272" s="37" t="s">
        <v>10</v>
      </c>
    </row>
    <row r="273" spans="1:8" x14ac:dyDescent="0.25">
      <c r="A273" s="31">
        <v>44623</v>
      </c>
      <c r="B273" s="37" t="s">
        <v>7266</v>
      </c>
      <c r="C273" s="51" t="s">
        <v>146</v>
      </c>
      <c r="D273" s="52">
        <v>121.6</v>
      </c>
      <c r="E273" s="35">
        <v>44623</v>
      </c>
      <c r="F273" s="52">
        <v>121.6</v>
      </c>
      <c r="G273" s="53">
        <f>Tabla14[[#This Row],[Importe]]-Tabla14[[#This Row],[Pagado]]</f>
        <v>0</v>
      </c>
      <c r="H273" s="37" t="s">
        <v>10</v>
      </c>
    </row>
    <row r="274" spans="1:8" x14ac:dyDescent="0.25">
      <c r="A274" s="31">
        <v>44623</v>
      </c>
      <c r="B274" s="37" t="s">
        <v>7267</v>
      </c>
      <c r="C274" s="51" t="s">
        <v>339</v>
      </c>
      <c r="D274" s="52">
        <v>1046</v>
      </c>
      <c r="E274" s="35">
        <v>44623</v>
      </c>
      <c r="F274" s="52">
        <v>1046</v>
      </c>
      <c r="G274" s="53">
        <f>Tabla14[[#This Row],[Importe]]-Tabla14[[#This Row],[Pagado]]</f>
        <v>0</v>
      </c>
      <c r="H274" s="37" t="s">
        <v>10</v>
      </c>
    </row>
    <row r="275" spans="1:8" x14ac:dyDescent="0.25">
      <c r="A275" s="31">
        <v>44623</v>
      </c>
      <c r="B275" s="37" t="s">
        <v>7268</v>
      </c>
      <c r="C275" s="51" t="s">
        <v>125</v>
      </c>
      <c r="D275" s="52">
        <v>864</v>
      </c>
      <c r="E275" s="35">
        <v>44623</v>
      </c>
      <c r="F275" s="52">
        <v>864</v>
      </c>
      <c r="G275" s="53">
        <f>Tabla14[[#This Row],[Importe]]-Tabla14[[#This Row],[Pagado]]</f>
        <v>0</v>
      </c>
      <c r="H275" s="37" t="s">
        <v>10</v>
      </c>
    </row>
    <row r="276" spans="1:8" x14ac:dyDescent="0.25">
      <c r="A276" s="31">
        <v>44623</v>
      </c>
      <c r="B276" s="37" t="s">
        <v>7269</v>
      </c>
      <c r="C276" s="51" t="s">
        <v>357</v>
      </c>
      <c r="D276" s="52">
        <v>852.5</v>
      </c>
      <c r="E276" s="35">
        <v>44623</v>
      </c>
      <c r="F276" s="52">
        <v>852.5</v>
      </c>
      <c r="G276" s="53">
        <f>Tabla14[[#This Row],[Importe]]-Tabla14[[#This Row],[Pagado]]</f>
        <v>0</v>
      </c>
      <c r="H276" s="37" t="s">
        <v>10</v>
      </c>
    </row>
    <row r="277" spans="1:8" x14ac:dyDescent="0.25">
      <c r="A277" s="31">
        <v>44623</v>
      </c>
      <c r="B277" s="37" t="s">
        <v>7270</v>
      </c>
      <c r="C277" s="51" t="s">
        <v>140</v>
      </c>
      <c r="D277" s="52">
        <v>511.5</v>
      </c>
      <c r="E277" s="35">
        <v>44623</v>
      </c>
      <c r="F277" s="52">
        <v>511.5</v>
      </c>
      <c r="G277" s="53">
        <f>Tabla14[[#This Row],[Importe]]-Tabla14[[#This Row],[Pagado]]</f>
        <v>0</v>
      </c>
      <c r="H277" s="37" t="s">
        <v>10</v>
      </c>
    </row>
    <row r="278" spans="1:8" x14ac:dyDescent="0.25">
      <c r="A278" s="31">
        <v>44623</v>
      </c>
      <c r="B278" s="37" t="s">
        <v>7271</v>
      </c>
      <c r="C278" s="51" t="s">
        <v>127</v>
      </c>
      <c r="D278" s="52">
        <v>4130.3999999999996</v>
      </c>
      <c r="E278" s="35">
        <v>44623</v>
      </c>
      <c r="F278" s="52">
        <v>4130.3999999999996</v>
      </c>
      <c r="G278" s="53">
        <f>Tabla14[[#This Row],[Importe]]-Tabla14[[#This Row],[Pagado]]</f>
        <v>0</v>
      </c>
      <c r="H278" s="37" t="s">
        <v>10</v>
      </c>
    </row>
    <row r="279" spans="1:8" x14ac:dyDescent="0.25">
      <c r="A279" s="31">
        <v>44623</v>
      </c>
      <c r="B279" s="37" t="s">
        <v>7272</v>
      </c>
      <c r="C279" s="51" t="s">
        <v>129</v>
      </c>
      <c r="D279" s="52">
        <v>3348.8</v>
      </c>
      <c r="E279" s="35">
        <v>44623</v>
      </c>
      <c r="F279" s="52">
        <v>3348.8</v>
      </c>
      <c r="G279" s="53">
        <f>Tabla14[[#This Row],[Importe]]-Tabla14[[#This Row],[Pagado]]</f>
        <v>0</v>
      </c>
      <c r="H279" s="37" t="s">
        <v>10</v>
      </c>
    </row>
    <row r="280" spans="1:8" x14ac:dyDescent="0.25">
      <c r="A280" s="31">
        <v>44623</v>
      </c>
      <c r="B280" s="37" t="s">
        <v>7273</v>
      </c>
      <c r="C280" s="51" t="s">
        <v>107</v>
      </c>
      <c r="D280" s="52">
        <v>8182.8</v>
      </c>
      <c r="E280" s="35">
        <v>44623</v>
      </c>
      <c r="F280" s="52">
        <v>8182.8</v>
      </c>
      <c r="G280" s="53">
        <f>Tabla14[[#This Row],[Importe]]-Tabla14[[#This Row],[Pagado]]</f>
        <v>0</v>
      </c>
      <c r="H280" s="37" t="s">
        <v>10</v>
      </c>
    </row>
    <row r="281" spans="1:8" x14ac:dyDescent="0.25">
      <c r="A281" s="31">
        <v>44623</v>
      </c>
      <c r="B281" s="37" t="s">
        <v>7274</v>
      </c>
      <c r="C281" s="51" t="s">
        <v>69</v>
      </c>
      <c r="D281" s="52">
        <v>2160</v>
      </c>
      <c r="E281" s="35">
        <v>44623</v>
      </c>
      <c r="F281" s="52">
        <v>2160</v>
      </c>
      <c r="G281" s="53">
        <f>Tabla14[[#This Row],[Importe]]-Tabla14[[#This Row],[Pagado]]</f>
        <v>0</v>
      </c>
      <c r="H281" s="37" t="s">
        <v>10</v>
      </c>
    </row>
    <row r="282" spans="1:8" x14ac:dyDescent="0.25">
      <c r="A282" s="31">
        <v>44623</v>
      </c>
      <c r="B282" s="37" t="s">
        <v>7275</v>
      </c>
      <c r="C282" s="51" t="s">
        <v>562</v>
      </c>
      <c r="D282" s="52">
        <v>2768.4</v>
      </c>
      <c r="E282" s="35">
        <v>44623</v>
      </c>
      <c r="F282" s="52">
        <v>2768.4</v>
      </c>
      <c r="G282" s="53">
        <f>Tabla14[[#This Row],[Importe]]-Tabla14[[#This Row],[Pagado]]</f>
        <v>0</v>
      </c>
      <c r="H282" s="37" t="s">
        <v>10</v>
      </c>
    </row>
    <row r="283" spans="1:8" x14ac:dyDescent="0.25">
      <c r="A283" s="31">
        <v>44623</v>
      </c>
      <c r="B283" s="37" t="s">
        <v>7276</v>
      </c>
      <c r="C283" s="51" t="s">
        <v>664</v>
      </c>
      <c r="D283" s="52">
        <v>6398.8</v>
      </c>
      <c r="E283" s="35">
        <v>44623</v>
      </c>
      <c r="F283" s="52">
        <v>6398.8</v>
      </c>
      <c r="G283" s="53">
        <f>Tabla14[[#This Row],[Importe]]-Tabla14[[#This Row],[Pagado]]</f>
        <v>0</v>
      </c>
      <c r="H283" s="37" t="s">
        <v>10</v>
      </c>
    </row>
    <row r="284" spans="1:8" x14ac:dyDescent="0.25">
      <c r="A284" s="31">
        <v>44623</v>
      </c>
      <c r="B284" s="37" t="s">
        <v>7277</v>
      </c>
      <c r="C284" s="51" t="s">
        <v>4136</v>
      </c>
      <c r="D284" s="52">
        <v>1357.2</v>
      </c>
      <c r="E284" s="35">
        <v>44623</v>
      </c>
      <c r="F284" s="52">
        <v>1357.2</v>
      </c>
      <c r="G284" s="53">
        <f>Tabla14[[#This Row],[Importe]]-Tabla14[[#This Row],[Pagado]]</f>
        <v>0</v>
      </c>
      <c r="H284" s="37" t="s">
        <v>10</v>
      </c>
    </row>
    <row r="285" spans="1:8" x14ac:dyDescent="0.25">
      <c r="A285" s="31">
        <v>44623</v>
      </c>
      <c r="B285" s="37" t="s">
        <v>7278</v>
      </c>
      <c r="C285" s="51" t="s">
        <v>62</v>
      </c>
      <c r="D285" s="52">
        <v>5751.5</v>
      </c>
      <c r="E285" s="35">
        <v>44623</v>
      </c>
      <c r="F285" s="52">
        <v>5751.5</v>
      </c>
      <c r="G285" s="53">
        <f>Tabla14[[#This Row],[Importe]]-Tabla14[[#This Row],[Pagado]]</f>
        <v>0</v>
      </c>
      <c r="H285" s="37" t="s">
        <v>10</v>
      </c>
    </row>
    <row r="286" spans="1:8" x14ac:dyDescent="0.25">
      <c r="A286" s="31">
        <v>44623</v>
      </c>
      <c r="B286" s="37" t="s">
        <v>7279</v>
      </c>
      <c r="C286" s="51" t="s">
        <v>191</v>
      </c>
      <c r="D286" s="52">
        <v>1016.8</v>
      </c>
      <c r="E286" s="35">
        <v>44623</v>
      </c>
      <c r="F286" s="52">
        <v>1016.8</v>
      </c>
      <c r="G286" s="53">
        <f>Tabla14[[#This Row],[Importe]]-Tabla14[[#This Row],[Pagado]]</f>
        <v>0</v>
      </c>
      <c r="H286" s="37" t="s">
        <v>10</v>
      </c>
    </row>
    <row r="287" spans="1:8" x14ac:dyDescent="0.25">
      <c r="A287" s="31">
        <v>44623</v>
      </c>
      <c r="B287" s="37" t="s">
        <v>7280</v>
      </c>
      <c r="C287" s="51" t="s">
        <v>2114</v>
      </c>
      <c r="D287" s="52">
        <v>2652</v>
      </c>
      <c r="E287" s="35">
        <v>44623</v>
      </c>
      <c r="F287" s="52">
        <v>2652</v>
      </c>
      <c r="G287" s="53">
        <f>Tabla14[[#This Row],[Importe]]-Tabla14[[#This Row],[Pagado]]</f>
        <v>0</v>
      </c>
      <c r="H287" s="37" t="s">
        <v>10</v>
      </c>
    </row>
    <row r="288" spans="1:8" x14ac:dyDescent="0.25">
      <c r="A288" s="31">
        <v>44623</v>
      </c>
      <c r="B288" s="37" t="s">
        <v>7281</v>
      </c>
      <c r="C288" s="51" t="s">
        <v>407</v>
      </c>
      <c r="D288" s="52">
        <v>8104</v>
      </c>
      <c r="E288" s="35">
        <v>44626</v>
      </c>
      <c r="F288" s="52">
        <v>8104</v>
      </c>
      <c r="G288" s="53">
        <f>Tabla14[[#This Row],[Importe]]-Tabla14[[#This Row],[Pagado]]</f>
        <v>0</v>
      </c>
      <c r="H288" s="37" t="s">
        <v>10</v>
      </c>
    </row>
    <row r="289" spans="1:8" x14ac:dyDescent="0.25">
      <c r="A289" s="31">
        <v>44623</v>
      </c>
      <c r="B289" s="37" t="s">
        <v>7282</v>
      </c>
      <c r="C289" s="51" t="s">
        <v>414</v>
      </c>
      <c r="D289" s="52">
        <v>11383.2</v>
      </c>
      <c r="E289" s="35">
        <v>44623</v>
      </c>
      <c r="F289" s="52">
        <v>11383.2</v>
      </c>
      <c r="G289" s="53">
        <f>Tabla14[[#This Row],[Importe]]-Tabla14[[#This Row],[Pagado]]</f>
        <v>0</v>
      </c>
      <c r="H289" s="37" t="s">
        <v>10</v>
      </c>
    </row>
    <row r="290" spans="1:8" x14ac:dyDescent="0.25">
      <c r="A290" s="31">
        <v>44623</v>
      </c>
      <c r="B290" s="37" t="s">
        <v>7283</v>
      </c>
      <c r="C290" s="51" t="s">
        <v>670</v>
      </c>
      <c r="D290" s="52">
        <v>3943.5</v>
      </c>
      <c r="E290" s="35">
        <v>44623</v>
      </c>
      <c r="F290" s="52">
        <v>3943.5</v>
      </c>
      <c r="G290" s="53">
        <f>Tabla14[[#This Row],[Importe]]-Tabla14[[#This Row],[Pagado]]</f>
        <v>0</v>
      </c>
      <c r="H290" s="37" t="s">
        <v>10</v>
      </c>
    </row>
    <row r="291" spans="1:8" x14ac:dyDescent="0.25">
      <c r="A291" s="31">
        <v>44623</v>
      </c>
      <c r="B291" s="37" t="s">
        <v>7284</v>
      </c>
      <c r="C291" s="51" t="s">
        <v>31</v>
      </c>
      <c r="D291" s="52">
        <v>469.8</v>
      </c>
      <c r="E291" s="35">
        <v>44623</v>
      </c>
      <c r="F291" s="52">
        <v>469.8</v>
      </c>
      <c r="G291" s="53">
        <f>Tabla14[[#This Row],[Importe]]-Tabla14[[#This Row],[Pagado]]</f>
        <v>0</v>
      </c>
      <c r="H291" s="37" t="s">
        <v>10</v>
      </c>
    </row>
    <row r="292" spans="1:8" x14ac:dyDescent="0.25">
      <c r="A292" s="31">
        <v>44623</v>
      </c>
      <c r="B292" s="37" t="s">
        <v>7285</v>
      </c>
      <c r="C292" s="51" t="s">
        <v>421</v>
      </c>
      <c r="D292" s="52">
        <v>6754.8</v>
      </c>
      <c r="E292" s="35">
        <v>44623</v>
      </c>
      <c r="F292" s="52">
        <v>6754.8</v>
      </c>
      <c r="G292" s="53">
        <f>Tabla14[[#This Row],[Importe]]-Tabla14[[#This Row],[Pagado]]</f>
        <v>0</v>
      </c>
      <c r="H292" s="37" t="s">
        <v>10</v>
      </c>
    </row>
    <row r="293" spans="1:8" x14ac:dyDescent="0.25">
      <c r="A293" s="31">
        <v>44623</v>
      </c>
      <c r="B293" s="37" t="s">
        <v>7286</v>
      </c>
      <c r="C293" s="51" t="s">
        <v>275</v>
      </c>
      <c r="D293" s="52">
        <v>102727.54</v>
      </c>
      <c r="E293" s="35">
        <v>44631</v>
      </c>
      <c r="F293" s="52">
        <v>102727.54</v>
      </c>
      <c r="G293" s="53">
        <f>Tabla14[[#This Row],[Importe]]-Tabla14[[#This Row],[Pagado]]</f>
        <v>0</v>
      </c>
      <c r="H293" s="37" t="s">
        <v>10</v>
      </c>
    </row>
    <row r="294" spans="1:8" x14ac:dyDescent="0.25">
      <c r="A294" s="31">
        <v>44623</v>
      </c>
      <c r="B294" s="37" t="s">
        <v>7287</v>
      </c>
      <c r="C294" s="51" t="s">
        <v>698</v>
      </c>
      <c r="D294" s="52">
        <v>3987.6</v>
      </c>
      <c r="E294" s="35">
        <v>44623</v>
      </c>
      <c r="F294" s="52">
        <v>3987.6</v>
      </c>
      <c r="G294" s="53">
        <f>Tabla14[[#This Row],[Importe]]-Tabla14[[#This Row],[Pagado]]</f>
        <v>0</v>
      </c>
      <c r="H294" s="37" t="s">
        <v>10</v>
      </c>
    </row>
    <row r="295" spans="1:8" x14ac:dyDescent="0.25">
      <c r="A295" s="31">
        <v>44623</v>
      </c>
      <c r="B295" s="37" t="s">
        <v>7288</v>
      </c>
      <c r="C295" s="51" t="s">
        <v>135</v>
      </c>
      <c r="D295" s="52">
        <v>2064.1999999999998</v>
      </c>
      <c r="E295" s="35">
        <v>44623</v>
      </c>
      <c r="F295" s="52">
        <v>2064.1999999999998</v>
      </c>
      <c r="G295" s="53">
        <f>Tabla14[[#This Row],[Importe]]-Tabla14[[#This Row],[Pagado]]</f>
        <v>0</v>
      </c>
      <c r="H295" s="37" t="s">
        <v>10</v>
      </c>
    </row>
    <row r="296" spans="1:8" x14ac:dyDescent="0.25">
      <c r="A296" s="31">
        <v>44623</v>
      </c>
      <c r="B296" s="37" t="s">
        <v>7289</v>
      </c>
      <c r="C296" s="51" t="s">
        <v>284</v>
      </c>
      <c r="D296" s="52">
        <v>4384.8</v>
      </c>
      <c r="E296" s="35">
        <v>44624</v>
      </c>
      <c r="F296" s="52">
        <v>4384.8</v>
      </c>
      <c r="G296" s="53">
        <f>Tabla14[[#This Row],[Importe]]-Tabla14[[#This Row],[Pagado]]</f>
        <v>0</v>
      </c>
      <c r="H296" s="37" t="s">
        <v>10</v>
      </c>
    </row>
    <row r="297" spans="1:8" x14ac:dyDescent="0.25">
      <c r="A297" s="31">
        <v>44623</v>
      </c>
      <c r="B297" s="37" t="s">
        <v>7290</v>
      </c>
      <c r="C297" s="51" t="s">
        <v>282</v>
      </c>
      <c r="D297" s="52">
        <v>2316.6</v>
      </c>
      <c r="E297" s="35">
        <v>44624</v>
      </c>
      <c r="F297" s="52">
        <v>2316.6</v>
      </c>
      <c r="G297" s="53">
        <f>Tabla14[[#This Row],[Importe]]-Tabla14[[#This Row],[Pagado]]</f>
        <v>0</v>
      </c>
      <c r="H297" s="37" t="s">
        <v>10</v>
      </c>
    </row>
    <row r="298" spans="1:8" x14ac:dyDescent="0.25">
      <c r="A298" s="31">
        <v>44623</v>
      </c>
      <c r="B298" s="37" t="s">
        <v>7291</v>
      </c>
      <c r="C298" s="51" t="s">
        <v>5345</v>
      </c>
      <c r="D298" s="52">
        <v>1663.2</v>
      </c>
      <c r="E298" s="35">
        <v>44624</v>
      </c>
      <c r="F298" s="52">
        <v>1663.2</v>
      </c>
      <c r="G298" s="53">
        <f>Tabla14[[#This Row],[Importe]]-Tabla14[[#This Row],[Pagado]]</f>
        <v>0</v>
      </c>
      <c r="H298" s="37" t="s">
        <v>10</v>
      </c>
    </row>
    <row r="299" spans="1:8" x14ac:dyDescent="0.25">
      <c r="A299" s="31">
        <v>44623</v>
      </c>
      <c r="B299" s="37" t="s">
        <v>7292</v>
      </c>
      <c r="C299" s="51" t="s">
        <v>280</v>
      </c>
      <c r="D299" s="52">
        <v>610.20000000000005</v>
      </c>
      <c r="E299" s="35">
        <v>44624</v>
      </c>
      <c r="F299" s="52">
        <v>610.20000000000005</v>
      </c>
      <c r="G299" s="53">
        <f>Tabla14[[#This Row],[Importe]]-Tabla14[[#This Row],[Pagado]]</f>
        <v>0</v>
      </c>
      <c r="H299" s="37" t="s">
        <v>10</v>
      </c>
    </row>
    <row r="300" spans="1:8" x14ac:dyDescent="0.25">
      <c r="A300" s="31">
        <v>44623</v>
      </c>
      <c r="B300" s="37" t="s">
        <v>7293</v>
      </c>
      <c r="C300" s="51" t="s">
        <v>431</v>
      </c>
      <c r="D300" s="52">
        <v>567</v>
      </c>
      <c r="E300" s="35">
        <v>44624</v>
      </c>
      <c r="F300" s="52">
        <v>567</v>
      </c>
      <c r="G300" s="53">
        <f>Tabla14[[#This Row],[Importe]]-Tabla14[[#This Row],[Pagado]]</f>
        <v>0</v>
      </c>
      <c r="H300" s="37" t="s">
        <v>10</v>
      </c>
    </row>
    <row r="301" spans="1:8" x14ac:dyDescent="0.25">
      <c r="A301" s="31">
        <v>44623</v>
      </c>
      <c r="B301" s="37" t="s">
        <v>7294</v>
      </c>
      <c r="C301" s="51" t="s">
        <v>7295</v>
      </c>
      <c r="D301" s="52">
        <v>7463.4</v>
      </c>
      <c r="E301" s="35">
        <v>44623</v>
      </c>
      <c r="F301" s="52">
        <v>7463.4</v>
      </c>
      <c r="G301" s="53">
        <f>Tabla14[[#This Row],[Importe]]-Tabla14[[#This Row],[Pagado]]</f>
        <v>0</v>
      </c>
      <c r="H301" s="37" t="s">
        <v>10</v>
      </c>
    </row>
    <row r="302" spans="1:8" x14ac:dyDescent="0.25">
      <c r="A302" s="31">
        <v>44623</v>
      </c>
      <c r="B302" s="37" t="s">
        <v>7296</v>
      </c>
      <c r="C302" s="51" t="s">
        <v>7295</v>
      </c>
      <c r="D302" s="52">
        <v>2720.8</v>
      </c>
      <c r="E302" s="35">
        <v>44623</v>
      </c>
      <c r="F302" s="52">
        <v>2720.8</v>
      </c>
      <c r="G302" s="53">
        <f>Tabla14[[#This Row],[Importe]]-Tabla14[[#This Row],[Pagado]]</f>
        <v>0</v>
      </c>
      <c r="H302" s="37" t="s">
        <v>10</v>
      </c>
    </row>
    <row r="303" spans="1:8" x14ac:dyDescent="0.25">
      <c r="A303" s="31">
        <v>44623</v>
      </c>
      <c r="B303" s="37" t="s">
        <v>7297</v>
      </c>
      <c r="C303" s="51" t="s">
        <v>269</v>
      </c>
      <c r="D303" s="52">
        <v>2019.2</v>
      </c>
      <c r="E303" s="35">
        <v>44623</v>
      </c>
      <c r="F303" s="52">
        <v>2019.2</v>
      </c>
      <c r="G303" s="53">
        <f>Tabla14[[#This Row],[Importe]]-Tabla14[[#This Row],[Pagado]]</f>
        <v>0</v>
      </c>
      <c r="H303" s="37" t="s">
        <v>10</v>
      </c>
    </row>
    <row r="304" spans="1:8" x14ac:dyDescent="0.25">
      <c r="A304" s="31">
        <v>44623</v>
      </c>
      <c r="B304" s="37" t="s">
        <v>7298</v>
      </c>
      <c r="C304" s="51" t="s">
        <v>371</v>
      </c>
      <c r="D304" s="52">
        <v>6049.9</v>
      </c>
      <c r="E304" s="35">
        <v>44623</v>
      </c>
      <c r="F304" s="52">
        <v>6049.9</v>
      </c>
      <c r="G304" s="53">
        <f>Tabla14[[#This Row],[Importe]]-Tabla14[[#This Row],[Pagado]]</f>
        <v>0</v>
      </c>
      <c r="H304" s="37" t="s">
        <v>10</v>
      </c>
    </row>
    <row r="305" spans="1:8" x14ac:dyDescent="0.25">
      <c r="A305" s="31">
        <v>44623</v>
      </c>
      <c r="B305" s="37" t="s">
        <v>7299</v>
      </c>
      <c r="C305" s="51" t="s">
        <v>442</v>
      </c>
      <c r="D305" s="52">
        <v>4228</v>
      </c>
      <c r="E305" s="35">
        <v>44623</v>
      </c>
      <c r="F305" s="52">
        <v>4228</v>
      </c>
      <c r="G305" s="53">
        <f>Tabla14[[#This Row],[Importe]]-Tabla14[[#This Row],[Pagado]]</f>
        <v>0</v>
      </c>
      <c r="H305" s="37" t="s">
        <v>10</v>
      </c>
    </row>
    <row r="306" spans="1:8" x14ac:dyDescent="0.25">
      <c r="A306" s="31">
        <v>44623</v>
      </c>
      <c r="B306" s="37" t="s">
        <v>7300</v>
      </c>
      <c r="C306" s="51" t="s">
        <v>4523</v>
      </c>
      <c r="D306" s="52">
        <v>1046.5999999999999</v>
      </c>
      <c r="E306" s="35">
        <v>44623</v>
      </c>
      <c r="F306" s="52">
        <v>1046.5999999999999</v>
      </c>
      <c r="G306" s="53">
        <f>Tabla14[[#This Row],[Importe]]-Tabla14[[#This Row],[Pagado]]</f>
        <v>0</v>
      </c>
      <c r="H306" s="37" t="s">
        <v>10</v>
      </c>
    </row>
    <row r="307" spans="1:8" x14ac:dyDescent="0.25">
      <c r="A307" s="31">
        <v>44623</v>
      </c>
      <c r="B307" s="37" t="s">
        <v>7301</v>
      </c>
      <c r="C307" s="51" t="s">
        <v>583</v>
      </c>
      <c r="D307" s="52">
        <v>5771.22</v>
      </c>
      <c r="E307" s="35">
        <v>44623</v>
      </c>
      <c r="F307" s="52">
        <v>5771.22</v>
      </c>
      <c r="G307" s="53">
        <f>Tabla14[[#This Row],[Importe]]-Tabla14[[#This Row],[Pagado]]</f>
        <v>0</v>
      </c>
      <c r="H307" s="37" t="s">
        <v>10</v>
      </c>
    </row>
    <row r="308" spans="1:8" x14ac:dyDescent="0.25">
      <c r="A308" s="31">
        <v>44623</v>
      </c>
      <c r="B308" s="37" t="s">
        <v>7302</v>
      </c>
      <c r="C308" s="51" t="s">
        <v>1008</v>
      </c>
      <c r="D308" s="52">
        <v>3580.5</v>
      </c>
      <c r="E308" s="35">
        <v>44623</v>
      </c>
      <c r="F308" s="52">
        <v>3580.5</v>
      </c>
      <c r="G308" s="53">
        <f>Tabla14[[#This Row],[Importe]]-Tabla14[[#This Row],[Pagado]]</f>
        <v>0</v>
      </c>
      <c r="H308" s="37" t="s">
        <v>10</v>
      </c>
    </row>
    <row r="309" spans="1:8" x14ac:dyDescent="0.25">
      <c r="A309" s="31">
        <v>44623</v>
      </c>
      <c r="B309" s="37" t="s">
        <v>7303</v>
      </c>
      <c r="C309" s="51" t="s">
        <v>9</v>
      </c>
      <c r="D309" s="52">
        <v>686.4</v>
      </c>
      <c r="E309" s="35">
        <v>44623</v>
      </c>
      <c r="F309" s="52">
        <v>686.4</v>
      </c>
      <c r="G309" s="53">
        <f>Tabla14[[#This Row],[Importe]]-Tabla14[[#This Row],[Pagado]]</f>
        <v>0</v>
      </c>
      <c r="H309" s="37" t="s">
        <v>10</v>
      </c>
    </row>
    <row r="310" spans="1:8" x14ac:dyDescent="0.25">
      <c r="A310" s="31">
        <v>44623</v>
      </c>
      <c r="B310" s="37" t="s">
        <v>7304</v>
      </c>
      <c r="C310" s="51" t="s">
        <v>729</v>
      </c>
      <c r="D310" s="52">
        <v>21254.1</v>
      </c>
      <c r="E310" s="35">
        <v>44624</v>
      </c>
      <c r="F310" s="52">
        <v>21254.1</v>
      </c>
      <c r="G310" s="53">
        <f>Tabla14[[#This Row],[Importe]]-Tabla14[[#This Row],[Pagado]]</f>
        <v>0</v>
      </c>
      <c r="H310" s="37" t="s">
        <v>10</v>
      </c>
    </row>
    <row r="311" spans="1:8" x14ac:dyDescent="0.25">
      <c r="A311" s="31">
        <v>44623</v>
      </c>
      <c r="B311" s="37" t="s">
        <v>7305</v>
      </c>
      <c r="C311" s="51" t="s">
        <v>31</v>
      </c>
      <c r="D311" s="52">
        <v>506</v>
      </c>
      <c r="E311" s="35">
        <v>44624</v>
      </c>
      <c r="F311" s="52">
        <v>506</v>
      </c>
      <c r="G311" s="53">
        <f>Tabla14[[#This Row],[Importe]]-Tabla14[[#This Row],[Pagado]]</f>
        <v>0</v>
      </c>
      <c r="H311" s="37" t="s">
        <v>10</v>
      </c>
    </row>
    <row r="312" spans="1:8" x14ac:dyDescent="0.25">
      <c r="A312" s="31">
        <v>44623</v>
      </c>
      <c r="B312" s="37" t="s">
        <v>7306</v>
      </c>
      <c r="C312" s="51" t="s">
        <v>31</v>
      </c>
      <c r="D312" s="52">
        <v>48.6</v>
      </c>
      <c r="E312" s="35">
        <v>44623</v>
      </c>
      <c r="F312" s="52">
        <v>48.6</v>
      </c>
      <c r="G312" s="53">
        <f>Tabla14[[#This Row],[Importe]]-Tabla14[[#This Row],[Pagado]]</f>
        <v>0</v>
      </c>
      <c r="H312" s="37" t="s">
        <v>10</v>
      </c>
    </row>
    <row r="313" spans="1:8" x14ac:dyDescent="0.25">
      <c r="A313" s="31">
        <v>44623</v>
      </c>
      <c r="B313" s="37" t="s">
        <v>7307</v>
      </c>
      <c r="C313" s="51" t="s">
        <v>2020</v>
      </c>
      <c r="D313" s="52">
        <v>52000</v>
      </c>
      <c r="E313" s="35">
        <v>44623</v>
      </c>
      <c r="F313" s="52">
        <v>52000</v>
      </c>
      <c r="G313" s="53">
        <f>Tabla14[[#This Row],[Importe]]-Tabla14[[#This Row],[Pagado]]</f>
        <v>0</v>
      </c>
      <c r="H313" s="37" t="s">
        <v>10</v>
      </c>
    </row>
    <row r="314" spans="1:8" x14ac:dyDescent="0.25">
      <c r="A314" s="31">
        <v>44623</v>
      </c>
      <c r="B314" s="37" t="s">
        <v>7308</v>
      </c>
      <c r="C314" s="51" t="s">
        <v>2020</v>
      </c>
      <c r="D314" s="52">
        <v>1200</v>
      </c>
      <c r="E314" s="35">
        <v>44623</v>
      </c>
      <c r="F314" s="52">
        <v>1200</v>
      </c>
      <c r="G314" s="53">
        <f>Tabla14[[#This Row],[Importe]]-Tabla14[[#This Row],[Pagado]]</f>
        <v>0</v>
      </c>
      <c r="H314" s="37" t="s">
        <v>10</v>
      </c>
    </row>
    <row r="315" spans="1:8" x14ac:dyDescent="0.25">
      <c r="A315" s="31">
        <v>44623</v>
      </c>
      <c r="B315" s="37" t="s">
        <v>7309</v>
      </c>
      <c r="C315" s="51" t="s">
        <v>296</v>
      </c>
      <c r="D315" s="52">
        <v>1095</v>
      </c>
      <c r="E315" s="35">
        <v>44623</v>
      </c>
      <c r="F315" s="52">
        <v>1095</v>
      </c>
      <c r="G315" s="53">
        <f>Tabla14[[#This Row],[Importe]]-Tabla14[[#This Row],[Pagado]]</f>
        <v>0</v>
      </c>
      <c r="H315" s="37" t="s">
        <v>10</v>
      </c>
    </row>
    <row r="316" spans="1:8" x14ac:dyDescent="0.25">
      <c r="A316" s="31">
        <v>44623</v>
      </c>
      <c r="B316" s="37" t="s">
        <v>7310</v>
      </c>
      <c r="C316" s="51" t="s">
        <v>31</v>
      </c>
      <c r="D316" s="52">
        <v>484</v>
      </c>
      <c r="E316" s="35">
        <v>44623</v>
      </c>
      <c r="F316" s="52">
        <v>484</v>
      </c>
      <c r="G316" s="53">
        <f>Tabla14[[#This Row],[Importe]]-Tabla14[[#This Row],[Pagado]]</f>
        <v>0</v>
      </c>
      <c r="H316" s="37" t="s">
        <v>10</v>
      </c>
    </row>
    <row r="317" spans="1:8" x14ac:dyDescent="0.25">
      <c r="A317" s="31">
        <v>44623</v>
      </c>
      <c r="B317" s="37" t="s">
        <v>7311</v>
      </c>
      <c r="C317" s="51" t="s">
        <v>71</v>
      </c>
      <c r="D317" s="52">
        <v>4553.8999999999996</v>
      </c>
      <c r="E317" s="35">
        <v>44623</v>
      </c>
      <c r="F317" s="52">
        <v>4553.8999999999996</v>
      </c>
      <c r="G317" s="53">
        <f>Tabla14[[#This Row],[Importe]]-Tabla14[[#This Row],[Pagado]]</f>
        <v>0</v>
      </c>
      <c r="H317" s="37" t="s">
        <v>10</v>
      </c>
    </row>
    <row r="318" spans="1:8" x14ac:dyDescent="0.25">
      <c r="A318" s="31">
        <v>44623</v>
      </c>
      <c r="B318" s="37" t="s">
        <v>7312</v>
      </c>
      <c r="C318" s="51" t="s">
        <v>7313</v>
      </c>
      <c r="D318" s="52">
        <v>5568.9</v>
      </c>
      <c r="E318" s="35">
        <v>44623</v>
      </c>
      <c r="F318" s="52">
        <v>5568.9</v>
      </c>
      <c r="G318" s="53">
        <f>Tabla14[[#This Row],[Importe]]-Tabla14[[#This Row],[Pagado]]</f>
        <v>0</v>
      </c>
      <c r="H318" s="37" t="s">
        <v>10</v>
      </c>
    </row>
    <row r="319" spans="1:8" x14ac:dyDescent="0.25">
      <c r="A319" s="31">
        <v>44623</v>
      </c>
      <c r="B319" s="37" t="s">
        <v>7314</v>
      </c>
      <c r="C319" s="51" t="s">
        <v>31</v>
      </c>
      <c r="D319" s="52">
        <v>34.5</v>
      </c>
      <c r="E319" s="35">
        <v>44623</v>
      </c>
      <c r="F319" s="52">
        <v>34.5</v>
      </c>
      <c r="G319" s="53">
        <f>Tabla14[[#This Row],[Importe]]-Tabla14[[#This Row],[Pagado]]</f>
        <v>0</v>
      </c>
      <c r="H319" s="37" t="s">
        <v>10</v>
      </c>
    </row>
    <row r="320" spans="1:8" x14ac:dyDescent="0.25">
      <c r="A320" s="31">
        <v>44623</v>
      </c>
      <c r="B320" s="37" t="s">
        <v>7315</v>
      </c>
      <c r="C320" s="51" t="s">
        <v>27</v>
      </c>
      <c r="D320" s="52">
        <v>939.6</v>
      </c>
      <c r="E320" s="35">
        <v>44623</v>
      </c>
      <c r="F320" s="52">
        <v>939.6</v>
      </c>
      <c r="G320" s="53">
        <f>Tabla14[[#This Row],[Importe]]-Tabla14[[#This Row],[Pagado]]</f>
        <v>0</v>
      </c>
      <c r="H320" s="37" t="s">
        <v>10</v>
      </c>
    </row>
    <row r="321" spans="1:8" x14ac:dyDescent="0.25">
      <c r="A321" s="31">
        <v>44623</v>
      </c>
      <c r="B321" s="37" t="s">
        <v>7316</v>
      </c>
      <c r="C321" s="51" t="s">
        <v>179</v>
      </c>
      <c r="D321" s="52">
        <v>885.6</v>
      </c>
      <c r="E321" s="35">
        <v>44624</v>
      </c>
      <c r="F321" s="52">
        <v>885.6</v>
      </c>
      <c r="G321" s="53">
        <f>Tabla14[[#This Row],[Importe]]-Tabla14[[#This Row],[Pagado]]</f>
        <v>0</v>
      </c>
      <c r="H321" s="37" t="s">
        <v>10</v>
      </c>
    </row>
    <row r="322" spans="1:8" x14ac:dyDescent="0.25">
      <c r="A322" s="31">
        <v>44623</v>
      </c>
      <c r="B322" s="37" t="s">
        <v>7317</v>
      </c>
      <c r="C322" s="51" t="s">
        <v>4027</v>
      </c>
      <c r="D322" s="52">
        <v>665.2</v>
      </c>
      <c r="E322" s="35">
        <v>44624</v>
      </c>
      <c r="F322" s="52">
        <v>665.2</v>
      </c>
      <c r="G322" s="53">
        <f>Tabla14[[#This Row],[Importe]]-Tabla14[[#This Row],[Pagado]]</f>
        <v>0</v>
      </c>
      <c r="H322" s="37" t="s">
        <v>10</v>
      </c>
    </row>
    <row r="323" spans="1:8" x14ac:dyDescent="0.25">
      <c r="A323" s="31">
        <v>44624</v>
      </c>
      <c r="B323" s="37" t="s">
        <v>7318</v>
      </c>
      <c r="C323" s="51" t="s">
        <v>887</v>
      </c>
      <c r="D323" s="52">
        <v>11713.9</v>
      </c>
      <c r="E323" s="35">
        <v>44625</v>
      </c>
      <c r="F323" s="52">
        <v>11713.9</v>
      </c>
      <c r="G323" s="53">
        <f>Tabla14[[#This Row],[Importe]]-Tabla14[[#This Row],[Pagado]]</f>
        <v>0</v>
      </c>
      <c r="H323" s="37" t="s">
        <v>10</v>
      </c>
    </row>
    <row r="324" spans="1:8" x14ac:dyDescent="0.25">
      <c r="A324" s="31">
        <v>44624</v>
      </c>
      <c r="B324" s="37" t="s">
        <v>7319</v>
      </c>
      <c r="C324" s="51" t="s">
        <v>481</v>
      </c>
      <c r="D324" s="52">
        <v>1377.5</v>
      </c>
      <c r="E324" s="35">
        <v>44624</v>
      </c>
      <c r="F324" s="52">
        <v>1377.5</v>
      </c>
      <c r="G324" s="53">
        <f>Tabla14[[#This Row],[Importe]]-Tabla14[[#This Row],[Pagado]]</f>
        <v>0</v>
      </c>
      <c r="H324" s="37" t="s">
        <v>10</v>
      </c>
    </row>
    <row r="325" spans="1:8" x14ac:dyDescent="0.25">
      <c r="A325" s="31">
        <v>44624</v>
      </c>
      <c r="B325" s="37" t="s">
        <v>7320</v>
      </c>
      <c r="C325" s="51" t="s">
        <v>31</v>
      </c>
      <c r="D325" s="52">
        <v>437.4</v>
      </c>
      <c r="E325" s="35">
        <v>44624</v>
      </c>
      <c r="F325" s="52">
        <v>437.4</v>
      </c>
      <c r="G325" s="53">
        <f>Tabla14[[#This Row],[Importe]]-Tabla14[[#This Row],[Pagado]]</f>
        <v>0</v>
      </c>
      <c r="H325" s="37" t="s">
        <v>10</v>
      </c>
    </row>
    <row r="326" spans="1:8" ht="31.5" x14ac:dyDescent="0.25">
      <c r="A326" s="31">
        <v>44624</v>
      </c>
      <c r="B326" s="37" t="s">
        <v>7321</v>
      </c>
      <c r="C326" s="51" t="s">
        <v>475</v>
      </c>
      <c r="D326" s="52">
        <v>46407.9</v>
      </c>
      <c r="E326" s="35" t="s">
        <v>7322</v>
      </c>
      <c r="F326" s="52">
        <f>31000+15407.9</f>
        <v>46407.9</v>
      </c>
      <c r="G326" s="53">
        <f>Tabla14[[#This Row],[Importe]]-Tabla14[[#This Row],[Pagado]]</f>
        <v>0</v>
      </c>
      <c r="H326" s="37" t="s">
        <v>10</v>
      </c>
    </row>
    <row r="327" spans="1:8" x14ac:dyDescent="0.25">
      <c r="A327" s="31">
        <v>44624</v>
      </c>
      <c r="B327" s="37" t="s">
        <v>7323</v>
      </c>
      <c r="C327" s="51" t="s">
        <v>83</v>
      </c>
      <c r="D327" s="52">
        <v>8388.7999999999993</v>
      </c>
      <c r="E327" s="35">
        <v>44624</v>
      </c>
      <c r="F327" s="52">
        <v>8388.7999999999993</v>
      </c>
      <c r="G327" s="53">
        <f>Tabla14[[#This Row],[Importe]]-Tabla14[[#This Row],[Pagado]]</f>
        <v>0</v>
      </c>
      <c r="H327" s="37" t="s">
        <v>10</v>
      </c>
    </row>
    <row r="328" spans="1:8" x14ac:dyDescent="0.25">
      <c r="A328" s="31">
        <v>44624</v>
      </c>
      <c r="B328" s="37" t="s">
        <v>7324</v>
      </c>
      <c r="C328" s="51" t="s">
        <v>85</v>
      </c>
      <c r="D328" s="52">
        <v>1555.2</v>
      </c>
      <c r="E328" s="35">
        <v>44624</v>
      </c>
      <c r="F328" s="52">
        <v>1555.2</v>
      </c>
      <c r="G328" s="53">
        <f>Tabla14[[#This Row],[Importe]]-Tabla14[[#This Row],[Pagado]]</f>
        <v>0</v>
      </c>
      <c r="H328" s="37" t="s">
        <v>10</v>
      </c>
    </row>
    <row r="329" spans="1:8" x14ac:dyDescent="0.25">
      <c r="A329" s="31">
        <v>44624</v>
      </c>
      <c r="B329" s="37" t="s">
        <v>7325</v>
      </c>
      <c r="C329" s="51" t="s">
        <v>56</v>
      </c>
      <c r="D329" s="52">
        <v>7124.1</v>
      </c>
      <c r="E329" s="35">
        <v>44624</v>
      </c>
      <c r="F329" s="52">
        <v>7124.1</v>
      </c>
      <c r="G329" s="53">
        <f>Tabla14[[#This Row],[Importe]]-Tabla14[[#This Row],[Pagado]]</f>
        <v>0</v>
      </c>
      <c r="H329" s="37" t="s">
        <v>10</v>
      </c>
    </row>
    <row r="330" spans="1:8" x14ac:dyDescent="0.25">
      <c r="A330" s="31">
        <v>44624</v>
      </c>
      <c r="B330" s="37" t="s">
        <v>7326</v>
      </c>
      <c r="C330" s="51" t="s">
        <v>56</v>
      </c>
      <c r="D330" s="52">
        <v>717.6</v>
      </c>
      <c r="E330" s="35">
        <v>44624</v>
      </c>
      <c r="F330" s="52">
        <v>717.6</v>
      </c>
      <c r="G330" s="53">
        <f>Tabla14[[#This Row],[Importe]]-Tabla14[[#This Row],[Pagado]]</f>
        <v>0</v>
      </c>
      <c r="H330" s="37" t="s">
        <v>10</v>
      </c>
    </row>
    <row r="331" spans="1:8" x14ac:dyDescent="0.25">
      <c r="A331" s="31">
        <v>44624</v>
      </c>
      <c r="B331" s="37" t="s">
        <v>7327</v>
      </c>
      <c r="C331" s="51" t="s">
        <v>12</v>
      </c>
      <c r="D331" s="52">
        <v>47203.8</v>
      </c>
      <c r="E331" s="35">
        <v>44625</v>
      </c>
      <c r="F331" s="52">
        <v>47203.8</v>
      </c>
      <c r="G331" s="53">
        <f>Tabla14[[#This Row],[Importe]]-Tabla14[[#This Row],[Pagado]]</f>
        <v>0</v>
      </c>
      <c r="H331" s="37" t="s">
        <v>10</v>
      </c>
    </row>
    <row r="332" spans="1:8" x14ac:dyDescent="0.25">
      <c r="A332" s="31">
        <v>44624</v>
      </c>
      <c r="B332" s="37" t="s">
        <v>7328</v>
      </c>
      <c r="C332" s="51" t="s">
        <v>18</v>
      </c>
      <c r="D332" s="52">
        <v>1624</v>
      </c>
      <c r="E332" s="35">
        <v>44624</v>
      </c>
      <c r="F332" s="52">
        <v>1624</v>
      </c>
      <c r="G332" s="53">
        <f>Tabla14[[#This Row],[Importe]]-Tabla14[[#This Row],[Pagado]]</f>
        <v>0</v>
      </c>
      <c r="H332" s="37" t="s">
        <v>10</v>
      </c>
    </row>
    <row r="333" spans="1:8" x14ac:dyDescent="0.25">
      <c r="A333" s="31">
        <v>44624</v>
      </c>
      <c r="B333" s="37" t="s">
        <v>7329</v>
      </c>
      <c r="C333" s="51" t="s">
        <v>6667</v>
      </c>
      <c r="D333" s="52">
        <v>2892.4</v>
      </c>
      <c r="E333" s="35">
        <v>44624</v>
      </c>
      <c r="F333" s="52">
        <v>2892.4</v>
      </c>
      <c r="G333" s="53">
        <f>Tabla14[[#This Row],[Importe]]-Tabla14[[#This Row],[Pagado]]</f>
        <v>0</v>
      </c>
      <c r="H333" s="37" t="s">
        <v>10</v>
      </c>
    </row>
    <row r="334" spans="1:8" x14ac:dyDescent="0.25">
      <c r="A334" s="31">
        <v>44624</v>
      </c>
      <c r="B334" s="37" t="s">
        <v>7330</v>
      </c>
      <c r="C334" s="51" t="s">
        <v>31</v>
      </c>
      <c r="D334" s="52">
        <v>434.5</v>
      </c>
      <c r="E334" s="35">
        <v>44624</v>
      </c>
      <c r="F334" s="52">
        <v>434.5</v>
      </c>
      <c r="G334" s="53">
        <f>Tabla14[[#This Row],[Importe]]-Tabla14[[#This Row],[Pagado]]</f>
        <v>0</v>
      </c>
      <c r="H334" s="37" t="s">
        <v>10</v>
      </c>
    </row>
    <row r="335" spans="1:8" x14ac:dyDescent="0.25">
      <c r="A335" s="31">
        <v>44624</v>
      </c>
      <c r="B335" s="37" t="s">
        <v>7331</v>
      </c>
      <c r="C335" s="51" t="s">
        <v>9</v>
      </c>
      <c r="D335" s="52">
        <v>5097.2</v>
      </c>
      <c r="E335" s="35">
        <v>44624</v>
      </c>
      <c r="F335" s="52">
        <v>5097.2</v>
      </c>
      <c r="G335" s="53">
        <f>Tabla14[[#This Row],[Importe]]-Tabla14[[#This Row],[Pagado]]</f>
        <v>0</v>
      </c>
      <c r="H335" s="37" t="s">
        <v>10</v>
      </c>
    </row>
    <row r="336" spans="1:8" x14ac:dyDescent="0.25">
      <c r="A336" s="31">
        <v>44624</v>
      </c>
      <c r="B336" s="37" t="s">
        <v>7332</v>
      </c>
      <c r="C336" s="51" t="s">
        <v>142</v>
      </c>
      <c r="D336" s="52">
        <v>52173.7</v>
      </c>
      <c r="E336" s="35" t="s">
        <v>7024</v>
      </c>
      <c r="F336" s="52">
        <v>52173.7</v>
      </c>
      <c r="G336" s="53">
        <f>Tabla14[[#This Row],[Importe]]-Tabla14[[#This Row],[Pagado]]</f>
        <v>0</v>
      </c>
      <c r="H336" s="37" t="s">
        <v>10</v>
      </c>
    </row>
    <row r="337" spans="1:8" x14ac:dyDescent="0.25">
      <c r="A337" s="31">
        <v>44624</v>
      </c>
      <c r="B337" s="37" t="s">
        <v>7333</v>
      </c>
      <c r="C337" s="51" t="s">
        <v>326</v>
      </c>
      <c r="D337" s="52">
        <v>3966.8</v>
      </c>
      <c r="E337" s="35">
        <v>44625</v>
      </c>
      <c r="F337" s="52">
        <v>3966.8</v>
      </c>
      <c r="G337" s="53">
        <f>Tabla14[[#This Row],[Importe]]-Tabla14[[#This Row],[Pagado]]</f>
        <v>0</v>
      </c>
      <c r="H337" s="37" t="s">
        <v>10</v>
      </c>
    </row>
    <row r="338" spans="1:8" x14ac:dyDescent="0.25">
      <c r="A338" s="31">
        <v>44624</v>
      </c>
      <c r="B338" s="37" t="s">
        <v>7334</v>
      </c>
      <c r="C338" s="51" t="s">
        <v>382</v>
      </c>
      <c r="D338" s="52">
        <v>7117.2</v>
      </c>
      <c r="E338" s="35">
        <v>44624</v>
      </c>
      <c r="F338" s="52">
        <v>7117.2</v>
      </c>
      <c r="G338" s="53">
        <f>Tabla14[[#This Row],[Importe]]-Tabla14[[#This Row],[Pagado]]</f>
        <v>0</v>
      </c>
      <c r="H338" s="37" t="s">
        <v>10</v>
      </c>
    </row>
    <row r="339" spans="1:8" x14ac:dyDescent="0.25">
      <c r="A339" s="31">
        <v>44624</v>
      </c>
      <c r="B339" s="37" t="s">
        <v>7335</v>
      </c>
      <c r="C339" s="51" t="s">
        <v>97</v>
      </c>
      <c r="D339" s="52">
        <v>7858.4</v>
      </c>
      <c r="E339" s="35">
        <v>44625</v>
      </c>
      <c r="F339" s="52">
        <v>7858.4</v>
      </c>
      <c r="G339" s="53">
        <f>Tabla14[[#This Row],[Importe]]-Tabla14[[#This Row],[Pagado]]</f>
        <v>0</v>
      </c>
      <c r="H339" s="37" t="s">
        <v>10</v>
      </c>
    </row>
    <row r="340" spans="1:8" x14ac:dyDescent="0.25">
      <c r="A340" s="31">
        <v>44624</v>
      </c>
      <c r="B340" s="37" t="s">
        <v>7336</v>
      </c>
      <c r="C340" s="51" t="s">
        <v>111</v>
      </c>
      <c r="D340" s="52">
        <v>3764.7</v>
      </c>
      <c r="E340" s="35">
        <v>44625</v>
      </c>
      <c r="F340" s="52">
        <v>3764.7</v>
      </c>
      <c r="G340" s="53">
        <f>Tabla14[[#This Row],[Importe]]-Tabla14[[#This Row],[Pagado]]</f>
        <v>0</v>
      </c>
      <c r="H340" s="37" t="s">
        <v>10</v>
      </c>
    </row>
    <row r="341" spans="1:8" x14ac:dyDescent="0.25">
      <c r="A341" s="31">
        <v>44624</v>
      </c>
      <c r="B341" s="37" t="s">
        <v>7337</v>
      </c>
      <c r="C341" s="51" t="s">
        <v>109</v>
      </c>
      <c r="D341" s="52">
        <v>3985.6</v>
      </c>
      <c r="E341" s="35">
        <v>44625</v>
      </c>
      <c r="F341" s="52">
        <v>3985.6</v>
      </c>
      <c r="G341" s="53">
        <f>Tabla14[[#This Row],[Importe]]-Tabla14[[#This Row],[Pagado]]</f>
        <v>0</v>
      </c>
      <c r="H341" s="37" t="s">
        <v>10</v>
      </c>
    </row>
    <row r="342" spans="1:8" x14ac:dyDescent="0.25">
      <c r="A342" s="31">
        <v>44624</v>
      </c>
      <c r="B342" s="37" t="s">
        <v>7338</v>
      </c>
      <c r="C342" s="51" t="s">
        <v>89</v>
      </c>
      <c r="D342" s="52">
        <v>3722.4</v>
      </c>
      <c r="E342" s="35">
        <v>44625</v>
      </c>
      <c r="F342" s="52">
        <v>3722.4</v>
      </c>
      <c r="G342" s="53">
        <f>Tabla14[[#This Row],[Importe]]-Tabla14[[#This Row],[Pagado]]</f>
        <v>0</v>
      </c>
      <c r="H342" s="37" t="s">
        <v>10</v>
      </c>
    </row>
    <row r="343" spans="1:8" x14ac:dyDescent="0.25">
      <c r="A343" s="31">
        <v>44624</v>
      </c>
      <c r="B343" s="37" t="s">
        <v>7339</v>
      </c>
      <c r="C343" s="51" t="s">
        <v>93</v>
      </c>
      <c r="D343" s="52">
        <v>5916.6</v>
      </c>
      <c r="E343" s="35">
        <v>44625</v>
      </c>
      <c r="F343" s="52">
        <v>5916.6</v>
      </c>
      <c r="G343" s="53">
        <f>Tabla14[[#This Row],[Importe]]-Tabla14[[#This Row],[Pagado]]</f>
        <v>0</v>
      </c>
      <c r="H343" s="37" t="s">
        <v>10</v>
      </c>
    </row>
    <row r="344" spans="1:8" x14ac:dyDescent="0.25">
      <c r="A344" s="31">
        <v>44624</v>
      </c>
      <c r="B344" s="37" t="s">
        <v>7340</v>
      </c>
      <c r="C344" s="51" t="s">
        <v>64</v>
      </c>
      <c r="D344" s="52">
        <v>7705.1</v>
      </c>
      <c r="E344" s="35">
        <v>44625</v>
      </c>
      <c r="F344" s="52">
        <v>7705.1</v>
      </c>
      <c r="G344" s="53">
        <f>Tabla14[[#This Row],[Importe]]-Tabla14[[#This Row],[Pagado]]</f>
        <v>0</v>
      </c>
      <c r="H344" s="37" t="s">
        <v>10</v>
      </c>
    </row>
    <row r="345" spans="1:8" x14ac:dyDescent="0.25">
      <c r="A345" s="31">
        <v>44624</v>
      </c>
      <c r="B345" s="37" t="s">
        <v>7341</v>
      </c>
      <c r="C345" s="51" t="s">
        <v>39</v>
      </c>
      <c r="D345" s="52">
        <v>18755.5</v>
      </c>
      <c r="E345" s="35">
        <v>44624</v>
      </c>
      <c r="F345" s="52">
        <v>18755.5</v>
      </c>
      <c r="G345" s="53">
        <f>Tabla14[[#This Row],[Importe]]-Tabla14[[#This Row],[Pagado]]</f>
        <v>0</v>
      </c>
      <c r="H345" s="37" t="s">
        <v>10</v>
      </c>
    </row>
    <row r="346" spans="1:8" x14ac:dyDescent="0.25">
      <c r="A346" s="31">
        <v>44624</v>
      </c>
      <c r="B346" s="37" t="s">
        <v>7342</v>
      </c>
      <c r="C346" s="51" t="s">
        <v>114</v>
      </c>
      <c r="D346" s="52">
        <v>4190.8999999999996</v>
      </c>
      <c r="E346" s="35">
        <v>44625</v>
      </c>
      <c r="F346" s="52">
        <v>4190.8999999999996</v>
      </c>
      <c r="G346" s="53">
        <f>Tabla14[[#This Row],[Importe]]-Tabla14[[#This Row],[Pagado]]</f>
        <v>0</v>
      </c>
      <c r="H346" s="37" t="s">
        <v>10</v>
      </c>
    </row>
    <row r="347" spans="1:8" x14ac:dyDescent="0.25">
      <c r="A347" s="31">
        <v>44624</v>
      </c>
      <c r="B347" s="37" t="s">
        <v>7343</v>
      </c>
      <c r="C347" s="51" t="s">
        <v>6667</v>
      </c>
      <c r="D347" s="52">
        <v>3645.6</v>
      </c>
      <c r="E347" s="35">
        <v>44624</v>
      </c>
      <c r="F347" s="52">
        <v>3645.6</v>
      </c>
      <c r="G347" s="53">
        <f>Tabla14[[#This Row],[Importe]]-Tabla14[[#This Row],[Pagado]]</f>
        <v>0</v>
      </c>
      <c r="H347" s="37" t="s">
        <v>10</v>
      </c>
    </row>
    <row r="348" spans="1:8" x14ac:dyDescent="0.25">
      <c r="A348" s="31">
        <v>44624</v>
      </c>
      <c r="B348" s="37" t="s">
        <v>7344</v>
      </c>
      <c r="C348" s="51" t="s">
        <v>345</v>
      </c>
      <c r="D348" s="52">
        <v>361.8</v>
      </c>
      <c r="E348" s="35">
        <v>44624</v>
      </c>
      <c r="F348" s="52">
        <v>361.8</v>
      </c>
      <c r="G348" s="53">
        <f>Tabla14[[#This Row],[Importe]]-Tabla14[[#This Row],[Pagado]]</f>
        <v>0</v>
      </c>
      <c r="H348" s="37" t="s">
        <v>10</v>
      </c>
    </row>
    <row r="349" spans="1:8" x14ac:dyDescent="0.25">
      <c r="A349" s="31">
        <v>44624</v>
      </c>
      <c r="B349" s="37" t="s">
        <v>7345</v>
      </c>
      <c r="C349" s="51" t="s">
        <v>105</v>
      </c>
      <c r="D349" s="52">
        <v>8712</v>
      </c>
      <c r="E349" s="35">
        <v>44625</v>
      </c>
      <c r="F349" s="52">
        <v>8712</v>
      </c>
      <c r="G349" s="53">
        <f>Tabla14[[#This Row],[Importe]]-Tabla14[[#This Row],[Pagado]]</f>
        <v>0</v>
      </c>
      <c r="H349" s="37" t="s">
        <v>10</v>
      </c>
    </row>
    <row r="350" spans="1:8" x14ac:dyDescent="0.25">
      <c r="A350" s="31">
        <v>44624</v>
      </c>
      <c r="B350" s="37" t="s">
        <v>7346</v>
      </c>
      <c r="C350" s="51" t="s">
        <v>22</v>
      </c>
      <c r="D350" s="52">
        <v>38832.1</v>
      </c>
      <c r="E350" s="35">
        <v>44625</v>
      </c>
      <c r="F350" s="52">
        <v>38832.1</v>
      </c>
      <c r="G350" s="53">
        <f>Tabla14[[#This Row],[Importe]]-Tabla14[[#This Row],[Pagado]]</f>
        <v>0</v>
      </c>
      <c r="H350" s="37" t="s">
        <v>10</v>
      </c>
    </row>
    <row r="351" spans="1:8" x14ac:dyDescent="0.25">
      <c r="A351" s="31">
        <v>44624</v>
      </c>
      <c r="B351" s="37" t="s">
        <v>7347</v>
      </c>
      <c r="C351" s="51" t="s">
        <v>154</v>
      </c>
      <c r="D351" s="52">
        <v>50412.4</v>
      </c>
      <c r="E351" s="35">
        <v>44631</v>
      </c>
      <c r="F351" s="52">
        <v>50412.4</v>
      </c>
      <c r="G351" s="53">
        <f>Tabla14[[#This Row],[Importe]]-Tabla14[[#This Row],[Pagado]]</f>
        <v>0</v>
      </c>
      <c r="H351" s="37" t="s">
        <v>10</v>
      </c>
    </row>
    <row r="352" spans="1:8" x14ac:dyDescent="0.25">
      <c r="A352" s="31">
        <v>44624</v>
      </c>
      <c r="B352" s="37" t="s">
        <v>7348</v>
      </c>
      <c r="C352" s="51" t="s">
        <v>878</v>
      </c>
      <c r="D352" s="52">
        <v>2655.3</v>
      </c>
      <c r="E352" s="35">
        <v>44624</v>
      </c>
      <c r="F352" s="52">
        <v>2655.3</v>
      </c>
      <c r="G352" s="53">
        <f>Tabla14[[#This Row],[Importe]]-Tabla14[[#This Row],[Pagado]]</f>
        <v>0</v>
      </c>
      <c r="H352" s="37" t="s">
        <v>10</v>
      </c>
    </row>
    <row r="353" spans="1:8" x14ac:dyDescent="0.25">
      <c r="A353" s="31">
        <v>44624</v>
      </c>
      <c r="B353" s="37" t="s">
        <v>7349</v>
      </c>
      <c r="C353" s="51" t="s">
        <v>703</v>
      </c>
      <c r="D353" s="52">
        <v>6079.1</v>
      </c>
      <c r="E353" s="35">
        <v>44624</v>
      </c>
      <c r="F353" s="52">
        <v>6079.1</v>
      </c>
      <c r="G353" s="53">
        <f>Tabla14[[#This Row],[Importe]]-Tabla14[[#This Row],[Pagado]]</f>
        <v>0</v>
      </c>
      <c r="H353" s="37" t="s">
        <v>10</v>
      </c>
    </row>
    <row r="354" spans="1:8" x14ac:dyDescent="0.25">
      <c r="A354" s="31">
        <v>44624</v>
      </c>
      <c r="B354" s="37" t="s">
        <v>7350</v>
      </c>
      <c r="C354" s="51" t="s">
        <v>75</v>
      </c>
      <c r="D354" s="52">
        <v>5178.6000000000004</v>
      </c>
      <c r="E354" s="35">
        <v>44624</v>
      </c>
      <c r="F354" s="52">
        <v>5178.6000000000004</v>
      </c>
      <c r="G354" s="53">
        <f>Tabla14[[#This Row],[Importe]]-Tabla14[[#This Row],[Pagado]]</f>
        <v>0</v>
      </c>
      <c r="H354" s="37" t="s">
        <v>10</v>
      </c>
    </row>
    <row r="355" spans="1:8" x14ac:dyDescent="0.25">
      <c r="A355" s="31">
        <v>44624</v>
      </c>
      <c r="B355" s="37" t="s">
        <v>7351</v>
      </c>
      <c r="C355" s="51" t="s">
        <v>289</v>
      </c>
      <c r="D355" s="52">
        <v>8310.7999999999993</v>
      </c>
      <c r="E355" s="35">
        <v>44624</v>
      </c>
      <c r="F355" s="52">
        <v>8310.7999999999993</v>
      </c>
      <c r="G355" s="53">
        <f>Tabla14[[#This Row],[Importe]]-Tabla14[[#This Row],[Pagado]]</f>
        <v>0</v>
      </c>
      <c r="H355" s="37" t="s">
        <v>10</v>
      </c>
    </row>
    <row r="356" spans="1:8" x14ac:dyDescent="0.25">
      <c r="A356" s="31">
        <v>44624</v>
      </c>
      <c r="B356" s="37" t="s">
        <v>7352</v>
      </c>
      <c r="C356" s="51" t="s">
        <v>212</v>
      </c>
      <c r="D356" s="52">
        <v>63608.800000000003</v>
      </c>
      <c r="E356" s="35">
        <v>44630</v>
      </c>
      <c r="F356" s="52">
        <v>63608.800000000003</v>
      </c>
      <c r="G356" s="53">
        <f>Tabla14[[#This Row],[Importe]]-Tabla14[[#This Row],[Pagado]]</f>
        <v>0</v>
      </c>
      <c r="H356" s="37" t="s">
        <v>10</v>
      </c>
    </row>
    <row r="357" spans="1:8" x14ac:dyDescent="0.25">
      <c r="A357" s="31">
        <v>44624</v>
      </c>
      <c r="B357" s="37" t="s">
        <v>7353</v>
      </c>
      <c r="C357" s="51" t="s">
        <v>664</v>
      </c>
      <c r="D357" s="52">
        <v>9124.5</v>
      </c>
      <c r="E357" s="35">
        <v>44624</v>
      </c>
      <c r="F357" s="52">
        <v>9124.5</v>
      </c>
      <c r="G357" s="53">
        <f>Tabla14[[#This Row],[Importe]]-Tabla14[[#This Row],[Pagado]]</f>
        <v>0</v>
      </c>
      <c r="H357" s="37" t="s">
        <v>10</v>
      </c>
    </row>
    <row r="358" spans="1:8" x14ac:dyDescent="0.25">
      <c r="A358" s="31">
        <v>44624</v>
      </c>
      <c r="B358" s="37" t="s">
        <v>7354</v>
      </c>
      <c r="C358" s="51" t="s">
        <v>35</v>
      </c>
      <c r="D358" s="52">
        <v>3827</v>
      </c>
      <c r="E358" s="35">
        <v>44624</v>
      </c>
      <c r="F358" s="52">
        <v>3827</v>
      </c>
      <c r="G358" s="53">
        <f>Tabla14[[#This Row],[Importe]]-Tabla14[[#This Row],[Pagado]]</f>
        <v>0</v>
      </c>
      <c r="H358" s="37" t="s">
        <v>10</v>
      </c>
    </row>
    <row r="359" spans="1:8" x14ac:dyDescent="0.25">
      <c r="A359" s="31">
        <v>44624</v>
      </c>
      <c r="B359" s="37" t="s">
        <v>7355</v>
      </c>
      <c r="C359" s="51" t="s">
        <v>196</v>
      </c>
      <c r="D359" s="52">
        <v>117583.32</v>
      </c>
      <c r="E359" s="35">
        <v>44624</v>
      </c>
      <c r="F359" s="52">
        <v>117583.32</v>
      </c>
      <c r="G359" s="53">
        <f>Tabla14[[#This Row],[Importe]]-Tabla14[[#This Row],[Pagado]]</f>
        <v>0</v>
      </c>
      <c r="H359" s="37" t="s">
        <v>10</v>
      </c>
    </row>
    <row r="360" spans="1:8" x14ac:dyDescent="0.25">
      <c r="A360" s="31">
        <v>44624</v>
      </c>
      <c r="B360" s="37" t="s">
        <v>7356</v>
      </c>
      <c r="C360" s="51" t="s">
        <v>87</v>
      </c>
      <c r="D360" s="52">
        <v>2394.4</v>
      </c>
      <c r="E360" s="35">
        <v>44624</v>
      </c>
      <c r="F360" s="52">
        <v>2394.4</v>
      </c>
      <c r="G360" s="53">
        <f>Tabla14[[#This Row],[Importe]]-Tabla14[[#This Row],[Pagado]]</f>
        <v>0</v>
      </c>
      <c r="H360" s="37" t="s">
        <v>10</v>
      </c>
    </row>
    <row r="361" spans="1:8" x14ac:dyDescent="0.25">
      <c r="A361" s="31">
        <v>44624</v>
      </c>
      <c r="B361" s="37" t="s">
        <v>7357</v>
      </c>
      <c r="C361" s="51" t="s">
        <v>314</v>
      </c>
      <c r="D361" s="52">
        <v>2116.8000000000002</v>
      </c>
      <c r="E361" s="35">
        <v>44624</v>
      </c>
      <c r="F361" s="52">
        <v>2116.8000000000002</v>
      </c>
      <c r="G361" s="53">
        <f>Tabla14[[#This Row],[Importe]]-Tabla14[[#This Row],[Pagado]]</f>
        <v>0</v>
      </c>
      <c r="H361" s="37" t="s">
        <v>10</v>
      </c>
    </row>
    <row r="362" spans="1:8" x14ac:dyDescent="0.25">
      <c r="A362" s="31">
        <v>44624</v>
      </c>
      <c r="B362" s="37" t="s">
        <v>7358</v>
      </c>
      <c r="C362" s="51" t="s">
        <v>37</v>
      </c>
      <c r="D362" s="52">
        <v>4273</v>
      </c>
      <c r="E362" s="35">
        <v>44624</v>
      </c>
      <c r="F362" s="52">
        <v>4273</v>
      </c>
      <c r="G362" s="53">
        <f>Tabla14[[#This Row],[Importe]]-Tabla14[[#This Row],[Pagado]]</f>
        <v>0</v>
      </c>
      <c r="H362" s="37" t="s">
        <v>10</v>
      </c>
    </row>
    <row r="363" spans="1:8" x14ac:dyDescent="0.25">
      <c r="A363" s="31">
        <v>44624</v>
      </c>
      <c r="B363" s="37" t="s">
        <v>7359</v>
      </c>
      <c r="C363" s="51" t="s">
        <v>230</v>
      </c>
      <c r="D363" s="52">
        <v>2075.1999999999998</v>
      </c>
      <c r="E363" s="35">
        <v>44624</v>
      </c>
      <c r="F363" s="52">
        <v>2075.1999999999998</v>
      </c>
      <c r="G363" s="53">
        <f>Tabla14[[#This Row],[Importe]]-Tabla14[[#This Row],[Pagado]]</f>
        <v>0</v>
      </c>
      <c r="H363" s="37" t="s">
        <v>10</v>
      </c>
    </row>
    <row r="364" spans="1:8" x14ac:dyDescent="0.25">
      <c r="A364" s="31">
        <v>44624</v>
      </c>
      <c r="B364" s="37" t="s">
        <v>7360</v>
      </c>
      <c r="C364" s="51" t="s">
        <v>29</v>
      </c>
      <c r="D364" s="52">
        <v>4951.8</v>
      </c>
      <c r="E364" s="35">
        <v>44624</v>
      </c>
      <c r="F364" s="52">
        <v>4951.8</v>
      </c>
      <c r="G364" s="53">
        <f>Tabla14[[#This Row],[Importe]]-Tabla14[[#This Row],[Pagado]]</f>
        <v>0</v>
      </c>
      <c r="H364" s="37" t="s">
        <v>10</v>
      </c>
    </row>
    <row r="365" spans="1:8" x14ac:dyDescent="0.25">
      <c r="A365" s="31">
        <v>44624</v>
      </c>
      <c r="B365" s="37" t="s">
        <v>7361</v>
      </c>
      <c r="C365" s="51" t="s">
        <v>31</v>
      </c>
      <c r="D365" s="52">
        <v>1061.9000000000001</v>
      </c>
      <c r="E365" s="35">
        <v>44624</v>
      </c>
      <c r="F365" s="52">
        <v>1061.9000000000001</v>
      </c>
      <c r="G365" s="53">
        <f>Tabla14[[#This Row],[Importe]]-Tabla14[[#This Row],[Pagado]]</f>
        <v>0</v>
      </c>
      <c r="H365" s="37" t="s">
        <v>10</v>
      </c>
    </row>
    <row r="366" spans="1:8" x14ac:dyDescent="0.25">
      <c r="A366" s="31">
        <v>44624</v>
      </c>
      <c r="B366" s="37" t="s">
        <v>7362</v>
      </c>
      <c r="C366" s="51" t="s">
        <v>218</v>
      </c>
      <c r="D366" s="52">
        <v>20876.8</v>
      </c>
      <c r="E366" s="35">
        <v>44630</v>
      </c>
      <c r="F366" s="52">
        <v>20876.8</v>
      </c>
      <c r="G366" s="53">
        <f>Tabla14[[#This Row],[Importe]]-Tabla14[[#This Row],[Pagado]]</f>
        <v>0</v>
      </c>
      <c r="H366" s="37" t="s">
        <v>10</v>
      </c>
    </row>
    <row r="367" spans="1:8" x14ac:dyDescent="0.25">
      <c r="A367" s="31">
        <v>44624</v>
      </c>
      <c r="B367" s="37" t="s">
        <v>7363</v>
      </c>
      <c r="C367" s="51" t="s">
        <v>312</v>
      </c>
      <c r="D367" s="52">
        <v>3503</v>
      </c>
      <c r="E367" s="35">
        <v>44624</v>
      </c>
      <c r="F367" s="52">
        <v>3503</v>
      </c>
      <c r="G367" s="53">
        <f>Tabla14[[#This Row],[Importe]]-Tabla14[[#This Row],[Pagado]]</f>
        <v>0</v>
      </c>
      <c r="H367" s="37" t="s">
        <v>10</v>
      </c>
    </row>
    <row r="368" spans="1:8" x14ac:dyDescent="0.25">
      <c r="A368" s="31">
        <v>44624</v>
      </c>
      <c r="B368" s="37" t="s">
        <v>7364</v>
      </c>
      <c r="C368" s="51" t="s">
        <v>198</v>
      </c>
      <c r="D368" s="52">
        <v>4062.8</v>
      </c>
      <c r="E368" s="35">
        <v>44624</v>
      </c>
      <c r="F368" s="52">
        <v>4062.8</v>
      </c>
      <c r="G368" s="53">
        <f>Tabla14[[#This Row],[Importe]]-Tabla14[[#This Row],[Pagado]]</f>
        <v>0</v>
      </c>
      <c r="H368" s="37" t="s">
        <v>10</v>
      </c>
    </row>
    <row r="369" spans="1:8" x14ac:dyDescent="0.25">
      <c r="A369" s="31">
        <v>44624</v>
      </c>
      <c r="B369" s="37" t="s">
        <v>7365</v>
      </c>
      <c r="C369" s="51" t="s">
        <v>224</v>
      </c>
      <c r="D369" s="52">
        <v>11752.4</v>
      </c>
      <c r="E369" s="35">
        <v>44631</v>
      </c>
      <c r="F369" s="52">
        <v>11752.4</v>
      </c>
      <c r="G369" s="53">
        <f>Tabla14[[#This Row],[Importe]]-Tabla14[[#This Row],[Pagado]]</f>
        <v>0</v>
      </c>
      <c r="H369" s="37" t="s">
        <v>10</v>
      </c>
    </row>
    <row r="370" spans="1:8" x14ac:dyDescent="0.25">
      <c r="A370" s="31">
        <v>44624</v>
      </c>
      <c r="B370" s="37" t="s">
        <v>7366</v>
      </c>
      <c r="C370" s="51" t="s">
        <v>224</v>
      </c>
      <c r="D370" s="52">
        <v>1666.6</v>
      </c>
      <c r="E370" s="35">
        <v>44624</v>
      </c>
      <c r="F370" s="52">
        <v>1666.6</v>
      </c>
      <c r="G370" s="53">
        <f>Tabla14[[#This Row],[Importe]]-Tabla14[[#This Row],[Pagado]]</f>
        <v>0</v>
      </c>
      <c r="H370" s="37" t="s">
        <v>10</v>
      </c>
    </row>
    <row r="371" spans="1:8" x14ac:dyDescent="0.25">
      <c r="A371" s="31">
        <v>44624</v>
      </c>
      <c r="B371" s="37" t="s">
        <v>7367</v>
      </c>
      <c r="C371" s="51" t="s">
        <v>373</v>
      </c>
      <c r="D371" s="52">
        <v>1425.2</v>
      </c>
      <c r="E371" s="35">
        <v>44624</v>
      </c>
      <c r="F371" s="52">
        <v>1425.2</v>
      </c>
      <c r="G371" s="53">
        <f>Tabla14[[#This Row],[Importe]]-Tabla14[[#This Row],[Pagado]]</f>
        <v>0</v>
      </c>
      <c r="H371" s="37" t="s">
        <v>10</v>
      </c>
    </row>
    <row r="372" spans="1:8" x14ac:dyDescent="0.25">
      <c r="A372" s="31">
        <v>44624</v>
      </c>
      <c r="B372" s="37" t="s">
        <v>7368</v>
      </c>
      <c r="C372" s="51" t="s">
        <v>27</v>
      </c>
      <c r="D372" s="52">
        <v>3076.6</v>
      </c>
      <c r="E372" s="35">
        <v>44624</v>
      </c>
      <c r="F372" s="52">
        <v>3076.6</v>
      </c>
      <c r="G372" s="53">
        <f>Tabla14[[#This Row],[Importe]]-Tabla14[[#This Row],[Pagado]]</f>
        <v>0</v>
      </c>
      <c r="H372" s="37" t="s">
        <v>10</v>
      </c>
    </row>
    <row r="373" spans="1:8" x14ac:dyDescent="0.25">
      <c r="A373" s="31">
        <v>44624</v>
      </c>
      <c r="B373" s="37" t="s">
        <v>7369</v>
      </c>
      <c r="C373" s="51" t="s">
        <v>31</v>
      </c>
      <c r="D373" s="52">
        <v>168.2</v>
      </c>
      <c r="E373" s="35">
        <v>44624</v>
      </c>
      <c r="F373" s="52">
        <v>168.2</v>
      </c>
      <c r="G373" s="53">
        <f>Tabla14[[#This Row],[Importe]]-Tabla14[[#This Row],[Pagado]]</f>
        <v>0</v>
      </c>
      <c r="H373" s="37" t="s">
        <v>10</v>
      </c>
    </row>
    <row r="374" spans="1:8" x14ac:dyDescent="0.25">
      <c r="A374" s="31">
        <v>44624</v>
      </c>
      <c r="B374" s="37" t="s">
        <v>7370</v>
      </c>
      <c r="C374" s="51" t="s">
        <v>167</v>
      </c>
      <c r="D374" s="52">
        <v>2271.5</v>
      </c>
      <c r="E374" s="35">
        <v>44624</v>
      </c>
      <c r="F374" s="52">
        <v>2271.5</v>
      </c>
      <c r="G374" s="53">
        <f>Tabla14[[#This Row],[Importe]]-Tabla14[[#This Row],[Pagado]]</f>
        <v>0</v>
      </c>
      <c r="H374" s="37" t="s">
        <v>10</v>
      </c>
    </row>
    <row r="375" spans="1:8" x14ac:dyDescent="0.25">
      <c r="A375" s="31">
        <v>44624</v>
      </c>
      <c r="B375" s="37" t="s">
        <v>7371</v>
      </c>
      <c r="C375" s="51" t="s">
        <v>53</v>
      </c>
      <c r="D375" s="52">
        <v>968</v>
      </c>
      <c r="E375" s="35">
        <v>44624</v>
      </c>
      <c r="F375" s="52">
        <v>968</v>
      </c>
      <c r="G375" s="53">
        <f>Tabla14[[#This Row],[Importe]]-Tabla14[[#This Row],[Pagado]]</f>
        <v>0</v>
      </c>
      <c r="H375" s="37" t="s">
        <v>10</v>
      </c>
    </row>
    <row r="376" spans="1:8" x14ac:dyDescent="0.25">
      <c r="A376" s="31">
        <v>44624</v>
      </c>
      <c r="B376" s="37" t="s">
        <v>7372</v>
      </c>
      <c r="C376" s="51" t="s">
        <v>51</v>
      </c>
      <c r="D376" s="52">
        <v>2629.2</v>
      </c>
      <c r="E376" s="35">
        <v>44624</v>
      </c>
      <c r="F376" s="52">
        <v>2629.2</v>
      </c>
      <c r="G376" s="53">
        <f>Tabla14[[#This Row],[Importe]]-Tabla14[[#This Row],[Pagado]]</f>
        <v>0</v>
      </c>
      <c r="H376" s="37" t="s">
        <v>10</v>
      </c>
    </row>
    <row r="377" spans="1:8" x14ac:dyDescent="0.25">
      <c r="A377" s="31">
        <v>44624</v>
      </c>
      <c r="B377" s="37" t="s">
        <v>7373</v>
      </c>
      <c r="C377" s="51" t="s">
        <v>206</v>
      </c>
      <c r="D377" s="52">
        <v>33503.599999999999</v>
      </c>
      <c r="E377" s="35">
        <v>44630</v>
      </c>
      <c r="F377" s="52">
        <v>33503.599999999999</v>
      </c>
      <c r="G377" s="53">
        <f>Tabla14[[#This Row],[Importe]]-Tabla14[[#This Row],[Pagado]]</f>
        <v>0</v>
      </c>
      <c r="H377" s="37" t="s">
        <v>10</v>
      </c>
    </row>
    <row r="378" spans="1:8" x14ac:dyDescent="0.25">
      <c r="A378" s="31">
        <v>44624</v>
      </c>
      <c r="B378" s="37" t="s">
        <v>7374</v>
      </c>
      <c r="C378" s="51" t="s">
        <v>969</v>
      </c>
      <c r="D378" s="52">
        <v>8436.6</v>
      </c>
      <c r="E378" s="35">
        <v>44624</v>
      </c>
      <c r="F378" s="52">
        <v>8436.6</v>
      </c>
      <c r="G378" s="53">
        <f>Tabla14[[#This Row],[Importe]]-Tabla14[[#This Row],[Pagado]]</f>
        <v>0</v>
      </c>
      <c r="H378" s="37" t="s">
        <v>10</v>
      </c>
    </row>
    <row r="379" spans="1:8" x14ac:dyDescent="0.25">
      <c r="A379" s="31">
        <v>44624</v>
      </c>
      <c r="B379" s="37" t="s">
        <v>7375</v>
      </c>
      <c r="C379" s="51" t="s">
        <v>208</v>
      </c>
      <c r="D379" s="52">
        <v>18412.34</v>
      </c>
      <c r="E379" s="35">
        <v>44641</v>
      </c>
      <c r="F379" s="52">
        <v>18412.34</v>
      </c>
      <c r="G379" s="53">
        <f>Tabla14[[#This Row],[Importe]]-Tabla14[[#This Row],[Pagado]]</f>
        <v>0</v>
      </c>
      <c r="H379" s="37" t="s">
        <v>10</v>
      </c>
    </row>
    <row r="380" spans="1:8" x14ac:dyDescent="0.25">
      <c r="A380" s="31">
        <v>44624</v>
      </c>
      <c r="B380" s="37" t="s">
        <v>7376</v>
      </c>
      <c r="C380" s="51" t="s">
        <v>216</v>
      </c>
      <c r="D380" s="52">
        <v>2052</v>
      </c>
      <c r="E380" s="35">
        <v>44624</v>
      </c>
      <c r="F380" s="52">
        <v>2052</v>
      </c>
      <c r="G380" s="53">
        <f>Tabla14[[#This Row],[Importe]]-Tabla14[[#This Row],[Pagado]]</f>
        <v>0</v>
      </c>
      <c r="H380" s="37" t="s">
        <v>10</v>
      </c>
    </row>
    <row r="381" spans="1:8" x14ac:dyDescent="0.25">
      <c r="A381" s="31">
        <v>44624</v>
      </c>
      <c r="B381" s="37" t="s">
        <v>7377</v>
      </c>
      <c r="C381" s="51" t="s">
        <v>373</v>
      </c>
      <c r="D381" s="52">
        <v>145.6</v>
      </c>
      <c r="E381" s="35">
        <v>44624</v>
      </c>
      <c r="F381" s="52">
        <v>145.6</v>
      </c>
      <c r="G381" s="53">
        <f>Tabla14[[#This Row],[Importe]]-Tabla14[[#This Row],[Pagado]]</f>
        <v>0</v>
      </c>
      <c r="H381" s="37" t="s">
        <v>10</v>
      </c>
    </row>
    <row r="382" spans="1:8" x14ac:dyDescent="0.25">
      <c r="A382" s="31">
        <v>44624</v>
      </c>
      <c r="B382" s="37" t="s">
        <v>7378</v>
      </c>
      <c r="C382" s="51" t="s">
        <v>49</v>
      </c>
      <c r="D382" s="52">
        <v>3182.3</v>
      </c>
      <c r="E382" s="35">
        <v>44624</v>
      </c>
      <c r="F382" s="52">
        <v>3182.3</v>
      </c>
      <c r="G382" s="53">
        <f>Tabla14[[#This Row],[Importe]]-Tabla14[[#This Row],[Pagado]]</f>
        <v>0</v>
      </c>
      <c r="H382" s="37" t="s">
        <v>10</v>
      </c>
    </row>
    <row r="383" spans="1:8" x14ac:dyDescent="0.25">
      <c r="A383" s="31">
        <v>44624</v>
      </c>
      <c r="B383" s="37" t="s">
        <v>7379</v>
      </c>
      <c r="C383" s="51" t="s">
        <v>131</v>
      </c>
      <c r="D383" s="52">
        <v>15083.8</v>
      </c>
      <c r="E383" s="35">
        <v>44624</v>
      </c>
      <c r="F383" s="52">
        <v>15083.8</v>
      </c>
      <c r="G383" s="53">
        <f>Tabla14[[#This Row],[Importe]]-Tabla14[[#This Row],[Pagado]]</f>
        <v>0</v>
      </c>
      <c r="H383" s="37" t="s">
        <v>10</v>
      </c>
    </row>
    <row r="384" spans="1:8" x14ac:dyDescent="0.25">
      <c r="A384" s="31">
        <v>44624</v>
      </c>
      <c r="B384" s="37" t="s">
        <v>7380</v>
      </c>
      <c r="C384" s="51" t="s">
        <v>24</v>
      </c>
      <c r="D384" s="52">
        <v>2517.1999999999998</v>
      </c>
      <c r="E384" s="35">
        <v>44624</v>
      </c>
      <c r="F384" s="52">
        <v>2517.1999999999998</v>
      </c>
      <c r="G384" s="53">
        <f>Tabla14[[#This Row],[Importe]]-Tabla14[[#This Row],[Pagado]]</f>
        <v>0</v>
      </c>
      <c r="H384" s="37" t="s">
        <v>10</v>
      </c>
    </row>
    <row r="385" spans="1:8" x14ac:dyDescent="0.25">
      <c r="A385" s="31">
        <v>44624</v>
      </c>
      <c r="B385" s="37" t="s">
        <v>7381</v>
      </c>
      <c r="C385" s="51" t="s">
        <v>357</v>
      </c>
      <c r="D385" s="52">
        <v>1592.5</v>
      </c>
      <c r="E385" s="35">
        <v>44624</v>
      </c>
      <c r="F385" s="52">
        <v>1592.5</v>
      </c>
      <c r="G385" s="53">
        <f>Tabla14[[#This Row],[Importe]]-Tabla14[[#This Row],[Pagado]]</f>
        <v>0</v>
      </c>
      <c r="H385" s="37" t="s">
        <v>10</v>
      </c>
    </row>
    <row r="386" spans="1:8" x14ac:dyDescent="0.25">
      <c r="A386" s="31">
        <v>44624</v>
      </c>
      <c r="B386" s="37" t="s">
        <v>7382</v>
      </c>
      <c r="C386" s="51" t="s">
        <v>339</v>
      </c>
      <c r="D386" s="52">
        <v>418</v>
      </c>
      <c r="E386" s="35">
        <v>44624</v>
      </c>
      <c r="F386" s="52">
        <v>418</v>
      </c>
      <c r="G386" s="53">
        <f>Tabla14[[#This Row],[Importe]]-Tabla14[[#This Row],[Pagado]]</f>
        <v>0</v>
      </c>
      <c r="H386" s="37" t="s">
        <v>10</v>
      </c>
    </row>
    <row r="387" spans="1:8" x14ac:dyDescent="0.25">
      <c r="A387" s="31">
        <v>44624</v>
      </c>
      <c r="B387" s="37" t="s">
        <v>7383</v>
      </c>
      <c r="C387" s="51" t="s">
        <v>129</v>
      </c>
      <c r="D387" s="52">
        <v>1903.1</v>
      </c>
      <c r="E387" s="35">
        <v>44624</v>
      </c>
      <c r="F387" s="52">
        <v>1903.1</v>
      </c>
      <c r="G387" s="53">
        <f>Tabla14[[#This Row],[Importe]]-Tabla14[[#This Row],[Pagado]]</f>
        <v>0</v>
      </c>
      <c r="H387" s="37" t="s">
        <v>10</v>
      </c>
    </row>
    <row r="388" spans="1:8" x14ac:dyDescent="0.25">
      <c r="A388" s="31">
        <v>44624</v>
      </c>
      <c r="B388" s="37" t="s">
        <v>7384</v>
      </c>
      <c r="C388" s="51" t="s">
        <v>849</v>
      </c>
      <c r="D388" s="52">
        <v>3264.8</v>
      </c>
      <c r="E388" s="35">
        <v>44624</v>
      </c>
      <c r="F388" s="52">
        <v>3264.8</v>
      </c>
      <c r="G388" s="53">
        <f>Tabla14[[#This Row],[Importe]]-Tabla14[[#This Row],[Pagado]]</f>
        <v>0</v>
      </c>
      <c r="H388" s="37" t="s">
        <v>10</v>
      </c>
    </row>
    <row r="389" spans="1:8" x14ac:dyDescent="0.25">
      <c r="A389" s="31">
        <v>44624</v>
      </c>
      <c r="B389" s="37" t="s">
        <v>7385</v>
      </c>
      <c r="C389" s="51" t="s">
        <v>140</v>
      </c>
      <c r="D389" s="52">
        <v>2768.7</v>
      </c>
      <c r="E389" s="35">
        <v>44624</v>
      </c>
      <c r="F389" s="52">
        <v>2768.7</v>
      </c>
      <c r="G389" s="53">
        <f>Tabla14[[#This Row],[Importe]]-Tabla14[[#This Row],[Pagado]]</f>
        <v>0</v>
      </c>
      <c r="H389" s="37" t="s">
        <v>10</v>
      </c>
    </row>
    <row r="390" spans="1:8" x14ac:dyDescent="0.25">
      <c r="A390" s="31">
        <v>44624</v>
      </c>
      <c r="B390" s="37" t="s">
        <v>7386</v>
      </c>
      <c r="C390" s="51" t="s">
        <v>127</v>
      </c>
      <c r="D390" s="52">
        <v>4236</v>
      </c>
      <c r="E390" s="35">
        <v>44624</v>
      </c>
      <c r="F390" s="52">
        <v>4236</v>
      </c>
      <c r="G390" s="53">
        <f>Tabla14[[#This Row],[Importe]]-Tabla14[[#This Row],[Pagado]]</f>
        <v>0</v>
      </c>
      <c r="H390" s="37" t="s">
        <v>10</v>
      </c>
    </row>
    <row r="391" spans="1:8" x14ac:dyDescent="0.25">
      <c r="A391" s="31">
        <v>44624</v>
      </c>
      <c r="B391" s="37" t="s">
        <v>7387</v>
      </c>
      <c r="C391" s="51" t="s">
        <v>849</v>
      </c>
      <c r="D391" s="52">
        <v>506.6</v>
      </c>
      <c r="E391" s="35">
        <v>44624</v>
      </c>
      <c r="F391" s="52">
        <v>506.6</v>
      </c>
      <c r="G391" s="53">
        <f>Tabla14[[#This Row],[Importe]]-Tabla14[[#This Row],[Pagado]]</f>
        <v>0</v>
      </c>
      <c r="H391" s="37" t="s">
        <v>10</v>
      </c>
    </row>
    <row r="392" spans="1:8" x14ac:dyDescent="0.25">
      <c r="A392" s="31">
        <v>44624</v>
      </c>
      <c r="B392" s="37" t="s">
        <v>7388</v>
      </c>
      <c r="C392" s="51" t="s">
        <v>45</v>
      </c>
      <c r="D392" s="52">
        <v>14387.5</v>
      </c>
      <c r="E392" s="35">
        <v>44624</v>
      </c>
      <c r="F392" s="52">
        <v>14387.5</v>
      </c>
      <c r="G392" s="53">
        <f>Tabla14[[#This Row],[Importe]]-Tabla14[[#This Row],[Pagado]]</f>
        <v>0</v>
      </c>
      <c r="H392" s="37" t="s">
        <v>10</v>
      </c>
    </row>
    <row r="393" spans="1:8" x14ac:dyDescent="0.25">
      <c r="A393" s="31">
        <v>44624</v>
      </c>
      <c r="B393" s="37" t="s">
        <v>7389</v>
      </c>
      <c r="C393" s="51" t="s">
        <v>843</v>
      </c>
      <c r="D393" s="52">
        <v>1539.3</v>
      </c>
      <c r="E393" s="35">
        <v>44624</v>
      </c>
      <c r="F393" s="52">
        <v>1539.3</v>
      </c>
      <c r="G393" s="53">
        <f>Tabla14[[#This Row],[Importe]]-Tabla14[[#This Row],[Pagado]]</f>
        <v>0</v>
      </c>
      <c r="H393" s="37" t="s">
        <v>10</v>
      </c>
    </row>
    <row r="394" spans="1:8" x14ac:dyDescent="0.25">
      <c r="A394" s="31">
        <v>44624</v>
      </c>
      <c r="B394" s="37" t="s">
        <v>7390</v>
      </c>
      <c r="C394" s="51" t="s">
        <v>2114</v>
      </c>
      <c r="D394" s="52">
        <v>3000</v>
      </c>
      <c r="E394" s="35">
        <v>44624</v>
      </c>
      <c r="F394" s="52">
        <v>3000</v>
      </c>
      <c r="G394" s="53">
        <f>Tabla14[[#This Row],[Importe]]-Tabla14[[#This Row],[Pagado]]</f>
        <v>0</v>
      </c>
      <c r="H394" s="37" t="s">
        <v>10</v>
      </c>
    </row>
    <row r="395" spans="1:8" x14ac:dyDescent="0.25">
      <c r="A395" s="31">
        <v>44624</v>
      </c>
      <c r="B395" s="37" t="s">
        <v>7391</v>
      </c>
      <c r="C395" s="51" t="s">
        <v>244</v>
      </c>
      <c r="D395" s="52">
        <v>5596.6</v>
      </c>
      <c r="E395" s="35">
        <v>44624</v>
      </c>
      <c r="F395" s="52">
        <v>5596.6</v>
      </c>
      <c r="G395" s="53">
        <f>Tabla14[[#This Row],[Importe]]-Tabla14[[#This Row],[Pagado]]</f>
        <v>0</v>
      </c>
      <c r="H395" s="37" t="s">
        <v>10</v>
      </c>
    </row>
    <row r="396" spans="1:8" x14ac:dyDescent="0.25">
      <c r="A396" s="31">
        <v>44624</v>
      </c>
      <c r="B396" s="37" t="s">
        <v>7392</v>
      </c>
      <c r="C396" s="51" t="s">
        <v>58</v>
      </c>
      <c r="D396" s="52">
        <v>4781.8</v>
      </c>
      <c r="E396" s="35">
        <v>44624</v>
      </c>
      <c r="F396" s="52">
        <v>4781.8</v>
      </c>
      <c r="G396" s="53">
        <f>Tabla14[[#This Row],[Importe]]-Tabla14[[#This Row],[Pagado]]</f>
        <v>0</v>
      </c>
      <c r="H396" s="37" t="s">
        <v>10</v>
      </c>
    </row>
    <row r="397" spans="1:8" x14ac:dyDescent="0.25">
      <c r="A397" s="31">
        <v>44624</v>
      </c>
      <c r="B397" s="37" t="s">
        <v>7393</v>
      </c>
      <c r="C397" s="51" t="s">
        <v>275</v>
      </c>
      <c r="D397" s="52">
        <v>50938.12</v>
      </c>
      <c r="E397" s="35">
        <v>44631</v>
      </c>
      <c r="F397" s="52">
        <v>50938.12</v>
      </c>
      <c r="G397" s="53">
        <f>Tabla14[[#This Row],[Importe]]-Tabla14[[#This Row],[Pagado]]</f>
        <v>0</v>
      </c>
      <c r="H397" s="37" t="s">
        <v>10</v>
      </c>
    </row>
    <row r="398" spans="1:8" x14ac:dyDescent="0.25">
      <c r="A398" s="31">
        <v>44624</v>
      </c>
      <c r="B398" s="37" t="s">
        <v>7394</v>
      </c>
      <c r="C398" s="51" t="s">
        <v>5816</v>
      </c>
      <c r="D398" s="52">
        <v>3611.6</v>
      </c>
      <c r="E398" s="35">
        <v>44625</v>
      </c>
      <c r="F398" s="52">
        <v>3611.6</v>
      </c>
      <c r="G398" s="53">
        <f>Tabla14[[#This Row],[Importe]]-Tabla14[[#This Row],[Pagado]]</f>
        <v>0</v>
      </c>
      <c r="H398" s="37" t="s">
        <v>10</v>
      </c>
    </row>
    <row r="399" spans="1:8" x14ac:dyDescent="0.25">
      <c r="A399" s="31">
        <v>44624</v>
      </c>
      <c r="B399" s="37" t="s">
        <v>7395</v>
      </c>
      <c r="C399" s="51" t="s">
        <v>840</v>
      </c>
      <c r="D399" s="52">
        <v>7923.5</v>
      </c>
      <c r="E399" s="35">
        <v>44624</v>
      </c>
      <c r="F399" s="52">
        <v>7923.5</v>
      </c>
      <c r="G399" s="53">
        <f>Tabla14[[#This Row],[Importe]]-Tabla14[[#This Row],[Pagado]]</f>
        <v>0</v>
      </c>
      <c r="H399" s="37" t="s">
        <v>10</v>
      </c>
    </row>
    <row r="400" spans="1:8" x14ac:dyDescent="0.25">
      <c r="A400" s="31">
        <v>44624</v>
      </c>
      <c r="B400" s="37" t="s">
        <v>7396</v>
      </c>
      <c r="C400" s="51" t="s">
        <v>592</v>
      </c>
      <c r="D400" s="52">
        <v>19806</v>
      </c>
      <c r="E400" s="35">
        <v>44625</v>
      </c>
      <c r="F400" s="52">
        <v>19806</v>
      </c>
      <c r="G400" s="53">
        <f>Tabla14[[#This Row],[Importe]]-Tabla14[[#This Row],[Pagado]]</f>
        <v>0</v>
      </c>
      <c r="H400" s="37" t="s">
        <v>10</v>
      </c>
    </row>
    <row r="401" spans="1:8" x14ac:dyDescent="0.25">
      <c r="A401" s="31">
        <v>44624</v>
      </c>
      <c r="B401" s="37" t="s">
        <v>7397</v>
      </c>
      <c r="C401" s="51" t="s">
        <v>146</v>
      </c>
      <c r="D401" s="52">
        <v>10041</v>
      </c>
      <c r="E401" s="35">
        <v>44625</v>
      </c>
      <c r="F401" s="52">
        <v>10041</v>
      </c>
      <c r="G401" s="53">
        <f>Tabla14[[#This Row],[Importe]]-Tabla14[[#This Row],[Pagado]]</f>
        <v>0</v>
      </c>
      <c r="H401" s="37" t="s">
        <v>10</v>
      </c>
    </row>
    <row r="402" spans="1:8" x14ac:dyDescent="0.25">
      <c r="A402" s="31">
        <v>44624</v>
      </c>
      <c r="B402" s="37" t="s">
        <v>7398</v>
      </c>
      <c r="C402" s="51" t="s">
        <v>843</v>
      </c>
      <c r="D402" s="52">
        <v>13212.4</v>
      </c>
      <c r="E402" s="35">
        <v>44624</v>
      </c>
      <c r="F402" s="52">
        <v>13212.4</v>
      </c>
      <c r="G402" s="53">
        <f>Tabla14[[#This Row],[Importe]]-Tabla14[[#This Row],[Pagado]]</f>
        <v>0</v>
      </c>
      <c r="H402" s="37" t="s">
        <v>10</v>
      </c>
    </row>
    <row r="403" spans="1:8" x14ac:dyDescent="0.25">
      <c r="A403" s="31">
        <v>44624</v>
      </c>
      <c r="B403" s="37" t="s">
        <v>7399</v>
      </c>
      <c r="C403" s="51" t="s">
        <v>133</v>
      </c>
      <c r="D403" s="52">
        <v>18981</v>
      </c>
      <c r="E403" s="35">
        <v>44632</v>
      </c>
      <c r="F403" s="52">
        <v>18981</v>
      </c>
      <c r="G403" s="53">
        <f>Tabla14[[#This Row],[Importe]]-Tabla14[[#This Row],[Pagado]]</f>
        <v>0</v>
      </c>
      <c r="H403" s="37" t="s">
        <v>10</v>
      </c>
    </row>
    <row r="404" spans="1:8" x14ac:dyDescent="0.25">
      <c r="A404" s="31">
        <v>44624</v>
      </c>
      <c r="B404" s="37" t="s">
        <v>7400</v>
      </c>
      <c r="C404" s="51" t="s">
        <v>2114</v>
      </c>
      <c r="D404" s="52">
        <v>1324.4</v>
      </c>
      <c r="E404" s="35">
        <v>44624</v>
      </c>
      <c r="F404" s="52">
        <v>1324.4</v>
      </c>
      <c r="G404" s="53">
        <f>Tabla14[[#This Row],[Importe]]-Tabla14[[#This Row],[Pagado]]</f>
        <v>0</v>
      </c>
      <c r="H404" s="37" t="s">
        <v>10</v>
      </c>
    </row>
    <row r="405" spans="1:8" x14ac:dyDescent="0.25">
      <c r="A405" s="31">
        <v>44624</v>
      </c>
      <c r="B405" s="37" t="s">
        <v>7401</v>
      </c>
      <c r="C405" s="51" t="s">
        <v>173</v>
      </c>
      <c r="D405" s="52">
        <v>37106.400000000001</v>
      </c>
      <c r="E405" s="35">
        <v>44625</v>
      </c>
      <c r="F405" s="52">
        <v>37106.400000000001</v>
      </c>
      <c r="G405" s="53">
        <f>Tabla14[[#This Row],[Importe]]-Tabla14[[#This Row],[Pagado]]</f>
        <v>0</v>
      </c>
      <c r="H405" s="37" t="s">
        <v>10</v>
      </c>
    </row>
    <row r="406" spans="1:8" x14ac:dyDescent="0.25">
      <c r="A406" s="31">
        <v>44624</v>
      </c>
      <c r="B406" s="37" t="s">
        <v>7402</v>
      </c>
      <c r="C406" s="51" t="s">
        <v>484</v>
      </c>
      <c r="D406" s="52">
        <v>5640</v>
      </c>
      <c r="E406" s="35">
        <v>44624</v>
      </c>
      <c r="F406" s="52">
        <v>5640</v>
      </c>
      <c r="G406" s="53">
        <f>Tabla14[[#This Row],[Importe]]-Tabla14[[#This Row],[Pagado]]</f>
        <v>0</v>
      </c>
      <c r="H406" s="37" t="s">
        <v>10</v>
      </c>
    </row>
    <row r="407" spans="1:8" x14ac:dyDescent="0.25">
      <c r="A407" s="31">
        <v>44624</v>
      </c>
      <c r="B407" s="37" t="s">
        <v>7403</v>
      </c>
      <c r="C407" s="51" t="s">
        <v>214</v>
      </c>
      <c r="D407" s="52">
        <v>1069.2</v>
      </c>
      <c r="E407" s="35">
        <v>44624</v>
      </c>
      <c r="F407" s="52">
        <v>1069.2</v>
      </c>
      <c r="G407" s="53">
        <f>Tabla14[[#This Row],[Importe]]-Tabla14[[#This Row],[Pagado]]</f>
        <v>0</v>
      </c>
      <c r="H407" s="37" t="s">
        <v>10</v>
      </c>
    </row>
    <row r="408" spans="1:8" x14ac:dyDescent="0.25">
      <c r="A408" s="31">
        <v>44624</v>
      </c>
      <c r="B408" s="37" t="s">
        <v>7404</v>
      </c>
      <c r="C408" s="51" t="s">
        <v>125</v>
      </c>
      <c r="D408" s="52">
        <v>1420.2</v>
      </c>
      <c r="E408" s="35">
        <v>44625</v>
      </c>
      <c r="F408" s="52">
        <v>1420.2</v>
      </c>
      <c r="G408" s="53">
        <f>Tabla14[[#This Row],[Importe]]-Tabla14[[#This Row],[Pagado]]</f>
        <v>0</v>
      </c>
      <c r="H408" s="37" t="s">
        <v>10</v>
      </c>
    </row>
    <row r="409" spans="1:8" x14ac:dyDescent="0.25">
      <c r="A409" s="31">
        <v>44624</v>
      </c>
      <c r="B409" s="37" t="s">
        <v>7405</v>
      </c>
      <c r="C409" s="51" t="s">
        <v>107</v>
      </c>
      <c r="D409" s="52">
        <v>7880.5</v>
      </c>
      <c r="E409" s="35">
        <v>44625</v>
      </c>
      <c r="F409" s="52">
        <v>7880.5</v>
      </c>
      <c r="G409" s="53">
        <f>Tabla14[[#This Row],[Importe]]-Tabla14[[#This Row],[Pagado]]</f>
        <v>0</v>
      </c>
      <c r="H409" s="37" t="s">
        <v>10</v>
      </c>
    </row>
    <row r="410" spans="1:8" x14ac:dyDescent="0.25">
      <c r="A410" s="31">
        <v>44624</v>
      </c>
      <c r="B410" s="37" t="s">
        <v>7406</v>
      </c>
      <c r="C410" s="51" t="s">
        <v>204</v>
      </c>
      <c r="D410" s="52">
        <v>1996.8</v>
      </c>
      <c r="E410" s="35">
        <v>44624</v>
      </c>
      <c r="F410" s="52">
        <v>1996.8</v>
      </c>
      <c r="G410" s="53">
        <f>Tabla14[[#This Row],[Importe]]-Tabla14[[#This Row],[Pagado]]</f>
        <v>0</v>
      </c>
      <c r="H410" s="37" t="s">
        <v>10</v>
      </c>
    </row>
    <row r="411" spans="1:8" x14ac:dyDescent="0.25">
      <c r="A411" s="31">
        <v>44624</v>
      </c>
      <c r="B411" s="37" t="s">
        <v>7407</v>
      </c>
      <c r="C411" s="51" t="s">
        <v>67</v>
      </c>
      <c r="D411" s="52">
        <v>2417.1999999999998</v>
      </c>
      <c r="E411" s="35">
        <v>44624</v>
      </c>
      <c r="F411" s="52">
        <v>2417.1999999999998</v>
      </c>
      <c r="G411" s="53">
        <f>Tabla14[[#This Row],[Importe]]-Tabla14[[#This Row],[Pagado]]</f>
        <v>0</v>
      </c>
      <c r="H411" s="37" t="s">
        <v>10</v>
      </c>
    </row>
    <row r="412" spans="1:8" x14ac:dyDescent="0.25">
      <c r="A412" s="31">
        <v>44624</v>
      </c>
      <c r="B412" s="37" t="s">
        <v>7408</v>
      </c>
      <c r="C412" s="51" t="s">
        <v>664</v>
      </c>
      <c r="D412" s="52">
        <v>8116.2</v>
      </c>
      <c r="E412" s="35">
        <v>44625</v>
      </c>
      <c r="F412" s="52">
        <v>8116.2</v>
      </c>
      <c r="G412" s="53">
        <f>Tabla14[[#This Row],[Importe]]-Tabla14[[#This Row],[Pagado]]</f>
        <v>0</v>
      </c>
      <c r="H412" s="37" t="s">
        <v>10</v>
      </c>
    </row>
    <row r="413" spans="1:8" x14ac:dyDescent="0.25">
      <c r="A413" s="31">
        <v>44624</v>
      </c>
      <c r="B413" s="37" t="s">
        <v>7409</v>
      </c>
      <c r="C413" s="51" t="s">
        <v>31</v>
      </c>
      <c r="D413" s="52">
        <v>459</v>
      </c>
      <c r="E413" s="35">
        <v>44624</v>
      </c>
      <c r="F413" s="52">
        <v>459</v>
      </c>
      <c r="G413" s="53">
        <f>Tabla14[[#This Row],[Importe]]-Tabla14[[#This Row],[Pagado]]</f>
        <v>0</v>
      </c>
      <c r="H413" s="37" t="s">
        <v>10</v>
      </c>
    </row>
    <row r="414" spans="1:8" x14ac:dyDescent="0.25">
      <c r="A414" s="31">
        <v>44624</v>
      </c>
      <c r="B414" s="37" t="s">
        <v>7410</v>
      </c>
      <c r="C414" s="51" t="s">
        <v>6112</v>
      </c>
      <c r="D414" s="52">
        <v>4141.2</v>
      </c>
      <c r="E414" s="35">
        <v>44624</v>
      </c>
      <c r="F414" s="52">
        <v>4141.2</v>
      </c>
      <c r="G414" s="53">
        <f>Tabla14[[#This Row],[Importe]]-Tabla14[[#This Row],[Pagado]]</f>
        <v>0</v>
      </c>
      <c r="H414" s="37" t="s">
        <v>10</v>
      </c>
    </row>
    <row r="415" spans="1:8" x14ac:dyDescent="0.25">
      <c r="A415" s="31">
        <v>44624</v>
      </c>
      <c r="B415" s="37" t="s">
        <v>7411</v>
      </c>
      <c r="C415" s="51" t="s">
        <v>7412</v>
      </c>
      <c r="D415" s="52">
        <v>0</v>
      </c>
      <c r="E415" s="39" t="s">
        <v>189</v>
      </c>
      <c r="F415" s="52">
        <v>0</v>
      </c>
      <c r="G415" s="53">
        <f>Tabla14[[#This Row],[Importe]]-Tabla14[[#This Row],[Pagado]]</f>
        <v>0</v>
      </c>
      <c r="H415" s="37" t="s">
        <v>189</v>
      </c>
    </row>
    <row r="416" spans="1:8" x14ac:dyDescent="0.25">
      <c r="A416" s="31">
        <v>44624</v>
      </c>
      <c r="B416" s="37" t="s">
        <v>7413</v>
      </c>
      <c r="C416" s="51" t="s">
        <v>452</v>
      </c>
      <c r="D416" s="52">
        <v>5703.6</v>
      </c>
      <c r="E416" s="35">
        <v>44624</v>
      </c>
      <c r="F416" s="52">
        <v>5703.6</v>
      </c>
      <c r="G416" s="53">
        <f>Tabla14[[#This Row],[Importe]]-Tabla14[[#This Row],[Pagado]]</f>
        <v>0</v>
      </c>
      <c r="H416" s="37" t="s">
        <v>10</v>
      </c>
    </row>
    <row r="417" spans="1:8" x14ac:dyDescent="0.25">
      <c r="A417" s="31">
        <v>44624</v>
      </c>
      <c r="B417" s="37" t="s">
        <v>7414</v>
      </c>
      <c r="C417" s="51" t="s">
        <v>1362</v>
      </c>
      <c r="D417" s="52">
        <v>5267.6</v>
      </c>
      <c r="E417" s="35">
        <v>44625</v>
      </c>
      <c r="F417" s="52">
        <v>5267.6</v>
      </c>
      <c r="G417" s="53">
        <f>Tabla14[[#This Row],[Importe]]-Tabla14[[#This Row],[Pagado]]</f>
        <v>0</v>
      </c>
      <c r="H417" s="37" t="s">
        <v>10</v>
      </c>
    </row>
    <row r="418" spans="1:8" x14ac:dyDescent="0.25">
      <c r="A418" s="31">
        <v>44624</v>
      </c>
      <c r="B418" s="37" t="s">
        <v>7415</v>
      </c>
      <c r="C418" s="51" t="s">
        <v>698</v>
      </c>
      <c r="D418" s="52">
        <v>2656.2</v>
      </c>
      <c r="E418" s="35">
        <v>44624</v>
      </c>
      <c r="F418" s="52">
        <v>2656.2</v>
      </c>
      <c r="G418" s="53">
        <f>Tabla14[[#This Row],[Importe]]-Tabla14[[#This Row],[Pagado]]</f>
        <v>0</v>
      </c>
      <c r="H418" s="37" t="s">
        <v>10</v>
      </c>
    </row>
    <row r="419" spans="1:8" x14ac:dyDescent="0.25">
      <c r="A419" s="31">
        <v>44624</v>
      </c>
      <c r="B419" s="37" t="s">
        <v>7416</v>
      </c>
      <c r="C419" s="51" t="s">
        <v>31</v>
      </c>
      <c r="D419" s="52">
        <v>5698</v>
      </c>
      <c r="E419" s="35">
        <v>44625</v>
      </c>
      <c r="F419" s="52">
        <v>5698</v>
      </c>
      <c r="G419" s="53">
        <f>Tabla14[[#This Row],[Importe]]-Tabla14[[#This Row],[Pagado]]</f>
        <v>0</v>
      </c>
      <c r="H419" s="37" t="s">
        <v>10</v>
      </c>
    </row>
    <row r="420" spans="1:8" x14ac:dyDescent="0.25">
      <c r="A420" s="31">
        <v>44624</v>
      </c>
      <c r="B420" s="37" t="s">
        <v>7417</v>
      </c>
      <c r="C420" s="51" t="s">
        <v>2393</v>
      </c>
      <c r="D420" s="52">
        <v>22368.400000000001</v>
      </c>
      <c r="E420" s="35">
        <v>44624</v>
      </c>
      <c r="F420" s="52">
        <v>22368.400000000001</v>
      </c>
      <c r="G420" s="53">
        <f>Tabla14[[#This Row],[Importe]]-Tabla14[[#This Row],[Pagado]]</f>
        <v>0</v>
      </c>
      <c r="H420" s="37" t="s">
        <v>10</v>
      </c>
    </row>
    <row r="421" spans="1:8" x14ac:dyDescent="0.25">
      <c r="A421" s="31">
        <v>44624</v>
      </c>
      <c r="B421" s="37" t="s">
        <v>7418</v>
      </c>
      <c r="C421" s="51" t="s">
        <v>71</v>
      </c>
      <c r="D421" s="52">
        <v>688.8</v>
      </c>
      <c r="E421" s="35">
        <v>44624</v>
      </c>
      <c r="F421" s="52">
        <v>688.8</v>
      </c>
      <c r="G421" s="53">
        <f>Tabla14[[#This Row],[Importe]]-Tabla14[[#This Row],[Pagado]]</f>
        <v>0</v>
      </c>
      <c r="H421" s="37" t="s">
        <v>10</v>
      </c>
    </row>
    <row r="422" spans="1:8" x14ac:dyDescent="0.25">
      <c r="A422" s="31">
        <v>44624</v>
      </c>
      <c r="B422" s="37" t="s">
        <v>7419</v>
      </c>
      <c r="C422" s="51" t="s">
        <v>392</v>
      </c>
      <c r="D422" s="52">
        <v>9099.2000000000007</v>
      </c>
      <c r="E422" s="35">
        <v>44628</v>
      </c>
      <c r="F422" s="52">
        <v>9099.2000000000007</v>
      </c>
      <c r="G422" s="53">
        <f>Tabla14[[#This Row],[Importe]]-Tabla14[[#This Row],[Pagado]]</f>
        <v>0</v>
      </c>
      <c r="H422" s="37" t="s">
        <v>10</v>
      </c>
    </row>
    <row r="423" spans="1:8" x14ac:dyDescent="0.25">
      <c r="A423" s="31">
        <v>44624</v>
      </c>
      <c r="B423" s="37" t="s">
        <v>7420</v>
      </c>
      <c r="C423" s="51" t="s">
        <v>365</v>
      </c>
      <c r="D423" s="52">
        <v>965.2</v>
      </c>
      <c r="E423" s="35">
        <v>44624</v>
      </c>
      <c r="F423" s="52">
        <v>965.2</v>
      </c>
      <c r="G423" s="53">
        <f>Tabla14[[#This Row],[Importe]]-Tabla14[[#This Row],[Pagado]]</f>
        <v>0</v>
      </c>
      <c r="H423" s="37" t="s">
        <v>10</v>
      </c>
    </row>
    <row r="424" spans="1:8" x14ac:dyDescent="0.25">
      <c r="A424" s="31">
        <v>44624</v>
      </c>
      <c r="B424" s="37" t="s">
        <v>7421</v>
      </c>
      <c r="C424" s="51" t="s">
        <v>426</v>
      </c>
      <c r="D424" s="52">
        <v>3942.4</v>
      </c>
      <c r="E424" s="35">
        <v>44625</v>
      </c>
      <c r="F424" s="52">
        <v>3942.4</v>
      </c>
      <c r="G424" s="53">
        <f>Tabla14[[#This Row],[Importe]]-Tabla14[[#This Row],[Pagado]]</f>
        <v>0</v>
      </c>
      <c r="H424" s="37" t="s">
        <v>10</v>
      </c>
    </row>
    <row r="425" spans="1:8" x14ac:dyDescent="0.25">
      <c r="A425" s="31">
        <v>44624</v>
      </c>
      <c r="B425" s="37" t="s">
        <v>7422</v>
      </c>
      <c r="C425" s="51" t="s">
        <v>51</v>
      </c>
      <c r="D425" s="52">
        <v>2016.4</v>
      </c>
      <c r="E425" s="35">
        <v>44624</v>
      </c>
      <c r="F425" s="52">
        <v>2016.4</v>
      </c>
      <c r="G425" s="53">
        <f>Tabla14[[#This Row],[Importe]]-Tabla14[[#This Row],[Pagado]]</f>
        <v>0</v>
      </c>
      <c r="H425" s="37" t="s">
        <v>10</v>
      </c>
    </row>
    <row r="426" spans="1:8" x14ac:dyDescent="0.25">
      <c r="A426" s="31">
        <v>44624</v>
      </c>
      <c r="B426" s="37" t="s">
        <v>7423</v>
      </c>
      <c r="C426" s="51" t="s">
        <v>284</v>
      </c>
      <c r="D426" s="52">
        <v>9682.2000000000007</v>
      </c>
      <c r="E426" s="35">
        <v>44625</v>
      </c>
      <c r="F426" s="52">
        <v>9682.2000000000007</v>
      </c>
      <c r="G426" s="53">
        <f>Tabla14[[#This Row],[Importe]]-Tabla14[[#This Row],[Pagado]]</f>
        <v>0</v>
      </c>
      <c r="H426" s="37" t="s">
        <v>10</v>
      </c>
    </row>
    <row r="427" spans="1:8" x14ac:dyDescent="0.25">
      <c r="A427" s="31">
        <v>44624</v>
      </c>
      <c r="B427" s="37" t="s">
        <v>7424</v>
      </c>
      <c r="C427" s="51" t="s">
        <v>282</v>
      </c>
      <c r="D427" s="52">
        <v>2424.6</v>
      </c>
      <c r="E427" s="35">
        <v>44625</v>
      </c>
      <c r="F427" s="52">
        <v>2424.6</v>
      </c>
      <c r="G427" s="53">
        <f>Tabla14[[#This Row],[Importe]]-Tabla14[[#This Row],[Pagado]]</f>
        <v>0</v>
      </c>
      <c r="H427" s="37" t="s">
        <v>10</v>
      </c>
    </row>
    <row r="428" spans="1:8" x14ac:dyDescent="0.25">
      <c r="A428" s="31">
        <v>44624</v>
      </c>
      <c r="B428" s="37" t="s">
        <v>7425</v>
      </c>
      <c r="C428" s="51" t="s">
        <v>5345</v>
      </c>
      <c r="D428" s="52">
        <v>1566</v>
      </c>
      <c r="E428" s="35">
        <v>44625</v>
      </c>
      <c r="F428" s="52">
        <v>1566</v>
      </c>
      <c r="G428" s="53">
        <f>Tabla14[[#This Row],[Importe]]-Tabla14[[#This Row],[Pagado]]</f>
        <v>0</v>
      </c>
      <c r="H428" s="37" t="s">
        <v>10</v>
      </c>
    </row>
    <row r="429" spans="1:8" x14ac:dyDescent="0.25">
      <c r="A429" s="31">
        <v>44624</v>
      </c>
      <c r="B429" s="37" t="s">
        <v>7426</v>
      </c>
      <c r="C429" s="51" t="s">
        <v>1313</v>
      </c>
      <c r="D429" s="52">
        <v>2834.8</v>
      </c>
      <c r="E429" s="35">
        <v>44624</v>
      </c>
      <c r="F429" s="52">
        <v>2834.8</v>
      </c>
      <c r="G429" s="53">
        <f>Tabla14[[#This Row],[Importe]]-Tabla14[[#This Row],[Pagado]]</f>
        <v>0</v>
      </c>
      <c r="H429" s="37" t="s">
        <v>10</v>
      </c>
    </row>
    <row r="430" spans="1:8" x14ac:dyDescent="0.25">
      <c r="A430" s="31">
        <v>44624</v>
      </c>
      <c r="B430" s="37" t="s">
        <v>7427</v>
      </c>
      <c r="C430" s="51" t="s">
        <v>280</v>
      </c>
      <c r="D430" s="52">
        <v>496.8</v>
      </c>
      <c r="E430" s="35">
        <v>44625</v>
      </c>
      <c r="F430" s="52">
        <v>496.8</v>
      </c>
      <c r="G430" s="53">
        <f>Tabla14[[#This Row],[Importe]]-Tabla14[[#This Row],[Pagado]]</f>
        <v>0</v>
      </c>
      <c r="H430" s="37" t="s">
        <v>10</v>
      </c>
    </row>
    <row r="431" spans="1:8" x14ac:dyDescent="0.25">
      <c r="A431" s="31">
        <v>44624</v>
      </c>
      <c r="B431" s="37" t="s">
        <v>7428</v>
      </c>
      <c r="C431" s="51" t="s">
        <v>368</v>
      </c>
      <c r="D431" s="52">
        <v>2244</v>
      </c>
      <c r="E431" s="35">
        <v>44625</v>
      </c>
      <c r="F431" s="52">
        <v>2244</v>
      </c>
      <c r="G431" s="53">
        <f>Tabla14[[#This Row],[Importe]]-Tabla14[[#This Row],[Pagado]]</f>
        <v>0</v>
      </c>
      <c r="H431" s="37" t="s">
        <v>10</v>
      </c>
    </row>
    <row r="432" spans="1:8" x14ac:dyDescent="0.25">
      <c r="A432" s="31">
        <v>44624</v>
      </c>
      <c r="B432" s="37" t="s">
        <v>7429</v>
      </c>
      <c r="C432" s="51" t="s">
        <v>269</v>
      </c>
      <c r="D432" s="52">
        <v>3277.8</v>
      </c>
      <c r="E432" s="35">
        <v>44624</v>
      </c>
      <c r="F432" s="52">
        <v>3277.8</v>
      </c>
      <c r="G432" s="53">
        <f>Tabla14[[#This Row],[Importe]]-Tabla14[[#This Row],[Pagado]]</f>
        <v>0</v>
      </c>
      <c r="H432" s="37" t="s">
        <v>10</v>
      </c>
    </row>
    <row r="433" spans="1:8" x14ac:dyDescent="0.25">
      <c r="A433" s="31">
        <v>44624</v>
      </c>
      <c r="B433" s="37" t="s">
        <v>7430</v>
      </c>
      <c r="C433" s="51" t="s">
        <v>414</v>
      </c>
      <c r="D433" s="52">
        <v>10746</v>
      </c>
      <c r="E433" s="35">
        <v>44624</v>
      </c>
      <c r="F433" s="52">
        <v>10746</v>
      </c>
      <c r="G433" s="53">
        <f>Tabla14[[#This Row],[Importe]]-Tabla14[[#This Row],[Pagado]]</f>
        <v>0</v>
      </c>
      <c r="H433" s="37" t="s">
        <v>10</v>
      </c>
    </row>
    <row r="434" spans="1:8" x14ac:dyDescent="0.25">
      <c r="A434" s="31">
        <v>44624</v>
      </c>
      <c r="B434" s="37" t="s">
        <v>7431</v>
      </c>
      <c r="C434" s="51" t="s">
        <v>1558</v>
      </c>
      <c r="D434" s="52">
        <v>1148</v>
      </c>
      <c r="E434" s="35">
        <v>44624</v>
      </c>
      <c r="F434" s="52">
        <v>1148</v>
      </c>
      <c r="G434" s="53">
        <f>Tabla14[[#This Row],[Importe]]-Tabla14[[#This Row],[Pagado]]</f>
        <v>0</v>
      </c>
      <c r="H434" s="37" t="s">
        <v>10</v>
      </c>
    </row>
    <row r="435" spans="1:8" x14ac:dyDescent="0.25">
      <c r="A435" s="31">
        <v>44624</v>
      </c>
      <c r="B435" s="37" t="s">
        <v>7432</v>
      </c>
      <c r="C435" s="51" t="s">
        <v>1558</v>
      </c>
      <c r="D435" s="52">
        <v>280</v>
      </c>
      <c r="E435" s="35">
        <v>44624</v>
      </c>
      <c r="F435" s="52">
        <v>280</v>
      </c>
      <c r="G435" s="53">
        <f>Tabla14[[#This Row],[Importe]]-Tabla14[[#This Row],[Pagado]]</f>
        <v>0</v>
      </c>
      <c r="H435" s="37" t="s">
        <v>10</v>
      </c>
    </row>
    <row r="436" spans="1:8" x14ac:dyDescent="0.25">
      <c r="A436" s="31">
        <v>44624</v>
      </c>
      <c r="B436" s="37" t="s">
        <v>7433</v>
      </c>
      <c r="C436" s="51" t="s">
        <v>9</v>
      </c>
      <c r="D436" s="52">
        <v>870</v>
      </c>
      <c r="E436" s="35">
        <v>44624</v>
      </c>
      <c r="F436" s="52">
        <v>870</v>
      </c>
      <c r="G436" s="53">
        <f>Tabla14[[#This Row],[Importe]]-Tabla14[[#This Row],[Pagado]]</f>
        <v>0</v>
      </c>
      <c r="H436" s="37" t="s">
        <v>10</v>
      </c>
    </row>
    <row r="437" spans="1:8" x14ac:dyDescent="0.25">
      <c r="A437" s="31">
        <v>44624</v>
      </c>
      <c r="B437" s="37" t="s">
        <v>7434</v>
      </c>
      <c r="C437" s="51" t="s">
        <v>857</v>
      </c>
      <c r="D437" s="52">
        <v>579.6</v>
      </c>
      <c r="E437" s="35">
        <v>44624</v>
      </c>
      <c r="F437" s="52">
        <v>579.6</v>
      </c>
      <c r="G437" s="53">
        <f>Tabla14[[#This Row],[Importe]]-Tabla14[[#This Row],[Pagado]]</f>
        <v>0</v>
      </c>
      <c r="H437" s="37" t="s">
        <v>10</v>
      </c>
    </row>
    <row r="438" spans="1:8" x14ac:dyDescent="0.25">
      <c r="A438" s="31">
        <v>44624</v>
      </c>
      <c r="B438" s="37" t="s">
        <v>7435</v>
      </c>
      <c r="C438" s="51" t="s">
        <v>409</v>
      </c>
      <c r="D438" s="52">
        <v>3677.4</v>
      </c>
      <c r="E438" s="35">
        <v>44625</v>
      </c>
      <c r="F438" s="52">
        <v>3677.4</v>
      </c>
      <c r="G438" s="53">
        <f>Tabla14[[#This Row],[Importe]]-Tabla14[[#This Row],[Pagado]]</f>
        <v>0</v>
      </c>
      <c r="H438" s="37" t="s">
        <v>10</v>
      </c>
    </row>
    <row r="439" spans="1:8" x14ac:dyDescent="0.25">
      <c r="A439" s="31">
        <v>44624</v>
      </c>
      <c r="B439" s="37" t="s">
        <v>7436</v>
      </c>
      <c r="C439" s="51" t="s">
        <v>872</v>
      </c>
      <c r="D439" s="52">
        <v>594.5</v>
      </c>
      <c r="E439" s="35">
        <v>44624</v>
      </c>
      <c r="F439" s="52">
        <v>594.5</v>
      </c>
      <c r="G439" s="53">
        <f>Tabla14[[#This Row],[Importe]]-Tabla14[[#This Row],[Pagado]]</f>
        <v>0</v>
      </c>
      <c r="H439" s="37" t="s">
        <v>10</v>
      </c>
    </row>
    <row r="440" spans="1:8" x14ac:dyDescent="0.25">
      <c r="A440" s="31">
        <v>44624</v>
      </c>
      <c r="B440" s="37" t="s">
        <v>7437</v>
      </c>
      <c r="C440" s="51" t="s">
        <v>555</v>
      </c>
      <c r="D440" s="52">
        <v>26167.8</v>
      </c>
      <c r="E440" s="35">
        <v>44624</v>
      </c>
      <c r="F440" s="52">
        <v>26167.8</v>
      </c>
      <c r="G440" s="53">
        <f>Tabla14[[#This Row],[Importe]]-Tabla14[[#This Row],[Pagado]]</f>
        <v>0</v>
      </c>
      <c r="H440" s="37" t="s">
        <v>10</v>
      </c>
    </row>
    <row r="441" spans="1:8" x14ac:dyDescent="0.25">
      <c r="A441" s="31">
        <v>44624</v>
      </c>
      <c r="B441" s="37" t="s">
        <v>7438</v>
      </c>
      <c r="C441" s="51" t="s">
        <v>269</v>
      </c>
      <c r="D441" s="52">
        <v>846.6</v>
      </c>
      <c r="E441" s="35">
        <v>44624</v>
      </c>
      <c r="F441" s="52">
        <v>846.6</v>
      </c>
      <c r="G441" s="53">
        <f>Tabla14[[#This Row],[Importe]]-Tabla14[[#This Row],[Pagado]]</f>
        <v>0</v>
      </c>
      <c r="H441" s="37" t="s">
        <v>10</v>
      </c>
    </row>
    <row r="442" spans="1:8" x14ac:dyDescent="0.25">
      <c r="A442" s="31">
        <v>44624</v>
      </c>
      <c r="B442" s="37" t="s">
        <v>7439</v>
      </c>
      <c r="C442" s="51" t="s">
        <v>69</v>
      </c>
      <c r="D442" s="52">
        <v>1711.8</v>
      </c>
      <c r="E442" s="35">
        <v>44624</v>
      </c>
      <c r="F442" s="52">
        <v>1711.8</v>
      </c>
      <c r="G442" s="53">
        <f>Tabla14[[#This Row],[Importe]]-Tabla14[[#This Row],[Pagado]]</f>
        <v>0</v>
      </c>
      <c r="H442" s="37" t="s">
        <v>10</v>
      </c>
    </row>
    <row r="443" spans="1:8" x14ac:dyDescent="0.25">
      <c r="A443" s="31">
        <v>44624</v>
      </c>
      <c r="B443" s="37" t="s">
        <v>7440</v>
      </c>
      <c r="C443" s="51" t="s">
        <v>31</v>
      </c>
      <c r="D443" s="52">
        <v>3526</v>
      </c>
      <c r="E443" s="35">
        <v>44624</v>
      </c>
      <c r="F443" s="52">
        <v>3526</v>
      </c>
      <c r="G443" s="53">
        <f>Tabla14[[#This Row],[Importe]]-Tabla14[[#This Row],[Pagado]]</f>
        <v>0</v>
      </c>
      <c r="H443" s="37" t="s">
        <v>10</v>
      </c>
    </row>
    <row r="444" spans="1:8" x14ac:dyDescent="0.25">
      <c r="A444" s="31">
        <v>44624</v>
      </c>
      <c r="B444" s="37" t="s">
        <v>7441</v>
      </c>
      <c r="C444" s="51" t="s">
        <v>31</v>
      </c>
      <c r="D444" s="52">
        <v>80</v>
      </c>
      <c r="E444" s="35">
        <v>44624</v>
      </c>
      <c r="F444" s="52">
        <v>80</v>
      </c>
      <c r="G444" s="53">
        <f>Tabla14[[#This Row],[Importe]]-Tabla14[[#This Row],[Pagado]]</f>
        <v>0</v>
      </c>
      <c r="H444" s="37" t="s">
        <v>10</v>
      </c>
    </row>
    <row r="445" spans="1:8" x14ac:dyDescent="0.25">
      <c r="A445" s="31">
        <v>44624</v>
      </c>
      <c r="B445" s="37" t="s">
        <v>7442</v>
      </c>
      <c r="C445" s="51" t="s">
        <v>1421</v>
      </c>
      <c r="D445" s="52">
        <v>36273.800000000003</v>
      </c>
      <c r="E445" s="35">
        <v>44624</v>
      </c>
      <c r="F445" s="52">
        <v>36273.800000000003</v>
      </c>
      <c r="G445" s="53">
        <f>Tabla14[[#This Row],[Importe]]-Tabla14[[#This Row],[Pagado]]</f>
        <v>0</v>
      </c>
      <c r="H445" s="37" t="s">
        <v>10</v>
      </c>
    </row>
    <row r="446" spans="1:8" x14ac:dyDescent="0.25">
      <c r="A446" s="31">
        <v>44624</v>
      </c>
      <c r="B446" s="37" t="s">
        <v>7443</v>
      </c>
      <c r="C446" s="51" t="s">
        <v>7444</v>
      </c>
      <c r="D446" s="52">
        <v>18800.560000000001</v>
      </c>
      <c r="E446" s="35">
        <v>44638</v>
      </c>
      <c r="F446" s="52">
        <v>18800.560000000001</v>
      </c>
      <c r="G446" s="53">
        <f>Tabla14[[#This Row],[Importe]]-Tabla14[[#This Row],[Pagado]]</f>
        <v>0</v>
      </c>
      <c r="H446" s="37" t="s">
        <v>10</v>
      </c>
    </row>
    <row r="447" spans="1:8" x14ac:dyDescent="0.25">
      <c r="A447" s="31">
        <v>44624</v>
      </c>
      <c r="B447" s="37" t="s">
        <v>7445</v>
      </c>
      <c r="C447" s="51" t="s">
        <v>872</v>
      </c>
      <c r="D447" s="52">
        <v>4235.6400000000003</v>
      </c>
      <c r="E447" s="35">
        <v>44624</v>
      </c>
      <c r="F447" s="52">
        <v>4235.6400000000003</v>
      </c>
      <c r="G447" s="53">
        <f>Tabla14[[#This Row],[Importe]]-Tabla14[[#This Row],[Pagado]]</f>
        <v>0</v>
      </c>
      <c r="H447" s="37" t="s">
        <v>10</v>
      </c>
    </row>
    <row r="448" spans="1:8" x14ac:dyDescent="0.25">
      <c r="A448" s="31">
        <v>44624</v>
      </c>
      <c r="B448" s="37" t="s">
        <v>7446</v>
      </c>
      <c r="C448" s="51" t="s">
        <v>179</v>
      </c>
      <c r="D448" s="52">
        <v>1117.8</v>
      </c>
      <c r="E448" s="35">
        <v>44624</v>
      </c>
      <c r="F448" s="52">
        <v>1117.8</v>
      </c>
      <c r="G448" s="53">
        <f>Tabla14[[#This Row],[Importe]]-Tabla14[[#This Row],[Pagado]]</f>
        <v>0</v>
      </c>
      <c r="H448" s="37" t="s">
        <v>10</v>
      </c>
    </row>
    <row r="449" spans="1:8" x14ac:dyDescent="0.25">
      <c r="A449" s="31">
        <v>44624</v>
      </c>
      <c r="B449" s="37" t="s">
        <v>7447</v>
      </c>
      <c r="C449" s="51" t="s">
        <v>22</v>
      </c>
      <c r="D449" s="52">
        <v>2423.6999999999998</v>
      </c>
      <c r="E449" s="35">
        <v>44625</v>
      </c>
      <c r="F449" s="52">
        <v>2423.6999999999998</v>
      </c>
      <c r="G449" s="53">
        <f>Tabla14[[#This Row],[Importe]]-Tabla14[[#This Row],[Pagado]]</f>
        <v>0</v>
      </c>
      <c r="H449" s="37" t="s">
        <v>10</v>
      </c>
    </row>
    <row r="450" spans="1:8" x14ac:dyDescent="0.25">
      <c r="A450" s="31">
        <v>44624</v>
      </c>
      <c r="B450" s="37" t="s">
        <v>7448</v>
      </c>
      <c r="C450" s="51" t="s">
        <v>196</v>
      </c>
      <c r="D450" s="52">
        <v>23317.8</v>
      </c>
      <c r="E450" s="35">
        <v>44631</v>
      </c>
      <c r="F450" s="52">
        <v>23317.8</v>
      </c>
      <c r="G450" s="53">
        <f>Tabla14[[#This Row],[Importe]]-Tabla14[[#This Row],[Pagado]]</f>
        <v>0</v>
      </c>
      <c r="H450" s="37" t="s">
        <v>10</v>
      </c>
    </row>
    <row r="451" spans="1:8" x14ac:dyDescent="0.25">
      <c r="A451" s="31">
        <v>44624</v>
      </c>
      <c r="B451" s="37" t="s">
        <v>7449</v>
      </c>
      <c r="C451" s="51" t="s">
        <v>4027</v>
      </c>
      <c r="D451" s="52">
        <v>75</v>
      </c>
      <c r="E451" s="35">
        <v>44624</v>
      </c>
      <c r="F451" s="52">
        <v>75</v>
      </c>
      <c r="G451" s="53">
        <f>Tabla14[[#This Row],[Importe]]-Tabla14[[#This Row],[Pagado]]</f>
        <v>0</v>
      </c>
      <c r="H451" s="37" t="s">
        <v>10</v>
      </c>
    </row>
    <row r="452" spans="1:8" x14ac:dyDescent="0.25">
      <c r="A452" s="31">
        <v>44624</v>
      </c>
      <c r="B452" s="37" t="s">
        <v>7450</v>
      </c>
      <c r="C452" s="51" t="s">
        <v>169</v>
      </c>
      <c r="D452" s="52">
        <v>3524</v>
      </c>
      <c r="E452" s="35">
        <v>44625</v>
      </c>
      <c r="F452" s="52">
        <v>3524</v>
      </c>
      <c r="G452" s="53">
        <f>Tabla14[[#This Row],[Importe]]-Tabla14[[#This Row],[Pagado]]</f>
        <v>0</v>
      </c>
      <c r="H452" s="37" t="s">
        <v>10</v>
      </c>
    </row>
    <row r="453" spans="1:8" x14ac:dyDescent="0.25">
      <c r="A453" s="31">
        <v>44625</v>
      </c>
      <c r="B453" s="37" t="s">
        <v>7451</v>
      </c>
      <c r="C453" s="51" t="s">
        <v>887</v>
      </c>
      <c r="D453" s="52">
        <v>14244.3</v>
      </c>
      <c r="E453" s="35">
        <v>44630</v>
      </c>
      <c r="F453" s="52">
        <v>14244.3</v>
      </c>
      <c r="G453" s="53">
        <f>Tabla14[[#This Row],[Importe]]-Tabla14[[#This Row],[Pagado]]</f>
        <v>0</v>
      </c>
      <c r="H453" s="37" t="s">
        <v>10</v>
      </c>
    </row>
    <row r="454" spans="1:8" x14ac:dyDescent="0.25">
      <c r="A454" s="31">
        <v>44625</v>
      </c>
      <c r="B454" s="37" t="s">
        <v>7452</v>
      </c>
      <c r="C454" s="51" t="s">
        <v>481</v>
      </c>
      <c r="D454" s="52">
        <v>2190.4</v>
      </c>
      <c r="E454" s="35">
        <v>44625</v>
      </c>
      <c r="F454" s="52">
        <v>2190.4</v>
      </c>
      <c r="G454" s="53">
        <f>Tabla14[[#This Row],[Importe]]-Tabla14[[#This Row],[Pagado]]</f>
        <v>0</v>
      </c>
      <c r="H454" s="37" t="s">
        <v>10</v>
      </c>
    </row>
    <row r="455" spans="1:8" ht="31.5" x14ac:dyDescent="0.25">
      <c r="A455" s="31">
        <v>44625</v>
      </c>
      <c r="B455" s="37" t="s">
        <v>7453</v>
      </c>
      <c r="C455" s="51" t="s">
        <v>475</v>
      </c>
      <c r="D455" s="52">
        <v>66937.899999999994</v>
      </c>
      <c r="E455" s="35" t="s">
        <v>7454</v>
      </c>
      <c r="F455" s="52">
        <f>27000+39937.9</f>
        <v>66937.899999999994</v>
      </c>
      <c r="G455" s="53">
        <f>Tabla14[[#This Row],[Importe]]-Tabla14[[#This Row],[Pagado]]</f>
        <v>0</v>
      </c>
      <c r="H455" s="37" t="s">
        <v>10</v>
      </c>
    </row>
    <row r="456" spans="1:8" x14ac:dyDescent="0.25">
      <c r="A456" s="31">
        <v>44625</v>
      </c>
      <c r="B456" s="37" t="s">
        <v>7455</v>
      </c>
      <c r="C456" s="51" t="s">
        <v>12</v>
      </c>
      <c r="D456" s="52">
        <v>54425.95</v>
      </c>
      <c r="E456" s="35">
        <v>44626</v>
      </c>
      <c r="F456" s="52">
        <v>54425.95</v>
      </c>
      <c r="G456" s="53">
        <f>Tabla14[[#This Row],[Importe]]-Tabla14[[#This Row],[Pagado]]</f>
        <v>0</v>
      </c>
      <c r="H456" s="37" t="s">
        <v>10</v>
      </c>
    </row>
    <row r="457" spans="1:8" ht="31.5" x14ac:dyDescent="0.25">
      <c r="A457" s="31">
        <v>44625</v>
      </c>
      <c r="B457" s="37" t="s">
        <v>7456</v>
      </c>
      <c r="C457" s="51" t="s">
        <v>22</v>
      </c>
      <c r="D457" s="52">
        <v>55837</v>
      </c>
      <c r="E457" s="35" t="s">
        <v>7457</v>
      </c>
      <c r="F457" s="52">
        <f>43000+12837</f>
        <v>55837</v>
      </c>
      <c r="G457" s="53">
        <f>Tabla14[[#This Row],[Importe]]-Tabla14[[#This Row],[Pagado]]</f>
        <v>0</v>
      </c>
      <c r="H457" s="37" t="s">
        <v>10</v>
      </c>
    </row>
    <row r="458" spans="1:8" x14ac:dyDescent="0.25">
      <c r="A458" s="31">
        <v>44625</v>
      </c>
      <c r="B458" s="37" t="s">
        <v>7458</v>
      </c>
      <c r="C458" s="51" t="s">
        <v>56</v>
      </c>
      <c r="D458" s="52">
        <v>3932.8</v>
      </c>
      <c r="E458" s="35">
        <v>44625</v>
      </c>
      <c r="F458" s="52">
        <v>3932.8</v>
      </c>
      <c r="G458" s="53">
        <f>Tabla14[[#This Row],[Importe]]-Tabla14[[#This Row],[Pagado]]</f>
        <v>0</v>
      </c>
      <c r="H458" s="37" t="s">
        <v>10</v>
      </c>
    </row>
    <row r="459" spans="1:8" x14ac:dyDescent="0.25">
      <c r="A459" s="31">
        <v>44625</v>
      </c>
      <c r="B459" s="37" t="s">
        <v>7459</v>
      </c>
      <c r="C459" s="51" t="s">
        <v>149</v>
      </c>
      <c r="D459" s="52">
        <v>822.8</v>
      </c>
      <c r="E459" s="35">
        <v>44625</v>
      </c>
      <c r="F459" s="52">
        <v>822.8</v>
      </c>
      <c r="G459" s="53">
        <f>Tabla14[[#This Row],[Importe]]-Tabla14[[#This Row],[Pagado]]</f>
        <v>0</v>
      </c>
      <c r="H459" s="37" t="s">
        <v>10</v>
      </c>
    </row>
    <row r="460" spans="1:8" x14ac:dyDescent="0.25">
      <c r="A460" s="31">
        <v>44625</v>
      </c>
      <c r="B460" s="37" t="s">
        <v>7460</v>
      </c>
      <c r="C460" s="51" t="s">
        <v>47</v>
      </c>
      <c r="D460" s="52">
        <v>35234.68</v>
      </c>
      <c r="E460" s="35">
        <v>44625</v>
      </c>
      <c r="F460" s="52">
        <v>35234.68</v>
      </c>
      <c r="G460" s="53">
        <f>Tabla14[[#This Row],[Importe]]-Tabla14[[#This Row],[Pagado]]</f>
        <v>0</v>
      </c>
      <c r="H460" s="37" t="s">
        <v>10</v>
      </c>
    </row>
    <row r="461" spans="1:8" x14ac:dyDescent="0.25">
      <c r="A461" s="31">
        <v>44625</v>
      </c>
      <c r="B461" s="37" t="s">
        <v>7461</v>
      </c>
      <c r="C461" s="51" t="s">
        <v>79</v>
      </c>
      <c r="D461" s="52">
        <v>16934.400000000001</v>
      </c>
      <c r="E461" s="35">
        <v>44625</v>
      </c>
      <c r="F461" s="52">
        <v>16934.400000000001</v>
      </c>
      <c r="G461" s="53">
        <f>Tabla14[[#This Row],[Importe]]-Tabla14[[#This Row],[Pagado]]</f>
        <v>0</v>
      </c>
      <c r="H461" s="37" t="s">
        <v>10</v>
      </c>
    </row>
    <row r="462" spans="1:8" x14ac:dyDescent="0.25">
      <c r="A462" s="31">
        <v>44625</v>
      </c>
      <c r="B462" s="37" t="s">
        <v>7462</v>
      </c>
      <c r="C462" s="51" t="s">
        <v>79</v>
      </c>
      <c r="D462" s="52">
        <v>4498.2</v>
      </c>
      <c r="E462" s="35">
        <v>44625</v>
      </c>
      <c r="F462" s="52">
        <v>4498.2</v>
      </c>
      <c r="G462" s="53">
        <f>Tabla14[[#This Row],[Importe]]-Tabla14[[#This Row],[Pagado]]</f>
        <v>0</v>
      </c>
      <c r="H462" s="37" t="s">
        <v>10</v>
      </c>
    </row>
    <row r="463" spans="1:8" x14ac:dyDescent="0.25">
      <c r="A463" s="31">
        <v>44625</v>
      </c>
      <c r="B463" s="37" t="s">
        <v>7463</v>
      </c>
      <c r="C463" s="51" t="s">
        <v>75</v>
      </c>
      <c r="D463" s="52">
        <v>6534</v>
      </c>
      <c r="E463" s="35">
        <v>44626</v>
      </c>
      <c r="F463" s="52">
        <v>6534</v>
      </c>
      <c r="G463" s="53">
        <f>Tabla14[[#This Row],[Importe]]-Tabla14[[#This Row],[Pagado]]</f>
        <v>0</v>
      </c>
      <c r="H463" s="37" t="s">
        <v>10</v>
      </c>
    </row>
    <row r="464" spans="1:8" x14ac:dyDescent="0.25">
      <c r="A464" s="31">
        <v>44625</v>
      </c>
      <c r="B464" s="37" t="s">
        <v>7464</v>
      </c>
      <c r="C464" s="51" t="s">
        <v>9</v>
      </c>
      <c r="D464" s="52">
        <v>7568.9</v>
      </c>
      <c r="E464" s="35">
        <v>44625</v>
      </c>
      <c r="F464" s="52">
        <v>7568.9</v>
      </c>
      <c r="G464" s="53">
        <f>Tabla14[[#This Row],[Importe]]-Tabla14[[#This Row],[Pagado]]</f>
        <v>0</v>
      </c>
      <c r="H464" s="37" t="s">
        <v>10</v>
      </c>
    </row>
    <row r="465" spans="1:8" x14ac:dyDescent="0.25">
      <c r="A465" s="31">
        <v>44625</v>
      </c>
      <c r="B465" s="37" t="s">
        <v>7465</v>
      </c>
      <c r="C465" s="51" t="s">
        <v>75</v>
      </c>
      <c r="D465" s="52">
        <v>7101</v>
      </c>
      <c r="E465" s="35">
        <v>44625</v>
      </c>
      <c r="F465" s="52">
        <v>7101</v>
      </c>
      <c r="G465" s="53">
        <f>Tabla14[[#This Row],[Importe]]-Tabla14[[#This Row],[Pagado]]</f>
        <v>0</v>
      </c>
      <c r="H465" s="37" t="s">
        <v>10</v>
      </c>
    </row>
    <row r="466" spans="1:8" x14ac:dyDescent="0.25">
      <c r="A466" s="31">
        <v>44625</v>
      </c>
      <c r="B466" s="37" t="s">
        <v>7466</v>
      </c>
      <c r="C466" s="51" t="s">
        <v>31</v>
      </c>
      <c r="D466" s="52">
        <v>4334.3999999999996</v>
      </c>
      <c r="E466" s="35">
        <v>44625</v>
      </c>
      <c r="F466" s="52">
        <v>4334.3999999999996</v>
      </c>
      <c r="G466" s="53">
        <f>Tabla14[[#This Row],[Importe]]-Tabla14[[#This Row],[Pagado]]</f>
        <v>0</v>
      </c>
      <c r="H466" s="37" t="s">
        <v>10</v>
      </c>
    </row>
    <row r="467" spans="1:8" x14ac:dyDescent="0.25">
      <c r="A467" s="31">
        <v>44625</v>
      </c>
      <c r="B467" s="37" t="s">
        <v>7467</v>
      </c>
      <c r="C467" s="51" t="s">
        <v>161</v>
      </c>
      <c r="D467" s="52">
        <v>3470.5</v>
      </c>
      <c r="E467" s="35">
        <v>44625</v>
      </c>
      <c r="F467" s="52">
        <v>3470.5</v>
      </c>
      <c r="G467" s="53">
        <f>Tabla14[[#This Row],[Importe]]-Tabla14[[#This Row],[Pagado]]</f>
        <v>0</v>
      </c>
      <c r="H467" s="37" t="s">
        <v>10</v>
      </c>
    </row>
    <row r="468" spans="1:8" x14ac:dyDescent="0.25">
      <c r="A468" s="31">
        <v>44625</v>
      </c>
      <c r="B468" s="37" t="s">
        <v>7468</v>
      </c>
      <c r="C468" s="51" t="s">
        <v>109</v>
      </c>
      <c r="D468" s="52">
        <v>3755.3</v>
      </c>
      <c r="E468" s="35">
        <v>44625</v>
      </c>
      <c r="F468" s="52">
        <v>3755.3</v>
      </c>
      <c r="G468" s="53">
        <f>Tabla14[[#This Row],[Importe]]-Tabla14[[#This Row],[Pagado]]</f>
        <v>0</v>
      </c>
      <c r="H468" s="37" t="s">
        <v>10</v>
      </c>
    </row>
    <row r="469" spans="1:8" ht="63" x14ac:dyDescent="0.25">
      <c r="A469" s="31">
        <v>44625</v>
      </c>
      <c r="B469" s="37" t="s">
        <v>7469</v>
      </c>
      <c r="C469" s="51" t="s">
        <v>99</v>
      </c>
      <c r="D469" s="52">
        <v>12023.8</v>
      </c>
      <c r="E469" s="35" t="s">
        <v>7470</v>
      </c>
      <c r="F469" s="52">
        <f>7000+1500+3000+523.8</f>
        <v>12023.8</v>
      </c>
      <c r="G469" s="53">
        <f>Tabla14[[#This Row],[Importe]]-Tabla14[[#This Row],[Pagado]]</f>
        <v>0</v>
      </c>
      <c r="H469" s="37" t="s">
        <v>10</v>
      </c>
    </row>
    <row r="470" spans="1:8" x14ac:dyDescent="0.25">
      <c r="A470" s="31">
        <v>44625</v>
      </c>
      <c r="B470" s="37" t="s">
        <v>7471</v>
      </c>
      <c r="C470" s="51" t="s">
        <v>89</v>
      </c>
      <c r="D470" s="52">
        <v>9356</v>
      </c>
      <c r="E470" s="35">
        <v>44627</v>
      </c>
      <c r="F470" s="52">
        <v>9356</v>
      </c>
      <c r="G470" s="53">
        <f>Tabla14[[#This Row],[Importe]]-Tabla14[[#This Row],[Pagado]]</f>
        <v>0</v>
      </c>
      <c r="H470" s="37" t="s">
        <v>10</v>
      </c>
    </row>
    <row r="471" spans="1:8" x14ac:dyDescent="0.25">
      <c r="A471" s="31">
        <v>44625</v>
      </c>
      <c r="B471" s="37" t="s">
        <v>7472</v>
      </c>
      <c r="C471" s="51" t="s">
        <v>348</v>
      </c>
      <c r="D471" s="52">
        <v>4400</v>
      </c>
      <c r="E471" s="35">
        <v>44625</v>
      </c>
      <c r="F471" s="52">
        <v>4400</v>
      </c>
      <c r="G471" s="53">
        <f>Tabla14[[#This Row],[Importe]]-Tabla14[[#This Row],[Pagado]]</f>
        <v>0</v>
      </c>
      <c r="H471" s="37" t="s">
        <v>10</v>
      </c>
    </row>
    <row r="472" spans="1:8" x14ac:dyDescent="0.25">
      <c r="A472" s="31">
        <v>44625</v>
      </c>
      <c r="B472" s="37" t="s">
        <v>7473</v>
      </c>
      <c r="C472" s="51" t="s">
        <v>111</v>
      </c>
      <c r="D472" s="52">
        <v>8201.5</v>
      </c>
      <c r="E472" s="35">
        <v>44627</v>
      </c>
      <c r="F472" s="52">
        <v>8201.5</v>
      </c>
      <c r="G472" s="53">
        <f>Tabla14[[#This Row],[Importe]]-Tabla14[[#This Row],[Pagado]]</f>
        <v>0</v>
      </c>
      <c r="H472" s="37" t="s">
        <v>10</v>
      </c>
    </row>
    <row r="473" spans="1:8" x14ac:dyDescent="0.25">
      <c r="A473" s="31">
        <v>44625</v>
      </c>
      <c r="B473" s="37" t="s">
        <v>7474</v>
      </c>
      <c r="C473" s="51" t="s">
        <v>120</v>
      </c>
      <c r="D473" s="52">
        <v>3920</v>
      </c>
      <c r="E473" s="35">
        <v>44628</v>
      </c>
      <c r="F473" s="52">
        <v>3920</v>
      </c>
      <c r="G473" s="53">
        <f>Tabla14[[#This Row],[Importe]]-Tabla14[[#This Row],[Pagado]]</f>
        <v>0</v>
      </c>
      <c r="H473" s="37" t="s">
        <v>10</v>
      </c>
    </row>
    <row r="474" spans="1:8" x14ac:dyDescent="0.25">
      <c r="A474" s="31">
        <v>44625</v>
      </c>
      <c r="B474" s="37" t="s">
        <v>7475</v>
      </c>
      <c r="C474" s="51" t="s">
        <v>2563</v>
      </c>
      <c r="D474" s="52">
        <v>3567.2</v>
      </c>
      <c r="E474" s="35">
        <v>44625</v>
      </c>
      <c r="F474" s="52">
        <v>3567.2</v>
      </c>
      <c r="G474" s="53">
        <f>Tabla14[[#This Row],[Importe]]-Tabla14[[#This Row],[Pagado]]</f>
        <v>0</v>
      </c>
      <c r="H474" s="37" t="s">
        <v>10</v>
      </c>
    </row>
    <row r="475" spans="1:8" x14ac:dyDescent="0.25">
      <c r="A475" s="31">
        <v>44625</v>
      </c>
      <c r="B475" s="37" t="s">
        <v>7476</v>
      </c>
      <c r="C475" s="51" t="s">
        <v>105</v>
      </c>
      <c r="D475" s="52">
        <v>15714.2</v>
      </c>
      <c r="E475" s="35">
        <v>44628</v>
      </c>
      <c r="F475" s="52">
        <v>15714.2</v>
      </c>
      <c r="G475" s="53">
        <f>Tabla14[[#This Row],[Importe]]-Tabla14[[#This Row],[Pagado]]</f>
        <v>0</v>
      </c>
      <c r="H475" s="37" t="s">
        <v>10</v>
      </c>
    </row>
    <row r="476" spans="1:8" x14ac:dyDescent="0.25">
      <c r="A476" s="31">
        <v>44625</v>
      </c>
      <c r="B476" s="37" t="s">
        <v>7477</v>
      </c>
      <c r="C476" s="51" t="s">
        <v>93</v>
      </c>
      <c r="D476" s="52">
        <v>11800.3</v>
      </c>
      <c r="E476" s="35">
        <v>44627</v>
      </c>
      <c r="F476" s="52">
        <v>11800.3</v>
      </c>
      <c r="G476" s="53">
        <f>Tabla14[[#This Row],[Importe]]-Tabla14[[#This Row],[Pagado]]</f>
        <v>0</v>
      </c>
      <c r="H476" s="37" t="s">
        <v>10</v>
      </c>
    </row>
    <row r="477" spans="1:8" x14ac:dyDescent="0.25">
      <c r="A477" s="31">
        <v>44625</v>
      </c>
      <c r="B477" s="37" t="s">
        <v>7478</v>
      </c>
      <c r="C477" s="51" t="s">
        <v>326</v>
      </c>
      <c r="D477" s="52">
        <v>12666.5</v>
      </c>
      <c r="E477" s="35">
        <v>44627</v>
      </c>
      <c r="F477" s="52">
        <v>12666.5</v>
      </c>
      <c r="G477" s="53">
        <f>Tabla14[[#This Row],[Importe]]-Tabla14[[#This Row],[Pagado]]</f>
        <v>0</v>
      </c>
      <c r="H477" s="37" t="s">
        <v>10</v>
      </c>
    </row>
    <row r="478" spans="1:8" x14ac:dyDescent="0.25">
      <c r="A478" s="31">
        <v>44625</v>
      </c>
      <c r="B478" s="37" t="s">
        <v>7479</v>
      </c>
      <c r="C478" s="51" t="s">
        <v>131</v>
      </c>
      <c r="D478" s="52">
        <v>11066.4</v>
      </c>
      <c r="E478" s="35">
        <v>44625</v>
      </c>
      <c r="F478" s="52">
        <v>11066.4</v>
      </c>
      <c r="G478" s="53">
        <f>Tabla14[[#This Row],[Importe]]-Tabla14[[#This Row],[Pagado]]</f>
        <v>0</v>
      </c>
      <c r="H478" s="37" t="s">
        <v>10</v>
      </c>
    </row>
    <row r="479" spans="1:8" x14ac:dyDescent="0.25">
      <c r="A479" s="31">
        <v>44625</v>
      </c>
      <c r="B479" s="37" t="s">
        <v>7480</v>
      </c>
      <c r="C479" s="51" t="s">
        <v>60</v>
      </c>
      <c r="D479" s="52">
        <v>7686.8</v>
      </c>
      <c r="E479" s="35">
        <v>44630</v>
      </c>
      <c r="F479" s="52">
        <v>7686.8</v>
      </c>
      <c r="G479" s="53">
        <f>Tabla14[[#This Row],[Importe]]-Tabla14[[#This Row],[Pagado]]</f>
        <v>0</v>
      </c>
      <c r="H479" s="37" t="s">
        <v>10</v>
      </c>
    </row>
    <row r="480" spans="1:8" x14ac:dyDescent="0.25">
      <c r="A480" s="31">
        <v>44625</v>
      </c>
      <c r="B480" s="37" t="s">
        <v>7481</v>
      </c>
      <c r="C480" s="51" t="s">
        <v>64</v>
      </c>
      <c r="D480" s="52">
        <v>7784</v>
      </c>
      <c r="E480" s="35">
        <v>44628</v>
      </c>
      <c r="F480" s="52">
        <v>7784</v>
      </c>
      <c r="G480" s="53">
        <f>Tabla14[[#This Row],[Importe]]-Tabla14[[#This Row],[Pagado]]</f>
        <v>0</v>
      </c>
      <c r="H480" s="37" t="s">
        <v>10</v>
      </c>
    </row>
    <row r="481" spans="1:8" x14ac:dyDescent="0.25">
      <c r="A481" s="31">
        <v>44625</v>
      </c>
      <c r="B481" s="37" t="s">
        <v>7482</v>
      </c>
      <c r="C481" s="51" t="s">
        <v>39</v>
      </c>
      <c r="D481" s="52">
        <v>27905.8</v>
      </c>
      <c r="E481" s="35">
        <v>44629</v>
      </c>
      <c r="F481" s="52">
        <v>27905.8</v>
      </c>
      <c r="G481" s="53">
        <f>Tabla14[[#This Row],[Importe]]-Tabla14[[#This Row],[Pagado]]</f>
        <v>0</v>
      </c>
      <c r="H481" s="37" t="s">
        <v>10</v>
      </c>
    </row>
    <row r="482" spans="1:8" x14ac:dyDescent="0.25">
      <c r="A482" s="31">
        <v>44625</v>
      </c>
      <c r="B482" s="37" t="s">
        <v>7483</v>
      </c>
      <c r="C482" s="51" t="s">
        <v>114</v>
      </c>
      <c r="D482" s="52">
        <v>8393.9</v>
      </c>
      <c r="E482" s="35">
        <v>44628</v>
      </c>
      <c r="F482" s="52">
        <v>8393.9</v>
      </c>
      <c r="G482" s="53">
        <f>Tabla14[[#This Row],[Importe]]-Tabla14[[#This Row],[Pagado]]</f>
        <v>0</v>
      </c>
      <c r="H482" s="37" t="s">
        <v>10</v>
      </c>
    </row>
    <row r="483" spans="1:8" x14ac:dyDescent="0.25">
      <c r="A483" s="31">
        <v>44625</v>
      </c>
      <c r="B483" s="37" t="s">
        <v>7484</v>
      </c>
      <c r="C483" s="51" t="s">
        <v>97</v>
      </c>
      <c r="D483" s="52">
        <v>18321.2</v>
      </c>
      <c r="E483" s="35">
        <v>44627</v>
      </c>
      <c r="F483" s="52">
        <v>18321.2</v>
      </c>
      <c r="G483" s="53">
        <f>Tabla14[[#This Row],[Importe]]-Tabla14[[#This Row],[Pagado]]</f>
        <v>0</v>
      </c>
      <c r="H483" s="37" t="s">
        <v>10</v>
      </c>
    </row>
    <row r="484" spans="1:8" x14ac:dyDescent="0.25">
      <c r="A484" s="31">
        <v>44625</v>
      </c>
      <c r="B484" s="37" t="s">
        <v>7485</v>
      </c>
      <c r="C484" s="51" t="s">
        <v>114</v>
      </c>
      <c r="D484" s="52">
        <v>501.7</v>
      </c>
      <c r="E484" s="35">
        <v>44628</v>
      </c>
      <c r="F484" s="52">
        <v>501.7</v>
      </c>
      <c r="G484" s="53">
        <f>Tabla14[[#This Row],[Importe]]-Tabla14[[#This Row],[Pagado]]</f>
        <v>0</v>
      </c>
      <c r="H484" s="37" t="s">
        <v>10</v>
      </c>
    </row>
    <row r="485" spans="1:8" x14ac:dyDescent="0.25">
      <c r="A485" s="31">
        <v>44625</v>
      </c>
      <c r="B485" s="37" t="s">
        <v>7486</v>
      </c>
      <c r="C485" s="51" t="s">
        <v>22</v>
      </c>
      <c r="D485" s="52">
        <v>2308</v>
      </c>
      <c r="E485" s="35">
        <v>44626</v>
      </c>
      <c r="F485" s="52">
        <v>2308</v>
      </c>
      <c r="G485" s="53">
        <f>Tabla14[[#This Row],[Importe]]-Tabla14[[#This Row],[Pagado]]</f>
        <v>0</v>
      </c>
      <c r="H485" s="37" t="s">
        <v>10</v>
      </c>
    </row>
    <row r="486" spans="1:8" x14ac:dyDescent="0.25">
      <c r="A486" s="31">
        <v>44625</v>
      </c>
      <c r="B486" s="37" t="s">
        <v>7487</v>
      </c>
      <c r="C486" s="51" t="s">
        <v>142</v>
      </c>
      <c r="D486" s="52">
        <v>47563.28</v>
      </c>
      <c r="E486" s="35" t="s">
        <v>7024</v>
      </c>
      <c r="F486" s="52">
        <v>47563.28</v>
      </c>
      <c r="G486" s="53">
        <f>Tabla14[[#This Row],[Importe]]-Tabla14[[#This Row],[Pagado]]</f>
        <v>0</v>
      </c>
      <c r="H486" s="37" t="s">
        <v>10</v>
      </c>
    </row>
    <row r="487" spans="1:8" x14ac:dyDescent="0.25">
      <c r="A487" s="31">
        <v>44625</v>
      </c>
      <c r="B487" s="37" t="s">
        <v>7488</v>
      </c>
      <c r="C487" s="51" t="s">
        <v>16</v>
      </c>
      <c r="D487" s="52">
        <v>4618.5</v>
      </c>
      <c r="E487" s="35">
        <v>44625</v>
      </c>
      <c r="F487" s="52">
        <v>4618.5</v>
      </c>
      <c r="G487" s="53">
        <f>Tabla14[[#This Row],[Importe]]-Tabla14[[#This Row],[Pagado]]</f>
        <v>0</v>
      </c>
      <c r="H487" s="37" t="s">
        <v>10</v>
      </c>
    </row>
    <row r="488" spans="1:8" x14ac:dyDescent="0.25">
      <c r="A488" s="31">
        <v>44625</v>
      </c>
      <c r="B488" s="37" t="s">
        <v>7489</v>
      </c>
      <c r="C488" s="51" t="s">
        <v>27</v>
      </c>
      <c r="D488" s="52">
        <v>2090.4</v>
      </c>
      <c r="E488" s="35">
        <v>44625</v>
      </c>
      <c r="F488" s="52">
        <v>2090.4</v>
      </c>
      <c r="G488" s="53">
        <f>Tabla14[[#This Row],[Importe]]-Tabla14[[#This Row],[Pagado]]</f>
        <v>0</v>
      </c>
      <c r="H488" s="37" t="s">
        <v>10</v>
      </c>
    </row>
    <row r="489" spans="1:8" x14ac:dyDescent="0.25">
      <c r="A489" s="31">
        <v>44625</v>
      </c>
      <c r="B489" s="37" t="s">
        <v>7490</v>
      </c>
      <c r="C489" s="51" t="s">
        <v>1239</v>
      </c>
      <c r="D489" s="52">
        <v>13431.6</v>
      </c>
      <c r="E489" s="35">
        <v>44625</v>
      </c>
      <c r="F489" s="52">
        <v>13431.6</v>
      </c>
      <c r="G489" s="53">
        <f>Tabla14[[#This Row],[Importe]]-Tabla14[[#This Row],[Pagado]]</f>
        <v>0</v>
      </c>
      <c r="H489" s="37" t="s">
        <v>10</v>
      </c>
    </row>
    <row r="490" spans="1:8" x14ac:dyDescent="0.25">
      <c r="A490" s="31">
        <v>44625</v>
      </c>
      <c r="B490" s="37" t="s">
        <v>7491</v>
      </c>
      <c r="C490" s="51" t="s">
        <v>140</v>
      </c>
      <c r="D490" s="52">
        <v>2414.6</v>
      </c>
      <c r="E490" s="35">
        <v>44625</v>
      </c>
      <c r="F490" s="52">
        <v>2414.6</v>
      </c>
      <c r="G490" s="53">
        <f>Tabla14[[#This Row],[Importe]]-Tabla14[[#This Row],[Pagado]]</f>
        <v>0</v>
      </c>
      <c r="H490" s="37" t="s">
        <v>10</v>
      </c>
    </row>
    <row r="491" spans="1:8" x14ac:dyDescent="0.25">
      <c r="A491" s="31">
        <v>44625</v>
      </c>
      <c r="B491" s="37" t="s">
        <v>7492</v>
      </c>
      <c r="C491" s="51" t="s">
        <v>7493</v>
      </c>
      <c r="D491" s="52">
        <v>0</v>
      </c>
      <c r="E491" s="39" t="s">
        <v>189</v>
      </c>
      <c r="F491" s="52">
        <v>0</v>
      </c>
      <c r="G491" s="53">
        <f>Tabla14[[#This Row],[Importe]]-Tabla14[[#This Row],[Pagado]]</f>
        <v>0</v>
      </c>
      <c r="H491" s="37" t="s">
        <v>189</v>
      </c>
    </row>
    <row r="492" spans="1:8" x14ac:dyDescent="0.25">
      <c r="A492" s="31">
        <v>44625</v>
      </c>
      <c r="B492" s="37" t="s">
        <v>7494</v>
      </c>
      <c r="C492" s="51" t="s">
        <v>7495</v>
      </c>
      <c r="D492" s="52">
        <v>0</v>
      </c>
      <c r="E492" s="39" t="s">
        <v>189</v>
      </c>
      <c r="F492" s="52">
        <v>0</v>
      </c>
      <c r="G492" s="53">
        <f>Tabla14[[#This Row],[Importe]]-Tabla14[[#This Row],[Pagado]]</f>
        <v>0</v>
      </c>
      <c r="H492" s="37" t="s">
        <v>189</v>
      </c>
    </row>
    <row r="493" spans="1:8" x14ac:dyDescent="0.25">
      <c r="A493" s="31">
        <v>44625</v>
      </c>
      <c r="B493" s="37" t="s">
        <v>7496</v>
      </c>
      <c r="C493" s="51" t="s">
        <v>7497</v>
      </c>
      <c r="D493" s="52">
        <v>0</v>
      </c>
      <c r="E493" s="39" t="s">
        <v>189</v>
      </c>
      <c r="F493" s="52">
        <v>0</v>
      </c>
      <c r="G493" s="53">
        <f>Tabla14[[#This Row],[Importe]]-Tabla14[[#This Row],[Pagado]]</f>
        <v>0</v>
      </c>
      <c r="H493" s="37" t="s">
        <v>189</v>
      </c>
    </row>
    <row r="494" spans="1:8" x14ac:dyDescent="0.25">
      <c r="A494" s="31">
        <v>44625</v>
      </c>
      <c r="B494" s="37" t="s">
        <v>7498</v>
      </c>
      <c r="C494" s="51" t="s">
        <v>129</v>
      </c>
      <c r="D494" s="52">
        <v>6578.1</v>
      </c>
      <c r="E494" s="35">
        <v>44625</v>
      </c>
      <c r="F494" s="52">
        <v>6578.1</v>
      </c>
      <c r="G494" s="53">
        <f>Tabla14[[#This Row],[Importe]]-Tabla14[[#This Row],[Pagado]]</f>
        <v>0</v>
      </c>
      <c r="H494" s="37" t="s">
        <v>10</v>
      </c>
    </row>
    <row r="495" spans="1:8" x14ac:dyDescent="0.25">
      <c r="A495" s="31">
        <v>44625</v>
      </c>
      <c r="B495" s="37" t="s">
        <v>7499</v>
      </c>
      <c r="C495" s="51" t="s">
        <v>49</v>
      </c>
      <c r="D495" s="52">
        <v>2726.3</v>
      </c>
      <c r="E495" s="35">
        <v>44625</v>
      </c>
      <c r="F495" s="52">
        <v>2726.3</v>
      </c>
      <c r="G495" s="53">
        <f>Tabla14[[#This Row],[Importe]]-Tabla14[[#This Row],[Pagado]]</f>
        <v>0</v>
      </c>
      <c r="H495" s="37" t="s">
        <v>10</v>
      </c>
    </row>
    <row r="496" spans="1:8" x14ac:dyDescent="0.25">
      <c r="A496" s="31">
        <v>44625</v>
      </c>
      <c r="B496" s="37" t="s">
        <v>7500</v>
      </c>
      <c r="C496" s="51" t="s">
        <v>409</v>
      </c>
      <c r="D496" s="52">
        <v>7548</v>
      </c>
      <c r="E496" s="35">
        <v>44629</v>
      </c>
      <c r="F496" s="52">
        <v>7548</v>
      </c>
      <c r="G496" s="53">
        <f>Tabla14[[#This Row],[Importe]]-Tabla14[[#This Row],[Pagado]]</f>
        <v>0</v>
      </c>
      <c r="H496" s="37" t="s">
        <v>10</v>
      </c>
    </row>
    <row r="497" spans="1:8" x14ac:dyDescent="0.25">
      <c r="A497" s="31">
        <v>44625</v>
      </c>
      <c r="B497" s="37" t="s">
        <v>7501</v>
      </c>
      <c r="C497" s="51" t="s">
        <v>3687</v>
      </c>
      <c r="D497" s="52">
        <v>0</v>
      </c>
      <c r="E497" s="39" t="s">
        <v>189</v>
      </c>
      <c r="F497" s="52">
        <v>0</v>
      </c>
      <c r="G497" s="53">
        <f>Tabla14[[#This Row],[Importe]]-Tabla14[[#This Row],[Pagado]]</f>
        <v>0</v>
      </c>
      <c r="H497" s="37" t="s">
        <v>189</v>
      </c>
    </row>
    <row r="498" spans="1:8" x14ac:dyDescent="0.25">
      <c r="A498" s="31">
        <v>44625</v>
      </c>
      <c r="B498" s="37" t="s">
        <v>7502</v>
      </c>
      <c r="C498" s="51" t="s">
        <v>45</v>
      </c>
      <c r="D498" s="52">
        <v>10255.799999999999</v>
      </c>
      <c r="E498" s="35">
        <v>44625</v>
      </c>
      <c r="F498" s="52">
        <v>10255.799999999999</v>
      </c>
      <c r="G498" s="53">
        <f>Tabla14[[#This Row],[Importe]]-Tabla14[[#This Row],[Pagado]]</f>
        <v>0</v>
      </c>
      <c r="H498" s="37" t="s">
        <v>10</v>
      </c>
    </row>
    <row r="499" spans="1:8" x14ac:dyDescent="0.25">
      <c r="A499" s="31">
        <v>44625</v>
      </c>
      <c r="B499" s="37" t="s">
        <v>7503</v>
      </c>
      <c r="C499" s="51" t="s">
        <v>371</v>
      </c>
      <c r="D499" s="52">
        <v>13842</v>
      </c>
      <c r="E499" s="35">
        <v>44625</v>
      </c>
      <c r="F499" s="52">
        <v>13842</v>
      </c>
      <c r="G499" s="53">
        <f>Tabla14[[#This Row],[Importe]]-Tabla14[[#This Row],[Pagado]]</f>
        <v>0</v>
      </c>
      <c r="H499" s="37" t="s">
        <v>10</v>
      </c>
    </row>
    <row r="500" spans="1:8" x14ac:dyDescent="0.25">
      <c r="A500" s="31">
        <v>44625</v>
      </c>
      <c r="B500" s="37" t="s">
        <v>7504</v>
      </c>
      <c r="C500" s="51" t="s">
        <v>664</v>
      </c>
      <c r="D500" s="52">
        <v>3785.6</v>
      </c>
      <c r="E500" s="35">
        <v>44625</v>
      </c>
      <c r="F500" s="52">
        <v>3785.6</v>
      </c>
      <c r="G500" s="53">
        <f>Tabla14[[#This Row],[Importe]]-Tabla14[[#This Row],[Pagado]]</f>
        <v>0</v>
      </c>
      <c r="H500" s="37" t="s">
        <v>10</v>
      </c>
    </row>
    <row r="501" spans="1:8" x14ac:dyDescent="0.25">
      <c r="A501" s="31">
        <v>44625</v>
      </c>
      <c r="B501" s="37" t="s">
        <v>7505</v>
      </c>
      <c r="C501" s="51" t="s">
        <v>339</v>
      </c>
      <c r="D501" s="52">
        <v>495</v>
      </c>
      <c r="E501" s="35">
        <v>44625</v>
      </c>
      <c r="F501" s="52">
        <v>495</v>
      </c>
      <c r="G501" s="53">
        <f>Tabla14[[#This Row],[Importe]]-Tabla14[[#This Row],[Pagado]]</f>
        <v>0</v>
      </c>
      <c r="H501" s="37" t="s">
        <v>10</v>
      </c>
    </row>
    <row r="502" spans="1:8" x14ac:dyDescent="0.25">
      <c r="A502" s="31">
        <v>44625</v>
      </c>
      <c r="B502" s="37" t="s">
        <v>7506</v>
      </c>
      <c r="C502" s="51" t="s">
        <v>373</v>
      </c>
      <c r="D502" s="52">
        <v>762</v>
      </c>
      <c r="E502" s="35">
        <v>44625</v>
      </c>
      <c r="F502" s="52">
        <v>762</v>
      </c>
      <c r="G502" s="53">
        <f>Tabla14[[#This Row],[Importe]]-Tabla14[[#This Row],[Pagado]]</f>
        <v>0</v>
      </c>
      <c r="H502" s="37" t="s">
        <v>10</v>
      </c>
    </row>
    <row r="503" spans="1:8" x14ac:dyDescent="0.25">
      <c r="A503" s="31">
        <v>44625</v>
      </c>
      <c r="B503" s="37" t="s">
        <v>7507</v>
      </c>
      <c r="C503" s="51" t="s">
        <v>196</v>
      </c>
      <c r="D503" s="52">
        <v>92582.65</v>
      </c>
      <c r="E503" s="35">
        <v>44631</v>
      </c>
      <c r="F503" s="52">
        <v>92582.65</v>
      </c>
      <c r="G503" s="53">
        <f>Tabla14[[#This Row],[Importe]]-Tabla14[[#This Row],[Pagado]]</f>
        <v>0</v>
      </c>
      <c r="H503" s="37" t="s">
        <v>10</v>
      </c>
    </row>
    <row r="504" spans="1:8" x14ac:dyDescent="0.25">
      <c r="A504" s="31">
        <v>44625</v>
      </c>
      <c r="B504" s="37" t="s">
        <v>7508</v>
      </c>
      <c r="C504" s="51" t="s">
        <v>87</v>
      </c>
      <c r="D504" s="52">
        <v>3274.4</v>
      </c>
      <c r="E504" s="35">
        <v>44625</v>
      </c>
      <c r="F504" s="52">
        <v>3274.4</v>
      </c>
      <c r="G504" s="53">
        <f>Tabla14[[#This Row],[Importe]]-Tabla14[[#This Row],[Pagado]]</f>
        <v>0</v>
      </c>
      <c r="H504" s="37" t="s">
        <v>10</v>
      </c>
    </row>
    <row r="505" spans="1:8" x14ac:dyDescent="0.25">
      <c r="A505" s="31">
        <v>44625</v>
      </c>
      <c r="B505" s="37" t="s">
        <v>7509</v>
      </c>
      <c r="C505" s="51" t="s">
        <v>314</v>
      </c>
      <c r="D505" s="52">
        <v>4060.8</v>
      </c>
      <c r="E505" s="35">
        <v>44625</v>
      </c>
      <c r="F505" s="52">
        <v>4060.8</v>
      </c>
      <c r="G505" s="53">
        <f>Tabla14[[#This Row],[Importe]]-Tabla14[[#This Row],[Pagado]]</f>
        <v>0</v>
      </c>
      <c r="H505" s="37" t="s">
        <v>10</v>
      </c>
    </row>
    <row r="506" spans="1:8" x14ac:dyDescent="0.25">
      <c r="A506" s="31">
        <v>44625</v>
      </c>
      <c r="B506" s="37" t="s">
        <v>7510</v>
      </c>
      <c r="C506" s="51" t="s">
        <v>31</v>
      </c>
      <c r="D506" s="52">
        <v>310.8</v>
      </c>
      <c r="E506" s="35">
        <v>44625</v>
      </c>
      <c r="F506" s="52">
        <v>310.8</v>
      </c>
      <c r="G506" s="53">
        <f>Tabla14[[#This Row],[Importe]]-Tabla14[[#This Row],[Pagado]]</f>
        <v>0</v>
      </c>
      <c r="H506" s="37" t="s">
        <v>10</v>
      </c>
    </row>
    <row r="507" spans="1:8" x14ac:dyDescent="0.25">
      <c r="A507" s="31">
        <v>44625</v>
      </c>
      <c r="B507" s="37" t="s">
        <v>7511</v>
      </c>
      <c r="C507" s="51" t="s">
        <v>804</v>
      </c>
      <c r="D507" s="52">
        <v>16454.099999999999</v>
      </c>
      <c r="E507" s="35">
        <v>44625</v>
      </c>
      <c r="F507" s="52">
        <v>16454.099999999999</v>
      </c>
      <c r="G507" s="53">
        <f>Tabla14[[#This Row],[Importe]]-Tabla14[[#This Row],[Pagado]]</f>
        <v>0</v>
      </c>
      <c r="H507" s="37" t="s">
        <v>10</v>
      </c>
    </row>
    <row r="508" spans="1:8" x14ac:dyDescent="0.25">
      <c r="A508" s="31">
        <v>44625</v>
      </c>
      <c r="B508" s="37" t="s">
        <v>7512</v>
      </c>
      <c r="C508" s="51" t="s">
        <v>29</v>
      </c>
      <c r="D508" s="52">
        <v>5594.4</v>
      </c>
      <c r="E508" s="35">
        <v>44625</v>
      </c>
      <c r="F508" s="52">
        <v>5594.4</v>
      </c>
      <c r="G508" s="53">
        <f>Tabla14[[#This Row],[Importe]]-Tabla14[[#This Row],[Pagado]]</f>
        <v>0</v>
      </c>
      <c r="H508" s="37" t="s">
        <v>10</v>
      </c>
    </row>
    <row r="509" spans="1:8" x14ac:dyDescent="0.25">
      <c r="A509" s="31">
        <v>44625</v>
      </c>
      <c r="B509" s="37" t="s">
        <v>7513</v>
      </c>
      <c r="C509" s="51" t="s">
        <v>24</v>
      </c>
      <c r="D509" s="52">
        <v>968</v>
      </c>
      <c r="E509" s="35">
        <v>44625</v>
      </c>
      <c r="F509" s="52">
        <v>968</v>
      </c>
      <c r="G509" s="53">
        <f>Tabla14[[#This Row],[Importe]]-Tabla14[[#This Row],[Pagado]]</f>
        <v>0</v>
      </c>
      <c r="H509" s="37" t="s">
        <v>10</v>
      </c>
    </row>
    <row r="510" spans="1:8" x14ac:dyDescent="0.25">
      <c r="A510" s="31">
        <v>44625</v>
      </c>
      <c r="B510" s="37" t="s">
        <v>7514</v>
      </c>
      <c r="C510" s="51" t="s">
        <v>555</v>
      </c>
      <c r="D510" s="52">
        <v>33061.800000000003</v>
      </c>
      <c r="E510" s="35">
        <v>44625</v>
      </c>
      <c r="F510" s="52">
        <v>33061.800000000003</v>
      </c>
      <c r="G510" s="53">
        <f>Tabla14[[#This Row],[Importe]]-Tabla14[[#This Row],[Pagado]]</f>
        <v>0</v>
      </c>
      <c r="H510" s="37" t="s">
        <v>10</v>
      </c>
    </row>
    <row r="511" spans="1:8" x14ac:dyDescent="0.25">
      <c r="A511" s="31">
        <v>44625</v>
      </c>
      <c r="B511" s="37" t="s">
        <v>7515</v>
      </c>
      <c r="C511" s="51" t="s">
        <v>24</v>
      </c>
      <c r="D511" s="52">
        <v>473.2</v>
      </c>
      <c r="E511" s="35">
        <v>44625</v>
      </c>
      <c r="F511" s="52">
        <v>473.2</v>
      </c>
      <c r="G511" s="53">
        <f>Tabla14[[#This Row],[Importe]]-Tabla14[[#This Row],[Pagado]]</f>
        <v>0</v>
      </c>
      <c r="H511" s="37" t="s">
        <v>10</v>
      </c>
    </row>
    <row r="512" spans="1:8" x14ac:dyDescent="0.25">
      <c r="A512" s="31">
        <v>44625</v>
      </c>
      <c r="B512" s="37" t="s">
        <v>7516</v>
      </c>
      <c r="C512" s="51" t="s">
        <v>107</v>
      </c>
      <c r="D512" s="52">
        <v>16312.6</v>
      </c>
      <c r="E512" s="35">
        <v>44625</v>
      </c>
      <c r="F512" s="52">
        <v>16312.6</v>
      </c>
      <c r="G512" s="53">
        <f>Tabla14[[#This Row],[Importe]]-Tabla14[[#This Row],[Pagado]]</f>
        <v>0</v>
      </c>
      <c r="H512" s="37" t="s">
        <v>10</v>
      </c>
    </row>
    <row r="513" spans="1:8" ht="31.5" x14ac:dyDescent="0.25">
      <c r="A513" s="31">
        <v>44625</v>
      </c>
      <c r="B513" s="37" t="s">
        <v>7517</v>
      </c>
      <c r="C513" s="51" t="s">
        <v>275</v>
      </c>
      <c r="D513" s="52">
        <v>119606.8</v>
      </c>
      <c r="E513" s="35" t="s">
        <v>7518</v>
      </c>
      <c r="F513" s="52">
        <f>104624.56+14982.24</f>
        <v>119606.8</v>
      </c>
      <c r="G513" s="53">
        <f>Tabla14[[#This Row],[Importe]]-Tabla14[[#This Row],[Pagado]]</f>
        <v>0</v>
      </c>
      <c r="H513" s="37" t="s">
        <v>10</v>
      </c>
    </row>
    <row r="514" spans="1:8" x14ac:dyDescent="0.25">
      <c r="A514" s="31">
        <v>44625</v>
      </c>
      <c r="B514" s="37" t="s">
        <v>7519</v>
      </c>
      <c r="C514" s="51" t="s">
        <v>125</v>
      </c>
      <c r="D514" s="52">
        <v>3050.8</v>
      </c>
      <c r="E514" s="35">
        <v>44625</v>
      </c>
      <c r="F514" s="52">
        <v>3050.8</v>
      </c>
      <c r="G514" s="53">
        <f>Tabla14[[#This Row],[Importe]]-Tabla14[[#This Row],[Pagado]]</f>
        <v>0</v>
      </c>
      <c r="H514" s="37" t="s">
        <v>10</v>
      </c>
    </row>
    <row r="515" spans="1:8" x14ac:dyDescent="0.25">
      <c r="A515" s="31">
        <v>44625</v>
      </c>
      <c r="B515" s="37" t="s">
        <v>7520</v>
      </c>
      <c r="C515" s="51" t="s">
        <v>230</v>
      </c>
      <c r="D515" s="52">
        <v>4136</v>
      </c>
      <c r="E515" s="35">
        <v>44625</v>
      </c>
      <c r="F515" s="52">
        <v>4136</v>
      </c>
      <c r="G515" s="53">
        <f>Tabla14[[#This Row],[Importe]]-Tabla14[[#This Row],[Pagado]]</f>
        <v>0</v>
      </c>
      <c r="H515" s="37" t="s">
        <v>10</v>
      </c>
    </row>
    <row r="516" spans="1:8" x14ac:dyDescent="0.25">
      <c r="A516" s="31">
        <v>44625</v>
      </c>
      <c r="B516" s="37" t="s">
        <v>7521</v>
      </c>
      <c r="C516" s="51" t="s">
        <v>3402</v>
      </c>
      <c r="D516" s="52">
        <v>630</v>
      </c>
      <c r="E516" s="35">
        <v>44625</v>
      </c>
      <c r="F516" s="52">
        <v>630</v>
      </c>
      <c r="G516" s="53">
        <f>Tabla14[[#This Row],[Importe]]-Tabla14[[#This Row],[Pagado]]</f>
        <v>0</v>
      </c>
      <c r="H516" s="37" t="s">
        <v>10</v>
      </c>
    </row>
    <row r="517" spans="1:8" x14ac:dyDescent="0.25">
      <c r="A517" s="31">
        <v>44625</v>
      </c>
      <c r="B517" s="37" t="s">
        <v>7522</v>
      </c>
      <c r="C517" s="51" t="s">
        <v>53</v>
      </c>
      <c r="D517" s="52">
        <v>1848</v>
      </c>
      <c r="E517" s="35">
        <v>44625</v>
      </c>
      <c r="F517" s="52">
        <v>1848</v>
      </c>
      <c r="G517" s="53">
        <f>Tabla14[[#This Row],[Importe]]-Tabla14[[#This Row],[Pagado]]</f>
        <v>0</v>
      </c>
      <c r="H517" s="37" t="s">
        <v>10</v>
      </c>
    </row>
    <row r="518" spans="1:8" x14ac:dyDescent="0.25">
      <c r="A518" s="31">
        <v>44625</v>
      </c>
      <c r="B518" s="37" t="s">
        <v>7523</v>
      </c>
      <c r="C518" s="51" t="s">
        <v>62</v>
      </c>
      <c r="D518" s="52">
        <v>2730.3</v>
      </c>
      <c r="E518" s="35">
        <v>44625</v>
      </c>
      <c r="F518" s="52">
        <v>2730.3</v>
      </c>
      <c r="G518" s="53">
        <f>Tabla14[[#This Row],[Importe]]-Tabla14[[#This Row],[Pagado]]</f>
        <v>0</v>
      </c>
      <c r="H518" s="37" t="s">
        <v>10</v>
      </c>
    </row>
    <row r="519" spans="1:8" x14ac:dyDescent="0.25">
      <c r="A519" s="31">
        <v>44625</v>
      </c>
      <c r="B519" s="37" t="s">
        <v>7524</v>
      </c>
      <c r="C519" s="51" t="s">
        <v>62</v>
      </c>
      <c r="D519" s="52">
        <v>2520</v>
      </c>
      <c r="E519" s="35">
        <v>44625</v>
      </c>
      <c r="F519" s="52">
        <v>2520</v>
      </c>
      <c r="G519" s="53">
        <f>Tabla14[[#This Row],[Importe]]-Tabla14[[#This Row],[Pagado]]</f>
        <v>0</v>
      </c>
      <c r="H519" s="37" t="s">
        <v>10</v>
      </c>
    </row>
    <row r="520" spans="1:8" x14ac:dyDescent="0.25">
      <c r="A520" s="31">
        <v>44625</v>
      </c>
      <c r="B520" s="37" t="s">
        <v>7525</v>
      </c>
      <c r="C520" s="51" t="s">
        <v>191</v>
      </c>
      <c r="D520" s="52">
        <v>2749.2</v>
      </c>
      <c r="E520" s="35">
        <v>44625</v>
      </c>
      <c r="F520" s="52">
        <v>2749.2</v>
      </c>
      <c r="G520" s="53">
        <f>Tabla14[[#This Row],[Importe]]-Tabla14[[#This Row],[Pagado]]</f>
        <v>0</v>
      </c>
      <c r="H520" s="37" t="s">
        <v>10</v>
      </c>
    </row>
    <row r="521" spans="1:8" x14ac:dyDescent="0.25">
      <c r="A521" s="31">
        <v>44625</v>
      </c>
      <c r="B521" s="37" t="s">
        <v>7526</v>
      </c>
      <c r="C521" s="51" t="s">
        <v>392</v>
      </c>
      <c r="D521" s="52">
        <v>1733.4</v>
      </c>
      <c r="E521" s="35">
        <v>44625</v>
      </c>
      <c r="F521" s="52">
        <v>1733.4</v>
      </c>
      <c r="G521" s="53">
        <f>Tabla14[[#This Row],[Importe]]-Tabla14[[#This Row],[Pagado]]</f>
        <v>0</v>
      </c>
      <c r="H521" s="37" t="s">
        <v>10</v>
      </c>
    </row>
    <row r="522" spans="1:8" x14ac:dyDescent="0.25">
      <c r="A522" s="31">
        <v>44625</v>
      </c>
      <c r="B522" s="37" t="s">
        <v>7527</v>
      </c>
      <c r="C522" s="51" t="s">
        <v>31</v>
      </c>
      <c r="D522" s="52">
        <v>1153.5999999999999</v>
      </c>
      <c r="E522" s="35">
        <v>44625</v>
      </c>
      <c r="F522" s="52">
        <v>1153.5999999999999</v>
      </c>
      <c r="G522" s="53">
        <f>Tabla14[[#This Row],[Importe]]-Tabla14[[#This Row],[Pagado]]</f>
        <v>0</v>
      </c>
      <c r="H522" s="37" t="s">
        <v>10</v>
      </c>
    </row>
    <row r="523" spans="1:8" x14ac:dyDescent="0.25">
      <c r="A523" s="31">
        <v>44625</v>
      </c>
      <c r="B523" s="37" t="s">
        <v>7528</v>
      </c>
      <c r="C523" s="51" t="s">
        <v>233</v>
      </c>
      <c r="D523" s="52">
        <v>4851</v>
      </c>
      <c r="E523" s="35">
        <v>44625</v>
      </c>
      <c r="F523" s="52">
        <v>4851</v>
      </c>
      <c r="G523" s="53">
        <f>Tabla14[[#This Row],[Importe]]-Tabla14[[#This Row],[Pagado]]</f>
        <v>0</v>
      </c>
      <c r="H523" s="37" t="s">
        <v>10</v>
      </c>
    </row>
    <row r="524" spans="1:8" x14ac:dyDescent="0.25">
      <c r="A524" s="31">
        <v>44625</v>
      </c>
      <c r="B524" s="37" t="s">
        <v>7529</v>
      </c>
      <c r="C524" s="51" t="s">
        <v>159</v>
      </c>
      <c r="D524" s="52">
        <v>688.5</v>
      </c>
      <c r="E524" s="35">
        <v>44625</v>
      </c>
      <c r="F524" s="52">
        <v>688.5</v>
      </c>
      <c r="G524" s="53">
        <f>Tabla14[[#This Row],[Importe]]-Tabla14[[#This Row],[Pagado]]</f>
        <v>0</v>
      </c>
      <c r="H524" s="37" t="s">
        <v>10</v>
      </c>
    </row>
    <row r="525" spans="1:8" x14ac:dyDescent="0.25">
      <c r="A525" s="31">
        <v>44625</v>
      </c>
      <c r="B525" s="37" t="s">
        <v>7530</v>
      </c>
      <c r="C525" s="51" t="s">
        <v>518</v>
      </c>
      <c r="D525" s="52">
        <v>1447.2</v>
      </c>
      <c r="E525" s="35">
        <v>44625</v>
      </c>
      <c r="F525" s="52">
        <v>1447.2</v>
      </c>
      <c r="G525" s="53">
        <f>Tabla14[[#This Row],[Importe]]-Tabla14[[#This Row],[Pagado]]</f>
        <v>0</v>
      </c>
      <c r="H525" s="37" t="s">
        <v>10</v>
      </c>
    </row>
    <row r="526" spans="1:8" x14ac:dyDescent="0.25">
      <c r="A526" s="31">
        <v>44625</v>
      </c>
      <c r="B526" s="37" t="s">
        <v>7531</v>
      </c>
      <c r="C526" s="51" t="s">
        <v>518</v>
      </c>
      <c r="D526" s="52">
        <v>874.8</v>
      </c>
      <c r="E526" s="35">
        <v>44625</v>
      </c>
      <c r="F526" s="52">
        <v>874.8</v>
      </c>
      <c r="G526" s="53">
        <f>Tabla14[[#This Row],[Importe]]-Tabla14[[#This Row],[Pagado]]</f>
        <v>0</v>
      </c>
      <c r="H526" s="37" t="s">
        <v>10</v>
      </c>
    </row>
    <row r="527" spans="1:8" x14ac:dyDescent="0.25">
      <c r="A527" s="31">
        <v>44625</v>
      </c>
      <c r="B527" s="37" t="s">
        <v>7532</v>
      </c>
      <c r="C527" s="51" t="s">
        <v>319</v>
      </c>
      <c r="D527" s="52">
        <v>9188.1</v>
      </c>
      <c r="E527" s="35">
        <v>44625</v>
      </c>
      <c r="F527" s="52">
        <v>9188.1</v>
      </c>
      <c r="G527" s="53">
        <f>Tabla14[[#This Row],[Importe]]-Tabla14[[#This Row],[Pagado]]</f>
        <v>0</v>
      </c>
      <c r="H527" s="37" t="s">
        <v>10</v>
      </c>
    </row>
    <row r="528" spans="1:8" x14ac:dyDescent="0.25">
      <c r="A528" s="31">
        <v>44625</v>
      </c>
      <c r="B528" s="37" t="s">
        <v>7533</v>
      </c>
      <c r="C528" s="51" t="s">
        <v>319</v>
      </c>
      <c r="D528" s="52">
        <v>434.5</v>
      </c>
      <c r="E528" s="35">
        <v>44625</v>
      </c>
      <c r="F528" s="52">
        <v>434.5</v>
      </c>
      <c r="G528" s="53">
        <f>Tabla14[[#This Row],[Importe]]-Tabla14[[#This Row],[Pagado]]</f>
        <v>0</v>
      </c>
      <c r="H528" s="37" t="s">
        <v>10</v>
      </c>
    </row>
    <row r="529" spans="1:8" x14ac:dyDescent="0.25">
      <c r="A529" s="31">
        <v>44625</v>
      </c>
      <c r="B529" s="37" t="s">
        <v>7534</v>
      </c>
      <c r="C529" s="51" t="s">
        <v>226</v>
      </c>
      <c r="D529" s="52">
        <v>3136.5</v>
      </c>
      <c r="E529" s="35">
        <v>44625</v>
      </c>
      <c r="F529" s="52">
        <v>3136.5</v>
      </c>
      <c r="G529" s="53">
        <f>Tabla14[[#This Row],[Importe]]-Tabla14[[#This Row],[Pagado]]</f>
        <v>0</v>
      </c>
      <c r="H529" s="37" t="s">
        <v>10</v>
      </c>
    </row>
    <row r="530" spans="1:8" x14ac:dyDescent="0.25">
      <c r="A530" s="31">
        <v>44625</v>
      </c>
      <c r="B530" s="37" t="s">
        <v>7535</v>
      </c>
      <c r="C530" s="51" t="s">
        <v>966</v>
      </c>
      <c r="D530" s="52">
        <v>2372</v>
      </c>
      <c r="E530" s="35">
        <v>44625</v>
      </c>
      <c r="F530" s="52">
        <v>2372</v>
      </c>
      <c r="G530" s="53">
        <f>Tabla14[[#This Row],[Importe]]-Tabla14[[#This Row],[Pagado]]</f>
        <v>0</v>
      </c>
      <c r="H530" s="37" t="s">
        <v>10</v>
      </c>
    </row>
    <row r="531" spans="1:8" x14ac:dyDescent="0.25">
      <c r="A531" s="31">
        <v>44625</v>
      </c>
      <c r="B531" s="37" t="s">
        <v>7536</v>
      </c>
      <c r="C531" s="51" t="s">
        <v>520</v>
      </c>
      <c r="D531" s="52">
        <v>13489.7</v>
      </c>
      <c r="E531" s="35">
        <v>44625</v>
      </c>
      <c r="F531" s="52">
        <v>13489.7</v>
      </c>
      <c r="G531" s="53">
        <f>Tabla14[[#This Row],[Importe]]-Tabla14[[#This Row],[Pagado]]</f>
        <v>0</v>
      </c>
      <c r="H531" s="37" t="s">
        <v>10</v>
      </c>
    </row>
    <row r="532" spans="1:8" x14ac:dyDescent="0.25">
      <c r="A532" s="31">
        <v>44625</v>
      </c>
      <c r="B532" s="37" t="s">
        <v>7537</v>
      </c>
      <c r="C532" s="51" t="s">
        <v>419</v>
      </c>
      <c r="D532" s="52">
        <v>5802.6</v>
      </c>
      <c r="E532" s="35">
        <v>44625</v>
      </c>
      <c r="F532" s="52">
        <v>5802.6</v>
      </c>
      <c r="G532" s="53">
        <f>Tabla14[[#This Row],[Importe]]-Tabla14[[#This Row],[Pagado]]</f>
        <v>0</v>
      </c>
      <c r="H532" s="37" t="s">
        <v>10</v>
      </c>
    </row>
    <row r="533" spans="1:8" x14ac:dyDescent="0.25">
      <c r="A533" s="31">
        <v>44625</v>
      </c>
      <c r="B533" s="37" t="s">
        <v>7538</v>
      </c>
      <c r="C533" s="51" t="s">
        <v>994</v>
      </c>
      <c r="D533" s="52">
        <v>1985.4</v>
      </c>
      <c r="E533" s="35">
        <v>44625</v>
      </c>
      <c r="F533" s="52">
        <v>1985.4</v>
      </c>
      <c r="G533" s="53">
        <f>Tabla14[[#This Row],[Importe]]-Tabla14[[#This Row],[Pagado]]</f>
        <v>0</v>
      </c>
      <c r="H533" s="37" t="s">
        <v>10</v>
      </c>
    </row>
    <row r="534" spans="1:8" x14ac:dyDescent="0.25">
      <c r="A534" s="31">
        <v>44625</v>
      </c>
      <c r="B534" s="37" t="s">
        <v>7539</v>
      </c>
      <c r="C534" s="51" t="s">
        <v>157</v>
      </c>
      <c r="D534" s="52">
        <v>4869.1000000000004</v>
      </c>
      <c r="E534" s="35">
        <v>44625</v>
      </c>
      <c r="F534" s="52">
        <v>4869.1000000000004</v>
      </c>
      <c r="G534" s="53">
        <f>Tabla14[[#This Row],[Importe]]-Tabla14[[#This Row],[Pagado]]</f>
        <v>0</v>
      </c>
      <c r="H534" s="37" t="s">
        <v>10</v>
      </c>
    </row>
    <row r="535" spans="1:8" x14ac:dyDescent="0.25">
      <c r="A535" s="31">
        <v>44625</v>
      </c>
      <c r="B535" s="37" t="s">
        <v>7540</v>
      </c>
      <c r="C535" s="51" t="s">
        <v>4136</v>
      </c>
      <c r="D535" s="52">
        <v>2830.6</v>
      </c>
      <c r="E535" s="35">
        <v>44625</v>
      </c>
      <c r="F535" s="52">
        <v>2830.6</v>
      </c>
      <c r="G535" s="53">
        <f>Tabla14[[#This Row],[Importe]]-Tabla14[[#This Row],[Pagado]]</f>
        <v>0</v>
      </c>
      <c r="H535" s="37" t="s">
        <v>10</v>
      </c>
    </row>
    <row r="536" spans="1:8" x14ac:dyDescent="0.25">
      <c r="A536" s="31">
        <v>44625</v>
      </c>
      <c r="B536" s="37" t="s">
        <v>7541</v>
      </c>
      <c r="C536" s="51" t="s">
        <v>67</v>
      </c>
      <c r="D536" s="52">
        <v>1738.8</v>
      </c>
      <c r="E536" s="35">
        <v>44625</v>
      </c>
      <c r="F536" s="52">
        <v>1738.8</v>
      </c>
      <c r="G536" s="53">
        <f>Tabla14[[#This Row],[Importe]]-Tabla14[[#This Row],[Pagado]]</f>
        <v>0</v>
      </c>
      <c r="H536" s="37" t="s">
        <v>10</v>
      </c>
    </row>
    <row r="537" spans="1:8" x14ac:dyDescent="0.25">
      <c r="A537" s="31">
        <v>44625</v>
      </c>
      <c r="B537" s="37" t="s">
        <v>7542</v>
      </c>
      <c r="C537" s="51" t="s">
        <v>380</v>
      </c>
      <c r="D537" s="52">
        <v>5120.3999999999996</v>
      </c>
      <c r="E537" s="35">
        <v>44625</v>
      </c>
      <c r="F537" s="52">
        <v>5120.3999999999996</v>
      </c>
      <c r="G537" s="53">
        <f>Tabla14[[#This Row],[Importe]]-Tabla14[[#This Row],[Pagado]]</f>
        <v>0</v>
      </c>
      <c r="H537" s="37" t="s">
        <v>10</v>
      </c>
    </row>
    <row r="538" spans="1:8" x14ac:dyDescent="0.25">
      <c r="A538" s="31">
        <v>44625</v>
      </c>
      <c r="B538" s="37" t="s">
        <v>7543</v>
      </c>
      <c r="C538" s="51" t="s">
        <v>196</v>
      </c>
      <c r="D538" s="52">
        <v>37678.199999999997</v>
      </c>
      <c r="E538" s="35">
        <v>44631</v>
      </c>
      <c r="F538" s="52">
        <v>37678.199999999997</v>
      </c>
      <c r="G538" s="53">
        <f>Tabla14[[#This Row],[Importe]]-Tabla14[[#This Row],[Pagado]]</f>
        <v>0</v>
      </c>
      <c r="H538" s="37" t="s">
        <v>10</v>
      </c>
    </row>
    <row r="539" spans="1:8" x14ac:dyDescent="0.25">
      <c r="A539" s="31">
        <v>44625</v>
      </c>
      <c r="B539" s="37" t="s">
        <v>7544</v>
      </c>
      <c r="C539" s="51" t="s">
        <v>85</v>
      </c>
      <c r="D539" s="52">
        <v>1768.1</v>
      </c>
      <c r="E539" s="35">
        <v>44625</v>
      </c>
      <c r="F539" s="52">
        <v>1768.1</v>
      </c>
      <c r="G539" s="53">
        <f>Tabla14[[#This Row],[Importe]]-Tabla14[[#This Row],[Pagado]]</f>
        <v>0</v>
      </c>
      <c r="H539" s="37" t="s">
        <v>10</v>
      </c>
    </row>
    <row r="540" spans="1:8" x14ac:dyDescent="0.25">
      <c r="A540" s="31">
        <v>44625</v>
      </c>
      <c r="B540" s="37" t="s">
        <v>7545</v>
      </c>
      <c r="C540" s="51" t="s">
        <v>275</v>
      </c>
      <c r="D540" s="52">
        <v>4059.45</v>
      </c>
      <c r="E540" s="35">
        <v>44632</v>
      </c>
      <c r="F540" s="52">
        <v>4059.45</v>
      </c>
      <c r="G540" s="53">
        <f>Tabla14[[#This Row],[Importe]]-Tabla14[[#This Row],[Pagado]]</f>
        <v>0</v>
      </c>
      <c r="H540" s="37" t="s">
        <v>10</v>
      </c>
    </row>
    <row r="541" spans="1:8" x14ac:dyDescent="0.25">
      <c r="A541" s="31">
        <v>44625</v>
      </c>
      <c r="B541" s="37" t="s">
        <v>7546</v>
      </c>
      <c r="C541" s="51" t="s">
        <v>31</v>
      </c>
      <c r="D541" s="52">
        <v>1107</v>
      </c>
      <c r="E541" s="35">
        <v>44625</v>
      </c>
      <c r="F541" s="52">
        <v>1107</v>
      </c>
      <c r="G541" s="53">
        <f>Tabla14[[#This Row],[Importe]]-Tabla14[[#This Row],[Pagado]]</f>
        <v>0</v>
      </c>
      <c r="H541" s="37" t="s">
        <v>10</v>
      </c>
    </row>
    <row r="542" spans="1:8" x14ac:dyDescent="0.25">
      <c r="A542" s="31">
        <v>44625</v>
      </c>
      <c r="B542" s="37" t="s">
        <v>7547</v>
      </c>
      <c r="C542" s="51" t="s">
        <v>51</v>
      </c>
      <c r="D542" s="52">
        <v>4802.3999999999996</v>
      </c>
      <c r="E542" s="35">
        <v>44625</v>
      </c>
      <c r="F542" s="52">
        <v>4802.3999999999996</v>
      </c>
      <c r="G542" s="53">
        <f>Tabla14[[#This Row],[Importe]]-Tabla14[[#This Row],[Pagado]]</f>
        <v>0</v>
      </c>
      <c r="H542" s="37" t="s">
        <v>10</v>
      </c>
    </row>
    <row r="543" spans="1:8" x14ac:dyDescent="0.25">
      <c r="A543" s="31">
        <v>44625</v>
      </c>
      <c r="B543" s="37" t="s">
        <v>7548</v>
      </c>
      <c r="C543" s="51" t="s">
        <v>1174</v>
      </c>
      <c r="D543" s="52">
        <v>33454.400000000001</v>
      </c>
      <c r="E543" s="35">
        <v>44625</v>
      </c>
      <c r="F543" s="52">
        <v>33454.400000000001</v>
      </c>
      <c r="G543" s="53">
        <f>Tabla14[[#This Row],[Importe]]-Tabla14[[#This Row],[Pagado]]</f>
        <v>0</v>
      </c>
      <c r="H543" s="37" t="s">
        <v>10</v>
      </c>
    </row>
    <row r="544" spans="1:8" x14ac:dyDescent="0.25">
      <c r="A544" s="31">
        <v>44625</v>
      </c>
      <c r="B544" s="37" t="s">
        <v>7549</v>
      </c>
      <c r="C544" s="51" t="s">
        <v>31</v>
      </c>
      <c r="D544" s="52">
        <v>176.9</v>
      </c>
      <c r="E544" s="35">
        <v>44625</v>
      </c>
      <c r="F544" s="52">
        <v>176.9</v>
      </c>
      <c r="G544" s="53">
        <f>Tabla14[[#This Row],[Importe]]-Tabla14[[#This Row],[Pagado]]</f>
        <v>0</v>
      </c>
      <c r="H544" s="37" t="s">
        <v>10</v>
      </c>
    </row>
    <row r="545" spans="1:8" x14ac:dyDescent="0.25">
      <c r="A545" s="31">
        <v>44625</v>
      </c>
      <c r="B545" s="37" t="s">
        <v>7550</v>
      </c>
      <c r="C545" s="51" t="s">
        <v>214</v>
      </c>
      <c r="D545" s="52">
        <v>1198.8</v>
      </c>
      <c r="E545" s="35">
        <v>44625</v>
      </c>
      <c r="F545" s="52">
        <v>1198.8</v>
      </c>
      <c r="G545" s="53">
        <f>Tabla14[[#This Row],[Importe]]-Tabla14[[#This Row],[Pagado]]</f>
        <v>0</v>
      </c>
      <c r="H545" s="37" t="s">
        <v>10</v>
      </c>
    </row>
    <row r="546" spans="1:8" x14ac:dyDescent="0.25">
      <c r="A546" s="31">
        <v>44625</v>
      </c>
      <c r="B546" s="37" t="s">
        <v>7551</v>
      </c>
      <c r="C546" s="51" t="s">
        <v>71</v>
      </c>
      <c r="D546" s="52">
        <v>935.2</v>
      </c>
      <c r="E546" s="35">
        <v>44625</v>
      </c>
      <c r="F546" s="52">
        <v>935.2</v>
      </c>
      <c r="G546" s="53">
        <f>Tabla14[[#This Row],[Importe]]-Tabla14[[#This Row],[Pagado]]</f>
        <v>0</v>
      </c>
      <c r="H546" s="37" t="s">
        <v>10</v>
      </c>
    </row>
    <row r="547" spans="1:8" x14ac:dyDescent="0.25">
      <c r="A547" s="31">
        <v>44625</v>
      </c>
      <c r="B547" s="37" t="s">
        <v>7552</v>
      </c>
      <c r="C547" s="51" t="s">
        <v>698</v>
      </c>
      <c r="D547" s="52">
        <v>4109.7</v>
      </c>
      <c r="E547" s="35">
        <v>44625</v>
      </c>
      <c r="F547" s="52">
        <v>4109.7</v>
      </c>
      <c r="G547" s="53">
        <f>Tabla14[[#This Row],[Importe]]-Tabla14[[#This Row],[Pagado]]</f>
        <v>0</v>
      </c>
      <c r="H547" s="37" t="s">
        <v>10</v>
      </c>
    </row>
    <row r="548" spans="1:8" x14ac:dyDescent="0.25">
      <c r="A548" s="31">
        <v>44625</v>
      </c>
      <c r="B548" s="37" t="s">
        <v>7553</v>
      </c>
      <c r="C548" s="51" t="s">
        <v>284</v>
      </c>
      <c r="D548" s="52">
        <v>9919.7999999999993</v>
      </c>
      <c r="E548" s="35">
        <v>44627</v>
      </c>
      <c r="F548" s="52">
        <v>9919.7999999999993</v>
      </c>
      <c r="G548" s="53">
        <f>Tabla14[[#This Row],[Importe]]-Tabla14[[#This Row],[Pagado]]</f>
        <v>0</v>
      </c>
      <c r="H548" s="37" t="s">
        <v>10</v>
      </c>
    </row>
    <row r="549" spans="1:8" x14ac:dyDescent="0.25">
      <c r="A549" s="31">
        <v>44625</v>
      </c>
      <c r="B549" s="37" t="s">
        <v>7554</v>
      </c>
      <c r="C549" s="51" t="s">
        <v>5345</v>
      </c>
      <c r="D549" s="52">
        <v>1690.2</v>
      </c>
      <c r="E549" s="35">
        <v>44627</v>
      </c>
      <c r="F549" s="52">
        <v>1690.2</v>
      </c>
      <c r="G549" s="53">
        <f>Tabla14[[#This Row],[Importe]]-Tabla14[[#This Row],[Pagado]]</f>
        <v>0</v>
      </c>
      <c r="H549" s="37" t="s">
        <v>10</v>
      </c>
    </row>
    <row r="550" spans="1:8" x14ac:dyDescent="0.25">
      <c r="A550" s="31">
        <v>44625</v>
      </c>
      <c r="B550" s="37" t="s">
        <v>7555</v>
      </c>
      <c r="C550" s="51" t="s">
        <v>280</v>
      </c>
      <c r="D550" s="52">
        <v>1490.4</v>
      </c>
      <c r="E550" s="35">
        <v>44627</v>
      </c>
      <c r="F550" s="52">
        <v>1490.4</v>
      </c>
      <c r="G550" s="53">
        <f>Tabla14[[#This Row],[Importe]]-Tabla14[[#This Row],[Pagado]]</f>
        <v>0</v>
      </c>
      <c r="H550" s="37" t="s">
        <v>10</v>
      </c>
    </row>
    <row r="551" spans="1:8" x14ac:dyDescent="0.25">
      <c r="A551" s="31">
        <v>44625</v>
      </c>
      <c r="B551" s="37" t="s">
        <v>7556</v>
      </c>
      <c r="C551" s="51" t="s">
        <v>31</v>
      </c>
      <c r="D551" s="52">
        <v>1396.2</v>
      </c>
      <c r="E551" s="35">
        <v>44625</v>
      </c>
      <c r="F551" s="52">
        <v>1396.2</v>
      </c>
      <c r="G551" s="53">
        <f>Tabla14[[#This Row],[Importe]]-Tabla14[[#This Row],[Pagado]]</f>
        <v>0</v>
      </c>
      <c r="H551" s="37" t="s">
        <v>10</v>
      </c>
    </row>
    <row r="552" spans="1:8" x14ac:dyDescent="0.25">
      <c r="A552" s="31">
        <v>44625</v>
      </c>
      <c r="B552" s="37" t="s">
        <v>7557</v>
      </c>
      <c r="C552" s="51" t="s">
        <v>282</v>
      </c>
      <c r="D552" s="52">
        <v>5571.5</v>
      </c>
      <c r="E552" s="35">
        <v>44627</v>
      </c>
      <c r="F552" s="52">
        <v>5571.5</v>
      </c>
      <c r="G552" s="53">
        <f>Tabla14[[#This Row],[Importe]]-Tabla14[[#This Row],[Pagado]]</f>
        <v>0</v>
      </c>
      <c r="H552" s="37" t="s">
        <v>10</v>
      </c>
    </row>
    <row r="553" spans="1:8" x14ac:dyDescent="0.25">
      <c r="A553" s="31">
        <v>44625</v>
      </c>
      <c r="B553" s="37" t="s">
        <v>7558</v>
      </c>
      <c r="C553" s="51" t="s">
        <v>181</v>
      </c>
      <c r="D553" s="52">
        <v>15970.3</v>
      </c>
      <c r="E553" s="35">
        <v>44627</v>
      </c>
      <c r="F553" s="52">
        <v>15970.3</v>
      </c>
      <c r="G553" s="53">
        <f>Tabla14[[#This Row],[Importe]]-Tabla14[[#This Row],[Pagado]]</f>
        <v>0</v>
      </c>
      <c r="H553" s="37" t="s">
        <v>10</v>
      </c>
    </row>
    <row r="554" spans="1:8" x14ac:dyDescent="0.25">
      <c r="A554" s="31">
        <v>44625</v>
      </c>
      <c r="B554" s="37" t="s">
        <v>7559</v>
      </c>
      <c r="C554" s="51" t="s">
        <v>368</v>
      </c>
      <c r="D554" s="52">
        <v>1218</v>
      </c>
      <c r="E554" s="35">
        <v>44627</v>
      </c>
      <c r="F554" s="52">
        <v>1218</v>
      </c>
      <c r="G554" s="53">
        <f>Tabla14[[#This Row],[Importe]]-Tabla14[[#This Row],[Pagado]]</f>
        <v>0</v>
      </c>
      <c r="H554" s="37" t="s">
        <v>10</v>
      </c>
    </row>
    <row r="555" spans="1:8" x14ac:dyDescent="0.25">
      <c r="A555" s="31">
        <v>44625</v>
      </c>
      <c r="B555" s="37" t="s">
        <v>7560</v>
      </c>
      <c r="C555" s="51" t="s">
        <v>135</v>
      </c>
      <c r="D555" s="52">
        <v>1875.1</v>
      </c>
      <c r="E555" s="35">
        <v>44625</v>
      </c>
      <c r="F555" s="52">
        <v>1875.1</v>
      </c>
      <c r="G555" s="53">
        <f>Tabla14[[#This Row],[Importe]]-Tabla14[[#This Row],[Pagado]]</f>
        <v>0</v>
      </c>
      <c r="H555" s="37" t="s">
        <v>10</v>
      </c>
    </row>
    <row r="556" spans="1:8" x14ac:dyDescent="0.25">
      <c r="A556" s="31">
        <v>44625</v>
      </c>
      <c r="B556" s="37" t="s">
        <v>7561</v>
      </c>
      <c r="C556" s="51" t="s">
        <v>284</v>
      </c>
      <c r="D556" s="52">
        <v>1058.75</v>
      </c>
      <c r="E556" s="35">
        <v>44627</v>
      </c>
      <c r="F556" s="52">
        <v>1058.75</v>
      </c>
      <c r="G556" s="53">
        <f>Tabla14[[#This Row],[Importe]]-Tabla14[[#This Row],[Pagado]]</f>
        <v>0</v>
      </c>
      <c r="H556" s="37" t="s">
        <v>10</v>
      </c>
    </row>
    <row r="557" spans="1:8" x14ac:dyDescent="0.25">
      <c r="A557" s="31">
        <v>44625</v>
      </c>
      <c r="B557" s="37" t="s">
        <v>7562</v>
      </c>
      <c r="C557" s="51" t="s">
        <v>142</v>
      </c>
      <c r="D557" s="52">
        <v>1406</v>
      </c>
      <c r="E557" s="35" t="s">
        <v>7024</v>
      </c>
      <c r="F557" s="52">
        <v>1406</v>
      </c>
      <c r="G557" s="53">
        <f>Tabla14[[#This Row],[Importe]]-Tabla14[[#This Row],[Pagado]]</f>
        <v>0</v>
      </c>
      <c r="H557" s="37" t="s">
        <v>10</v>
      </c>
    </row>
    <row r="558" spans="1:8" x14ac:dyDescent="0.25">
      <c r="A558" s="31">
        <v>44625</v>
      </c>
      <c r="B558" s="37" t="s">
        <v>7563</v>
      </c>
      <c r="C558" s="51" t="s">
        <v>16</v>
      </c>
      <c r="D558" s="52">
        <v>570.4</v>
      </c>
      <c r="E558" s="35">
        <v>44625</v>
      </c>
      <c r="F558" s="52">
        <v>570.4</v>
      </c>
      <c r="G558" s="53">
        <f>Tabla14[[#This Row],[Importe]]-Tabla14[[#This Row],[Pagado]]</f>
        <v>0</v>
      </c>
      <c r="H558" s="37" t="s">
        <v>10</v>
      </c>
    </row>
    <row r="559" spans="1:8" x14ac:dyDescent="0.25">
      <c r="A559" s="31">
        <v>44625</v>
      </c>
      <c r="B559" s="37" t="s">
        <v>7564</v>
      </c>
      <c r="C559" s="51" t="s">
        <v>9</v>
      </c>
      <c r="D559" s="52">
        <v>1137.5999999999999</v>
      </c>
      <c r="E559" s="35">
        <v>44625</v>
      </c>
      <c r="F559" s="52">
        <v>1137.5999999999999</v>
      </c>
      <c r="G559" s="53">
        <f>Tabla14[[#This Row],[Importe]]-Tabla14[[#This Row],[Pagado]]</f>
        <v>0</v>
      </c>
      <c r="H559" s="37" t="s">
        <v>10</v>
      </c>
    </row>
    <row r="560" spans="1:8" x14ac:dyDescent="0.25">
      <c r="A560" s="31">
        <v>44625</v>
      </c>
      <c r="B560" s="37" t="s">
        <v>7565</v>
      </c>
      <c r="C560" s="51" t="s">
        <v>69</v>
      </c>
      <c r="D560" s="52">
        <v>2205.5</v>
      </c>
      <c r="E560" s="35">
        <v>44625</v>
      </c>
      <c r="F560" s="52">
        <v>2205.5</v>
      </c>
      <c r="G560" s="53">
        <f>Tabla14[[#This Row],[Importe]]-Tabla14[[#This Row],[Pagado]]</f>
        <v>0</v>
      </c>
      <c r="H560" s="37" t="s">
        <v>10</v>
      </c>
    </row>
    <row r="561" spans="1:8" x14ac:dyDescent="0.25">
      <c r="A561" s="31">
        <v>44625</v>
      </c>
      <c r="B561" s="37" t="s">
        <v>7566</v>
      </c>
      <c r="C561" s="51" t="s">
        <v>1706</v>
      </c>
      <c r="D561" s="52">
        <v>4425.6000000000004</v>
      </c>
      <c r="E561" s="35">
        <v>44625</v>
      </c>
      <c r="F561" s="52">
        <v>4425.6000000000004</v>
      </c>
      <c r="G561" s="53">
        <f>Tabla14[[#This Row],[Importe]]-Tabla14[[#This Row],[Pagado]]</f>
        <v>0</v>
      </c>
      <c r="H561" s="37" t="s">
        <v>10</v>
      </c>
    </row>
    <row r="562" spans="1:8" x14ac:dyDescent="0.25">
      <c r="A562" s="31">
        <v>44625</v>
      </c>
      <c r="B562" s="37" t="s">
        <v>7567</v>
      </c>
      <c r="C562" s="51" t="s">
        <v>179</v>
      </c>
      <c r="D562" s="52">
        <v>891</v>
      </c>
      <c r="E562" s="35">
        <v>44626</v>
      </c>
      <c r="F562" s="52">
        <v>891</v>
      </c>
      <c r="G562" s="53">
        <f>Tabla14[[#This Row],[Importe]]-Tabla14[[#This Row],[Pagado]]</f>
        <v>0</v>
      </c>
      <c r="H562" s="37" t="s">
        <v>10</v>
      </c>
    </row>
    <row r="563" spans="1:8" x14ac:dyDescent="0.25">
      <c r="A563" s="31">
        <v>44625</v>
      </c>
      <c r="B563" s="37" t="s">
        <v>7568</v>
      </c>
      <c r="C563" s="51" t="s">
        <v>22</v>
      </c>
      <c r="D563" s="52">
        <v>4341.3999999999996</v>
      </c>
      <c r="E563" s="35">
        <v>44626</v>
      </c>
      <c r="F563" s="52">
        <v>4341.3999999999996</v>
      </c>
      <c r="G563" s="53">
        <f>Tabla14[[#This Row],[Importe]]-Tabla14[[#This Row],[Pagado]]</f>
        <v>0</v>
      </c>
      <c r="H563" s="37" t="s">
        <v>10</v>
      </c>
    </row>
    <row r="564" spans="1:8" x14ac:dyDescent="0.25">
      <c r="A564" s="31">
        <v>44625</v>
      </c>
      <c r="B564" s="37" t="s">
        <v>7569</v>
      </c>
      <c r="C564" s="51" t="s">
        <v>31</v>
      </c>
      <c r="D564" s="52">
        <v>2700</v>
      </c>
      <c r="E564" s="35">
        <v>44625</v>
      </c>
      <c r="F564" s="52">
        <v>2700</v>
      </c>
      <c r="G564" s="53">
        <f>Tabla14[[#This Row],[Importe]]-Tabla14[[#This Row],[Pagado]]</f>
        <v>0</v>
      </c>
      <c r="H564" s="37" t="s">
        <v>10</v>
      </c>
    </row>
    <row r="565" spans="1:8" x14ac:dyDescent="0.25">
      <c r="A565" s="31">
        <v>44625</v>
      </c>
      <c r="B565" s="37" t="s">
        <v>7570</v>
      </c>
      <c r="C565" s="51" t="s">
        <v>7571</v>
      </c>
      <c r="D565" s="52">
        <v>0</v>
      </c>
      <c r="E565" s="39" t="s">
        <v>189</v>
      </c>
      <c r="F565" s="52">
        <v>0</v>
      </c>
      <c r="G565" s="53">
        <f>Tabla14[[#This Row],[Importe]]-Tabla14[[#This Row],[Pagado]]</f>
        <v>0</v>
      </c>
      <c r="H565" s="37" t="s">
        <v>189</v>
      </c>
    </row>
    <row r="566" spans="1:8" x14ac:dyDescent="0.25">
      <c r="A566" s="31">
        <v>44625</v>
      </c>
      <c r="B566" s="37" t="s">
        <v>7572</v>
      </c>
      <c r="C566" s="51" t="s">
        <v>407</v>
      </c>
      <c r="D566" s="52">
        <v>46958.84</v>
      </c>
      <c r="E566" s="35">
        <v>44637</v>
      </c>
      <c r="F566" s="52">
        <v>46958.84</v>
      </c>
      <c r="G566" s="53">
        <f>Tabla14[[#This Row],[Importe]]-Tabla14[[#This Row],[Pagado]]</f>
        <v>0</v>
      </c>
      <c r="H566" s="37" t="s">
        <v>10</v>
      </c>
    </row>
    <row r="567" spans="1:8" x14ac:dyDescent="0.25">
      <c r="A567" s="31">
        <v>44625</v>
      </c>
      <c r="B567" s="37" t="s">
        <v>7573</v>
      </c>
      <c r="C567" s="51" t="s">
        <v>681</v>
      </c>
      <c r="D567" s="52">
        <v>5.63</v>
      </c>
      <c r="E567" s="35">
        <v>44629</v>
      </c>
      <c r="F567" s="52">
        <v>5.63</v>
      </c>
      <c r="G567" s="53">
        <f>Tabla14[[#This Row],[Importe]]-Tabla14[[#This Row],[Pagado]]</f>
        <v>0</v>
      </c>
      <c r="H567" s="37" t="s">
        <v>10</v>
      </c>
    </row>
    <row r="568" spans="1:8" x14ac:dyDescent="0.25">
      <c r="A568" s="31">
        <v>44625</v>
      </c>
      <c r="B568" s="37" t="s">
        <v>7574</v>
      </c>
      <c r="C568" s="51" t="s">
        <v>53</v>
      </c>
      <c r="D568" s="52">
        <v>1708</v>
      </c>
      <c r="E568" s="35">
        <v>44625</v>
      </c>
      <c r="F568" s="52">
        <v>1708</v>
      </c>
      <c r="G568" s="53">
        <f>Tabla14[[#This Row],[Importe]]-Tabla14[[#This Row],[Pagado]]</f>
        <v>0</v>
      </c>
      <c r="H568" s="37" t="s">
        <v>10</v>
      </c>
    </row>
    <row r="569" spans="1:8" x14ac:dyDescent="0.25">
      <c r="A569" s="31">
        <v>44625</v>
      </c>
      <c r="B569" s="37" t="s">
        <v>7575</v>
      </c>
      <c r="C569" s="51" t="s">
        <v>857</v>
      </c>
      <c r="D569" s="52">
        <v>1313.2</v>
      </c>
      <c r="E569" s="35">
        <v>44625</v>
      </c>
      <c r="F569" s="52">
        <v>1313.2</v>
      </c>
      <c r="G569" s="53">
        <f>Tabla14[[#This Row],[Importe]]-Tabla14[[#This Row],[Pagado]]</f>
        <v>0</v>
      </c>
      <c r="H569" s="37" t="s">
        <v>10</v>
      </c>
    </row>
    <row r="570" spans="1:8" x14ac:dyDescent="0.25">
      <c r="A570" s="31">
        <v>44625</v>
      </c>
      <c r="B570" s="37" t="s">
        <v>7576</v>
      </c>
      <c r="C570" s="51" t="s">
        <v>35</v>
      </c>
      <c r="D570" s="52">
        <v>2375.8000000000002</v>
      </c>
      <c r="E570" s="35">
        <v>44625</v>
      </c>
      <c r="F570" s="52">
        <v>2375.8000000000002</v>
      </c>
      <c r="G570" s="53">
        <f>Tabla14[[#This Row],[Importe]]-Tabla14[[#This Row],[Pagado]]</f>
        <v>0</v>
      </c>
      <c r="H570" s="37" t="s">
        <v>10</v>
      </c>
    </row>
    <row r="571" spans="1:8" x14ac:dyDescent="0.25">
      <c r="A571" s="31">
        <v>44625</v>
      </c>
      <c r="B571" s="37" t="s">
        <v>7577</v>
      </c>
      <c r="C571" s="51" t="s">
        <v>31</v>
      </c>
      <c r="D571" s="52">
        <v>2167.1999999999998</v>
      </c>
      <c r="E571" s="35">
        <v>44625</v>
      </c>
      <c r="F571" s="52">
        <v>2167.1999999999998</v>
      </c>
      <c r="G571" s="53">
        <f>Tabla14[[#This Row],[Importe]]-Tabla14[[#This Row],[Pagado]]</f>
        <v>0</v>
      </c>
      <c r="H571" s="37" t="s">
        <v>10</v>
      </c>
    </row>
    <row r="572" spans="1:8" x14ac:dyDescent="0.25">
      <c r="A572" s="31">
        <v>44625</v>
      </c>
      <c r="B572" s="37" t="s">
        <v>7578</v>
      </c>
      <c r="C572" s="51" t="s">
        <v>140</v>
      </c>
      <c r="D572" s="52">
        <v>56</v>
      </c>
      <c r="E572" s="35">
        <v>44625</v>
      </c>
      <c r="F572" s="52">
        <v>56</v>
      </c>
      <c r="G572" s="53">
        <f>Tabla14[[#This Row],[Importe]]-Tabla14[[#This Row],[Pagado]]</f>
        <v>0</v>
      </c>
      <c r="H572" s="37" t="s">
        <v>10</v>
      </c>
    </row>
    <row r="573" spans="1:8" x14ac:dyDescent="0.25">
      <c r="A573" s="31">
        <v>44625</v>
      </c>
      <c r="B573" s="37" t="s">
        <v>7579</v>
      </c>
      <c r="C573" s="51" t="s">
        <v>31</v>
      </c>
      <c r="D573" s="52">
        <v>363</v>
      </c>
      <c r="E573" s="35">
        <v>44625</v>
      </c>
      <c r="F573" s="52">
        <v>363</v>
      </c>
      <c r="G573" s="53">
        <f>Tabla14[[#This Row],[Importe]]-Tabla14[[#This Row],[Pagado]]</f>
        <v>0</v>
      </c>
      <c r="H573" s="37" t="s">
        <v>10</v>
      </c>
    </row>
    <row r="574" spans="1:8" x14ac:dyDescent="0.25">
      <c r="A574" s="31">
        <v>44625</v>
      </c>
      <c r="B574" s="37" t="s">
        <v>7580</v>
      </c>
      <c r="C574" s="51" t="s">
        <v>732</v>
      </c>
      <c r="D574" s="52">
        <v>9988</v>
      </c>
      <c r="E574" s="35">
        <v>44625</v>
      </c>
      <c r="F574" s="52">
        <v>9988</v>
      </c>
      <c r="G574" s="53">
        <f>Tabla14[[#This Row],[Importe]]-Tabla14[[#This Row],[Pagado]]</f>
        <v>0</v>
      </c>
      <c r="H574" s="37" t="s">
        <v>10</v>
      </c>
    </row>
    <row r="575" spans="1:8" x14ac:dyDescent="0.25">
      <c r="A575" s="31">
        <v>44625</v>
      </c>
      <c r="B575" s="37" t="s">
        <v>7581</v>
      </c>
      <c r="C575" s="51" t="s">
        <v>31</v>
      </c>
      <c r="D575" s="52">
        <v>763.8</v>
      </c>
      <c r="E575" s="35">
        <v>44625</v>
      </c>
      <c r="F575" s="52">
        <v>763.8</v>
      </c>
      <c r="G575" s="53">
        <f>Tabla14[[#This Row],[Importe]]-Tabla14[[#This Row],[Pagado]]</f>
        <v>0</v>
      </c>
      <c r="H575" s="37" t="s">
        <v>10</v>
      </c>
    </row>
    <row r="576" spans="1:8" x14ac:dyDescent="0.25">
      <c r="A576" s="31">
        <v>44625</v>
      </c>
      <c r="B576" s="37" t="s">
        <v>7582</v>
      </c>
      <c r="C576" s="51" t="s">
        <v>463</v>
      </c>
      <c r="D576" s="52">
        <v>550</v>
      </c>
      <c r="E576" s="35">
        <v>44625</v>
      </c>
      <c r="F576" s="52">
        <v>550</v>
      </c>
      <c r="G576" s="53">
        <f>Tabla14[[#This Row],[Importe]]-Tabla14[[#This Row],[Pagado]]</f>
        <v>0</v>
      </c>
      <c r="H576" s="37" t="s">
        <v>10</v>
      </c>
    </row>
    <row r="577" spans="1:8" x14ac:dyDescent="0.25">
      <c r="A577" s="31">
        <v>44625</v>
      </c>
      <c r="B577" s="37" t="s">
        <v>7583</v>
      </c>
      <c r="C577" s="51" t="s">
        <v>461</v>
      </c>
      <c r="D577" s="52">
        <v>394</v>
      </c>
      <c r="E577" s="35">
        <v>44625</v>
      </c>
      <c r="F577" s="52">
        <v>394</v>
      </c>
      <c r="G577" s="53">
        <f>Tabla14[[#This Row],[Importe]]-Tabla14[[#This Row],[Pagado]]</f>
        <v>0</v>
      </c>
      <c r="H577" s="37" t="s">
        <v>10</v>
      </c>
    </row>
    <row r="578" spans="1:8" x14ac:dyDescent="0.25">
      <c r="A578" s="31">
        <v>44625</v>
      </c>
      <c r="B578" s="37" t="s">
        <v>7584</v>
      </c>
      <c r="C578" s="51" t="s">
        <v>457</v>
      </c>
      <c r="D578" s="52">
        <v>198</v>
      </c>
      <c r="E578" s="35">
        <v>44625</v>
      </c>
      <c r="F578" s="52">
        <v>198</v>
      </c>
      <c r="G578" s="53">
        <f>Tabla14[[#This Row],[Importe]]-Tabla14[[#This Row],[Pagado]]</f>
        <v>0</v>
      </c>
      <c r="H578" s="37" t="s">
        <v>10</v>
      </c>
    </row>
    <row r="579" spans="1:8" x14ac:dyDescent="0.25">
      <c r="A579" s="31">
        <v>44625</v>
      </c>
      <c r="B579" s="37" t="s">
        <v>7585</v>
      </c>
      <c r="C579" s="51" t="s">
        <v>459</v>
      </c>
      <c r="D579" s="52">
        <v>213</v>
      </c>
      <c r="E579" s="35">
        <v>44625</v>
      </c>
      <c r="F579" s="52">
        <v>213</v>
      </c>
      <c r="G579" s="53">
        <f>Tabla14[[#This Row],[Importe]]-Tabla14[[#This Row],[Pagado]]</f>
        <v>0</v>
      </c>
      <c r="H579" s="37" t="s">
        <v>10</v>
      </c>
    </row>
    <row r="580" spans="1:8" x14ac:dyDescent="0.25">
      <c r="A580" s="31">
        <v>44625</v>
      </c>
      <c r="B580" s="37" t="s">
        <v>7586</v>
      </c>
      <c r="C580" s="51" t="s">
        <v>275</v>
      </c>
      <c r="D580" s="52">
        <v>10358.799999999999</v>
      </c>
      <c r="E580" s="35">
        <v>44632</v>
      </c>
      <c r="F580" s="52">
        <v>10358.799999999999</v>
      </c>
      <c r="G580" s="53">
        <f>Tabla14[[#This Row],[Importe]]-Tabla14[[#This Row],[Pagado]]</f>
        <v>0</v>
      </c>
      <c r="H580" s="37" t="s">
        <v>10</v>
      </c>
    </row>
    <row r="581" spans="1:8" x14ac:dyDescent="0.25">
      <c r="A581" s="31">
        <v>44625</v>
      </c>
      <c r="B581" s="37" t="s">
        <v>7587</v>
      </c>
      <c r="C581" s="51" t="s">
        <v>14</v>
      </c>
      <c r="D581" s="52">
        <v>8546.7999999999993</v>
      </c>
      <c r="E581" s="35">
        <v>44625</v>
      </c>
      <c r="F581" s="52">
        <v>8546.7999999999993</v>
      </c>
      <c r="G581" s="53">
        <f>Tabla14[[#This Row],[Importe]]-Tabla14[[#This Row],[Pagado]]</f>
        <v>0</v>
      </c>
      <c r="H581" s="37" t="s">
        <v>10</v>
      </c>
    </row>
    <row r="582" spans="1:8" x14ac:dyDescent="0.25">
      <c r="A582" s="31">
        <v>44625</v>
      </c>
      <c r="B582" s="37" t="s">
        <v>7588</v>
      </c>
      <c r="C582" s="51" t="s">
        <v>71</v>
      </c>
      <c r="D582" s="52">
        <v>3403.4</v>
      </c>
      <c r="E582" s="35">
        <v>44625</v>
      </c>
      <c r="F582" s="52">
        <v>3403.4</v>
      </c>
      <c r="G582" s="53">
        <f>Tabla14[[#This Row],[Importe]]-Tabla14[[#This Row],[Pagado]]</f>
        <v>0</v>
      </c>
      <c r="H582" s="37" t="s">
        <v>10</v>
      </c>
    </row>
    <row r="583" spans="1:8" x14ac:dyDescent="0.25">
      <c r="A583" s="31">
        <v>44626</v>
      </c>
      <c r="B583" s="37" t="s">
        <v>7589</v>
      </c>
      <c r="C583" s="51" t="s">
        <v>56</v>
      </c>
      <c r="D583" s="52">
        <v>6281.4</v>
      </c>
      <c r="E583" s="35">
        <v>44626</v>
      </c>
      <c r="F583" s="52">
        <v>6281.4</v>
      </c>
      <c r="G583" s="53">
        <f>Tabla14[[#This Row],[Importe]]-Tabla14[[#This Row],[Pagado]]</f>
        <v>0</v>
      </c>
      <c r="H583" s="37" t="s">
        <v>10</v>
      </c>
    </row>
    <row r="584" spans="1:8" x14ac:dyDescent="0.25">
      <c r="A584" s="31">
        <v>44626</v>
      </c>
      <c r="B584" s="37" t="s">
        <v>7590</v>
      </c>
      <c r="C584" s="51" t="s">
        <v>56</v>
      </c>
      <c r="D584" s="52">
        <v>702</v>
      </c>
      <c r="E584" s="35">
        <v>44626</v>
      </c>
      <c r="F584" s="52">
        <v>702</v>
      </c>
      <c r="G584" s="53">
        <f>Tabla14[[#This Row],[Importe]]-Tabla14[[#This Row],[Pagado]]</f>
        <v>0</v>
      </c>
      <c r="H584" s="37" t="s">
        <v>10</v>
      </c>
    </row>
    <row r="585" spans="1:8" x14ac:dyDescent="0.25">
      <c r="A585" s="31">
        <v>44626</v>
      </c>
      <c r="B585" s="37" t="s">
        <v>7591</v>
      </c>
      <c r="C585" s="51" t="s">
        <v>9</v>
      </c>
      <c r="D585" s="52">
        <v>6852.9</v>
      </c>
      <c r="E585" s="35">
        <v>44626</v>
      </c>
      <c r="F585" s="52">
        <v>6852.9</v>
      </c>
      <c r="G585" s="53">
        <f>Tabla14[[#This Row],[Importe]]-Tabla14[[#This Row],[Pagado]]</f>
        <v>0</v>
      </c>
      <c r="H585" s="37" t="s">
        <v>10</v>
      </c>
    </row>
    <row r="586" spans="1:8" x14ac:dyDescent="0.25">
      <c r="A586" s="31">
        <v>44626</v>
      </c>
      <c r="B586" s="37" t="s">
        <v>7592</v>
      </c>
      <c r="C586" s="51" t="s">
        <v>12</v>
      </c>
      <c r="D586" s="52">
        <v>56973</v>
      </c>
      <c r="E586" s="35">
        <v>44627</v>
      </c>
      <c r="F586" s="52">
        <v>56973</v>
      </c>
      <c r="G586" s="53">
        <f>Tabla14[[#This Row],[Importe]]-Tabla14[[#This Row],[Pagado]]</f>
        <v>0</v>
      </c>
      <c r="H586" s="37" t="s">
        <v>10</v>
      </c>
    </row>
    <row r="587" spans="1:8" x14ac:dyDescent="0.25">
      <c r="A587" s="31">
        <v>44626</v>
      </c>
      <c r="B587" s="37" t="s">
        <v>7593</v>
      </c>
      <c r="C587" s="51" t="s">
        <v>481</v>
      </c>
      <c r="D587" s="52">
        <v>938.6</v>
      </c>
      <c r="E587" s="35">
        <v>44626</v>
      </c>
      <c r="F587" s="52">
        <v>938.6</v>
      </c>
      <c r="G587" s="53">
        <f>Tabla14[[#This Row],[Importe]]-Tabla14[[#This Row],[Pagado]]</f>
        <v>0</v>
      </c>
      <c r="H587" s="37" t="s">
        <v>10</v>
      </c>
    </row>
    <row r="588" spans="1:8" x14ac:dyDescent="0.25">
      <c r="A588" s="31">
        <v>44626</v>
      </c>
      <c r="B588" s="37" t="s">
        <v>7594</v>
      </c>
      <c r="C588" s="51" t="s">
        <v>20</v>
      </c>
      <c r="D588" s="52">
        <v>7280.2</v>
      </c>
      <c r="E588" s="35">
        <v>44626</v>
      </c>
      <c r="F588" s="52">
        <v>7280.2</v>
      </c>
      <c r="G588" s="53">
        <f>Tabla14[[#This Row],[Importe]]-Tabla14[[#This Row],[Pagado]]</f>
        <v>0</v>
      </c>
      <c r="H588" s="37" t="s">
        <v>10</v>
      </c>
    </row>
    <row r="589" spans="1:8" x14ac:dyDescent="0.25">
      <c r="A589" s="31">
        <v>44626</v>
      </c>
      <c r="B589" s="37" t="s">
        <v>7595</v>
      </c>
      <c r="C589" s="51" t="s">
        <v>924</v>
      </c>
      <c r="D589" s="52">
        <v>12470.4</v>
      </c>
      <c r="E589" s="35">
        <v>44626</v>
      </c>
      <c r="F589" s="52">
        <v>12470.4</v>
      </c>
      <c r="G589" s="53">
        <f>Tabla14[[#This Row],[Importe]]-Tabla14[[#This Row],[Pagado]]</f>
        <v>0</v>
      </c>
      <c r="H589" s="37" t="s">
        <v>10</v>
      </c>
    </row>
    <row r="590" spans="1:8" x14ac:dyDescent="0.25">
      <c r="A590" s="31">
        <v>44626</v>
      </c>
      <c r="B590" s="37" t="s">
        <v>7596</v>
      </c>
      <c r="C590" s="51" t="s">
        <v>58</v>
      </c>
      <c r="D590" s="52">
        <v>3210.3</v>
      </c>
      <c r="E590" s="35">
        <v>44626</v>
      </c>
      <c r="F590" s="52">
        <v>3210.3</v>
      </c>
      <c r="G590" s="53">
        <f>Tabla14[[#This Row],[Importe]]-Tabla14[[#This Row],[Pagado]]</f>
        <v>0</v>
      </c>
      <c r="H590" s="37" t="s">
        <v>10</v>
      </c>
    </row>
    <row r="591" spans="1:8" x14ac:dyDescent="0.25">
      <c r="A591" s="31">
        <v>44626</v>
      </c>
      <c r="B591" s="37" t="s">
        <v>7597</v>
      </c>
      <c r="C591" s="51" t="s">
        <v>22</v>
      </c>
      <c r="D591" s="52">
        <v>46289.4</v>
      </c>
      <c r="E591" s="35">
        <v>44627</v>
      </c>
      <c r="F591" s="52">
        <v>46289.4</v>
      </c>
      <c r="G591" s="53">
        <f>Tabla14[[#This Row],[Importe]]-Tabla14[[#This Row],[Pagado]]</f>
        <v>0</v>
      </c>
      <c r="H591" s="37" t="s">
        <v>10</v>
      </c>
    </row>
    <row r="592" spans="1:8" x14ac:dyDescent="0.25">
      <c r="A592" s="31">
        <v>44626</v>
      </c>
      <c r="B592" s="37" t="s">
        <v>7598</v>
      </c>
      <c r="C592" s="51" t="s">
        <v>224</v>
      </c>
      <c r="D592" s="52">
        <v>843.2</v>
      </c>
      <c r="E592" s="35">
        <v>44626</v>
      </c>
      <c r="F592" s="52">
        <v>843.2</v>
      </c>
      <c r="G592" s="53">
        <f>Tabla14[[#This Row],[Importe]]-Tabla14[[#This Row],[Pagado]]</f>
        <v>0</v>
      </c>
      <c r="H592" s="37" t="s">
        <v>10</v>
      </c>
    </row>
    <row r="593" spans="1:8" x14ac:dyDescent="0.25">
      <c r="A593" s="31">
        <v>44626</v>
      </c>
      <c r="B593" s="37" t="s">
        <v>7599</v>
      </c>
      <c r="C593" s="51" t="s">
        <v>16</v>
      </c>
      <c r="D593" s="52">
        <v>9073.2000000000007</v>
      </c>
      <c r="E593" s="35">
        <v>44626</v>
      </c>
      <c r="F593" s="52">
        <v>9073.2000000000007</v>
      </c>
      <c r="G593" s="53">
        <f>Tabla14[[#This Row],[Importe]]-Tabla14[[#This Row],[Pagado]]</f>
        <v>0</v>
      </c>
      <c r="H593" s="37" t="s">
        <v>10</v>
      </c>
    </row>
    <row r="594" spans="1:8" x14ac:dyDescent="0.25">
      <c r="A594" s="31">
        <v>44626</v>
      </c>
      <c r="B594" s="37" t="s">
        <v>7600</v>
      </c>
      <c r="C594" s="51" t="s">
        <v>216</v>
      </c>
      <c r="D594" s="52">
        <v>1677.6</v>
      </c>
      <c r="E594" s="35">
        <v>44626</v>
      </c>
      <c r="F594" s="52">
        <v>1677.6</v>
      </c>
      <c r="G594" s="53">
        <f>Tabla14[[#This Row],[Importe]]-Tabla14[[#This Row],[Pagado]]</f>
        <v>0</v>
      </c>
      <c r="H594" s="37" t="s">
        <v>10</v>
      </c>
    </row>
    <row r="595" spans="1:8" x14ac:dyDescent="0.25">
      <c r="A595" s="31">
        <v>44626</v>
      </c>
      <c r="B595" s="37" t="s">
        <v>7601</v>
      </c>
      <c r="C595" s="51" t="s">
        <v>27</v>
      </c>
      <c r="D595" s="52">
        <v>2626</v>
      </c>
      <c r="E595" s="35">
        <v>44626</v>
      </c>
      <c r="F595" s="52">
        <v>2626</v>
      </c>
      <c r="G595" s="53">
        <f>Tabla14[[#This Row],[Importe]]-Tabla14[[#This Row],[Pagado]]</f>
        <v>0</v>
      </c>
      <c r="H595" s="37" t="s">
        <v>10</v>
      </c>
    </row>
    <row r="596" spans="1:8" x14ac:dyDescent="0.25">
      <c r="A596" s="31">
        <v>44626</v>
      </c>
      <c r="B596" s="37" t="s">
        <v>7602</v>
      </c>
      <c r="C596" s="51" t="s">
        <v>2114</v>
      </c>
      <c r="D596" s="52">
        <v>1102.5</v>
      </c>
      <c r="E596" s="35">
        <v>44626</v>
      </c>
      <c r="F596" s="52">
        <v>1102.5</v>
      </c>
      <c r="G596" s="53">
        <f>Tabla14[[#This Row],[Importe]]-Tabla14[[#This Row],[Pagado]]</f>
        <v>0</v>
      </c>
      <c r="H596" s="37" t="s">
        <v>10</v>
      </c>
    </row>
    <row r="597" spans="1:8" x14ac:dyDescent="0.25">
      <c r="A597" s="31">
        <v>44626</v>
      </c>
      <c r="B597" s="37" t="s">
        <v>7603</v>
      </c>
      <c r="C597" s="51" t="s">
        <v>29</v>
      </c>
      <c r="D597" s="52">
        <v>6204</v>
      </c>
      <c r="E597" s="35">
        <v>44626</v>
      </c>
      <c r="F597" s="52">
        <v>6204</v>
      </c>
      <c r="G597" s="53">
        <f>Tabla14[[#This Row],[Importe]]-Tabla14[[#This Row],[Pagado]]</f>
        <v>0</v>
      </c>
      <c r="H597" s="37" t="s">
        <v>10</v>
      </c>
    </row>
    <row r="598" spans="1:8" x14ac:dyDescent="0.25">
      <c r="A598" s="31">
        <v>44626</v>
      </c>
      <c r="B598" s="37" t="s">
        <v>7604</v>
      </c>
      <c r="C598" s="51" t="s">
        <v>373</v>
      </c>
      <c r="D598" s="52">
        <v>2770.2</v>
      </c>
      <c r="E598" s="35">
        <v>44626</v>
      </c>
      <c r="F598" s="52">
        <v>2770.2</v>
      </c>
      <c r="G598" s="53">
        <f>Tabla14[[#This Row],[Importe]]-Tabla14[[#This Row],[Pagado]]</f>
        <v>0</v>
      </c>
      <c r="H598" s="37" t="s">
        <v>10</v>
      </c>
    </row>
    <row r="599" spans="1:8" x14ac:dyDescent="0.25">
      <c r="A599" s="31">
        <v>44626</v>
      </c>
      <c r="B599" s="37" t="s">
        <v>7605</v>
      </c>
      <c r="C599" s="51" t="s">
        <v>2114</v>
      </c>
      <c r="D599" s="52">
        <v>1134</v>
      </c>
      <c r="E599" s="35">
        <v>44626</v>
      </c>
      <c r="F599" s="52">
        <v>1134</v>
      </c>
      <c r="G599" s="53">
        <f>Tabla14[[#This Row],[Importe]]-Tabla14[[#This Row],[Pagado]]</f>
        <v>0</v>
      </c>
      <c r="H599" s="37" t="s">
        <v>10</v>
      </c>
    </row>
    <row r="600" spans="1:8" x14ac:dyDescent="0.25">
      <c r="A600" s="31">
        <v>44626</v>
      </c>
      <c r="B600" s="37" t="s">
        <v>7606</v>
      </c>
      <c r="C600" s="51" t="s">
        <v>49</v>
      </c>
      <c r="D600" s="52">
        <v>5144.3999999999996</v>
      </c>
      <c r="E600" s="35">
        <v>44626</v>
      </c>
      <c r="F600" s="52">
        <v>5144.3999999999996</v>
      </c>
      <c r="G600" s="53">
        <f>Tabla14[[#This Row],[Importe]]-Tabla14[[#This Row],[Pagado]]</f>
        <v>0</v>
      </c>
      <c r="H600" s="37" t="s">
        <v>10</v>
      </c>
    </row>
    <row r="601" spans="1:8" x14ac:dyDescent="0.25">
      <c r="A601" s="31">
        <v>44626</v>
      </c>
      <c r="B601" s="37" t="s">
        <v>7607</v>
      </c>
      <c r="C601" s="51" t="s">
        <v>348</v>
      </c>
      <c r="D601" s="52">
        <v>1629.6</v>
      </c>
      <c r="E601" s="35">
        <v>44626</v>
      </c>
      <c r="F601" s="52">
        <v>1629.6</v>
      </c>
      <c r="G601" s="53">
        <f>Tabla14[[#This Row],[Importe]]-Tabla14[[#This Row],[Pagado]]</f>
        <v>0</v>
      </c>
      <c r="H601" s="37" t="s">
        <v>10</v>
      </c>
    </row>
    <row r="602" spans="1:8" x14ac:dyDescent="0.25">
      <c r="A602" s="31">
        <v>44626</v>
      </c>
      <c r="B602" s="37" t="s">
        <v>7608</v>
      </c>
      <c r="C602" s="51" t="s">
        <v>31</v>
      </c>
      <c r="D602" s="52">
        <v>963.2</v>
      </c>
      <c r="E602" s="35">
        <v>44626</v>
      </c>
      <c r="F602" s="52">
        <v>963.2</v>
      </c>
      <c r="G602" s="53">
        <f>Tabla14[[#This Row],[Importe]]-Tabla14[[#This Row],[Pagado]]</f>
        <v>0</v>
      </c>
      <c r="H602" s="37" t="s">
        <v>10</v>
      </c>
    </row>
    <row r="603" spans="1:8" x14ac:dyDescent="0.25">
      <c r="A603" s="31">
        <v>44626</v>
      </c>
      <c r="B603" s="37" t="s">
        <v>7609</v>
      </c>
      <c r="C603" s="51" t="s">
        <v>47</v>
      </c>
      <c r="D603" s="52">
        <v>23588.6</v>
      </c>
      <c r="E603" s="35">
        <v>44626</v>
      </c>
      <c r="F603" s="52">
        <v>23588.6</v>
      </c>
      <c r="G603" s="53">
        <f>Tabla14[[#This Row],[Importe]]-Tabla14[[#This Row],[Pagado]]</f>
        <v>0</v>
      </c>
      <c r="H603" s="37" t="s">
        <v>10</v>
      </c>
    </row>
    <row r="604" spans="1:8" x14ac:dyDescent="0.25">
      <c r="A604" s="31">
        <v>44626</v>
      </c>
      <c r="B604" s="37" t="s">
        <v>7610</v>
      </c>
      <c r="C604" s="51" t="s">
        <v>45</v>
      </c>
      <c r="D604" s="52">
        <v>9038.5</v>
      </c>
      <c r="E604" s="35">
        <v>44626</v>
      </c>
      <c r="F604" s="52">
        <v>9038.5</v>
      </c>
      <c r="G604" s="53">
        <f>Tabla14[[#This Row],[Importe]]-Tabla14[[#This Row],[Pagado]]</f>
        <v>0</v>
      </c>
      <c r="H604" s="37" t="s">
        <v>10</v>
      </c>
    </row>
    <row r="605" spans="1:8" x14ac:dyDescent="0.25">
      <c r="A605" s="31">
        <v>44626</v>
      </c>
      <c r="B605" s="37" t="s">
        <v>7611</v>
      </c>
      <c r="C605" s="51" t="s">
        <v>24</v>
      </c>
      <c r="D605" s="52">
        <v>524.20000000000005</v>
      </c>
      <c r="E605" s="35">
        <v>44626</v>
      </c>
      <c r="F605" s="52">
        <v>524.20000000000005</v>
      </c>
      <c r="G605" s="53">
        <f>Tabla14[[#This Row],[Importe]]-Tabla14[[#This Row],[Pagado]]</f>
        <v>0</v>
      </c>
      <c r="H605" s="37" t="s">
        <v>10</v>
      </c>
    </row>
    <row r="606" spans="1:8" x14ac:dyDescent="0.25">
      <c r="A606" s="31">
        <v>44626</v>
      </c>
      <c r="B606" s="37" t="s">
        <v>7612</v>
      </c>
      <c r="C606" s="51" t="s">
        <v>244</v>
      </c>
      <c r="D606" s="52">
        <v>448</v>
      </c>
      <c r="E606" s="35">
        <v>44626</v>
      </c>
      <c r="F606" s="52">
        <v>448</v>
      </c>
      <c r="G606" s="53">
        <f>Tabla14[[#This Row],[Importe]]-Tabla14[[#This Row],[Pagado]]</f>
        <v>0</v>
      </c>
      <c r="H606" s="37" t="s">
        <v>10</v>
      </c>
    </row>
    <row r="607" spans="1:8" x14ac:dyDescent="0.25">
      <c r="A607" s="31">
        <v>44626</v>
      </c>
      <c r="B607" s="37" t="s">
        <v>7613</v>
      </c>
      <c r="C607" s="51" t="s">
        <v>840</v>
      </c>
      <c r="D607" s="52">
        <v>9664.7000000000007</v>
      </c>
      <c r="E607" s="35">
        <v>44626</v>
      </c>
      <c r="F607" s="52">
        <v>9664.7000000000007</v>
      </c>
      <c r="G607" s="53">
        <f>Tabla14[[#This Row],[Importe]]-Tabla14[[#This Row],[Pagado]]</f>
        <v>0</v>
      </c>
      <c r="H607" s="37" t="s">
        <v>10</v>
      </c>
    </row>
    <row r="608" spans="1:8" x14ac:dyDescent="0.25">
      <c r="A608" s="31">
        <v>44626</v>
      </c>
      <c r="B608" s="37" t="s">
        <v>7614</v>
      </c>
      <c r="C608" s="51" t="s">
        <v>53</v>
      </c>
      <c r="D608" s="52">
        <v>1332.8</v>
      </c>
      <c r="E608" s="35">
        <v>44626</v>
      </c>
      <c r="F608" s="52">
        <v>1332.8</v>
      </c>
      <c r="G608" s="53">
        <f>Tabla14[[#This Row],[Importe]]-Tabla14[[#This Row],[Pagado]]</f>
        <v>0</v>
      </c>
      <c r="H608" s="37" t="s">
        <v>10</v>
      </c>
    </row>
    <row r="609" spans="1:8" x14ac:dyDescent="0.25">
      <c r="A609" s="31">
        <v>44626</v>
      </c>
      <c r="B609" s="37" t="s">
        <v>7615</v>
      </c>
      <c r="C609" s="51" t="s">
        <v>670</v>
      </c>
      <c r="D609" s="52">
        <v>3939.6</v>
      </c>
      <c r="E609" s="35">
        <v>44626</v>
      </c>
      <c r="F609" s="52">
        <v>3939.6</v>
      </c>
      <c r="G609" s="53">
        <f>Tabla14[[#This Row],[Importe]]-Tabla14[[#This Row],[Pagado]]</f>
        <v>0</v>
      </c>
      <c r="H609" s="37" t="s">
        <v>10</v>
      </c>
    </row>
    <row r="610" spans="1:8" x14ac:dyDescent="0.25">
      <c r="A610" s="31">
        <v>44626</v>
      </c>
      <c r="B610" s="37" t="s">
        <v>7616</v>
      </c>
      <c r="C610" s="51" t="s">
        <v>226</v>
      </c>
      <c r="D610" s="52">
        <v>9762.5</v>
      </c>
      <c r="E610" s="35">
        <v>44626</v>
      </c>
      <c r="F610" s="52">
        <v>9762.5</v>
      </c>
      <c r="G610" s="53">
        <f>Tabla14[[#This Row],[Importe]]-Tabla14[[#This Row],[Pagado]]</f>
        <v>0</v>
      </c>
      <c r="H610" s="37" t="s">
        <v>10</v>
      </c>
    </row>
    <row r="611" spans="1:8" x14ac:dyDescent="0.25">
      <c r="A611" s="31">
        <v>44626</v>
      </c>
      <c r="B611" s="37" t="s">
        <v>7617</v>
      </c>
      <c r="C611" s="51" t="s">
        <v>31</v>
      </c>
      <c r="D611" s="52">
        <v>12807.2</v>
      </c>
      <c r="E611" s="35">
        <v>44626</v>
      </c>
      <c r="F611" s="52">
        <v>12807.2</v>
      </c>
      <c r="G611" s="53">
        <f>Tabla14[[#This Row],[Importe]]-Tabla14[[#This Row],[Pagado]]</f>
        <v>0</v>
      </c>
      <c r="H611" s="37" t="s">
        <v>10</v>
      </c>
    </row>
    <row r="612" spans="1:8" x14ac:dyDescent="0.25">
      <c r="A612" s="31">
        <v>44626</v>
      </c>
      <c r="B612" s="37" t="s">
        <v>7618</v>
      </c>
      <c r="C612" s="51" t="s">
        <v>994</v>
      </c>
      <c r="D612" s="52">
        <v>1368</v>
      </c>
      <c r="E612" s="35">
        <v>44626</v>
      </c>
      <c r="F612" s="52">
        <v>1368</v>
      </c>
      <c r="G612" s="53">
        <f>Tabla14[[#This Row],[Importe]]-Tabla14[[#This Row],[Pagado]]</f>
        <v>0</v>
      </c>
      <c r="H612" s="37" t="s">
        <v>10</v>
      </c>
    </row>
    <row r="613" spans="1:8" x14ac:dyDescent="0.25">
      <c r="A613" s="31">
        <v>44626</v>
      </c>
      <c r="B613" s="37" t="s">
        <v>7619</v>
      </c>
      <c r="C613" s="51" t="s">
        <v>16</v>
      </c>
      <c r="D613" s="52">
        <v>441</v>
      </c>
      <c r="E613" s="35">
        <v>44626</v>
      </c>
      <c r="F613" s="52">
        <v>441</v>
      </c>
      <c r="G613" s="53">
        <f>Tabla14[[#This Row],[Importe]]-Tabla14[[#This Row],[Pagado]]</f>
        <v>0</v>
      </c>
      <c r="H613" s="37" t="s">
        <v>10</v>
      </c>
    </row>
    <row r="614" spans="1:8" x14ac:dyDescent="0.25">
      <c r="A614" s="31">
        <v>44626</v>
      </c>
      <c r="B614" s="37" t="s">
        <v>7620</v>
      </c>
      <c r="C614" s="51" t="s">
        <v>289</v>
      </c>
      <c r="D614" s="52">
        <v>7891.9</v>
      </c>
      <c r="E614" s="35">
        <v>44626</v>
      </c>
      <c r="F614" s="52">
        <v>7891.9</v>
      </c>
      <c r="G614" s="53">
        <f>Tabla14[[#This Row],[Importe]]-Tabla14[[#This Row],[Pagado]]</f>
        <v>0</v>
      </c>
      <c r="H614" s="37" t="s">
        <v>10</v>
      </c>
    </row>
    <row r="615" spans="1:8" x14ac:dyDescent="0.25">
      <c r="A615" s="31">
        <v>44626</v>
      </c>
      <c r="B615" s="37" t="s">
        <v>7621</v>
      </c>
      <c r="C615" s="51" t="s">
        <v>62</v>
      </c>
      <c r="D615" s="52">
        <v>5355.1</v>
      </c>
      <c r="E615" s="35">
        <v>44626</v>
      </c>
      <c r="F615" s="52">
        <v>5355.1</v>
      </c>
      <c r="G615" s="53">
        <f>Tabla14[[#This Row],[Importe]]-Tabla14[[#This Row],[Pagado]]</f>
        <v>0</v>
      </c>
      <c r="H615" s="37" t="s">
        <v>10</v>
      </c>
    </row>
    <row r="616" spans="1:8" x14ac:dyDescent="0.25">
      <c r="A616" s="31">
        <v>44626</v>
      </c>
      <c r="B616" s="37" t="s">
        <v>7622</v>
      </c>
      <c r="C616" s="51" t="s">
        <v>67</v>
      </c>
      <c r="D616" s="52">
        <v>2761</v>
      </c>
      <c r="E616" s="35">
        <v>44626</v>
      </c>
      <c r="F616" s="52">
        <v>2761</v>
      </c>
      <c r="G616" s="53">
        <f>Tabla14[[#This Row],[Importe]]-Tabla14[[#This Row],[Pagado]]</f>
        <v>0</v>
      </c>
      <c r="H616" s="37" t="s">
        <v>10</v>
      </c>
    </row>
    <row r="617" spans="1:8" x14ac:dyDescent="0.25">
      <c r="A617" s="31">
        <v>44626</v>
      </c>
      <c r="B617" s="37" t="s">
        <v>7623</v>
      </c>
      <c r="C617" s="51" t="s">
        <v>7624</v>
      </c>
      <c r="D617" s="52">
        <v>6425.6</v>
      </c>
      <c r="E617" s="35">
        <v>44626</v>
      </c>
      <c r="F617" s="52">
        <v>6425.6</v>
      </c>
      <c r="G617" s="53">
        <f>Tabla14[[#This Row],[Importe]]-Tabla14[[#This Row],[Pagado]]</f>
        <v>0</v>
      </c>
      <c r="H617" s="37" t="s">
        <v>10</v>
      </c>
    </row>
    <row r="618" spans="1:8" x14ac:dyDescent="0.25">
      <c r="A618" s="31">
        <v>44626</v>
      </c>
      <c r="B618" s="37" t="s">
        <v>7625</v>
      </c>
      <c r="C618" s="51" t="s">
        <v>71</v>
      </c>
      <c r="D618" s="52">
        <v>2418.6</v>
      </c>
      <c r="E618" s="35">
        <v>44626</v>
      </c>
      <c r="F618" s="52">
        <v>2418.6</v>
      </c>
      <c r="G618" s="53">
        <f>Tabla14[[#This Row],[Importe]]-Tabla14[[#This Row],[Pagado]]</f>
        <v>0</v>
      </c>
      <c r="H618" s="37" t="s">
        <v>10</v>
      </c>
    </row>
    <row r="619" spans="1:8" x14ac:dyDescent="0.25">
      <c r="A619" s="31">
        <v>44626</v>
      </c>
      <c r="B619" s="37" t="s">
        <v>7626</v>
      </c>
      <c r="C619" s="51" t="s">
        <v>31</v>
      </c>
      <c r="D619" s="52">
        <v>3774.4</v>
      </c>
      <c r="E619" s="35">
        <v>44626</v>
      </c>
      <c r="F619" s="52">
        <v>3774.4</v>
      </c>
      <c r="G619" s="53">
        <f>Tabla14[[#This Row],[Importe]]-Tabla14[[#This Row],[Pagado]]</f>
        <v>0</v>
      </c>
      <c r="H619" s="37" t="s">
        <v>10</v>
      </c>
    </row>
    <row r="620" spans="1:8" x14ac:dyDescent="0.25">
      <c r="A620" s="31">
        <v>44626</v>
      </c>
      <c r="B620" s="37" t="s">
        <v>7627</v>
      </c>
      <c r="C620" s="51" t="s">
        <v>373</v>
      </c>
      <c r="D620" s="52">
        <v>555.5</v>
      </c>
      <c r="E620" s="35">
        <v>44626</v>
      </c>
      <c r="F620" s="52">
        <v>555.5</v>
      </c>
      <c r="G620" s="53">
        <f>Tabla14[[#This Row],[Importe]]-Tabla14[[#This Row],[Pagado]]</f>
        <v>0</v>
      </c>
      <c r="H620" s="37" t="s">
        <v>10</v>
      </c>
    </row>
    <row r="621" spans="1:8" x14ac:dyDescent="0.25">
      <c r="A621" s="31">
        <v>44626</v>
      </c>
      <c r="B621" s="37" t="s">
        <v>7628</v>
      </c>
      <c r="C621" s="51" t="s">
        <v>214</v>
      </c>
      <c r="D621" s="52">
        <v>1369.5</v>
      </c>
      <c r="E621" s="35">
        <v>44626</v>
      </c>
      <c r="F621" s="52">
        <v>1369.5</v>
      </c>
      <c r="G621" s="53">
        <f>Tabla14[[#This Row],[Importe]]-Tabla14[[#This Row],[Pagado]]</f>
        <v>0</v>
      </c>
      <c r="H621" s="37" t="s">
        <v>10</v>
      </c>
    </row>
    <row r="622" spans="1:8" x14ac:dyDescent="0.25">
      <c r="A622" s="31">
        <v>44626</v>
      </c>
      <c r="B622" s="37" t="s">
        <v>7629</v>
      </c>
      <c r="C622" s="51" t="s">
        <v>69</v>
      </c>
      <c r="D622" s="52">
        <v>2282.5</v>
      </c>
      <c r="E622" s="35">
        <v>44626</v>
      </c>
      <c r="F622" s="52">
        <v>2282.5</v>
      </c>
      <c r="G622" s="53">
        <f>Tabla14[[#This Row],[Importe]]-Tabla14[[#This Row],[Pagado]]</f>
        <v>0</v>
      </c>
      <c r="H622" s="37" t="s">
        <v>10</v>
      </c>
    </row>
    <row r="623" spans="1:8" x14ac:dyDescent="0.25">
      <c r="A623" s="31">
        <v>44626</v>
      </c>
      <c r="B623" s="37" t="s">
        <v>7630</v>
      </c>
      <c r="C623" s="51" t="s">
        <v>31</v>
      </c>
      <c r="D623" s="52">
        <v>1717.8</v>
      </c>
      <c r="E623" s="35">
        <v>44626</v>
      </c>
      <c r="F623" s="52">
        <v>1717.8</v>
      </c>
      <c r="G623" s="53">
        <f>Tabla14[[#This Row],[Importe]]-Tabla14[[#This Row],[Pagado]]</f>
        <v>0</v>
      </c>
      <c r="H623" s="37" t="s">
        <v>10</v>
      </c>
    </row>
    <row r="624" spans="1:8" x14ac:dyDescent="0.25">
      <c r="A624" s="31">
        <v>44626</v>
      </c>
      <c r="B624" s="37" t="s">
        <v>7631</v>
      </c>
      <c r="C624" s="51" t="s">
        <v>421</v>
      </c>
      <c r="D624" s="52">
        <v>10647.3</v>
      </c>
      <c r="E624" s="35">
        <v>44637</v>
      </c>
      <c r="F624" s="52">
        <v>10647.3</v>
      </c>
      <c r="G624" s="53">
        <f>Tabla14[[#This Row],[Importe]]-Tabla14[[#This Row],[Pagado]]</f>
        <v>0</v>
      </c>
      <c r="H624" s="37" t="s">
        <v>10</v>
      </c>
    </row>
    <row r="625" spans="1:8" x14ac:dyDescent="0.25">
      <c r="A625" s="31">
        <v>44627</v>
      </c>
      <c r="B625" s="37" t="s">
        <v>7632</v>
      </c>
      <c r="C625" s="51" t="s">
        <v>475</v>
      </c>
      <c r="D625" s="52">
        <v>63489.1</v>
      </c>
      <c r="E625" s="35">
        <v>44629</v>
      </c>
      <c r="F625" s="52">
        <v>63489.1</v>
      </c>
      <c r="G625" s="53">
        <f>Tabla14[[#This Row],[Importe]]-Tabla14[[#This Row],[Pagado]]</f>
        <v>0</v>
      </c>
      <c r="H625" s="37" t="s">
        <v>10</v>
      </c>
    </row>
    <row r="626" spans="1:8" x14ac:dyDescent="0.25">
      <c r="A626" s="31">
        <v>44627</v>
      </c>
      <c r="B626" s="37" t="s">
        <v>7633</v>
      </c>
      <c r="C626" s="51" t="s">
        <v>481</v>
      </c>
      <c r="D626" s="52">
        <v>598.70000000000005</v>
      </c>
      <c r="E626" s="35">
        <v>44627</v>
      </c>
      <c r="F626" s="52">
        <v>598.70000000000005</v>
      </c>
      <c r="G626" s="53">
        <f>Tabla14[[#This Row],[Importe]]-Tabla14[[#This Row],[Pagado]]</f>
        <v>0</v>
      </c>
      <c r="H626" s="37" t="s">
        <v>10</v>
      </c>
    </row>
    <row r="627" spans="1:8" x14ac:dyDescent="0.25">
      <c r="A627" s="31">
        <v>44627</v>
      </c>
      <c r="B627" s="37" t="s">
        <v>7634</v>
      </c>
      <c r="C627" s="51" t="s">
        <v>83</v>
      </c>
      <c r="D627" s="52">
        <v>11188.8</v>
      </c>
      <c r="E627" s="35">
        <v>44627</v>
      </c>
      <c r="F627" s="52">
        <v>11188.8</v>
      </c>
      <c r="G627" s="53">
        <f>Tabla14[[#This Row],[Importe]]-Tabla14[[#This Row],[Pagado]]</f>
        <v>0</v>
      </c>
      <c r="H627" s="37" t="s">
        <v>10</v>
      </c>
    </row>
    <row r="628" spans="1:8" x14ac:dyDescent="0.25">
      <c r="A628" s="31">
        <v>44627</v>
      </c>
      <c r="B628" s="37" t="s">
        <v>7635</v>
      </c>
      <c r="C628" s="51" t="s">
        <v>12</v>
      </c>
      <c r="D628" s="52">
        <v>50594.1</v>
      </c>
      <c r="E628" s="35">
        <v>44628</v>
      </c>
      <c r="F628" s="52">
        <v>50594.1</v>
      </c>
      <c r="G628" s="53">
        <f>Tabla14[[#This Row],[Importe]]-Tabla14[[#This Row],[Pagado]]</f>
        <v>0</v>
      </c>
      <c r="H628" s="37" t="s">
        <v>10</v>
      </c>
    </row>
    <row r="629" spans="1:8" x14ac:dyDescent="0.25">
      <c r="A629" s="31">
        <v>44627</v>
      </c>
      <c r="B629" s="37" t="s">
        <v>7636</v>
      </c>
      <c r="C629" s="51" t="s">
        <v>18</v>
      </c>
      <c r="D629" s="52">
        <v>1338.9</v>
      </c>
      <c r="E629" s="35">
        <v>44627</v>
      </c>
      <c r="F629" s="52">
        <v>1338.9</v>
      </c>
      <c r="G629" s="53">
        <f>Tabla14[[#This Row],[Importe]]-Tabla14[[#This Row],[Pagado]]</f>
        <v>0</v>
      </c>
      <c r="H629" s="37" t="s">
        <v>10</v>
      </c>
    </row>
    <row r="630" spans="1:8" x14ac:dyDescent="0.25">
      <c r="A630" s="31">
        <v>44627</v>
      </c>
      <c r="B630" s="37" t="s">
        <v>7637</v>
      </c>
      <c r="C630" s="51" t="s">
        <v>75</v>
      </c>
      <c r="D630" s="52">
        <v>5428.5</v>
      </c>
      <c r="E630" s="35">
        <v>44627</v>
      </c>
      <c r="F630" s="52">
        <v>5428.5</v>
      </c>
      <c r="G630" s="53">
        <f>Tabla14[[#This Row],[Importe]]-Tabla14[[#This Row],[Pagado]]</f>
        <v>0</v>
      </c>
      <c r="H630" s="37" t="s">
        <v>10</v>
      </c>
    </row>
    <row r="631" spans="1:8" x14ac:dyDescent="0.25">
      <c r="A631" s="31">
        <v>44627</v>
      </c>
      <c r="B631" s="37" t="s">
        <v>7638</v>
      </c>
      <c r="C631" s="51" t="s">
        <v>87</v>
      </c>
      <c r="D631" s="52">
        <v>2747</v>
      </c>
      <c r="E631" s="35">
        <v>44627</v>
      </c>
      <c r="F631" s="52">
        <v>2747</v>
      </c>
      <c r="G631" s="53">
        <f>Tabla14[[#This Row],[Importe]]-Tabla14[[#This Row],[Pagado]]</f>
        <v>0</v>
      </c>
      <c r="H631" s="37" t="s">
        <v>10</v>
      </c>
    </row>
    <row r="632" spans="1:8" x14ac:dyDescent="0.25">
      <c r="A632" s="31">
        <v>44627</v>
      </c>
      <c r="B632" s="37" t="s">
        <v>7639</v>
      </c>
      <c r="C632" s="51" t="s">
        <v>120</v>
      </c>
      <c r="D632" s="52">
        <v>3719.1</v>
      </c>
      <c r="E632" s="35">
        <v>44629</v>
      </c>
      <c r="F632" s="52">
        <v>3719.1</v>
      </c>
      <c r="G632" s="53">
        <f>Tabla14[[#This Row],[Importe]]-Tabla14[[#This Row],[Pagado]]</f>
        <v>0</v>
      </c>
      <c r="H632" s="37" t="s">
        <v>10</v>
      </c>
    </row>
    <row r="633" spans="1:8" x14ac:dyDescent="0.25">
      <c r="A633" s="31">
        <v>44627</v>
      </c>
      <c r="B633" s="37" t="s">
        <v>7640</v>
      </c>
      <c r="C633" s="51" t="s">
        <v>64</v>
      </c>
      <c r="D633" s="52">
        <v>7325.5</v>
      </c>
      <c r="E633" s="35">
        <v>44628</v>
      </c>
      <c r="F633" s="52">
        <v>7325.5</v>
      </c>
      <c r="G633" s="53">
        <f>Tabla14[[#This Row],[Importe]]-Tabla14[[#This Row],[Pagado]]</f>
        <v>0</v>
      </c>
      <c r="H633" s="37" t="s">
        <v>10</v>
      </c>
    </row>
    <row r="634" spans="1:8" x14ac:dyDescent="0.25">
      <c r="A634" s="31">
        <v>44627</v>
      </c>
      <c r="B634" s="37" t="s">
        <v>7641</v>
      </c>
      <c r="C634" s="51" t="s">
        <v>9</v>
      </c>
      <c r="D634" s="52">
        <v>5956.9</v>
      </c>
      <c r="E634" s="35">
        <v>44627</v>
      </c>
      <c r="F634" s="52">
        <v>5956.9</v>
      </c>
      <c r="G634" s="53">
        <f>Tabla14[[#This Row],[Importe]]-Tabla14[[#This Row],[Pagado]]</f>
        <v>0</v>
      </c>
      <c r="H634" s="37" t="s">
        <v>10</v>
      </c>
    </row>
    <row r="635" spans="1:8" x14ac:dyDescent="0.25">
      <c r="A635" s="31">
        <v>44627</v>
      </c>
      <c r="B635" s="37" t="s">
        <v>7642</v>
      </c>
      <c r="C635" s="51" t="s">
        <v>1362</v>
      </c>
      <c r="D635" s="52">
        <v>1781.6</v>
      </c>
      <c r="E635" s="35">
        <v>44627</v>
      </c>
      <c r="F635" s="52">
        <v>1781.6</v>
      </c>
      <c r="G635" s="53">
        <f>Tabla14[[#This Row],[Importe]]-Tabla14[[#This Row],[Pagado]]</f>
        <v>0</v>
      </c>
      <c r="H635" s="37" t="s">
        <v>10</v>
      </c>
    </row>
    <row r="636" spans="1:8" x14ac:dyDescent="0.25">
      <c r="A636" s="31">
        <v>44627</v>
      </c>
      <c r="B636" s="37" t="s">
        <v>7643</v>
      </c>
      <c r="C636" s="51" t="s">
        <v>85</v>
      </c>
      <c r="D636" s="52">
        <v>1368.9</v>
      </c>
      <c r="E636" s="35">
        <v>44627</v>
      </c>
      <c r="F636" s="52">
        <v>1368.9</v>
      </c>
      <c r="G636" s="53">
        <f>Tabla14[[#This Row],[Importe]]-Tabla14[[#This Row],[Pagado]]</f>
        <v>0</v>
      </c>
      <c r="H636" s="37" t="s">
        <v>10</v>
      </c>
    </row>
    <row r="637" spans="1:8" x14ac:dyDescent="0.25">
      <c r="A637" s="31">
        <v>44627</v>
      </c>
      <c r="B637" s="37" t="s">
        <v>7644</v>
      </c>
      <c r="C637" s="51" t="s">
        <v>125</v>
      </c>
      <c r="D637" s="52">
        <v>1402.5</v>
      </c>
      <c r="E637" s="35">
        <v>44627</v>
      </c>
      <c r="F637" s="52">
        <v>1402.5</v>
      </c>
      <c r="G637" s="53">
        <f>Tabla14[[#This Row],[Importe]]-Tabla14[[#This Row],[Pagado]]</f>
        <v>0</v>
      </c>
      <c r="H637" s="37" t="s">
        <v>10</v>
      </c>
    </row>
    <row r="638" spans="1:8" x14ac:dyDescent="0.25">
      <c r="A638" s="31">
        <v>44627</v>
      </c>
      <c r="B638" s="37" t="s">
        <v>7645</v>
      </c>
      <c r="C638" s="51" t="s">
        <v>56</v>
      </c>
      <c r="D638" s="52">
        <v>2730.3</v>
      </c>
      <c r="E638" s="35">
        <v>44627</v>
      </c>
      <c r="F638" s="52">
        <v>2730.3</v>
      </c>
      <c r="G638" s="53">
        <f>Tabla14[[#This Row],[Importe]]-Tabla14[[#This Row],[Pagado]]</f>
        <v>0</v>
      </c>
      <c r="H638" s="37" t="s">
        <v>10</v>
      </c>
    </row>
    <row r="639" spans="1:8" x14ac:dyDescent="0.25">
      <c r="A639" s="31">
        <v>44627</v>
      </c>
      <c r="B639" s="37" t="s">
        <v>7646</v>
      </c>
      <c r="C639" s="51" t="s">
        <v>60</v>
      </c>
      <c r="D639" s="52">
        <v>3748.5</v>
      </c>
      <c r="E639" s="35">
        <v>44628</v>
      </c>
      <c r="F639" s="52">
        <v>3748.5</v>
      </c>
      <c r="G639" s="53">
        <f>Tabla14[[#This Row],[Importe]]-Tabla14[[#This Row],[Pagado]]</f>
        <v>0</v>
      </c>
      <c r="H639" s="37" t="s">
        <v>10</v>
      </c>
    </row>
    <row r="640" spans="1:8" x14ac:dyDescent="0.25">
      <c r="A640" s="31">
        <v>44627</v>
      </c>
      <c r="B640" s="37" t="s">
        <v>7647</v>
      </c>
      <c r="C640" s="51" t="s">
        <v>20</v>
      </c>
      <c r="D640" s="52">
        <v>1608</v>
      </c>
      <c r="E640" s="35">
        <v>44627</v>
      </c>
      <c r="F640" s="52">
        <v>1608</v>
      </c>
      <c r="G640" s="53">
        <f>Tabla14[[#This Row],[Importe]]-Tabla14[[#This Row],[Pagado]]</f>
        <v>0</v>
      </c>
      <c r="H640" s="37" t="s">
        <v>10</v>
      </c>
    </row>
    <row r="641" spans="1:8" x14ac:dyDescent="0.25">
      <c r="A641" s="31">
        <v>44627</v>
      </c>
      <c r="B641" s="37" t="s">
        <v>7648</v>
      </c>
      <c r="C641" s="51" t="s">
        <v>97</v>
      </c>
      <c r="D641" s="52">
        <v>7435.4</v>
      </c>
      <c r="E641" s="35">
        <v>44628</v>
      </c>
      <c r="F641" s="52">
        <v>7435.4</v>
      </c>
      <c r="G641" s="53">
        <f>Tabla14[[#This Row],[Importe]]-Tabla14[[#This Row],[Pagado]]</f>
        <v>0</v>
      </c>
      <c r="H641" s="37" t="s">
        <v>10</v>
      </c>
    </row>
    <row r="642" spans="1:8" x14ac:dyDescent="0.25">
      <c r="A642" s="31">
        <v>44627</v>
      </c>
      <c r="B642" s="37" t="s">
        <v>7649</v>
      </c>
      <c r="C642" s="51" t="s">
        <v>111</v>
      </c>
      <c r="D642" s="52">
        <v>4140.7</v>
      </c>
      <c r="E642" s="35">
        <v>44628</v>
      </c>
      <c r="F642" s="52">
        <v>4140.7</v>
      </c>
      <c r="G642" s="53">
        <f>Tabla14[[#This Row],[Importe]]-Tabla14[[#This Row],[Pagado]]</f>
        <v>0</v>
      </c>
      <c r="H642" s="37" t="s">
        <v>10</v>
      </c>
    </row>
    <row r="643" spans="1:8" x14ac:dyDescent="0.25">
      <c r="A643" s="31">
        <v>44627</v>
      </c>
      <c r="B643" s="37" t="s">
        <v>7650</v>
      </c>
      <c r="C643" s="51" t="s">
        <v>39</v>
      </c>
      <c r="D643" s="52">
        <v>22326.5</v>
      </c>
      <c r="E643" s="35">
        <v>44628</v>
      </c>
      <c r="F643" s="52">
        <v>22326.5</v>
      </c>
      <c r="G643" s="53">
        <f>Tabla14[[#This Row],[Importe]]-Tabla14[[#This Row],[Pagado]]</f>
        <v>0</v>
      </c>
      <c r="H643" s="37" t="s">
        <v>10</v>
      </c>
    </row>
    <row r="644" spans="1:8" x14ac:dyDescent="0.25">
      <c r="A644" s="31">
        <v>44627</v>
      </c>
      <c r="B644" s="37" t="s">
        <v>7651</v>
      </c>
      <c r="C644" s="51" t="s">
        <v>326</v>
      </c>
      <c r="D644" s="52">
        <v>3792.9</v>
      </c>
      <c r="E644" s="35">
        <v>44628</v>
      </c>
      <c r="F644" s="52">
        <v>3792.9</v>
      </c>
      <c r="G644" s="53">
        <f>Tabla14[[#This Row],[Importe]]-Tabla14[[#This Row],[Pagado]]</f>
        <v>0</v>
      </c>
      <c r="H644" s="37" t="s">
        <v>10</v>
      </c>
    </row>
    <row r="645" spans="1:8" x14ac:dyDescent="0.25">
      <c r="A645" s="31">
        <v>44627</v>
      </c>
      <c r="B645" s="37" t="s">
        <v>7652</v>
      </c>
      <c r="C645" s="51" t="s">
        <v>114</v>
      </c>
      <c r="D645" s="52">
        <v>8619.7999999999993</v>
      </c>
      <c r="E645" s="35">
        <v>44628</v>
      </c>
      <c r="F645" s="52">
        <v>8619.7999999999993</v>
      </c>
      <c r="G645" s="53">
        <f>Tabla14[[#This Row],[Importe]]-Tabla14[[#This Row],[Pagado]]</f>
        <v>0</v>
      </c>
      <c r="H645" s="37" t="s">
        <v>10</v>
      </c>
    </row>
    <row r="646" spans="1:8" x14ac:dyDescent="0.25">
      <c r="A646" s="31">
        <v>44627</v>
      </c>
      <c r="B646" s="37" t="s">
        <v>7653</v>
      </c>
      <c r="C646" s="51" t="s">
        <v>89</v>
      </c>
      <c r="D646" s="52">
        <v>2837.2</v>
      </c>
      <c r="E646" s="35">
        <v>44628</v>
      </c>
      <c r="F646" s="52">
        <v>2837.2</v>
      </c>
      <c r="G646" s="53">
        <f>Tabla14[[#This Row],[Importe]]-Tabla14[[#This Row],[Pagado]]</f>
        <v>0</v>
      </c>
      <c r="H646" s="37" t="s">
        <v>10</v>
      </c>
    </row>
    <row r="647" spans="1:8" x14ac:dyDescent="0.25">
      <c r="A647" s="31">
        <v>44627</v>
      </c>
      <c r="B647" s="37" t="s">
        <v>7654</v>
      </c>
      <c r="C647" s="51" t="s">
        <v>105</v>
      </c>
      <c r="D647" s="52">
        <v>5937.7</v>
      </c>
      <c r="E647" s="35">
        <v>44627</v>
      </c>
      <c r="F647" s="52">
        <v>5937.7</v>
      </c>
      <c r="G647" s="53">
        <f>Tabla14[[#This Row],[Importe]]-Tabla14[[#This Row],[Pagado]]</f>
        <v>0</v>
      </c>
      <c r="H647" s="37" t="s">
        <v>10</v>
      </c>
    </row>
    <row r="648" spans="1:8" x14ac:dyDescent="0.25">
      <c r="A648" s="31">
        <v>44627</v>
      </c>
      <c r="B648" s="37" t="s">
        <v>7655</v>
      </c>
      <c r="C648" s="51" t="s">
        <v>93</v>
      </c>
      <c r="D648" s="52">
        <v>6363</v>
      </c>
      <c r="E648" s="35">
        <v>44628</v>
      </c>
      <c r="F648" s="52">
        <v>6363</v>
      </c>
      <c r="G648" s="53">
        <f>Tabla14[[#This Row],[Importe]]-Tabla14[[#This Row],[Pagado]]</f>
        <v>0</v>
      </c>
      <c r="H648" s="37" t="s">
        <v>10</v>
      </c>
    </row>
    <row r="649" spans="1:8" x14ac:dyDescent="0.25">
      <c r="A649" s="31">
        <v>44627</v>
      </c>
      <c r="B649" s="37" t="s">
        <v>7656</v>
      </c>
      <c r="C649" s="51" t="s">
        <v>99</v>
      </c>
      <c r="D649" s="52">
        <v>1413.5</v>
      </c>
      <c r="E649" s="35">
        <v>44628</v>
      </c>
      <c r="F649" s="52">
        <v>1413.5</v>
      </c>
      <c r="G649" s="53">
        <f>Tabla14[[#This Row],[Importe]]-Tabla14[[#This Row],[Pagado]]</f>
        <v>0</v>
      </c>
      <c r="H649" s="37" t="s">
        <v>10</v>
      </c>
    </row>
    <row r="650" spans="1:8" x14ac:dyDescent="0.25">
      <c r="A650" s="31">
        <v>44627</v>
      </c>
      <c r="B650" s="37" t="s">
        <v>7657</v>
      </c>
      <c r="C650" s="51" t="s">
        <v>326</v>
      </c>
      <c r="D650" s="52">
        <v>1820</v>
      </c>
      <c r="E650" s="35">
        <v>44628</v>
      </c>
      <c r="F650" s="52">
        <v>1820</v>
      </c>
      <c r="G650" s="53">
        <f>Tabla14[[#This Row],[Importe]]-Tabla14[[#This Row],[Pagado]]</f>
        <v>0</v>
      </c>
      <c r="H650" s="37" t="s">
        <v>10</v>
      </c>
    </row>
    <row r="651" spans="1:8" x14ac:dyDescent="0.25">
      <c r="A651" s="31">
        <v>44627</v>
      </c>
      <c r="B651" s="37" t="s">
        <v>7658</v>
      </c>
      <c r="C651" s="51" t="s">
        <v>22</v>
      </c>
      <c r="D651" s="52">
        <v>39721.800000000003</v>
      </c>
      <c r="E651" s="35">
        <v>44628</v>
      </c>
      <c r="F651" s="52">
        <v>39721.800000000003</v>
      </c>
      <c r="G651" s="53">
        <f>Tabla14[[#This Row],[Importe]]-Tabla14[[#This Row],[Pagado]]</f>
        <v>0</v>
      </c>
      <c r="H651" s="37" t="s">
        <v>10</v>
      </c>
    </row>
    <row r="652" spans="1:8" x14ac:dyDescent="0.25">
      <c r="A652" s="31">
        <v>44627</v>
      </c>
      <c r="B652" s="37" t="s">
        <v>7659</v>
      </c>
      <c r="C652" s="51" t="s">
        <v>137</v>
      </c>
      <c r="D652" s="52">
        <v>3223.5</v>
      </c>
      <c r="E652" s="35">
        <v>44627</v>
      </c>
      <c r="F652" s="52">
        <v>3223.5</v>
      </c>
      <c r="G652" s="53">
        <f>Tabla14[[#This Row],[Importe]]-Tabla14[[#This Row],[Pagado]]</f>
        <v>0</v>
      </c>
      <c r="H652" s="37" t="s">
        <v>10</v>
      </c>
    </row>
    <row r="653" spans="1:8" x14ac:dyDescent="0.25">
      <c r="A653" s="31">
        <v>44627</v>
      </c>
      <c r="B653" s="37" t="s">
        <v>7660</v>
      </c>
      <c r="C653" s="51" t="s">
        <v>357</v>
      </c>
      <c r="D653" s="52">
        <v>3360</v>
      </c>
      <c r="E653" s="35">
        <v>44627</v>
      </c>
      <c r="F653" s="52">
        <v>3360</v>
      </c>
      <c r="G653" s="53">
        <f>Tabla14[[#This Row],[Importe]]-Tabla14[[#This Row],[Pagado]]</f>
        <v>0</v>
      </c>
      <c r="H653" s="37" t="s">
        <v>10</v>
      </c>
    </row>
    <row r="654" spans="1:8" x14ac:dyDescent="0.25">
      <c r="A654" s="31">
        <v>44627</v>
      </c>
      <c r="B654" s="37" t="s">
        <v>7661</v>
      </c>
      <c r="C654" s="51" t="s">
        <v>140</v>
      </c>
      <c r="D654" s="52">
        <v>1478.6</v>
      </c>
      <c r="E654" s="35">
        <v>44627</v>
      </c>
      <c r="F654" s="52">
        <v>1478.6</v>
      </c>
      <c r="G654" s="53">
        <f>Tabla14[[#This Row],[Importe]]-Tabla14[[#This Row],[Pagado]]</f>
        <v>0</v>
      </c>
      <c r="H654" s="37" t="s">
        <v>10</v>
      </c>
    </row>
    <row r="655" spans="1:8" x14ac:dyDescent="0.25">
      <c r="A655" s="31">
        <v>44627</v>
      </c>
      <c r="B655" s="37" t="s">
        <v>7662</v>
      </c>
      <c r="C655" s="51" t="s">
        <v>129</v>
      </c>
      <c r="D655" s="52">
        <v>4560.6000000000004</v>
      </c>
      <c r="E655" s="35">
        <v>44627</v>
      </c>
      <c r="F655" s="52">
        <v>4560.6000000000004</v>
      </c>
      <c r="G655" s="53">
        <f>Tabla14[[#This Row],[Importe]]-Tabla14[[#This Row],[Pagado]]</f>
        <v>0</v>
      </c>
      <c r="H655" s="37" t="s">
        <v>10</v>
      </c>
    </row>
    <row r="656" spans="1:8" x14ac:dyDescent="0.25">
      <c r="A656" s="31">
        <v>44627</v>
      </c>
      <c r="B656" s="37" t="s">
        <v>7663</v>
      </c>
      <c r="C656" s="51" t="s">
        <v>127</v>
      </c>
      <c r="D656" s="52">
        <v>5216.3999999999996</v>
      </c>
      <c r="E656" s="35">
        <v>44627</v>
      </c>
      <c r="F656" s="52">
        <v>5216.3999999999996</v>
      </c>
      <c r="G656" s="53">
        <f>Tabla14[[#This Row],[Importe]]-Tabla14[[#This Row],[Pagado]]</f>
        <v>0</v>
      </c>
      <c r="H656" s="37" t="s">
        <v>10</v>
      </c>
    </row>
    <row r="657" spans="1:8" x14ac:dyDescent="0.25">
      <c r="A657" s="31">
        <v>44627</v>
      </c>
      <c r="B657" s="37" t="s">
        <v>7664</v>
      </c>
      <c r="C657" s="51" t="s">
        <v>131</v>
      </c>
      <c r="D657" s="52">
        <v>7074</v>
      </c>
      <c r="E657" s="35">
        <v>44627</v>
      </c>
      <c r="F657" s="52">
        <v>7074</v>
      </c>
      <c r="G657" s="53">
        <f>Tabla14[[#This Row],[Importe]]-Tabla14[[#This Row],[Pagado]]</f>
        <v>0</v>
      </c>
      <c r="H657" s="37" t="s">
        <v>10</v>
      </c>
    </row>
    <row r="658" spans="1:8" x14ac:dyDescent="0.25">
      <c r="A658" s="31">
        <v>44627</v>
      </c>
      <c r="B658" s="37" t="s">
        <v>7665</v>
      </c>
      <c r="C658" s="51" t="s">
        <v>196</v>
      </c>
      <c r="D658" s="52">
        <v>71302.149999999994</v>
      </c>
      <c r="E658" s="35">
        <v>44631</v>
      </c>
      <c r="F658" s="52">
        <v>71302.149999999994</v>
      </c>
      <c r="G658" s="53">
        <f>Tabla14[[#This Row],[Importe]]-Tabla14[[#This Row],[Pagado]]</f>
        <v>0</v>
      </c>
      <c r="H658" s="37" t="s">
        <v>10</v>
      </c>
    </row>
    <row r="659" spans="1:8" x14ac:dyDescent="0.25">
      <c r="A659" s="31">
        <v>44627</v>
      </c>
      <c r="B659" s="37" t="s">
        <v>7666</v>
      </c>
      <c r="C659" s="51" t="s">
        <v>16</v>
      </c>
      <c r="D659" s="52">
        <v>4441</v>
      </c>
      <c r="E659" s="35">
        <v>44627</v>
      </c>
      <c r="F659" s="52">
        <v>4441</v>
      </c>
      <c r="G659" s="53">
        <f>Tabla14[[#This Row],[Importe]]-Tabla14[[#This Row],[Pagado]]</f>
        <v>0</v>
      </c>
      <c r="H659" s="37" t="s">
        <v>10</v>
      </c>
    </row>
    <row r="660" spans="1:8" x14ac:dyDescent="0.25">
      <c r="A660" s="31">
        <v>44627</v>
      </c>
      <c r="B660" s="37" t="s">
        <v>7667</v>
      </c>
      <c r="C660" s="51" t="s">
        <v>208</v>
      </c>
      <c r="D660" s="52">
        <v>2964.5</v>
      </c>
      <c r="E660" s="35">
        <v>44641</v>
      </c>
      <c r="F660" s="52">
        <v>2964.5</v>
      </c>
      <c r="G660" s="53">
        <f>Tabla14[[#This Row],[Importe]]-Tabla14[[#This Row],[Pagado]]</f>
        <v>0</v>
      </c>
      <c r="H660" s="37" t="s">
        <v>10</v>
      </c>
    </row>
    <row r="661" spans="1:8" x14ac:dyDescent="0.25">
      <c r="A661" s="31">
        <v>44627</v>
      </c>
      <c r="B661" s="37" t="s">
        <v>7668</v>
      </c>
      <c r="C661" s="51" t="s">
        <v>89</v>
      </c>
      <c r="D661" s="52">
        <v>156.6</v>
      </c>
      <c r="E661" s="35">
        <v>44627</v>
      </c>
      <c r="F661" s="52">
        <v>156.6</v>
      </c>
      <c r="G661" s="53">
        <f>Tabla14[[#This Row],[Importe]]-Tabla14[[#This Row],[Pagado]]</f>
        <v>0</v>
      </c>
      <c r="H661" s="37" t="s">
        <v>10</v>
      </c>
    </row>
    <row r="662" spans="1:8" x14ac:dyDescent="0.25">
      <c r="A662" s="31">
        <v>44627</v>
      </c>
      <c r="B662" s="37" t="s">
        <v>7669</v>
      </c>
      <c r="C662" s="51" t="s">
        <v>777</v>
      </c>
      <c r="D662" s="52">
        <v>2570.4</v>
      </c>
      <c r="E662" s="35">
        <v>44627</v>
      </c>
      <c r="F662" s="52">
        <v>2570.4</v>
      </c>
      <c r="G662" s="53">
        <f>Tabla14[[#This Row],[Importe]]-Tabla14[[#This Row],[Pagado]]</f>
        <v>0</v>
      </c>
      <c r="H662" s="37" t="s">
        <v>10</v>
      </c>
    </row>
    <row r="663" spans="1:8" x14ac:dyDescent="0.25">
      <c r="A663" s="31">
        <v>44627</v>
      </c>
      <c r="B663" s="37" t="s">
        <v>7670</v>
      </c>
      <c r="C663" s="51" t="s">
        <v>146</v>
      </c>
      <c r="D663" s="52">
        <v>2184</v>
      </c>
      <c r="E663" s="35">
        <v>44627</v>
      </c>
      <c r="F663" s="52">
        <v>2184</v>
      </c>
      <c r="G663" s="53">
        <f>Tabla14[[#This Row],[Importe]]-Tabla14[[#This Row],[Pagado]]</f>
        <v>0</v>
      </c>
      <c r="H663" s="37" t="s">
        <v>10</v>
      </c>
    </row>
    <row r="664" spans="1:8" x14ac:dyDescent="0.25">
      <c r="A664" s="31">
        <v>44627</v>
      </c>
      <c r="B664" s="37" t="s">
        <v>7671</v>
      </c>
      <c r="C664" s="51" t="s">
        <v>212</v>
      </c>
      <c r="D664" s="52">
        <v>37411</v>
      </c>
      <c r="E664" s="35">
        <v>44630</v>
      </c>
      <c r="F664" s="52">
        <v>37411</v>
      </c>
      <c r="G664" s="53">
        <f>Tabla14[[#This Row],[Importe]]-Tabla14[[#This Row],[Pagado]]</f>
        <v>0</v>
      </c>
      <c r="H664" s="37" t="s">
        <v>10</v>
      </c>
    </row>
    <row r="665" spans="1:8" x14ac:dyDescent="0.25">
      <c r="A665" s="31">
        <v>44627</v>
      </c>
      <c r="B665" s="37" t="s">
        <v>7672</v>
      </c>
      <c r="C665" s="51" t="s">
        <v>218</v>
      </c>
      <c r="D665" s="52">
        <v>15229</v>
      </c>
      <c r="E665" s="35">
        <v>44630</v>
      </c>
      <c r="F665" s="52">
        <v>15229</v>
      </c>
      <c r="G665" s="53">
        <f>Tabla14[[#This Row],[Importe]]-Tabla14[[#This Row],[Pagado]]</f>
        <v>0</v>
      </c>
      <c r="H665" s="37" t="s">
        <v>10</v>
      </c>
    </row>
    <row r="666" spans="1:8" x14ac:dyDescent="0.25">
      <c r="A666" s="31">
        <v>44627</v>
      </c>
      <c r="B666" s="37" t="s">
        <v>7673</v>
      </c>
      <c r="C666" s="51" t="s">
        <v>206</v>
      </c>
      <c r="D666" s="52">
        <v>21138</v>
      </c>
      <c r="E666" s="35">
        <v>44630</v>
      </c>
      <c r="F666" s="52">
        <v>21138</v>
      </c>
      <c r="G666" s="53">
        <f>Tabla14[[#This Row],[Importe]]-Tabla14[[#This Row],[Pagado]]</f>
        <v>0</v>
      </c>
      <c r="H666" s="37" t="s">
        <v>10</v>
      </c>
    </row>
    <row r="667" spans="1:8" x14ac:dyDescent="0.25">
      <c r="A667" s="31">
        <v>44627</v>
      </c>
      <c r="B667" s="37" t="s">
        <v>7674</v>
      </c>
      <c r="C667" s="51" t="s">
        <v>27</v>
      </c>
      <c r="D667" s="52">
        <v>3492.5</v>
      </c>
      <c r="E667" s="35">
        <v>44627</v>
      </c>
      <c r="F667" s="52">
        <v>3492.5</v>
      </c>
      <c r="G667" s="53">
        <f>Tabla14[[#This Row],[Importe]]-Tabla14[[#This Row],[Pagado]]</f>
        <v>0</v>
      </c>
      <c r="H667" s="37" t="s">
        <v>10</v>
      </c>
    </row>
    <row r="668" spans="1:8" x14ac:dyDescent="0.25">
      <c r="A668" s="31">
        <v>44627</v>
      </c>
      <c r="B668" s="37" t="s">
        <v>7675</v>
      </c>
      <c r="C668" s="51" t="s">
        <v>154</v>
      </c>
      <c r="D668" s="52">
        <v>22610.5</v>
      </c>
      <c r="E668" s="35">
        <v>44635</v>
      </c>
      <c r="F668" s="52">
        <v>22610.5</v>
      </c>
      <c r="G668" s="53">
        <f>Tabla14[[#This Row],[Importe]]-Tabla14[[#This Row],[Pagado]]</f>
        <v>0</v>
      </c>
      <c r="H668" s="37" t="s">
        <v>10</v>
      </c>
    </row>
    <row r="669" spans="1:8" x14ac:dyDescent="0.25">
      <c r="A669" s="31">
        <v>44627</v>
      </c>
      <c r="B669" s="37" t="s">
        <v>7676</v>
      </c>
      <c r="C669" s="51" t="s">
        <v>133</v>
      </c>
      <c r="D669" s="52">
        <v>8360</v>
      </c>
      <c r="E669" s="35">
        <v>44628</v>
      </c>
      <c r="F669" s="52">
        <v>8360</v>
      </c>
      <c r="G669" s="53">
        <f>Tabla14[[#This Row],[Importe]]-Tabla14[[#This Row],[Pagado]]</f>
        <v>0</v>
      </c>
      <c r="H669" s="37" t="s">
        <v>10</v>
      </c>
    </row>
    <row r="670" spans="1:8" x14ac:dyDescent="0.25">
      <c r="A670" s="31">
        <v>44627</v>
      </c>
      <c r="B670" s="37" t="s">
        <v>7677</v>
      </c>
      <c r="C670" s="51" t="s">
        <v>373</v>
      </c>
      <c r="D670" s="52">
        <v>1362.5</v>
      </c>
      <c r="E670" s="35">
        <v>44627</v>
      </c>
      <c r="F670" s="52">
        <v>1362.5</v>
      </c>
      <c r="G670" s="53">
        <f>Tabla14[[#This Row],[Importe]]-Tabla14[[#This Row],[Pagado]]</f>
        <v>0</v>
      </c>
      <c r="H670" s="37" t="s">
        <v>10</v>
      </c>
    </row>
    <row r="671" spans="1:8" x14ac:dyDescent="0.25">
      <c r="A671" s="31">
        <v>44627</v>
      </c>
      <c r="B671" s="37" t="s">
        <v>7678</v>
      </c>
      <c r="C671" s="51" t="s">
        <v>31</v>
      </c>
      <c r="D671" s="52">
        <v>1109.2</v>
      </c>
      <c r="E671" s="35">
        <v>44627</v>
      </c>
      <c r="F671" s="52">
        <v>1109.2</v>
      </c>
      <c r="G671" s="53">
        <f>Tabla14[[#This Row],[Importe]]-Tabla14[[#This Row],[Pagado]]</f>
        <v>0</v>
      </c>
      <c r="H671" s="37" t="s">
        <v>10</v>
      </c>
    </row>
    <row r="672" spans="1:8" x14ac:dyDescent="0.25">
      <c r="A672" s="31">
        <v>44627</v>
      </c>
      <c r="B672" s="37" t="s">
        <v>7679</v>
      </c>
      <c r="C672" s="51" t="s">
        <v>173</v>
      </c>
      <c r="D672" s="52">
        <v>25573.599999999999</v>
      </c>
      <c r="E672" s="35">
        <v>44628</v>
      </c>
      <c r="F672" s="52">
        <v>25573.599999999999</v>
      </c>
      <c r="G672" s="53">
        <f>Tabla14[[#This Row],[Importe]]-Tabla14[[#This Row],[Pagado]]</f>
        <v>0</v>
      </c>
      <c r="H672" s="37" t="s">
        <v>10</v>
      </c>
    </row>
    <row r="673" spans="1:8" x14ac:dyDescent="0.25">
      <c r="A673" s="31">
        <v>44627</v>
      </c>
      <c r="B673" s="37" t="s">
        <v>7680</v>
      </c>
      <c r="C673" s="51" t="s">
        <v>31</v>
      </c>
      <c r="D673" s="52">
        <v>4452</v>
      </c>
      <c r="E673" s="35">
        <v>44628</v>
      </c>
      <c r="F673" s="52">
        <v>4452</v>
      </c>
      <c r="G673" s="53">
        <f>Tabla14[[#This Row],[Importe]]-Tabla14[[#This Row],[Pagado]]</f>
        <v>0</v>
      </c>
      <c r="H673" s="37" t="s">
        <v>10</v>
      </c>
    </row>
    <row r="674" spans="1:8" x14ac:dyDescent="0.25">
      <c r="A674" s="31">
        <v>44627</v>
      </c>
      <c r="B674" s="37" t="s">
        <v>7681</v>
      </c>
      <c r="C674" s="51" t="s">
        <v>365</v>
      </c>
      <c r="D674" s="52">
        <v>771.4</v>
      </c>
      <c r="E674" s="35">
        <v>44627</v>
      </c>
      <c r="F674" s="52">
        <v>771.4</v>
      </c>
      <c r="G674" s="53">
        <f>Tabla14[[#This Row],[Importe]]-Tabla14[[#This Row],[Pagado]]</f>
        <v>0</v>
      </c>
      <c r="H674" s="37" t="s">
        <v>10</v>
      </c>
    </row>
    <row r="675" spans="1:8" x14ac:dyDescent="0.25">
      <c r="A675" s="31">
        <v>44627</v>
      </c>
      <c r="B675" s="37" t="s">
        <v>7682</v>
      </c>
      <c r="C675" s="51" t="s">
        <v>382</v>
      </c>
      <c r="D675" s="52">
        <v>7555</v>
      </c>
      <c r="E675" s="35">
        <v>44627</v>
      </c>
      <c r="F675" s="52">
        <v>7555</v>
      </c>
      <c r="G675" s="53">
        <f>Tabla14[[#This Row],[Importe]]-Tabla14[[#This Row],[Pagado]]</f>
        <v>0</v>
      </c>
      <c r="H675" s="37" t="s">
        <v>10</v>
      </c>
    </row>
    <row r="676" spans="1:8" x14ac:dyDescent="0.25">
      <c r="A676" s="31">
        <v>44627</v>
      </c>
      <c r="B676" s="37" t="s">
        <v>7683</v>
      </c>
      <c r="C676" s="51" t="s">
        <v>1421</v>
      </c>
      <c r="D676" s="52">
        <v>29034</v>
      </c>
      <c r="E676" s="35">
        <v>44627</v>
      </c>
      <c r="F676" s="52">
        <v>29034</v>
      </c>
      <c r="G676" s="53">
        <f>Tabla14[[#This Row],[Importe]]-Tabla14[[#This Row],[Pagado]]</f>
        <v>0</v>
      </c>
      <c r="H676" s="37" t="s">
        <v>10</v>
      </c>
    </row>
    <row r="677" spans="1:8" x14ac:dyDescent="0.25">
      <c r="A677" s="31">
        <v>44627</v>
      </c>
      <c r="B677" s="37" t="s">
        <v>7684</v>
      </c>
      <c r="C677" s="51" t="s">
        <v>1038</v>
      </c>
      <c r="D677" s="52">
        <v>6300.4</v>
      </c>
      <c r="E677" s="35">
        <v>44627</v>
      </c>
      <c r="F677" s="52">
        <v>6300.4</v>
      </c>
      <c r="G677" s="53">
        <f>Tabla14[[#This Row],[Importe]]-Tabla14[[#This Row],[Pagado]]</f>
        <v>0</v>
      </c>
      <c r="H677" s="37" t="s">
        <v>10</v>
      </c>
    </row>
    <row r="678" spans="1:8" x14ac:dyDescent="0.25">
      <c r="A678" s="31">
        <v>44627</v>
      </c>
      <c r="B678" s="37" t="s">
        <v>7685</v>
      </c>
      <c r="C678" s="51" t="s">
        <v>14</v>
      </c>
      <c r="D678" s="52">
        <v>10502.1</v>
      </c>
      <c r="E678" s="35">
        <v>44627</v>
      </c>
      <c r="F678" s="52">
        <v>10502.1</v>
      </c>
      <c r="G678" s="53">
        <f>Tabla14[[#This Row],[Importe]]-Tabla14[[#This Row],[Pagado]]</f>
        <v>0</v>
      </c>
      <c r="H678" s="37" t="s">
        <v>10</v>
      </c>
    </row>
    <row r="679" spans="1:8" x14ac:dyDescent="0.25">
      <c r="A679" s="31">
        <v>44627</v>
      </c>
      <c r="B679" s="37" t="s">
        <v>7686</v>
      </c>
      <c r="C679" s="51" t="s">
        <v>228</v>
      </c>
      <c r="D679" s="52">
        <v>4624.8</v>
      </c>
      <c r="E679" s="35">
        <v>44627</v>
      </c>
      <c r="F679" s="52">
        <v>4624.8</v>
      </c>
      <c r="G679" s="53">
        <f>Tabla14[[#This Row],[Importe]]-Tabla14[[#This Row],[Pagado]]</f>
        <v>0</v>
      </c>
      <c r="H679" s="37" t="s">
        <v>10</v>
      </c>
    </row>
    <row r="680" spans="1:8" x14ac:dyDescent="0.25">
      <c r="A680" s="31">
        <v>44627</v>
      </c>
      <c r="B680" s="37" t="s">
        <v>7687</v>
      </c>
      <c r="C680" s="51" t="s">
        <v>49</v>
      </c>
      <c r="D680" s="52">
        <v>3003.6</v>
      </c>
      <c r="E680" s="35">
        <v>44627</v>
      </c>
      <c r="F680" s="52">
        <v>3003.6</v>
      </c>
      <c r="G680" s="53">
        <f>Tabla14[[#This Row],[Importe]]-Tabla14[[#This Row],[Pagado]]</f>
        <v>0</v>
      </c>
      <c r="H680" s="37" t="s">
        <v>10</v>
      </c>
    </row>
    <row r="681" spans="1:8" x14ac:dyDescent="0.25">
      <c r="A681" s="31">
        <v>44627</v>
      </c>
      <c r="B681" s="37" t="s">
        <v>7688</v>
      </c>
      <c r="C681" s="51" t="s">
        <v>222</v>
      </c>
      <c r="D681" s="52">
        <v>9831.7999999999993</v>
      </c>
      <c r="E681" s="35">
        <v>44627</v>
      </c>
      <c r="F681" s="52">
        <v>9831.7999999999993</v>
      </c>
      <c r="G681" s="53">
        <f>Tabla14[[#This Row],[Importe]]-Tabla14[[#This Row],[Pagado]]</f>
        <v>0</v>
      </c>
      <c r="H681" s="37" t="s">
        <v>10</v>
      </c>
    </row>
    <row r="682" spans="1:8" x14ac:dyDescent="0.25">
      <c r="A682" s="31">
        <v>44627</v>
      </c>
      <c r="B682" s="37" t="s">
        <v>7689</v>
      </c>
      <c r="C682" s="51" t="s">
        <v>24</v>
      </c>
      <c r="D682" s="52">
        <v>662.2</v>
      </c>
      <c r="E682" s="35">
        <v>44627</v>
      </c>
      <c r="F682" s="52">
        <v>662.2</v>
      </c>
      <c r="G682" s="53">
        <f>Tabla14[[#This Row],[Importe]]-Tabla14[[#This Row],[Pagado]]</f>
        <v>0</v>
      </c>
      <c r="H682" s="37" t="s">
        <v>10</v>
      </c>
    </row>
    <row r="683" spans="1:8" x14ac:dyDescent="0.25">
      <c r="A683" s="31">
        <v>44627</v>
      </c>
      <c r="B683" s="37" t="s">
        <v>7690</v>
      </c>
      <c r="C683" s="51" t="s">
        <v>214</v>
      </c>
      <c r="D683" s="52">
        <v>22134</v>
      </c>
      <c r="E683" s="35">
        <v>44628</v>
      </c>
      <c r="F683" s="52">
        <v>22134</v>
      </c>
      <c r="G683" s="53">
        <f>Tabla14[[#This Row],[Importe]]-Tabla14[[#This Row],[Pagado]]</f>
        <v>0</v>
      </c>
      <c r="H683" s="37" t="s">
        <v>10</v>
      </c>
    </row>
    <row r="684" spans="1:8" x14ac:dyDescent="0.25">
      <c r="A684" s="31">
        <v>44627</v>
      </c>
      <c r="B684" s="37" t="s">
        <v>7691</v>
      </c>
      <c r="C684" s="51" t="s">
        <v>840</v>
      </c>
      <c r="D684" s="52">
        <v>3287.3</v>
      </c>
      <c r="E684" s="35">
        <v>44627</v>
      </c>
      <c r="F684" s="52">
        <v>3287.3</v>
      </c>
      <c r="G684" s="53">
        <f>Tabla14[[#This Row],[Importe]]-Tabla14[[#This Row],[Pagado]]</f>
        <v>0</v>
      </c>
      <c r="H684" s="37" t="s">
        <v>10</v>
      </c>
    </row>
    <row r="685" spans="1:8" x14ac:dyDescent="0.25">
      <c r="A685" s="31">
        <v>44627</v>
      </c>
      <c r="B685" s="37" t="s">
        <v>7692</v>
      </c>
      <c r="C685" s="51" t="s">
        <v>804</v>
      </c>
      <c r="D685" s="52">
        <v>15245.8</v>
      </c>
      <c r="E685" s="35">
        <v>44627</v>
      </c>
      <c r="F685" s="52">
        <v>15245.8</v>
      </c>
      <c r="G685" s="53">
        <f>Tabla14[[#This Row],[Importe]]-Tabla14[[#This Row],[Pagado]]</f>
        <v>0</v>
      </c>
      <c r="H685" s="37" t="s">
        <v>10</v>
      </c>
    </row>
    <row r="686" spans="1:8" x14ac:dyDescent="0.25">
      <c r="A686" s="31">
        <v>44627</v>
      </c>
      <c r="B686" s="37" t="s">
        <v>7693</v>
      </c>
      <c r="C686" s="51" t="s">
        <v>142</v>
      </c>
      <c r="D686" s="52">
        <v>44449.599999999999</v>
      </c>
      <c r="E686" s="35" t="s">
        <v>7024</v>
      </c>
      <c r="F686" s="52">
        <v>44449.599999999999</v>
      </c>
      <c r="G686" s="53">
        <f>Tabla14[[#This Row],[Importe]]-Tabla14[[#This Row],[Pagado]]</f>
        <v>0</v>
      </c>
      <c r="H686" s="37" t="s">
        <v>10</v>
      </c>
    </row>
    <row r="687" spans="1:8" x14ac:dyDescent="0.25">
      <c r="A687" s="31">
        <v>44627</v>
      </c>
      <c r="B687" s="37" t="s">
        <v>7694</v>
      </c>
      <c r="C687" s="51" t="s">
        <v>45</v>
      </c>
      <c r="D687" s="52">
        <v>10311.200000000001</v>
      </c>
      <c r="E687" s="35">
        <v>44627</v>
      </c>
      <c r="F687" s="52">
        <v>10311.200000000001</v>
      </c>
      <c r="G687" s="53">
        <f>Tabla14[[#This Row],[Importe]]-Tabla14[[#This Row],[Pagado]]</f>
        <v>0</v>
      </c>
      <c r="H687" s="37" t="s">
        <v>10</v>
      </c>
    </row>
    <row r="688" spans="1:8" x14ac:dyDescent="0.25">
      <c r="A688" s="31">
        <v>44627</v>
      </c>
      <c r="B688" s="37" t="s">
        <v>7695</v>
      </c>
      <c r="C688" s="51" t="s">
        <v>368</v>
      </c>
      <c r="D688" s="52">
        <v>4928</v>
      </c>
      <c r="E688" s="35">
        <v>44628</v>
      </c>
      <c r="F688" s="52">
        <v>4928</v>
      </c>
      <c r="G688" s="53">
        <f>Tabla14[[#This Row],[Importe]]-Tabla14[[#This Row],[Pagado]]</f>
        <v>0</v>
      </c>
      <c r="H688" s="37" t="s">
        <v>10</v>
      </c>
    </row>
    <row r="689" spans="1:8" x14ac:dyDescent="0.25">
      <c r="A689" s="31">
        <v>44627</v>
      </c>
      <c r="B689" s="37" t="s">
        <v>7696</v>
      </c>
      <c r="C689" s="51" t="s">
        <v>5345</v>
      </c>
      <c r="D689" s="52">
        <v>1683</v>
      </c>
      <c r="E689" s="35">
        <v>44628</v>
      </c>
      <c r="F689" s="52">
        <v>1683</v>
      </c>
      <c r="G689" s="53">
        <f>Tabla14[[#This Row],[Importe]]-Tabla14[[#This Row],[Pagado]]</f>
        <v>0</v>
      </c>
      <c r="H689" s="37" t="s">
        <v>10</v>
      </c>
    </row>
    <row r="690" spans="1:8" x14ac:dyDescent="0.25">
      <c r="A690" s="31">
        <v>44627</v>
      </c>
      <c r="B690" s="37" t="s">
        <v>7697</v>
      </c>
      <c r="C690" s="51" t="s">
        <v>280</v>
      </c>
      <c r="D690" s="52">
        <v>566.5</v>
      </c>
      <c r="E690" s="35">
        <v>44628</v>
      </c>
      <c r="F690" s="52">
        <v>566.5</v>
      </c>
      <c r="G690" s="53">
        <f>Tabla14[[#This Row],[Importe]]-Tabla14[[#This Row],[Pagado]]</f>
        <v>0</v>
      </c>
      <c r="H690" s="37" t="s">
        <v>10</v>
      </c>
    </row>
    <row r="691" spans="1:8" x14ac:dyDescent="0.25">
      <c r="A691" s="31">
        <v>44627</v>
      </c>
      <c r="B691" s="37" t="s">
        <v>7698</v>
      </c>
      <c r="C691" s="51" t="s">
        <v>282</v>
      </c>
      <c r="D691" s="52">
        <v>2282.5</v>
      </c>
      <c r="E691" s="35">
        <v>44628</v>
      </c>
      <c r="F691" s="52">
        <v>2282.5</v>
      </c>
      <c r="G691" s="53">
        <f>Tabla14[[#This Row],[Importe]]-Tabla14[[#This Row],[Pagado]]</f>
        <v>0</v>
      </c>
      <c r="H691" s="37" t="s">
        <v>10</v>
      </c>
    </row>
    <row r="692" spans="1:8" x14ac:dyDescent="0.25">
      <c r="A692" s="31">
        <v>44627</v>
      </c>
      <c r="B692" s="37" t="s">
        <v>7699</v>
      </c>
      <c r="C692" s="51" t="s">
        <v>200</v>
      </c>
      <c r="D692" s="52">
        <v>544.5</v>
      </c>
      <c r="E692" s="35">
        <v>44628</v>
      </c>
      <c r="F692" s="52">
        <v>544.5</v>
      </c>
      <c r="G692" s="53">
        <f>Tabla14[[#This Row],[Importe]]-Tabla14[[#This Row],[Pagado]]</f>
        <v>0</v>
      </c>
      <c r="H692" s="37" t="s">
        <v>10</v>
      </c>
    </row>
    <row r="693" spans="1:8" x14ac:dyDescent="0.25">
      <c r="A693" s="31">
        <v>44627</v>
      </c>
      <c r="B693" s="37" t="s">
        <v>7700</v>
      </c>
      <c r="C693" s="51" t="s">
        <v>284</v>
      </c>
      <c r="D693" s="52">
        <v>4691.5</v>
      </c>
      <c r="E693" s="35">
        <v>44628</v>
      </c>
      <c r="F693" s="52">
        <v>4691.5</v>
      </c>
      <c r="G693" s="53">
        <f>Tabla14[[#This Row],[Importe]]-Tabla14[[#This Row],[Pagado]]</f>
        <v>0</v>
      </c>
      <c r="H693" s="37" t="s">
        <v>10</v>
      </c>
    </row>
    <row r="694" spans="1:8" x14ac:dyDescent="0.25">
      <c r="A694" s="31">
        <v>44627</v>
      </c>
      <c r="B694" s="37" t="s">
        <v>7701</v>
      </c>
      <c r="C694" s="51" t="s">
        <v>175</v>
      </c>
      <c r="D694" s="52">
        <v>10673.9</v>
      </c>
      <c r="E694" s="35">
        <v>44628</v>
      </c>
      <c r="F694" s="52">
        <v>10673.9</v>
      </c>
      <c r="G694" s="53">
        <f>Tabla14[[#This Row],[Importe]]-Tabla14[[#This Row],[Pagado]]</f>
        <v>0</v>
      </c>
      <c r="H694" s="37" t="s">
        <v>10</v>
      </c>
    </row>
    <row r="695" spans="1:8" x14ac:dyDescent="0.25">
      <c r="A695" s="31">
        <v>44627</v>
      </c>
      <c r="B695" s="37" t="s">
        <v>7702</v>
      </c>
      <c r="C695" s="51" t="s">
        <v>31</v>
      </c>
      <c r="D695" s="52">
        <v>17017</v>
      </c>
      <c r="E695" s="35">
        <v>44627</v>
      </c>
      <c r="F695" s="52">
        <v>17017</v>
      </c>
      <c r="G695" s="53">
        <f>Tabla14[[#This Row],[Importe]]-Tabla14[[#This Row],[Pagado]]</f>
        <v>0</v>
      </c>
      <c r="H695" s="37" t="s">
        <v>10</v>
      </c>
    </row>
    <row r="696" spans="1:8" x14ac:dyDescent="0.25">
      <c r="A696" s="31">
        <v>44627</v>
      </c>
      <c r="B696" s="37" t="s">
        <v>7703</v>
      </c>
      <c r="C696" s="51" t="s">
        <v>426</v>
      </c>
      <c r="D696" s="52">
        <v>3703</v>
      </c>
      <c r="E696" s="35">
        <v>44628</v>
      </c>
      <c r="F696" s="52">
        <v>3703</v>
      </c>
      <c r="G696" s="53">
        <f>Tabla14[[#This Row],[Importe]]-Tabla14[[#This Row],[Pagado]]</f>
        <v>0</v>
      </c>
      <c r="H696" s="37" t="s">
        <v>10</v>
      </c>
    </row>
    <row r="697" spans="1:8" x14ac:dyDescent="0.25">
      <c r="A697" s="31">
        <v>44627</v>
      </c>
      <c r="B697" s="37" t="s">
        <v>7704</v>
      </c>
      <c r="C697" s="51" t="s">
        <v>181</v>
      </c>
      <c r="D697" s="52">
        <v>9525.2000000000007</v>
      </c>
      <c r="E697" s="35">
        <v>44628</v>
      </c>
      <c r="F697" s="52">
        <v>9525.2000000000007</v>
      </c>
      <c r="G697" s="53">
        <f>Tabla14[[#This Row],[Importe]]-Tabla14[[#This Row],[Pagado]]</f>
        <v>0</v>
      </c>
      <c r="H697" s="37" t="s">
        <v>10</v>
      </c>
    </row>
    <row r="698" spans="1:8" x14ac:dyDescent="0.25">
      <c r="A698" s="31">
        <v>44627</v>
      </c>
      <c r="B698" s="37" t="s">
        <v>7705</v>
      </c>
      <c r="C698" s="51" t="s">
        <v>198</v>
      </c>
      <c r="D698" s="52">
        <v>1430.6</v>
      </c>
      <c r="E698" s="35">
        <v>44628</v>
      </c>
      <c r="F698" s="52">
        <v>1430.6</v>
      </c>
      <c r="G698" s="53">
        <f>Tabla14[[#This Row],[Importe]]-Tabla14[[#This Row],[Pagado]]</f>
        <v>0</v>
      </c>
      <c r="H698" s="37" t="s">
        <v>10</v>
      </c>
    </row>
    <row r="699" spans="1:8" x14ac:dyDescent="0.25">
      <c r="A699" s="31">
        <v>44627</v>
      </c>
      <c r="B699" s="37" t="s">
        <v>7706</v>
      </c>
      <c r="C699" s="51" t="s">
        <v>230</v>
      </c>
      <c r="D699" s="52">
        <v>3606.4</v>
      </c>
      <c r="E699" s="35">
        <v>44627</v>
      </c>
      <c r="F699" s="52">
        <v>3606.4</v>
      </c>
      <c r="G699" s="53">
        <f>Tabla14[[#This Row],[Importe]]-Tabla14[[#This Row],[Pagado]]</f>
        <v>0</v>
      </c>
      <c r="H699" s="37" t="s">
        <v>10</v>
      </c>
    </row>
    <row r="700" spans="1:8" x14ac:dyDescent="0.25">
      <c r="A700" s="31">
        <v>44627</v>
      </c>
      <c r="B700" s="37" t="s">
        <v>7707</v>
      </c>
      <c r="C700" s="51" t="s">
        <v>312</v>
      </c>
      <c r="D700" s="52">
        <v>3500</v>
      </c>
      <c r="E700" s="35">
        <v>44628</v>
      </c>
      <c r="F700" s="52">
        <v>3500</v>
      </c>
      <c r="G700" s="53">
        <f>Tabla14[[#This Row],[Importe]]-Tabla14[[#This Row],[Pagado]]</f>
        <v>0</v>
      </c>
      <c r="H700" s="37" t="s">
        <v>10</v>
      </c>
    </row>
    <row r="701" spans="1:8" x14ac:dyDescent="0.25">
      <c r="A701" s="31">
        <v>44627</v>
      </c>
      <c r="B701" s="37" t="s">
        <v>7708</v>
      </c>
      <c r="C701" s="51" t="s">
        <v>216</v>
      </c>
      <c r="D701" s="52">
        <v>1886.5</v>
      </c>
      <c r="E701" s="35">
        <v>44627</v>
      </c>
      <c r="F701" s="52">
        <v>1886.5</v>
      </c>
      <c r="G701" s="53">
        <f>Tabla14[[#This Row],[Importe]]-Tabla14[[#This Row],[Pagado]]</f>
        <v>0</v>
      </c>
      <c r="H701" s="37" t="s">
        <v>10</v>
      </c>
    </row>
    <row r="702" spans="1:8" x14ac:dyDescent="0.25">
      <c r="A702" s="31">
        <v>44627</v>
      </c>
      <c r="B702" s="37" t="s">
        <v>7709</v>
      </c>
      <c r="C702" s="51" t="s">
        <v>142</v>
      </c>
      <c r="D702" s="52">
        <v>848.4</v>
      </c>
      <c r="E702" s="35" t="s">
        <v>7024</v>
      </c>
      <c r="F702" s="52">
        <v>848.4</v>
      </c>
      <c r="G702" s="53">
        <f>Tabla14[[#This Row],[Importe]]-Tabla14[[#This Row],[Pagado]]</f>
        <v>0</v>
      </c>
      <c r="H702" s="37" t="s">
        <v>10</v>
      </c>
    </row>
    <row r="703" spans="1:8" x14ac:dyDescent="0.25">
      <c r="A703" s="31">
        <v>44627</v>
      </c>
      <c r="B703" s="37" t="s">
        <v>7710</v>
      </c>
      <c r="C703" s="51" t="s">
        <v>179</v>
      </c>
      <c r="D703" s="52">
        <v>973.5</v>
      </c>
      <c r="E703" s="35">
        <v>44627</v>
      </c>
      <c r="F703" s="52">
        <v>973.5</v>
      </c>
      <c r="G703" s="53">
        <f>Tabla14[[#This Row],[Importe]]-Tabla14[[#This Row],[Pagado]]</f>
        <v>0</v>
      </c>
      <c r="H703" s="37" t="s">
        <v>10</v>
      </c>
    </row>
    <row r="704" spans="1:8" ht="31.5" x14ac:dyDescent="0.25">
      <c r="A704" s="31">
        <v>44627</v>
      </c>
      <c r="B704" s="37" t="s">
        <v>7711</v>
      </c>
      <c r="C704" s="55" t="s">
        <v>7712</v>
      </c>
      <c r="D704" s="52">
        <v>0</v>
      </c>
      <c r="E704" s="39" t="s">
        <v>189</v>
      </c>
      <c r="F704" s="52">
        <v>0</v>
      </c>
      <c r="G704" s="53">
        <f>Tabla14[[#This Row],[Importe]]-Tabla14[[#This Row],[Pagado]]</f>
        <v>0</v>
      </c>
      <c r="H704" s="37" t="s">
        <v>189</v>
      </c>
    </row>
    <row r="705" spans="1:8" x14ac:dyDescent="0.25">
      <c r="A705" s="31">
        <v>44627</v>
      </c>
      <c r="B705" s="37" t="s">
        <v>7713</v>
      </c>
      <c r="C705" s="51" t="s">
        <v>31</v>
      </c>
      <c r="D705" s="52">
        <v>92</v>
      </c>
      <c r="E705" s="35">
        <v>44627</v>
      </c>
      <c r="F705" s="52">
        <v>92</v>
      </c>
      <c r="G705" s="53">
        <f>Tabla14[[#This Row],[Importe]]-Tabla14[[#This Row],[Pagado]]</f>
        <v>0</v>
      </c>
      <c r="H705" s="37" t="s">
        <v>10</v>
      </c>
    </row>
    <row r="706" spans="1:8" x14ac:dyDescent="0.25">
      <c r="A706" s="31">
        <v>44627</v>
      </c>
      <c r="B706" s="37" t="s">
        <v>7714</v>
      </c>
      <c r="C706" s="51" t="s">
        <v>419</v>
      </c>
      <c r="D706" s="52">
        <v>7803.4</v>
      </c>
      <c r="E706" s="35">
        <v>44627</v>
      </c>
      <c r="F706" s="52">
        <v>7803.4</v>
      </c>
      <c r="G706" s="53">
        <f>Tabla14[[#This Row],[Importe]]-Tabla14[[#This Row],[Pagado]]</f>
        <v>0</v>
      </c>
      <c r="H706" s="37" t="s">
        <v>10</v>
      </c>
    </row>
    <row r="707" spans="1:8" x14ac:dyDescent="0.25">
      <c r="A707" s="31">
        <v>44627</v>
      </c>
      <c r="B707" s="37" t="s">
        <v>7715</v>
      </c>
      <c r="C707" s="51" t="s">
        <v>58</v>
      </c>
      <c r="D707" s="52">
        <v>5205.2</v>
      </c>
      <c r="E707" s="35">
        <v>44627</v>
      </c>
      <c r="F707" s="52">
        <v>5205.2</v>
      </c>
      <c r="G707" s="53">
        <f>Tabla14[[#This Row],[Importe]]-Tabla14[[#This Row],[Pagado]]</f>
        <v>0</v>
      </c>
      <c r="H707" s="37" t="s">
        <v>10</v>
      </c>
    </row>
    <row r="708" spans="1:8" x14ac:dyDescent="0.25">
      <c r="A708" s="31">
        <v>44627</v>
      </c>
      <c r="B708" s="37" t="s">
        <v>7716</v>
      </c>
      <c r="C708" s="51" t="s">
        <v>414</v>
      </c>
      <c r="D708" s="52">
        <v>11742.5</v>
      </c>
      <c r="E708" s="35">
        <v>44627</v>
      </c>
      <c r="F708" s="52">
        <v>11742.5</v>
      </c>
      <c r="G708" s="53">
        <f>Tabla14[[#This Row],[Importe]]-Tabla14[[#This Row],[Pagado]]</f>
        <v>0</v>
      </c>
      <c r="H708" s="37" t="s">
        <v>10</v>
      </c>
    </row>
    <row r="709" spans="1:8" x14ac:dyDescent="0.25">
      <c r="A709" s="31">
        <v>44627</v>
      </c>
      <c r="B709" s="37" t="s">
        <v>7717</v>
      </c>
      <c r="C709" s="51" t="s">
        <v>1265</v>
      </c>
      <c r="D709" s="52">
        <v>460</v>
      </c>
      <c r="E709" s="35">
        <v>44627</v>
      </c>
      <c r="F709" s="52">
        <v>460</v>
      </c>
      <c r="G709" s="53">
        <f>Tabla14[[#This Row],[Importe]]-Tabla14[[#This Row],[Pagado]]</f>
        <v>0</v>
      </c>
      <c r="H709" s="37" t="s">
        <v>10</v>
      </c>
    </row>
    <row r="710" spans="1:8" x14ac:dyDescent="0.25">
      <c r="A710" s="31">
        <v>44627</v>
      </c>
      <c r="B710" s="37" t="s">
        <v>7718</v>
      </c>
      <c r="C710" s="51" t="s">
        <v>240</v>
      </c>
      <c r="D710" s="52">
        <v>9825.2000000000007</v>
      </c>
      <c r="E710" s="35">
        <v>44627</v>
      </c>
      <c r="F710" s="52">
        <v>9825.2000000000007</v>
      </c>
      <c r="G710" s="53">
        <f>Tabla14[[#This Row],[Importe]]-Tabla14[[#This Row],[Pagado]]</f>
        <v>0</v>
      </c>
      <c r="H710" s="37" t="s">
        <v>10</v>
      </c>
    </row>
    <row r="711" spans="1:8" x14ac:dyDescent="0.25">
      <c r="A711" s="31">
        <v>44627</v>
      </c>
      <c r="B711" s="37" t="s">
        <v>7719</v>
      </c>
      <c r="C711" s="51" t="s">
        <v>6528</v>
      </c>
      <c r="D711" s="52">
        <v>78000</v>
      </c>
      <c r="E711" s="35">
        <v>44627</v>
      </c>
      <c r="F711" s="52">
        <v>78000</v>
      </c>
      <c r="G711" s="53">
        <f>Tabla14[[#This Row],[Importe]]-Tabla14[[#This Row],[Pagado]]</f>
        <v>0</v>
      </c>
      <c r="H711" s="37" t="s">
        <v>10</v>
      </c>
    </row>
    <row r="712" spans="1:8" x14ac:dyDescent="0.25">
      <c r="A712" s="31">
        <v>44627</v>
      </c>
      <c r="B712" s="37" t="s">
        <v>7720</v>
      </c>
      <c r="C712" s="51" t="s">
        <v>442</v>
      </c>
      <c r="D712" s="52">
        <v>13000</v>
      </c>
      <c r="E712" s="35">
        <v>44627</v>
      </c>
      <c r="F712" s="52">
        <v>13000</v>
      </c>
      <c r="G712" s="53">
        <f>Tabla14[[#This Row],[Importe]]-Tabla14[[#This Row],[Pagado]]</f>
        <v>0</v>
      </c>
      <c r="H712" s="37" t="s">
        <v>10</v>
      </c>
    </row>
    <row r="713" spans="1:8" ht="31.5" x14ac:dyDescent="0.25">
      <c r="A713" s="31">
        <v>44627</v>
      </c>
      <c r="B713" s="37" t="s">
        <v>7721</v>
      </c>
      <c r="C713" s="51" t="s">
        <v>475</v>
      </c>
      <c r="D713" s="52">
        <v>39797.800000000003</v>
      </c>
      <c r="E713" s="35" t="s">
        <v>7722</v>
      </c>
      <c r="F713" s="52">
        <f>13700+26097.8</f>
        <v>39797.800000000003</v>
      </c>
      <c r="G713" s="53">
        <f>Tabla14[[#This Row],[Importe]]-Tabla14[[#This Row],[Pagado]]</f>
        <v>0</v>
      </c>
      <c r="H713" s="37" t="s">
        <v>10</v>
      </c>
    </row>
    <row r="714" spans="1:8" x14ac:dyDescent="0.25">
      <c r="A714" s="31">
        <v>44627</v>
      </c>
      <c r="B714" s="37" t="s">
        <v>7723</v>
      </c>
      <c r="C714" s="51" t="s">
        <v>442</v>
      </c>
      <c r="D714" s="52">
        <v>88.4</v>
      </c>
      <c r="E714" s="35">
        <v>44627</v>
      </c>
      <c r="F714" s="52">
        <v>88.4</v>
      </c>
      <c r="G714" s="53">
        <f>Tabla14[[#This Row],[Importe]]-Tabla14[[#This Row],[Pagado]]</f>
        <v>0</v>
      </c>
      <c r="H714" s="37" t="s">
        <v>10</v>
      </c>
    </row>
    <row r="715" spans="1:8" x14ac:dyDescent="0.25">
      <c r="A715" s="31">
        <v>44627</v>
      </c>
      <c r="B715" s="37" t="s">
        <v>7724</v>
      </c>
      <c r="C715" s="51" t="s">
        <v>249</v>
      </c>
      <c r="D715" s="52">
        <v>2664.4</v>
      </c>
      <c r="E715" s="35">
        <v>44627</v>
      </c>
      <c r="F715" s="52">
        <v>2664.4</v>
      </c>
      <c r="G715" s="53">
        <f>Tabla14[[#This Row],[Importe]]-Tabla14[[#This Row],[Pagado]]</f>
        <v>0</v>
      </c>
      <c r="H715" s="37" t="s">
        <v>10</v>
      </c>
    </row>
    <row r="716" spans="1:8" x14ac:dyDescent="0.25">
      <c r="A716" s="31">
        <v>44627</v>
      </c>
      <c r="B716" s="37" t="s">
        <v>7725</v>
      </c>
      <c r="C716" s="51" t="s">
        <v>373</v>
      </c>
      <c r="D716" s="52">
        <v>473</v>
      </c>
      <c r="E716" s="35">
        <v>44627</v>
      </c>
      <c r="F716" s="52">
        <v>473</v>
      </c>
      <c r="G716" s="53">
        <f>Tabla14[[#This Row],[Importe]]-Tabla14[[#This Row],[Pagado]]</f>
        <v>0</v>
      </c>
      <c r="H716" s="37" t="s">
        <v>10</v>
      </c>
    </row>
    <row r="717" spans="1:8" x14ac:dyDescent="0.25">
      <c r="A717" s="31">
        <v>44627</v>
      </c>
      <c r="B717" s="37" t="s">
        <v>7726</v>
      </c>
      <c r="C717" s="51" t="s">
        <v>2961</v>
      </c>
      <c r="D717" s="52">
        <v>53550</v>
      </c>
      <c r="E717" s="35">
        <v>44634</v>
      </c>
      <c r="F717" s="52">
        <v>53550</v>
      </c>
      <c r="G717" s="53">
        <f>Tabla14[[#This Row],[Importe]]-Tabla14[[#This Row],[Pagado]]</f>
        <v>0</v>
      </c>
      <c r="H717" s="37" t="s">
        <v>10</v>
      </c>
    </row>
    <row r="718" spans="1:8" x14ac:dyDescent="0.25">
      <c r="A718" s="31">
        <v>44627</v>
      </c>
      <c r="B718" s="37" t="s">
        <v>7727</v>
      </c>
      <c r="C718" s="51" t="s">
        <v>698</v>
      </c>
      <c r="D718" s="52">
        <v>5745.6</v>
      </c>
      <c r="E718" s="35">
        <v>44627</v>
      </c>
      <c r="F718" s="52">
        <v>5745.6</v>
      </c>
      <c r="G718" s="53">
        <f>Tabla14[[#This Row],[Importe]]-Tabla14[[#This Row],[Pagado]]</f>
        <v>0</v>
      </c>
      <c r="H718" s="37" t="s">
        <v>10</v>
      </c>
    </row>
    <row r="719" spans="1:8" x14ac:dyDescent="0.25">
      <c r="A719" s="31">
        <v>44627</v>
      </c>
      <c r="B719" s="37" t="s">
        <v>7728</v>
      </c>
      <c r="C719" s="51" t="s">
        <v>857</v>
      </c>
      <c r="D719" s="52">
        <v>1246.5</v>
      </c>
      <c r="E719" s="35">
        <v>44627</v>
      </c>
      <c r="F719" s="52">
        <v>1246.5</v>
      </c>
      <c r="G719" s="53">
        <f>Tabla14[[#This Row],[Importe]]-Tabla14[[#This Row],[Pagado]]</f>
        <v>0</v>
      </c>
      <c r="H719" s="37" t="s">
        <v>10</v>
      </c>
    </row>
    <row r="720" spans="1:8" x14ac:dyDescent="0.25">
      <c r="A720" s="31">
        <v>44627</v>
      </c>
      <c r="B720" s="37" t="s">
        <v>7729</v>
      </c>
      <c r="C720" s="51" t="s">
        <v>107</v>
      </c>
      <c r="D720" s="52">
        <v>11020.1</v>
      </c>
      <c r="E720" s="35">
        <v>44627</v>
      </c>
      <c r="F720" s="52">
        <v>11020.1</v>
      </c>
      <c r="G720" s="53">
        <f>Tabla14[[#This Row],[Importe]]-Tabla14[[#This Row],[Pagado]]</f>
        <v>0</v>
      </c>
      <c r="H720" s="37" t="s">
        <v>10</v>
      </c>
    </row>
    <row r="721" spans="1:8" x14ac:dyDescent="0.25">
      <c r="A721" s="31">
        <v>44627</v>
      </c>
      <c r="B721" s="37" t="s">
        <v>7730</v>
      </c>
      <c r="C721" s="51" t="s">
        <v>843</v>
      </c>
      <c r="D721" s="52">
        <v>28551.200000000001</v>
      </c>
      <c r="E721" s="35">
        <v>44627</v>
      </c>
      <c r="F721" s="52">
        <v>28551.200000000001</v>
      </c>
      <c r="G721" s="53">
        <f>Tabla14[[#This Row],[Importe]]-Tabla14[[#This Row],[Pagado]]</f>
        <v>0</v>
      </c>
      <c r="H721" s="37" t="s">
        <v>10</v>
      </c>
    </row>
    <row r="722" spans="1:8" x14ac:dyDescent="0.25">
      <c r="A722" s="31">
        <v>44627</v>
      </c>
      <c r="B722" s="37" t="s">
        <v>7731</v>
      </c>
      <c r="C722" s="51" t="s">
        <v>414</v>
      </c>
      <c r="D722" s="52">
        <v>26743</v>
      </c>
      <c r="E722" s="35">
        <v>44627</v>
      </c>
      <c r="F722" s="52">
        <v>26743</v>
      </c>
      <c r="G722" s="53">
        <f>Tabla14[[#This Row],[Importe]]-Tabla14[[#This Row],[Pagado]]</f>
        <v>0</v>
      </c>
      <c r="H722" s="37" t="s">
        <v>10</v>
      </c>
    </row>
    <row r="723" spans="1:8" x14ac:dyDescent="0.25">
      <c r="A723" s="31">
        <v>44627</v>
      </c>
      <c r="B723" s="37" t="s">
        <v>7732</v>
      </c>
      <c r="C723" s="51" t="s">
        <v>16</v>
      </c>
      <c r="D723" s="52">
        <v>520.79999999999995</v>
      </c>
      <c r="E723" s="35">
        <v>44627</v>
      </c>
      <c r="F723" s="52">
        <v>520.79999999999995</v>
      </c>
      <c r="G723" s="53">
        <f>Tabla14[[#This Row],[Importe]]-Tabla14[[#This Row],[Pagado]]</f>
        <v>0</v>
      </c>
      <c r="H723" s="37" t="s">
        <v>10</v>
      </c>
    </row>
    <row r="724" spans="1:8" ht="31.5" x14ac:dyDescent="0.25">
      <c r="A724" s="31">
        <v>44627</v>
      </c>
      <c r="B724" s="37" t="s">
        <v>7733</v>
      </c>
      <c r="C724" s="51" t="s">
        <v>275</v>
      </c>
      <c r="D724" s="52">
        <v>69271.8</v>
      </c>
      <c r="E724" s="35" t="s">
        <v>7734</v>
      </c>
      <c r="F724" s="52">
        <f>64368.51+4903.29</f>
        <v>69271.8</v>
      </c>
      <c r="G724" s="53">
        <f>Tabla14[[#This Row],[Importe]]-Tabla14[[#This Row],[Pagado]]</f>
        <v>0</v>
      </c>
      <c r="H724" s="37" t="s">
        <v>10</v>
      </c>
    </row>
    <row r="725" spans="1:8" x14ac:dyDescent="0.25">
      <c r="A725" s="31">
        <v>44627</v>
      </c>
      <c r="B725" s="37" t="s">
        <v>7735</v>
      </c>
      <c r="C725" s="51" t="s">
        <v>214</v>
      </c>
      <c r="D725" s="52">
        <v>1320</v>
      </c>
      <c r="E725" s="35">
        <v>44627</v>
      </c>
      <c r="F725" s="52">
        <v>1320</v>
      </c>
      <c r="G725" s="53">
        <f>Tabla14[[#This Row],[Importe]]-Tabla14[[#This Row],[Pagado]]</f>
        <v>0</v>
      </c>
      <c r="H725" s="37" t="s">
        <v>10</v>
      </c>
    </row>
    <row r="726" spans="1:8" x14ac:dyDescent="0.25">
      <c r="A726" s="31">
        <v>44627</v>
      </c>
      <c r="B726" s="37" t="s">
        <v>7736</v>
      </c>
      <c r="C726" s="51" t="s">
        <v>71</v>
      </c>
      <c r="D726" s="52">
        <v>3166.8</v>
      </c>
      <c r="E726" s="35">
        <v>44627</v>
      </c>
      <c r="F726" s="52">
        <v>3166.8</v>
      </c>
      <c r="G726" s="53">
        <f>Tabla14[[#This Row],[Importe]]-Tabla14[[#This Row],[Pagado]]</f>
        <v>0</v>
      </c>
      <c r="H726" s="37" t="s">
        <v>10</v>
      </c>
    </row>
    <row r="727" spans="1:8" x14ac:dyDescent="0.25">
      <c r="A727" s="31">
        <v>44627</v>
      </c>
      <c r="B727" s="37" t="s">
        <v>7737</v>
      </c>
      <c r="C727" s="51" t="s">
        <v>135</v>
      </c>
      <c r="D727" s="52">
        <v>2323.4</v>
      </c>
      <c r="E727" s="35">
        <v>44627</v>
      </c>
      <c r="F727" s="52">
        <v>2323.4</v>
      </c>
      <c r="G727" s="53">
        <f>Tabla14[[#This Row],[Importe]]-Tabla14[[#This Row],[Pagado]]</f>
        <v>0</v>
      </c>
      <c r="H727" s="37" t="s">
        <v>10</v>
      </c>
    </row>
    <row r="728" spans="1:8" x14ac:dyDescent="0.25">
      <c r="A728" s="31">
        <v>44627</v>
      </c>
      <c r="B728" s="37" t="s">
        <v>7738</v>
      </c>
      <c r="C728" s="51" t="s">
        <v>246</v>
      </c>
      <c r="D728" s="52">
        <v>3953.3</v>
      </c>
      <c r="E728" s="35">
        <v>44627</v>
      </c>
      <c r="F728" s="52">
        <v>3953.3</v>
      </c>
      <c r="G728" s="53">
        <f>Tabla14[[#This Row],[Importe]]-Tabla14[[#This Row],[Pagado]]</f>
        <v>0</v>
      </c>
      <c r="H728" s="37" t="s">
        <v>10</v>
      </c>
    </row>
    <row r="729" spans="1:8" x14ac:dyDescent="0.25">
      <c r="A729" s="31">
        <v>44627</v>
      </c>
      <c r="B729" s="37" t="s">
        <v>7739</v>
      </c>
      <c r="C729" s="51" t="s">
        <v>53</v>
      </c>
      <c r="D729" s="52">
        <v>2016.4</v>
      </c>
      <c r="E729" s="35">
        <v>44627</v>
      </c>
      <c r="F729" s="52">
        <v>2016.4</v>
      </c>
      <c r="G729" s="53">
        <f>Tabla14[[#This Row],[Importe]]-Tabla14[[#This Row],[Pagado]]</f>
        <v>0</v>
      </c>
      <c r="H729" s="37" t="s">
        <v>10</v>
      </c>
    </row>
    <row r="730" spans="1:8" x14ac:dyDescent="0.25">
      <c r="A730" s="31">
        <v>44627</v>
      </c>
      <c r="B730" s="37" t="s">
        <v>7740</v>
      </c>
      <c r="C730" s="51" t="s">
        <v>31</v>
      </c>
      <c r="D730" s="52">
        <v>2312.8000000000002</v>
      </c>
      <c r="E730" s="35">
        <v>44627</v>
      </c>
      <c r="F730" s="52">
        <v>2312.8000000000002</v>
      </c>
      <c r="G730" s="53">
        <f>Tabla14[[#This Row],[Importe]]-Tabla14[[#This Row],[Pagado]]</f>
        <v>0</v>
      </c>
      <c r="H730" s="37" t="s">
        <v>10</v>
      </c>
    </row>
    <row r="731" spans="1:8" x14ac:dyDescent="0.25">
      <c r="A731" s="31">
        <v>44627</v>
      </c>
      <c r="B731" s="37" t="s">
        <v>7741</v>
      </c>
      <c r="C731" s="51" t="s">
        <v>7742</v>
      </c>
      <c r="D731" s="52">
        <v>30031.8</v>
      </c>
      <c r="E731" s="35">
        <v>44634</v>
      </c>
      <c r="F731" s="52">
        <v>30031.8</v>
      </c>
      <c r="G731" s="53">
        <f>Tabla14[[#This Row],[Importe]]-Tabla14[[#This Row],[Pagado]]</f>
        <v>0</v>
      </c>
      <c r="H731" s="37" t="s">
        <v>10</v>
      </c>
    </row>
    <row r="732" spans="1:8" x14ac:dyDescent="0.25">
      <c r="A732" s="31">
        <v>44627</v>
      </c>
      <c r="B732" s="37" t="s">
        <v>7743</v>
      </c>
      <c r="C732" s="51" t="s">
        <v>2961</v>
      </c>
      <c r="D732" s="52">
        <v>48078</v>
      </c>
      <c r="E732" s="35">
        <v>44634</v>
      </c>
      <c r="F732" s="52">
        <v>48078</v>
      </c>
      <c r="G732" s="53">
        <f>Tabla14[[#This Row],[Importe]]-Tabla14[[#This Row],[Pagado]]</f>
        <v>0</v>
      </c>
      <c r="H732" s="37" t="s">
        <v>10</v>
      </c>
    </row>
    <row r="733" spans="1:8" x14ac:dyDescent="0.25">
      <c r="A733" s="31">
        <v>44627</v>
      </c>
      <c r="B733" s="37" t="s">
        <v>7744</v>
      </c>
      <c r="C733" s="51" t="s">
        <v>7745</v>
      </c>
      <c r="D733" s="52">
        <v>17883</v>
      </c>
      <c r="E733" s="35">
        <v>44627</v>
      </c>
      <c r="F733" s="52">
        <v>17883</v>
      </c>
      <c r="G733" s="53">
        <f>Tabla14[[#This Row],[Importe]]-Tabla14[[#This Row],[Pagado]]</f>
        <v>0</v>
      </c>
      <c r="H733" s="37" t="s">
        <v>10</v>
      </c>
    </row>
    <row r="734" spans="1:8" x14ac:dyDescent="0.25">
      <c r="A734" s="31">
        <v>44627</v>
      </c>
      <c r="B734" s="37" t="s">
        <v>7746</v>
      </c>
      <c r="C734" s="51" t="s">
        <v>31</v>
      </c>
      <c r="D734" s="52">
        <v>385</v>
      </c>
      <c r="E734" s="35">
        <v>44627</v>
      </c>
      <c r="F734" s="52">
        <v>385</v>
      </c>
      <c r="G734" s="53">
        <f>Tabla14[[#This Row],[Importe]]-Tabla14[[#This Row],[Pagado]]</f>
        <v>0</v>
      </c>
      <c r="H734" s="37" t="s">
        <v>10</v>
      </c>
    </row>
    <row r="735" spans="1:8" x14ac:dyDescent="0.25">
      <c r="A735" s="31">
        <v>44627</v>
      </c>
      <c r="B735" s="37" t="s">
        <v>7747</v>
      </c>
      <c r="C735" s="51" t="s">
        <v>56</v>
      </c>
      <c r="D735" s="52">
        <v>7125.6</v>
      </c>
      <c r="E735" s="35">
        <v>44627</v>
      </c>
      <c r="F735" s="52">
        <v>7125.6</v>
      </c>
      <c r="G735" s="53">
        <f>Tabla14[[#This Row],[Importe]]-Tabla14[[#This Row],[Pagado]]</f>
        <v>0</v>
      </c>
      <c r="H735" s="37" t="s">
        <v>10</v>
      </c>
    </row>
    <row r="736" spans="1:8" x14ac:dyDescent="0.25">
      <c r="A736" s="31">
        <v>44627</v>
      </c>
      <c r="B736" s="37" t="s">
        <v>7748</v>
      </c>
      <c r="C736" s="51" t="s">
        <v>31</v>
      </c>
      <c r="D736" s="52">
        <v>567</v>
      </c>
      <c r="E736" s="35">
        <v>44627</v>
      </c>
      <c r="F736" s="52">
        <v>567</v>
      </c>
      <c r="G736" s="53">
        <f>Tabla14[[#This Row],[Importe]]-Tabla14[[#This Row],[Pagado]]</f>
        <v>0</v>
      </c>
      <c r="H736" s="37" t="s">
        <v>10</v>
      </c>
    </row>
    <row r="737" spans="1:8" x14ac:dyDescent="0.25">
      <c r="A737" s="31">
        <v>44627</v>
      </c>
      <c r="B737" s="37" t="s">
        <v>7749</v>
      </c>
      <c r="C737" s="51" t="s">
        <v>291</v>
      </c>
      <c r="D737" s="52">
        <v>3084</v>
      </c>
      <c r="E737" s="35">
        <v>44629</v>
      </c>
      <c r="F737" s="52">
        <v>3084</v>
      </c>
      <c r="G737" s="53">
        <f>Tabla14[[#This Row],[Importe]]-Tabla14[[#This Row],[Pagado]]</f>
        <v>0</v>
      </c>
      <c r="H737" s="37" t="s">
        <v>10</v>
      </c>
    </row>
    <row r="738" spans="1:8" x14ac:dyDescent="0.25">
      <c r="A738" s="31">
        <v>44628</v>
      </c>
      <c r="B738" s="37" t="s">
        <v>7750</v>
      </c>
      <c r="C738" s="51" t="s">
        <v>31</v>
      </c>
      <c r="D738" s="52">
        <v>3920</v>
      </c>
      <c r="E738" s="35">
        <v>44628</v>
      </c>
      <c r="F738" s="52">
        <v>3920</v>
      </c>
      <c r="G738" s="53">
        <f>Tabla14[[#This Row],[Importe]]-Tabla14[[#This Row],[Pagado]]</f>
        <v>0</v>
      </c>
      <c r="H738" s="37" t="s">
        <v>10</v>
      </c>
    </row>
    <row r="739" spans="1:8" x14ac:dyDescent="0.25">
      <c r="A739" s="31">
        <v>44628</v>
      </c>
      <c r="B739" s="37" t="s">
        <v>7751</v>
      </c>
      <c r="C739" s="51" t="s">
        <v>481</v>
      </c>
      <c r="D739" s="52">
        <v>3049.4</v>
      </c>
      <c r="E739" s="35">
        <v>44628</v>
      </c>
      <c r="F739" s="52">
        <v>3049.4</v>
      </c>
      <c r="G739" s="53">
        <f>Tabla14[[#This Row],[Importe]]-Tabla14[[#This Row],[Pagado]]</f>
        <v>0</v>
      </c>
      <c r="H739" s="37" t="s">
        <v>10</v>
      </c>
    </row>
    <row r="740" spans="1:8" x14ac:dyDescent="0.25">
      <c r="A740" s="31">
        <v>44628</v>
      </c>
      <c r="B740" s="37" t="s">
        <v>7752</v>
      </c>
      <c r="C740" s="51" t="s">
        <v>473</v>
      </c>
      <c r="D740" s="52">
        <v>10165.6</v>
      </c>
      <c r="E740" s="35">
        <v>44628</v>
      </c>
      <c r="F740" s="52">
        <v>10165.6</v>
      </c>
      <c r="G740" s="53">
        <f>Tabla14[[#This Row],[Importe]]-Tabla14[[#This Row],[Pagado]]</f>
        <v>0</v>
      </c>
      <c r="H740" s="37" t="s">
        <v>10</v>
      </c>
    </row>
    <row r="741" spans="1:8" x14ac:dyDescent="0.25">
      <c r="A741" s="31">
        <v>44628</v>
      </c>
      <c r="B741" s="37" t="s">
        <v>7753</v>
      </c>
      <c r="C741" s="51" t="s">
        <v>12</v>
      </c>
      <c r="D741" s="52">
        <v>35481.949999999997</v>
      </c>
      <c r="E741" s="35">
        <v>44629</v>
      </c>
      <c r="F741" s="52">
        <v>35481.949999999997</v>
      </c>
      <c r="G741" s="53">
        <f>Tabla14[[#This Row],[Importe]]-Tabla14[[#This Row],[Pagado]]</f>
        <v>0</v>
      </c>
      <c r="H741" s="37" t="s">
        <v>10</v>
      </c>
    </row>
    <row r="742" spans="1:8" x14ac:dyDescent="0.25">
      <c r="A742" s="31">
        <v>44628</v>
      </c>
      <c r="B742" s="37" t="s">
        <v>7754</v>
      </c>
      <c r="C742" s="51" t="s">
        <v>75</v>
      </c>
      <c r="D742" s="52">
        <v>3931.2</v>
      </c>
      <c r="E742" s="35">
        <v>44628</v>
      </c>
      <c r="F742" s="52">
        <v>3931.2</v>
      </c>
      <c r="G742" s="53">
        <f>Tabla14[[#This Row],[Importe]]-Tabla14[[#This Row],[Pagado]]</f>
        <v>0</v>
      </c>
      <c r="H742" s="37" t="s">
        <v>10</v>
      </c>
    </row>
    <row r="743" spans="1:8" x14ac:dyDescent="0.25">
      <c r="A743" s="31">
        <v>44628</v>
      </c>
      <c r="B743" s="37" t="s">
        <v>7755</v>
      </c>
      <c r="C743" s="51" t="s">
        <v>12</v>
      </c>
      <c r="D743" s="52">
        <v>482.8</v>
      </c>
      <c r="E743" s="35">
        <v>44629</v>
      </c>
      <c r="F743" s="52">
        <v>482.8</v>
      </c>
      <c r="G743" s="53">
        <f>Tabla14[[#This Row],[Importe]]-Tabla14[[#This Row],[Pagado]]</f>
        <v>0</v>
      </c>
      <c r="H743" s="37" t="s">
        <v>10</v>
      </c>
    </row>
    <row r="744" spans="1:8" x14ac:dyDescent="0.25">
      <c r="A744" s="31">
        <v>44628</v>
      </c>
      <c r="B744" s="37" t="s">
        <v>7756</v>
      </c>
      <c r="C744" s="51" t="s">
        <v>9</v>
      </c>
      <c r="D744" s="52">
        <v>6139</v>
      </c>
      <c r="E744" s="35">
        <v>44628</v>
      </c>
      <c r="F744" s="52">
        <v>6139</v>
      </c>
      <c r="G744" s="53">
        <f>Tabla14[[#This Row],[Importe]]-Tabla14[[#This Row],[Pagado]]</f>
        <v>0</v>
      </c>
      <c r="H744" s="37" t="s">
        <v>10</v>
      </c>
    </row>
    <row r="745" spans="1:8" x14ac:dyDescent="0.25">
      <c r="A745" s="31">
        <v>44628</v>
      </c>
      <c r="B745" s="37" t="s">
        <v>7757</v>
      </c>
      <c r="C745" s="51" t="s">
        <v>89</v>
      </c>
      <c r="D745" s="52">
        <v>3087</v>
      </c>
      <c r="E745" s="35">
        <v>44629</v>
      </c>
      <c r="F745" s="52">
        <v>3087</v>
      </c>
      <c r="G745" s="53">
        <f>Tabla14[[#This Row],[Importe]]-Tabla14[[#This Row],[Pagado]]</f>
        <v>0</v>
      </c>
      <c r="H745" s="37" t="s">
        <v>10</v>
      </c>
    </row>
    <row r="746" spans="1:8" x14ac:dyDescent="0.25">
      <c r="A746" s="31">
        <v>44628</v>
      </c>
      <c r="B746" s="37" t="s">
        <v>7758</v>
      </c>
      <c r="C746" s="51" t="s">
        <v>131</v>
      </c>
      <c r="D746" s="52">
        <v>8393</v>
      </c>
      <c r="E746" s="35">
        <v>44628</v>
      </c>
      <c r="F746" s="52">
        <v>8393</v>
      </c>
      <c r="G746" s="53">
        <f>Tabla14[[#This Row],[Importe]]-Tabla14[[#This Row],[Pagado]]</f>
        <v>0</v>
      </c>
      <c r="H746" s="37" t="s">
        <v>10</v>
      </c>
    </row>
    <row r="747" spans="1:8" x14ac:dyDescent="0.25">
      <c r="A747" s="31">
        <v>44628</v>
      </c>
      <c r="B747" s="37" t="s">
        <v>7759</v>
      </c>
      <c r="C747" s="51" t="s">
        <v>105</v>
      </c>
      <c r="D747" s="52">
        <v>6442.1</v>
      </c>
      <c r="E747" s="35">
        <v>44630</v>
      </c>
      <c r="F747" s="52">
        <v>6442.1</v>
      </c>
      <c r="G747" s="53">
        <f>Tabla14[[#This Row],[Importe]]-Tabla14[[#This Row],[Pagado]]</f>
        <v>0</v>
      </c>
      <c r="H747" s="37" t="s">
        <v>10</v>
      </c>
    </row>
    <row r="748" spans="1:8" x14ac:dyDescent="0.25">
      <c r="A748" s="31">
        <v>44628</v>
      </c>
      <c r="B748" s="37" t="s">
        <v>7760</v>
      </c>
      <c r="C748" s="51" t="s">
        <v>114</v>
      </c>
      <c r="D748" s="52">
        <v>4868.2</v>
      </c>
      <c r="E748" s="35">
        <v>44629</v>
      </c>
      <c r="F748" s="52">
        <v>4868.2</v>
      </c>
      <c r="G748" s="53">
        <f>Tabla14[[#This Row],[Importe]]-Tabla14[[#This Row],[Pagado]]</f>
        <v>0</v>
      </c>
      <c r="H748" s="37" t="s">
        <v>10</v>
      </c>
    </row>
    <row r="749" spans="1:8" x14ac:dyDescent="0.25">
      <c r="A749" s="31">
        <v>44628</v>
      </c>
      <c r="B749" s="37" t="s">
        <v>7761</v>
      </c>
      <c r="C749" s="51" t="s">
        <v>93</v>
      </c>
      <c r="D749" s="52">
        <v>5350.5</v>
      </c>
      <c r="E749" s="35">
        <v>44629</v>
      </c>
      <c r="F749" s="52">
        <v>5350.5</v>
      </c>
      <c r="G749" s="53">
        <f>Tabla14[[#This Row],[Importe]]-Tabla14[[#This Row],[Pagado]]</f>
        <v>0</v>
      </c>
      <c r="H749" s="37" t="s">
        <v>10</v>
      </c>
    </row>
    <row r="750" spans="1:8" x14ac:dyDescent="0.25">
      <c r="A750" s="31">
        <v>44628</v>
      </c>
      <c r="B750" s="37" t="s">
        <v>7762</v>
      </c>
      <c r="C750" s="51" t="s">
        <v>111</v>
      </c>
      <c r="D750" s="52">
        <v>4154.8</v>
      </c>
      <c r="E750" s="35">
        <v>44629</v>
      </c>
      <c r="F750" s="52">
        <v>4154.8</v>
      </c>
      <c r="G750" s="53">
        <f>Tabla14[[#This Row],[Importe]]-Tabla14[[#This Row],[Pagado]]</f>
        <v>0</v>
      </c>
      <c r="H750" s="37" t="s">
        <v>10</v>
      </c>
    </row>
    <row r="751" spans="1:8" x14ac:dyDescent="0.25">
      <c r="A751" s="31">
        <v>44628</v>
      </c>
      <c r="B751" s="37" t="s">
        <v>7763</v>
      </c>
      <c r="C751" s="51" t="s">
        <v>64</v>
      </c>
      <c r="D751" s="52">
        <v>4410.8</v>
      </c>
      <c r="E751" s="35">
        <v>44629</v>
      </c>
      <c r="F751" s="52">
        <v>4410.8</v>
      </c>
      <c r="G751" s="53">
        <f>Tabla14[[#This Row],[Importe]]-Tabla14[[#This Row],[Pagado]]</f>
        <v>0</v>
      </c>
      <c r="H751" s="37" t="s">
        <v>10</v>
      </c>
    </row>
    <row r="752" spans="1:8" x14ac:dyDescent="0.25">
      <c r="A752" s="31">
        <v>44628</v>
      </c>
      <c r="B752" s="37" t="s">
        <v>7764</v>
      </c>
      <c r="C752" s="51" t="s">
        <v>326</v>
      </c>
      <c r="D752" s="52">
        <v>3901</v>
      </c>
      <c r="E752" s="35">
        <v>44630</v>
      </c>
      <c r="F752" s="52">
        <v>3901</v>
      </c>
      <c r="G752" s="53">
        <f>Tabla14[[#This Row],[Importe]]-Tabla14[[#This Row],[Pagado]]</f>
        <v>0</v>
      </c>
      <c r="H752" s="37" t="s">
        <v>10</v>
      </c>
    </row>
    <row r="753" spans="1:8" x14ac:dyDescent="0.25">
      <c r="A753" s="31">
        <v>44628</v>
      </c>
      <c r="B753" s="37" t="s">
        <v>7765</v>
      </c>
      <c r="C753" s="51" t="s">
        <v>120</v>
      </c>
      <c r="D753" s="52">
        <v>509.6</v>
      </c>
      <c r="E753" s="35">
        <v>44628</v>
      </c>
      <c r="F753" s="52">
        <v>509.6</v>
      </c>
      <c r="G753" s="53">
        <f>Tabla14[[#This Row],[Importe]]-Tabla14[[#This Row],[Pagado]]</f>
        <v>0</v>
      </c>
      <c r="H753" s="37" t="s">
        <v>10</v>
      </c>
    </row>
    <row r="754" spans="1:8" ht="31.5" x14ac:dyDescent="0.25">
      <c r="A754" s="31">
        <v>44628</v>
      </c>
      <c r="B754" s="37" t="s">
        <v>7766</v>
      </c>
      <c r="C754" s="51" t="s">
        <v>39</v>
      </c>
      <c r="D754" s="52">
        <v>19776.400000000001</v>
      </c>
      <c r="E754" s="35" t="s">
        <v>7767</v>
      </c>
      <c r="F754" s="52">
        <f>4385.5+15390.9</f>
        <v>19776.400000000001</v>
      </c>
      <c r="G754" s="53">
        <f>Tabla14[[#This Row],[Importe]]-Tabla14[[#This Row],[Pagado]]</f>
        <v>0</v>
      </c>
      <c r="H754" s="37" t="s">
        <v>10</v>
      </c>
    </row>
    <row r="755" spans="1:8" x14ac:dyDescent="0.25">
      <c r="A755" s="31">
        <v>44628</v>
      </c>
      <c r="B755" s="37" t="s">
        <v>7768</v>
      </c>
      <c r="C755" s="51" t="s">
        <v>345</v>
      </c>
      <c r="D755" s="52">
        <v>840</v>
      </c>
      <c r="E755" s="35">
        <v>44628</v>
      </c>
      <c r="F755" s="52">
        <v>840</v>
      </c>
      <c r="G755" s="53">
        <f>Tabla14[[#This Row],[Importe]]-Tabla14[[#This Row],[Pagado]]</f>
        <v>0</v>
      </c>
      <c r="H755" s="37" t="s">
        <v>10</v>
      </c>
    </row>
    <row r="756" spans="1:8" x14ac:dyDescent="0.25">
      <c r="A756" s="31">
        <v>44628</v>
      </c>
      <c r="B756" s="37" t="s">
        <v>7769</v>
      </c>
      <c r="C756" s="51" t="s">
        <v>60</v>
      </c>
      <c r="D756" s="52">
        <v>3381</v>
      </c>
      <c r="E756" s="35">
        <v>44634</v>
      </c>
      <c r="F756" s="52">
        <v>3381</v>
      </c>
      <c r="G756" s="53">
        <f>Tabla14[[#This Row],[Importe]]-Tabla14[[#This Row],[Pagado]]</f>
        <v>0</v>
      </c>
      <c r="H756" s="37" t="s">
        <v>10</v>
      </c>
    </row>
    <row r="757" spans="1:8" x14ac:dyDescent="0.25">
      <c r="A757" s="31">
        <v>44628</v>
      </c>
      <c r="B757" s="37" t="s">
        <v>7770</v>
      </c>
      <c r="C757" s="51" t="s">
        <v>7771</v>
      </c>
      <c r="D757" s="52">
        <v>0</v>
      </c>
      <c r="E757" s="39" t="s">
        <v>189</v>
      </c>
      <c r="F757" s="52">
        <v>0</v>
      </c>
      <c r="G757" s="53">
        <f>Tabla14[[#This Row],[Importe]]-Tabla14[[#This Row],[Pagado]]</f>
        <v>0</v>
      </c>
      <c r="H757" s="37" t="s">
        <v>189</v>
      </c>
    </row>
    <row r="758" spans="1:8" x14ac:dyDescent="0.25">
      <c r="A758" s="31">
        <v>44628</v>
      </c>
      <c r="B758" s="37" t="s">
        <v>7772</v>
      </c>
      <c r="C758" s="51" t="s">
        <v>22</v>
      </c>
      <c r="D758" s="52">
        <v>45271.1</v>
      </c>
      <c r="E758" s="35">
        <v>44629</v>
      </c>
      <c r="F758" s="52">
        <v>45271.1</v>
      </c>
      <c r="G758" s="53">
        <f>Tabla14[[#This Row],[Importe]]-Tabla14[[#This Row],[Pagado]]</f>
        <v>0</v>
      </c>
      <c r="H758" s="37" t="s">
        <v>10</v>
      </c>
    </row>
    <row r="759" spans="1:8" x14ac:dyDescent="0.25">
      <c r="A759" s="31">
        <v>44628</v>
      </c>
      <c r="B759" s="37" t="s">
        <v>7773</v>
      </c>
      <c r="C759" s="51" t="s">
        <v>357</v>
      </c>
      <c r="D759" s="52">
        <v>1195.8</v>
      </c>
      <c r="E759" s="35">
        <v>44628</v>
      </c>
      <c r="F759" s="52">
        <v>1195.8</v>
      </c>
      <c r="G759" s="53">
        <f>Tabla14[[#This Row],[Importe]]-Tabla14[[#This Row],[Pagado]]</f>
        <v>0</v>
      </c>
      <c r="H759" s="37" t="s">
        <v>10</v>
      </c>
    </row>
    <row r="760" spans="1:8" x14ac:dyDescent="0.25">
      <c r="A760" s="31">
        <v>44628</v>
      </c>
      <c r="B760" s="37" t="s">
        <v>7774</v>
      </c>
      <c r="C760" s="51" t="s">
        <v>140</v>
      </c>
      <c r="D760" s="52">
        <v>3410.4</v>
      </c>
      <c r="E760" s="35">
        <v>44628</v>
      </c>
      <c r="F760" s="52">
        <v>3410.4</v>
      </c>
      <c r="G760" s="53">
        <f>Tabla14[[#This Row],[Importe]]-Tabla14[[#This Row],[Pagado]]</f>
        <v>0</v>
      </c>
      <c r="H760" s="37" t="s">
        <v>10</v>
      </c>
    </row>
    <row r="761" spans="1:8" x14ac:dyDescent="0.25">
      <c r="A761" s="31">
        <v>44628</v>
      </c>
      <c r="B761" s="37" t="s">
        <v>7775</v>
      </c>
      <c r="C761" s="51" t="s">
        <v>129</v>
      </c>
      <c r="D761" s="52">
        <v>3281.6</v>
      </c>
      <c r="E761" s="35">
        <v>44628</v>
      </c>
      <c r="F761" s="52">
        <v>3281.6</v>
      </c>
      <c r="G761" s="53">
        <f>Tabla14[[#This Row],[Importe]]-Tabla14[[#This Row],[Pagado]]</f>
        <v>0</v>
      </c>
      <c r="H761" s="37" t="s">
        <v>10</v>
      </c>
    </row>
    <row r="762" spans="1:8" x14ac:dyDescent="0.25">
      <c r="A762" s="31">
        <v>44628</v>
      </c>
      <c r="B762" s="37" t="s">
        <v>7776</v>
      </c>
      <c r="C762" s="51" t="s">
        <v>127</v>
      </c>
      <c r="D762" s="52">
        <v>4588.6000000000004</v>
      </c>
      <c r="E762" s="35">
        <v>44628</v>
      </c>
      <c r="F762" s="52">
        <v>4588.6000000000004</v>
      </c>
      <c r="G762" s="53">
        <f>Tabla14[[#This Row],[Importe]]-Tabla14[[#This Row],[Pagado]]</f>
        <v>0</v>
      </c>
      <c r="H762" s="37" t="s">
        <v>10</v>
      </c>
    </row>
    <row r="763" spans="1:8" x14ac:dyDescent="0.25">
      <c r="A763" s="31">
        <v>44628</v>
      </c>
      <c r="B763" s="37" t="s">
        <v>7777</v>
      </c>
      <c r="C763" s="51" t="s">
        <v>146</v>
      </c>
      <c r="D763" s="52">
        <v>1520.2</v>
      </c>
      <c r="E763" s="35">
        <v>44628</v>
      </c>
      <c r="F763" s="52">
        <v>1520.2</v>
      </c>
      <c r="G763" s="53">
        <f>Tabla14[[#This Row],[Importe]]-Tabla14[[#This Row],[Pagado]]</f>
        <v>0</v>
      </c>
      <c r="H763" s="37" t="s">
        <v>10</v>
      </c>
    </row>
    <row r="764" spans="1:8" x14ac:dyDescent="0.25">
      <c r="A764" s="31">
        <v>44628</v>
      </c>
      <c r="B764" s="37" t="s">
        <v>7778</v>
      </c>
      <c r="C764" s="51" t="s">
        <v>314</v>
      </c>
      <c r="D764" s="52">
        <v>2144.8000000000002</v>
      </c>
      <c r="E764" s="35">
        <v>44628</v>
      </c>
      <c r="F764" s="52">
        <v>2144.8000000000002</v>
      </c>
      <c r="G764" s="53">
        <f>Tabla14[[#This Row],[Importe]]-Tabla14[[#This Row],[Pagado]]</f>
        <v>0</v>
      </c>
      <c r="H764" s="37" t="s">
        <v>10</v>
      </c>
    </row>
    <row r="765" spans="1:8" x14ac:dyDescent="0.25">
      <c r="A765" s="31">
        <v>44628</v>
      </c>
      <c r="B765" s="37" t="s">
        <v>7779</v>
      </c>
      <c r="C765" s="51" t="s">
        <v>1187</v>
      </c>
      <c r="D765" s="52">
        <v>2308.6999999999998</v>
      </c>
      <c r="E765" s="35">
        <v>44628</v>
      </c>
      <c r="F765" s="52">
        <v>2308.6999999999998</v>
      </c>
      <c r="G765" s="53">
        <f>Tabla14[[#This Row],[Importe]]-Tabla14[[#This Row],[Pagado]]</f>
        <v>0</v>
      </c>
      <c r="H765" s="37" t="s">
        <v>10</v>
      </c>
    </row>
    <row r="766" spans="1:8" x14ac:dyDescent="0.25">
      <c r="A766" s="31">
        <v>44628</v>
      </c>
      <c r="B766" s="37" t="s">
        <v>7780</v>
      </c>
      <c r="C766" s="51" t="s">
        <v>198</v>
      </c>
      <c r="D766" s="52">
        <v>2050.4</v>
      </c>
      <c r="E766" s="35">
        <v>44628</v>
      </c>
      <c r="F766" s="52">
        <v>2050.4</v>
      </c>
      <c r="G766" s="53">
        <f>Tabla14[[#This Row],[Importe]]-Tabla14[[#This Row],[Pagado]]</f>
        <v>0</v>
      </c>
      <c r="H766" s="37" t="s">
        <v>10</v>
      </c>
    </row>
    <row r="767" spans="1:8" x14ac:dyDescent="0.25">
      <c r="A767" s="31">
        <v>44628</v>
      </c>
      <c r="B767" s="37" t="s">
        <v>7781</v>
      </c>
      <c r="C767" s="51" t="s">
        <v>1038</v>
      </c>
      <c r="D767" s="52">
        <v>4060.8</v>
      </c>
      <c r="E767" s="35">
        <v>44628</v>
      </c>
      <c r="F767" s="52">
        <v>4060.8</v>
      </c>
      <c r="G767" s="53">
        <f>Tabla14[[#This Row],[Importe]]-Tabla14[[#This Row],[Pagado]]</f>
        <v>0</v>
      </c>
      <c r="H767" s="37" t="s">
        <v>10</v>
      </c>
    </row>
    <row r="768" spans="1:8" x14ac:dyDescent="0.25">
      <c r="A768" s="31">
        <v>44628</v>
      </c>
      <c r="B768" s="37" t="s">
        <v>7782</v>
      </c>
      <c r="C768" s="51" t="s">
        <v>414</v>
      </c>
      <c r="D768" s="52">
        <v>3240</v>
      </c>
      <c r="E768" s="35">
        <v>44628</v>
      </c>
      <c r="F768" s="52">
        <v>3240</v>
      </c>
      <c r="G768" s="53">
        <f>Tabla14[[#This Row],[Importe]]-Tabla14[[#This Row],[Pagado]]</f>
        <v>0</v>
      </c>
      <c r="H768" s="37" t="s">
        <v>10</v>
      </c>
    </row>
    <row r="769" spans="1:8" x14ac:dyDescent="0.25">
      <c r="A769" s="31">
        <v>44628</v>
      </c>
      <c r="B769" s="37" t="s">
        <v>7783</v>
      </c>
      <c r="C769" s="51" t="s">
        <v>426</v>
      </c>
      <c r="D769" s="52">
        <v>1749.9</v>
      </c>
      <c r="E769" s="35">
        <v>44628</v>
      </c>
      <c r="F769" s="52">
        <v>1749.9</v>
      </c>
      <c r="G769" s="53">
        <f>Tabla14[[#This Row],[Importe]]-Tabla14[[#This Row],[Pagado]]</f>
        <v>0</v>
      </c>
      <c r="H769" s="37" t="s">
        <v>10</v>
      </c>
    </row>
    <row r="770" spans="1:8" x14ac:dyDescent="0.25">
      <c r="A770" s="31">
        <v>44628</v>
      </c>
      <c r="B770" s="37" t="s">
        <v>7784</v>
      </c>
      <c r="C770" s="51" t="s">
        <v>200</v>
      </c>
      <c r="D770" s="52">
        <v>940.8</v>
      </c>
      <c r="E770" s="35">
        <v>44628</v>
      </c>
      <c r="F770" s="52">
        <v>940.8</v>
      </c>
      <c r="G770" s="53">
        <f>Tabla14[[#This Row],[Importe]]-Tabla14[[#This Row],[Pagado]]</f>
        <v>0</v>
      </c>
      <c r="H770" s="37" t="s">
        <v>10</v>
      </c>
    </row>
    <row r="771" spans="1:8" x14ac:dyDescent="0.25">
      <c r="A771" s="31">
        <v>44628</v>
      </c>
      <c r="B771" s="37" t="s">
        <v>7785</v>
      </c>
      <c r="C771" s="51" t="s">
        <v>2074</v>
      </c>
      <c r="D771" s="52">
        <v>4447.8</v>
      </c>
      <c r="E771" s="35">
        <v>44628</v>
      </c>
      <c r="F771" s="52">
        <v>4447.8</v>
      </c>
      <c r="G771" s="53">
        <f>Tabla14[[#This Row],[Importe]]-Tabla14[[#This Row],[Pagado]]</f>
        <v>0</v>
      </c>
      <c r="H771" s="37" t="s">
        <v>10</v>
      </c>
    </row>
    <row r="772" spans="1:8" x14ac:dyDescent="0.25">
      <c r="A772" s="31">
        <v>44628</v>
      </c>
      <c r="B772" s="37" t="s">
        <v>7786</v>
      </c>
      <c r="C772" s="51" t="s">
        <v>448</v>
      </c>
      <c r="D772" s="52">
        <v>20339.2</v>
      </c>
      <c r="E772" s="35">
        <v>44629</v>
      </c>
      <c r="F772" s="52">
        <v>20339.2</v>
      </c>
      <c r="G772" s="53">
        <f>Tabla14[[#This Row],[Importe]]-Tabla14[[#This Row],[Pagado]]</f>
        <v>0</v>
      </c>
      <c r="H772" s="37" t="s">
        <v>10</v>
      </c>
    </row>
    <row r="773" spans="1:8" x14ac:dyDescent="0.25">
      <c r="A773" s="31">
        <v>44628</v>
      </c>
      <c r="B773" s="37" t="s">
        <v>7787</v>
      </c>
      <c r="C773" s="51" t="s">
        <v>16</v>
      </c>
      <c r="D773" s="52">
        <v>4930.3999999999996</v>
      </c>
      <c r="E773" s="35">
        <v>44628</v>
      </c>
      <c r="F773" s="52">
        <v>4930.3999999999996</v>
      </c>
      <c r="G773" s="53">
        <f>Tabla14[[#This Row],[Importe]]-Tabla14[[#This Row],[Pagado]]</f>
        <v>0</v>
      </c>
      <c r="H773" s="37" t="s">
        <v>10</v>
      </c>
    </row>
    <row r="774" spans="1:8" x14ac:dyDescent="0.25">
      <c r="A774" s="31">
        <v>44628</v>
      </c>
      <c r="B774" s="37" t="s">
        <v>7788</v>
      </c>
      <c r="C774" s="51" t="s">
        <v>83</v>
      </c>
      <c r="D774" s="52">
        <v>8568</v>
      </c>
      <c r="E774" s="35">
        <v>44628</v>
      </c>
      <c r="F774" s="52">
        <v>8568</v>
      </c>
      <c r="G774" s="53">
        <f>Tabla14[[#This Row],[Importe]]-Tabla14[[#This Row],[Pagado]]</f>
        <v>0</v>
      </c>
      <c r="H774" s="37" t="s">
        <v>10</v>
      </c>
    </row>
    <row r="775" spans="1:8" x14ac:dyDescent="0.25">
      <c r="A775" s="31">
        <v>44628</v>
      </c>
      <c r="B775" s="37" t="s">
        <v>7789</v>
      </c>
      <c r="C775" s="51" t="s">
        <v>3971</v>
      </c>
      <c r="D775" s="52">
        <v>1147.5999999999999</v>
      </c>
      <c r="E775" s="35">
        <v>44628</v>
      </c>
      <c r="F775" s="52">
        <v>1147.5999999999999</v>
      </c>
      <c r="G775" s="53">
        <f>Tabla14[[#This Row],[Importe]]-Tabla14[[#This Row],[Pagado]]</f>
        <v>0</v>
      </c>
      <c r="H775" s="37" t="s">
        <v>10</v>
      </c>
    </row>
    <row r="776" spans="1:8" x14ac:dyDescent="0.25">
      <c r="A776" s="31">
        <v>44628</v>
      </c>
      <c r="B776" s="37" t="s">
        <v>7790</v>
      </c>
      <c r="C776" s="51" t="s">
        <v>107</v>
      </c>
      <c r="D776" s="52">
        <v>11637.5</v>
      </c>
      <c r="E776" s="35">
        <v>44628</v>
      </c>
      <c r="F776" s="52">
        <v>11637.5</v>
      </c>
      <c r="G776" s="53">
        <f>Tabla14[[#This Row],[Importe]]-Tabla14[[#This Row],[Pagado]]</f>
        <v>0</v>
      </c>
      <c r="H776" s="37" t="s">
        <v>10</v>
      </c>
    </row>
    <row r="777" spans="1:8" x14ac:dyDescent="0.25">
      <c r="A777" s="31">
        <v>44628</v>
      </c>
      <c r="B777" s="37" t="s">
        <v>7791</v>
      </c>
      <c r="C777" s="51" t="s">
        <v>151</v>
      </c>
      <c r="D777" s="52">
        <v>10592.4</v>
      </c>
      <c r="E777" s="35">
        <v>44629</v>
      </c>
      <c r="F777" s="52">
        <v>10592.4</v>
      </c>
      <c r="G777" s="53">
        <f>Tabla14[[#This Row],[Importe]]-Tabla14[[#This Row],[Pagado]]</f>
        <v>0</v>
      </c>
      <c r="H777" s="37" t="s">
        <v>10</v>
      </c>
    </row>
    <row r="778" spans="1:8" x14ac:dyDescent="0.25">
      <c r="A778" s="31">
        <v>44628</v>
      </c>
      <c r="B778" s="37" t="s">
        <v>7792</v>
      </c>
      <c r="C778" s="51" t="s">
        <v>373</v>
      </c>
      <c r="D778" s="52">
        <v>2718.9</v>
      </c>
      <c r="E778" s="35">
        <v>44628</v>
      </c>
      <c r="F778" s="52">
        <v>2718.9</v>
      </c>
      <c r="G778" s="53">
        <f>Tabla14[[#This Row],[Importe]]-Tabla14[[#This Row],[Pagado]]</f>
        <v>0</v>
      </c>
      <c r="H778" s="37" t="s">
        <v>10</v>
      </c>
    </row>
    <row r="779" spans="1:8" x14ac:dyDescent="0.25">
      <c r="A779" s="31">
        <v>44628</v>
      </c>
      <c r="B779" s="37" t="s">
        <v>7793</v>
      </c>
      <c r="C779" s="51" t="s">
        <v>4136</v>
      </c>
      <c r="D779" s="52">
        <v>2601.9</v>
      </c>
      <c r="E779" s="35">
        <v>44628</v>
      </c>
      <c r="F779" s="52">
        <v>2601.9</v>
      </c>
      <c r="G779" s="53">
        <f>Tabla14[[#This Row],[Importe]]-Tabla14[[#This Row],[Pagado]]</f>
        <v>0</v>
      </c>
      <c r="H779" s="37" t="s">
        <v>10</v>
      </c>
    </row>
    <row r="780" spans="1:8" x14ac:dyDescent="0.25">
      <c r="A780" s="31">
        <v>44628</v>
      </c>
      <c r="B780" s="37" t="s">
        <v>7794</v>
      </c>
      <c r="C780" s="51" t="s">
        <v>520</v>
      </c>
      <c r="D780" s="52">
        <v>13066.5</v>
      </c>
      <c r="E780" s="35">
        <v>44629</v>
      </c>
      <c r="F780" s="52">
        <v>13066.5</v>
      </c>
      <c r="G780" s="53">
        <f>Tabla14[[#This Row],[Importe]]-Tabla14[[#This Row],[Pagado]]</f>
        <v>0</v>
      </c>
      <c r="H780" s="37" t="s">
        <v>10</v>
      </c>
    </row>
    <row r="781" spans="1:8" x14ac:dyDescent="0.25">
      <c r="A781" s="31">
        <v>44628</v>
      </c>
      <c r="B781" s="37" t="s">
        <v>7795</v>
      </c>
      <c r="C781" s="51" t="s">
        <v>142</v>
      </c>
      <c r="D781" s="52">
        <v>71723.600000000006</v>
      </c>
      <c r="E781" s="35" t="s">
        <v>7024</v>
      </c>
      <c r="F781" s="52">
        <v>71723.600000000006</v>
      </c>
      <c r="G781" s="53">
        <f>Tabla14[[#This Row],[Importe]]-Tabla14[[#This Row],[Pagado]]</f>
        <v>0</v>
      </c>
      <c r="H781" s="37" t="s">
        <v>10</v>
      </c>
    </row>
    <row r="782" spans="1:8" x14ac:dyDescent="0.25">
      <c r="A782" s="31">
        <v>44628</v>
      </c>
      <c r="B782" s="37" t="s">
        <v>7796</v>
      </c>
      <c r="C782" s="51" t="s">
        <v>7444</v>
      </c>
      <c r="D782" s="52">
        <v>3606.4</v>
      </c>
      <c r="E782" s="35">
        <v>44628</v>
      </c>
      <c r="F782" s="52">
        <v>3606.4</v>
      </c>
      <c r="G782" s="53">
        <f>Tabla14[[#This Row],[Importe]]-Tabla14[[#This Row],[Pagado]]</f>
        <v>0</v>
      </c>
      <c r="H782" s="37" t="s">
        <v>10</v>
      </c>
    </row>
    <row r="783" spans="1:8" x14ac:dyDescent="0.25">
      <c r="A783" s="31">
        <v>44628</v>
      </c>
      <c r="B783" s="37" t="s">
        <v>7797</v>
      </c>
      <c r="C783" s="51" t="s">
        <v>1971</v>
      </c>
      <c r="D783" s="52">
        <v>3309.6</v>
      </c>
      <c r="E783" s="35">
        <v>44629</v>
      </c>
      <c r="F783" s="52">
        <v>3309.6</v>
      </c>
      <c r="G783" s="53">
        <f>Tabla14[[#This Row],[Importe]]-Tabla14[[#This Row],[Pagado]]</f>
        <v>0</v>
      </c>
      <c r="H783" s="37" t="s">
        <v>10</v>
      </c>
    </row>
    <row r="784" spans="1:8" x14ac:dyDescent="0.25">
      <c r="A784" s="31">
        <v>44628</v>
      </c>
      <c r="B784" s="37" t="s">
        <v>7798</v>
      </c>
      <c r="C784" s="51" t="s">
        <v>7444</v>
      </c>
      <c r="D784" s="52">
        <v>624.4</v>
      </c>
      <c r="E784" s="35">
        <v>44628</v>
      </c>
      <c r="F784" s="52">
        <v>624.4</v>
      </c>
      <c r="G784" s="53">
        <f>Tabla14[[#This Row],[Importe]]-Tabla14[[#This Row],[Pagado]]</f>
        <v>0</v>
      </c>
      <c r="H784" s="37" t="s">
        <v>10</v>
      </c>
    </row>
    <row r="785" spans="1:8" x14ac:dyDescent="0.25">
      <c r="A785" s="31">
        <v>44628</v>
      </c>
      <c r="B785" s="37" t="s">
        <v>7799</v>
      </c>
      <c r="C785" s="51" t="s">
        <v>466</v>
      </c>
      <c r="D785" s="52">
        <v>5632.2</v>
      </c>
      <c r="E785" s="35">
        <v>44628</v>
      </c>
      <c r="F785" s="52">
        <v>5632.2</v>
      </c>
      <c r="G785" s="53">
        <f>Tabla14[[#This Row],[Importe]]-Tabla14[[#This Row],[Pagado]]</f>
        <v>0</v>
      </c>
      <c r="H785" s="37" t="s">
        <v>10</v>
      </c>
    </row>
    <row r="786" spans="1:8" x14ac:dyDescent="0.25">
      <c r="A786" s="31">
        <v>44628</v>
      </c>
      <c r="B786" s="37" t="s">
        <v>7800</v>
      </c>
      <c r="C786" s="51" t="s">
        <v>7801</v>
      </c>
      <c r="D786" s="52">
        <v>22152</v>
      </c>
      <c r="E786" s="35">
        <v>44628</v>
      </c>
      <c r="F786" s="52">
        <v>22152</v>
      </c>
      <c r="G786" s="53">
        <f>Tabla14[[#This Row],[Importe]]-Tabla14[[#This Row],[Pagado]]</f>
        <v>0</v>
      </c>
      <c r="H786" s="37" t="s">
        <v>10</v>
      </c>
    </row>
    <row r="787" spans="1:8" x14ac:dyDescent="0.25">
      <c r="A787" s="31">
        <v>44628</v>
      </c>
      <c r="B787" s="37" t="s">
        <v>7802</v>
      </c>
      <c r="C787" s="51" t="s">
        <v>159</v>
      </c>
      <c r="D787" s="52">
        <v>4853.8</v>
      </c>
      <c r="E787" s="35">
        <v>44629</v>
      </c>
      <c r="F787" s="52">
        <v>4853.8</v>
      </c>
      <c r="G787" s="53">
        <f>Tabla14[[#This Row],[Importe]]-Tabla14[[#This Row],[Pagado]]</f>
        <v>0</v>
      </c>
      <c r="H787" s="37" t="s">
        <v>10</v>
      </c>
    </row>
    <row r="788" spans="1:8" x14ac:dyDescent="0.25">
      <c r="A788" s="31">
        <v>44628</v>
      </c>
      <c r="B788" s="37" t="s">
        <v>7803</v>
      </c>
      <c r="C788" s="51" t="s">
        <v>670</v>
      </c>
      <c r="D788" s="52">
        <v>3630</v>
      </c>
      <c r="E788" s="35">
        <v>44628</v>
      </c>
      <c r="F788" s="52">
        <v>3630</v>
      </c>
      <c r="G788" s="53">
        <f>Tabla14[[#This Row],[Importe]]-Tabla14[[#This Row],[Pagado]]</f>
        <v>0</v>
      </c>
      <c r="H788" s="37" t="s">
        <v>10</v>
      </c>
    </row>
    <row r="789" spans="1:8" x14ac:dyDescent="0.25">
      <c r="A789" s="31">
        <v>44628</v>
      </c>
      <c r="B789" s="37" t="s">
        <v>7804</v>
      </c>
      <c r="C789" s="51" t="s">
        <v>518</v>
      </c>
      <c r="D789" s="52">
        <v>1248.4000000000001</v>
      </c>
      <c r="E789" s="35">
        <v>44629</v>
      </c>
      <c r="F789" s="52">
        <v>1248.4000000000001</v>
      </c>
      <c r="G789" s="53">
        <f>Tabla14[[#This Row],[Importe]]-Tabla14[[#This Row],[Pagado]]</f>
        <v>0</v>
      </c>
      <c r="H789" s="37" t="s">
        <v>10</v>
      </c>
    </row>
    <row r="790" spans="1:8" x14ac:dyDescent="0.25">
      <c r="A790" s="31">
        <v>44628</v>
      </c>
      <c r="B790" s="37" t="s">
        <v>7805</v>
      </c>
      <c r="C790" s="51" t="s">
        <v>934</v>
      </c>
      <c r="D790" s="52">
        <v>1176.4000000000001</v>
      </c>
      <c r="E790" s="35">
        <v>44629</v>
      </c>
      <c r="F790" s="52">
        <v>1176.4000000000001</v>
      </c>
      <c r="G790" s="53">
        <f>Tabla14[[#This Row],[Importe]]-Tabla14[[#This Row],[Pagado]]</f>
        <v>0</v>
      </c>
      <c r="H790" s="37" t="s">
        <v>10</v>
      </c>
    </row>
    <row r="791" spans="1:8" x14ac:dyDescent="0.25">
      <c r="A791" s="31">
        <v>44628</v>
      </c>
      <c r="B791" s="37" t="s">
        <v>7806</v>
      </c>
      <c r="C791" s="51" t="s">
        <v>319</v>
      </c>
      <c r="D791" s="52">
        <v>1982.4</v>
      </c>
      <c r="E791" s="35">
        <v>44629</v>
      </c>
      <c r="F791" s="52">
        <v>1982.4</v>
      </c>
      <c r="G791" s="53">
        <f>Tabla14[[#This Row],[Importe]]-Tabla14[[#This Row],[Pagado]]</f>
        <v>0</v>
      </c>
      <c r="H791" s="37" t="s">
        <v>10</v>
      </c>
    </row>
    <row r="792" spans="1:8" x14ac:dyDescent="0.25">
      <c r="A792" s="31">
        <v>44628</v>
      </c>
      <c r="B792" s="37" t="s">
        <v>7807</v>
      </c>
      <c r="C792" s="51" t="s">
        <v>525</v>
      </c>
      <c r="D792" s="52">
        <v>591.5</v>
      </c>
      <c r="E792" s="35">
        <v>44629</v>
      </c>
      <c r="F792" s="52">
        <v>591.5</v>
      </c>
      <c r="G792" s="53">
        <f>Tabla14[[#This Row],[Importe]]-Tabla14[[#This Row],[Pagado]]</f>
        <v>0</v>
      </c>
      <c r="H792" s="37" t="s">
        <v>10</v>
      </c>
    </row>
    <row r="793" spans="1:8" x14ac:dyDescent="0.25">
      <c r="A793" s="31">
        <v>44628</v>
      </c>
      <c r="B793" s="37" t="s">
        <v>7808</v>
      </c>
      <c r="C793" s="51" t="s">
        <v>49</v>
      </c>
      <c r="D793" s="52">
        <v>5358.2</v>
      </c>
      <c r="E793" s="35">
        <v>44628</v>
      </c>
      <c r="F793" s="52">
        <v>5358.2</v>
      </c>
      <c r="G793" s="53">
        <f>Tabla14[[#This Row],[Importe]]-Tabla14[[#This Row],[Pagado]]</f>
        <v>0</v>
      </c>
      <c r="H793" s="37" t="s">
        <v>10</v>
      </c>
    </row>
    <row r="794" spans="1:8" x14ac:dyDescent="0.25">
      <c r="A794" s="31">
        <v>44628</v>
      </c>
      <c r="B794" s="37" t="s">
        <v>7809</v>
      </c>
      <c r="C794" s="51" t="s">
        <v>359</v>
      </c>
      <c r="D794" s="52">
        <v>1219.3</v>
      </c>
      <c r="E794" s="35">
        <v>44628</v>
      </c>
      <c r="F794" s="52">
        <v>1219.3</v>
      </c>
      <c r="G794" s="53">
        <f>Tabla14[[#This Row],[Importe]]-Tabla14[[#This Row],[Pagado]]</f>
        <v>0</v>
      </c>
      <c r="H794" s="37" t="s">
        <v>10</v>
      </c>
    </row>
    <row r="795" spans="1:8" x14ac:dyDescent="0.25">
      <c r="A795" s="31">
        <v>44628</v>
      </c>
      <c r="B795" s="37" t="s">
        <v>7810</v>
      </c>
      <c r="C795" s="51" t="s">
        <v>79</v>
      </c>
      <c r="D795" s="52">
        <v>7900.8</v>
      </c>
      <c r="E795" s="35">
        <v>44629</v>
      </c>
      <c r="F795" s="52">
        <v>7900.8</v>
      </c>
      <c r="G795" s="53">
        <f>Tabla14[[#This Row],[Importe]]-Tabla14[[#This Row],[Pagado]]</f>
        <v>0</v>
      </c>
      <c r="H795" s="37" t="s">
        <v>10</v>
      </c>
    </row>
    <row r="796" spans="1:8" x14ac:dyDescent="0.25">
      <c r="A796" s="31">
        <v>44628</v>
      </c>
      <c r="B796" s="37" t="s">
        <v>7811</v>
      </c>
      <c r="C796" s="51" t="s">
        <v>79</v>
      </c>
      <c r="D796" s="52">
        <v>6588.8</v>
      </c>
      <c r="E796" s="35">
        <v>44629</v>
      </c>
      <c r="F796" s="52">
        <v>6588.8</v>
      </c>
      <c r="G796" s="53">
        <f>Tabla14[[#This Row],[Importe]]-Tabla14[[#This Row],[Pagado]]</f>
        <v>0</v>
      </c>
      <c r="H796" s="37" t="s">
        <v>10</v>
      </c>
    </row>
    <row r="797" spans="1:8" x14ac:dyDescent="0.25">
      <c r="A797" s="31">
        <v>44628</v>
      </c>
      <c r="B797" s="37" t="s">
        <v>7812</v>
      </c>
      <c r="C797" s="51" t="s">
        <v>161</v>
      </c>
      <c r="D797" s="52">
        <v>1715.7</v>
      </c>
      <c r="E797" s="35">
        <v>44628</v>
      </c>
      <c r="F797" s="52">
        <v>1715.7</v>
      </c>
      <c r="G797" s="53">
        <f>Tabla14[[#This Row],[Importe]]-Tabla14[[#This Row],[Pagado]]</f>
        <v>0</v>
      </c>
      <c r="H797" s="37" t="s">
        <v>10</v>
      </c>
    </row>
    <row r="798" spans="1:8" x14ac:dyDescent="0.25">
      <c r="A798" s="31">
        <v>44628</v>
      </c>
      <c r="B798" s="37" t="s">
        <v>7813</v>
      </c>
      <c r="C798" s="51" t="s">
        <v>27</v>
      </c>
      <c r="D798" s="52">
        <v>2174.1999999999998</v>
      </c>
      <c r="E798" s="35">
        <v>44628</v>
      </c>
      <c r="F798" s="52">
        <v>2174.1999999999998</v>
      </c>
      <c r="G798" s="53">
        <f>Tabla14[[#This Row],[Importe]]-Tabla14[[#This Row],[Pagado]]</f>
        <v>0</v>
      </c>
      <c r="H798" s="37" t="s">
        <v>10</v>
      </c>
    </row>
    <row r="799" spans="1:8" x14ac:dyDescent="0.25">
      <c r="A799" s="31">
        <v>44628</v>
      </c>
      <c r="B799" s="37" t="s">
        <v>7814</v>
      </c>
      <c r="C799" s="51" t="s">
        <v>230</v>
      </c>
      <c r="D799" s="52">
        <v>1263.5999999999999</v>
      </c>
      <c r="E799" s="35">
        <v>44628</v>
      </c>
      <c r="F799" s="52">
        <v>1263.5999999999999</v>
      </c>
      <c r="G799" s="53">
        <f>Tabla14[[#This Row],[Importe]]-Tabla14[[#This Row],[Pagado]]</f>
        <v>0</v>
      </c>
      <c r="H799" s="37" t="s">
        <v>10</v>
      </c>
    </row>
    <row r="800" spans="1:8" x14ac:dyDescent="0.25">
      <c r="A800" s="31">
        <v>44628</v>
      </c>
      <c r="B800" s="37" t="s">
        <v>7815</v>
      </c>
      <c r="C800" s="51" t="s">
        <v>45</v>
      </c>
      <c r="D800" s="52">
        <v>9914.1</v>
      </c>
      <c r="E800" s="35">
        <v>44628</v>
      </c>
      <c r="F800" s="52">
        <v>9914.1</v>
      </c>
      <c r="G800" s="53">
        <f>Tabla14[[#This Row],[Importe]]-Tabla14[[#This Row],[Pagado]]</f>
        <v>0</v>
      </c>
      <c r="H800" s="37" t="s">
        <v>10</v>
      </c>
    </row>
    <row r="801" spans="1:8" x14ac:dyDescent="0.25">
      <c r="A801" s="31">
        <v>44628</v>
      </c>
      <c r="B801" s="37" t="s">
        <v>7816</v>
      </c>
      <c r="C801" s="51" t="s">
        <v>932</v>
      </c>
      <c r="D801" s="52">
        <v>2111.1999999999998</v>
      </c>
      <c r="E801" s="35">
        <v>44629</v>
      </c>
      <c r="F801" s="52">
        <v>2111.1999999999998</v>
      </c>
      <c r="G801" s="53">
        <f>Tabla14[[#This Row],[Importe]]-Tabla14[[#This Row],[Pagado]]</f>
        <v>0</v>
      </c>
      <c r="H801" s="37" t="s">
        <v>10</v>
      </c>
    </row>
    <row r="802" spans="1:8" x14ac:dyDescent="0.25">
      <c r="A802" s="31">
        <v>44628</v>
      </c>
      <c r="B802" s="37" t="s">
        <v>7817</v>
      </c>
      <c r="C802" s="51" t="s">
        <v>7818</v>
      </c>
      <c r="D802" s="52">
        <v>317.2</v>
      </c>
      <c r="E802" s="35">
        <v>44628</v>
      </c>
      <c r="F802" s="52">
        <v>317.2</v>
      </c>
      <c r="G802" s="53">
        <f>Tabla14[[#This Row],[Importe]]-Tabla14[[#This Row],[Pagado]]</f>
        <v>0</v>
      </c>
      <c r="H802" s="37" t="s">
        <v>10</v>
      </c>
    </row>
    <row r="803" spans="1:8" x14ac:dyDescent="0.25">
      <c r="A803" s="31">
        <v>44628</v>
      </c>
      <c r="B803" s="37" t="s">
        <v>7819</v>
      </c>
      <c r="C803" s="51" t="s">
        <v>224</v>
      </c>
      <c r="D803" s="52">
        <v>2324.4</v>
      </c>
      <c r="E803" s="35">
        <v>44628</v>
      </c>
      <c r="F803" s="52">
        <v>2324.4</v>
      </c>
      <c r="G803" s="53">
        <f>Tabla14[[#This Row],[Importe]]-Tabla14[[#This Row],[Pagado]]</f>
        <v>0</v>
      </c>
      <c r="H803" s="37" t="s">
        <v>10</v>
      </c>
    </row>
    <row r="804" spans="1:8" x14ac:dyDescent="0.25">
      <c r="A804" s="31">
        <v>44628</v>
      </c>
      <c r="B804" s="37" t="s">
        <v>7820</v>
      </c>
      <c r="C804" s="51" t="s">
        <v>840</v>
      </c>
      <c r="D804" s="52">
        <v>24557.5</v>
      </c>
      <c r="E804" s="35">
        <v>44628</v>
      </c>
      <c r="F804" s="52">
        <v>24557.5</v>
      </c>
      <c r="G804" s="53">
        <f>Tabla14[[#This Row],[Importe]]-Tabla14[[#This Row],[Pagado]]</f>
        <v>0</v>
      </c>
      <c r="H804" s="37" t="s">
        <v>10</v>
      </c>
    </row>
    <row r="805" spans="1:8" x14ac:dyDescent="0.25">
      <c r="A805" s="31">
        <v>44628</v>
      </c>
      <c r="B805" s="37" t="s">
        <v>7821</v>
      </c>
      <c r="C805" s="51" t="s">
        <v>371</v>
      </c>
      <c r="D805" s="52">
        <v>4895.3</v>
      </c>
      <c r="E805" s="35">
        <v>44629</v>
      </c>
      <c r="F805" s="52">
        <v>4895.3</v>
      </c>
      <c r="G805" s="53">
        <f>Tabla14[[#This Row],[Importe]]-Tabla14[[#This Row],[Pagado]]</f>
        <v>0</v>
      </c>
      <c r="H805" s="37" t="s">
        <v>10</v>
      </c>
    </row>
    <row r="806" spans="1:8" x14ac:dyDescent="0.25">
      <c r="A806" s="31">
        <v>44628</v>
      </c>
      <c r="B806" s="37" t="s">
        <v>7822</v>
      </c>
      <c r="C806" s="51" t="s">
        <v>815</v>
      </c>
      <c r="D806" s="52">
        <v>4489.2</v>
      </c>
      <c r="E806" s="35">
        <v>44628</v>
      </c>
      <c r="F806" s="52">
        <v>4489.2</v>
      </c>
      <c r="G806" s="53">
        <f>Tabla14[[#This Row],[Importe]]-Tabla14[[#This Row],[Pagado]]</f>
        <v>0</v>
      </c>
      <c r="H806" s="37" t="s">
        <v>10</v>
      </c>
    </row>
    <row r="807" spans="1:8" x14ac:dyDescent="0.25">
      <c r="A807" s="31">
        <v>44628</v>
      </c>
      <c r="B807" s="37" t="s">
        <v>7823</v>
      </c>
      <c r="C807" s="51" t="s">
        <v>698</v>
      </c>
      <c r="D807" s="52">
        <v>4309.2</v>
      </c>
      <c r="E807" s="35">
        <v>44628</v>
      </c>
      <c r="F807" s="52">
        <v>4309.2</v>
      </c>
      <c r="G807" s="53">
        <f>Tabla14[[#This Row],[Importe]]-Tabla14[[#This Row],[Pagado]]</f>
        <v>0</v>
      </c>
      <c r="H807" s="37" t="s">
        <v>10</v>
      </c>
    </row>
    <row r="808" spans="1:8" x14ac:dyDescent="0.25">
      <c r="A808" s="31">
        <v>44628</v>
      </c>
      <c r="B808" s="37" t="s">
        <v>7824</v>
      </c>
      <c r="C808" s="51" t="s">
        <v>24</v>
      </c>
      <c r="D808" s="52">
        <v>1037.4000000000001</v>
      </c>
      <c r="E808" s="35">
        <v>44628</v>
      </c>
      <c r="F808" s="52">
        <v>1037.4000000000001</v>
      </c>
      <c r="G808" s="53">
        <f>Tabla14[[#This Row],[Importe]]-Tabla14[[#This Row],[Pagado]]</f>
        <v>0</v>
      </c>
      <c r="H808" s="37" t="s">
        <v>10</v>
      </c>
    </row>
    <row r="809" spans="1:8" x14ac:dyDescent="0.25">
      <c r="A809" s="31">
        <v>44628</v>
      </c>
      <c r="B809" s="37" t="s">
        <v>7825</v>
      </c>
      <c r="C809" s="51" t="s">
        <v>1339</v>
      </c>
      <c r="D809" s="52">
        <v>6527.9</v>
      </c>
      <c r="E809" s="35">
        <v>44635</v>
      </c>
      <c r="F809" s="52">
        <v>6527.9</v>
      </c>
      <c r="G809" s="53">
        <f>Tabla14[[#This Row],[Importe]]-Tabla14[[#This Row],[Pagado]]</f>
        <v>0</v>
      </c>
      <c r="H809" s="37" t="s">
        <v>10</v>
      </c>
    </row>
    <row r="810" spans="1:8" x14ac:dyDescent="0.25">
      <c r="A810" s="31">
        <v>44628</v>
      </c>
      <c r="B810" s="37" t="s">
        <v>7826</v>
      </c>
      <c r="C810" s="51" t="s">
        <v>275</v>
      </c>
      <c r="D810" s="52">
        <v>49032</v>
      </c>
      <c r="E810" s="35">
        <v>44638</v>
      </c>
      <c r="F810" s="52">
        <v>49032</v>
      </c>
      <c r="G810" s="53">
        <f>Tabla14[[#This Row],[Importe]]-Tabla14[[#This Row],[Pagado]]</f>
        <v>0</v>
      </c>
      <c r="H810" s="37" t="s">
        <v>10</v>
      </c>
    </row>
    <row r="811" spans="1:8" x14ac:dyDescent="0.25">
      <c r="A811" s="31">
        <v>44628</v>
      </c>
      <c r="B811" s="37" t="s">
        <v>7827</v>
      </c>
      <c r="C811" s="51" t="s">
        <v>419</v>
      </c>
      <c r="D811" s="52">
        <v>3925.2</v>
      </c>
      <c r="E811" s="35">
        <v>44628</v>
      </c>
      <c r="F811" s="52">
        <v>3925.2</v>
      </c>
      <c r="G811" s="53">
        <f>Tabla14[[#This Row],[Importe]]-Tabla14[[#This Row],[Pagado]]</f>
        <v>0</v>
      </c>
      <c r="H811" s="37" t="s">
        <v>10</v>
      </c>
    </row>
    <row r="812" spans="1:8" x14ac:dyDescent="0.25">
      <c r="A812" s="31">
        <v>44628</v>
      </c>
      <c r="B812" s="37" t="s">
        <v>7828</v>
      </c>
      <c r="C812" s="51" t="s">
        <v>69</v>
      </c>
      <c r="D812" s="52">
        <v>2256.9</v>
      </c>
      <c r="E812" s="35">
        <v>44628</v>
      </c>
      <c r="F812" s="52">
        <v>2256.9</v>
      </c>
      <c r="G812" s="53">
        <f>Tabla14[[#This Row],[Importe]]-Tabla14[[#This Row],[Pagado]]</f>
        <v>0</v>
      </c>
      <c r="H812" s="37" t="s">
        <v>10</v>
      </c>
    </row>
    <row r="813" spans="1:8" x14ac:dyDescent="0.25">
      <c r="A813" s="31">
        <v>44628</v>
      </c>
      <c r="B813" s="37" t="s">
        <v>7829</v>
      </c>
      <c r="C813" s="51" t="s">
        <v>47</v>
      </c>
      <c r="D813" s="52">
        <v>52107.5</v>
      </c>
      <c r="E813" s="35">
        <v>44628</v>
      </c>
      <c r="F813" s="52">
        <v>52107.5</v>
      </c>
      <c r="G813" s="53">
        <f>Tabla14[[#This Row],[Importe]]-Tabla14[[#This Row],[Pagado]]</f>
        <v>0</v>
      </c>
      <c r="H813" s="37" t="s">
        <v>10</v>
      </c>
    </row>
    <row r="814" spans="1:8" x14ac:dyDescent="0.25">
      <c r="A814" s="31">
        <v>44628</v>
      </c>
      <c r="B814" s="37" t="s">
        <v>7830</v>
      </c>
      <c r="C814" s="51" t="s">
        <v>216</v>
      </c>
      <c r="D814" s="52">
        <v>1780.8</v>
      </c>
      <c r="E814" s="35">
        <v>44628</v>
      </c>
      <c r="F814" s="52">
        <v>1780.8</v>
      </c>
      <c r="G814" s="53">
        <f>Tabla14[[#This Row],[Importe]]-Tabla14[[#This Row],[Pagado]]</f>
        <v>0</v>
      </c>
      <c r="H814" s="37" t="s">
        <v>10</v>
      </c>
    </row>
    <row r="815" spans="1:8" x14ac:dyDescent="0.25">
      <c r="A815" s="31">
        <v>44628</v>
      </c>
      <c r="B815" s="37" t="s">
        <v>7831</v>
      </c>
      <c r="C815" s="51" t="s">
        <v>31</v>
      </c>
      <c r="D815" s="52">
        <v>1048.8</v>
      </c>
      <c r="E815" s="35">
        <v>44628</v>
      </c>
      <c r="F815" s="52">
        <v>1048.8</v>
      </c>
      <c r="G815" s="53">
        <f>Tabla14[[#This Row],[Importe]]-Tabla14[[#This Row],[Pagado]]</f>
        <v>0</v>
      </c>
      <c r="H815" s="37" t="s">
        <v>10</v>
      </c>
    </row>
    <row r="816" spans="1:8" x14ac:dyDescent="0.25">
      <c r="A816" s="31">
        <v>44628</v>
      </c>
      <c r="B816" s="37" t="s">
        <v>7832</v>
      </c>
      <c r="C816" s="51" t="s">
        <v>7833</v>
      </c>
      <c r="D816" s="52">
        <v>608.36</v>
      </c>
      <c r="E816" s="35">
        <v>44628</v>
      </c>
      <c r="F816" s="52">
        <v>608.36</v>
      </c>
      <c r="G816" s="53">
        <f>Tabla14[[#This Row],[Importe]]-Tabla14[[#This Row],[Pagado]]</f>
        <v>0</v>
      </c>
      <c r="H816" s="37" t="s">
        <v>10</v>
      </c>
    </row>
    <row r="817" spans="1:8" x14ac:dyDescent="0.25">
      <c r="A817" s="31">
        <v>44628</v>
      </c>
      <c r="B817" s="37" t="s">
        <v>7834</v>
      </c>
      <c r="C817" s="51" t="s">
        <v>67</v>
      </c>
      <c r="D817" s="52">
        <v>576.79999999999995</v>
      </c>
      <c r="E817" s="35">
        <v>44628</v>
      </c>
      <c r="F817" s="52">
        <v>576.79999999999995</v>
      </c>
      <c r="G817" s="53">
        <f>Tabla14[[#This Row],[Importe]]-Tabla14[[#This Row],[Pagado]]</f>
        <v>0</v>
      </c>
      <c r="H817" s="37" t="s">
        <v>10</v>
      </c>
    </row>
    <row r="818" spans="1:8" x14ac:dyDescent="0.25">
      <c r="A818" s="31">
        <v>44628</v>
      </c>
      <c r="B818" s="37" t="s">
        <v>7835</v>
      </c>
      <c r="C818" s="51" t="s">
        <v>67</v>
      </c>
      <c r="D818" s="52">
        <v>1234</v>
      </c>
      <c r="E818" s="35">
        <v>44628</v>
      </c>
      <c r="F818" s="52">
        <v>1234</v>
      </c>
      <c r="G818" s="53">
        <f>Tabla14[[#This Row],[Importe]]-Tabla14[[#This Row],[Pagado]]</f>
        <v>0</v>
      </c>
      <c r="H818" s="37" t="s">
        <v>10</v>
      </c>
    </row>
    <row r="819" spans="1:8" x14ac:dyDescent="0.25">
      <c r="A819" s="31">
        <v>44628</v>
      </c>
      <c r="B819" s="37" t="s">
        <v>7836</v>
      </c>
      <c r="C819" s="51" t="s">
        <v>62</v>
      </c>
      <c r="D819" s="52">
        <v>2035.8</v>
      </c>
      <c r="E819" s="35">
        <v>44628</v>
      </c>
      <c r="F819" s="52">
        <v>2035.8</v>
      </c>
      <c r="G819" s="53">
        <f>Tabla14[[#This Row],[Importe]]-Tabla14[[#This Row],[Pagado]]</f>
        <v>0</v>
      </c>
      <c r="H819" s="37" t="s">
        <v>10</v>
      </c>
    </row>
    <row r="820" spans="1:8" x14ac:dyDescent="0.25">
      <c r="A820" s="31">
        <v>44628</v>
      </c>
      <c r="B820" s="37" t="s">
        <v>7837</v>
      </c>
      <c r="C820" s="51" t="s">
        <v>31</v>
      </c>
      <c r="D820" s="52">
        <v>4469.2</v>
      </c>
      <c r="E820" s="35">
        <v>44628</v>
      </c>
      <c r="F820" s="52">
        <v>4469.2</v>
      </c>
      <c r="G820" s="53">
        <f>Tabla14[[#This Row],[Importe]]-Tabla14[[#This Row],[Pagado]]</f>
        <v>0</v>
      </c>
      <c r="H820" s="37" t="s">
        <v>10</v>
      </c>
    </row>
    <row r="821" spans="1:8" x14ac:dyDescent="0.25">
      <c r="A821" s="31">
        <v>44628</v>
      </c>
      <c r="B821" s="37" t="s">
        <v>7838</v>
      </c>
      <c r="C821" s="51" t="s">
        <v>440</v>
      </c>
      <c r="D821" s="52">
        <v>20512.400000000001</v>
      </c>
      <c r="E821" s="35">
        <v>44638</v>
      </c>
      <c r="F821" s="52">
        <v>20512.400000000001</v>
      </c>
      <c r="G821" s="53">
        <f>Tabla14[[#This Row],[Importe]]-Tabla14[[#This Row],[Pagado]]</f>
        <v>0</v>
      </c>
      <c r="H821" s="37" t="s">
        <v>10</v>
      </c>
    </row>
    <row r="822" spans="1:8" x14ac:dyDescent="0.25">
      <c r="A822" s="31">
        <v>44628</v>
      </c>
      <c r="B822" s="37" t="s">
        <v>7839</v>
      </c>
      <c r="C822" s="51" t="s">
        <v>269</v>
      </c>
      <c r="D822" s="52">
        <v>3127.4</v>
      </c>
      <c r="E822" s="35">
        <v>44628</v>
      </c>
      <c r="F822" s="52">
        <v>3127.4</v>
      </c>
      <c r="G822" s="53">
        <f>Tabla14[[#This Row],[Importe]]-Tabla14[[#This Row],[Pagado]]</f>
        <v>0</v>
      </c>
      <c r="H822" s="37" t="s">
        <v>10</v>
      </c>
    </row>
    <row r="823" spans="1:8" x14ac:dyDescent="0.25">
      <c r="A823" s="31">
        <v>44628</v>
      </c>
      <c r="B823" s="37" t="s">
        <v>7840</v>
      </c>
      <c r="C823" s="51" t="s">
        <v>273</v>
      </c>
      <c r="D823" s="52">
        <v>2350.3200000000002</v>
      </c>
      <c r="E823" s="35">
        <v>44628</v>
      </c>
      <c r="F823" s="52">
        <v>2350.3200000000002</v>
      </c>
      <c r="G823" s="53">
        <f>Tabla14[[#This Row],[Importe]]-Tabla14[[#This Row],[Pagado]]</f>
        <v>0</v>
      </c>
      <c r="H823" s="37" t="s">
        <v>10</v>
      </c>
    </row>
    <row r="824" spans="1:8" x14ac:dyDescent="0.25">
      <c r="A824" s="31">
        <v>44628</v>
      </c>
      <c r="B824" s="37" t="s">
        <v>7841</v>
      </c>
      <c r="C824" s="51" t="s">
        <v>31</v>
      </c>
      <c r="D824" s="52">
        <v>1741.5</v>
      </c>
      <c r="E824" s="35">
        <v>44628</v>
      </c>
      <c r="F824" s="52">
        <v>1741.5</v>
      </c>
      <c r="G824" s="53">
        <f>Tabla14[[#This Row],[Importe]]-Tabla14[[#This Row],[Pagado]]</f>
        <v>0</v>
      </c>
      <c r="H824" s="37" t="s">
        <v>10</v>
      </c>
    </row>
    <row r="825" spans="1:8" x14ac:dyDescent="0.25">
      <c r="A825" s="31">
        <v>44628</v>
      </c>
      <c r="B825" s="37" t="s">
        <v>7842</v>
      </c>
      <c r="C825" s="51" t="s">
        <v>1174</v>
      </c>
      <c r="D825" s="52">
        <v>28000</v>
      </c>
      <c r="E825" s="35">
        <v>44628</v>
      </c>
      <c r="F825" s="52">
        <v>28000</v>
      </c>
      <c r="G825" s="53">
        <f>Tabla14[[#This Row],[Importe]]-Tabla14[[#This Row],[Pagado]]</f>
        <v>0</v>
      </c>
      <c r="H825" s="37" t="s">
        <v>10</v>
      </c>
    </row>
    <row r="826" spans="1:8" x14ac:dyDescent="0.25">
      <c r="A826" s="31">
        <v>44628</v>
      </c>
      <c r="B826" s="37" t="s">
        <v>7843</v>
      </c>
      <c r="C826" s="51" t="s">
        <v>53</v>
      </c>
      <c r="D826" s="52">
        <v>2160.3000000000002</v>
      </c>
      <c r="E826" s="35">
        <v>44628</v>
      </c>
      <c r="F826" s="52">
        <v>2160.3000000000002</v>
      </c>
      <c r="G826" s="53">
        <f>Tabla14[[#This Row],[Importe]]-Tabla14[[#This Row],[Pagado]]</f>
        <v>0</v>
      </c>
      <c r="H826" s="37" t="s">
        <v>10</v>
      </c>
    </row>
    <row r="827" spans="1:8" x14ac:dyDescent="0.25">
      <c r="A827" s="31">
        <v>44628</v>
      </c>
      <c r="B827" s="37" t="s">
        <v>7844</v>
      </c>
      <c r="C827" s="51" t="s">
        <v>5217</v>
      </c>
      <c r="D827" s="52">
        <v>3190</v>
      </c>
      <c r="E827" s="35">
        <v>44628</v>
      </c>
      <c r="F827" s="52">
        <v>3190</v>
      </c>
      <c r="G827" s="53">
        <f>Tabla14[[#This Row],[Importe]]-Tabla14[[#This Row],[Pagado]]</f>
        <v>0</v>
      </c>
      <c r="H827" s="37" t="s">
        <v>10</v>
      </c>
    </row>
    <row r="828" spans="1:8" x14ac:dyDescent="0.25">
      <c r="A828" s="31">
        <v>44628</v>
      </c>
      <c r="B828" s="37" t="s">
        <v>7845</v>
      </c>
      <c r="C828" s="51" t="s">
        <v>5217</v>
      </c>
      <c r="D828" s="52">
        <v>1556.1</v>
      </c>
      <c r="E828" s="35">
        <v>44628</v>
      </c>
      <c r="F828" s="52">
        <v>1556.1</v>
      </c>
      <c r="G828" s="53">
        <f>Tabla14[[#This Row],[Importe]]-Tabla14[[#This Row],[Pagado]]</f>
        <v>0</v>
      </c>
      <c r="H828" s="37" t="s">
        <v>10</v>
      </c>
    </row>
    <row r="829" spans="1:8" x14ac:dyDescent="0.25">
      <c r="A829" s="31">
        <v>44628</v>
      </c>
      <c r="B829" s="37" t="s">
        <v>7846</v>
      </c>
      <c r="C829" s="51" t="s">
        <v>97</v>
      </c>
      <c r="D829" s="52">
        <v>3670.7</v>
      </c>
      <c r="E829" s="35">
        <v>44629</v>
      </c>
      <c r="F829" s="52">
        <v>3670.7</v>
      </c>
      <c r="G829" s="53">
        <f>Tabla14[[#This Row],[Importe]]-Tabla14[[#This Row],[Pagado]]</f>
        <v>0</v>
      </c>
      <c r="H829" s="37" t="s">
        <v>10</v>
      </c>
    </row>
    <row r="830" spans="1:8" x14ac:dyDescent="0.25">
      <c r="A830" s="31">
        <v>44628</v>
      </c>
      <c r="B830" s="37" t="s">
        <v>7847</v>
      </c>
      <c r="C830" s="51" t="s">
        <v>58</v>
      </c>
      <c r="D830" s="52">
        <v>3099.6</v>
      </c>
      <c r="E830" s="35">
        <v>44628</v>
      </c>
      <c r="F830" s="52">
        <v>3099.6</v>
      </c>
      <c r="G830" s="53">
        <f>Tabla14[[#This Row],[Importe]]-Tabla14[[#This Row],[Pagado]]</f>
        <v>0</v>
      </c>
      <c r="H830" s="37" t="s">
        <v>10</v>
      </c>
    </row>
    <row r="831" spans="1:8" x14ac:dyDescent="0.25">
      <c r="A831" s="31">
        <v>44628</v>
      </c>
      <c r="B831" s="37" t="s">
        <v>7848</v>
      </c>
      <c r="C831" s="51" t="s">
        <v>179</v>
      </c>
      <c r="D831" s="52">
        <v>520.79999999999995</v>
      </c>
      <c r="E831" s="35">
        <v>44629</v>
      </c>
      <c r="F831" s="52">
        <v>520.79999999999995</v>
      </c>
      <c r="G831" s="53">
        <f>Tabla14[[#This Row],[Importe]]-Tabla14[[#This Row],[Pagado]]</f>
        <v>0</v>
      </c>
      <c r="H831" s="37" t="s">
        <v>10</v>
      </c>
    </row>
    <row r="832" spans="1:8" x14ac:dyDescent="0.25">
      <c r="A832" s="31">
        <v>44628</v>
      </c>
      <c r="B832" s="37" t="s">
        <v>7849</v>
      </c>
      <c r="C832" s="51" t="s">
        <v>1350</v>
      </c>
      <c r="D832" s="52">
        <v>792.3</v>
      </c>
      <c r="E832" s="35">
        <v>44629</v>
      </c>
      <c r="F832" s="52">
        <v>792.3</v>
      </c>
      <c r="G832" s="53">
        <f>Tabla14[[#This Row],[Importe]]-Tabla14[[#This Row],[Pagado]]</f>
        <v>0</v>
      </c>
      <c r="H832" s="37" t="s">
        <v>10</v>
      </c>
    </row>
    <row r="833" spans="1:8" x14ac:dyDescent="0.25">
      <c r="A833" s="31">
        <v>44628</v>
      </c>
      <c r="B833" s="37" t="s">
        <v>7850</v>
      </c>
      <c r="C833" s="51" t="s">
        <v>843</v>
      </c>
      <c r="D833" s="52">
        <v>5577.6</v>
      </c>
      <c r="E833" s="35">
        <v>44628</v>
      </c>
      <c r="F833" s="52">
        <v>5577.6</v>
      </c>
      <c r="G833" s="53">
        <f>Tabla14[[#This Row],[Importe]]-Tabla14[[#This Row],[Pagado]]</f>
        <v>0</v>
      </c>
      <c r="H833" s="37" t="s">
        <v>10</v>
      </c>
    </row>
    <row r="834" spans="1:8" x14ac:dyDescent="0.25">
      <c r="A834" s="31">
        <v>44628</v>
      </c>
      <c r="B834" s="37" t="s">
        <v>7851</v>
      </c>
      <c r="C834" s="51" t="s">
        <v>273</v>
      </c>
      <c r="D834" s="52">
        <v>36600.699999999997</v>
      </c>
      <c r="E834" s="35">
        <v>44629</v>
      </c>
      <c r="F834" s="52">
        <v>36600.699999999997</v>
      </c>
      <c r="G834" s="53">
        <f>Tabla14[[#This Row],[Importe]]-Tabla14[[#This Row],[Pagado]]</f>
        <v>0</v>
      </c>
      <c r="H834" s="37" t="s">
        <v>10</v>
      </c>
    </row>
    <row r="835" spans="1:8" x14ac:dyDescent="0.25">
      <c r="A835" s="31">
        <v>44628</v>
      </c>
      <c r="B835" s="37" t="s">
        <v>7852</v>
      </c>
      <c r="C835" s="51" t="s">
        <v>2151</v>
      </c>
      <c r="D835" s="52">
        <v>4425.6000000000004</v>
      </c>
      <c r="E835" s="35">
        <v>44628</v>
      </c>
      <c r="F835" s="52">
        <v>4425.6000000000004</v>
      </c>
      <c r="G835" s="53">
        <f>Tabla14[[#This Row],[Importe]]-Tabla14[[#This Row],[Pagado]]</f>
        <v>0</v>
      </c>
      <c r="H835" s="37" t="s">
        <v>10</v>
      </c>
    </row>
    <row r="836" spans="1:8" x14ac:dyDescent="0.25">
      <c r="A836" s="31">
        <v>44628</v>
      </c>
      <c r="B836" s="37" t="s">
        <v>7853</v>
      </c>
      <c r="C836" s="51" t="s">
        <v>275</v>
      </c>
      <c r="D836" s="52">
        <v>41587.800000000003</v>
      </c>
      <c r="E836" s="35">
        <v>44638</v>
      </c>
      <c r="F836" s="52">
        <v>41587.800000000003</v>
      </c>
      <c r="G836" s="53">
        <f>Tabla14[[#This Row],[Importe]]-Tabla14[[#This Row],[Pagado]]</f>
        <v>0</v>
      </c>
      <c r="H836" s="37" t="s">
        <v>10</v>
      </c>
    </row>
    <row r="837" spans="1:8" x14ac:dyDescent="0.25">
      <c r="A837" s="31">
        <v>44628</v>
      </c>
      <c r="B837" s="37" t="s">
        <v>7854</v>
      </c>
      <c r="C837" s="51" t="s">
        <v>284</v>
      </c>
      <c r="D837" s="52">
        <v>6809.6</v>
      </c>
      <c r="E837" s="35">
        <v>44629</v>
      </c>
      <c r="F837" s="52">
        <v>6809.6</v>
      </c>
      <c r="G837" s="53">
        <f>Tabla14[[#This Row],[Importe]]-Tabla14[[#This Row],[Pagado]]</f>
        <v>0</v>
      </c>
      <c r="H837" s="37" t="s">
        <v>10</v>
      </c>
    </row>
    <row r="838" spans="1:8" x14ac:dyDescent="0.25">
      <c r="A838" s="31">
        <v>44628</v>
      </c>
      <c r="B838" s="37" t="s">
        <v>7855</v>
      </c>
      <c r="C838" s="51" t="s">
        <v>31</v>
      </c>
      <c r="D838" s="52">
        <v>1162</v>
      </c>
      <c r="E838" s="35">
        <v>44628</v>
      </c>
      <c r="F838" s="52">
        <v>1162</v>
      </c>
      <c r="G838" s="53">
        <f>Tabla14[[#This Row],[Importe]]-Tabla14[[#This Row],[Pagado]]</f>
        <v>0</v>
      </c>
      <c r="H838" s="37" t="s">
        <v>10</v>
      </c>
    </row>
    <row r="839" spans="1:8" x14ac:dyDescent="0.25">
      <c r="A839" s="31">
        <v>44628</v>
      </c>
      <c r="B839" s="37" t="s">
        <v>7856</v>
      </c>
      <c r="C839" s="51" t="s">
        <v>5345</v>
      </c>
      <c r="D839" s="52">
        <v>1730.4</v>
      </c>
      <c r="E839" s="35">
        <v>44629</v>
      </c>
      <c r="F839" s="52">
        <v>1730.4</v>
      </c>
      <c r="G839" s="53">
        <f>Tabla14[[#This Row],[Importe]]-Tabla14[[#This Row],[Pagado]]</f>
        <v>0</v>
      </c>
      <c r="H839" s="37" t="s">
        <v>10</v>
      </c>
    </row>
    <row r="840" spans="1:8" x14ac:dyDescent="0.25">
      <c r="A840" s="31">
        <v>44628</v>
      </c>
      <c r="B840" s="37" t="s">
        <v>7857</v>
      </c>
      <c r="C840" s="51" t="s">
        <v>280</v>
      </c>
      <c r="D840" s="52">
        <v>565.6</v>
      </c>
      <c r="E840" s="35">
        <v>44629</v>
      </c>
      <c r="F840" s="52">
        <v>565.6</v>
      </c>
      <c r="G840" s="53">
        <f>Tabla14[[#This Row],[Importe]]-Tabla14[[#This Row],[Pagado]]</f>
        <v>0</v>
      </c>
      <c r="H840" s="37" t="s">
        <v>10</v>
      </c>
    </row>
    <row r="841" spans="1:8" x14ac:dyDescent="0.25">
      <c r="A841" s="31">
        <v>44628</v>
      </c>
      <c r="B841" s="37" t="s">
        <v>7858</v>
      </c>
      <c r="C841" s="51" t="s">
        <v>291</v>
      </c>
      <c r="D841" s="52">
        <v>2677.5</v>
      </c>
      <c r="E841" s="35">
        <v>44629</v>
      </c>
      <c r="F841" s="52">
        <v>2677.5</v>
      </c>
      <c r="G841" s="53">
        <f>Tabla14[[#This Row],[Importe]]-Tabla14[[#This Row],[Pagado]]</f>
        <v>0</v>
      </c>
      <c r="H841" s="37" t="s">
        <v>10</v>
      </c>
    </row>
    <row r="842" spans="1:8" x14ac:dyDescent="0.25">
      <c r="A842" s="31">
        <v>44628</v>
      </c>
      <c r="B842" s="37" t="s">
        <v>7859</v>
      </c>
      <c r="C842" s="51" t="s">
        <v>142</v>
      </c>
      <c r="D842" s="52">
        <v>1776</v>
      </c>
      <c r="E842" s="35" t="s">
        <v>7024</v>
      </c>
      <c r="F842" s="52">
        <v>1776</v>
      </c>
      <c r="G842" s="53">
        <f>Tabla14[[#This Row],[Importe]]-Tabla14[[#This Row],[Pagado]]</f>
        <v>0</v>
      </c>
      <c r="H842" s="37" t="s">
        <v>10</v>
      </c>
    </row>
    <row r="843" spans="1:8" x14ac:dyDescent="0.25">
      <c r="A843" s="31">
        <v>44628</v>
      </c>
      <c r="B843" s="37" t="s">
        <v>7860</v>
      </c>
      <c r="C843" s="51" t="s">
        <v>368</v>
      </c>
      <c r="D843" s="52">
        <v>989</v>
      </c>
      <c r="E843" s="35">
        <v>44629</v>
      </c>
      <c r="F843" s="52">
        <v>989</v>
      </c>
      <c r="G843" s="53">
        <f>Tabla14[[#This Row],[Importe]]-Tabla14[[#This Row],[Pagado]]</f>
        <v>0</v>
      </c>
      <c r="H843" s="37" t="s">
        <v>10</v>
      </c>
    </row>
    <row r="844" spans="1:8" x14ac:dyDescent="0.25">
      <c r="A844" s="31">
        <v>44628</v>
      </c>
      <c r="B844" s="37" t="s">
        <v>7861</v>
      </c>
      <c r="C844" s="51" t="s">
        <v>7862</v>
      </c>
      <c r="D844" s="52">
        <v>30766</v>
      </c>
      <c r="E844" s="35">
        <v>44628</v>
      </c>
      <c r="F844" s="52">
        <v>30766</v>
      </c>
      <c r="G844" s="53">
        <f>Tabla14[[#This Row],[Importe]]-Tabla14[[#This Row],[Pagado]]</f>
        <v>0</v>
      </c>
      <c r="H844" s="37" t="s">
        <v>10</v>
      </c>
    </row>
    <row r="845" spans="1:8" x14ac:dyDescent="0.25">
      <c r="A845" s="31">
        <v>44628</v>
      </c>
      <c r="B845" s="37" t="s">
        <v>7863</v>
      </c>
      <c r="C845" s="51" t="s">
        <v>1706</v>
      </c>
      <c r="D845" s="52">
        <v>12000</v>
      </c>
      <c r="E845" s="35">
        <v>44628</v>
      </c>
      <c r="F845" s="52">
        <v>12000</v>
      </c>
      <c r="G845" s="53">
        <f>Tabla14[[#This Row],[Importe]]-Tabla14[[#This Row],[Pagado]]</f>
        <v>0</v>
      </c>
      <c r="H845" s="37" t="s">
        <v>10</v>
      </c>
    </row>
    <row r="846" spans="1:8" x14ac:dyDescent="0.25">
      <c r="A846" s="31">
        <v>44628</v>
      </c>
      <c r="B846" s="37" t="s">
        <v>7864</v>
      </c>
      <c r="C846" s="51" t="s">
        <v>849</v>
      </c>
      <c r="D846" s="52">
        <v>462.4</v>
      </c>
      <c r="E846" s="35">
        <v>44628</v>
      </c>
      <c r="F846" s="52">
        <v>462.4</v>
      </c>
      <c r="G846" s="53">
        <f>Tabla14[[#This Row],[Importe]]-Tabla14[[#This Row],[Pagado]]</f>
        <v>0</v>
      </c>
      <c r="H846" s="37" t="s">
        <v>10</v>
      </c>
    </row>
    <row r="847" spans="1:8" x14ac:dyDescent="0.25">
      <c r="A847" s="31">
        <v>44628</v>
      </c>
      <c r="B847" s="37" t="s">
        <v>7865</v>
      </c>
      <c r="C847" s="51" t="s">
        <v>95</v>
      </c>
      <c r="D847" s="52">
        <v>5241.5</v>
      </c>
      <c r="E847" s="35">
        <v>44628</v>
      </c>
      <c r="F847" s="52">
        <v>5241.5</v>
      </c>
      <c r="G847" s="53">
        <f>Tabla14[[#This Row],[Importe]]-Tabla14[[#This Row],[Pagado]]</f>
        <v>0</v>
      </c>
      <c r="H847" s="37" t="s">
        <v>10</v>
      </c>
    </row>
    <row r="848" spans="1:8" x14ac:dyDescent="0.25">
      <c r="A848" s="31">
        <v>44628</v>
      </c>
      <c r="B848" s="37" t="s">
        <v>7866</v>
      </c>
      <c r="C848" s="51" t="s">
        <v>71</v>
      </c>
      <c r="D848" s="52">
        <v>6932.8</v>
      </c>
      <c r="E848" s="35">
        <v>44628</v>
      </c>
      <c r="F848" s="52">
        <v>6932.8</v>
      </c>
      <c r="G848" s="53">
        <f>Tabla14[[#This Row],[Importe]]-Tabla14[[#This Row],[Pagado]]</f>
        <v>0</v>
      </c>
      <c r="H848" s="37" t="s">
        <v>10</v>
      </c>
    </row>
    <row r="849" spans="1:8" x14ac:dyDescent="0.25">
      <c r="A849" s="31">
        <v>44628</v>
      </c>
      <c r="B849" s="37" t="s">
        <v>7867</v>
      </c>
      <c r="C849" s="51" t="s">
        <v>1313</v>
      </c>
      <c r="D849" s="52">
        <v>11358.2</v>
      </c>
      <c r="E849" s="35">
        <v>44629</v>
      </c>
      <c r="F849" s="52">
        <v>11358.2</v>
      </c>
      <c r="G849" s="53">
        <f>Tabla14[[#This Row],[Importe]]-Tabla14[[#This Row],[Pagado]]</f>
        <v>0</v>
      </c>
      <c r="H849" s="37" t="s">
        <v>10</v>
      </c>
    </row>
    <row r="850" spans="1:8" ht="31.5" x14ac:dyDescent="0.25">
      <c r="A850" s="31">
        <v>44629</v>
      </c>
      <c r="B850" s="37" t="s">
        <v>7868</v>
      </c>
      <c r="C850" s="51" t="s">
        <v>475</v>
      </c>
      <c r="D850" s="52">
        <v>70275.8</v>
      </c>
      <c r="E850" s="35" t="s">
        <v>7869</v>
      </c>
      <c r="F850" s="52">
        <f>54000+16275.8</f>
        <v>70275.8</v>
      </c>
      <c r="G850" s="53">
        <f>Tabla14[[#This Row],[Importe]]-Tabla14[[#This Row],[Pagado]]</f>
        <v>0</v>
      </c>
      <c r="H850" s="37" t="s">
        <v>10</v>
      </c>
    </row>
    <row r="851" spans="1:8" x14ac:dyDescent="0.25">
      <c r="A851" s="31">
        <v>44629</v>
      </c>
      <c r="B851" s="37" t="s">
        <v>7870</v>
      </c>
      <c r="C851" s="51" t="s">
        <v>12</v>
      </c>
      <c r="D851" s="52">
        <v>20570.25</v>
      </c>
      <c r="E851" s="35">
        <v>44630</v>
      </c>
      <c r="F851" s="52">
        <v>20570.25</v>
      </c>
      <c r="G851" s="53">
        <f>Tabla14[[#This Row],[Importe]]-Tabla14[[#This Row],[Pagado]]</f>
        <v>0</v>
      </c>
      <c r="H851" s="37" t="s">
        <v>10</v>
      </c>
    </row>
    <row r="852" spans="1:8" x14ac:dyDescent="0.25">
      <c r="A852" s="31">
        <v>44629</v>
      </c>
      <c r="B852" s="37" t="s">
        <v>7871</v>
      </c>
      <c r="C852" s="51" t="s">
        <v>481</v>
      </c>
      <c r="D852" s="52">
        <v>925.6</v>
      </c>
      <c r="E852" s="35">
        <v>44629</v>
      </c>
      <c r="F852" s="52">
        <v>925.6</v>
      </c>
      <c r="G852" s="53">
        <f>Tabla14[[#This Row],[Importe]]-Tabla14[[#This Row],[Pagado]]</f>
        <v>0</v>
      </c>
      <c r="H852" s="37" t="s">
        <v>10</v>
      </c>
    </row>
    <row r="853" spans="1:8" x14ac:dyDescent="0.25">
      <c r="A853" s="31">
        <v>44629</v>
      </c>
      <c r="B853" s="37" t="s">
        <v>7872</v>
      </c>
      <c r="C853" s="51" t="s">
        <v>193</v>
      </c>
      <c r="D853" s="52">
        <v>5432.4</v>
      </c>
      <c r="E853" s="35">
        <v>44629</v>
      </c>
      <c r="F853" s="52">
        <v>5432.4</v>
      </c>
      <c r="G853" s="53">
        <f>Tabla14[[#This Row],[Importe]]-Tabla14[[#This Row],[Pagado]]</f>
        <v>0</v>
      </c>
      <c r="H853" s="37" t="s">
        <v>10</v>
      </c>
    </row>
    <row r="854" spans="1:8" x14ac:dyDescent="0.25">
      <c r="A854" s="31">
        <v>44629</v>
      </c>
      <c r="B854" s="37" t="s">
        <v>7873</v>
      </c>
      <c r="C854" s="51" t="s">
        <v>22</v>
      </c>
      <c r="D854" s="52">
        <v>35600.699999999997</v>
      </c>
      <c r="E854" s="35">
        <v>44630</v>
      </c>
      <c r="F854" s="52">
        <v>35600.699999999997</v>
      </c>
      <c r="G854" s="53">
        <f>Tabla14[[#This Row],[Importe]]-Tabla14[[#This Row],[Pagado]]</f>
        <v>0</v>
      </c>
      <c r="H854" s="37" t="s">
        <v>10</v>
      </c>
    </row>
    <row r="855" spans="1:8" x14ac:dyDescent="0.25">
      <c r="A855" s="31">
        <v>44629</v>
      </c>
      <c r="B855" s="37" t="s">
        <v>7874</v>
      </c>
      <c r="C855" s="51" t="s">
        <v>64</v>
      </c>
      <c r="D855" s="52">
        <v>7525.1</v>
      </c>
      <c r="E855" s="35">
        <v>44631</v>
      </c>
      <c r="F855" s="52">
        <v>7525.1</v>
      </c>
      <c r="G855" s="53">
        <f>Tabla14[[#This Row],[Importe]]-Tabla14[[#This Row],[Pagado]]</f>
        <v>0</v>
      </c>
      <c r="H855" s="37" t="s">
        <v>10</v>
      </c>
    </row>
    <row r="856" spans="1:8" x14ac:dyDescent="0.25">
      <c r="A856" s="31">
        <v>44629</v>
      </c>
      <c r="B856" s="37" t="s">
        <v>7875</v>
      </c>
      <c r="C856" s="51" t="s">
        <v>97</v>
      </c>
      <c r="D856" s="52">
        <v>3774.1</v>
      </c>
      <c r="E856" s="35">
        <v>44630</v>
      </c>
      <c r="F856" s="52">
        <v>3774.1</v>
      </c>
      <c r="G856" s="53">
        <f>Tabla14[[#This Row],[Importe]]-Tabla14[[#This Row],[Pagado]]</f>
        <v>0</v>
      </c>
      <c r="H856" s="37" t="s">
        <v>10</v>
      </c>
    </row>
    <row r="857" spans="1:8" x14ac:dyDescent="0.25">
      <c r="A857" s="31">
        <v>44629</v>
      </c>
      <c r="B857" s="37" t="s">
        <v>7876</v>
      </c>
      <c r="C857" s="51" t="s">
        <v>105</v>
      </c>
      <c r="D857" s="52">
        <v>4263</v>
      </c>
      <c r="E857" s="35">
        <v>44629</v>
      </c>
      <c r="F857" s="52">
        <v>4263</v>
      </c>
      <c r="G857" s="53">
        <f>Tabla14[[#This Row],[Importe]]-Tabla14[[#This Row],[Pagado]]</f>
        <v>0</v>
      </c>
      <c r="H857" s="37" t="s">
        <v>10</v>
      </c>
    </row>
    <row r="858" spans="1:8" x14ac:dyDescent="0.25">
      <c r="A858" s="31">
        <v>44629</v>
      </c>
      <c r="B858" s="37" t="s">
        <v>7877</v>
      </c>
      <c r="C858" s="51" t="s">
        <v>120</v>
      </c>
      <c r="D858" s="52">
        <v>4449.2</v>
      </c>
      <c r="E858" s="35">
        <v>44631</v>
      </c>
      <c r="F858" s="52">
        <v>4449.2</v>
      </c>
      <c r="G858" s="53">
        <f>Tabla14[[#This Row],[Importe]]-Tabla14[[#This Row],[Pagado]]</f>
        <v>0</v>
      </c>
      <c r="H858" s="37" t="s">
        <v>10</v>
      </c>
    </row>
    <row r="859" spans="1:8" x14ac:dyDescent="0.25">
      <c r="A859" s="31">
        <v>44629</v>
      </c>
      <c r="B859" s="37" t="s">
        <v>7878</v>
      </c>
      <c r="C859" s="51" t="s">
        <v>39</v>
      </c>
      <c r="D859" s="52">
        <v>11215</v>
      </c>
      <c r="E859" s="35">
        <v>44631</v>
      </c>
      <c r="F859" s="52">
        <v>11215</v>
      </c>
      <c r="G859" s="53">
        <f>Tabla14[[#This Row],[Importe]]-Tabla14[[#This Row],[Pagado]]</f>
        <v>0</v>
      </c>
      <c r="H859" s="37" t="s">
        <v>10</v>
      </c>
    </row>
    <row r="860" spans="1:8" x14ac:dyDescent="0.25">
      <c r="A860" s="31">
        <v>44629</v>
      </c>
      <c r="B860" s="37" t="s">
        <v>7879</v>
      </c>
      <c r="C860" s="51" t="s">
        <v>326</v>
      </c>
      <c r="D860" s="52">
        <v>4065.5</v>
      </c>
      <c r="E860" s="35">
        <v>44630</v>
      </c>
      <c r="F860" s="52">
        <v>4065.5</v>
      </c>
      <c r="G860" s="53">
        <f>Tabla14[[#This Row],[Importe]]-Tabla14[[#This Row],[Pagado]]</f>
        <v>0</v>
      </c>
      <c r="H860" s="37" t="s">
        <v>10</v>
      </c>
    </row>
    <row r="861" spans="1:8" x14ac:dyDescent="0.25">
      <c r="A861" s="31">
        <v>44629</v>
      </c>
      <c r="B861" s="37" t="s">
        <v>7880</v>
      </c>
      <c r="C861" s="51" t="s">
        <v>9</v>
      </c>
      <c r="D861" s="52">
        <v>4749.7</v>
      </c>
      <c r="E861" s="35">
        <v>44629</v>
      </c>
      <c r="F861" s="52">
        <v>4749.7</v>
      </c>
      <c r="G861" s="53">
        <f>Tabla14[[#This Row],[Importe]]-Tabla14[[#This Row],[Pagado]]</f>
        <v>0</v>
      </c>
      <c r="H861" s="37" t="s">
        <v>10</v>
      </c>
    </row>
    <row r="862" spans="1:8" x14ac:dyDescent="0.25">
      <c r="A862" s="31">
        <v>44629</v>
      </c>
      <c r="B862" s="37" t="s">
        <v>7881</v>
      </c>
      <c r="C862" s="51" t="s">
        <v>114</v>
      </c>
      <c r="D862" s="52">
        <v>4838.6000000000004</v>
      </c>
      <c r="E862" s="35">
        <v>44631</v>
      </c>
      <c r="F862" s="52">
        <v>4838.6000000000004</v>
      </c>
      <c r="G862" s="53">
        <f>Tabla14[[#This Row],[Importe]]-Tabla14[[#This Row],[Pagado]]</f>
        <v>0</v>
      </c>
      <c r="H862" s="37" t="s">
        <v>10</v>
      </c>
    </row>
    <row r="863" spans="1:8" x14ac:dyDescent="0.25">
      <c r="A863" s="31">
        <v>44629</v>
      </c>
      <c r="B863" s="37" t="s">
        <v>7882</v>
      </c>
      <c r="C863" s="51" t="s">
        <v>18</v>
      </c>
      <c r="D863" s="52">
        <v>1316.6</v>
      </c>
      <c r="E863" s="35">
        <v>44629</v>
      </c>
      <c r="F863" s="52">
        <v>1316.6</v>
      </c>
      <c r="G863" s="53">
        <f>Tabla14[[#This Row],[Importe]]-Tabla14[[#This Row],[Pagado]]</f>
        <v>0</v>
      </c>
      <c r="H863" s="37" t="s">
        <v>10</v>
      </c>
    </row>
    <row r="864" spans="1:8" x14ac:dyDescent="0.25">
      <c r="A864" s="31">
        <v>44629</v>
      </c>
      <c r="B864" s="37" t="s">
        <v>7883</v>
      </c>
      <c r="C864" s="51" t="s">
        <v>89</v>
      </c>
      <c r="D864" s="52">
        <v>4447.8</v>
      </c>
      <c r="E864" s="35">
        <v>44630</v>
      </c>
      <c r="F864" s="52">
        <v>4447.8</v>
      </c>
      <c r="G864" s="53">
        <f>Tabla14[[#This Row],[Importe]]-Tabla14[[#This Row],[Pagado]]</f>
        <v>0</v>
      </c>
      <c r="H864" s="37" t="s">
        <v>10</v>
      </c>
    </row>
    <row r="865" spans="1:8" x14ac:dyDescent="0.25">
      <c r="A865" s="31">
        <v>44629</v>
      </c>
      <c r="B865" s="37" t="s">
        <v>7884</v>
      </c>
      <c r="C865" s="51" t="s">
        <v>7885</v>
      </c>
      <c r="D865" s="52">
        <v>0</v>
      </c>
      <c r="E865" s="39" t="s">
        <v>189</v>
      </c>
      <c r="F865" s="52">
        <v>0</v>
      </c>
      <c r="G865" s="53">
        <f>Tabla14[[#This Row],[Importe]]-Tabla14[[#This Row],[Pagado]]</f>
        <v>0</v>
      </c>
      <c r="H865" s="54" t="s">
        <v>7886</v>
      </c>
    </row>
    <row r="866" spans="1:8" x14ac:dyDescent="0.25">
      <c r="A866" s="31">
        <v>44629</v>
      </c>
      <c r="B866" s="37" t="s">
        <v>7887</v>
      </c>
      <c r="C866" s="51" t="s">
        <v>345</v>
      </c>
      <c r="D866" s="52">
        <v>520.79999999999995</v>
      </c>
      <c r="E866" s="35">
        <v>44629</v>
      </c>
      <c r="F866" s="52">
        <v>520.79999999999995</v>
      </c>
      <c r="G866" s="53">
        <f>Tabla14[[#This Row],[Importe]]-Tabla14[[#This Row],[Pagado]]</f>
        <v>0</v>
      </c>
      <c r="H866" s="37" t="s">
        <v>10</v>
      </c>
    </row>
    <row r="867" spans="1:8" x14ac:dyDescent="0.25">
      <c r="A867" s="31">
        <v>44629</v>
      </c>
      <c r="B867" s="37" t="s">
        <v>7888</v>
      </c>
      <c r="C867" s="51" t="s">
        <v>5720</v>
      </c>
      <c r="D867" s="52">
        <v>0</v>
      </c>
      <c r="E867" s="39" t="s">
        <v>189</v>
      </c>
      <c r="F867" s="52">
        <v>0</v>
      </c>
      <c r="G867" s="53">
        <f>Tabla14[[#This Row],[Importe]]-Tabla14[[#This Row],[Pagado]]</f>
        <v>0</v>
      </c>
      <c r="H867" s="54" t="s">
        <v>7886</v>
      </c>
    </row>
    <row r="868" spans="1:8" x14ac:dyDescent="0.25">
      <c r="A868" s="31">
        <v>44629</v>
      </c>
      <c r="B868" s="37" t="s">
        <v>7889</v>
      </c>
      <c r="C868" s="51" t="s">
        <v>93</v>
      </c>
      <c r="D868" s="52">
        <v>6466.1</v>
      </c>
      <c r="E868" s="35">
        <v>44630</v>
      </c>
      <c r="F868" s="52">
        <v>6466.1</v>
      </c>
      <c r="G868" s="53">
        <f>Tabla14[[#This Row],[Importe]]-Tabla14[[#This Row],[Pagado]]</f>
        <v>0</v>
      </c>
      <c r="H868" s="37" t="s">
        <v>10</v>
      </c>
    </row>
    <row r="869" spans="1:8" x14ac:dyDescent="0.25">
      <c r="A869" s="31">
        <v>44629</v>
      </c>
      <c r="B869" s="37" t="s">
        <v>7890</v>
      </c>
      <c r="C869" s="51" t="s">
        <v>924</v>
      </c>
      <c r="D869" s="52">
        <v>11052.72</v>
      </c>
      <c r="E869" s="35">
        <v>44629</v>
      </c>
      <c r="F869" s="52">
        <v>11052.72</v>
      </c>
      <c r="G869" s="53">
        <f>Tabla14[[#This Row],[Importe]]-Tabla14[[#This Row],[Pagado]]</f>
        <v>0</v>
      </c>
      <c r="H869" s="37" t="s">
        <v>10</v>
      </c>
    </row>
    <row r="870" spans="1:8" x14ac:dyDescent="0.25">
      <c r="A870" s="31">
        <v>44629</v>
      </c>
      <c r="B870" s="37" t="s">
        <v>7891</v>
      </c>
      <c r="C870" s="51" t="s">
        <v>131</v>
      </c>
      <c r="D870" s="52">
        <v>12815</v>
      </c>
      <c r="E870" s="35">
        <v>44629</v>
      </c>
      <c r="F870" s="52">
        <v>12815</v>
      </c>
      <c r="G870" s="53">
        <f>Tabla14[[#This Row],[Importe]]-Tabla14[[#This Row],[Pagado]]</f>
        <v>0</v>
      </c>
      <c r="H870" s="37" t="s">
        <v>10</v>
      </c>
    </row>
    <row r="871" spans="1:8" x14ac:dyDescent="0.25">
      <c r="A871" s="31">
        <v>44629</v>
      </c>
      <c r="B871" s="37" t="s">
        <v>7892</v>
      </c>
      <c r="C871" s="51" t="s">
        <v>16</v>
      </c>
      <c r="D871" s="52">
        <v>3838</v>
      </c>
      <c r="E871" s="35">
        <v>44629</v>
      </c>
      <c r="F871" s="52">
        <v>3838</v>
      </c>
      <c r="G871" s="53">
        <f>Tabla14[[#This Row],[Importe]]-Tabla14[[#This Row],[Pagado]]</f>
        <v>0</v>
      </c>
      <c r="H871" s="37" t="s">
        <v>10</v>
      </c>
    </row>
    <row r="872" spans="1:8" x14ac:dyDescent="0.25">
      <c r="A872" s="31">
        <v>44629</v>
      </c>
      <c r="B872" s="37" t="s">
        <v>7893</v>
      </c>
      <c r="C872" s="51" t="s">
        <v>7894</v>
      </c>
      <c r="D872" s="52">
        <v>4266.5</v>
      </c>
      <c r="E872" s="35">
        <v>44629</v>
      </c>
      <c r="F872" s="52">
        <v>4266.5</v>
      </c>
      <c r="G872" s="53">
        <f>Tabla14[[#This Row],[Importe]]-Tabla14[[#This Row],[Pagado]]</f>
        <v>0</v>
      </c>
      <c r="H872" s="37" t="s">
        <v>10</v>
      </c>
    </row>
    <row r="873" spans="1:8" x14ac:dyDescent="0.25">
      <c r="A873" s="31">
        <v>44629</v>
      </c>
      <c r="B873" s="37" t="s">
        <v>7895</v>
      </c>
      <c r="C873" s="51" t="s">
        <v>31</v>
      </c>
      <c r="D873" s="52">
        <v>4017.6</v>
      </c>
      <c r="E873" s="35">
        <v>44629</v>
      </c>
      <c r="F873" s="52">
        <v>4017.6</v>
      </c>
      <c r="G873" s="53">
        <f>Tabla14[[#This Row],[Importe]]-Tabla14[[#This Row],[Pagado]]</f>
        <v>0</v>
      </c>
      <c r="H873" s="37" t="s">
        <v>10</v>
      </c>
    </row>
    <row r="874" spans="1:8" x14ac:dyDescent="0.25">
      <c r="A874" s="31">
        <v>44629</v>
      </c>
      <c r="B874" s="37" t="s">
        <v>7896</v>
      </c>
      <c r="C874" s="51" t="s">
        <v>87</v>
      </c>
      <c r="D874" s="52">
        <v>2363.1999999999998</v>
      </c>
      <c r="E874" s="35">
        <v>44629</v>
      </c>
      <c r="F874" s="52">
        <v>2363.1999999999998</v>
      </c>
      <c r="G874" s="53">
        <f>Tabla14[[#This Row],[Importe]]-Tabla14[[#This Row],[Pagado]]</f>
        <v>0</v>
      </c>
      <c r="H874" s="37" t="s">
        <v>10</v>
      </c>
    </row>
    <row r="875" spans="1:8" x14ac:dyDescent="0.25">
      <c r="A875" s="31">
        <v>44629</v>
      </c>
      <c r="B875" s="37" t="s">
        <v>7897</v>
      </c>
      <c r="C875" s="51" t="s">
        <v>140</v>
      </c>
      <c r="D875" s="52">
        <v>1482</v>
      </c>
      <c r="E875" s="35">
        <v>44629</v>
      </c>
      <c r="F875" s="52">
        <v>1482</v>
      </c>
      <c r="G875" s="53">
        <f>Tabla14[[#This Row],[Importe]]-Tabla14[[#This Row],[Pagado]]</f>
        <v>0</v>
      </c>
      <c r="H875" s="37" t="s">
        <v>10</v>
      </c>
    </row>
    <row r="876" spans="1:8" x14ac:dyDescent="0.25">
      <c r="A876" s="31">
        <v>44629</v>
      </c>
      <c r="B876" s="37" t="s">
        <v>7898</v>
      </c>
      <c r="C876" s="51" t="s">
        <v>129</v>
      </c>
      <c r="D876" s="52">
        <v>1550.4</v>
      </c>
      <c r="E876" s="35">
        <v>44629</v>
      </c>
      <c r="F876" s="52">
        <v>1550.4</v>
      </c>
      <c r="G876" s="53">
        <f>Tabla14[[#This Row],[Importe]]-Tabla14[[#This Row],[Pagado]]</f>
        <v>0</v>
      </c>
      <c r="H876" s="37" t="s">
        <v>10</v>
      </c>
    </row>
    <row r="877" spans="1:8" x14ac:dyDescent="0.25">
      <c r="A877" s="31">
        <v>44629</v>
      </c>
      <c r="B877" s="37" t="s">
        <v>7899</v>
      </c>
      <c r="C877" s="51" t="s">
        <v>339</v>
      </c>
      <c r="D877" s="52">
        <v>478.8</v>
      </c>
      <c r="E877" s="35">
        <v>44629</v>
      </c>
      <c r="F877" s="52">
        <v>478.8</v>
      </c>
      <c r="G877" s="53">
        <f>Tabla14[[#This Row],[Importe]]-Tabla14[[#This Row],[Pagado]]</f>
        <v>0</v>
      </c>
      <c r="H877" s="37" t="s">
        <v>10</v>
      </c>
    </row>
    <row r="878" spans="1:8" x14ac:dyDescent="0.25">
      <c r="A878" s="31">
        <v>44629</v>
      </c>
      <c r="B878" s="37" t="s">
        <v>7900</v>
      </c>
      <c r="C878" s="51" t="s">
        <v>127</v>
      </c>
      <c r="D878" s="52">
        <v>3802.2</v>
      </c>
      <c r="E878" s="35">
        <v>44629</v>
      </c>
      <c r="F878" s="52">
        <v>3802.2</v>
      </c>
      <c r="G878" s="53">
        <f>Tabla14[[#This Row],[Importe]]-Tabla14[[#This Row],[Pagado]]</f>
        <v>0</v>
      </c>
      <c r="H878" s="37" t="s">
        <v>10</v>
      </c>
    </row>
    <row r="879" spans="1:8" x14ac:dyDescent="0.25">
      <c r="A879" s="31">
        <v>44629</v>
      </c>
      <c r="B879" s="37" t="s">
        <v>7901</v>
      </c>
      <c r="C879" s="51" t="s">
        <v>357</v>
      </c>
      <c r="D879" s="52">
        <v>2906.4</v>
      </c>
      <c r="E879" s="35">
        <v>44629</v>
      </c>
      <c r="F879" s="52">
        <v>2906.4</v>
      </c>
      <c r="G879" s="53">
        <f>Tabla14[[#This Row],[Importe]]-Tabla14[[#This Row],[Pagado]]</f>
        <v>0</v>
      </c>
      <c r="H879" s="37" t="s">
        <v>10</v>
      </c>
    </row>
    <row r="880" spans="1:8" x14ac:dyDescent="0.25">
      <c r="A880" s="31">
        <v>44629</v>
      </c>
      <c r="B880" s="37" t="s">
        <v>7902</v>
      </c>
      <c r="C880" s="51" t="s">
        <v>31</v>
      </c>
      <c r="D880" s="52">
        <v>874.4</v>
      </c>
      <c r="E880" s="35">
        <v>44629</v>
      </c>
      <c r="F880" s="52">
        <v>874.4</v>
      </c>
      <c r="G880" s="53">
        <f>Tabla14[[#This Row],[Importe]]-Tabla14[[#This Row],[Pagado]]</f>
        <v>0</v>
      </c>
      <c r="H880" s="37" t="s">
        <v>10</v>
      </c>
    </row>
    <row r="881" spans="1:8" x14ac:dyDescent="0.25">
      <c r="A881" s="31">
        <v>44629</v>
      </c>
      <c r="B881" s="37" t="s">
        <v>7903</v>
      </c>
      <c r="C881" s="51" t="s">
        <v>275</v>
      </c>
      <c r="D881" s="52">
        <v>22709.279999999999</v>
      </c>
      <c r="E881" s="35">
        <v>44638</v>
      </c>
      <c r="F881" s="52">
        <v>22709.279999999999</v>
      </c>
      <c r="G881" s="53">
        <f>Tabla14[[#This Row],[Importe]]-Tabla14[[#This Row],[Pagado]]</f>
        <v>0</v>
      </c>
      <c r="H881" s="37" t="s">
        <v>10</v>
      </c>
    </row>
    <row r="882" spans="1:8" x14ac:dyDescent="0.25">
      <c r="A882" s="31">
        <v>44629</v>
      </c>
      <c r="B882" s="37" t="s">
        <v>7904</v>
      </c>
      <c r="C882" s="51" t="s">
        <v>173</v>
      </c>
      <c r="D882" s="52">
        <v>29570.400000000001</v>
      </c>
      <c r="E882" s="35">
        <v>44630</v>
      </c>
      <c r="F882" s="52">
        <v>29570.400000000001</v>
      </c>
      <c r="G882" s="53">
        <f>Tabla14[[#This Row],[Importe]]-Tabla14[[#This Row],[Pagado]]</f>
        <v>0</v>
      </c>
      <c r="H882" s="37" t="s">
        <v>10</v>
      </c>
    </row>
    <row r="883" spans="1:8" x14ac:dyDescent="0.25">
      <c r="A883" s="31">
        <v>44629</v>
      </c>
      <c r="B883" s="37" t="s">
        <v>7905</v>
      </c>
      <c r="C883" s="51" t="s">
        <v>31</v>
      </c>
      <c r="D883" s="52">
        <v>4084.8</v>
      </c>
      <c r="E883" s="35">
        <v>44629</v>
      </c>
      <c r="F883" s="52">
        <v>4084.8</v>
      </c>
      <c r="G883" s="53">
        <f>Tabla14[[#This Row],[Importe]]-Tabla14[[#This Row],[Pagado]]</f>
        <v>0</v>
      </c>
      <c r="H883" s="37" t="s">
        <v>10</v>
      </c>
    </row>
    <row r="884" spans="1:8" x14ac:dyDescent="0.25">
      <c r="A884" s="31">
        <v>44629</v>
      </c>
      <c r="B884" s="37" t="s">
        <v>7906</v>
      </c>
      <c r="C884" s="51" t="s">
        <v>161</v>
      </c>
      <c r="D884" s="52">
        <v>3652</v>
      </c>
      <c r="E884" s="35">
        <v>44629</v>
      </c>
      <c r="F884" s="52">
        <v>3652</v>
      </c>
      <c r="G884" s="53">
        <f>Tabla14[[#This Row],[Importe]]-Tabla14[[#This Row],[Pagado]]</f>
        <v>0</v>
      </c>
      <c r="H884" s="37" t="s">
        <v>10</v>
      </c>
    </row>
    <row r="885" spans="1:8" x14ac:dyDescent="0.25">
      <c r="A885" s="31">
        <v>44629</v>
      </c>
      <c r="B885" s="37" t="s">
        <v>7907</v>
      </c>
      <c r="C885" s="51" t="s">
        <v>1187</v>
      </c>
      <c r="D885" s="52">
        <v>804.6</v>
      </c>
      <c r="E885" s="35">
        <v>44629</v>
      </c>
      <c r="F885" s="52">
        <v>804.6</v>
      </c>
      <c r="G885" s="53">
        <f>Tabla14[[#This Row],[Importe]]-Tabla14[[#This Row],[Pagado]]</f>
        <v>0</v>
      </c>
      <c r="H885" s="37" t="s">
        <v>10</v>
      </c>
    </row>
    <row r="886" spans="1:8" x14ac:dyDescent="0.25">
      <c r="A886" s="31">
        <v>44629</v>
      </c>
      <c r="B886" s="37" t="s">
        <v>7908</v>
      </c>
      <c r="C886" s="51" t="s">
        <v>373</v>
      </c>
      <c r="D886" s="52">
        <v>338</v>
      </c>
      <c r="E886" s="35">
        <v>44629</v>
      </c>
      <c r="F886" s="52">
        <v>338</v>
      </c>
      <c r="G886" s="53">
        <f>Tabla14[[#This Row],[Importe]]-Tabla14[[#This Row],[Pagado]]</f>
        <v>0</v>
      </c>
      <c r="H886" s="37" t="s">
        <v>10</v>
      </c>
    </row>
    <row r="887" spans="1:8" x14ac:dyDescent="0.25">
      <c r="A887" s="31">
        <v>44629</v>
      </c>
      <c r="B887" s="37" t="s">
        <v>7909</v>
      </c>
      <c r="C887" s="51" t="s">
        <v>53</v>
      </c>
      <c r="D887" s="52">
        <v>1556.1</v>
      </c>
      <c r="E887" s="35">
        <v>44629</v>
      </c>
      <c r="F887" s="52">
        <v>1556.1</v>
      </c>
      <c r="G887" s="53">
        <f>Tabla14[[#This Row],[Importe]]-Tabla14[[#This Row],[Pagado]]</f>
        <v>0</v>
      </c>
      <c r="H887" s="37" t="s">
        <v>10</v>
      </c>
    </row>
    <row r="888" spans="1:8" x14ac:dyDescent="0.25">
      <c r="A888" s="31">
        <v>44629</v>
      </c>
      <c r="B888" s="37" t="s">
        <v>7910</v>
      </c>
      <c r="C888" s="51" t="s">
        <v>49</v>
      </c>
      <c r="D888" s="52">
        <v>6931.2</v>
      </c>
      <c r="E888" s="35">
        <v>44629</v>
      </c>
      <c r="F888" s="52">
        <v>6931.2</v>
      </c>
      <c r="G888" s="53">
        <f>Tabla14[[#This Row],[Importe]]-Tabla14[[#This Row],[Pagado]]</f>
        <v>0</v>
      </c>
      <c r="H888" s="37" t="s">
        <v>10</v>
      </c>
    </row>
    <row r="889" spans="1:8" x14ac:dyDescent="0.25">
      <c r="A889" s="31">
        <v>44629</v>
      </c>
      <c r="B889" s="37" t="s">
        <v>7911</v>
      </c>
      <c r="C889" s="51" t="s">
        <v>27</v>
      </c>
      <c r="D889" s="52">
        <v>2167.8000000000002</v>
      </c>
      <c r="E889" s="35">
        <v>44629</v>
      </c>
      <c r="F889" s="52">
        <v>2167.8000000000002</v>
      </c>
      <c r="G889" s="53">
        <f>Tabla14[[#This Row],[Importe]]-Tabla14[[#This Row],[Pagado]]</f>
        <v>0</v>
      </c>
      <c r="H889" s="37" t="s">
        <v>10</v>
      </c>
    </row>
    <row r="890" spans="1:8" x14ac:dyDescent="0.25">
      <c r="A890" s="31">
        <v>44629</v>
      </c>
      <c r="B890" s="37" t="s">
        <v>7912</v>
      </c>
      <c r="C890" s="51" t="s">
        <v>56</v>
      </c>
      <c r="D890" s="52">
        <v>6251.3</v>
      </c>
      <c r="E890" s="35">
        <v>44629</v>
      </c>
      <c r="F890" s="52">
        <v>6251.3</v>
      </c>
      <c r="G890" s="53">
        <f>Tabla14[[#This Row],[Importe]]-Tabla14[[#This Row],[Pagado]]</f>
        <v>0</v>
      </c>
      <c r="H890" s="37" t="s">
        <v>10</v>
      </c>
    </row>
    <row r="891" spans="1:8" x14ac:dyDescent="0.25">
      <c r="A891" s="31">
        <v>44629</v>
      </c>
      <c r="B891" s="37" t="s">
        <v>7913</v>
      </c>
      <c r="C891" s="51" t="s">
        <v>218</v>
      </c>
      <c r="D891" s="52">
        <v>12922.9</v>
      </c>
      <c r="E891" s="35">
        <v>44631</v>
      </c>
      <c r="F891" s="52">
        <v>12922.9</v>
      </c>
      <c r="G891" s="53">
        <f>Tabla14[[#This Row],[Importe]]-Tabla14[[#This Row],[Pagado]]</f>
        <v>0</v>
      </c>
      <c r="H891" s="37" t="s">
        <v>10</v>
      </c>
    </row>
    <row r="892" spans="1:8" x14ac:dyDescent="0.25">
      <c r="A892" s="31">
        <v>44629</v>
      </c>
      <c r="B892" s="37" t="s">
        <v>7914</v>
      </c>
      <c r="C892" s="51" t="s">
        <v>206</v>
      </c>
      <c r="D892" s="52">
        <v>30509.1</v>
      </c>
      <c r="E892" s="35">
        <v>44631</v>
      </c>
      <c r="F892" s="52">
        <v>30509.1</v>
      </c>
      <c r="G892" s="53">
        <f>Tabla14[[#This Row],[Importe]]-Tabla14[[#This Row],[Pagado]]</f>
        <v>0</v>
      </c>
      <c r="H892" s="37" t="s">
        <v>10</v>
      </c>
    </row>
    <row r="893" spans="1:8" x14ac:dyDescent="0.25">
      <c r="A893" s="31">
        <v>44629</v>
      </c>
      <c r="B893" s="37" t="s">
        <v>7915</v>
      </c>
      <c r="C893" s="51" t="s">
        <v>878</v>
      </c>
      <c r="D893" s="52">
        <v>3355</v>
      </c>
      <c r="E893" s="35">
        <v>44629</v>
      </c>
      <c r="F893" s="52">
        <v>3355</v>
      </c>
      <c r="G893" s="53">
        <f>Tabla14[[#This Row],[Importe]]-Tabla14[[#This Row],[Pagado]]</f>
        <v>0</v>
      </c>
      <c r="H893" s="37" t="s">
        <v>10</v>
      </c>
    </row>
    <row r="894" spans="1:8" x14ac:dyDescent="0.25">
      <c r="A894" s="31">
        <v>44629</v>
      </c>
      <c r="B894" s="37" t="s">
        <v>7916</v>
      </c>
      <c r="C894" s="51" t="s">
        <v>703</v>
      </c>
      <c r="D894" s="52">
        <v>5610</v>
      </c>
      <c r="E894" s="35">
        <v>44629</v>
      </c>
      <c r="F894" s="52">
        <v>5610</v>
      </c>
      <c r="G894" s="53">
        <f>Tabla14[[#This Row],[Importe]]-Tabla14[[#This Row],[Pagado]]</f>
        <v>0</v>
      </c>
      <c r="H894" s="37" t="s">
        <v>10</v>
      </c>
    </row>
    <row r="895" spans="1:8" x14ac:dyDescent="0.25">
      <c r="A895" s="31">
        <v>44629</v>
      </c>
      <c r="B895" s="37" t="s">
        <v>7917</v>
      </c>
      <c r="C895" s="51" t="s">
        <v>2114</v>
      </c>
      <c r="D895" s="52">
        <v>2993.2</v>
      </c>
      <c r="E895" s="35">
        <v>44629</v>
      </c>
      <c r="F895" s="52">
        <v>2993.2</v>
      </c>
      <c r="G895" s="53">
        <f>Tabla14[[#This Row],[Importe]]-Tabla14[[#This Row],[Pagado]]</f>
        <v>0</v>
      </c>
      <c r="H895" s="37" t="s">
        <v>10</v>
      </c>
    </row>
    <row r="896" spans="1:8" x14ac:dyDescent="0.25">
      <c r="A896" s="31">
        <v>44629</v>
      </c>
      <c r="B896" s="37" t="s">
        <v>7918</v>
      </c>
      <c r="C896" s="51" t="s">
        <v>31</v>
      </c>
      <c r="D896" s="52">
        <v>5320.8</v>
      </c>
      <c r="E896" s="35">
        <v>44629</v>
      </c>
      <c r="F896" s="52">
        <v>5320.8</v>
      </c>
      <c r="G896" s="53">
        <f>Tabla14[[#This Row],[Importe]]-Tabla14[[#This Row],[Pagado]]</f>
        <v>0</v>
      </c>
      <c r="H896" s="37" t="s">
        <v>10</v>
      </c>
    </row>
    <row r="897" spans="1:8" x14ac:dyDescent="0.25">
      <c r="A897" s="31">
        <v>44629</v>
      </c>
      <c r="B897" s="37" t="s">
        <v>7919</v>
      </c>
      <c r="C897" s="51" t="s">
        <v>146</v>
      </c>
      <c r="D897" s="52">
        <v>1809.6</v>
      </c>
      <c r="E897" s="35">
        <v>44630</v>
      </c>
      <c r="F897" s="52">
        <v>1809.6</v>
      </c>
      <c r="G897" s="53">
        <f>Tabla14[[#This Row],[Importe]]-Tabla14[[#This Row],[Pagado]]</f>
        <v>0</v>
      </c>
      <c r="H897" s="37" t="s">
        <v>10</v>
      </c>
    </row>
    <row r="898" spans="1:8" x14ac:dyDescent="0.25">
      <c r="A898" s="31">
        <v>44629</v>
      </c>
      <c r="B898" s="37" t="s">
        <v>7920</v>
      </c>
      <c r="C898" s="51" t="s">
        <v>125</v>
      </c>
      <c r="D898" s="52">
        <v>1456</v>
      </c>
      <c r="E898" s="35">
        <v>44630</v>
      </c>
      <c r="F898" s="52">
        <v>1456</v>
      </c>
      <c r="G898" s="53">
        <f>Tabla14[[#This Row],[Importe]]-Tabla14[[#This Row],[Pagado]]</f>
        <v>0</v>
      </c>
      <c r="H898" s="37" t="s">
        <v>10</v>
      </c>
    </row>
    <row r="899" spans="1:8" x14ac:dyDescent="0.25">
      <c r="A899" s="31">
        <v>44629</v>
      </c>
      <c r="B899" s="37" t="s">
        <v>7921</v>
      </c>
      <c r="C899" s="51" t="s">
        <v>83</v>
      </c>
      <c r="D899" s="52">
        <v>8523.2000000000007</v>
      </c>
      <c r="E899" s="35">
        <v>44630</v>
      </c>
      <c r="F899" s="52">
        <v>8523.2000000000007</v>
      </c>
      <c r="G899" s="53">
        <f>Tabla14[[#This Row],[Importe]]-Tabla14[[#This Row],[Pagado]]</f>
        <v>0</v>
      </c>
      <c r="H899" s="37" t="s">
        <v>10</v>
      </c>
    </row>
    <row r="900" spans="1:8" x14ac:dyDescent="0.25">
      <c r="A900" s="31">
        <v>44629</v>
      </c>
      <c r="B900" s="37" t="s">
        <v>7922</v>
      </c>
      <c r="C900" s="51" t="s">
        <v>133</v>
      </c>
      <c r="D900" s="52">
        <v>11648</v>
      </c>
      <c r="E900" s="35">
        <v>44630</v>
      </c>
      <c r="F900" s="52">
        <v>11648</v>
      </c>
      <c r="G900" s="53">
        <f>Tabla14[[#This Row],[Importe]]-Tabla14[[#This Row],[Pagado]]</f>
        <v>0</v>
      </c>
      <c r="H900" s="37" t="s">
        <v>10</v>
      </c>
    </row>
    <row r="901" spans="1:8" x14ac:dyDescent="0.25">
      <c r="A901" s="31">
        <v>44629</v>
      </c>
      <c r="B901" s="37" t="s">
        <v>7923</v>
      </c>
      <c r="C901" s="51" t="s">
        <v>45</v>
      </c>
      <c r="D901" s="52">
        <v>10828.5</v>
      </c>
      <c r="E901" s="35">
        <v>44629</v>
      </c>
      <c r="F901" s="52">
        <v>10828.5</v>
      </c>
      <c r="G901" s="53">
        <f>Tabla14[[#This Row],[Importe]]-Tabla14[[#This Row],[Pagado]]</f>
        <v>0</v>
      </c>
      <c r="H901" s="37" t="s">
        <v>10</v>
      </c>
    </row>
    <row r="902" spans="1:8" x14ac:dyDescent="0.25">
      <c r="A902" s="31">
        <v>44629</v>
      </c>
      <c r="B902" s="37" t="s">
        <v>7924</v>
      </c>
      <c r="C902" s="51" t="s">
        <v>31</v>
      </c>
      <c r="D902" s="52">
        <v>7809.6</v>
      </c>
      <c r="E902" s="35">
        <v>44629</v>
      </c>
      <c r="F902" s="52">
        <v>7809.6</v>
      </c>
      <c r="G902" s="53">
        <f>Tabla14[[#This Row],[Importe]]-Tabla14[[#This Row],[Pagado]]</f>
        <v>0</v>
      </c>
      <c r="H902" s="37" t="s">
        <v>10</v>
      </c>
    </row>
    <row r="903" spans="1:8" x14ac:dyDescent="0.25">
      <c r="A903" s="31">
        <v>44629</v>
      </c>
      <c r="B903" s="37" t="s">
        <v>7925</v>
      </c>
      <c r="C903" s="51" t="s">
        <v>154</v>
      </c>
      <c r="D903" s="52">
        <v>30835.1</v>
      </c>
      <c r="E903" s="35">
        <v>44635</v>
      </c>
      <c r="F903" s="52">
        <v>30835.1</v>
      </c>
      <c r="G903" s="53">
        <f>Tabla14[[#This Row],[Importe]]-Tabla14[[#This Row],[Pagado]]</f>
        <v>0</v>
      </c>
      <c r="H903" s="37" t="s">
        <v>10</v>
      </c>
    </row>
    <row r="904" spans="1:8" x14ac:dyDescent="0.25">
      <c r="A904" s="31">
        <v>44629</v>
      </c>
      <c r="B904" s="37" t="s">
        <v>7926</v>
      </c>
      <c r="C904" s="51" t="s">
        <v>212</v>
      </c>
      <c r="D904" s="52">
        <v>35027.4</v>
      </c>
      <c r="E904" s="35">
        <v>44631</v>
      </c>
      <c r="F904" s="52">
        <v>35027.4</v>
      </c>
      <c r="G904" s="53">
        <f>Tabla14[[#This Row],[Importe]]-Tabla14[[#This Row],[Pagado]]</f>
        <v>0</v>
      </c>
      <c r="H904" s="37" t="s">
        <v>10</v>
      </c>
    </row>
    <row r="905" spans="1:8" x14ac:dyDescent="0.25">
      <c r="A905" s="31">
        <v>44629</v>
      </c>
      <c r="B905" s="37" t="s">
        <v>7927</v>
      </c>
      <c r="C905" s="51" t="s">
        <v>224</v>
      </c>
      <c r="D905" s="52">
        <v>478.4</v>
      </c>
      <c r="E905" s="35">
        <v>44629</v>
      </c>
      <c r="F905" s="52">
        <v>478.4</v>
      </c>
      <c r="G905" s="53">
        <f>Tabla14[[#This Row],[Importe]]-Tabla14[[#This Row],[Pagado]]</f>
        <v>0</v>
      </c>
      <c r="H905" s="37" t="s">
        <v>10</v>
      </c>
    </row>
    <row r="906" spans="1:8" x14ac:dyDescent="0.25">
      <c r="A906" s="31">
        <v>44629</v>
      </c>
      <c r="B906" s="37" t="s">
        <v>7928</v>
      </c>
      <c r="C906" s="51" t="s">
        <v>1630</v>
      </c>
      <c r="D906" s="52">
        <v>3474.2</v>
      </c>
      <c r="E906" s="35">
        <v>44630</v>
      </c>
      <c r="F906" s="52">
        <v>3474.2</v>
      </c>
      <c r="G906" s="53">
        <f>Tabla14[[#This Row],[Importe]]-Tabla14[[#This Row],[Pagado]]</f>
        <v>0</v>
      </c>
      <c r="H906" s="37" t="s">
        <v>10</v>
      </c>
    </row>
    <row r="907" spans="1:8" x14ac:dyDescent="0.25">
      <c r="A907" s="31">
        <v>44629</v>
      </c>
      <c r="B907" s="37" t="s">
        <v>7929</v>
      </c>
      <c r="C907" s="51" t="s">
        <v>31</v>
      </c>
      <c r="D907" s="52">
        <v>2126.1</v>
      </c>
      <c r="E907" s="35">
        <v>44629</v>
      </c>
      <c r="F907" s="52">
        <v>2126.1</v>
      </c>
      <c r="G907" s="53">
        <f>Tabla14[[#This Row],[Importe]]-Tabla14[[#This Row],[Pagado]]</f>
        <v>0</v>
      </c>
      <c r="H907" s="37" t="s">
        <v>10</v>
      </c>
    </row>
    <row r="908" spans="1:8" x14ac:dyDescent="0.25">
      <c r="A908" s="31">
        <v>44629</v>
      </c>
      <c r="B908" s="37" t="s">
        <v>7930</v>
      </c>
      <c r="C908" s="51" t="s">
        <v>37</v>
      </c>
      <c r="D908" s="52">
        <v>3186.6</v>
      </c>
      <c r="E908" s="35">
        <v>44629</v>
      </c>
      <c r="F908" s="52">
        <v>3186.6</v>
      </c>
      <c r="G908" s="53">
        <f>Tabla14[[#This Row],[Importe]]-Tabla14[[#This Row],[Pagado]]</f>
        <v>0</v>
      </c>
      <c r="H908" s="37" t="s">
        <v>10</v>
      </c>
    </row>
    <row r="909" spans="1:8" x14ac:dyDescent="0.25">
      <c r="A909" s="31">
        <v>44629</v>
      </c>
      <c r="B909" s="37" t="s">
        <v>7931</v>
      </c>
      <c r="C909" s="51" t="s">
        <v>67</v>
      </c>
      <c r="D909" s="52">
        <v>576.79999999999995</v>
      </c>
      <c r="E909" s="35">
        <v>44629</v>
      </c>
      <c r="F909" s="52">
        <v>576.79999999999995</v>
      </c>
      <c r="G909" s="53">
        <f>Tabla14[[#This Row],[Importe]]-Tabla14[[#This Row],[Pagado]]</f>
        <v>0</v>
      </c>
      <c r="H909" s="37" t="s">
        <v>10</v>
      </c>
    </row>
    <row r="910" spans="1:8" x14ac:dyDescent="0.25">
      <c r="A910" s="31">
        <v>44629</v>
      </c>
      <c r="B910" s="37" t="s">
        <v>7932</v>
      </c>
      <c r="C910" s="51" t="s">
        <v>273</v>
      </c>
      <c r="D910" s="52">
        <v>1176</v>
      </c>
      <c r="E910" s="35">
        <v>44629</v>
      </c>
      <c r="F910" s="52">
        <v>1176</v>
      </c>
      <c r="G910" s="53">
        <f>Tabla14[[#This Row],[Importe]]-Tabla14[[#This Row],[Pagado]]</f>
        <v>0</v>
      </c>
      <c r="H910" s="37" t="s">
        <v>10</v>
      </c>
    </row>
    <row r="911" spans="1:8" x14ac:dyDescent="0.25">
      <c r="A911" s="31">
        <v>44629</v>
      </c>
      <c r="B911" s="37" t="s">
        <v>7933</v>
      </c>
      <c r="C911" s="51" t="s">
        <v>592</v>
      </c>
      <c r="D911" s="52">
        <v>9268.4</v>
      </c>
      <c r="E911" s="35">
        <v>44630</v>
      </c>
      <c r="F911" s="52">
        <v>9268.4</v>
      </c>
      <c r="G911" s="53">
        <f>Tabla14[[#This Row],[Importe]]-Tabla14[[#This Row],[Pagado]]</f>
        <v>0</v>
      </c>
      <c r="H911" s="37" t="s">
        <v>10</v>
      </c>
    </row>
    <row r="912" spans="1:8" ht="31.5" x14ac:dyDescent="0.25">
      <c r="A912" s="31">
        <v>44629</v>
      </c>
      <c r="B912" s="37" t="s">
        <v>7934</v>
      </c>
      <c r="C912" s="51" t="s">
        <v>142</v>
      </c>
      <c r="D912" s="52">
        <v>76124.3</v>
      </c>
      <c r="E912" s="35" t="s">
        <v>10565</v>
      </c>
      <c r="F912" s="52">
        <f>61979.8+14144.5</f>
        <v>76124.3</v>
      </c>
      <c r="G912" s="53">
        <f>Tabla14[[#This Row],[Importe]]-Tabla14[[#This Row],[Pagado]]</f>
        <v>0</v>
      </c>
      <c r="H912" s="37" t="s">
        <v>10</v>
      </c>
    </row>
    <row r="913" spans="1:8" x14ac:dyDescent="0.25">
      <c r="A913" s="31">
        <v>44629</v>
      </c>
      <c r="B913" s="37" t="s">
        <v>7935</v>
      </c>
      <c r="C913" s="51" t="s">
        <v>230</v>
      </c>
      <c r="D913" s="52">
        <v>3447.3</v>
      </c>
      <c r="E913" s="35">
        <v>44629</v>
      </c>
      <c r="F913" s="52">
        <v>3447.3</v>
      </c>
      <c r="G913" s="53">
        <f>Tabla14[[#This Row],[Importe]]-Tabla14[[#This Row],[Pagado]]</f>
        <v>0</v>
      </c>
      <c r="H913" s="37" t="s">
        <v>10</v>
      </c>
    </row>
    <row r="914" spans="1:8" x14ac:dyDescent="0.25">
      <c r="A914" s="31">
        <v>44629</v>
      </c>
      <c r="B914" s="37" t="s">
        <v>7936</v>
      </c>
      <c r="C914" s="51" t="s">
        <v>216</v>
      </c>
      <c r="D914" s="52">
        <v>1506.4</v>
      </c>
      <c r="E914" s="35">
        <v>44629</v>
      </c>
      <c r="F914" s="52">
        <v>1506.4</v>
      </c>
      <c r="G914" s="53">
        <f>Tabla14[[#This Row],[Importe]]-Tabla14[[#This Row],[Pagado]]</f>
        <v>0</v>
      </c>
      <c r="H914" s="37" t="s">
        <v>10</v>
      </c>
    </row>
    <row r="915" spans="1:8" x14ac:dyDescent="0.25">
      <c r="A915" s="31">
        <v>44629</v>
      </c>
      <c r="B915" s="37" t="s">
        <v>7937</v>
      </c>
      <c r="C915" s="51" t="s">
        <v>196</v>
      </c>
      <c r="D915" s="52">
        <v>122152.6</v>
      </c>
      <c r="E915" s="35">
        <v>44631</v>
      </c>
      <c r="F915" s="52">
        <v>122152.6</v>
      </c>
      <c r="G915" s="53">
        <f>Tabla14[[#This Row],[Importe]]-Tabla14[[#This Row],[Pagado]]</f>
        <v>0</v>
      </c>
      <c r="H915" s="37" t="s">
        <v>10</v>
      </c>
    </row>
    <row r="916" spans="1:8" x14ac:dyDescent="0.25">
      <c r="A916" s="31">
        <v>44629</v>
      </c>
      <c r="B916" s="37" t="s">
        <v>7938</v>
      </c>
      <c r="C916" s="51" t="s">
        <v>24</v>
      </c>
      <c r="D916" s="52">
        <v>2137.1999999999998</v>
      </c>
      <c r="E916" s="35">
        <v>44629</v>
      </c>
      <c r="F916" s="52">
        <v>2137.1999999999998</v>
      </c>
      <c r="G916" s="53">
        <f>Tabla14[[#This Row],[Importe]]-Tabla14[[#This Row],[Pagado]]</f>
        <v>0</v>
      </c>
      <c r="H916" s="37" t="s">
        <v>10</v>
      </c>
    </row>
    <row r="917" spans="1:8" x14ac:dyDescent="0.25">
      <c r="A917" s="31">
        <v>44629</v>
      </c>
      <c r="B917" s="37" t="s">
        <v>7939</v>
      </c>
      <c r="C917" s="51" t="s">
        <v>24</v>
      </c>
      <c r="D917" s="52">
        <v>359.1</v>
      </c>
      <c r="E917" s="35">
        <v>44629</v>
      </c>
      <c r="F917" s="52">
        <v>359.1</v>
      </c>
      <c r="G917" s="53">
        <f>Tabla14[[#This Row],[Importe]]-Tabla14[[#This Row],[Pagado]]</f>
        <v>0</v>
      </c>
      <c r="H917" s="37" t="s">
        <v>10</v>
      </c>
    </row>
    <row r="918" spans="1:8" x14ac:dyDescent="0.25">
      <c r="A918" s="31">
        <v>44629</v>
      </c>
      <c r="B918" s="37" t="s">
        <v>7940</v>
      </c>
      <c r="C918" s="51" t="s">
        <v>555</v>
      </c>
      <c r="D918" s="52">
        <v>33669.72</v>
      </c>
      <c r="E918" s="35">
        <v>44629</v>
      </c>
      <c r="F918" s="52">
        <v>33669.72</v>
      </c>
      <c r="G918" s="53">
        <f>Tabla14[[#This Row],[Importe]]-Tabla14[[#This Row],[Pagado]]</f>
        <v>0</v>
      </c>
      <c r="H918" s="37" t="s">
        <v>10</v>
      </c>
    </row>
    <row r="919" spans="1:8" x14ac:dyDescent="0.25">
      <c r="A919" s="31">
        <v>44629</v>
      </c>
      <c r="B919" s="37" t="s">
        <v>7941</v>
      </c>
      <c r="C919" s="51" t="s">
        <v>587</v>
      </c>
      <c r="D919" s="52">
        <v>4067.84</v>
      </c>
      <c r="E919" s="35">
        <v>44629</v>
      </c>
      <c r="F919" s="52">
        <v>4067.84</v>
      </c>
      <c r="G919" s="53">
        <f>Tabla14[[#This Row],[Importe]]-Tabla14[[#This Row],[Pagado]]</f>
        <v>0</v>
      </c>
      <c r="H919" s="37" t="s">
        <v>10</v>
      </c>
    </row>
    <row r="920" spans="1:8" x14ac:dyDescent="0.25">
      <c r="A920" s="31">
        <v>44629</v>
      </c>
      <c r="B920" s="37" t="s">
        <v>7942</v>
      </c>
      <c r="C920" s="51" t="s">
        <v>214</v>
      </c>
      <c r="D920" s="52">
        <v>1024.8</v>
      </c>
      <c r="E920" s="35">
        <v>44629</v>
      </c>
      <c r="F920" s="52">
        <v>1024.8</v>
      </c>
      <c r="G920" s="53">
        <f>Tabla14[[#This Row],[Importe]]-Tabla14[[#This Row],[Pagado]]</f>
        <v>0</v>
      </c>
      <c r="H920" s="37" t="s">
        <v>10</v>
      </c>
    </row>
    <row r="921" spans="1:8" x14ac:dyDescent="0.25">
      <c r="A921" s="31">
        <v>44629</v>
      </c>
      <c r="B921" s="37" t="s">
        <v>7943</v>
      </c>
      <c r="C921" s="51" t="s">
        <v>191</v>
      </c>
      <c r="D921" s="52">
        <v>1391.7</v>
      </c>
      <c r="E921" s="35">
        <v>44629</v>
      </c>
      <c r="F921" s="52">
        <v>1391.7</v>
      </c>
      <c r="G921" s="53">
        <f>Tabla14[[#This Row],[Importe]]-Tabla14[[#This Row],[Pagado]]</f>
        <v>0</v>
      </c>
      <c r="H921" s="37" t="s">
        <v>10</v>
      </c>
    </row>
    <row r="922" spans="1:8" x14ac:dyDescent="0.25">
      <c r="A922" s="31">
        <v>44629</v>
      </c>
      <c r="B922" s="37" t="s">
        <v>7944</v>
      </c>
      <c r="C922" s="51" t="s">
        <v>31</v>
      </c>
      <c r="D922" s="52">
        <v>558.6</v>
      </c>
      <c r="E922" s="35">
        <v>44629</v>
      </c>
      <c r="F922" s="52">
        <v>558.6</v>
      </c>
      <c r="G922" s="53">
        <f>Tabla14[[#This Row],[Importe]]-Tabla14[[#This Row],[Pagado]]</f>
        <v>0</v>
      </c>
      <c r="H922" s="37" t="s">
        <v>10</v>
      </c>
    </row>
    <row r="923" spans="1:8" x14ac:dyDescent="0.25">
      <c r="A923" s="31">
        <v>44629</v>
      </c>
      <c r="B923" s="37" t="s">
        <v>7945</v>
      </c>
      <c r="C923" s="51" t="s">
        <v>2114</v>
      </c>
      <c r="D923" s="52">
        <v>1547</v>
      </c>
      <c r="E923" s="35">
        <v>44629</v>
      </c>
      <c r="F923" s="52">
        <v>1547</v>
      </c>
      <c r="G923" s="53">
        <f>Tabla14[[#This Row],[Importe]]-Tabla14[[#This Row],[Pagado]]</f>
        <v>0</v>
      </c>
      <c r="H923" s="37" t="s">
        <v>10</v>
      </c>
    </row>
    <row r="924" spans="1:8" x14ac:dyDescent="0.25">
      <c r="A924" s="31">
        <v>44629</v>
      </c>
      <c r="B924" s="37" t="s">
        <v>7946</v>
      </c>
      <c r="C924" s="51" t="s">
        <v>670</v>
      </c>
      <c r="D924" s="52">
        <v>3926.8</v>
      </c>
      <c r="E924" s="35">
        <v>44629</v>
      </c>
      <c r="F924" s="52">
        <v>3926.8</v>
      </c>
      <c r="G924" s="53">
        <f>Tabla14[[#This Row],[Importe]]-Tabla14[[#This Row],[Pagado]]</f>
        <v>0</v>
      </c>
      <c r="H924" s="37" t="s">
        <v>10</v>
      </c>
    </row>
    <row r="925" spans="1:8" x14ac:dyDescent="0.25">
      <c r="A925" s="31">
        <v>44629</v>
      </c>
      <c r="B925" s="37" t="s">
        <v>7947</v>
      </c>
      <c r="C925" s="51" t="s">
        <v>698</v>
      </c>
      <c r="D925" s="52">
        <v>5024.8999999999996</v>
      </c>
      <c r="E925" s="35">
        <v>44629</v>
      </c>
      <c r="F925" s="52">
        <v>5024.8999999999996</v>
      </c>
      <c r="G925" s="53">
        <f>Tabla14[[#This Row],[Importe]]-Tabla14[[#This Row],[Pagado]]</f>
        <v>0</v>
      </c>
      <c r="H925" s="37" t="s">
        <v>10</v>
      </c>
    </row>
    <row r="926" spans="1:8" x14ac:dyDescent="0.25">
      <c r="A926" s="31">
        <v>44629</v>
      </c>
      <c r="B926" s="37" t="s">
        <v>7948</v>
      </c>
      <c r="C926" s="51" t="s">
        <v>400</v>
      </c>
      <c r="D926" s="52">
        <v>6773.9</v>
      </c>
      <c r="E926" s="35">
        <v>44638</v>
      </c>
      <c r="F926" s="52">
        <v>6773.9</v>
      </c>
      <c r="G926" s="53">
        <f>Tabla14[[#This Row],[Importe]]-Tabla14[[#This Row],[Pagado]]</f>
        <v>0</v>
      </c>
      <c r="H926" s="37" t="s">
        <v>10</v>
      </c>
    </row>
    <row r="927" spans="1:8" x14ac:dyDescent="0.25">
      <c r="A927" s="31">
        <v>44629</v>
      </c>
      <c r="B927" s="37" t="s">
        <v>7949</v>
      </c>
      <c r="C927" s="51" t="s">
        <v>583</v>
      </c>
      <c r="D927" s="52">
        <v>879.2</v>
      </c>
      <c r="E927" s="35">
        <v>44629</v>
      </c>
      <c r="F927" s="52">
        <v>879.2</v>
      </c>
      <c r="G927" s="53">
        <f>Tabla14[[#This Row],[Importe]]-Tabla14[[#This Row],[Pagado]]</f>
        <v>0</v>
      </c>
      <c r="H927" s="37" t="s">
        <v>10</v>
      </c>
    </row>
    <row r="928" spans="1:8" x14ac:dyDescent="0.25">
      <c r="A928" s="31">
        <v>44629</v>
      </c>
      <c r="B928" s="37" t="s">
        <v>7950</v>
      </c>
      <c r="C928" s="51" t="s">
        <v>402</v>
      </c>
      <c r="D928" s="52">
        <v>12535</v>
      </c>
      <c r="E928" s="35">
        <v>44638</v>
      </c>
      <c r="F928" s="52">
        <v>12535</v>
      </c>
      <c r="G928" s="53">
        <f>Tabla14[[#This Row],[Importe]]-Tabla14[[#This Row],[Pagado]]</f>
        <v>0</v>
      </c>
      <c r="H928" s="37" t="s">
        <v>10</v>
      </c>
    </row>
    <row r="929" spans="1:8" x14ac:dyDescent="0.25">
      <c r="A929" s="31">
        <v>44629</v>
      </c>
      <c r="B929" s="37" t="s">
        <v>7951</v>
      </c>
      <c r="C929" s="51" t="s">
        <v>233</v>
      </c>
      <c r="D929" s="52">
        <v>4222.3999999999996</v>
      </c>
      <c r="E929" s="35">
        <v>44629</v>
      </c>
      <c r="F929" s="52">
        <v>4222.3999999999996</v>
      </c>
      <c r="G929" s="53">
        <f>Tabla14[[#This Row],[Importe]]-Tabla14[[#This Row],[Pagado]]</f>
        <v>0</v>
      </c>
      <c r="H929" s="37" t="s">
        <v>10</v>
      </c>
    </row>
    <row r="930" spans="1:8" x14ac:dyDescent="0.25">
      <c r="A930" s="31">
        <v>44629</v>
      </c>
      <c r="B930" s="37" t="s">
        <v>7952</v>
      </c>
      <c r="C930" s="51" t="s">
        <v>712</v>
      </c>
      <c r="D930" s="52">
        <v>1.31</v>
      </c>
      <c r="E930" s="35">
        <v>44636</v>
      </c>
      <c r="F930" s="52">
        <v>1.31</v>
      </c>
      <c r="G930" s="53">
        <f>Tabla14[[#This Row],[Importe]]-Tabla14[[#This Row],[Pagado]]</f>
        <v>0</v>
      </c>
      <c r="H930" s="37" t="s">
        <v>10</v>
      </c>
    </row>
    <row r="931" spans="1:8" x14ac:dyDescent="0.25">
      <c r="A931" s="31">
        <v>44629</v>
      </c>
      <c r="B931" s="37" t="s">
        <v>7953</v>
      </c>
      <c r="C931" s="51" t="s">
        <v>414</v>
      </c>
      <c r="D931" s="52">
        <v>10203.200000000001</v>
      </c>
      <c r="E931" s="35">
        <v>44629</v>
      </c>
      <c r="F931" s="52">
        <v>10203.200000000001</v>
      </c>
      <c r="G931" s="53">
        <f>Tabla14[[#This Row],[Importe]]-Tabla14[[#This Row],[Pagado]]</f>
        <v>0</v>
      </c>
      <c r="H931" s="37" t="s">
        <v>10</v>
      </c>
    </row>
    <row r="932" spans="1:8" x14ac:dyDescent="0.25">
      <c r="A932" s="31">
        <v>44629</v>
      </c>
      <c r="B932" s="37" t="s">
        <v>7954</v>
      </c>
      <c r="C932" s="51" t="s">
        <v>1265</v>
      </c>
      <c r="D932" s="52">
        <v>533.6</v>
      </c>
      <c r="E932" s="35">
        <v>44629</v>
      </c>
      <c r="F932" s="52">
        <v>533.6</v>
      </c>
      <c r="G932" s="53">
        <f>Tabla14[[#This Row],[Importe]]-Tabla14[[#This Row],[Pagado]]</f>
        <v>0</v>
      </c>
      <c r="H932" s="37" t="s">
        <v>10</v>
      </c>
    </row>
    <row r="933" spans="1:8" x14ac:dyDescent="0.25">
      <c r="A933" s="31">
        <v>44629</v>
      </c>
      <c r="B933" s="37" t="s">
        <v>7955</v>
      </c>
      <c r="C933" s="51" t="s">
        <v>414</v>
      </c>
      <c r="D933" s="52">
        <v>167773.5</v>
      </c>
      <c r="E933" s="35">
        <v>44638</v>
      </c>
      <c r="F933" s="52">
        <v>167773.5</v>
      </c>
      <c r="G933" s="53">
        <f>Tabla14[[#This Row],[Importe]]-Tabla14[[#This Row],[Pagado]]</f>
        <v>0</v>
      </c>
      <c r="H933" s="37" t="s">
        <v>10</v>
      </c>
    </row>
    <row r="934" spans="1:8" x14ac:dyDescent="0.25">
      <c r="A934" s="31">
        <v>44629</v>
      </c>
      <c r="B934" s="37" t="s">
        <v>7956</v>
      </c>
      <c r="C934" s="51" t="s">
        <v>58</v>
      </c>
      <c r="D934" s="52">
        <v>6331.5</v>
      </c>
      <c r="E934" s="35">
        <v>44629</v>
      </c>
      <c r="F934" s="52">
        <v>6331.5</v>
      </c>
      <c r="G934" s="53">
        <f>Tabla14[[#This Row],[Importe]]-Tabla14[[#This Row],[Pagado]]</f>
        <v>0</v>
      </c>
      <c r="H934" s="37" t="s">
        <v>10</v>
      </c>
    </row>
    <row r="935" spans="1:8" x14ac:dyDescent="0.25">
      <c r="A935" s="31">
        <v>44629</v>
      </c>
      <c r="B935" s="37" t="s">
        <v>7957</v>
      </c>
      <c r="C935" s="51" t="s">
        <v>263</v>
      </c>
      <c r="D935" s="52">
        <v>21378.799999999999</v>
      </c>
      <c r="E935" s="35">
        <v>44641</v>
      </c>
      <c r="F935" s="52">
        <v>21378.799999999999</v>
      </c>
      <c r="G935" s="53">
        <f>Tabla14[[#This Row],[Importe]]-Tabla14[[#This Row],[Pagado]]</f>
        <v>0</v>
      </c>
      <c r="H935" s="37" t="s">
        <v>10</v>
      </c>
    </row>
    <row r="936" spans="1:8" x14ac:dyDescent="0.25">
      <c r="A936" s="31">
        <v>44629</v>
      </c>
      <c r="B936" s="37" t="s">
        <v>7958</v>
      </c>
      <c r="C936" s="51" t="s">
        <v>235</v>
      </c>
      <c r="D936" s="52">
        <v>8316.7999999999993</v>
      </c>
      <c r="E936" s="35">
        <v>44629</v>
      </c>
      <c r="F936" s="52">
        <v>8316.7999999999993</v>
      </c>
      <c r="G936" s="53">
        <f>Tabla14[[#This Row],[Importe]]-Tabla14[[#This Row],[Pagado]]</f>
        <v>0</v>
      </c>
      <c r="H936" s="37" t="s">
        <v>10</v>
      </c>
    </row>
    <row r="937" spans="1:8" x14ac:dyDescent="0.25">
      <c r="A937" s="31">
        <v>44629</v>
      </c>
      <c r="B937" s="37" t="s">
        <v>7959</v>
      </c>
      <c r="C937" s="51" t="s">
        <v>419</v>
      </c>
      <c r="D937" s="52">
        <v>5959.1</v>
      </c>
      <c r="E937" s="35">
        <v>44629</v>
      </c>
      <c r="F937" s="52">
        <v>5959.1</v>
      </c>
      <c r="G937" s="53">
        <f>Tabla14[[#This Row],[Importe]]-Tabla14[[#This Row],[Pagado]]</f>
        <v>0</v>
      </c>
      <c r="H937" s="37" t="s">
        <v>10</v>
      </c>
    </row>
    <row r="938" spans="1:8" x14ac:dyDescent="0.25">
      <c r="A938" s="31">
        <v>44629</v>
      </c>
      <c r="B938" s="37" t="s">
        <v>7960</v>
      </c>
      <c r="C938" s="51" t="s">
        <v>312</v>
      </c>
      <c r="D938" s="52">
        <v>2465.3000000000002</v>
      </c>
      <c r="E938" s="35">
        <v>44630</v>
      </c>
      <c r="F938" s="52">
        <v>2465.3000000000002</v>
      </c>
      <c r="G938" s="53">
        <f>Tabla14[[#This Row],[Importe]]-Tabla14[[#This Row],[Pagado]]</f>
        <v>0</v>
      </c>
      <c r="H938" s="37" t="s">
        <v>10</v>
      </c>
    </row>
    <row r="939" spans="1:8" x14ac:dyDescent="0.25">
      <c r="A939" s="31">
        <v>44629</v>
      </c>
      <c r="B939" s="37" t="s">
        <v>7961</v>
      </c>
      <c r="C939" s="51" t="s">
        <v>14</v>
      </c>
      <c r="D939" s="52">
        <v>28286.2</v>
      </c>
      <c r="E939" s="35">
        <v>44629</v>
      </c>
      <c r="F939" s="52">
        <v>28286.2</v>
      </c>
      <c r="G939" s="53">
        <f>Tabla14[[#This Row],[Importe]]-Tabla14[[#This Row],[Pagado]]</f>
        <v>0</v>
      </c>
      <c r="H939" s="37" t="s">
        <v>10</v>
      </c>
    </row>
    <row r="940" spans="1:8" x14ac:dyDescent="0.25">
      <c r="A940" s="31">
        <v>44629</v>
      </c>
      <c r="B940" s="37" t="s">
        <v>7962</v>
      </c>
      <c r="C940" s="51" t="s">
        <v>198</v>
      </c>
      <c r="D940" s="52">
        <v>518.70000000000005</v>
      </c>
      <c r="E940" s="35">
        <v>44630</v>
      </c>
      <c r="F940" s="52">
        <v>518.70000000000005</v>
      </c>
      <c r="G940" s="53">
        <f>Tabla14[[#This Row],[Importe]]-Tabla14[[#This Row],[Pagado]]</f>
        <v>0</v>
      </c>
      <c r="H940" s="37" t="s">
        <v>10</v>
      </c>
    </row>
    <row r="941" spans="1:8" x14ac:dyDescent="0.25">
      <c r="A941" s="31">
        <v>44629</v>
      </c>
      <c r="B941" s="37" t="s">
        <v>7963</v>
      </c>
      <c r="C941" s="51" t="s">
        <v>181</v>
      </c>
      <c r="D941" s="52">
        <v>8645.2000000000007</v>
      </c>
      <c r="E941" s="35">
        <v>44630</v>
      </c>
      <c r="F941" s="52">
        <v>8645.2000000000007</v>
      </c>
      <c r="G941" s="53">
        <f>Tabla14[[#This Row],[Importe]]-Tabla14[[#This Row],[Pagado]]</f>
        <v>0</v>
      </c>
      <c r="H941" s="37" t="s">
        <v>10</v>
      </c>
    </row>
    <row r="942" spans="1:8" x14ac:dyDescent="0.25">
      <c r="A942" s="31">
        <v>44629</v>
      </c>
      <c r="B942" s="37" t="s">
        <v>7964</v>
      </c>
      <c r="C942" s="51" t="s">
        <v>368</v>
      </c>
      <c r="D942" s="52">
        <v>3049.5</v>
      </c>
      <c r="E942" s="35">
        <v>44630</v>
      </c>
      <c r="F942" s="52">
        <v>3049.5</v>
      </c>
      <c r="G942" s="53">
        <f>Tabla14[[#This Row],[Importe]]-Tabla14[[#This Row],[Pagado]]</f>
        <v>0</v>
      </c>
      <c r="H942" s="37" t="s">
        <v>10</v>
      </c>
    </row>
    <row r="943" spans="1:8" x14ac:dyDescent="0.25">
      <c r="A943" s="31">
        <v>44629</v>
      </c>
      <c r="B943" s="37" t="s">
        <v>7965</v>
      </c>
      <c r="C943" s="51" t="s">
        <v>135</v>
      </c>
      <c r="D943" s="52">
        <v>1715.9</v>
      </c>
      <c r="E943" s="35">
        <v>44629</v>
      </c>
      <c r="F943" s="52">
        <v>1715.9</v>
      </c>
      <c r="G943" s="53">
        <f>Tabla14[[#This Row],[Importe]]-Tabla14[[#This Row],[Pagado]]</f>
        <v>0</v>
      </c>
      <c r="H943" s="37" t="s">
        <v>10</v>
      </c>
    </row>
    <row r="944" spans="1:8" x14ac:dyDescent="0.25">
      <c r="A944" s="31">
        <v>44629</v>
      </c>
      <c r="B944" s="37" t="s">
        <v>7966</v>
      </c>
      <c r="C944" s="51" t="s">
        <v>85</v>
      </c>
      <c r="D944" s="52">
        <v>1288</v>
      </c>
      <c r="E944" s="35">
        <v>44630</v>
      </c>
      <c r="F944" s="52">
        <v>1288</v>
      </c>
      <c r="G944" s="53">
        <f>Tabla14[[#This Row],[Importe]]-Tabla14[[#This Row],[Pagado]]</f>
        <v>0</v>
      </c>
      <c r="H944" s="37" t="s">
        <v>10</v>
      </c>
    </row>
    <row r="945" spans="1:8" x14ac:dyDescent="0.25">
      <c r="A945" s="31">
        <v>44629</v>
      </c>
      <c r="B945" s="37" t="s">
        <v>7967</v>
      </c>
      <c r="C945" s="51" t="s">
        <v>200</v>
      </c>
      <c r="D945" s="52">
        <v>688.8</v>
      </c>
      <c r="E945" s="35">
        <v>44630</v>
      </c>
      <c r="F945" s="52">
        <v>688.8</v>
      </c>
      <c r="G945" s="53">
        <f>Tabla14[[#This Row],[Importe]]-Tabla14[[#This Row],[Pagado]]</f>
        <v>0</v>
      </c>
      <c r="H945" s="37" t="s">
        <v>10</v>
      </c>
    </row>
    <row r="946" spans="1:8" x14ac:dyDescent="0.25">
      <c r="A946" s="31">
        <v>44629</v>
      </c>
      <c r="B946" s="37" t="s">
        <v>7968</v>
      </c>
      <c r="C946" s="51" t="s">
        <v>280</v>
      </c>
      <c r="D946" s="52">
        <v>1198.4000000000001</v>
      </c>
      <c r="E946" s="35">
        <v>44630</v>
      </c>
      <c r="F946" s="52">
        <v>1198.4000000000001</v>
      </c>
      <c r="G946" s="53">
        <f>Tabla14[[#This Row],[Importe]]-Tabla14[[#This Row],[Pagado]]</f>
        <v>0</v>
      </c>
      <c r="H946" s="37" t="s">
        <v>10</v>
      </c>
    </row>
    <row r="947" spans="1:8" x14ac:dyDescent="0.25">
      <c r="A947" s="31">
        <v>44629</v>
      </c>
      <c r="B947" s="37" t="s">
        <v>7969</v>
      </c>
      <c r="C947" s="51" t="s">
        <v>107</v>
      </c>
      <c r="D947" s="52">
        <v>7521.5</v>
      </c>
      <c r="E947" s="35">
        <v>44630</v>
      </c>
      <c r="F947" s="52">
        <v>7521.5</v>
      </c>
      <c r="G947" s="53">
        <f>Tabla14[[#This Row],[Importe]]-Tabla14[[#This Row],[Pagado]]</f>
        <v>0</v>
      </c>
      <c r="H947" s="37" t="s">
        <v>10</v>
      </c>
    </row>
    <row r="948" spans="1:8" x14ac:dyDescent="0.25">
      <c r="A948" s="31">
        <v>44629</v>
      </c>
      <c r="B948" s="37" t="s">
        <v>7970</v>
      </c>
      <c r="C948" s="51" t="s">
        <v>275</v>
      </c>
      <c r="D948" s="52">
        <v>4231.5</v>
      </c>
      <c r="E948" s="35">
        <v>44638</v>
      </c>
      <c r="F948" s="52">
        <v>4231.5</v>
      </c>
      <c r="G948" s="53">
        <f>Tabla14[[#This Row],[Importe]]-Tabla14[[#This Row],[Pagado]]</f>
        <v>0</v>
      </c>
      <c r="H948" s="37" t="s">
        <v>10</v>
      </c>
    </row>
    <row r="949" spans="1:8" x14ac:dyDescent="0.25">
      <c r="A949" s="31">
        <v>44629</v>
      </c>
      <c r="B949" s="37" t="s">
        <v>7971</v>
      </c>
      <c r="C949" s="51" t="s">
        <v>146</v>
      </c>
      <c r="D949" s="52">
        <v>2112.8000000000002</v>
      </c>
      <c r="E949" s="35">
        <v>44630</v>
      </c>
      <c r="F949" s="52">
        <v>2112.8000000000002</v>
      </c>
      <c r="G949" s="53">
        <f>Tabla14[[#This Row],[Importe]]-Tabla14[[#This Row],[Pagado]]</f>
        <v>0</v>
      </c>
      <c r="H949" s="37" t="s">
        <v>10</v>
      </c>
    </row>
    <row r="950" spans="1:8" x14ac:dyDescent="0.25">
      <c r="A950" s="31">
        <v>44629</v>
      </c>
      <c r="B950" s="37" t="s">
        <v>7972</v>
      </c>
      <c r="C950" s="51" t="s">
        <v>69</v>
      </c>
      <c r="D950" s="52">
        <v>2380</v>
      </c>
      <c r="E950" s="35">
        <v>44629</v>
      </c>
      <c r="F950" s="52">
        <v>2380</v>
      </c>
      <c r="G950" s="53">
        <f>Tabla14[[#This Row],[Importe]]-Tabla14[[#This Row],[Pagado]]</f>
        <v>0</v>
      </c>
      <c r="H950" s="37" t="s">
        <v>10</v>
      </c>
    </row>
    <row r="951" spans="1:8" x14ac:dyDescent="0.25">
      <c r="A951" s="31">
        <v>44629</v>
      </c>
      <c r="B951" s="37" t="s">
        <v>7973</v>
      </c>
      <c r="C951" s="51" t="s">
        <v>994</v>
      </c>
      <c r="D951" s="52">
        <v>1698.6</v>
      </c>
      <c r="E951" s="35">
        <v>44629</v>
      </c>
      <c r="F951" s="52">
        <v>1698.6</v>
      </c>
      <c r="G951" s="53">
        <f>Tabla14[[#This Row],[Importe]]-Tabla14[[#This Row],[Pagado]]</f>
        <v>0</v>
      </c>
      <c r="H951" s="37" t="s">
        <v>10</v>
      </c>
    </row>
    <row r="952" spans="1:8" x14ac:dyDescent="0.25">
      <c r="A952" s="31">
        <v>44629</v>
      </c>
      <c r="B952" s="37" t="s">
        <v>7974</v>
      </c>
      <c r="C952" s="51" t="s">
        <v>452</v>
      </c>
      <c r="D952" s="52">
        <v>3791.2</v>
      </c>
      <c r="E952" s="35">
        <v>44629</v>
      </c>
      <c r="F952" s="52">
        <v>3791.2</v>
      </c>
      <c r="G952" s="53">
        <f>Tabla14[[#This Row],[Importe]]-Tabla14[[#This Row],[Pagado]]</f>
        <v>0</v>
      </c>
      <c r="H952" s="37" t="s">
        <v>10</v>
      </c>
    </row>
    <row r="953" spans="1:8" x14ac:dyDescent="0.25">
      <c r="A953" s="31">
        <v>44629</v>
      </c>
      <c r="B953" s="37" t="s">
        <v>7975</v>
      </c>
      <c r="C953" s="51" t="s">
        <v>284</v>
      </c>
      <c r="D953" s="52">
        <v>6720</v>
      </c>
      <c r="E953" s="35">
        <v>44630</v>
      </c>
      <c r="F953" s="52">
        <v>6720</v>
      </c>
      <c r="G953" s="53">
        <f>Tabla14[[#This Row],[Importe]]-Tabla14[[#This Row],[Pagado]]</f>
        <v>0</v>
      </c>
      <c r="H953" s="37" t="s">
        <v>10</v>
      </c>
    </row>
    <row r="954" spans="1:8" x14ac:dyDescent="0.25">
      <c r="A954" s="31">
        <v>44629</v>
      </c>
      <c r="B954" s="37" t="s">
        <v>7976</v>
      </c>
      <c r="C954" s="51" t="s">
        <v>452</v>
      </c>
      <c r="D954" s="52">
        <v>2021.6</v>
      </c>
      <c r="E954" s="35">
        <v>44629</v>
      </c>
      <c r="F954" s="52">
        <v>2021.6</v>
      </c>
      <c r="G954" s="53">
        <f>Tabla14[[#This Row],[Importe]]-Tabla14[[#This Row],[Pagado]]</f>
        <v>0</v>
      </c>
      <c r="H954" s="37" t="s">
        <v>10</v>
      </c>
    </row>
    <row r="955" spans="1:8" x14ac:dyDescent="0.25">
      <c r="A955" s="31">
        <v>44629</v>
      </c>
      <c r="B955" s="37" t="s">
        <v>7977</v>
      </c>
      <c r="C955" s="51" t="s">
        <v>282</v>
      </c>
      <c r="D955" s="52">
        <v>2357.6</v>
      </c>
      <c r="E955" s="35">
        <v>44630</v>
      </c>
      <c r="F955" s="52">
        <v>2357.6</v>
      </c>
      <c r="G955" s="53">
        <f>Tabla14[[#This Row],[Importe]]-Tabla14[[#This Row],[Pagado]]</f>
        <v>0</v>
      </c>
      <c r="H955" s="37" t="s">
        <v>10</v>
      </c>
    </row>
    <row r="956" spans="1:8" x14ac:dyDescent="0.25">
      <c r="A956" s="31">
        <v>44629</v>
      </c>
      <c r="B956" s="37" t="s">
        <v>7978</v>
      </c>
      <c r="C956" s="51" t="s">
        <v>5345</v>
      </c>
      <c r="D956" s="52">
        <v>1730.4</v>
      </c>
      <c r="E956" s="35">
        <v>44630</v>
      </c>
      <c r="F956" s="52">
        <v>1730.4</v>
      </c>
      <c r="G956" s="53">
        <f>Tabla14[[#This Row],[Importe]]-Tabla14[[#This Row],[Pagado]]</f>
        <v>0</v>
      </c>
      <c r="H956" s="37" t="s">
        <v>10</v>
      </c>
    </row>
    <row r="957" spans="1:8" x14ac:dyDescent="0.25">
      <c r="A957" s="31">
        <v>44629</v>
      </c>
      <c r="B957" s="37" t="s">
        <v>7979</v>
      </c>
      <c r="C957" s="51" t="s">
        <v>433</v>
      </c>
      <c r="D957" s="52">
        <v>28000</v>
      </c>
      <c r="E957" s="35">
        <v>44629</v>
      </c>
      <c r="F957" s="52">
        <v>28000</v>
      </c>
      <c r="G957" s="53">
        <f>Tabla14[[#This Row],[Importe]]-Tabla14[[#This Row],[Pagado]]</f>
        <v>0</v>
      </c>
      <c r="H957" s="37" t="s">
        <v>10</v>
      </c>
    </row>
    <row r="958" spans="1:8" x14ac:dyDescent="0.25">
      <c r="A958" s="31">
        <v>44629</v>
      </c>
      <c r="B958" s="37" t="s">
        <v>7980</v>
      </c>
      <c r="C958" s="51" t="s">
        <v>431</v>
      </c>
      <c r="D958" s="52">
        <v>554.4</v>
      </c>
      <c r="E958" s="35">
        <v>44630</v>
      </c>
      <c r="F958" s="52">
        <v>554.4</v>
      </c>
      <c r="G958" s="53">
        <f>Tabla14[[#This Row],[Importe]]-Tabla14[[#This Row],[Pagado]]</f>
        <v>0</v>
      </c>
      <c r="H958" s="37" t="s">
        <v>10</v>
      </c>
    </row>
    <row r="959" spans="1:8" x14ac:dyDescent="0.25">
      <c r="A959" s="31">
        <v>44629</v>
      </c>
      <c r="B959" s="37" t="s">
        <v>7981</v>
      </c>
      <c r="C959" s="51" t="s">
        <v>291</v>
      </c>
      <c r="D959" s="52">
        <v>3389.3</v>
      </c>
      <c r="E959" s="35">
        <v>44630</v>
      </c>
      <c r="F959" s="52">
        <v>3389.3</v>
      </c>
      <c r="G959" s="53">
        <f>Tabla14[[#This Row],[Importe]]-Tabla14[[#This Row],[Pagado]]</f>
        <v>0</v>
      </c>
      <c r="H959" s="37" t="s">
        <v>10</v>
      </c>
    </row>
    <row r="960" spans="1:8" x14ac:dyDescent="0.25">
      <c r="A960" s="31">
        <v>44629</v>
      </c>
      <c r="B960" s="37" t="s">
        <v>7982</v>
      </c>
      <c r="C960" s="51" t="s">
        <v>71</v>
      </c>
      <c r="D960" s="52">
        <v>3437.7</v>
      </c>
      <c r="E960" s="35">
        <v>44629</v>
      </c>
      <c r="F960" s="52">
        <v>3437.7</v>
      </c>
      <c r="G960" s="53">
        <f>Tabla14[[#This Row],[Importe]]-Tabla14[[#This Row],[Pagado]]</f>
        <v>0</v>
      </c>
      <c r="H960" s="37" t="s">
        <v>10</v>
      </c>
    </row>
    <row r="961" spans="1:8" x14ac:dyDescent="0.25">
      <c r="A961" s="31">
        <v>44629</v>
      </c>
      <c r="B961" s="37" t="s">
        <v>7983</v>
      </c>
      <c r="C961" s="51" t="s">
        <v>1008</v>
      </c>
      <c r="D961" s="52">
        <v>707.2</v>
      </c>
      <c r="E961" s="35">
        <v>44629</v>
      </c>
      <c r="F961" s="52">
        <v>707.2</v>
      </c>
      <c r="G961" s="53">
        <f>Tabla14[[#This Row],[Importe]]-Tabla14[[#This Row],[Pagado]]</f>
        <v>0</v>
      </c>
      <c r="H961" s="37" t="s">
        <v>10</v>
      </c>
    </row>
    <row r="962" spans="1:8" x14ac:dyDescent="0.25">
      <c r="A962" s="31">
        <v>44629</v>
      </c>
      <c r="B962" s="37" t="s">
        <v>7984</v>
      </c>
      <c r="C962" s="51" t="s">
        <v>804</v>
      </c>
      <c r="D962" s="52">
        <v>8358</v>
      </c>
      <c r="E962" s="35">
        <v>44629</v>
      </c>
      <c r="F962" s="52">
        <v>8358</v>
      </c>
      <c r="G962" s="53">
        <f>Tabla14[[#This Row],[Importe]]-Tabla14[[#This Row],[Pagado]]</f>
        <v>0</v>
      </c>
      <c r="H962" s="37" t="s">
        <v>10</v>
      </c>
    </row>
    <row r="963" spans="1:8" x14ac:dyDescent="0.25">
      <c r="A963" s="31">
        <v>44629</v>
      </c>
      <c r="B963" s="37" t="s">
        <v>7985</v>
      </c>
      <c r="C963" s="51" t="s">
        <v>6528</v>
      </c>
      <c r="D963" s="52">
        <v>30992</v>
      </c>
      <c r="E963" s="35">
        <v>44629</v>
      </c>
      <c r="F963" s="52">
        <v>30992</v>
      </c>
      <c r="G963" s="53">
        <f>Tabla14[[#This Row],[Importe]]-Tabla14[[#This Row],[Pagado]]</f>
        <v>0</v>
      </c>
      <c r="H963" s="37" t="s">
        <v>10</v>
      </c>
    </row>
    <row r="964" spans="1:8" x14ac:dyDescent="0.25">
      <c r="A964" s="31">
        <v>44629</v>
      </c>
      <c r="B964" s="37" t="s">
        <v>7986</v>
      </c>
      <c r="C964" s="51" t="s">
        <v>1421</v>
      </c>
      <c r="D964" s="52">
        <v>32850</v>
      </c>
      <c r="E964" s="35">
        <v>44629</v>
      </c>
      <c r="F964" s="52">
        <v>32850</v>
      </c>
      <c r="G964" s="53">
        <f>Tabla14[[#This Row],[Importe]]-Tabla14[[#This Row],[Pagado]]</f>
        <v>0</v>
      </c>
      <c r="H964" s="37" t="s">
        <v>10</v>
      </c>
    </row>
    <row r="965" spans="1:8" x14ac:dyDescent="0.25">
      <c r="A965" s="31">
        <v>44629</v>
      </c>
      <c r="B965" s="37" t="s">
        <v>7987</v>
      </c>
      <c r="C965" s="51" t="s">
        <v>275</v>
      </c>
      <c r="D965" s="52">
        <v>6895.8</v>
      </c>
      <c r="E965" s="35">
        <v>44638</v>
      </c>
      <c r="F965" s="52">
        <v>6895.8</v>
      </c>
      <c r="G965" s="53">
        <f>Tabla14[[#This Row],[Importe]]-Tabla14[[#This Row],[Pagado]]</f>
        <v>0</v>
      </c>
      <c r="H965" s="37" t="s">
        <v>10</v>
      </c>
    </row>
    <row r="966" spans="1:8" x14ac:dyDescent="0.25">
      <c r="A966" s="31">
        <v>44629</v>
      </c>
      <c r="B966" s="37" t="s">
        <v>7988</v>
      </c>
      <c r="C966" s="51" t="s">
        <v>31</v>
      </c>
      <c r="D966" s="52">
        <v>511.8</v>
      </c>
      <c r="E966" s="35">
        <v>44629</v>
      </c>
      <c r="F966" s="52">
        <v>511.8</v>
      </c>
      <c r="G966" s="53">
        <f>Tabla14[[#This Row],[Importe]]-Tabla14[[#This Row],[Pagado]]</f>
        <v>0</v>
      </c>
      <c r="H966" s="37" t="s">
        <v>10</v>
      </c>
    </row>
    <row r="967" spans="1:8" x14ac:dyDescent="0.25">
      <c r="A967" s="31">
        <v>44629</v>
      </c>
      <c r="B967" s="37" t="s">
        <v>7989</v>
      </c>
      <c r="C967" s="51" t="s">
        <v>53</v>
      </c>
      <c r="D967" s="52">
        <v>1972.2</v>
      </c>
      <c r="E967" s="35">
        <v>44629</v>
      </c>
      <c r="F967" s="52">
        <v>1972.2</v>
      </c>
      <c r="G967" s="53">
        <f>Tabla14[[#This Row],[Importe]]-Tabla14[[#This Row],[Pagado]]</f>
        <v>0</v>
      </c>
      <c r="H967" s="37" t="s">
        <v>10</v>
      </c>
    </row>
    <row r="968" spans="1:8" x14ac:dyDescent="0.25">
      <c r="A968" s="31">
        <v>44629</v>
      </c>
      <c r="B968" s="37" t="s">
        <v>7990</v>
      </c>
      <c r="C968" s="51" t="s">
        <v>1437</v>
      </c>
      <c r="D968" s="52">
        <v>19602.599999999999</v>
      </c>
      <c r="E968" s="35">
        <v>44629</v>
      </c>
      <c r="F968" s="52">
        <v>19602.599999999999</v>
      </c>
      <c r="G968" s="53">
        <f>Tabla14[[#This Row],[Importe]]-Tabla14[[#This Row],[Pagado]]</f>
        <v>0</v>
      </c>
      <c r="H968" s="37" t="s">
        <v>10</v>
      </c>
    </row>
    <row r="969" spans="1:8" x14ac:dyDescent="0.25">
      <c r="A969" s="31">
        <v>44629</v>
      </c>
      <c r="B969" s="37" t="s">
        <v>7991</v>
      </c>
      <c r="C969" s="51" t="s">
        <v>31</v>
      </c>
      <c r="D969" s="52">
        <v>343.4</v>
      </c>
      <c r="E969" s="35">
        <v>44629</v>
      </c>
      <c r="F969" s="52">
        <v>343.4</v>
      </c>
      <c r="G969" s="53">
        <f>Tabla14[[#This Row],[Importe]]-Tabla14[[#This Row],[Pagado]]</f>
        <v>0</v>
      </c>
      <c r="H969" s="37" t="s">
        <v>10</v>
      </c>
    </row>
    <row r="970" spans="1:8" x14ac:dyDescent="0.25">
      <c r="A970" s="31">
        <v>44629</v>
      </c>
      <c r="B970" s="37" t="s">
        <v>7992</v>
      </c>
      <c r="C970" s="51" t="s">
        <v>681</v>
      </c>
      <c r="D970" s="52">
        <v>3.02</v>
      </c>
      <c r="E970" s="35">
        <v>44634</v>
      </c>
      <c r="F970" s="52">
        <v>3.02</v>
      </c>
      <c r="G970" s="53">
        <f>Tabla14[[#This Row],[Importe]]-Tabla14[[#This Row],[Pagado]]</f>
        <v>0</v>
      </c>
      <c r="H970" s="37" t="s">
        <v>10</v>
      </c>
    </row>
    <row r="971" spans="1:8" x14ac:dyDescent="0.25">
      <c r="A971" s="31">
        <v>44629</v>
      </c>
      <c r="B971" s="37" t="s">
        <v>7993</v>
      </c>
      <c r="C971" s="51" t="s">
        <v>414</v>
      </c>
      <c r="D971" s="52">
        <v>8624</v>
      </c>
      <c r="E971" s="35">
        <v>44638</v>
      </c>
      <c r="F971" s="52">
        <v>8624</v>
      </c>
      <c r="G971" s="53">
        <f>Tabla14[[#This Row],[Importe]]-Tabla14[[#This Row],[Pagado]]</f>
        <v>0</v>
      </c>
      <c r="H971" s="37" t="s">
        <v>10</v>
      </c>
    </row>
    <row r="972" spans="1:8" x14ac:dyDescent="0.25">
      <c r="A972" s="31">
        <v>44629</v>
      </c>
      <c r="B972" s="37" t="s">
        <v>7994</v>
      </c>
      <c r="C972" s="51" t="s">
        <v>179</v>
      </c>
      <c r="D972" s="52">
        <v>1114.4000000000001</v>
      </c>
      <c r="E972" s="35">
        <v>44630</v>
      </c>
      <c r="F972" s="52">
        <v>1114.4000000000001</v>
      </c>
      <c r="G972" s="53">
        <f>Tabla14[[#This Row],[Importe]]-Tabla14[[#This Row],[Pagado]]</f>
        <v>0</v>
      </c>
      <c r="H972" s="37" t="s">
        <v>10</v>
      </c>
    </row>
    <row r="973" spans="1:8" x14ac:dyDescent="0.25">
      <c r="A973" s="31">
        <v>44630</v>
      </c>
      <c r="B973" s="37" t="s">
        <v>7995</v>
      </c>
      <c r="C973" s="51" t="s">
        <v>20</v>
      </c>
      <c r="D973" s="52">
        <v>1644.5</v>
      </c>
      <c r="E973" s="35">
        <v>44630</v>
      </c>
      <c r="F973" s="52">
        <v>1644.5</v>
      </c>
      <c r="G973" s="53">
        <f>Tabla14[[#This Row],[Importe]]-Tabla14[[#This Row],[Pagado]]</f>
        <v>0</v>
      </c>
      <c r="H973" s="37" t="s">
        <v>10</v>
      </c>
    </row>
    <row r="974" spans="1:8" x14ac:dyDescent="0.25">
      <c r="A974" s="31">
        <v>44630</v>
      </c>
      <c r="B974" s="37" t="s">
        <v>7996</v>
      </c>
      <c r="C974" s="51" t="s">
        <v>887</v>
      </c>
      <c r="D974" s="52">
        <v>8731</v>
      </c>
      <c r="E974" s="35">
        <v>44632</v>
      </c>
      <c r="F974" s="52">
        <v>8731</v>
      </c>
      <c r="G974" s="53">
        <f>Tabla14[[#This Row],[Importe]]-Tabla14[[#This Row],[Pagado]]</f>
        <v>0</v>
      </c>
      <c r="H974" s="37" t="s">
        <v>10</v>
      </c>
    </row>
    <row r="975" spans="1:8" ht="31.5" x14ac:dyDescent="0.25">
      <c r="A975" s="31">
        <v>44630</v>
      </c>
      <c r="B975" s="37" t="s">
        <v>7997</v>
      </c>
      <c r="C975" s="51" t="s">
        <v>475</v>
      </c>
      <c r="D975" s="52">
        <v>61219.9</v>
      </c>
      <c r="E975" s="35" t="s">
        <v>7518</v>
      </c>
      <c r="F975" s="52">
        <f>50000+11219.9</f>
        <v>61219.9</v>
      </c>
      <c r="G975" s="53">
        <f>Tabla14[[#This Row],[Importe]]-Tabla14[[#This Row],[Pagado]]</f>
        <v>0</v>
      </c>
      <c r="H975" s="37" t="s">
        <v>10</v>
      </c>
    </row>
    <row r="976" spans="1:8" x14ac:dyDescent="0.25">
      <c r="A976" s="31">
        <v>44630</v>
      </c>
      <c r="B976" s="37" t="s">
        <v>7998</v>
      </c>
      <c r="C976" s="51" t="s">
        <v>83</v>
      </c>
      <c r="D976" s="52">
        <v>5846.4</v>
      </c>
      <c r="E976" s="35">
        <v>44630</v>
      </c>
      <c r="F976" s="52">
        <v>5846.4</v>
      </c>
      <c r="G976" s="53">
        <f>Tabla14[[#This Row],[Importe]]-Tabla14[[#This Row],[Pagado]]</f>
        <v>0</v>
      </c>
      <c r="H976" s="37" t="s">
        <v>10</v>
      </c>
    </row>
    <row r="977" spans="1:8" x14ac:dyDescent="0.25">
      <c r="A977" s="31">
        <v>44630</v>
      </c>
      <c r="B977" s="37" t="s">
        <v>7999</v>
      </c>
      <c r="C977" s="51" t="s">
        <v>481</v>
      </c>
      <c r="D977" s="52">
        <v>623.9</v>
      </c>
      <c r="E977" s="35">
        <v>44630</v>
      </c>
      <c r="F977" s="52">
        <v>623.9</v>
      </c>
      <c r="G977" s="53">
        <f>Tabla14[[#This Row],[Importe]]-Tabla14[[#This Row],[Pagado]]</f>
        <v>0</v>
      </c>
      <c r="H977" s="37" t="s">
        <v>10</v>
      </c>
    </row>
    <row r="978" spans="1:8" x14ac:dyDescent="0.25">
      <c r="A978" s="31">
        <v>44630</v>
      </c>
      <c r="B978" s="37" t="s">
        <v>8000</v>
      </c>
      <c r="C978" s="51" t="s">
        <v>473</v>
      </c>
      <c r="D978" s="52">
        <v>8474.6</v>
      </c>
      <c r="E978" s="35">
        <v>44630</v>
      </c>
      <c r="F978" s="52">
        <v>8474.6</v>
      </c>
      <c r="G978" s="53">
        <f>Tabla14[[#This Row],[Importe]]-Tabla14[[#This Row],[Pagado]]</f>
        <v>0</v>
      </c>
      <c r="H978" s="37" t="s">
        <v>10</v>
      </c>
    </row>
    <row r="979" spans="1:8" x14ac:dyDescent="0.25">
      <c r="A979" s="31">
        <v>44630</v>
      </c>
      <c r="B979" s="37" t="s">
        <v>8001</v>
      </c>
      <c r="C979" s="51" t="s">
        <v>31</v>
      </c>
      <c r="D979" s="52">
        <v>4214.3999999999996</v>
      </c>
      <c r="E979" s="35">
        <v>44630</v>
      </c>
      <c r="F979" s="52">
        <v>4214.3999999999996</v>
      </c>
      <c r="G979" s="53">
        <f>Tabla14[[#This Row],[Importe]]-Tabla14[[#This Row],[Pagado]]</f>
        <v>0</v>
      </c>
      <c r="H979" s="37" t="s">
        <v>10</v>
      </c>
    </row>
    <row r="980" spans="1:8" x14ac:dyDescent="0.25">
      <c r="A980" s="31">
        <v>44630</v>
      </c>
      <c r="B980" s="37" t="s">
        <v>8002</v>
      </c>
      <c r="C980" s="51" t="s">
        <v>373</v>
      </c>
      <c r="D980" s="52">
        <v>1259.7</v>
      </c>
      <c r="E980" s="35">
        <v>44630</v>
      </c>
      <c r="F980" s="52">
        <v>1259.7</v>
      </c>
      <c r="G980" s="53">
        <f>Tabla14[[#This Row],[Importe]]-Tabla14[[#This Row],[Pagado]]</f>
        <v>0</v>
      </c>
      <c r="H980" s="37" t="s">
        <v>10</v>
      </c>
    </row>
    <row r="981" spans="1:8" x14ac:dyDescent="0.25">
      <c r="A981" s="31">
        <v>44630</v>
      </c>
      <c r="B981" s="37" t="s">
        <v>8003</v>
      </c>
      <c r="C981" s="51" t="s">
        <v>75</v>
      </c>
      <c r="D981" s="52">
        <v>8024.8</v>
      </c>
      <c r="E981" s="35">
        <v>44630</v>
      </c>
      <c r="F981" s="52">
        <v>8024.8</v>
      </c>
      <c r="G981" s="53">
        <f>Tabla14[[#This Row],[Importe]]-Tabla14[[#This Row],[Pagado]]</f>
        <v>0</v>
      </c>
      <c r="H981" s="37" t="s">
        <v>10</v>
      </c>
    </row>
    <row r="982" spans="1:8" x14ac:dyDescent="0.25">
      <c r="A982" s="31">
        <v>44630</v>
      </c>
      <c r="B982" s="37" t="s">
        <v>8004</v>
      </c>
      <c r="C982" s="51" t="s">
        <v>12</v>
      </c>
      <c r="D982" s="52">
        <v>42985.25</v>
      </c>
      <c r="E982" s="35">
        <v>44631</v>
      </c>
      <c r="F982" s="52">
        <v>42985.25</v>
      </c>
      <c r="G982" s="53">
        <f>Tabla14[[#This Row],[Importe]]-Tabla14[[#This Row],[Pagado]]</f>
        <v>0</v>
      </c>
      <c r="H982" s="37" t="s">
        <v>10</v>
      </c>
    </row>
    <row r="983" spans="1:8" x14ac:dyDescent="0.25">
      <c r="A983" s="31">
        <v>44630</v>
      </c>
      <c r="B983" s="37" t="s">
        <v>8005</v>
      </c>
      <c r="C983" s="51" t="s">
        <v>60</v>
      </c>
      <c r="D983" s="52">
        <v>3586.8</v>
      </c>
      <c r="E983" s="35">
        <v>44634</v>
      </c>
      <c r="F983" s="52">
        <v>3586.8</v>
      </c>
      <c r="G983" s="53">
        <f>Tabla14[[#This Row],[Importe]]-Tabla14[[#This Row],[Pagado]]</f>
        <v>0</v>
      </c>
      <c r="H983" s="37" t="s">
        <v>10</v>
      </c>
    </row>
    <row r="984" spans="1:8" x14ac:dyDescent="0.25">
      <c r="A984" s="31">
        <v>44630</v>
      </c>
      <c r="B984" s="37" t="s">
        <v>8006</v>
      </c>
      <c r="C984" s="51" t="s">
        <v>109</v>
      </c>
      <c r="D984" s="52">
        <v>4230</v>
      </c>
      <c r="E984" s="35">
        <v>44631</v>
      </c>
      <c r="F984" s="52">
        <v>4230</v>
      </c>
      <c r="G984" s="53">
        <f>Tabla14[[#This Row],[Importe]]-Tabla14[[#This Row],[Pagado]]</f>
        <v>0</v>
      </c>
      <c r="H984" s="37" t="s">
        <v>10</v>
      </c>
    </row>
    <row r="985" spans="1:8" x14ac:dyDescent="0.25">
      <c r="A985" s="31">
        <v>44630</v>
      </c>
      <c r="B985" s="37" t="s">
        <v>8007</v>
      </c>
      <c r="C985" s="51" t="s">
        <v>97</v>
      </c>
      <c r="D985" s="52">
        <v>3995</v>
      </c>
      <c r="E985" s="35">
        <v>44631</v>
      </c>
      <c r="F985" s="52">
        <v>3995</v>
      </c>
      <c r="G985" s="53">
        <f>Tabla14[[#This Row],[Importe]]-Tabla14[[#This Row],[Pagado]]</f>
        <v>0</v>
      </c>
      <c r="H985" s="37" t="s">
        <v>10</v>
      </c>
    </row>
    <row r="986" spans="1:8" x14ac:dyDescent="0.25">
      <c r="A986" s="31">
        <v>44630</v>
      </c>
      <c r="B986" s="37" t="s">
        <v>8008</v>
      </c>
      <c r="C986" s="51" t="s">
        <v>111</v>
      </c>
      <c r="D986" s="52">
        <v>4107.8</v>
      </c>
      <c r="E986" s="35">
        <v>44631</v>
      </c>
      <c r="F986" s="52">
        <v>4107.8</v>
      </c>
      <c r="G986" s="53">
        <f>Tabla14[[#This Row],[Importe]]-Tabla14[[#This Row],[Pagado]]</f>
        <v>0</v>
      </c>
      <c r="H986" s="37" t="s">
        <v>10</v>
      </c>
    </row>
    <row r="987" spans="1:8" x14ac:dyDescent="0.25">
      <c r="A987" s="31">
        <v>44630</v>
      </c>
      <c r="B987" s="37" t="s">
        <v>8009</v>
      </c>
      <c r="C987" s="51" t="s">
        <v>31</v>
      </c>
      <c r="D987" s="52">
        <v>705.6</v>
      </c>
      <c r="E987" s="35">
        <v>44630</v>
      </c>
      <c r="F987" s="52">
        <v>705.6</v>
      </c>
      <c r="G987" s="53">
        <f>Tabla14[[#This Row],[Importe]]-Tabla14[[#This Row],[Pagado]]</f>
        <v>0</v>
      </c>
      <c r="H987" s="37" t="s">
        <v>10</v>
      </c>
    </row>
    <row r="988" spans="1:8" x14ac:dyDescent="0.25">
      <c r="A988" s="31">
        <v>44630</v>
      </c>
      <c r="B988" s="37" t="s">
        <v>8010</v>
      </c>
      <c r="C988" s="51" t="s">
        <v>484</v>
      </c>
      <c r="D988" s="52">
        <v>5427</v>
      </c>
      <c r="E988" s="35">
        <v>44630</v>
      </c>
      <c r="F988" s="52">
        <v>5427</v>
      </c>
      <c r="G988" s="53">
        <f>Tabla14[[#This Row],[Importe]]-Tabla14[[#This Row],[Pagado]]</f>
        <v>0</v>
      </c>
      <c r="H988" s="37" t="s">
        <v>10</v>
      </c>
    </row>
    <row r="989" spans="1:8" x14ac:dyDescent="0.25">
      <c r="A989" s="31">
        <v>44630</v>
      </c>
      <c r="B989" s="37" t="s">
        <v>8011</v>
      </c>
      <c r="C989" s="51" t="s">
        <v>89</v>
      </c>
      <c r="D989" s="52">
        <v>6090</v>
      </c>
      <c r="E989" s="35">
        <v>44631</v>
      </c>
      <c r="F989" s="52">
        <v>6090</v>
      </c>
      <c r="G989" s="53">
        <f>Tabla14[[#This Row],[Importe]]-Tabla14[[#This Row],[Pagado]]</f>
        <v>0</v>
      </c>
      <c r="H989" s="37" t="s">
        <v>10</v>
      </c>
    </row>
    <row r="990" spans="1:8" x14ac:dyDescent="0.25">
      <c r="A990" s="31">
        <v>44630</v>
      </c>
      <c r="B990" s="37" t="s">
        <v>8012</v>
      </c>
      <c r="C990" s="51" t="s">
        <v>2563</v>
      </c>
      <c r="D990" s="52">
        <v>3875.9</v>
      </c>
      <c r="E990" s="35">
        <v>44630</v>
      </c>
      <c r="F990" s="52">
        <v>3875.9</v>
      </c>
      <c r="G990" s="53">
        <f>Tabla14[[#This Row],[Importe]]-Tabla14[[#This Row],[Pagado]]</f>
        <v>0</v>
      </c>
      <c r="H990" s="37" t="s">
        <v>10</v>
      </c>
    </row>
    <row r="991" spans="1:8" x14ac:dyDescent="0.25">
      <c r="A991" s="31">
        <v>44630</v>
      </c>
      <c r="B991" s="37" t="s">
        <v>8013</v>
      </c>
      <c r="C991" s="51" t="s">
        <v>918</v>
      </c>
      <c r="D991" s="52">
        <v>486</v>
      </c>
      <c r="E991" s="35">
        <v>44631</v>
      </c>
      <c r="F991" s="52">
        <v>486</v>
      </c>
      <c r="G991" s="53">
        <f>Tabla14[[#This Row],[Importe]]-Tabla14[[#This Row],[Pagado]]</f>
        <v>0</v>
      </c>
      <c r="H991" s="37" t="s">
        <v>10</v>
      </c>
    </row>
    <row r="992" spans="1:8" x14ac:dyDescent="0.25">
      <c r="A992" s="31">
        <v>44630</v>
      </c>
      <c r="B992" s="37" t="s">
        <v>8014</v>
      </c>
      <c r="C992" s="51" t="s">
        <v>6864</v>
      </c>
      <c r="D992" s="52">
        <v>19375.900000000001</v>
      </c>
      <c r="E992" s="35">
        <v>44630</v>
      </c>
      <c r="F992" s="52">
        <v>19375.900000000001</v>
      </c>
      <c r="G992" s="53">
        <f>Tabla14[[#This Row],[Importe]]-Tabla14[[#This Row],[Pagado]]</f>
        <v>0</v>
      </c>
      <c r="H992" s="37" t="s">
        <v>10</v>
      </c>
    </row>
    <row r="993" spans="1:8" x14ac:dyDescent="0.25">
      <c r="A993" s="31">
        <v>44630</v>
      </c>
      <c r="B993" s="37" t="s">
        <v>8015</v>
      </c>
      <c r="C993" s="51" t="s">
        <v>9</v>
      </c>
      <c r="D993" s="52">
        <v>5131.8999999999996</v>
      </c>
      <c r="E993" s="35">
        <v>44630</v>
      </c>
      <c r="F993" s="52">
        <v>5131.8999999999996</v>
      </c>
      <c r="G993" s="53">
        <f>Tabla14[[#This Row],[Importe]]-Tabla14[[#This Row],[Pagado]]</f>
        <v>0</v>
      </c>
      <c r="H993" s="37" t="s">
        <v>10</v>
      </c>
    </row>
    <row r="994" spans="1:8" x14ac:dyDescent="0.25">
      <c r="A994" s="31">
        <v>44630</v>
      </c>
      <c r="B994" s="37" t="s">
        <v>8016</v>
      </c>
      <c r="C994" s="51" t="s">
        <v>18</v>
      </c>
      <c r="D994" s="52">
        <v>1397.8</v>
      </c>
      <c r="E994" s="35">
        <v>44630</v>
      </c>
      <c r="F994" s="52">
        <v>1397.8</v>
      </c>
      <c r="G994" s="53">
        <f>Tabla14[[#This Row],[Importe]]-Tabla14[[#This Row],[Pagado]]</f>
        <v>0</v>
      </c>
      <c r="H994" s="37" t="s">
        <v>10</v>
      </c>
    </row>
    <row r="995" spans="1:8" x14ac:dyDescent="0.25">
      <c r="A995" s="31">
        <v>44630</v>
      </c>
      <c r="B995" s="37" t="s">
        <v>8017</v>
      </c>
      <c r="C995" s="51" t="s">
        <v>39</v>
      </c>
      <c r="D995" s="52">
        <v>21469.9</v>
      </c>
      <c r="E995" s="35">
        <v>44633</v>
      </c>
      <c r="F995" s="52">
        <v>21469.9</v>
      </c>
      <c r="G995" s="53">
        <f>Tabla14[[#This Row],[Importe]]-Tabla14[[#This Row],[Pagado]]</f>
        <v>0</v>
      </c>
      <c r="H995" s="37" t="s">
        <v>10</v>
      </c>
    </row>
    <row r="996" spans="1:8" x14ac:dyDescent="0.25">
      <c r="A996" s="31">
        <v>44630</v>
      </c>
      <c r="B996" s="37" t="s">
        <v>8018</v>
      </c>
      <c r="C996" s="51" t="s">
        <v>114</v>
      </c>
      <c r="D996" s="52">
        <v>4806.7</v>
      </c>
      <c r="E996" s="35">
        <v>44631</v>
      </c>
      <c r="F996" s="52">
        <v>4806.7</v>
      </c>
      <c r="G996" s="53">
        <f>Tabla14[[#This Row],[Importe]]-Tabla14[[#This Row],[Pagado]]</f>
        <v>0</v>
      </c>
      <c r="H996" s="37" t="s">
        <v>10</v>
      </c>
    </row>
    <row r="997" spans="1:8" x14ac:dyDescent="0.25">
      <c r="A997" s="31">
        <v>44630</v>
      </c>
      <c r="B997" s="37" t="s">
        <v>8019</v>
      </c>
      <c r="C997" s="51" t="s">
        <v>64</v>
      </c>
      <c r="D997" s="52">
        <v>4016.6</v>
      </c>
      <c r="E997" s="35">
        <v>44631</v>
      </c>
      <c r="F997" s="52">
        <v>4016.6</v>
      </c>
      <c r="G997" s="53">
        <f>Tabla14[[#This Row],[Importe]]-Tabla14[[#This Row],[Pagado]]</f>
        <v>0</v>
      </c>
      <c r="H997" s="37" t="s">
        <v>10</v>
      </c>
    </row>
    <row r="998" spans="1:8" x14ac:dyDescent="0.25">
      <c r="A998" s="31">
        <v>44630</v>
      </c>
      <c r="B998" s="37" t="s">
        <v>8020</v>
      </c>
      <c r="C998" s="51" t="s">
        <v>105</v>
      </c>
      <c r="D998" s="52">
        <v>5398.5</v>
      </c>
      <c r="E998" s="35">
        <v>44631</v>
      </c>
      <c r="F998" s="52">
        <v>5398.5</v>
      </c>
      <c r="G998" s="53">
        <f>Tabla14[[#This Row],[Importe]]-Tabla14[[#This Row],[Pagado]]</f>
        <v>0</v>
      </c>
      <c r="H998" s="37" t="s">
        <v>10</v>
      </c>
    </row>
    <row r="999" spans="1:8" x14ac:dyDescent="0.25">
      <c r="A999" s="31">
        <v>44630</v>
      </c>
      <c r="B999" s="37" t="s">
        <v>8021</v>
      </c>
      <c r="C999" s="51" t="s">
        <v>93</v>
      </c>
      <c r="D999" s="52">
        <v>4398.5</v>
      </c>
      <c r="E999" s="35">
        <v>44631</v>
      </c>
      <c r="F999" s="52">
        <v>4398.5</v>
      </c>
      <c r="G999" s="53">
        <f>Tabla14[[#This Row],[Importe]]-Tabla14[[#This Row],[Pagado]]</f>
        <v>0</v>
      </c>
      <c r="H999" s="37" t="s">
        <v>10</v>
      </c>
    </row>
    <row r="1000" spans="1:8" x14ac:dyDescent="0.25">
      <c r="A1000" s="31">
        <v>44630</v>
      </c>
      <c r="B1000" s="37" t="s">
        <v>8022</v>
      </c>
      <c r="C1000" s="51" t="s">
        <v>22</v>
      </c>
      <c r="D1000" s="52">
        <v>43894.2</v>
      </c>
      <c r="E1000" s="35">
        <v>44632</v>
      </c>
      <c r="F1000" s="52">
        <v>43894.2</v>
      </c>
      <c r="G1000" s="53">
        <f>Tabla14[[#This Row],[Importe]]-Tabla14[[#This Row],[Pagado]]</f>
        <v>0</v>
      </c>
      <c r="H1000" s="37" t="s">
        <v>10</v>
      </c>
    </row>
    <row r="1001" spans="1:8" x14ac:dyDescent="0.25">
      <c r="A1001" s="31">
        <v>44630</v>
      </c>
      <c r="B1001" s="37" t="s">
        <v>8023</v>
      </c>
      <c r="C1001" s="51" t="s">
        <v>95</v>
      </c>
      <c r="D1001" s="52">
        <v>18005.2</v>
      </c>
      <c r="E1001" s="35">
        <v>44630</v>
      </c>
      <c r="F1001" s="52">
        <v>18005.2</v>
      </c>
      <c r="G1001" s="53">
        <f>Tabla14[[#This Row],[Importe]]-Tabla14[[#This Row],[Pagado]]</f>
        <v>0</v>
      </c>
      <c r="H1001" s="37" t="s">
        <v>10</v>
      </c>
    </row>
    <row r="1002" spans="1:8" x14ac:dyDescent="0.25">
      <c r="A1002" s="31">
        <v>44630</v>
      </c>
      <c r="B1002" s="37" t="s">
        <v>8024</v>
      </c>
      <c r="C1002" s="51" t="s">
        <v>275</v>
      </c>
      <c r="D1002" s="52">
        <v>104992.92</v>
      </c>
      <c r="E1002" s="35">
        <v>44638</v>
      </c>
      <c r="F1002" s="52">
        <v>104992.92</v>
      </c>
      <c r="G1002" s="53">
        <f>Tabla14[[#This Row],[Importe]]-Tabla14[[#This Row],[Pagado]]</f>
        <v>0</v>
      </c>
      <c r="H1002" s="37" t="s">
        <v>10</v>
      </c>
    </row>
    <row r="1003" spans="1:8" x14ac:dyDescent="0.25">
      <c r="A1003" s="31">
        <v>44630</v>
      </c>
      <c r="B1003" s="37" t="s">
        <v>8025</v>
      </c>
      <c r="C1003" s="51" t="s">
        <v>49</v>
      </c>
      <c r="D1003" s="52">
        <v>4006.2</v>
      </c>
      <c r="E1003" s="35">
        <v>44630</v>
      </c>
      <c r="F1003" s="52">
        <v>4006.2</v>
      </c>
      <c r="G1003" s="53">
        <f>Tabla14[[#This Row],[Importe]]-Tabla14[[#This Row],[Pagado]]</f>
        <v>0</v>
      </c>
      <c r="H1003" s="37" t="s">
        <v>10</v>
      </c>
    </row>
    <row r="1004" spans="1:8" x14ac:dyDescent="0.25">
      <c r="A1004" s="31">
        <v>44630</v>
      </c>
      <c r="B1004" s="37" t="s">
        <v>8026</v>
      </c>
      <c r="C1004" s="51" t="s">
        <v>339</v>
      </c>
      <c r="D1004" s="52">
        <v>666.1</v>
      </c>
      <c r="E1004" s="35">
        <v>44630</v>
      </c>
      <c r="F1004" s="52">
        <v>666.1</v>
      </c>
      <c r="G1004" s="53">
        <f>Tabla14[[#This Row],[Importe]]-Tabla14[[#This Row],[Pagado]]</f>
        <v>0</v>
      </c>
      <c r="H1004" s="37" t="s">
        <v>10</v>
      </c>
    </row>
    <row r="1005" spans="1:8" x14ac:dyDescent="0.25">
      <c r="A1005" s="31">
        <v>44630</v>
      </c>
      <c r="B1005" s="37" t="s">
        <v>8027</v>
      </c>
      <c r="C1005" s="51" t="s">
        <v>140</v>
      </c>
      <c r="D1005" s="52">
        <v>1957.8</v>
      </c>
      <c r="E1005" s="35">
        <v>44630</v>
      </c>
      <c r="F1005" s="52">
        <v>1957.8</v>
      </c>
      <c r="G1005" s="53">
        <f>Tabla14[[#This Row],[Importe]]-Tabla14[[#This Row],[Pagado]]</f>
        <v>0</v>
      </c>
      <c r="H1005" s="37" t="s">
        <v>10</v>
      </c>
    </row>
    <row r="1006" spans="1:8" x14ac:dyDescent="0.25">
      <c r="A1006" s="31">
        <v>44630</v>
      </c>
      <c r="B1006" s="37" t="s">
        <v>8028</v>
      </c>
      <c r="C1006" s="51" t="s">
        <v>127</v>
      </c>
      <c r="D1006" s="52">
        <v>3998.4</v>
      </c>
      <c r="E1006" s="35">
        <v>44630</v>
      </c>
      <c r="F1006" s="52">
        <v>3998.4</v>
      </c>
      <c r="G1006" s="53">
        <f>Tabla14[[#This Row],[Importe]]-Tabla14[[#This Row],[Pagado]]</f>
        <v>0</v>
      </c>
      <c r="H1006" s="37" t="s">
        <v>10</v>
      </c>
    </row>
    <row r="1007" spans="1:8" x14ac:dyDescent="0.25">
      <c r="A1007" s="31">
        <v>44630</v>
      </c>
      <c r="B1007" s="37" t="s">
        <v>8029</v>
      </c>
      <c r="C1007" s="51" t="s">
        <v>129</v>
      </c>
      <c r="D1007" s="52">
        <v>3360</v>
      </c>
      <c r="E1007" s="35">
        <v>44630</v>
      </c>
      <c r="F1007" s="52">
        <v>3360</v>
      </c>
      <c r="G1007" s="53">
        <f>Tabla14[[#This Row],[Importe]]-Tabla14[[#This Row],[Pagado]]</f>
        <v>0</v>
      </c>
      <c r="H1007" s="37" t="s">
        <v>10</v>
      </c>
    </row>
    <row r="1008" spans="1:8" x14ac:dyDescent="0.25">
      <c r="A1008" s="31">
        <v>44630</v>
      </c>
      <c r="B1008" s="37" t="s">
        <v>8030</v>
      </c>
      <c r="C1008" s="51" t="s">
        <v>131</v>
      </c>
      <c r="D1008" s="52">
        <v>12749</v>
      </c>
      <c r="E1008" s="35">
        <v>44630</v>
      </c>
      <c r="F1008" s="52">
        <v>12749</v>
      </c>
      <c r="G1008" s="53">
        <f>Tabla14[[#This Row],[Importe]]-Tabla14[[#This Row],[Pagado]]</f>
        <v>0</v>
      </c>
      <c r="H1008" s="37" t="s">
        <v>10</v>
      </c>
    </row>
    <row r="1009" spans="1:8" x14ac:dyDescent="0.25">
      <c r="A1009" s="31">
        <v>44630</v>
      </c>
      <c r="B1009" s="37" t="s">
        <v>8031</v>
      </c>
      <c r="C1009" s="51" t="s">
        <v>3971</v>
      </c>
      <c r="D1009" s="52">
        <v>4004</v>
      </c>
      <c r="E1009" s="35">
        <v>44630</v>
      </c>
      <c r="F1009" s="52">
        <v>4004</v>
      </c>
      <c r="G1009" s="53">
        <f>Tabla14[[#This Row],[Importe]]-Tabla14[[#This Row],[Pagado]]</f>
        <v>0</v>
      </c>
      <c r="H1009" s="37" t="s">
        <v>10</v>
      </c>
    </row>
    <row r="1010" spans="1:8" x14ac:dyDescent="0.25">
      <c r="A1010" s="31">
        <v>44630</v>
      </c>
      <c r="B1010" s="37" t="s">
        <v>8032</v>
      </c>
      <c r="C1010" s="51" t="s">
        <v>918</v>
      </c>
      <c r="D1010" s="52">
        <v>5742</v>
      </c>
      <c r="E1010" s="35">
        <v>44630</v>
      </c>
      <c r="F1010" s="52">
        <v>5742</v>
      </c>
      <c r="G1010" s="53">
        <f>Tabla14[[#This Row],[Importe]]-Tabla14[[#This Row],[Pagado]]</f>
        <v>0</v>
      </c>
      <c r="H1010" s="37" t="s">
        <v>10</v>
      </c>
    </row>
    <row r="1011" spans="1:8" x14ac:dyDescent="0.25">
      <c r="A1011" s="31">
        <v>44630</v>
      </c>
      <c r="B1011" s="37" t="s">
        <v>8033</v>
      </c>
      <c r="C1011" s="51" t="s">
        <v>664</v>
      </c>
      <c r="D1011" s="52">
        <v>14480.6</v>
      </c>
      <c r="E1011" s="35">
        <v>44630</v>
      </c>
      <c r="F1011" s="52">
        <v>14480.6</v>
      </c>
      <c r="G1011" s="53">
        <f>Tabla14[[#This Row],[Importe]]-Tabla14[[#This Row],[Pagado]]</f>
        <v>0</v>
      </c>
      <c r="H1011" s="37" t="s">
        <v>10</v>
      </c>
    </row>
    <row r="1012" spans="1:8" x14ac:dyDescent="0.25">
      <c r="A1012" s="31">
        <v>44630</v>
      </c>
      <c r="B1012" s="37" t="s">
        <v>8034</v>
      </c>
      <c r="C1012" s="51" t="s">
        <v>31</v>
      </c>
      <c r="D1012" s="52">
        <v>843.6</v>
      </c>
      <c r="E1012" s="35">
        <v>44630</v>
      </c>
      <c r="F1012" s="52">
        <v>843.6</v>
      </c>
      <c r="G1012" s="53">
        <f>Tabla14[[#This Row],[Importe]]-Tabla14[[#This Row],[Pagado]]</f>
        <v>0</v>
      </c>
      <c r="H1012" s="37" t="s">
        <v>10</v>
      </c>
    </row>
    <row r="1013" spans="1:8" x14ac:dyDescent="0.25">
      <c r="A1013" s="31">
        <v>44630</v>
      </c>
      <c r="B1013" s="37" t="s">
        <v>8035</v>
      </c>
      <c r="C1013" s="51" t="s">
        <v>53</v>
      </c>
      <c r="D1013" s="52">
        <v>1774.8</v>
      </c>
      <c r="E1013" s="35">
        <v>44630</v>
      </c>
      <c r="F1013" s="52">
        <v>1774.8</v>
      </c>
      <c r="G1013" s="53">
        <f>Tabla14[[#This Row],[Importe]]-Tabla14[[#This Row],[Pagado]]</f>
        <v>0</v>
      </c>
      <c r="H1013" s="37" t="s">
        <v>10</v>
      </c>
    </row>
    <row r="1014" spans="1:8" x14ac:dyDescent="0.25">
      <c r="A1014" s="31">
        <v>44630</v>
      </c>
      <c r="B1014" s="37" t="s">
        <v>8036</v>
      </c>
      <c r="C1014" s="51" t="s">
        <v>230</v>
      </c>
      <c r="D1014" s="52">
        <v>4427.3999999999996</v>
      </c>
      <c r="E1014" s="35">
        <v>44630</v>
      </c>
      <c r="F1014" s="52">
        <v>4427.3999999999996</v>
      </c>
      <c r="G1014" s="53">
        <f>Tabla14[[#This Row],[Importe]]-Tabla14[[#This Row],[Pagado]]</f>
        <v>0</v>
      </c>
      <c r="H1014" s="37" t="s">
        <v>10</v>
      </c>
    </row>
    <row r="1015" spans="1:8" x14ac:dyDescent="0.25">
      <c r="A1015" s="31">
        <v>44630</v>
      </c>
      <c r="B1015" s="37" t="s">
        <v>8037</v>
      </c>
      <c r="C1015" s="51" t="s">
        <v>87</v>
      </c>
      <c r="D1015" s="52">
        <v>1943.2</v>
      </c>
      <c r="E1015" s="35">
        <v>44630</v>
      </c>
      <c r="F1015" s="52">
        <v>1943.2</v>
      </c>
      <c r="G1015" s="53">
        <f>Tabla14[[#This Row],[Importe]]-Tabla14[[#This Row],[Pagado]]</f>
        <v>0</v>
      </c>
      <c r="H1015" s="37" t="s">
        <v>10</v>
      </c>
    </row>
    <row r="1016" spans="1:8" x14ac:dyDescent="0.25">
      <c r="A1016" s="31">
        <v>44630</v>
      </c>
      <c r="B1016" s="37" t="s">
        <v>8038</v>
      </c>
      <c r="C1016" s="51" t="s">
        <v>27</v>
      </c>
      <c r="D1016" s="52">
        <v>2289.1</v>
      </c>
      <c r="E1016" s="35">
        <v>44630</v>
      </c>
      <c r="F1016" s="52">
        <v>2289.1</v>
      </c>
      <c r="G1016" s="53">
        <f>Tabla14[[#This Row],[Importe]]-Tabla14[[#This Row],[Pagado]]</f>
        <v>0</v>
      </c>
      <c r="H1016" s="37" t="s">
        <v>10</v>
      </c>
    </row>
    <row r="1017" spans="1:8" x14ac:dyDescent="0.25">
      <c r="A1017" s="31">
        <v>44630</v>
      </c>
      <c r="B1017" s="37" t="s">
        <v>8039</v>
      </c>
      <c r="C1017" s="51" t="s">
        <v>1239</v>
      </c>
      <c r="D1017" s="52">
        <v>5907.6</v>
      </c>
      <c r="E1017" s="35">
        <v>44630</v>
      </c>
      <c r="F1017" s="52">
        <v>5907.6</v>
      </c>
      <c r="G1017" s="53">
        <f>Tabla14[[#This Row],[Importe]]-Tabla14[[#This Row],[Pagado]]</f>
        <v>0</v>
      </c>
      <c r="H1017" s="37" t="s">
        <v>10</v>
      </c>
    </row>
    <row r="1018" spans="1:8" x14ac:dyDescent="0.25">
      <c r="A1018" s="31">
        <v>44630</v>
      </c>
      <c r="B1018" s="37" t="s">
        <v>8040</v>
      </c>
      <c r="C1018" s="51" t="s">
        <v>647</v>
      </c>
      <c r="D1018" s="52">
        <v>2639.7</v>
      </c>
      <c r="E1018" s="35">
        <v>44630</v>
      </c>
      <c r="F1018" s="52">
        <v>2639.7</v>
      </c>
      <c r="G1018" s="53">
        <f>Tabla14[[#This Row],[Importe]]-Tabla14[[#This Row],[Pagado]]</f>
        <v>0</v>
      </c>
      <c r="H1018" s="37" t="s">
        <v>10</v>
      </c>
    </row>
    <row r="1019" spans="1:8" x14ac:dyDescent="0.25">
      <c r="A1019" s="31">
        <v>44630</v>
      </c>
      <c r="B1019" s="37" t="s">
        <v>8041</v>
      </c>
      <c r="C1019" s="51" t="s">
        <v>191</v>
      </c>
      <c r="D1019" s="52">
        <v>1705.2</v>
      </c>
      <c r="E1019" s="35">
        <v>44630</v>
      </c>
      <c r="F1019" s="52">
        <v>1705.2</v>
      </c>
      <c r="G1019" s="53">
        <f>Tabla14[[#This Row],[Importe]]-Tabla14[[#This Row],[Pagado]]</f>
        <v>0</v>
      </c>
      <c r="H1019" s="37" t="s">
        <v>10</v>
      </c>
    </row>
    <row r="1020" spans="1:8" x14ac:dyDescent="0.25">
      <c r="A1020" s="31">
        <v>44630</v>
      </c>
      <c r="B1020" s="37" t="s">
        <v>8042</v>
      </c>
      <c r="C1020" s="51" t="s">
        <v>151</v>
      </c>
      <c r="D1020" s="52">
        <v>9794.4</v>
      </c>
      <c r="E1020" s="35">
        <v>44631</v>
      </c>
      <c r="F1020" s="52">
        <v>9794.4</v>
      </c>
      <c r="G1020" s="53">
        <f>Tabla14[[#This Row],[Importe]]-Tabla14[[#This Row],[Pagado]]</f>
        <v>0</v>
      </c>
      <c r="H1020" s="37" t="s">
        <v>10</v>
      </c>
    </row>
    <row r="1021" spans="1:8" x14ac:dyDescent="0.25">
      <c r="A1021" s="31">
        <v>44630</v>
      </c>
      <c r="B1021" s="37" t="s">
        <v>8043</v>
      </c>
      <c r="C1021" s="51" t="s">
        <v>520</v>
      </c>
      <c r="D1021" s="52">
        <v>11729.5</v>
      </c>
      <c r="E1021" s="35">
        <v>44632</v>
      </c>
      <c r="F1021" s="52">
        <v>11729.5</v>
      </c>
      <c r="G1021" s="53">
        <f>Tabla14[[#This Row],[Importe]]-Tabla14[[#This Row],[Pagado]]</f>
        <v>0</v>
      </c>
      <c r="H1021" s="37" t="s">
        <v>10</v>
      </c>
    </row>
    <row r="1022" spans="1:8" x14ac:dyDescent="0.25">
      <c r="A1022" s="31">
        <v>44630</v>
      </c>
      <c r="B1022" s="37" t="s">
        <v>8044</v>
      </c>
      <c r="C1022" s="51" t="s">
        <v>31</v>
      </c>
      <c r="D1022" s="52">
        <v>1671.6</v>
      </c>
      <c r="E1022" s="35">
        <v>44630</v>
      </c>
      <c r="F1022" s="52">
        <v>1671.6</v>
      </c>
      <c r="G1022" s="53">
        <f>Tabla14[[#This Row],[Importe]]-Tabla14[[#This Row],[Pagado]]</f>
        <v>0</v>
      </c>
      <c r="H1022" s="37" t="s">
        <v>10</v>
      </c>
    </row>
    <row r="1023" spans="1:8" x14ac:dyDescent="0.25">
      <c r="A1023" s="31">
        <v>44630</v>
      </c>
      <c r="B1023" s="37" t="s">
        <v>8045</v>
      </c>
      <c r="C1023" s="51" t="s">
        <v>319</v>
      </c>
      <c r="D1023" s="52">
        <v>1674.4</v>
      </c>
      <c r="E1023" s="35">
        <v>44631</v>
      </c>
      <c r="F1023" s="52">
        <v>1674.4</v>
      </c>
      <c r="G1023" s="53">
        <f>Tabla14[[#This Row],[Importe]]-Tabla14[[#This Row],[Pagado]]</f>
        <v>0</v>
      </c>
      <c r="H1023" s="37" t="s">
        <v>10</v>
      </c>
    </row>
    <row r="1024" spans="1:8" x14ac:dyDescent="0.25">
      <c r="A1024" s="31">
        <v>44630</v>
      </c>
      <c r="B1024" s="37" t="s">
        <v>8046</v>
      </c>
      <c r="C1024" s="51" t="s">
        <v>157</v>
      </c>
      <c r="D1024" s="52">
        <v>2965.2</v>
      </c>
      <c r="E1024" s="35">
        <v>44631</v>
      </c>
      <c r="F1024" s="52">
        <v>2965.2</v>
      </c>
      <c r="G1024" s="53">
        <f>Tabla14[[#This Row],[Importe]]-Tabla14[[#This Row],[Pagado]]</f>
        <v>0</v>
      </c>
      <c r="H1024" s="37" t="s">
        <v>10</v>
      </c>
    </row>
    <row r="1025" spans="1:8" x14ac:dyDescent="0.25">
      <c r="A1025" s="31">
        <v>44630</v>
      </c>
      <c r="B1025" s="37" t="s">
        <v>8047</v>
      </c>
      <c r="C1025" s="51" t="s">
        <v>45</v>
      </c>
      <c r="D1025" s="52">
        <v>11850.9</v>
      </c>
      <c r="E1025" s="35">
        <v>44630</v>
      </c>
      <c r="F1025" s="52">
        <v>11850.9</v>
      </c>
      <c r="G1025" s="53">
        <f>Tabla14[[#This Row],[Importe]]-Tabla14[[#This Row],[Pagado]]</f>
        <v>0</v>
      </c>
      <c r="H1025" s="37" t="s">
        <v>10</v>
      </c>
    </row>
    <row r="1026" spans="1:8" x14ac:dyDescent="0.25">
      <c r="A1026" s="31">
        <v>44630</v>
      </c>
      <c r="B1026" s="37" t="s">
        <v>8048</v>
      </c>
      <c r="C1026" s="51" t="s">
        <v>159</v>
      </c>
      <c r="D1026" s="52">
        <v>5409.3</v>
      </c>
      <c r="E1026" s="35">
        <v>44631</v>
      </c>
      <c r="F1026" s="52">
        <v>5409.3</v>
      </c>
      <c r="G1026" s="53">
        <f>Tabla14[[#This Row],[Importe]]-Tabla14[[#This Row],[Pagado]]</f>
        <v>0</v>
      </c>
      <c r="H1026" s="37" t="s">
        <v>10</v>
      </c>
    </row>
    <row r="1027" spans="1:8" x14ac:dyDescent="0.25">
      <c r="A1027" s="31">
        <v>44630</v>
      </c>
      <c r="B1027" s="37" t="s">
        <v>8049</v>
      </c>
      <c r="C1027" s="51" t="s">
        <v>525</v>
      </c>
      <c r="D1027" s="52">
        <v>2137.1999999999998</v>
      </c>
      <c r="E1027" s="35">
        <v>44631</v>
      </c>
      <c r="F1027" s="52">
        <v>2137.1999999999998</v>
      </c>
      <c r="G1027" s="53">
        <f>Tabla14[[#This Row],[Importe]]-Tabla14[[#This Row],[Pagado]]</f>
        <v>0</v>
      </c>
      <c r="H1027" s="37" t="s">
        <v>10</v>
      </c>
    </row>
    <row r="1028" spans="1:8" x14ac:dyDescent="0.25">
      <c r="A1028" s="31">
        <v>44630</v>
      </c>
      <c r="B1028" s="37" t="s">
        <v>8050</v>
      </c>
      <c r="C1028" s="51" t="s">
        <v>222</v>
      </c>
      <c r="D1028" s="52">
        <v>9277.5</v>
      </c>
      <c r="E1028" s="35">
        <v>44630</v>
      </c>
      <c r="F1028" s="52">
        <v>9277.5</v>
      </c>
      <c r="G1028" s="53">
        <f>Tabla14[[#This Row],[Importe]]-Tabla14[[#This Row],[Pagado]]</f>
        <v>0</v>
      </c>
      <c r="H1028" s="37" t="s">
        <v>10</v>
      </c>
    </row>
    <row r="1029" spans="1:8" x14ac:dyDescent="0.25">
      <c r="A1029" s="31">
        <v>44630</v>
      </c>
      <c r="B1029" s="37" t="s">
        <v>8051</v>
      </c>
      <c r="C1029" s="51" t="s">
        <v>24</v>
      </c>
      <c r="D1029" s="52">
        <v>2365.1</v>
      </c>
      <c r="E1029" s="35">
        <v>44630</v>
      </c>
      <c r="F1029" s="52">
        <v>2365.1</v>
      </c>
      <c r="G1029" s="53">
        <f>Tabla14[[#This Row],[Importe]]-Tabla14[[#This Row],[Pagado]]</f>
        <v>0</v>
      </c>
      <c r="H1029" s="37" t="s">
        <v>10</v>
      </c>
    </row>
    <row r="1030" spans="1:8" x14ac:dyDescent="0.25">
      <c r="A1030" s="31">
        <v>44630</v>
      </c>
      <c r="B1030" s="37" t="s">
        <v>8052</v>
      </c>
      <c r="C1030" s="51" t="s">
        <v>426</v>
      </c>
      <c r="D1030" s="52">
        <v>3639.2</v>
      </c>
      <c r="E1030" s="35">
        <v>44630</v>
      </c>
      <c r="F1030" s="52">
        <v>3639.2</v>
      </c>
      <c r="G1030" s="53">
        <f>Tabla14[[#This Row],[Importe]]-Tabla14[[#This Row],[Pagado]]</f>
        <v>0</v>
      </c>
      <c r="H1030" s="37" t="s">
        <v>10</v>
      </c>
    </row>
    <row r="1031" spans="1:8" x14ac:dyDescent="0.25">
      <c r="A1031" s="31">
        <v>44630</v>
      </c>
      <c r="B1031" s="37" t="s">
        <v>8053</v>
      </c>
      <c r="C1031" s="51" t="s">
        <v>426</v>
      </c>
      <c r="D1031" s="52">
        <v>375</v>
      </c>
      <c r="E1031" s="35">
        <v>44630</v>
      </c>
      <c r="F1031" s="52">
        <v>375</v>
      </c>
      <c r="G1031" s="53">
        <f>Tabla14[[#This Row],[Importe]]-Tabla14[[#This Row],[Pagado]]</f>
        <v>0</v>
      </c>
      <c r="H1031" s="37" t="s">
        <v>10</v>
      </c>
    </row>
    <row r="1032" spans="1:8" x14ac:dyDescent="0.25">
      <c r="A1032" s="31">
        <v>44630</v>
      </c>
      <c r="B1032" s="37" t="s">
        <v>8054</v>
      </c>
      <c r="C1032" s="51" t="s">
        <v>618</v>
      </c>
      <c r="D1032" s="52">
        <v>9526.2000000000007</v>
      </c>
      <c r="E1032" s="35">
        <v>44630</v>
      </c>
      <c r="F1032" s="52">
        <v>9526.2000000000007</v>
      </c>
      <c r="G1032" s="53">
        <f>Tabla14[[#This Row],[Importe]]-Tabla14[[#This Row],[Pagado]]</f>
        <v>0</v>
      </c>
      <c r="H1032" s="37" t="s">
        <v>10</v>
      </c>
    </row>
    <row r="1033" spans="1:8" x14ac:dyDescent="0.25">
      <c r="A1033" s="31">
        <v>44630</v>
      </c>
      <c r="B1033" s="37" t="s">
        <v>8055</v>
      </c>
      <c r="C1033" s="51" t="s">
        <v>175</v>
      </c>
      <c r="D1033" s="52">
        <v>17344.099999999999</v>
      </c>
      <c r="E1033" s="35">
        <v>44630</v>
      </c>
      <c r="F1033" s="52">
        <v>17344.099999999999</v>
      </c>
      <c r="G1033" s="53">
        <f>Tabla14[[#This Row],[Importe]]-Tabla14[[#This Row],[Pagado]]</f>
        <v>0</v>
      </c>
      <c r="H1033" s="37" t="s">
        <v>10</v>
      </c>
    </row>
    <row r="1034" spans="1:8" x14ac:dyDescent="0.25">
      <c r="A1034" s="31">
        <v>44630</v>
      </c>
      <c r="B1034" s="37" t="s">
        <v>8056</v>
      </c>
      <c r="C1034" s="51" t="s">
        <v>200</v>
      </c>
      <c r="D1034" s="52">
        <v>616</v>
      </c>
      <c r="E1034" s="35">
        <v>44630</v>
      </c>
      <c r="F1034" s="52">
        <v>616</v>
      </c>
      <c r="G1034" s="53">
        <f>Tabla14[[#This Row],[Importe]]-Tabla14[[#This Row],[Pagado]]</f>
        <v>0</v>
      </c>
      <c r="H1034" s="37" t="s">
        <v>10</v>
      </c>
    </row>
    <row r="1035" spans="1:8" x14ac:dyDescent="0.25">
      <c r="A1035" s="31">
        <v>44630</v>
      </c>
      <c r="B1035" s="37" t="s">
        <v>8057</v>
      </c>
      <c r="C1035" s="51" t="s">
        <v>214</v>
      </c>
      <c r="D1035" s="52">
        <v>1293.5999999999999</v>
      </c>
      <c r="E1035" s="35">
        <v>44630</v>
      </c>
      <c r="F1035" s="52">
        <v>1293.5999999999999</v>
      </c>
      <c r="G1035" s="53">
        <f>Tabla14[[#This Row],[Importe]]-Tabla14[[#This Row],[Pagado]]</f>
        <v>0</v>
      </c>
      <c r="H1035" s="37" t="s">
        <v>10</v>
      </c>
    </row>
    <row r="1036" spans="1:8" x14ac:dyDescent="0.25">
      <c r="A1036" s="31">
        <v>44630</v>
      </c>
      <c r="B1036" s="37" t="s">
        <v>8058</v>
      </c>
      <c r="C1036" s="51" t="s">
        <v>872</v>
      </c>
      <c r="D1036" s="52">
        <v>1079.3</v>
      </c>
      <c r="E1036" s="35">
        <v>44630</v>
      </c>
      <c r="F1036" s="52">
        <v>1079.3</v>
      </c>
      <c r="G1036" s="53">
        <f>Tabla14[[#This Row],[Importe]]-Tabla14[[#This Row],[Pagado]]</f>
        <v>0</v>
      </c>
      <c r="H1036" s="37" t="s">
        <v>10</v>
      </c>
    </row>
    <row r="1037" spans="1:8" x14ac:dyDescent="0.25">
      <c r="A1037" s="31">
        <v>44630</v>
      </c>
      <c r="B1037" s="37" t="s">
        <v>8059</v>
      </c>
      <c r="C1037" s="51" t="s">
        <v>79</v>
      </c>
      <c r="D1037" s="52">
        <v>7666.4</v>
      </c>
      <c r="E1037" s="35">
        <v>44631</v>
      </c>
      <c r="F1037" s="52">
        <v>7666.4</v>
      </c>
      <c r="G1037" s="53">
        <f>Tabla14[[#This Row],[Importe]]-Tabla14[[#This Row],[Pagado]]</f>
        <v>0</v>
      </c>
      <c r="H1037" s="37" t="s">
        <v>10</v>
      </c>
    </row>
    <row r="1038" spans="1:8" x14ac:dyDescent="0.25">
      <c r="A1038" s="31">
        <v>44630</v>
      </c>
      <c r="B1038" s="37" t="s">
        <v>8060</v>
      </c>
      <c r="C1038" s="51" t="s">
        <v>8061</v>
      </c>
      <c r="D1038" s="52">
        <v>5705.1</v>
      </c>
      <c r="E1038" s="35">
        <v>44630</v>
      </c>
      <c r="F1038" s="52">
        <v>5705.1</v>
      </c>
      <c r="G1038" s="53">
        <f>Tabla14[[#This Row],[Importe]]-Tabla14[[#This Row],[Pagado]]</f>
        <v>0</v>
      </c>
      <c r="H1038" s="37" t="s">
        <v>10</v>
      </c>
    </row>
    <row r="1039" spans="1:8" x14ac:dyDescent="0.25">
      <c r="A1039" s="31">
        <v>44630</v>
      </c>
      <c r="B1039" s="37" t="s">
        <v>8062</v>
      </c>
      <c r="C1039" s="51" t="s">
        <v>8061</v>
      </c>
      <c r="D1039" s="52">
        <v>2700</v>
      </c>
      <c r="E1039" s="35">
        <v>44630</v>
      </c>
      <c r="F1039" s="52">
        <v>2700</v>
      </c>
      <c r="G1039" s="53">
        <f>Tabla14[[#This Row],[Importe]]-Tabla14[[#This Row],[Pagado]]</f>
        <v>0</v>
      </c>
      <c r="H1039" s="37" t="s">
        <v>10</v>
      </c>
    </row>
    <row r="1040" spans="1:8" x14ac:dyDescent="0.25">
      <c r="A1040" s="31">
        <v>44630</v>
      </c>
      <c r="B1040" s="37" t="s">
        <v>8063</v>
      </c>
      <c r="C1040" s="51" t="s">
        <v>31</v>
      </c>
      <c r="D1040" s="52">
        <v>1012</v>
      </c>
      <c r="E1040" s="35">
        <v>44630</v>
      </c>
      <c r="F1040" s="52">
        <v>1012</v>
      </c>
      <c r="G1040" s="53">
        <f>Tabla14[[#This Row],[Importe]]-Tabla14[[#This Row],[Pagado]]</f>
        <v>0</v>
      </c>
      <c r="H1040" s="37" t="s">
        <v>10</v>
      </c>
    </row>
    <row r="1041" spans="1:8" x14ac:dyDescent="0.25">
      <c r="A1041" s="31">
        <v>44630</v>
      </c>
      <c r="B1041" s="37" t="s">
        <v>8064</v>
      </c>
      <c r="C1041" s="51" t="s">
        <v>228</v>
      </c>
      <c r="D1041" s="52">
        <v>4939</v>
      </c>
      <c r="E1041" s="35">
        <v>44630</v>
      </c>
      <c r="F1041" s="52">
        <v>4939</v>
      </c>
      <c r="G1041" s="53">
        <f>Tabla14[[#This Row],[Importe]]-Tabla14[[#This Row],[Pagado]]</f>
        <v>0</v>
      </c>
      <c r="H1041" s="37" t="s">
        <v>10</v>
      </c>
    </row>
    <row r="1042" spans="1:8" x14ac:dyDescent="0.25">
      <c r="A1042" s="31">
        <v>44630</v>
      </c>
      <c r="B1042" s="37" t="s">
        <v>8065</v>
      </c>
      <c r="C1042" s="51" t="s">
        <v>228</v>
      </c>
      <c r="D1042" s="52">
        <v>954</v>
      </c>
      <c r="E1042" s="35">
        <v>44630</v>
      </c>
      <c r="F1042" s="52">
        <v>954</v>
      </c>
      <c r="G1042" s="53">
        <f>Tabla14[[#This Row],[Importe]]-Tabla14[[#This Row],[Pagado]]</f>
        <v>0</v>
      </c>
      <c r="H1042" s="37" t="s">
        <v>10</v>
      </c>
    </row>
    <row r="1043" spans="1:8" x14ac:dyDescent="0.25">
      <c r="A1043" s="31">
        <v>44630</v>
      </c>
      <c r="B1043" s="37" t="s">
        <v>8066</v>
      </c>
      <c r="C1043" s="51" t="s">
        <v>8061</v>
      </c>
      <c r="D1043" s="52">
        <v>126.9</v>
      </c>
      <c r="E1043" s="35">
        <v>44630</v>
      </c>
      <c r="F1043" s="52">
        <v>126.9</v>
      </c>
      <c r="G1043" s="53">
        <f>Tabla14[[#This Row],[Importe]]-Tabla14[[#This Row],[Pagado]]</f>
        <v>0</v>
      </c>
      <c r="H1043" s="37" t="s">
        <v>10</v>
      </c>
    </row>
    <row r="1044" spans="1:8" x14ac:dyDescent="0.25">
      <c r="A1044" s="31">
        <v>44630</v>
      </c>
      <c r="B1044" s="37" t="s">
        <v>8067</v>
      </c>
      <c r="C1044" s="51" t="s">
        <v>1971</v>
      </c>
      <c r="D1044" s="52">
        <v>441</v>
      </c>
      <c r="E1044" s="35">
        <v>44631</v>
      </c>
      <c r="F1044" s="52">
        <v>441</v>
      </c>
      <c r="G1044" s="53">
        <f>Tabla14[[#This Row],[Importe]]-Tabla14[[#This Row],[Pagado]]</f>
        <v>0</v>
      </c>
      <c r="H1044" s="37" t="s">
        <v>10</v>
      </c>
    </row>
    <row r="1045" spans="1:8" x14ac:dyDescent="0.25">
      <c r="A1045" s="31">
        <v>44630</v>
      </c>
      <c r="B1045" s="37" t="s">
        <v>8068</v>
      </c>
      <c r="C1045" s="51" t="s">
        <v>396</v>
      </c>
      <c r="D1045" s="52">
        <v>7271.1</v>
      </c>
      <c r="E1045" s="35">
        <v>44638</v>
      </c>
      <c r="F1045" s="52">
        <v>7271.1</v>
      </c>
      <c r="G1045" s="53">
        <f>Tabla14[[#This Row],[Importe]]-Tabla14[[#This Row],[Pagado]]</f>
        <v>0</v>
      </c>
      <c r="H1045" s="37" t="s">
        <v>10</v>
      </c>
    </row>
    <row r="1046" spans="1:8" x14ac:dyDescent="0.25">
      <c r="A1046" s="31">
        <v>44630</v>
      </c>
      <c r="B1046" s="37" t="s">
        <v>8069</v>
      </c>
      <c r="C1046" s="51" t="s">
        <v>698</v>
      </c>
      <c r="D1046" s="52">
        <v>3174.9</v>
      </c>
      <c r="E1046" s="35">
        <v>44630</v>
      </c>
      <c r="F1046" s="52">
        <v>3174.9</v>
      </c>
      <c r="G1046" s="53">
        <f>Tabla14[[#This Row],[Importe]]-Tabla14[[#This Row],[Pagado]]</f>
        <v>0</v>
      </c>
      <c r="H1046" s="37" t="s">
        <v>10</v>
      </c>
    </row>
    <row r="1047" spans="1:8" x14ac:dyDescent="0.25">
      <c r="A1047" s="31">
        <v>44630</v>
      </c>
      <c r="B1047" s="37" t="s">
        <v>8070</v>
      </c>
      <c r="C1047" s="51" t="s">
        <v>67</v>
      </c>
      <c r="D1047" s="52">
        <v>8559.6</v>
      </c>
      <c r="E1047" s="35">
        <v>44630</v>
      </c>
      <c r="F1047" s="52">
        <v>8559.6</v>
      </c>
      <c r="G1047" s="53">
        <f>Tabla14[[#This Row],[Importe]]-Tabla14[[#This Row],[Pagado]]</f>
        <v>0</v>
      </c>
      <c r="H1047" s="37" t="s">
        <v>10</v>
      </c>
    </row>
    <row r="1048" spans="1:8" x14ac:dyDescent="0.25">
      <c r="A1048" s="31">
        <v>44630</v>
      </c>
      <c r="B1048" s="37" t="s">
        <v>8071</v>
      </c>
      <c r="C1048" s="51" t="s">
        <v>216</v>
      </c>
      <c r="D1048" s="52">
        <v>1786.4</v>
      </c>
      <c r="E1048" s="35">
        <v>44630</v>
      </c>
      <c r="F1048" s="52">
        <v>1786.4</v>
      </c>
      <c r="G1048" s="53">
        <f>Tabla14[[#This Row],[Importe]]-Tabla14[[#This Row],[Pagado]]</f>
        <v>0</v>
      </c>
      <c r="H1048" s="37" t="s">
        <v>10</v>
      </c>
    </row>
    <row r="1049" spans="1:8" x14ac:dyDescent="0.25">
      <c r="A1049" s="31">
        <v>44630</v>
      </c>
      <c r="B1049" s="37" t="s">
        <v>8072</v>
      </c>
      <c r="C1049" s="51" t="s">
        <v>371</v>
      </c>
      <c r="D1049" s="52">
        <v>7209</v>
      </c>
      <c r="E1049" s="35">
        <v>44631</v>
      </c>
      <c r="F1049" s="52">
        <v>7209</v>
      </c>
      <c r="G1049" s="53">
        <f>Tabla14[[#This Row],[Importe]]-Tabla14[[#This Row],[Pagado]]</f>
        <v>0</v>
      </c>
      <c r="H1049" s="37" t="s">
        <v>10</v>
      </c>
    </row>
    <row r="1050" spans="1:8" x14ac:dyDescent="0.25">
      <c r="A1050" s="31">
        <v>44630</v>
      </c>
      <c r="B1050" s="37" t="s">
        <v>8073</v>
      </c>
      <c r="C1050" s="51" t="s">
        <v>202</v>
      </c>
      <c r="D1050" s="52">
        <v>4299.7</v>
      </c>
      <c r="E1050" s="35">
        <v>44630</v>
      </c>
      <c r="F1050" s="52">
        <v>4299.7</v>
      </c>
      <c r="G1050" s="53">
        <f>Tabla14[[#This Row],[Importe]]-Tabla14[[#This Row],[Pagado]]</f>
        <v>0</v>
      </c>
      <c r="H1050" s="37" t="s">
        <v>10</v>
      </c>
    </row>
    <row r="1051" spans="1:8" x14ac:dyDescent="0.25">
      <c r="A1051" s="31">
        <v>44630</v>
      </c>
      <c r="B1051" s="37" t="s">
        <v>8074</v>
      </c>
      <c r="C1051" s="51" t="s">
        <v>29</v>
      </c>
      <c r="D1051" s="52">
        <v>2430.4</v>
      </c>
      <c r="E1051" s="35">
        <v>44630</v>
      </c>
      <c r="F1051" s="52">
        <v>2430.4</v>
      </c>
      <c r="G1051" s="53">
        <f>Tabla14[[#This Row],[Importe]]-Tabla14[[#This Row],[Pagado]]</f>
        <v>0</v>
      </c>
      <c r="H1051" s="37" t="s">
        <v>10</v>
      </c>
    </row>
    <row r="1052" spans="1:8" x14ac:dyDescent="0.25">
      <c r="A1052" s="31">
        <v>44630</v>
      </c>
      <c r="B1052" s="37" t="s">
        <v>8075</v>
      </c>
      <c r="C1052" s="51" t="s">
        <v>2383</v>
      </c>
      <c r="D1052" s="52">
        <v>2518.4</v>
      </c>
      <c r="E1052" s="35">
        <v>44630</v>
      </c>
      <c r="F1052" s="52">
        <v>2518.4</v>
      </c>
      <c r="G1052" s="53">
        <f>Tabla14[[#This Row],[Importe]]-Tabla14[[#This Row],[Pagado]]</f>
        <v>0</v>
      </c>
      <c r="H1052" s="37" t="s">
        <v>10</v>
      </c>
    </row>
    <row r="1053" spans="1:8" x14ac:dyDescent="0.25">
      <c r="A1053" s="31">
        <v>44630</v>
      </c>
      <c r="B1053" s="37" t="s">
        <v>8076</v>
      </c>
      <c r="C1053" s="51" t="s">
        <v>47</v>
      </c>
      <c r="D1053" s="52">
        <v>55075.14</v>
      </c>
      <c r="E1053" s="35">
        <v>44630</v>
      </c>
      <c r="F1053" s="52">
        <v>55075.14</v>
      </c>
      <c r="G1053" s="53">
        <f>Tabla14[[#This Row],[Importe]]-Tabla14[[#This Row],[Pagado]]</f>
        <v>0</v>
      </c>
      <c r="H1053" s="37" t="s">
        <v>10</v>
      </c>
    </row>
    <row r="1054" spans="1:8" x14ac:dyDescent="0.25">
      <c r="A1054" s="31">
        <v>44630</v>
      </c>
      <c r="B1054" s="37" t="s">
        <v>8077</v>
      </c>
      <c r="C1054" s="51" t="s">
        <v>67</v>
      </c>
      <c r="D1054" s="52">
        <v>638.4</v>
      </c>
      <c r="E1054" s="35">
        <v>44630</v>
      </c>
      <c r="F1054" s="52">
        <v>638.4</v>
      </c>
      <c r="G1054" s="53">
        <f>Tabla14[[#This Row],[Importe]]-Tabla14[[#This Row],[Pagado]]</f>
        <v>0</v>
      </c>
      <c r="H1054" s="37" t="s">
        <v>10</v>
      </c>
    </row>
    <row r="1055" spans="1:8" x14ac:dyDescent="0.25">
      <c r="A1055" s="31">
        <v>44630</v>
      </c>
      <c r="B1055" s="37" t="s">
        <v>8078</v>
      </c>
      <c r="C1055" s="51" t="s">
        <v>2139</v>
      </c>
      <c r="D1055" s="52">
        <v>1725.7</v>
      </c>
      <c r="E1055" s="35">
        <v>44630</v>
      </c>
      <c r="F1055" s="52">
        <v>1725.7</v>
      </c>
      <c r="G1055" s="53">
        <f>Tabla14[[#This Row],[Importe]]-Tabla14[[#This Row],[Pagado]]</f>
        <v>0</v>
      </c>
      <c r="H1055" s="37" t="s">
        <v>10</v>
      </c>
    </row>
    <row r="1056" spans="1:8" x14ac:dyDescent="0.25">
      <c r="A1056" s="31">
        <v>44630</v>
      </c>
      <c r="B1056" s="37" t="s">
        <v>8079</v>
      </c>
      <c r="C1056" s="51" t="s">
        <v>58</v>
      </c>
      <c r="D1056" s="52">
        <v>4153.8</v>
      </c>
      <c r="E1056" s="35">
        <v>44630</v>
      </c>
      <c r="F1056" s="52">
        <v>4153.8</v>
      </c>
      <c r="G1056" s="53">
        <f>Tabla14[[#This Row],[Importe]]-Tabla14[[#This Row],[Pagado]]</f>
        <v>0</v>
      </c>
      <c r="H1056" s="37" t="s">
        <v>10</v>
      </c>
    </row>
    <row r="1057" spans="1:8" x14ac:dyDescent="0.25">
      <c r="A1057" s="31">
        <v>44630</v>
      </c>
      <c r="B1057" s="37" t="s">
        <v>8080</v>
      </c>
      <c r="C1057" s="51" t="s">
        <v>31</v>
      </c>
      <c r="D1057" s="52">
        <v>11800</v>
      </c>
      <c r="E1057" s="35">
        <v>44630</v>
      </c>
      <c r="F1057" s="52">
        <v>11800</v>
      </c>
      <c r="G1057" s="53">
        <f>Tabla14[[#This Row],[Importe]]-Tabla14[[#This Row],[Pagado]]</f>
        <v>0</v>
      </c>
      <c r="H1057" s="37" t="s">
        <v>10</v>
      </c>
    </row>
    <row r="1058" spans="1:8" x14ac:dyDescent="0.25">
      <c r="A1058" s="31">
        <v>44630</v>
      </c>
      <c r="B1058" s="37" t="s">
        <v>8081</v>
      </c>
      <c r="C1058" s="51" t="s">
        <v>142</v>
      </c>
      <c r="D1058" s="52">
        <v>50443.9</v>
      </c>
      <c r="E1058" s="35">
        <v>44670</v>
      </c>
      <c r="F1058" s="52">
        <v>50443.9</v>
      </c>
      <c r="G1058" s="53">
        <f>Tabla14[[#This Row],[Importe]]-Tabla14[[#This Row],[Pagado]]</f>
        <v>0</v>
      </c>
      <c r="H1058" s="37" t="s">
        <v>10</v>
      </c>
    </row>
    <row r="1059" spans="1:8" x14ac:dyDescent="0.25">
      <c r="A1059" s="31">
        <v>44630</v>
      </c>
      <c r="B1059" s="37" t="s">
        <v>8082</v>
      </c>
      <c r="C1059" s="51" t="s">
        <v>442</v>
      </c>
      <c r="D1059" s="52">
        <v>2094.4</v>
      </c>
      <c r="E1059" s="35">
        <v>44630</v>
      </c>
      <c r="F1059" s="52">
        <v>2094.4</v>
      </c>
      <c r="G1059" s="53">
        <f>Tabla14[[#This Row],[Importe]]-Tabla14[[#This Row],[Pagado]]</f>
        <v>0</v>
      </c>
      <c r="H1059" s="37" t="s">
        <v>10</v>
      </c>
    </row>
    <row r="1060" spans="1:8" x14ac:dyDescent="0.25">
      <c r="A1060" s="31">
        <v>44630</v>
      </c>
      <c r="B1060" s="37" t="s">
        <v>8083</v>
      </c>
      <c r="C1060" s="51" t="s">
        <v>670</v>
      </c>
      <c r="D1060" s="52">
        <v>3327.5</v>
      </c>
      <c r="E1060" s="35">
        <v>44630</v>
      </c>
      <c r="F1060" s="52">
        <v>3327.5</v>
      </c>
      <c r="G1060" s="53">
        <f>Tabla14[[#This Row],[Importe]]-Tabla14[[#This Row],[Pagado]]</f>
        <v>0</v>
      </c>
      <c r="H1060" s="37" t="s">
        <v>10</v>
      </c>
    </row>
    <row r="1061" spans="1:8" x14ac:dyDescent="0.25">
      <c r="A1061" s="31">
        <v>44630</v>
      </c>
      <c r="B1061" s="37" t="s">
        <v>8084</v>
      </c>
      <c r="C1061" s="51" t="s">
        <v>56</v>
      </c>
      <c r="D1061" s="52">
        <v>5503.4</v>
      </c>
      <c r="E1061" s="35">
        <v>44630</v>
      </c>
      <c r="F1061" s="52">
        <v>5503.4</v>
      </c>
      <c r="G1061" s="53">
        <f>Tabla14[[#This Row],[Importe]]-Tabla14[[#This Row],[Pagado]]</f>
        <v>0</v>
      </c>
      <c r="H1061" s="37" t="s">
        <v>10</v>
      </c>
    </row>
    <row r="1062" spans="1:8" x14ac:dyDescent="0.25">
      <c r="A1062" s="31">
        <v>44630</v>
      </c>
      <c r="B1062" s="37" t="s">
        <v>8085</v>
      </c>
      <c r="C1062" s="51" t="s">
        <v>31</v>
      </c>
      <c r="D1062" s="52">
        <v>2094.4</v>
      </c>
      <c r="E1062" s="35">
        <v>44630</v>
      </c>
      <c r="F1062" s="52">
        <v>2094.4</v>
      </c>
      <c r="G1062" s="53">
        <f>Tabla14[[#This Row],[Importe]]-Tabla14[[#This Row],[Pagado]]</f>
        <v>0</v>
      </c>
      <c r="H1062" s="37" t="s">
        <v>10</v>
      </c>
    </row>
    <row r="1063" spans="1:8" x14ac:dyDescent="0.25">
      <c r="A1063" s="31">
        <v>44630</v>
      </c>
      <c r="B1063" s="37" t="s">
        <v>8086</v>
      </c>
      <c r="C1063" s="51" t="s">
        <v>275</v>
      </c>
      <c r="D1063" s="52">
        <v>34838.400000000001</v>
      </c>
      <c r="E1063" s="35">
        <v>44638</v>
      </c>
      <c r="F1063" s="52">
        <f>16658.41+18179.99</f>
        <v>34838.400000000001</v>
      </c>
      <c r="G1063" s="53">
        <f>Tabla14[[#This Row],[Importe]]-Tabla14[[#This Row],[Pagado]]</f>
        <v>0</v>
      </c>
      <c r="H1063" s="37" t="s">
        <v>10</v>
      </c>
    </row>
    <row r="1064" spans="1:8" x14ac:dyDescent="0.25">
      <c r="A1064" s="31">
        <v>44630</v>
      </c>
      <c r="B1064" s="37" t="s">
        <v>8087</v>
      </c>
      <c r="C1064" s="51" t="s">
        <v>275</v>
      </c>
      <c r="D1064" s="52">
        <v>4778.3999999999996</v>
      </c>
      <c r="E1064" s="35">
        <v>44638</v>
      </c>
      <c r="F1064" s="52">
        <v>4778.3999999999996</v>
      </c>
      <c r="G1064" s="53">
        <f>Tabla14[[#This Row],[Importe]]-Tabla14[[#This Row],[Pagado]]</f>
        <v>0</v>
      </c>
      <c r="H1064" s="37" t="s">
        <v>10</v>
      </c>
    </row>
    <row r="1065" spans="1:8" x14ac:dyDescent="0.25">
      <c r="A1065" s="31">
        <v>44630</v>
      </c>
      <c r="B1065" s="37" t="s">
        <v>8088</v>
      </c>
      <c r="C1065" s="51" t="s">
        <v>31</v>
      </c>
      <c r="D1065" s="52">
        <v>1006.2</v>
      </c>
      <c r="E1065" s="35">
        <v>44630</v>
      </c>
      <c r="F1065" s="52">
        <v>1006.2</v>
      </c>
      <c r="G1065" s="53">
        <f>Tabla14[[#This Row],[Importe]]-Tabla14[[#This Row],[Pagado]]</f>
        <v>0</v>
      </c>
      <c r="H1065" s="37" t="s">
        <v>10</v>
      </c>
    </row>
    <row r="1066" spans="1:8" x14ac:dyDescent="0.25">
      <c r="A1066" s="31">
        <v>44630</v>
      </c>
      <c r="B1066" s="37" t="s">
        <v>8089</v>
      </c>
      <c r="C1066" s="51" t="s">
        <v>196</v>
      </c>
      <c r="D1066" s="52">
        <v>19883.2</v>
      </c>
      <c r="E1066" s="35">
        <v>44631</v>
      </c>
      <c r="F1066" s="52">
        <v>19883.2</v>
      </c>
      <c r="G1066" s="53">
        <f>Tabla14[[#This Row],[Importe]]-Tabla14[[#This Row],[Pagado]]</f>
        <v>0</v>
      </c>
      <c r="H1066" s="37" t="s">
        <v>10</v>
      </c>
    </row>
    <row r="1067" spans="1:8" x14ac:dyDescent="0.25">
      <c r="A1067" s="31">
        <v>44630</v>
      </c>
      <c r="B1067" s="37" t="s">
        <v>8090</v>
      </c>
      <c r="C1067" s="51" t="s">
        <v>8091</v>
      </c>
      <c r="D1067" s="52">
        <v>4757.6000000000004</v>
      </c>
      <c r="E1067" s="35">
        <v>44630</v>
      </c>
      <c r="F1067" s="52">
        <v>4757.6000000000004</v>
      </c>
      <c r="G1067" s="53">
        <f>Tabla14[[#This Row],[Importe]]-Tabla14[[#This Row],[Pagado]]</f>
        <v>0</v>
      </c>
      <c r="H1067" s="37" t="s">
        <v>10</v>
      </c>
    </row>
    <row r="1068" spans="1:8" x14ac:dyDescent="0.25">
      <c r="A1068" s="31">
        <v>44630</v>
      </c>
      <c r="B1068" s="37" t="s">
        <v>8092</v>
      </c>
      <c r="C1068" s="51" t="s">
        <v>647</v>
      </c>
      <c r="D1068" s="52">
        <v>1968.1</v>
      </c>
      <c r="E1068" s="35">
        <v>44630</v>
      </c>
      <c r="F1068" s="52">
        <v>1968.1</v>
      </c>
      <c r="G1068" s="53">
        <f>Tabla14[[#This Row],[Importe]]-Tabla14[[#This Row],[Pagado]]</f>
        <v>0</v>
      </c>
      <c r="H1068" s="37" t="s">
        <v>10</v>
      </c>
    </row>
    <row r="1069" spans="1:8" x14ac:dyDescent="0.25">
      <c r="A1069" s="31">
        <v>44630</v>
      </c>
      <c r="B1069" s="37" t="s">
        <v>8093</v>
      </c>
      <c r="C1069" s="51" t="s">
        <v>107</v>
      </c>
      <c r="D1069" s="52">
        <v>7825.3</v>
      </c>
      <c r="E1069" s="35">
        <v>44630</v>
      </c>
      <c r="F1069" s="52">
        <v>7825.3</v>
      </c>
      <c r="G1069" s="53">
        <f>Tabla14[[#This Row],[Importe]]-Tabla14[[#This Row],[Pagado]]</f>
        <v>0</v>
      </c>
      <c r="H1069" s="37" t="s">
        <v>10</v>
      </c>
    </row>
    <row r="1070" spans="1:8" x14ac:dyDescent="0.25">
      <c r="A1070" s="31">
        <v>44630</v>
      </c>
      <c r="B1070" s="37" t="s">
        <v>8094</v>
      </c>
      <c r="C1070" s="51" t="s">
        <v>191</v>
      </c>
      <c r="D1070" s="52">
        <v>469.2</v>
      </c>
      <c r="E1070" s="35">
        <v>44630</v>
      </c>
      <c r="F1070" s="52">
        <v>469.2</v>
      </c>
      <c r="G1070" s="53">
        <f>Tabla14[[#This Row],[Importe]]-Tabla14[[#This Row],[Pagado]]</f>
        <v>0</v>
      </c>
      <c r="H1070" s="37" t="s">
        <v>10</v>
      </c>
    </row>
    <row r="1071" spans="1:8" x14ac:dyDescent="0.25">
      <c r="A1071" s="31">
        <v>44630</v>
      </c>
      <c r="B1071" s="37" t="s">
        <v>8095</v>
      </c>
      <c r="C1071" s="51" t="s">
        <v>409</v>
      </c>
      <c r="D1071" s="52">
        <v>4014</v>
      </c>
      <c r="E1071" s="35">
        <v>44632</v>
      </c>
      <c r="F1071" s="52">
        <v>4014</v>
      </c>
      <c r="G1071" s="53">
        <f>Tabla14[[#This Row],[Importe]]-Tabla14[[#This Row],[Pagado]]</f>
        <v>0</v>
      </c>
      <c r="H1071" s="37" t="s">
        <v>10</v>
      </c>
    </row>
    <row r="1072" spans="1:8" x14ac:dyDescent="0.25">
      <c r="A1072" s="31">
        <v>44630</v>
      </c>
      <c r="B1072" s="37" t="s">
        <v>8096</v>
      </c>
      <c r="C1072" s="51" t="s">
        <v>269</v>
      </c>
      <c r="D1072" s="52">
        <v>3545.1</v>
      </c>
      <c r="E1072" s="35">
        <v>44630</v>
      </c>
      <c r="F1072" s="52">
        <v>3545.1</v>
      </c>
      <c r="G1072" s="53">
        <f>Tabla14[[#This Row],[Importe]]-Tabla14[[#This Row],[Pagado]]</f>
        <v>0</v>
      </c>
      <c r="H1072" s="37" t="s">
        <v>10</v>
      </c>
    </row>
    <row r="1073" spans="1:8" x14ac:dyDescent="0.25">
      <c r="A1073" s="31">
        <v>44630</v>
      </c>
      <c r="B1073" s="37" t="s">
        <v>8097</v>
      </c>
      <c r="C1073" s="51" t="s">
        <v>5217</v>
      </c>
      <c r="D1073" s="52">
        <v>3126.2</v>
      </c>
      <c r="E1073" s="35">
        <v>44630</v>
      </c>
      <c r="F1073" s="52">
        <v>3126.2</v>
      </c>
      <c r="G1073" s="53">
        <f>Tabla14[[#This Row],[Importe]]-Tabla14[[#This Row],[Pagado]]</f>
        <v>0</v>
      </c>
      <c r="H1073" s="37" t="s">
        <v>10</v>
      </c>
    </row>
    <row r="1074" spans="1:8" x14ac:dyDescent="0.25">
      <c r="A1074" s="31">
        <v>44630</v>
      </c>
      <c r="B1074" s="37" t="s">
        <v>8098</v>
      </c>
      <c r="C1074" s="51" t="s">
        <v>31</v>
      </c>
      <c r="D1074" s="52">
        <v>2928.8</v>
      </c>
      <c r="E1074" s="35">
        <v>44630</v>
      </c>
      <c r="F1074" s="52">
        <v>2928.8</v>
      </c>
      <c r="G1074" s="53">
        <f>Tabla14[[#This Row],[Importe]]-Tabla14[[#This Row],[Pagado]]</f>
        <v>0</v>
      </c>
      <c r="H1074" s="37" t="s">
        <v>10</v>
      </c>
    </row>
    <row r="1075" spans="1:8" x14ac:dyDescent="0.25">
      <c r="A1075" s="31">
        <v>44630</v>
      </c>
      <c r="B1075" s="37" t="s">
        <v>8099</v>
      </c>
      <c r="C1075" s="51" t="s">
        <v>31</v>
      </c>
      <c r="D1075" s="52">
        <v>112</v>
      </c>
      <c r="E1075" s="35">
        <v>44630</v>
      </c>
      <c r="F1075" s="52">
        <v>112</v>
      </c>
      <c r="G1075" s="53">
        <f>Tabla14[[#This Row],[Importe]]-Tabla14[[#This Row],[Pagado]]</f>
        <v>0</v>
      </c>
      <c r="H1075" s="37" t="s">
        <v>10</v>
      </c>
    </row>
    <row r="1076" spans="1:8" x14ac:dyDescent="0.25">
      <c r="A1076" s="31">
        <v>44630</v>
      </c>
      <c r="B1076" s="37" t="s">
        <v>8100</v>
      </c>
      <c r="C1076" s="51" t="s">
        <v>31</v>
      </c>
      <c r="D1076" s="52">
        <v>53</v>
      </c>
      <c r="E1076" s="35">
        <v>44630</v>
      </c>
      <c r="F1076" s="52">
        <v>53</v>
      </c>
      <c r="G1076" s="53">
        <f>Tabla14[[#This Row],[Importe]]-Tabla14[[#This Row],[Pagado]]</f>
        <v>0</v>
      </c>
      <c r="H1076" s="37" t="s">
        <v>10</v>
      </c>
    </row>
    <row r="1077" spans="1:8" x14ac:dyDescent="0.25">
      <c r="A1077" s="31">
        <v>44630</v>
      </c>
      <c r="B1077" s="37" t="s">
        <v>8101</v>
      </c>
      <c r="C1077" s="51" t="s">
        <v>31</v>
      </c>
      <c r="D1077" s="52">
        <v>34</v>
      </c>
      <c r="E1077" s="35">
        <v>44630</v>
      </c>
      <c r="F1077" s="52">
        <v>34</v>
      </c>
      <c r="G1077" s="53">
        <f>Tabla14[[#This Row],[Importe]]-Tabla14[[#This Row],[Pagado]]</f>
        <v>0</v>
      </c>
      <c r="H1077" s="37" t="s">
        <v>10</v>
      </c>
    </row>
    <row r="1078" spans="1:8" x14ac:dyDescent="0.25">
      <c r="A1078" s="31">
        <v>44630</v>
      </c>
      <c r="B1078" s="37" t="s">
        <v>8102</v>
      </c>
      <c r="C1078" s="51" t="s">
        <v>95</v>
      </c>
      <c r="D1078" s="52">
        <v>1176</v>
      </c>
      <c r="E1078" s="35">
        <v>44630</v>
      </c>
      <c r="F1078" s="52">
        <v>1176</v>
      </c>
      <c r="G1078" s="53">
        <f>Tabla14[[#This Row],[Importe]]-Tabla14[[#This Row],[Pagado]]</f>
        <v>0</v>
      </c>
      <c r="H1078" s="37" t="s">
        <v>10</v>
      </c>
    </row>
    <row r="1079" spans="1:8" x14ac:dyDescent="0.25">
      <c r="A1079" s="31">
        <v>44630</v>
      </c>
      <c r="B1079" s="37" t="s">
        <v>8103</v>
      </c>
      <c r="C1079" s="51" t="s">
        <v>7444</v>
      </c>
      <c r="D1079" s="52">
        <v>1119.4000000000001</v>
      </c>
      <c r="E1079" s="35">
        <v>44630</v>
      </c>
      <c r="F1079" s="52">
        <v>1119.4000000000001</v>
      </c>
      <c r="G1079" s="53">
        <f>Tabla14[[#This Row],[Importe]]-Tabla14[[#This Row],[Pagado]]</f>
        <v>0</v>
      </c>
      <c r="H1079" s="37" t="s">
        <v>10</v>
      </c>
    </row>
    <row r="1080" spans="1:8" x14ac:dyDescent="0.25">
      <c r="A1080" s="31">
        <v>44630</v>
      </c>
      <c r="B1080" s="37" t="s">
        <v>8104</v>
      </c>
      <c r="C1080" s="51" t="s">
        <v>284</v>
      </c>
      <c r="D1080" s="52">
        <v>6787.2</v>
      </c>
      <c r="E1080" s="35">
        <v>44631</v>
      </c>
      <c r="F1080" s="52">
        <v>6787.2</v>
      </c>
      <c r="G1080" s="53">
        <f>Tabla14[[#This Row],[Importe]]-Tabla14[[#This Row],[Pagado]]</f>
        <v>0</v>
      </c>
      <c r="H1080" s="37" t="s">
        <v>10</v>
      </c>
    </row>
    <row r="1081" spans="1:8" x14ac:dyDescent="0.25">
      <c r="A1081" s="31">
        <v>44630</v>
      </c>
      <c r="B1081" s="37" t="s">
        <v>8105</v>
      </c>
      <c r="C1081" s="51" t="s">
        <v>284</v>
      </c>
      <c r="D1081" s="52">
        <v>2083.1999999999998</v>
      </c>
      <c r="E1081" s="35">
        <v>44631</v>
      </c>
      <c r="F1081" s="52">
        <v>2083.1999999999998</v>
      </c>
      <c r="G1081" s="53">
        <f>Tabla14[[#This Row],[Importe]]-Tabla14[[#This Row],[Pagado]]</f>
        <v>0</v>
      </c>
      <c r="H1081" s="37" t="s">
        <v>10</v>
      </c>
    </row>
    <row r="1082" spans="1:8" x14ac:dyDescent="0.25">
      <c r="A1082" s="31">
        <v>44630</v>
      </c>
      <c r="B1082" s="37" t="s">
        <v>8106</v>
      </c>
      <c r="C1082" s="51" t="s">
        <v>280</v>
      </c>
      <c r="D1082" s="52">
        <v>991.2</v>
      </c>
      <c r="E1082" s="35">
        <v>44631</v>
      </c>
      <c r="F1082" s="52">
        <v>991.2</v>
      </c>
      <c r="G1082" s="53">
        <f>Tabla14[[#This Row],[Importe]]-Tabla14[[#This Row],[Pagado]]</f>
        <v>0</v>
      </c>
      <c r="H1082" s="37" t="s">
        <v>10</v>
      </c>
    </row>
    <row r="1083" spans="1:8" x14ac:dyDescent="0.25">
      <c r="A1083" s="31">
        <v>44630</v>
      </c>
      <c r="B1083" s="37" t="s">
        <v>8107</v>
      </c>
      <c r="C1083" s="51" t="s">
        <v>5345</v>
      </c>
      <c r="D1083" s="52">
        <v>1601.6</v>
      </c>
      <c r="E1083" s="35">
        <v>44631</v>
      </c>
      <c r="F1083" s="52">
        <v>1601.6</v>
      </c>
      <c r="G1083" s="53">
        <f>Tabla14[[#This Row],[Importe]]-Tabla14[[#This Row],[Pagado]]</f>
        <v>0</v>
      </c>
      <c r="H1083" s="37" t="s">
        <v>10</v>
      </c>
    </row>
    <row r="1084" spans="1:8" x14ac:dyDescent="0.25">
      <c r="A1084" s="31">
        <v>44630</v>
      </c>
      <c r="B1084" s="37" t="s">
        <v>8108</v>
      </c>
      <c r="C1084" s="51" t="s">
        <v>681</v>
      </c>
      <c r="D1084" s="52">
        <v>4.3600000000000003</v>
      </c>
      <c r="E1084" s="35">
        <v>44636</v>
      </c>
      <c r="F1084" s="52">
        <v>4.3600000000000003</v>
      </c>
      <c r="G1084" s="53">
        <f>Tabla14[[#This Row],[Importe]]-Tabla14[[#This Row],[Pagado]]</f>
        <v>0</v>
      </c>
      <c r="H1084" s="37" t="s">
        <v>10</v>
      </c>
    </row>
    <row r="1085" spans="1:8" x14ac:dyDescent="0.25">
      <c r="A1085" s="31">
        <v>44630</v>
      </c>
      <c r="B1085" s="37" t="s">
        <v>8109</v>
      </c>
      <c r="C1085" s="51" t="s">
        <v>31</v>
      </c>
      <c r="D1085" s="52">
        <v>185.6</v>
      </c>
      <c r="E1085" s="35">
        <v>44630</v>
      </c>
      <c r="F1085" s="52">
        <v>185.6</v>
      </c>
      <c r="G1085" s="53">
        <f>Tabla14[[#This Row],[Importe]]-Tabla14[[#This Row],[Pagado]]</f>
        <v>0</v>
      </c>
      <c r="H1085" s="37" t="s">
        <v>10</v>
      </c>
    </row>
    <row r="1086" spans="1:8" x14ac:dyDescent="0.25">
      <c r="A1086" s="31">
        <v>44630</v>
      </c>
      <c r="B1086" s="37" t="s">
        <v>8110</v>
      </c>
      <c r="C1086" s="51" t="s">
        <v>421</v>
      </c>
      <c r="D1086" s="52">
        <v>1820</v>
      </c>
      <c r="E1086" s="35">
        <v>44630</v>
      </c>
      <c r="F1086" s="52">
        <v>1820</v>
      </c>
      <c r="G1086" s="53">
        <f>Tabla14[[#This Row],[Importe]]-Tabla14[[#This Row],[Pagado]]</f>
        <v>0</v>
      </c>
      <c r="H1086" s="37" t="s">
        <v>10</v>
      </c>
    </row>
    <row r="1087" spans="1:8" x14ac:dyDescent="0.25">
      <c r="A1087" s="31">
        <v>44630</v>
      </c>
      <c r="B1087" s="37" t="s">
        <v>8111</v>
      </c>
      <c r="C1087" s="51" t="s">
        <v>442</v>
      </c>
      <c r="D1087" s="52">
        <v>8162.1</v>
      </c>
      <c r="E1087" s="35">
        <v>44630</v>
      </c>
      <c r="F1087" s="52">
        <v>8162.1</v>
      </c>
      <c r="G1087" s="53">
        <f>Tabla14[[#This Row],[Importe]]-Tabla14[[#This Row],[Pagado]]</f>
        <v>0</v>
      </c>
      <c r="H1087" s="37" t="s">
        <v>10</v>
      </c>
    </row>
    <row r="1088" spans="1:8" x14ac:dyDescent="0.25">
      <c r="A1088" s="31">
        <v>44630</v>
      </c>
      <c r="B1088" s="37" t="s">
        <v>8112</v>
      </c>
      <c r="C1088" s="51" t="s">
        <v>179</v>
      </c>
      <c r="D1088" s="52">
        <v>840</v>
      </c>
      <c r="E1088" s="35">
        <v>44631</v>
      </c>
      <c r="F1088" s="52">
        <v>840</v>
      </c>
      <c r="G1088" s="53">
        <f>Tabla14[[#This Row],[Importe]]-Tabla14[[#This Row],[Pagado]]</f>
        <v>0</v>
      </c>
      <c r="H1088" s="37" t="s">
        <v>10</v>
      </c>
    </row>
    <row r="1089" spans="1:8" x14ac:dyDescent="0.25">
      <c r="A1089" s="31">
        <v>44630</v>
      </c>
      <c r="B1089" s="37" t="s">
        <v>8113</v>
      </c>
      <c r="C1089" s="51" t="s">
        <v>729</v>
      </c>
      <c r="D1089" s="52">
        <v>23250</v>
      </c>
      <c r="E1089" s="35">
        <v>44631</v>
      </c>
      <c r="F1089" s="52">
        <v>23250</v>
      </c>
      <c r="G1089" s="53">
        <f>Tabla14[[#This Row],[Importe]]-Tabla14[[#This Row],[Pagado]]</f>
        <v>0</v>
      </c>
      <c r="H1089" s="37" t="s">
        <v>10</v>
      </c>
    </row>
    <row r="1090" spans="1:8" x14ac:dyDescent="0.25">
      <c r="A1090" s="31">
        <v>44630</v>
      </c>
      <c r="B1090" s="37" t="s">
        <v>8114</v>
      </c>
      <c r="C1090" s="51" t="s">
        <v>196</v>
      </c>
      <c r="D1090" s="52">
        <v>76107.320000000007</v>
      </c>
      <c r="E1090" s="35">
        <v>44631</v>
      </c>
      <c r="F1090" s="52">
        <v>76107.320000000007</v>
      </c>
      <c r="G1090" s="53">
        <f>Tabla14[[#This Row],[Importe]]-Tabla14[[#This Row],[Pagado]]</f>
        <v>0</v>
      </c>
      <c r="H1090" s="37" t="s">
        <v>10</v>
      </c>
    </row>
    <row r="1091" spans="1:8" x14ac:dyDescent="0.25">
      <c r="A1091" s="31">
        <v>44630</v>
      </c>
      <c r="B1091" s="37" t="s">
        <v>8115</v>
      </c>
      <c r="C1091" s="51" t="s">
        <v>12</v>
      </c>
      <c r="D1091" s="52">
        <v>148.19999999999999</v>
      </c>
      <c r="E1091" s="35">
        <v>44631</v>
      </c>
      <c r="F1091" s="52">
        <v>148.19999999999999</v>
      </c>
      <c r="G1091" s="53">
        <f>Tabla14[[#This Row],[Importe]]-Tabla14[[#This Row],[Pagado]]</f>
        <v>0</v>
      </c>
      <c r="H1091" s="37" t="s">
        <v>10</v>
      </c>
    </row>
    <row r="1092" spans="1:8" x14ac:dyDescent="0.25">
      <c r="A1092" s="31">
        <v>44630</v>
      </c>
      <c r="B1092" s="37" t="s">
        <v>8116</v>
      </c>
      <c r="C1092" s="51" t="s">
        <v>4027</v>
      </c>
      <c r="D1092" s="52">
        <v>287</v>
      </c>
      <c r="E1092" s="35">
        <v>44631</v>
      </c>
      <c r="F1092" s="52">
        <v>287</v>
      </c>
      <c r="G1092" s="53">
        <f>Tabla14[[#This Row],[Importe]]-Tabla14[[#This Row],[Pagado]]</f>
        <v>0</v>
      </c>
      <c r="H1092" s="37" t="s">
        <v>10</v>
      </c>
    </row>
    <row r="1093" spans="1:8" x14ac:dyDescent="0.25">
      <c r="A1093" s="31">
        <v>44631</v>
      </c>
      <c r="B1093" s="37" t="s">
        <v>8117</v>
      </c>
      <c r="C1093" s="51" t="s">
        <v>475</v>
      </c>
      <c r="D1093" s="52">
        <v>36903.5</v>
      </c>
      <c r="E1093" s="35">
        <v>44632</v>
      </c>
      <c r="F1093" s="52">
        <v>36903.5</v>
      </c>
      <c r="G1093" s="53">
        <f>Tabla14[[#This Row],[Importe]]-Tabla14[[#This Row],[Pagado]]</f>
        <v>0</v>
      </c>
      <c r="H1093" s="37" t="s">
        <v>10</v>
      </c>
    </row>
    <row r="1094" spans="1:8" x14ac:dyDescent="0.25">
      <c r="A1094" s="31">
        <v>44631</v>
      </c>
      <c r="B1094" s="37" t="s">
        <v>8118</v>
      </c>
      <c r="C1094" s="51" t="s">
        <v>326</v>
      </c>
      <c r="D1094" s="52">
        <v>4037.3</v>
      </c>
      <c r="E1094" s="35">
        <v>44632</v>
      </c>
      <c r="F1094" s="52">
        <v>4037.3</v>
      </c>
      <c r="G1094" s="53">
        <f>Tabla14[[#This Row],[Importe]]-Tabla14[[#This Row],[Pagado]]</f>
        <v>0</v>
      </c>
      <c r="H1094" s="37" t="s">
        <v>10</v>
      </c>
    </row>
    <row r="1095" spans="1:8" x14ac:dyDescent="0.25">
      <c r="A1095" s="31">
        <v>44631</v>
      </c>
      <c r="B1095" s="37" t="s">
        <v>8119</v>
      </c>
      <c r="C1095" s="51" t="s">
        <v>111</v>
      </c>
      <c r="D1095" s="52">
        <v>4079.6</v>
      </c>
      <c r="E1095" s="35">
        <v>44632</v>
      </c>
      <c r="F1095" s="52">
        <v>4079.6</v>
      </c>
      <c r="G1095" s="53">
        <f>Tabla14[[#This Row],[Importe]]-Tabla14[[#This Row],[Pagado]]</f>
        <v>0</v>
      </c>
      <c r="H1095" s="37" t="s">
        <v>10</v>
      </c>
    </row>
    <row r="1096" spans="1:8" x14ac:dyDescent="0.25">
      <c r="A1096" s="31">
        <v>44631</v>
      </c>
      <c r="B1096" s="37" t="s">
        <v>8120</v>
      </c>
      <c r="C1096" s="51" t="s">
        <v>114</v>
      </c>
      <c r="D1096" s="52">
        <v>3637.8</v>
      </c>
      <c r="E1096" s="35">
        <v>44632</v>
      </c>
      <c r="F1096" s="52">
        <v>3637.8</v>
      </c>
      <c r="G1096" s="53">
        <f>Tabla14[[#This Row],[Importe]]-Tabla14[[#This Row],[Pagado]]</f>
        <v>0</v>
      </c>
      <c r="H1096" s="37" t="s">
        <v>10</v>
      </c>
    </row>
    <row r="1097" spans="1:8" x14ac:dyDescent="0.25">
      <c r="A1097" s="31">
        <v>44631</v>
      </c>
      <c r="B1097" s="37" t="s">
        <v>8121</v>
      </c>
      <c r="C1097" s="51" t="s">
        <v>481</v>
      </c>
      <c r="D1097" s="52">
        <v>3794.2</v>
      </c>
      <c r="E1097" s="35">
        <v>44631</v>
      </c>
      <c r="F1097" s="52">
        <v>3794.2</v>
      </c>
      <c r="G1097" s="53">
        <f>Tabla14[[#This Row],[Importe]]-Tabla14[[#This Row],[Pagado]]</f>
        <v>0</v>
      </c>
      <c r="H1097" s="37" t="s">
        <v>10</v>
      </c>
    </row>
    <row r="1098" spans="1:8" x14ac:dyDescent="0.25">
      <c r="A1098" s="31">
        <v>44631</v>
      </c>
      <c r="B1098" s="37" t="s">
        <v>8122</v>
      </c>
      <c r="C1098" s="51" t="s">
        <v>75</v>
      </c>
      <c r="D1098" s="52">
        <v>5773.6</v>
      </c>
      <c r="E1098" s="35">
        <v>44631</v>
      </c>
      <c r="F1098" s="52">
        <v>5773.6</v>
      </c>
      <c r="G1098" s="53">
        <f>Tabla14[[#This Row],[Importe]]-Tabla14[[#This Row],[Pagado]]</f>
        <v>0</v>
      </c>
      <c r="H1098" s="37" t="s">
        <v>10</v>
      </c>
    </row>
    <row r="1099" spans="1:8" x14ac:dyDescent="0.25">
      <c r="A1099" s="31">
        <v>44631</v>
      </c>
      <c r="B1099" s="37" t="s">
        <v>8123</v>
      </c>
      <c r="C1099" s="51" t="s">
        <v>6170</v>
      </c>
      <c r="D1099" s="52">
        <v>0</v>
      </c>
      <c r="E1099" s="39" t="s">
        <v>189</v>
      </c>
      <c r="F1099" s="52">
        <v>0</v>
      </c>
      <c r="G1099" s="53">
        <f>Tabla14[[#This Row],[Importe]]-Tabla14[[#This Row],[Pagado]]</f>
        <v>0</v>
      </c>
      <c r="H1099" s="37" t="s">
        <v>189</v>
      </c>
    </row>
    <row r="1100" spans="1:8" x14ac:dyDescent="0.25">
      <c r="A1100" s="31">
        <v>44631</v>
      </c>
      <c r="B1100" s="37" t="s">
        <v>8124</v>
      </c>
      <c r="C1100" s="51" t="s">
        <v>85</v>
      </c>
      <c r="D1100" s="52">
        <v>1868.1</v>
      </c>
      <c r="E1100" s="35">
        <v>44631</v>
      </c>
      <c r="F1100" s="52">
        <v>1868.1</v>
      </c>
      <c r="G1100" s="53">
        <f>Tabla14[[#This Row],[Importe]]-Tabla14[[#This Row],[Pagado]]</f>
        <v>0</v>
      </c>
      <c r="H1100" s="37" t="s">
        <v>10</v>
      </c>
    </row>
    <row r="1101" spans="1:8" x14ac:dyDescent="0.25">
      <c r="A1101" s="31">
        <v>44631</v>
      </c>
      <c r="B1101" s="37" t="s">
        <v>8125</v>
      </c>
      <c r="C1101" s="51" t="s">
        <v>12</v>
      </c>
      <c r="D1101" s="52">
        <v>23690.5</v>
      </c>
      <c r="E1101" s="35">
        <v>44631</v>
      </c>
      <c r="F1101" s="52">
        <v>23690.5</v>
      </c>
      <c r="G1101" s="53">
        <f>Tabla14[[#This Row],[Importe]]-Tabla14[[#This Row],[Pagado]]</f>
        <v>0</v>
      </c>
      <c r="H1101" s="37" t="s">
        <v>10</v>
      </c>
    </row>
    <row r="1102" spans="1:8" x14ac:dyDescent="0.25">
      <c r="A1102" s="31">
        <v>44631</v>
      </c>
      <c r="B1102" s="37" t="s">
        <v>8126</v>
      </c>
      <c r="C1102" s="51" t="s">
        <v>89</v>
      </c>
      <c r="D1102" s="52">
        <v>3439.8</v>
      </c>
      <c r="E1102" s="35">
        <v>44632</v>
      </c>
      <c r="F1102" s="52">
        <v>3439.8</v>
      </c>
      <c r="G1102" s="53">
        <f>Tabla14[[#This Row],[Importe]]-Tabla14[[#This Row],[Pagado]]</f>
        <v>0</v>
      </c>
      <c r="H1102" s="37" t="s">
        <v>10</v>
      </c>
    </row>
    <row r="1103" spans="1:8" ht="31.5" x14ac:dyDescent="0.25">
      <c r="A1103" s="31">
        <v>44631</v>
      </c>
      <c r="B1103" s="37" t="s">
        <v>8127</v>
      </c>
      <c r="C1103" s="51" t="s">
        <v>105</v>
      </c>
      <c r="D1103" s="52">
        <v>17768.8</v>
      </c>
      <c r="E1103" s="35" t="s">
        <v>8128</v>
      </c>
      <c r="F1103" s="52">
        <f>12000+5768.8</f>
        <v>17768.8</v>
      </c>
      <c r="G1103" s="53">
        <f>Tabla14[[#This Row],[Importe]]-Tabla14[[#This Row],[Pagado]]</f>
        <v>0</v>
      </c>
      <c r="H1103" s="37" t="s">
        <v>10</v>
      </c>
    </row>
    <row r="1104" spans="1:8" x14ac:dyDescent="0.25">
      <c r="A1104" s="31">
        <v>44631</v>
      </c>
      <c r="B1104" s="37" t="s">
        <v>8129</v>
      </c>
      <c r="C1104" s="51" t="s">
        <v>39</v>
      </c>
      <c r="D1104" s="52">
        <v>21239.200000000001</v>
      </c>
      <c r="E1104" s="35">
        <v>44633</v>
      </c>
      <c r="F1104" s="52">
        <v>21239.200000000001</v>
      </c>
      <c r="G1104" s="53">
        <f>Tabla14[[#This Row],[Importe]]-Tabla14[[#This Row],[Pagado]]</f>
        <v>0</v>
      </c>
      <c r="H1104" s="37" t="s">
        <v>10</v>
      </c>
    </row>
    <row r="1105" spans="1:8" x14ac:dyDescent="0.25">
      <c r="A1105" s="31">
        <v>44631</v>
      </c>
      <c r="B1105" s="37" t="s">
        <v>8130</v>
      </c>
      <c r="C1105" s="51" t="s">
        <v>1275</v>
      </c>
      <c r="D1105" s="52">
        <v>27057.3</v>
      </c>
      <c r="E1105" s="35">
        <v>44631</v>
      </c>
      <c r="F1105" s="52">
        <v>27057.3</v>
      </c>
      <c r="G1105" s="53">
        <f>Tabla14[[#This Row],[Importe]]-Tabla14[[#This Row],[Pagado]]</f>
        <v>0</v>
      </c>
      <c r="H1105" s="37" t="s">
        <v>10</v>
      </c>
    </row>
    <row r="1106" spans="1:8" x14ac:dyDescent="0.25">
      <c r="A1106" s="31">
        <v>44631</v>
      </c>
      <c r="B1106" s="37" t="s">
        <v>8131</v>
      </c>
      <c r="C1106" s="51" t="s">
        <v>484</v>
      </c>
      <c r="D1106" s="52">
        <v>2867.4</v>
      </c>
      <c r="E1106" s="35">
        <v>44631</v>
      </c>
      <c r="F1106" s="52">
        <v>2867.4</v>
      </c>
      <c r="G1106" s="53">
        <f>Tabla14[[#This Row],[Importe]]-Tabla14[[#This Row],[Pagado]]</f>
        <v>0</v>
      </c>
      <c r="H1106" s="37" t="s">
        <v>10</v>
      </c>
    </row>
    <row r="1107" spans="1:8" x14ac:dyDescent="0.25">
      <c r="A1107" s="31">
        <v>44631</v>
      </c>
      <c r="B1107" s="37" t="s">
        <v>8132</v>
      </c>
      <c r="C1107" s="51" t="s">
        <v>64</v>
      </c>
      <c r="D1107" s="52">
        <v>8055.6</v>
      </c>
      <c r="E1107" s="35">
        <v>44632</v>
      </c>
      <c r="F1107" s="52">
        <v>8055.6</v>
      </c>
      <c r="G1107" s="53">
        <f>Tabla14[[#This Row],[Importe]]-Tabla14[[#This Row],[Pagado]]</f>
        <v>0</v>
      </c>
      <c r="H1107" s="37" t="s">
        <v>10</v>
      </c>
    </row>
    <row r="1108" spans="1:8" x14ac:dyDescent="0.25">
      <c r="A1108" s="31">
        <v>44631</v>
      </c>
      <c r="B1108" s="37" t="s">
        <v>8133</v>
      </c>
      <c r="C1108" s="51" t="s">
        <v>93</v>
      </c>
      <c r="D1108" s="52">
        <v>2732.8</v>
      </c>
      <c r="E1108" s="35">
        <v>44632</v>
      </c>
      <c r="F1108" s="52">
        <v>2732.8</v>
      </c>
      <c r="G1108" s="53">
        <f>Tabla14[[#This Row],[Importe]]-Tabla14[[#This Row],[Pagado]]</f>
        <v>0</v>
      </c>
      <c r="H1108" s="37" t="s">
        <v>10</v>
      </c>
    </row>
    <row r="1109" spans="1:8" x14ac:dyDescent="0.25">
      <c r="A1109" s="31">
        <v>44631</v>
      </c>
      <c r="B1109" s="37" t="s">
        <v>8134</v>
      </c>
      <c r="C1109" s="51" t="s">
        <v>99</v>
      </c>
      <c r="D1109" s="52">
        <v>3169.6</v>
      </c>
      <c r="E1109" s="35">
        <v>44634</v>
      </c>
      <c r="F1109" s="52">
        <v>3169.6</v>
      </c>
      <c r="G1109" s="53">
        <f>Tabla14[[#This Row],[Importe]]-Tabla14[[#This Row],[Pagado]]</f>
        <v>0</v>
      </c>
      <c r="H1109" s="37" t="s">
        <v>10</v>
      </c>
    </row>
    <row r="1110" spans="1:8" x14ac:dyDescent="0.25">
      <c r="A1110" s="31">
        <v>44631</v>
      </c>
      <c r="B1110" s="37" t="s">
        <v>8135</v>
      </c>
      <c r="C1110" s="51" t="s">
        <v>9</v>
      </c>
      <c r="D1110" s="52">
        <v>7030.7</v>
      </c>
      <c r="E1110" s="35">
        <v>44631</v>
      </c>
      <c r="F1110" s="52">
        <v>7030.7</v>
      </c>
      <c r="G1110" s="53">
        <f>Tabla14[[#This Row],[Importe]]-Tabla14[[#This Row],[Pagado]]</f>
        <v>0</v>
      </c>
      <c r="H1110" s="37" t="s">
        <v>10</v>
      </c>
    </row>
    <row r="1111" spans="1:8" ht="31.5" x14ac:dyDescent="0.25">
      <c r="A1111" s="31">
        <v>44631</v>
      </c>
      <c r="B1111" s="37" t="s">
        <v>8136</v>
      </c>
      <c r="C1111" s="51" t="s">
        <v>22</v>
      </c>
      <c r="D1111" s="52">
        <v>37141.300000000003</v>
      </c>
      <c r="E1111" s="35" t="s">
        <v>8137</v>
      </c>
      <c r="F1111" s="52">
        <f>34000+3141.3</f>
        <v>37141.300000000003</v>
      </c>
      <c r="G1111" s="53">
        <f>Tabla14[[#This Row],[Importe]]-Tabla14[[#This Row],[Pagado]]</f>
        <v>0</v>
      </c>
      <c r="H1111" s="37" t="s">
        <v>10</v>
      </c>
    </row>
    <row r="1112" spans="1:8" x14ac:dyDescent="0.25">
      <c r="A1112" s="31">
        <v>44631</v>
      </c>
      <c r="B1112" s="37" t="s">
        <v>8138</v>
      </c>
      <c r="C1112" s="51" t="s">
        <v>97</v>
      </c>
      <c r="D1112" s="52">
        <v>4372.8999999999996</v>
      </c>
      <c r="E1112" s="35">
        <v>44632</v>
      </c>
      <c r="F1112" s="52">
        <v>4372.8999999999996</v>
      </c>
      <c r="G1112" s="53">
        <f>Tabla14[[#This Row],[Importe]]-Tabla14[[#This Row],[Pagado]]</f>
        <v>0</v>
      </c>
      <c r="H1112" s="37" t="s">
        <v>10</v>
      </c>
    </row>
    <row r="1113" spans="1:8" x14ac:dyDescent="0.25">
      <c r="A1113" s="31">
        <v>44631</v>
      </c>
      <c r="B1113" s="37" t="s">
        <v>8139</v>
      </c>
      <c r="C1113" s="51" t="s">
        <v>1038</v>
      </c>
      <c r="D1113" s="52">
        <v>4545.6000000000004</v>
      </c>
      <c r="E1113" s="35">
        <v>44631</v>
      </c>
      <c r="F1113" s="52">
        <v>4545.6000000000004</v>
      </c>
      <c r="G1113" s="53">
        <f>Tabla14[[#This Row],[Importe]]-Tabla14[[#This Row],[Pagado]]</f>
        <v>0</v>
      </c>
      <c r="H1113" s="37" t="s">
        <v>10</v>
      </c>
    </row>
    <row r="1114" spans="1:8" x14ac:dyDescent="0.25">
      <c r="A1114" s="31">
        <v>44631</v>
      </c>
      <c r="B1114" s="37" t="s">
        <v>8140</v>
      </c>
      <c r="C1114" s="51" t="s">
        <v>49</v>
      </c>
      <c r="D1114" s="52">
        <v>4696.8</v>
      </c>
      <c r="E1114" s="35">
        <v>44631</v>
      </c>
      <c r="F1114" s="52">
        <v>4696.8</v>
      </c>
      <c r="G1114" s="53">
        <f>Tabla14[[#This Row],[Importe]]-Tabla14[[#This Row],[Pagado]]</f>
        <v>0</v>
      </c>
      <c r="H1114" s="37" t="s">
        <v>10</v>
      </c>
    </row>
    <row r="1115" spans="1:8" x14ac:dyDescent="0.25">
      <c r="A1115" s="31">
        <v>44631</v>
      </c>
      <c r="B1115" s="37" t="s">
        <v>8141</v>
      </c>
      <c r="C1115" s="51" t="s">
        <v>131</v>
      </c>
      <c r="D1115" s="52">
        <v>15543</v>
      </c>
      <c r="E1115" s="35">
        <v>44631</v>
      </c>
      <c r="F1115" s="52">
        <v>15543</v>
      </c>
      <c r="G1115" s="53">
        <f>Tabla14[[#This Row],[Importe]]-Tabla14[[#This Row],[Pagado]]</f>
        <v>0</v>
      </c>
      <c r="H1115" s="37" t="s">
        <v>10</v>
      </c>
    </row>
    <row r="1116" spans="1:8" x14ac:dyDescent="0.25">
      <c r="A1116" s="31">
        <v>44631</v>
      </c>
      <c r="B1116" s="37" t="s">
        <v>8142</v>
      </c>
      <c r="C1116" s="51" t="s">
        <v>154</v>
      </c>
      <c r="D1116" s="52">
        <v>43303</v>
      </c>
      <c r="E1116" s="35">
        <v>44637</v>
      </c>
      <c r="F1116" s="52">
        <v>43303</v>
      </c>
      <c r="G1116" s="53">
        <f>Tabla14[[#This Row],[Importe]]-Tabla14[[#This Row],[Pagado]]</f>
        <v>0</v>
      </c>
      <c r="H1116" s="37" t="s">
        <v>10</v>
      </c>
    </row>
    <row r="1117" spans="1:8" x14ac:dyDescent="0.25">
      <c r="A1117" s="31">
        <v>44631</v>
      </c>
      <c r="B1117" s="37" t="s">
        <v>8143</v>
      </c>
      <c r="C1117" s="51" t="s">
        <v>31</v>
      </c>
      <c r="D1117" s="52">
        <v>8780.7999999999993</v>
      </c>
      <c r="E1117" s="35">
        <v>44632</v>
      </c>
      <c r="F1117" s="52">
        <v>8780.7999999999993</v>
      </c>
      <c r="G1117" s="53">
        <f>Tabla14[[#This Row],[Importe]]-Tabla14[[#This Row],[Pagado]]</f>
        <v>0</v>
      </c>
      <c r="H1117" s="37" t="s">
        <v>10</v>
      </c>
    </row>
    <row r="1118" spans="1:8" x14ac:dyDescent="0.25">
      <c r="A1118" s="31">
        <v>44631</v>
      </c>
      <c r="B1118" s="37" t="s">
        <v>8144</v>
      </c>
      <c r="C1118" s="51" t="s">
        <v>173</v>
      </c>
      <c r="D1118" s="52">
        <v>40073.599999999999</v>
      </c>
      <c r="E1118" s="35">
        <v>44632</v>
      </c>
      <c r="F1118" s="52">
        <v>40073.599999999999</v>
      </c>
      <c r="G1118" s="53">
        <f>Tabla14[[#This Row],[Importe]]-Tabla14[[#This Row],[Pagado]]</f>
        <v>0</v>
      </c>
      <c r="H1118" s="37" t="s">
        <v>10</v>
      </c>
    </row>
    <row r="1119" spans="1:8" x14ac:dyDescent="0.25">
      <c r="A1119" s="31">
        <v>44631</v>
      </c>
      <c r="B1119" s="37" t="s">
        <v>8145</v>
      </c>
      <c r="C1119" s="51" t="s">
        <v>127</v>
      </c>
      <c r="D1119" s="52">
        <v>1999</v>
      </c>
      <c r="E1119" s="35">
        <v>44631</v>
      </c>
      <c r="F1119" s="52">
        <v>1999</v>
      </c>
      <c r="G1119" s="53">
        <f>Tabla14[[#This Row],[Importe]]-Tabla14[[#This Row],[Pagado]]</f>
        <v>0</v>
      </c>
      <c r="H1119" s="37" t="s">
        <v>10</v>
      </c>
    </row>
    <row r="1120" spans="1:8" x14ac:dyDescent="0.25">
      <c r="A1120" s="31">
        <v>44631</v>
      </c>
      <c r="B1120" s="37" t="s">
        <v>8146</v>
      </c>
      <c r="C1120" s="51" t="s">
        <v>129</v>
      </c>
      <c r="D1120" s="52">
        <v>3724</v>
      </c>
      <c r="E1120" s="35">
        <v>44631</v>
      </c>
      <c r="F1120" s="52">
        <v>3724</v>
      </c>
      <c r="G1120" s="53">
        <f>Tabla14[[#This Row],[Importe]]-Tabla14[[#This Row],[Pagado]]</f>
        <v>0</v>
      </c>
      <c r="H1120" s="37" t="s">
        <v>10</v>
      </c>
    </row>
    <row r="1121" spans="1:8" x14ac:dyDescent="0.25">
      <c r="A1121" s="31">
        <v>44631</v>
      </c>
      <c r="B1121" s="37" t="s">
        <v>8147</v>
      </c>
      <c r="C1121" s="51" t="s">
        <v>125</v>
      </c>
      <c r="D1121" s="52">
        <v>4997.7</v>
      </c>
      <c r="E1121" s="35">
        <v>44631</v>
      </c>
      <c r="F1121" s="52">
        <v>4997.7</v>
      </c>
      <c r="G1121" s="53">
        <f>Tabla14[[#This Row],[Importe]]-Tabla14[[#This Row],[Pagado]]</f>
        <v>0</v>
      </c>
      <c r="H1121" s="37" t="s">
        <v>10</v>
      </c>
    </row>
    <row r="1122" spans="1:8" x14ac:dyDescent="0.25">
      <c r="A1122" s="31">
        <v>44631</v>
      </c>
      <c r="B1122" s="37" t="s">
        <v>8148</v>
      </c>
      <c r="C1122" s="51" t="s">
        <v>146</v>
      </c>
      <c r="D1122" s="52">
        <v>3288.6</v>
      </c>
      <c r="E1122" s="35">
        <v>44631</v>
      </c>
      <c r="F1122" s="52">
        <v>3288.6</v>
      </c>
      <c r="G1122" s="53">
        <f>Tabla14[[#This Row],[Importe]]-Tabla14[[#This Row],[Pagado]]</f>
        <v>0</v>
      </c>
      <c r="H1122" s="37" t="s">
        <v>10</v>
      </c>
    </row>
    <row r="1123" spans="1:8" x14ac:dyDescent="0.25">
      <c r="A1123" s="31">
        <v>44631</v>
      </c>
      <c r="B1123" s="37" t="s">
        <v>8149</v>
      </c>
      <c r="C1123" s="51" t="s">
        <v>87</v>
      </c>
      <c r="D1123" s="52">
        <v>2301.6</v>
      </c>
      <c r="E1123" s="35">
        <v>44631</v>
      </c>
      <c r="F1123" s="52">
        <v>2301.6</v>
      </c>
      <c r="G1123" s="53">
        <f>Tabla14[[#This Row],[Importe]]-Tabla14[[#This Row],[Pagado]]</f>
        <v>0</v>
      </c>
      <c r="H1123" s="37" t="s">
        <v>10</v>
      </c>
    </row>
    <row r="1124" spans="1:8" x14ac:dyDescent="0.25">
      <c r="A1124" s="31">
        <v>44631</v>
      </c>
      <c r="B1124" s="37" t="s">
        <v>8150</v>
      </c>
      <c r="C1124" s="51" t="s">
        <v>83</v>
      </c>
      <c r="D1124" s="52">
        <v>2783.2</v>
      </c>
      <c r="E1124" s="35">
        <v>44631</v>
      </c>
      <c r="F1124" s="52">
        <v>2783.2</v>
      </c>
      <c r="G1124" s="53">
        <f>Tabla14[[#This Row],[Importe]]-Tabla14[[#This Row],[Pagado]]</f>
        <v>0</v>
      </c>
      <c r="H1124" s="37" t="s">
        <v>10</v>
      </c>
    </row>
    <row r="1125" spans="1:8" x14ac:dyDescent="0.25">
      <c r="A1125" s="31">
        <v>44631</v>
      </c>
      <c r="B1125" s="37" t="s">
        <v>8151</v>
      </c>
      <c r="C1125" s="51" t="s">
        <v>357</v>
      </c>
      <c r="D1125" s="52">
        <v>912</v>
      </c>
      <c r="E1125" s="35">
        <v>44631</v>
      </c>
      <c r="F1125" s="52">
        <v>912</v>
      </c>
      <c r="G1125" s="53">
        <f>Tabla14[[#This Row],[Importe]]-Tabla14[[#This Row],[Pagado]]</f>
        <v>0</v>
      </c>
      <c r="H1125" s="37" t="s">
        <v>10</v>
      </c>
    </row>
    <row r="1126" spans="1:8" x14ac:dyDescent="0.25">
      <c r="A1126" s="31">
        <v>44631</v>
      </c>
      <c r="B1126" s="37" t="s">
        <v>8152</v>
      </c>
      <c r="C1126" s="51" t="s">
        <v>140</v>
      </c>
      <c r="D1126" s="52">
        <v>1003.2</v>
      </c>
      <c r="E1126" s="35">
        <v>44631</v>
      </c>
      <c r="F1126" s="52">
        <v>1003.2</v>
      </c>
      <c r="G1126" s="53">
        <f>Tabla14[[#This Row],[Importe]]-Tabla14[[#This Row],[Pagado]]</f>
        <v>0</v>
      </c>
      <c r="H1126" s="37" t="s">
        <v>10</v>
      </c>
    </row>
    <row r="1127" spans="1:8" x14ac:dyDescent="0.25">
      <c r="A1127" s="31">
        <v>44631</v>
      </c>
      <c r="B1127" s="37" t="s">
        <v>8153</v>
      </c>
      <c r="C1127" s="51" t="s">
        <v>31</v>
      </c>
      <c r="D1127" s="52">
        <v>456</v>
      </c>
      <c r="E1127" s="35">
        <v>44631</v>
      </c>
      <c r="F1127" s="52">
        <v>456</v>
      </c>
      <c r="G1127" s="53">
        <f>Tabla14[[#This Row],[Importe]]-Tabla14[[#This Row],[Pagado]]</f>
        <v>0</v>
      </c>
      <c r="H1127" s="37" t="s">
        <v>10</v>
      </c>
    </row>
    <row r="1128" spans="1:8" x14ac:dyDescent="0.25">
      <c r="A1128" s="31">
        <v>44631</v>
      </c>
      <c r="B1128" s="37" t="s">
        <v>8154</v>
      </c>
      <c r="C1128" s="51" t="s">
        <v>7894</v>
      </c>
      <c r="D1128" s="52">
        <v>1128.5999999999999</v>
      </c>
      <c r="E1128" s="35">
        <v>44631</v>
      </c>
      <c r="F1128" s="52">
        <v>1128.5999999999999</v>
      </c>
      <c r="G1128" s="53">
        <f>Tabla14[[#This Row],[Importe]]-Tabla14[[#This Row],[Pagado]]</f>
        <v>0</v>
      </c>
      <c r="H1128" s="37" t="s">
        <v>10</v>
      </c>
    </row>
    <row r="1129" spans="1:8" x14ac:dyDescent="0.25">
      <c r="A1129" s="31">
        <v>44631</v>
      </c>
      <c r="B1129" s="37" t="s">
        <v>8155</v>
      </c>
      <c r="C1129" s="51" t="s">
        <v>31</v>
      </c>
      <c r="D1129" s="52">
        <v>356.7</v>
      </c>
      <c r="E1129" s="35">
        <v>44631</v>
      </c>
      <c r="F1129" s="52">
        <v>356.7</v>
      </c>
      <c r="G1129" s="53">
        <f>Tabla14[[#This Row],[Importe]]-Tabla14[[#This Row],[Pagado]]</f>
        <v>0</v>
      </c>
      <c r="H1129" s="37" t="s">
        <v>10</v>
      </c>
    </row>
    <row r="1130" spans="1:8" x14ac:dyDescent="0.25">
      <c r="A1130" s="31">
        <v>44631</v>
      </c>
      <c r="B1130" s="37" t="s">
        <v>8156</v>
      </c>
      <c r="C1130" s="51" t="s">
        <v>142</v>
      </c>
      <c r="D1130" s="52">
        <v>94092.05</v>
      </c>
      <c r="E1130" s="35">
        <v>44670</v>
      </c>
      <c r="F1130" s="52">
        <v>94092.05</v>
      </c>
      <c r="G1130" s="53">
        <f>Tabla14[[#This Row],[Importe]]-Tabla14[[#This Row],[Pagado]]</f>
        <v>0</v>
      </c>
      <c r="H1130" s="37" t="s">
        <v>10</v>
      </c>
    </row>
    <row r="1131" spans="1:8" x14ac:dyDescent="0.25">
      <c r="A1131" s="31">
        <v>44631</v>
      </c>
      <c r="B1131" s="37" t="s">
        <v>8157</v>
      </c>
      <c r="C1131" s="51" t="s">
        <v>289</v>
      </c>
      <c r="D1131" s="52">
        <v>8512</v>
      </c>
      <c r="E1131" s="35">
        <v>44631</v>
      </c>
      <c r="F1131" s="52">
        <v>8512</v>
      </c>
      <c r="G1131" s="53">
        <f>Tabla14[[#This Row],[Importe]]-Tabla14[[#This Row],[Pagado]]</f>
        <v>0</v>
      </c>
      <c r="H1131" s="37" t="s">
        <v>10</v>
      </c>
    </row>
    <row r="1132" spans="1:8" x14ac:dyDescent="0.25">
      <c r="A1132" s="31">
        <v>44631</v>
      </c>
      <c r="B1132" s="37" t="s">
        <v>8158</v>
      </c>
      <c r="C1132" s="51" t="s">
        <v>53</v>
      </c>
      <c r="D1132" s="52">
        <v>1578.9</v>
      </c>
      <c r="E1132" s="35">
        <v>44631</v>
      </c>
      <c r="F1132" s="52">
        <v>1578.9</v>
      </c>
      <c r="G1132" s="53">
        <f>Tabla14[[#This Row],[Importe]]-Tabla14[[#This Row],[Pagado]]</f>
        <v>0</v>
      </c>
      <c r="H1132" s="37" t="s">
        <v>10</v>
      </c>
    </row>
    <row r="1133" spans="1:8" x14ac:dyDescent="0.25">
      <c r="A1133" s="31">
        <v>44631</v>
      </c>
      <c r="B1133" s="37" t="s">
        <v>8159</v>
      </c>
      <c r="C1133" s="51" t="s">
        <v>212</v>
      </c>
      <c r="D1133" s="52">
        <v>63558.400000000001</v>
      </c>
      <c r="E1133" s="35">
        <v>44637</v>
      </c>
      <c r="F1133" s="52">
        <v>63558.400000000001</v>
      </c>
      <c r="G1133" s="53">
        <f>Tabla14[[#This Row],[Importe]]-Tabla14[[#This Row],[Pagado]]</f>
        <v>0</v>
      </c>
      <c r="H1133" s="37" t="s">
        <v>10</v>
      </c>
    </row>
    <row r="1134" spans="1:8" x14ac:dyDescent="0.25">
      <c r="A1134" s="31">
        <v>44631</v>
      </c>
      <c r="B1134" s="37" t="s">
        <v>8160</v>
      </c>
      <c r="C1134" s="51" t="s">
        <v>314</v>
      </c>
      <c r="D1134" s="52">
        <v>3225.6</v>
      </c>
      <c r="E1134" s="35">
        <v>44631</v>
      </c>
      <c r="F1134" s="52">
        <v>3225.6</v>
      </c>
      <c r="G1134" s="53">
        <f>Tabla14[[#This Row],[Importe]]-Tabla14[[#This Row],[Pagado]]</f>
        <v>0</v>
      </c>
      <c r="H1134" s="37" t="s">
        <v>10</v>
      </c>
    </row>
    <row r="1135" spans="1:8" x14ac:dyDescent="0.25">
      <c r="A1135" s="31">
        <v>44631</v>
      </c>
      <c r="B1135" s="37" t="s">
        <v>8161</v>
      </c>
      <c r="C1135" s="51" t="s">
        <v>224</v>
      </c>
      <c r="D1135" s="52">
        <v>7010.3</v>
      </c>
      <c r="E1135" s="35">
        <v>44635</v>
      </c>
      <c r="F1135" s="52">
        <v>7010.3</v>
      </c>
      <c r="G1135" s="53">
        <f>Tabla14[[#This Row],[Importe]]-Tabla14[[#This Row],[Pagado]]</f>
        <v>0</v>
      </c>
      <c r="H1135" s="37" t="s">
        <v>10</v>
      </c>
    </row>
    <row r="1136" spans="1:8" x14ac:dyDescent="0.25">
      <c r="A1136" s="31">
        <v>44631</v>
      </c>
      <c r="B1136" s="37" t="s">
        <v>8162</v>
      </c>
      <c r="C1136" s="51" t="s">
        <v>289</v>
      </c>
      <c r="D1136" s="52">
        <v>856.6</v>
      </c>
      <c r="E1136" s="35">
        <v>44631</v>
      </c>
      <c r="F1136" s="52">
        <v>856.6</v>
      </c>
      <c r="G1136" s="53">
        <f>Tabla14[[#This Row],[Importe]]-Tabla14[[#This Row],[Pagado]]</f>
        <v>0</v>
      </c>
      <c r="H1136" s="37" t="s">
        <v>10</v>
      </c>
    </row>
    <row r="1137" spans="1:8" x14ac:dyDescent="0.25">
      <c r="A1137" s="31">
        <v>44631</v>
      </c>
      <c r="B1137" s="37" t="s">
        <v>8163</v>
      </c>
      <c r="C1137" s="51" t="s">
        <v>3402</v>
      </c>
      <c r="D1137" s="52">
        <v>945</v>
      </c>
      <c r="E1137" s="35">
        <v>44631</v>
      </c>
      <c r="F1137" s="52">
        <v>945</v>
      </c>
      <c r="G1137" s="53">
        <f>Tabla14[[#This Row],[Importe]]-Tabla14[[#This Row],[Pagado]]</f>
        <v>0</v>
      </c>
      <c r="H1137" s="37" t="s">
        <v>10</v>
      </c>
    </row>
    <row r="1138" spans="1:8" x14ac:dyDescent="0.25">
      <c r="A1138" s="31">
        <v>44631</v>
      </c>
      <c r="B1138" s="37" t="s">
        <v>8164</v>
      </c>
      <c r="C1138" s="51" t="s">
        <v>5816</v>
      </c>
      <c r="D1138" s="52">
        <v>4760.5</v>
      </c>
      <c r="E1138" s="35">
        <v>44631</v>
      </c>
      <c r="F1138" s="52">
        <v>4760.5</v>
      </c>
      <c r="G1138" s="53">
        <f>Tabla14[[#This Row],[Importe]]-Tabla14[[#This Row],[Pagado]]</f>
        <v>0</v>
      </c>
      <c r="H1138" s="37" t="s">
        <v>10</v>
      </c>
    </row>
    <row r="1139" spans="1:8" x14ac:dyDescent="0.25">
      <c r="A1139" s="31">
        <v>44631</v>
      </c>
      <c r="B1139" s="37" t="s">
        <v>8165</v>
      </c>
      <c r="C1139" s="51" t="s">
        <v>79</v>
      </c>
      <c r="D1139" s="52">
        <v>8064</v>
      </c>
      <c r="E1139" s="35">
        <v>44631</v>
      </c>
      <c r="F1139" s="52">
        <v>8064</v>
      </c>
      <c r="G1139" s="53">
        <f>Tabla14[[#This Row],[Importe]]-Tabla14[[#This Row],[Pagado]]</f>
        <v>0</v>
      </c>
      <c r="H1139" s="37" t="s">
        <v>10</v>
      </c>
    </row>
    <row r="1140" spans="1:8" x14ac:dyDescent="0.25">
      <c r="A1140" s="31">
        <v>44631</v>
      </c>
      <c r="B1140" s="37" t="s">
        <v>8166</v>
      </c>
      <c r="C1140" s="51" t="s">
        <v>365</v>
      </c>
      <c r="D1140" s="52">
        <v>2686.6</v>
      </c>
      <c r="E1140" s="35">
        <v>44631</v>
      </c>
      <c r="F1140" s="52">
        <v>2686.6</v>
      </c>
      <c r="G1140" s="53">
        <f>Tabla14[[#This Row],[Importe]]-Tabla14[[#This Row],[Pagado]]</f>
        <v>0</v>
      </c>
      <c r="H1140" s="37" t="s">
        <v>10</v>
      </c>
    </row>
    <row r="1141" spans="1:8" x14ac:dyDescent="0.25">
      <c r="A1141" s="31">
        <v>44631</v>
      </c>
      <c r="B1141" s="37" t="s">
        <v>8167</v>
      </c>
      <c r="C1141" s="51" t="s">
        <v>312</v>
      </c>
      <c r="D1141" s="52">
        <v>1600.8</v>
      </c>
      <c r="E1141" s="35">
        <v>44631</v>
      </c>
      <c r="F1141" s="52">
        <v>1600.8</v>
      </c>
      <c r="G1141" s="53">
        <f>Tabla14[[#This Row],[Importe]]-Tabla14[[#This Row],[Pagado]]</f>
        <v>0</v>
      </c>
      <c r="H1141" s="37" t="s">
        <v>10</v>
      </c>
    </row>
    <row r="1142" spans="1:8" x14ac:dyDescent="0.25">
      <c r="A1142" s="31">
        <v>44631</v>
      </c>
      <c r="B1142" s="37" t="s">
        <v>8168</v>
      </c>
      <c r="C1142" s="51" t="s">
        <v>198</v>
      </c>
      <c r="D1142" s="52">
        <v>3091.2</v>
      </c>
      <c r="E1142" s="35">
        <v>44631</v>
      </c>
      <c r="F1142" s="52">
        <v>3091.2</v>
      </c>
      <c r="G1142" s="53">
        <f>Tabla14[[#This Row],[Importe]]-Tabla14[[#This Row],[Pagado]]</f>
        <v>0</v>
      </c>
      <c r="H1142" s="37" t="s">
        <v>10</v>
      </c>
    </row>
    <row r="1143" spans="1:8" x14ac:dyDescent="0.25">
      <c r="A1143" s="31">
        <v>44631</v>
      </c>
      <c r="B1143" s="37" t="s">
        <v>8169</v>
      </c>
      <c r="C1143" s="51" t="s">
        <v>647</v>
      </c>
      <c r="D1143" s="52">
        <v>1152.4000000000001</v>
      </c>
      <c r="E1143" s="35">
        <v>44631</v>
      </c>
      <c r="F1143" s="52">
        <v>1152.4000000000001</v>
      </c>
      <c r="G1143" s="53">
        <f>Tabla14[[#This Row],[Importe]]-Tabla14[[#This Row],[Pagado]]</f>
        <v>0</v>
      </c>
      <c r="H1143" s="37" t="s">
        <v>10</v>
      </c>
    </row>
    <row r="1144" spans="1:8" x14ac:dyDescent="0.25">
      <c r="A1144" s="31">
        <v>44631</v>
      </c>
      <c r="B1144" s="37" t="s">
        <v>8170</v>
      </c>
      <c r="C1144" s="51" t="s">
        <v>541</v>
      </c>
      <c r="D1144" s="52">
        <v>5657.6</v>
      </c>
      <c r="E1144" s="35">
        <v>44632</v>
      </c>
      <c r="F1144" s="52">
        <v>5657.6</v>
      </c>
      <c r="G1144" s="53">
        <f>Tabla14[[#This Row],[Importe]]-Tabla14[[#This Row],[Pagado]]</f>
        <v>0</v>
      </c>
      <c r="H1144" s="37" t="s">
        <v>10</v>
      </c>
    </row>
    <row r="1145" spans="1:8" x14ac:dyDescent="0.25">
      <c r="A1145" s="31">
        <v>44631</v>
      </c>
      <c r="B1145" s="37" t="s">
        <v>8171</v>
      </c>
      <c r="C1145" s="51" t="s">
        <v>934</v>
      </c>
      <c r="D1145" s="52">
        <v>3050.88</v>
      </c>
      <c r="E1145" s="35">
        <v>44631</v>
      </c>
      <c r="F1145" s="52">
        <v>3050.88</v>
      </c>
      <c r="G1145" s="53">
        <f>Tabla14[[#This Row],[Importe]]-Tabla14[[#This Row],[Pagado]]</f>
        <v>0</v>
      </c>
      <c r="H1145" s="37" t="s">
        <v>10</v>
      </c>
    </row>
    <row r="1146" spans="1:8" x14ac:dyDescent="0.25">
      <c r="A1146" s="31">
        <v>44631</v>
      </c>
      <c r="B1146" s="37" t="s">
        <v>8172</v>
      </c>
      <c r="C1146" s="51" t="s">
        <v>371</v>
      </c>
      <c r="D1146" s="52">
        <v>4187.7</v>
      </c>
      <c r="E1146" s="35">
        <v>44631</v>
      </c>
      <c r="F1146" s="52">
        <v>4187.7</v>
      </c>
      <c r="G1146" s="53">
        <f>Tabla14[[#This Row],[Importe]]-Tabla14[[#This Row],[Pagado]]</f>
        <v>0</v>
      </c>
      <c r="H1146" s="37" t="s">
        <v>10</v>
      </c>
    </row>
    <row r="1147" spans="1:8" x14ac:dyDescent="0.25">
      <c r="A1147" s="31">
        <v>44631</v>
      </c>
      <c r="B1147" s="37" t="s">
        <v>8173</v>
      </c>
      <c r="C1147" s="51" t="s">
        <v>312</v>
      </c>
      <c r="D1147" s="52">
        <v>462.4</v>
      </c>
      <c r="E1147" s="35">
        <v>44631</v>
      </c>
      <c r="F1147" s="52">
        <v>462.4</v>
      </c>
      <c r="G1147" s="53">
        <f>Tabla14[[#This Row],[Importe]]-Tabla14[[#This Row],[Pagado]]</f>
        <v>0</v>
      </c>
      <c r="H1147" s="37" t="s">
        <v>10</v>
      </c>
    </row>
    <row r="1148" spans="1:8" x14ac:dyDescent="0.25">
      <c r="A1148" s="31">
        <v>44631</v>
      </c>
      <c r="B1148" s="37" t="s">
        <v>8174</v>
      </c>
      <c r="C1148" s="51" t="s">
        <v>208</v>
      </c>
      <c r="D1148" s="52">
        <v>12874.8</v>
      </c>
      <c r="E1148" s="35">
        <v>44637</v>
      </c>
      <c r="F1148" s="52">
        <v>12874.8</v>
      </c>
      <c r="G1148" s="53">
        <f>Tabla14[[#This Row],[Importe]]-Tabla14[[#This Row],[Pagado]]</f>
        <v>0</v>
      </c>
      <c r="H1148" s="37" t="s">
        <v>10</v>
      </c>
    </row>
    <row r="1149" spans="1:8" x14ac:dyDescent="0.25">
      <c r="A1149" s="31">
        <v>44631</v>
      </c>
      <c r="B1149" s="37" t="s">
        <v>8175</v>
      </c>
      <c r="C1149" s="51" t="s">
        <v>218</v>
      </c>
      <c r="D1149" s="52">
        <v>13193</v>
      </c>
      <c r="E1149" s="35">
        <v>44637</v>
      </c>
      <c r="F1149" s="52">
        <v>13193</v>
      </c>
      <c r="G1149" s="53">
        <f>Tabla14[[#This Row],[Importe]]-Tabla14[[#This Row],[Pagado]]</f>
        <v>0</v>
      </c>
      <c r="H1149" s="37" t="s">
        <v>10</v>
      </c>
    </row>
    <row r="1150" spans="1:8" x14ac:dyDescent="0.25">
      <c r="A1150" s="31">
        <v>44631</v>
      </c>
      <c r="B1150" s="37" t="s">
        <v>8176</v>
      </c>
      <c r="C1150" s="51" t="s">
        <v>58</v>
      </c>
      <c r="D1150" s="52">
        <v>2935.5</v>
      </c>
      <c r="E1150" s="35">
        <v>44631</v>
      </c>
      <c r="F1150" s="52">
        <v>2935.5</v>
      </c>
      <c r="G1150" s="53">
        <f>Tabla14[[#This Row],[Importe]]-Tabla14[[#This Row],[Pagado]]</f>
        <v>0</v>
      </c>
      <c r="H1150" s="37" t="s">
        <v>10</v>
      </c>
    </row>
    <row r="1151" spans="1:8" x14ac:dyDescent="0.25">
      <c r="A1151" s="31">
        <v>44631</v>
      </c>
      <c r="B1151" s="37" t="s">
        <v>8177</v>
      </c>
      <c r="C1151" s="51" t="s">
        <v>45</v>
      </c>
      <c r="D1151" s="52">
        <v>9929.4</v>
      </c>
      <c r="E1151" s="35">
        <v>44631</v>
      </c>
      <c r="F1151" s="52">
        <v>9929.4</v>
      </c>
      <c r="G1151" s="53">
        <f>Tabla14[[#This Row],[Importe]]-Tabla14[[#This Row],[Pagado]]</f>
        <v>0</v>
      </c>
      <c r="H1151" s="37" t="s">
        <v>10</v>
      </c>
    </row>
    <row r="1152" spans="1:8" x14ac:dyDescent="0.25">
      <c r="A1152" s="31">
        <v>44631</v>
      </c>
      <c r="B1152" s="37" t="s">
        <v>8178</v>
      </c>
      <c r="C1152" s="51" t="s">
        <v>518</v>
      </c>
      <c r="D1152" s="52">
        <v>1170.8</v>
      </c>
      <c r="E1152" s="35">
        <v>44631</v>
      </c>
      <c r="F1152" s="52">
        <v>1170.8</v>
      </c>
      <c r="G1152" s="53">
        <f>Tabla14[[#This Row],[Importe]]-Tabla14[[#This Row],[Pagado]]</f>
        <v>0</v>
      </c>
      <c r="H1152" s="37" t="s">
        <v>10</v>
      </c>
    </row>
    <row r="1153" spans="1:8" x14ac:dyDescent="0.25">
      <c r="A1153" s="31">
        <v>44631</v>
      </c>
      <c r="B1153" s="37" t="s">
        <v>8179</v>
      </c>
      <c r="C1153" s="51" t="s">
        <v>183</v>
      </c>
      <c r="D1153" s="52">
        <v>2368.6</v>
      </c>
      <c r="E1153" s="35">
        <v>44631</v>
      </c>
      <c r="F1153" s="52">
        <v>2368.6</v>
      </c>
      <c r="G1153" s="53">
        <f>Tabla14[[#This Row],[Importe]]-Tabla14[[#This Row],[Pagado]]</f>
        <v>0</v>
      </c>
      <c r="H1153" s="37" t="s">
        <v>10</v>
      </c>
    </row>
    <row r="1154" spans="1:8" x14ac:dyDescent="0.25">
      <c r="A1154" s="31">
        <v>44631</v>
      </c>
      <c r="B1154" s="37" t="s">
        <v>8180</v>
      </c>
      <c r="C1154" s="51" t="s">
        <v>373</v>
      </c>
      <c r="D1154" s="52">
        <v>520.79999999999995</v>
      </c>
      <c r="E1154" s="35">
        <v>44631</v>
      </c>
      <c r="F1154" s="52">
        <v>520.79999999999995</v>
      </c>
      <c r="G1154" s="53">
        <f>Tabla14[[#This Row],[Importe]]-Tabla14[[#This Row],[Pagado]]</f>
        <v>0</v>
      </c>
      <c r="H1154" s="37" t="s">
        <v>10</v>
      </c>
    </row>
    <row r="1155" spans="1:8" x14ac:dyDescent="0.25">
      <c r="A1155" s="31">
        <v>44631</v>
      </c>
      <c r="B1155" s="37" t="s">
        <v>8181</v>
      </c>
      <c r="C1155" s="51" t="s">
        <v>1537</v>
      </c>
      <c r="D1155" s="52">
        <v>1043.0999999999999</v>
      </c>
      <c r="E1155" s="35">
        <v>44631</v>
      </c>
      <c r="F1155" s="52">
        <v>1043.0999999999999</v>
      </c>
      <c r="G1155" s="53">
        <f>Tabla14[[#This Row],[Importe]]-Tabla14[[#This Row],[Pagado]]</f>
        <v>0</v>
      </c>
      <c r="H1155" s="37" t="s">
        <v>10</v>
      </c>
    </row>
    <row r="1156" spans="1:8" x14ac:dyDescent="0.25">
      <c r="A1156" s="31">
        <v>44631</v>
      </c>
      <c r="B1156" s="37" t="s">
        <v>8182</v>
      </c>
      <c r="C1156" s="51" t="s">
        <v>29</v>
      </c>
      <c r="D1156" s="52">
        <v>6983.2</v>
      </c>
      <c r="E1156" s="35">
        <v>44631</v>
      </c>
      <c r="F1156" s="52">
        <v>6983.2</v>
      </c>
      <c r="G1156" s="53">
        <f>Tabla14[[#This Row],[Importe]]-Tabla14[[#This Row],[Pagado]]</f>
        <v>0</v>
      </c>
      <c r="H1156" s="37" t="s">
        <v>10</v>
      </c>
    </row>
    <row r="1157" spans="1:8" x14ac:dyDescent="0.25">
      <c r="A1157" s="31">
        <v>44631</v>
      </c>
      <c r="B1157" s="37" t="s">
        <v>8183</v>
      </c>
      <c r="C1157" s="51" t="s">
        <v>206</v>
      </c>
      <c r="D1157" s="52">
        <v>35972.980000000003</v>
      </c>
      <c r="E1157" s="35">
        <v>44637</v>
      </c>
      <c r="F1157" s="52">
        <v>35972.980000000003</v>
      </c>
      <c r="G1157" s="53">
        <f>Tabla14[[#This Row],[Importe]]-Tabla14[[#This Row],[Pagado]]</f>
        <v>0</v>
      </c>
      <c r="H1157" s="37" t="s">
        <v>10</v>
      </c>
    </row>
    <row r="1158" spans="1:8" x14ac:dyDescent="0.25">
      <c r="A1158" s="31">
        <v>44631</v>
      </c>
      <c r="B1158" s="37" t="s">
        <v>8184</v>
      </c>
      <c r="C1158" s="51" t="s">
        <v>157</v>
      </c>
      <c r="D1158" s="52">
        <v>4261.1000000000004</v>
      </c>
      <c r="E1158" s="35">
        <v>44631</v>
      </c>
      <c r="F1158" s="52">
        <v>4261.1000000000004</v>
      </c>
      <c r="G1158" s="53">
        <f>Tabla14[[#This Row],[Importe]]-Tabla14[[#This Row],[Pagado]]</f>
        <v>0</v>
      </c>
      <c r="H1158" s="37" t="s">
        <v>10</v>
      </c>
    </row>
    <row r="1159" spans="1:8" x14ac:dyDescent="0.25">
      <c r="A1159" s="31">
        <v>44631</v>
      </c>
      <c r="B1159" s="37" t="s">
        <v>8185</v>
      </c>
      <c r="C1159" s="51" t="s">
        <v>1971</v>
      </c>
      <c r="D1159" s="52">
        <v>2152.8000000000002</v>
      </c>
      <c r="E1159" s="35">
        <v>44631</v>
      </c>
      <c r="F1159" s="52">
        <v>2152.8000000000002</v>
      </c>
      <c r="G1159" s="53">
        <f>Tabla14[[#This Row],[Importe]]-Tabla14[[#This Row],[Pagado]]</f>
        <v>0</v>
      </c>
      <c r="H1159" s="37" t="s">
        <v>10</v>
      </c>
    </row>
    <row r="1160" spans="1:8" x14ac:dyDescent="0.25">
      <c r="A1160" s="31">
        <v>44631</v>
      </c>
      <c r="B1160" s="37" t="s">
        <v>8186</v>
      </c>
      <c r="C1160" s="51" t="s">
        <v>592</v>
      </c>
      <c r="D1160" s="52">
        <v>39803.199999999997</v>
      </c>
      <c r="E1160" s="35">
        <v>44646</v>
      </c>
      <c r="F1160" s="52">
        <v>39803.199999999997</v>
      </c>
      <c r="G1160" s="53">
        <f>Tabla14[[#This Row],[Importe]]-Tabla14[[#This Row],[Pagado]]</f>
        <v>0</v>
      </c>
      <c r="H1160" s="37" t="s">
        <v>10</v>
      </c>
    </row>
    <row r="1161" spans="1:8" x14ac:dyDescent="0.25">
      <c r="A1161" s="31">
        <v>44631</v>
      </c>
      <c r="B1161" s="37" t="s">
        <v>8187</v>
      </c>
      <c r="C1161" s="51" t="s">
        <v>2114</v>
      </c>
      <c r="D1161" s="52">
        <v>1388.8</v>
      </c>
      <c r="E1161" s="35">
        <v>44631</v>
      </c>
      <c r="F1161" s="52">
        <v>1388.8</v>
      </c>
      <c r="G1161" s="53">
        <f>Tabla14[[#This Row],[Importe]]-Tabla14[[#This Row],[Pagado]]</f>
        <v>0</v>
      </c>
      <c r="H1161" s="37" t="s">
        <v>10</v>
      </c>
    </row>
    <row r="1162" spans="1:8" x14ac:dyDescent="0.25">
      <c r="A1162" s="31">
        <v>44631</v>
      </c>
      <c r="B1162" s="37" t="s">
        <v>8188</v>
      </c>
      <c r="C1162" s="51" t="s">
        <v>555</v>
      </c>
      <c r="D1162" s="52">
        <v>25763</v>
      </c>
      <c r="E1162" s="35">
        <v>44631</v>
      </c>
      <c r="F1162" s="52">
        <v>25763</v>
      </c>
      <c r="G1162" s="53">
        <f>Tabla14[[#This Row],[Importe]]-Tabla14[[#This Row],[Pagado]]</f>
        <v>0</v>
      </c>
      <c r="H1162" s="37" t="s">
        <v>10</v>
      </c>
    </row>
    <row r="1163" spans="1:8" x14ac:dyDescent="0.25">
      <c r="A1163" s="31">
        <v>44631</v>
      </c>
      <c r="B1163" s="37" t="s">
        <v>8189</v>
      </c>
      <c r="C1163" s="51" t="s">
        <v>8190</v>
      </c>
      <c r="D1163" s="52">
        <v>6252.4</v>
      </c>
      <c r="E1163" s="35">
        <v>44631</v>
      </c>
      <c r="F1163" s="52">
        <v>6252.4</v>
      </c>
      <c r="G1163" s="53">
        <f>Tabla14[[#This Row],[Importe]]-Tabla14[[#This Row],[Pagado]]</f>
        <v>0</v>
      </c>
      <c r="H1163" s="37" t="s">
        <v>10</v>
      </c>
    </row>
    <row r="1164" spans="1:8" x14ac:dyDescent="0.25">
      <c r="A1164" s="31">
        <v>44631</v>
      </c>
      <c r="B1164" s="37" t="s">
        <v>8191</v>
      </c>
      <c r="C1164" s="51" t="s">
        <v>849</v>
      </c>
      <c r="D1164" s="52">
        <v>4752.3999999999996</v>
      </c>
      <c r="E1164" s="35">
        <v>44631</v>
      </c>
      <c r="F1164" s="52">
        <v>4752.3999999999996</v>
      </c>
      <c r="G1164" s="53">
        <f>Tabla14[[#This Row],[Importe]]-Tabla14[[#This Row],[Pagado]]</f>
        <v>0</v>
      </c>
      <c r="H1164" s="37" t="s">
        <v>10</v>
      </c>
    </row>
    <row r="1165" spans="1:8" x14ac:dyDescent="0.25">
      <c r="A1165" s="31">
        <v>44631</v>
      </c>
      <c r="B1165" s="37" t="s">
        <v>8192</v>
      </c>
      <c r="C1165" s="51" t="s">
        <v>133</v>
      </c>
      <c r="D1165" s="52">
        <v>21246.400000000001</v>
      </c>
      <c r="E1165" s="35">
        <v>44639</v>
      </c>
      <c r="F1165" s="52">
        <v>21246.400000000001</v>
      </c>
      <c r="G1165" s="53">
        <f>Tabla14[[#This Row],[Importe]]-Tabla14[[#This Row],[Pagado]]</f>
        <v>0</v>
      </c>
      <c r="H1165" s="37" t="s">
        <v>10</v>
      </c>
    </row>
    <row r="1166" spans="1:8" x14ac:dyDescent="0.25">
      <c r="A1166" s="31">
        <v>44631</v>
      </c>
      <c r="B1166" s="37" t="s">
        <v>8193</v>
      </c>
      <c r="C1166" s="51" t="s">
        <v>214</v>
      </c>
      <c r="D1166" s="52">
        <v>1030.4000000000001</v>
      </c>
      <c r="E1166" s="35">
        <v>44631</v>
      </c>
      <c r="F1166" s="52">
        <v>1030.4000000000001</v>
      </c>
      <c r="G1166" s="53">
        <f>Tabla14[[#This Row],[Importe]]-Tabla14[[#This Row],[Pagado]]</f>
        <v>0</v>
      </c>
      <c r="H1166" s="37" t="s">
        <v>10</v>
      </c>
    </row>
    <row r="1167" spans="1:8" x14ac:dyDescent="0.25">
      <c r="A1167" s="31">
        <v>44631</v>
      </c>
      <c r="B1167" s="37" t="s">
        <v>8194</v>
      </c>
      <c r="C1167" s="51" t="s">
        <v>216</v>
      </c>
      <c r="D1167" s="52">
        <v>1058.4000000000001</v>
      </c>
      <c r="E1167" s="35">
        <v>44631</v>
      </c>
      <c r="F1167" s="52">
        <v>1058.4000000000001</v>
      </c>
      <c r="G1167" s="53">
        <f>Tabla14[[#This Row],[Importe]]-Tabla14[[#This Row],[Pagado]]</f>
        <v>0</v>
      </c>
      <c r="H1167" s="37" t="s">
        <v>10</v>
      </c>
    </row>
    <row r="1168" spans="1:8" x14ac:dyDescent="0.25">
      <c r="A1168" s="31">
        <v>44631</v>
      </c>
      <c r="B1168" s="37" t="s">
        <v>8195</v>
      </c>
      <c r="C1168" s="51" t="s">
        <v>31</v>
      </c>
      <c r="D1168" s="52">
        <v>4022.4</v>
      </c>
      <c r="E1168" s="35">
        <v>44631</v>
      </c>
      <c r="F1168" s="52">
        <v>4022.4</v>
      </c>
      <c r="G1168" s="53">
        <f>Tabla14[[#This Row],[Importe]]-Tabla14[[#This Row],[Pagado]]</f>
        <v>0</v>
      </c>
      <c r="H1168" s="37" t="s">
        <v>10</v>
      </c>
    </row>
    <row r="1169" spans="1:8" x14ac:dyDescent="0.25">
      <c r="A1169" s="31">
        <v>44631</v>
      </c>
      <c r="B1169" s="37" t="s">
        <v>8196</v>
      </c>
      <c r="C1169" s="51" t="s">
        <v>414</v>
      </c>
      <c r="D1169" s="52">
        <v>11547.2</v>
      </c>
      <c r="E1169" s="35">
        <v>44631</v>
      </c>
      <c r="F1169" s="52">
        <v>11547.2</v>
      </c>
      <c r="G1169" s="53">
        <f>Tabla14[[#This Row],[Importe]]-Tabla14[[#This Row],[Pagado]]</f>
        <v>0</v>
      </c>
      <c r="H1169" s="37" t="s">
        <v>10</v>
      </c>
    </row>
    <row r="1170" spans="1:8" x14ac:dyDescent="0.25">
      <c r="A1170" s="31">
        <v>44631</v>
      </c>
      <c r="B1170" s="37" t="s">
        <v>8197</v>
      </c>
      <c r="C1170" s="51" t="s">
        <v>419</v>
      </c>
      <c r="D1170" s="52">
        <v>5840.2</v>
      </c>
      <c r="E1170" s="35">
        <v>44631</v>
      </c>
      <c r="F1170" s="52">
        <v>5840.2</v>
      </c>
      <c r="G1170" s="53">
        <f>Tabla14[[#This Row],[Importe]]-Tabla14[[#This Row],[Pagado]]</f>
        <v>0</v>
      </c>
      <c r="H1170" s="37" t="s">
        <v>10</v>
      </c>
    </row>
    <row r="1171" spans="1:8" x14ac:dyDescent="0.25">
      <c r="A1171" s="31">
        <v>44631</v>
      </c>
      <c r="B1171" s="37" t="s">
        <v>8198</v>
      </c>
      <c r="C1171" s="51" t="s">
        <v>2114</v>
      </c>
      <c r="D1171" s="52">
        <v>1064</v>
      </c>
      <c r="E1171" s="35">
        <v>44631</v>
      </c>
      <c r="F1171" s="52">
        <v>1064</v>
      </c>
      <c r="G1171" s="53">
        <f>Tabla14[[#This Row],[Importe]]-Tabla14[[#This Row],[Pagado]]</f>
        <v>0</v>
      </c>
      <c r="H1171" s="37" t="s">
        <v>10</v>
      </c>
    </row>
    <row r="1172" spans="1:8" x14ac:dyDescent="0.25">
      <c r="A1172" s="31">
        <v>44631</v>
      </c>
      <c r="B1172" s="37" t="s">
        <v>8199</v>
      </c>
      <c r="C1172" s="51" t="s">
        <v>204</v>
      </c>
      <c r="D1172" s="52">
        <v>2574</v>
      </c>
      <c r="E1172" s="35">
        <v>44631</v>
      </c>
      <c r="F1172" s="52">
        <v>2574</v>
      </c>
      <c r="G1172" s="53">
        <f>Tabla14[[#This Row],[Importe]]-Tabla14[[#This Row],[Pagado]]</f>
        <v>0</v>
      </c>
      <c r="H1172" s="37" t="s">
        <v>10</v>
      </c>
    </row>
    <row r="1173" spans="1:8" x14ac:dyDescent="0.25">
      <c r="A1173" s="31">
        <v>44631</v>
      </c>
      <c r="B1173" s="37" t="s">
        <v>8200</v>
      </c>
      <c r="C1173" s="51" t="s">
        <v>67</v>
      </c>
      <c r="D1173" s="52">
        <v>1622.6</v>
      </c>
      <c r="E1173" s="35">
        <v>44631</v>
      </c>
      <c r="F1173" s="52">
        <v>1622.6</v>
      </c>
      <c r="G1173" s="53">
        <f>Tabla14[[#This Row],[Importe]]-Tabla14[[#This Row],[Pagado]]</f>
        <v>0</v>
      </c>
      <c r="H1173" s="37" t="s">
        <v>10</v>
      </c>
    </row>
    <row r="1174" spans="1:8" x14ac:dyDescent="0.25">
      <c r="A1174" s="31">
        <v>44631</v>
      </c>
      <c r="B1174" s="37" t="s">
        <v>8201</v>
      </c>
      <c r="C1174" s="51" t="s">
        <v>698</v>
      </c>
      <c r="D1174" s="52">
        <v>6463.7</v>
      </c>
      <c r="E1174" s="35">
        <v>44631</v>
      </c>
      <c r="F1174" s="52">
        <v>6463.7</v>
      </c>
      <c r="G1174" s="53">
        <f>Tabla14[[#This Row],[Importe]]-Tabla14[[#This Row],[Pagado]]</f>
        <v>0</v>
      </c>
      <c r="H1174" s="37" t="s">
        <v>10</v>
      </c>
    </row>
    <row r="1175" spans="1:8" x14ac:dyDescent="0.25">
      <c r="A1175" s="31">
        <v>44631</v>
      </c>
      <c r="B1175" s="37" t="s">
        <v>8202</v>
      </c>
      <c r="C1175" s="51" t="s">
        <v>67</v>
      </c>
      <c r="D1175" s="52">
        <v>188.5</v>
      </c>
      <c r="E1175" s="35">
        <v>44631</v>
      </c>
      <c r="F1175" s="52">
        <v>188.5</v>
      </c>
      <c r="G1175" s="53">
        <f>Tabla14[[#This Row],[Importe]]-Tabla14[[#This Row],[Pagado]]</f>
        <v>0</v>
      </c>
      <c r="H1175" s="37" t="s">
        <v>10</v>
      </c>
    </row>
    <row r="1176" spans="1:8" x14ac:dyDescent="0.25">
      <c r="A1176" s="31">
        <v>44631</v>
      </c>
      <c r="B1176" s="37" t="s">
        <v>8203</v>
      </c>
      <c r="C1176" s="51" t="s">
        <v>67</v>
      </c>
      <c r="D1176" s="52">
        <v>576.79999999999995</v>
      </c>
      <c r="E1176" s="35">
        <v>44631</v>
      </c>
      <c r="F1176" s="52">
        <v>576.79999999999995</v>
      </c>
      <c r="G1176" s="53">
        <f>Tabla14[[#This Row],[Importe]]-Tabla14[[#This Row],[Pagado]]</f>
        <v>0</v>
      </c>
      <c r="H1176" s="37" t="s">
        <v>10</v>
      </c>
    </row>
    <row r="1177" spans="1:8" x14ac:dyDescent="0.25">
      <c r="A1177" s="31">
        <v>44631</v>
      </c>
      <c r="B1177" s="37" t="s">
        <v>8204</v>
      </c>
      <c r="C1177" s="51" t="s">
        <v>857</v>
      </c>
      <c r="D1177" s="52">
        <v>1440.6</v>
      </c>
      <c r="E1177" s="35">
        <v>44631</v>
      </c>
      <c r="F1177" s="52">
        <v>1440.6</v>
      </c>
      <c r="G1177" s="53">
        <f>Tabla14[[#This Row],[Importe]]-Tabla14[[#This Row],[Pagado]]</f>
        <v>0</v>
      </c>
      <c r="H1177" s="37" t="s">
        <v>10</v>
      </c>
    </row>
    <row r="1178" spans="1:8" x14ac:dyDescent="0.25">
      <c r="A1178" s="31">
        <v>44631</v>
      </c>
      <c r="B1178" s="37" t="s">
        <v>8205</v>
      </c>
      <c r="C1178" s="51" t="s">
        <v>230</v>
      </c>
      <c r="D1178" s="52">
        <v>2027.2</v>
      </c>
      <c r="E1178" s="35">
        <v>44631</v>
      </c>
      <c r="F1178" s="52">
        <v>2027.2</v>
      </c>
      <c r="G1178" s="53">
        <f>Tabla14[[#This Row],[Importe]]-Tabla14[[#This Row],[Pagado]]</f>
        <v>0</v>
      </c>
      <c r="H1178" s="37" t="s">
        <v>10</v>
      </c>
    </row>
    <row r="1179" spans="1:8" x14ac:dyDescent="0.25">
      <c r="A1179" s="31">
        <v>44631</v>
      </c>
      <c r="B1179" s="37" t="s">
        <v>8206</v>
      </c>
      <c r="C1179" s="51" t="s">
        <v>857</v>
      </c>
      <c r="D1179" s="52">
        <v>1406.2</v>
      </c>
      <c r="E1179" s="35">
        <v>44631</v>
      </c>
      <c r="F1179" s="52">
        <v>1406.2</v>
      </c>
      <c r="G1179" s="53">
        <f>Tabla14[[#This Row],[Importe]]-Tabla14[[#This Row],[Pagado]]</f>
        <v>0</v>
      </c>
      <c r="H1179" s="37" t="s">
        <v>10</v>
      </c>
    </row>
    <row r="1180" spans="1:8" x14ac:dyDescent="0.25">
      <c r="A1180" s="31">
        <v>44631</v>
      </c>
      <c r="B1180" s="37" t="s">
        <v>8207</v>
      </c>
      <c r="C1180" s="51" t="s">
        <v>191</v>
      </c>
      <c r="D1180" s="52">
        <v>1223.8</v>
      </c>
      <c r="E1180" s="35">
        <v>44631</v>
      </c>
      <c r="F1180" s="52">
        <v>1223.8</v>
      </c>
      <c r="G1180" s="53">
        <f>Tabla14[[#This Row],[Importe]]-Tabla14[[#This Row],[Pagado]]</f>
        <v>0</v>
      </c>
      <c r="H1180" s="37" t="s">
        <v>10</v>
      </c>
    </row>
    <row r="1181" spans="1:8" x14ac:dyDescent="0.25">
      <c r="A1181" s="31">
        <v>44631</v>
      </c>
      <c r="B1181" s="37" t="s">
        <v>8208</v>
      </c>
      <c r="C1181" s="51" t="s">
        <v>51</v>
      </c>
      <c r="D1181" s="52">
        <v>1036</v>
      </c>
      <c r="E1181" s="35">
        <v>44631</v>
      </c>
      <c r="F1181" s="52">
        <v>1036</v>
      </c>
      <c r="G1181" s="53">
        <f>Tabla14[[#This Row],[Importe]]-Tabla14[[#This Row],[Pagado]]</f>
        <v>0</v>
      </c>
      <c r="H1181" s="37" t="s">
        <v>10</v>
      </c>
    </row>
    <row r="1182" spans="1:8" x14ac:dyDescent="0.25">
      <c r="A1182" s="31">
        <v>44631</v>
      </c>
      <c r="B1182" s="37" t="s">
        <v>8209</v>
      </c>
      <c r="C1182" s="51" t="s">
        <v>1421</v>
      </c>
      <c r="D1182" s="52">
        <v>28386</v>
      </c>
      <c r="E1182" s="35">
        <v>44631</v>
      </c>
      <c r="F1182" s="52">
        <v>28386</v>
      </c>
      <c r="G1182" s="53">
        <f>Tabla14[[#This Row],[Importe]]-Tabla14[[#This Row],[Pagado]]</f>
        <v>0</v>
      </c>
      <c r="H1182" s="37" t="s">
        <v>10</v>
      </c>
    </row>
    <row r="1183" spans="1:8" x14ac:dyDescent="0.25">
      <c r="A1183" s="31">
        <v>44631</v>
      </c>
      <c r="B1183" s="37" t="s">
        <v>8210</v>
      </c>
      <c r="C1183" s="51" t="s">
        <v>71</v>
      </c>
      <c r="D1183" s="52">
        <v>856.9</v>
      </c>
      <c r="E1183" s="35">
        <v>44631</v>
      </c>
      <c r="F1183" s="52">
        <v>856.9</v>
      </c>
      <c r="G1183" s="53">
        <f>Tabla14[[#This Row],[Importe]]-Tabla14[[#This Row],[Pagado]]</f>
        <v>0</v>
      </c>
      <c r="H1183" s="37" t="s">
        <v>10</v>
      </c>
    </row>
    <row r="1184" spans="1:8" x14ac:dyDescent="0.25">
      <c r="A1184" s="31">
        <v>44631</v>
      </c>
      <c r="B1184" s="37" t="s">
        <v>8211</v>
      </c>
      <c r="C1184" s="51" t="s">
        <v>135</v>
      </c>
      <c r="D1184" s="52">
        <v>2682.9</v>
      </c>
      <c r="E1184" s="35">
        <v>44631</v>
      </c>
      <c r="F1184" s="52">
        <v>2682.9</v>
      </c>
      <c r="G1184" s="53">
        <f>Tabla14[[#This Row],[Importe]]-Tabla14[[#This Row],[Pagado]]</f>
        <v>0</v>
      </c>
      <c r="H1184" s="37" t="s">
        <v>10</v>
      </c>
    </row>
    <row r="1185" spans="1:8" x14ac:dyDescent="0.25">
      <c r="A1185" s="31">
        <v>44631</v>
      </c>
      <c r="B1185" s="37" t="s">
        <v>8212</v>
      </c>
      <c r="C1185" s="51" t="s">
        <v>275</v>
      </c>
      <c r="D1185" s="52">
        <v>196601.9</v>
      </c>
      <c r="E1185" s="35">
        <v>44638</v>
      </c>
      <c r="F1185" s="52">
        <v>196601.9</v>
      </c>
      <c r="G1185" s="53">
        <f>Tabla14[[#This Row],[Importe]]-Tabla14[[#This Row],[Pagado]]</f>
        <v>0</v>
      </c>
      <c r="H1185" s="37" t="s">
        <v>10</v>
      </c>
    </row>
    <row r="1186" spans="1:8" x14ac:dyDescent="0.25">
      <c r="A1186" s="31">
        <v>44631</v>
      </c>
      <c r="B1186" s="37" t="s">
        <v>8213</v>
      </c>
      <c r="C1186" s="51" t="s">
        <v>107</v>
      </c>
      <c r="D1186" s="52">
        <v>7660.8</v>
      </c>
      <c r="E1186" s="35">
        <v>44631</v>
      </c>
      <c r="F1186" s="52">
        <v>7660.8</v>
      </c>
      <c r="G1186" s="53">
        <f>Tabla14[[#This Row],[Importe]]-Tabla14[[#This Row],[Pagado]]</f>
        <v>0</v>
      </c>
      <c r="H1186" s="37" t="s">
        <v>10</v>
      </c>
    </row>
    <row r="1187" spans="1:8" x14ac:dyDescent="0.25">
      <c r="A1187" s="31">
        <v>44631</v>
      </c>
      <c r="B1187" s="37" t="s">
        <v>8214</v>
      </c>
      <c r="C1187" s="51" t="s">
        <v>62</v>
      </c>
      <c r="D1187" s="52">
        <v>3186.3</v>
      </c>
      <c r="E1187" s="35">
        <v>44631</v>
      </c>
      <c r="F1187" s="52">
        <v>3186.3</v>
      </c>
      <c r="G1187" s="53">
        <f>Tabla14[[#This Row],[Importe]]-Tabla14[[#This Row],[Pagado]]</f>
        <v>0</v>
      </c>
      <c r="H1187" s="37" t="s">
        <v>10</v>
      </c>
    </row>
    <row r="1188" spans="1:8" x14ac:dyDescent="0.25">
      <c r="A1188" s="31">
        <v>44631</v>
      </c>
      <c r="B1188" s="37" t="s">
        <v>8215</v>
      </c>
      <c r="C1188" s="51" t="s">
        <v>142</v>
      </c>
      <c r="D1188" s="52">
        <v>8163.9</v>
      </c>
      <c r="E1188" s="35">
        <v>44670</v>
      </c>
      <c r="F1188" s="52">
        <v>8163.9</v>
      </c>
      <c r="G1188" s="53">
        <f>Tabla14[[#This Row],[Importe]]-Tabla14[[#This Row],[Pagado]]</f>
        <v>0</v>
      </c>
      <c r="H1188" s="37" t="s">
        <v>10</v>
      </c>
    </row>
    <row r="1189" spans="1:8" x14ac:dyDescent="0.25">
      <c r="A1189" s="31">
        <v>44631</v>
      </c>
      <c r="B1189" s="37" t="s">
        <v>8216</v>
      </c>
      <c r="C1189" s="51" t="s">
        <v>9</v>
      </c>
      <c r="D1189" s="52">
        <v>3417.5</v>
      </c>
      <c r="E1189" s="35">
        <v>44631</v>
      </c>
      <c r="F1189" s="52">
        <v>3417.5</v>
      </c>
      <c r="G1189" s="53">
        <f>Tabla14[[#This Row],[Importe]]-Tabla14[[#This Row],[Pagado]]</f>
        <v>0</v>
      </c>
      <c r="H1189" s="37" t="s">
        <v>10</v>
      </c>
    </row>
    <row r="1190" spans="1:8" x14ac:dyDescent="0.25">
      <c r="A1190" s="31">
        <v>44631</v>
      </c>
      <c r="B1190" s="37" t="s">
        <v>8217</v>
      </c>
      <c r="C1190" s="51" t="s">
        <v>16</v>
      </c>
      <c r="D1190" s="52">
        <v>1770.6</v>
      </c>
      <c r="E1190" s="35">
        <v>44631</v>
      </c>
      <c r="F1190" s="52">
        <v>1770.6</v>
      </c>
      <c r="G1190" s="53">
        <f>Tabla14[[#This Row],[Importe]]-Tabla14[[#This Row],[Pagado]]</f>
        <v>0</v>
      </c>
      <c r="H1190" s="37" t="s">
        <v>10</v>
      </c>
    </row>
    <row r="1191" spans="1:8" x14ac:dyDescent="0.25">
      <c r="A1191" s="31">
        <v>44631</v>
      </c>
      <c r="B1191" s="37" t="s">
        <v>8218</v>
      </c>
      <c r="C1191" s="51" t="s">
        <v>269</v>
      </c>
      <c r="D1191" s="52">
        <v>3857.1</v>
      </c>
      <c r="E1191" s="35">
        <v>44631</v>
      </c>
      <c r="F1191" s="52">
        <v>3857.1</v>
      </c>
      <c r="G1191" s="53">
        <f>Tabla14[[#This Row],[Importe]]-Tabla14[[#This Row],[Pagado]]</f>
        <v>0</v>
      </c>
      <c r="H1191" s="37" t="s">
        <v>10</v>
      </c>
    </row>
    <row r="1192" spans="1:8" x14ac:dyDescent="0.25">
      <c r="A1192" s="31">
        <v>44631</v>
      </c>
      <c r="B1192" s="37" t="s">
        <v>8219</v>
      </c>
      <c r="C1192" s="51" t="s">
        <v>246</v>
      </c>
      <c r="D1192" s="52">
        <v>26778.3</v>
      </c>
      <c r="E1192" s="35">
        <v>44631</v>
      </c>
      <c r="F1192" s="52">
        <v>26778.3</v>
      </c>
      <c r="G1192" s="53">
        <f>Tabla14[[#This Row],[Importe]]-Tabla14[[#This Row],[Pagado]]</f>
        <v>0</v>
      </c>
      <c r="H1192" s="37" t="s">
        <v>10</v>
      </c>
    </row>
    <row r="1193" spans="1:8" x14ac:dyDescent="0.25">
      <c r="A1193" s="31">
        <v>44631</v>
      </c>
      <c r="B1193" s="37" t="s">
        <v>8220</v>
      </c>
      <c r="C1193" s="51" t="s">
        <v>31</v>
      </c>
      <c r="D1193" s="52">
        <v>526.4</v>
      </c>
      <c r="E1193" s="35">
        <v>44631</v>
      </c>
      <c r="F1193" s="52">
        <v>526.4</v>
      </c>
      <c r="G1193" s="53">
        <f>Tabla14[[#This Row],[Importe]]-Tabla14[[#This Row],[Pagado]]</f>
        <v>0</v>
      </c>
      <c r="H1193" s="37" t="s">
        <v>10</v>
      </c>
    </row>
    <row r="1194" spans="1:8" x14ac:dyDescent="0.25">
      <c r="A1194" s="31">
        <v>44631</v>
      </c>
      <c r="B1194" s="37" t="s">
        <v>8221</v>
      </c>
      <c r="C1194" s="51" t="s">
        <v>31</v>
      </c>
      <c r="D1194" s="52">
        <v>448</v>
      </c>
      <c r="E1194" s="35">
        <v>44631</v>
      </c>
      <c r="F1194" s="52">
        <v>448</v>
      </c>
      <c r="G1194" s="53">
        <f>Tabla14[[#This Row],[Importe]]-Tabla14[[#This Row],[Pagado]]</f>
        <v>0</v>
      </c>
      <c r="H1194" s="37" t="s">
        <v>10</v>
      </c>
    </row>
    <row r="1195" spans="1:8" x14ac:dyDescent="0.25">
      <c r="A1195" s="31">
        <v>44631</v>
      </c>
      <c r="B1195" s="37" t="s">
        <v>8222</v>
      </c>
      <c r="C1195" s="51" t="s">
        <v>196</v>
      </c>
      <c r="D1195" s="52">
        <v>84276.9</v>
      </c>
      <c r="E1195" s="35">
        <v>44638</v>
      </c>
      <c r="F1195" s="52">
        <v>84276.9</v>
      </c>
      <c r="G1195" s="53">
        <f>Tabla14[[#This Row],[Importe]]-Tabla14[[#This Row],[Pagado]]</f>
        <v>0</v>
      </c>
      <c r="H1195" s="37" t="s">
        <v>10</v>
      </c>
    </row>
    <row r="1196" spans="1:8" x14ac:dyDescent="0.25">
      <c r="A1196" s="31">
        <v>44631</v>
      </c>
      <c r="B1196" s="37" t="s">
        <v>8223</v>
      </c>
      <c r="C1196" s="51" t="s">
        <v>576</v>
      </c>
      <c r="D1196" s="52">
        <v>3655</v>
      </c>
      <c r="E1196" s="35">
        <v>44631</v>
      </c>
      <c r="F1196" s="52">
        <v>3655</v>
      </c>
      <c r="G1196" s="53">
        <f>Tabla14[[#This Row],[Importe]]-Tabla14[[#This Row],[Pagado]]</f>
        <v>0</v>
      </c>
      <c r="H1196" s="37" t="s">
        <v>10</v>
      </c>
    </row>
    <row r="1197" spans="1:8" x14ac:dyDescent="0.25">
      <c r="A1197" s="31">
        <v>44631</v>
      </c>
      <c r="B1197" s="37" t="s">
        <v>8224</v>
      </c>
      <c r="C1197" s="51" t="s">
        <v>31</v>
      </c>
      <c r="D1197" s="52">
        <v>2811.2</v>
      </c>
      <c r="E1197" s="35">
        <v>44631</v>
      </c>
      <c r="F1197" s="52">
        <v>2811.2</v>
      </c>
      <c r="G1197" s="53">
        <f>Tabla14[[#This Row],[Importe]]-Tabla14[[#This Row],[Pagado]]</f>
        <v>0</v>
      </c>
      <c r="H1197" s="37" t="s">
        <v>10</v>
      </c>
    </row>
    <row r="1198" spans="1:8" x14ac:dyDescent="0.25">
      <c r="A1198" s="31">
        <v>44631</v>
      </c>
      <c r="B1198" s="37" t="s">
        <v>8225</v>
      </c>
      <c r="C1198" s="51" t="s">
        <v>664</v>
      </c>
      <c r="D1198" s="52">
        <v>18571.599999999999</v>
      </c>
      <c r="E1198" s="35">
        <v>44631</v>
      </c>
      <c r="F1198" s="52">
        <v>18571.599999999999</v>
      </c>
      <c r="G1198" s="53">
        <f>Tabla14[[#This Row],[Importe]]-Tabla14[[#This Row],[Pagado]]</f>
        <v>0</v>
      </c>
      <c r="H1198" s="37" t="s">
        <v>10</v>
      </c>
    </row>
    <row r="1199" spans="1:8" x14ac:dyDescent="0.25">
      <c r="A1199" s="31">
        <v>44631</v>
      </c>
      <c r="B1199" s="37" t="s">
        <v>8226</v>
      </c>
      <c r="C1199" s="51" t="s">
        <v>31</v>
      </c>
      <c r="D1199" s="52">
        <v>403.1</v>
      </c>
      <c r="E1199" s="35">
        <v>44631</v>
      </c>
      <c r="F1199" s="52">
        <v>403.1</v>
      </c>
      <c r="G1199" s="53">
        <f>Tabla14[[#This Row],[Importe]]-Tabla14[[#This Row],[Pagado]]</f>
        <v>0</v>
      </c>
      <c r="H1199" s="37" t="s">
        <v>10</v>
      </c>
    </row>
    <row r="1200" spans="1:8" x14ac:dyDescent="0.25">
      <c r="A1200" s="31">
        <v>44631</v>
      </c>
      <c r="B1200" s="37" t="s">
        <v>8227</v>
      </c>
      <c r="C1200" s="51" t="s">
        <v>7444</v>
      </c>
      <c r="D1200" s="52">
        <v>8975.86</v>
      </c>
      <c r="E1200" s="35">
        <v>44631</v>
      </c>
      <c r="F1200" s="52">
        <v>8975.86</v>
      </c>
      <c r="G1200" s="53">
        <f>Tabla14[[#This Row],[Importe]]-Tabla14[[#This Row],[Pagado]]</f>
        <v>0</v>
      </c>
      <c r="H1200" s="37" t="s">
        <v>10</v>
      </c>
    </row>
    <row r="1201" spans="1:8" x14ac:dyDescent="0.25">
      <c r="A1201" s="31">
        <v>44631</v>
      </c>
      <c r="B1201" s="37" t="s">
        <v>8228</v>
      </c>
      <c r="C1201" s="51" t="s">
        <v>31</v>
      </c>
      <c r="D1201" s="52">
        <v>204.4</v>
      </c>
      <c r="E1201" s="35">
        <v>44631</v>
      </c>
      <c r="F1201" s="52">
        <v>204.4</v>
      </c>
      <c r="G1201" s="53">
        <f>Tabla14[[#This Row],[Importe]]-Tabla14[[#This Row],[Pagado]]</f>
        <v>0</v>
      </c>
      <c r="H1201" s="37" t="s">
        <v>10</v>
      </c>
    </row>
    <row r="1202" spans="1:8" x14ac:dyDescent="0.25">
      <c r="A1202" s="31">
        <v>44631</v>
      </c>
      <c r="B1202" s="37" t="s">
        <v>8229</v>
      </c>
      <c r="C1202" s="51" t="s">
        <v>284</v>
      </c>
      <c r="D1202" s="52">
        <v>8836.7999999999993</v>
      </c>
      <c r="E1202" s="35">
        <v>44632</v>
      </c>
      <c r="F1202" s="52">
        <v>8836.7999999999993</v>
      </c>
      <c r="G1202" s="53">
        <f>Tabla14[[#This Row],[Importe]]-Tabla14[[#This Row],[Pagado]]</f>
        <v>0</v>
      </c>
      <c r="H1202" s="37" t="s">
        <v>10</v>
      </c>
    </row>
    <row r="1203" spans="1:8" x14ac:dyDescent="0.25">
      <c r="A1203" s="31">
        <v>44631</v>
      </c>
      <c r="B1203" s="37" t="s">
        <v>8230</v>
      </c>
      <c r="C1203" s="51" t="s">
        <v>5345</v>
      </c>
      <c r="D1203" s="52">
        <v>1629.6</v>
      </c>
      <c r="E1203" s="35">
        <v>44632</v>
      </c>
      <c r="F1203" s="52">
        <v>1629.6</v>
      </c>
      <c r="G1203" s="53">
        <f>Tabla14[[#This Row],[Importe]]-Tabla14[[#This Row],[Pagado]]</f>
        <v>0</v>
      </c>
      <c r="H1203" s="37" t="s">
        <v>10</v>
      </c>
    </row>
    <row r="1204" spans="1:8" x14ac:dyDescent="0.25">
      <c r="A1204" s="31">
        <v>44631</v>
      </c>
      <c r="B1204" s="37" t="s">
        <v>8231</v>
      </c>
      <c r="C1204" s="51" t="s">
        <v>282</v>
      </c>
      <c r="D1204" s="52">
        <v>5527.2</v>
      </c>
      <c r="E1204" s="35">
        <v>44632</v>
      </c>
      <c r="F1204" s="52">
        <v>5527.2</v>
      </c>
      <c r="G1204" s="53">
        <f>Tabla14[[#This Row],[Importe]]-Tabla14[[#This Row],[Pagado]]</f>
        <v>0</v>
      </c>
      <c r="H1204" s="37" t="s">
        <v>10</v>
      </c>
    </row>
    <row r="1205" spans="1:8" x14ac:dyDescent="0.25">
      <c r="A1205" s="31">
        <v>44631</v>
      </c>
      <c r="B1205" s="37" t="s">
        <v>8232</v>
      </c>
      <c r="C1205" s="51" t="s">
        <v>872</v>
      </c>
      <c r="D1205" s="52">
        <v>1316</v>
      </c>
      <c r="E1205" s="35">
        <v>44631</v>
      </c>
      <c r="F1205" s="52">
        <v>1316</v>
      </c>
      <c r="G1205" s="53">
        <f>Tabla14[[#This Row],[Importe]]-Tabla14[[#This Row],[Pagado]]</f>
        <v>0</v>
      </c>
      <c r="H1205" s="37" t="s">
        <v>10</v>
      </c>
    </row>
    <row r="1206" spans="1:8" x14ac:dyDescent="0.25">
      <c r="A1206" s="31">
        <v>44631</v>
      </c>
      <c r="B1206" s="37" t="s">
        <v>8233</v>
      </c>
      <c r="C1206" s="51" t="s">
        <v>280</v>
      </c>
      <c r="D1206" s="52">
        <v>1008</v>
      </c>
      <c r="E1206" s="35">
        <v>44632</v>
      </c>
      <c r="F1206" s="52">
        <v>1008</v>
      </c>
      <c r="G1206" s="53">
        <f>Tabla14[[#This Row],[Importe]]-Tabla14[[#This Row],[Pagado]]</f>
        <v>0</v>
      </c>
      <c r="H1206" s="37" t="s">
        <v>10</v>
      </c>
    </row>
    <row r="1207" spans="1:8" x14ac:dyDescent="0.25">
      <c r="A1207" s="31">
        <v>44631</v>
      </c>
      <c r="B1207" s="37" t="s">
        <v>8234</v>
      </c>
      <c r="C1207" s="51" t="s">
        <v>179</v>
      </c>
      <c r="D1207" s="52">
        <v>1097.5999999999999</v>
      </c>
      <c r="E1207" s="35">
        <v>44632</v>
      </c>
      <c r="F1207" s="52">
        <v>1097.5999999999999</v>
      </c>
      <c r="G1207" s="53">
        <f>Tabla14[[#This Row],[Importe]]-Tabla14[[#This Row],[Pagado]]</f>
        <v>0</v>
      </c>
      <c r="H1207" s="37" t="s">
        <v>10</v>
      </c>
    </row>
    <row r="1208" spans="1:8" x14ac:dyDescent="0.25">
      <c r="A1208" s="31">
        <v>44631</v>
      </c>
      <c r="B1208" s="37" t="s">
        <v>8235</v>
      </c>
      <c r="C1208" s="51" t="s">
        <v>31</v>
      </c>
      <c r="D1208" s="52">
        <v>375</v>
      </c>
      <c r="E1208" s="35">
        <v>44631</v>
      </c>
      <c r="F1208" s="52">
        <v>375</v>
      </c>
      <c r="G1208" s="53">
        <f>Tabla14[[#This Row],[Importe]]-Tabla14[[#This Row],[Pagado]]</f>
        <v>0</v>
      </c>
      <c r="H1208" s="37" t="s">
        <v>10</v>
      </c>
    </row>
    <row r="1209" spans="1:8" x14ac:dyDescent="0.25">
      <c r="A1209" s="31">
        <v>44631</v>
      </c>
      <c r="B1209" s="37" t="s">
        <v>8236</v>
      </c>
      <c r="C1209" s="51" t="s">
        <v>1008</v>
      </c>
      <c r="D1209" s="52">
        <v>1176</v>
      </c>
      <c r="E1209" s="35">
        <v>44631</v>
      </c>
      <c r="F1209" s="52">
        <v>1176</v>
      </c>
      <c r="G1209" s="53">
        <f>Tabla14[[#This Row],[Importe]]-Tabla14[[#This Row],[Pagado]]</f>
        <v>0</v>
      </c>
      <c r="H1209" s="37" t="s">
        <v>10</v>
      </c>
    </row>
    <row r="1210" spans="1:8" x14ac:dyDescent="0.25">
      <c r="A1210" s="31">
        <v>44631</v>
      </c>
      <c r="B1210" s="37" t="s">
        <v>8237</v>
      </c>
      <c r="C1210" s="51" t="s">
        <v>31</v>
      </c>
      <c r="D1210" s="52">
        <v>196</v>
      </c>
      <c r="E1210" s="35">
        <v>44631</v>
      </c>
      <c r="F1210" s="52">
        <v>196</v>
      </c>
      <c r="G1210" s="53">
        <f>Tabla14[[#This Row],[Importe]]-Tabla14[[#This Row],[Pagado]]</f>
        <v>0</v>
      </c>
      <c r="H1210" s="37" t="s">
        <v>10</v>
      </c>
    </row>
    <row r="1211" spans="1:8" x14ac:dyDescent="0.25">
      <c r="A1211" s="31">
        <v>44631</v>
      </c>
      <c r="B1211" s="37" t="s">
        <v>8238</v>
      </c>
      <c r="C1211" s="51" t="s">
        <v>7313</v>
      </c>
      <c r="D1211" s="52">
        <v>2146.5</v>
      </c>
      <c r="E1211" s="35">
        <v>44631</v>
      </c>
      <c r="F1211" s="52">
        <v>2146.5</v>
      </c>
      <c r="G1211" s="53">
        <f>Tabla14[[#This Row],[Importe]]-Tabla14[[#This Row],[Pagado]]</f>
        <v>0</v>
      </c>
      <c r="H1211" s="37" t="s">
        <v>10</v>
      </c>
    </row>
    <row r="1212" spans="1:8" x14ac:dyDescent="0.25">
      <c r="A1212" s="31">
        <v>44631</v>
      </c>
      <c r="B1212" s="37" t="s">
        <v>8239</v>
      </c>
      <c r="C1212" s="51" t="s">
        <v>8240</v>
      </c>
      <c r="D1212" s="52">
        <v>5346</v>
      </c>
      <c r="E1212" s="35">
        <v>44631</v>
      </c>
      <c r="F1212" s="52">
        <v>5346</v>
      </c>
      <c r="G1212" s="53">
        <f>Tabla14[[#This Row],[Importe]]-Tabla14[[#This Row],[Pagado]]</f>
        <v>0</v>
      </c>
      <c r="H1212" s="37" t="s">
        <v>10</v>
      </c>
    </row>
    <row r="1213" spans="1:8" x14ac:dyDescent="0.25">
      <c r="A1213" s="31">
        <v>44631</v>
      </c>
      <c r="B1213" s="37" t="s">
        <v>8241</v>
      </c>
      <c r="C1213" s="51" t="s">
        <v>56</v>
      </c>
      <c r="D1213" s="52">
        <v>6281.4</v>
      </c>
      <c r="E1213" s="35">
        <v>44631</v>
      </c>
      <c r="F1213" s="52">
        <v>6281.4</v>
      </c>
      <c r="G1213" s="53">
        <f>Tabla14[[#This Row],[Importe]]-Tabla14[[#This Row],[Pagado]]</f>
        <v>0</v>
      </c>
      <c r="H1213" s="37" t="s">
        <v>10</v>
      </c>
    </row>
    <row r="1214" spans="1:8" x14ac:dyDescent="0.25">
      <c r="A1214" s="31">
        <v>44631</v>
      </c>
      <c r="B1214" s="37" t="s">
        <v>8242</v>
      </c>
      <c r="C1214" s="51" t="s">
        <v>56</v>
      </c>
      <c r="D1214" s="52">
        <v>881.4</v>
      </c>
      <c r="E1214" s="35">
        <v>44631</v>
      </c>
      <c r="F1214" s="52">
        <v>881.4</v>
      </c>
      <c r="G1214" s="53">
        <f>Tabla14[[#This Row],[Importe]]-Tabla14[[#This Row],[Pagado]]</f>
        <v>0</v>
      </c>
      <c r="H1214" s="37" t="s">
        <v>10</v>
      </c>
    </row>
    <row r="1215" spans="1:8" x14ac:dyDescent="0.25">
      <c r="A1215" s="31">
        <v>44631</v>
      </c>
      <c r="B1215" s="37" t="s">
        <v>8243</v>
      </c>
      <c r="C1215" s="51" t="s">
        <v>31</v>
      </c>
      <c r="D1215" s="52">
        <v>380.8</v>
      </c>
      <c r="E1215" s="35">
        <v>44631</v>
      </c>
      <c r="F1215" s="52">
        <v>380.8</v>
      </c>
      <c r="G1215" s="53">
        <f>Tabla14[[#This Row],[Importe]]-Tabla14[[#This Row],[Pagado]]</f>
        <v>0</v>
      </c>
      <c r="H1215" s="37" t="s">
        <v>10</v>
      </c>
    </row>
    <row r="1216" spans="1:8" x14ac:dyDescent="0.25">
      <c r="A1216" s="31">
        <v>44632</v>
      </c>
      <c r="B1216" s="37" t="s">
        <v>8244</v>
      </c>
      <c r="C1216" s="51" t="s">
        <v>887</v>
      </c>
      <c r="D1216" s="52">
        <v>21079</v>
      </c>
      <c r="E1216" s="35">
        <v>44634</v>
      </c>
      <c r="F1216" s="52">
        <v>21079</v>
      </c>
      <c r="G1216" s="53">
        <f>Tabla14[[#This Row],[Importe]]-Tabla14[[#This Row],[Pagado]]</f>
        <v>0</v>
      </c>
      <c r="H1216" s="37" t="s">
        <v>10</v>
      </c>
    </row>
    <row r="1217" spans="1:8" x14ac:dyDescent="0.25">
      <c r="A1217" s="31">
        <v>44632</v>
      </c>
      <c r="B1217" s="37" t="s">
        <v>8245</v>
      </c>
      <c r="C1217" s="51" t="s">
        <v>31</v>
      </c>
      <c r="D1217" s="52">
        <v>5209.3999999999996</v>
      </c>
      <c r="E1217" s="35">
        <v>44632</v>
      </c>
      <c r="F1217" s="52">
        <v>5209.3999999999996</v>
      </c>
      <c r="G1217" s="53">
        <f>Tabla14[[#This Row],[Importe]]-Tabla14[[#This Row],[Pagado]]</f>
        <v>0</v>
      </c>
      <c r="H1217" s="37" t="s">
        <v>10</v>
      </c>
    </row>
    <row r="1218" spans="1:8" x14ac:dyDescent="0.25">
      <c r="A1218" s="31">
        <v>44632</v>
      </c>
      <c r="B1218" s="37" t="s">
        <v>8246</v>
      </c>
      <c r="C1218" s="51" t="s">
        <v>475</v>
      </c>
      <c r="D1218" s="52">
        <v>58449.2</v>
      </c>
      <c r="E1218" s="35">
        <v>44633</v>
      </c>
      <c r="F1218" s="52">
        <v>58449.2</v>
      </c>
      <c r="G1218" s="53">
        <f>Tabla14[[#This Row],[Importe]]-Tabla14[[#This Row],[Pagado]]</f>
        <v>0</v>
      </c>
      <c r="H1218" s="37" t="s">
        <v>10</v>
      </c>
    </row>
    <row r="1219" spans="1:8" x14ac:dyDescent="0.25">
      <c r="A1219" s="31">
        <v>44632</v>
      </c>
      <c r="B1219" s="37" t="s">
        <v>8247</v>
      </c>
      <c r="C1219" s="51" t="s">
        <v>12</v>
      </c>
      <c r="D1219" s="52">
        <v>53966.65</v>
      </c>
      <c r="E1219" s="35">
        <v>44633</v>
      </c>
      <c r="F1219" s="52">
        <v>53966.65</v>
      </c>
      <c r="G1219" s="53">
        <f>Tabla14[[#This Row],[Importe]]-Tabla14[[#This Row],[Pagado]]</f>
        <v>0</v>
      </c>
      <c r="H1219" s="37" t="s">
        <v>10</v>
      </c>
    </row>
    <row r="1220" spans="1:8" x14ac:dyDescent="0.25">
      <c r="A1220" s="31">
        <v>44632</v>
      </c>
      <c r="B1220" s="37" t="s">
        <v>8248</v>
      </c>
      <c r="C1220" s="51" t="s">
        <v>85</v>
      </c>
      <c r="D1220" s="52">
        <v>1820</v>
      </c>
      <c r="E1220" s="35">
        <v>44632</v>
      </c>
      <c r="F1220" s="52">
        <v>1820</v>
      </c>
      <c r="G1220" s="53">
        <f>Tabla14[[#This Row],[Importe]]-Tabla14[[#This Row],[Pagado]]</f>
        <v>0</v>
      </c>
      <c r="H1220" s="37" t="s">
        <v>10</v>
      </c>
    </row>
    <row r="1221" spans="1:8" x14ac:dyDescent="0.25">
      <c r="A1221" s="31">
        <v>44632</v>
      </c>
      <c r="B1221" s="37" t="s">
        <v>8249</v>
      </c>
      <c r="C1221" s="51" t="s">
        <v>481</v>
      </c>
      <c r="D1221" s="52">
        <v>818.6</v>
      </c>
      <c r="E1221" s="35">
        <v>44632</v>
      </c>
      <c r="F1221" s="52">
        <v>818.6</v>
      </c>
      <c r="G1221" s="53">
        <f>Tabla14[[#This Row],[Importe]]-Tabla14[[#This Row],[Pagado]]</f>
        <v>0</v>
      </c>
      <c r="H1221" s="37" t="s">
        <v>10</v>
      </c>
    </row>
    <row r="1222" spans="1:8" x14ac:dyDescent="0.25">
      <c r="A1222" s="31">
        <v>44632</v>
      </c>
      <c r="B1222" s="37" t="s">
        <v>8250</v>
      </c>
      <c r="C1222" s="51" t="s">
        <v>24</v>
      </c>
      <c r="D1222" s="52">
        <v>3280.1</v>
      </c>
      <c r="E1222" s="35">
        <v>44632</v>
      </c>
      <c r="F1222" s="52">
        <v>3280.1</v>
      </c>
      <c r="G1222" s="53">
        <f>Tabla14[[#This Row],[Importe]]-Tabla14[[#This Row],[Pagado]]</f>
        <v>0</v>
      </c>
      <c r="H1222" s="37" t="s">
        <v>10</v>
      </c>
    </row>
    <row r="1223" spans="1:8" ht="31.5" x14ac:dyDescent="0.25">
      <c r="A1223" s="31">
        <v>44632</v>
      </c>
      <c r="B1223" s="37" t="s">
        <v>8251</v>
      </c>
      <c r="C1223" s="51" t="s">
        <v>75</v>
      </c>
      <c r="D1223" s="52">
        <v>17460.8</v>
      </c>
      <c r="E1223" s="35" t="s">
        <v>8137</v>
      </c>
      <c r="F1223" s="52">
        <f>7868+9592.8</f>
        <v>17460.8</v>
      </c>
      <c r="G1223" s="53">
        <f>Tabla14[[#This Row],[Importe]]-Tabla14[[#This Row],[Pagado]]</f>
        <v>0</v>
      </c>
      <c r="H1223" s="37" t="s">
        <v>10</v>
      </c>
    </row>
    <row r="1224" spans="1:8" x14ac:dyDescent="0.25">
      <c r="A1224" s="31">
        <v>44632</v>
      </c>
      <c r="B1224" s="37" t="s">
        <v>8252</v>
      </c>
      <c r="C1224" s="51" t="s">
        <v>31</v>
      </c>
      <c r="D1224" s="52">
        <v>3009.6</v>
      </c>
      <c r="E1224" s="35">
        <v>44632</v>
      </c>
      <c r="F1224" s="52">
        <v>3009.6</v>
      </c>
      <c r="G1224" s="53">
        <f>Tabla14[[#This Row],[Importe]]-Tabla14[[#This Row],[Pagado]]</f>
        <v>0</v>
      </c>
      <c r="H1224" s="37" t="s">
        <v>10</v>
      </c>
    </row>
    <row r="1225" spans="1:8" ht="31.5" x14ac:dyDescent="0.25">
      <c r="A1225" s="31">
        <v>44632</v>
      </c>
      <c r="B1225" s="37" t="s">
        <v>8253</v>
      </c>
      <c r="C1225" s="51" t="s">
        <v>22</v>
      </c>
      <c r="D1225" s="52">
        <v>59883.9</v>
      </c>
      <c r="E1225" s="35" t="s">
        <v>8254</v>
      </c>
      <c r="F1225" s="52">
        <f>45000+14883.9</f>
        <v>59883.9</v>
      </c>
      <c r="G1225" s="53">
        <f>Tabla14[[#This Row],[Importe]]-Tabla14[[#This Row],[Pagado]]</f>
        <v>0</v>
      </c>
      <c r="H1225" s="37" t="s">
        <v>10</v>
      </c>
    </row>
    <row r="1226" spans="1:8" x14ac:dyDescent="0.25">
      <c r="A1226" s="31">
        <v>44632</v>
      </c>
      <c r="B1226" s="37" t="s">
        <v>8255</v>
      </c>
      <c r="C1226" s="51" t="s">
        <v>18</v>
      </c>
      <c r="D1226" s="52">
        <v>1363</v>
      </c>
      <c r="E1226" s="35">
        <v>44632</v>
      </c>
      <c r="F1226" s="52">
        <v>1363</v>
      </c>
      <c r="G1226" s="53">
        <f>Tabla14[[#This Row],[Importe]]-Tabla14[[#This Row],[Pagado]]</f>
        <v>0</v>
      </c>
      <c r="H1226" s="37" t="s">
        <v>10</v>
      </c>
    </row>
    <row r="1227" spans="1:8" x14ac:dyDescent="0.25">
      <c r="A1227" s="31">
        <v>44632</v>
      </c>
      <c r="B1227" s="37" t="s">
        <v>8256</v>
      </c>
      <c r="C1227" s="51" t="s">
        <v>8257</v>
      </c>
      <c r="D1227" s="52">
        <v>3915.1</v>
      </c>
      <c r="E1227" s="35">
        <v>44632</v>
      </c>
      <c r="F1227" s="52">
        <v>3915.1</v>
      </c>
      <c r="G1227" s="53">
        <f>Tabla14[[#This Row],[Importe]]-Tabla14[[#This Row],[Pagado]]</f>
        <v>0</v>
      </c>
      <c r="H1227" s="37" t="s">
        <v>10</v>
      </c>
    </row>
    <row r="1228" spans="1:8" x14ac:dyDescent="0.25">
      <c r="A1228" s="31">
        <v>44632</v>
      </c>
      <c r="B1228" s="37" t="s">
        <v>8258</v>
      </c>
      <c r="C1228" s="51" t="s">
        <v>111</v>
      </c>
      <c r="D1228" s="52">
        <v>7830.2</v>
      </c>
      <c r="E1228" s="35">
        <v>44635</v>
      </c>
      <c r="F1228" s="52">
        <v>7830.2</v>
      </c>
      <c r="G1228" s="53">
        <f>Tabla14[[#This Row],[Importe]]-Tabla14[[#This Row],[Pagado]]</f>
        <v>0</v>
      </c>
      <c r="H1228" s="37" t="s">
        <v>10</v>
      </c>
    </row>
    <row r="1229" spans="1:8" x14ac:dyDescent="0.25">
      <c r="A1229" s="31">
        <v>44632</v>
      </c>
      <c r="B1229" s="37" t="s">
        <v>8259</v>
      </c>
      <c r="C1229" s="51" t="s">
        <v>2563</v>
      </c>
      <c r="D1229" s="52">
        <v>4081.7</v>
      </c>
      <c r="E1229" s="35">
        <v>44632</v>
      </c>
      <c r="F1229" s="52">
        <v>4081.7</v>
      </c>
      <c r="G1229" s="53">
        <f>Tabla14[[#This Row],[Importe]]-Tabla14[[#This Row],[Pagado]]</f>
        <v>0</v>
      </c>
      <c r="H1229" s="37" t="s">
        <v>10</v>
      </c>
    </row>
    <row r="1230" spans="1:8" x14ac:dyDescent="0.25">
      <c r="A1230" s="31">
        <v>44632</v>
      </c>
      <c r="B1230" s="37" t="s">
        <v>8260</v>
      </c>
      <c r="C1230" s="51" t="s">
        <v>89</v>
      </c>
      <c r="D1230" s="52">
        <v>10248</v>
      </c>
      <c r="E1230" s="35">
        <v>44634</v>
      </c>
      <c r="F1230" s="52">
        <v>10248</v>
      </c>
      <c r="G1230" s="53">
        <f>Tabla14[[#This Row],[Importe]]-Tabla14[[#This Row],[Pagado]]</f>
        <v>0</v>
      </c>
      <c r="H1230" s="37" t="s">
        <v>10</v>
      </c>
    </row>
    <row r="1231" spans="1:8" x14ac:dyDescent="0.25">
      <c r="A1231" s="31">
        <v>44632</v>
      </c>
      <c r="B1231" s="37" t="s">
        <v>8261</v>
      </c>
      <c r="C1231" s="51" t="s">
        <v>326</v>
      </c>
      <c r="D1231" s="52">
        <v>11623.1</v>
      </c>
      <c r="E1231" s="35">
        <v>44634</v>
      </c>
      <c r="F1231" s="52">
        <v>11623.1</v>
      </c>
      <c r="G1231" s="53">
        <f>Tabla14[[#This Row],[Importe]]-Tabla14[[#This Row],[Pagado]]</f>
        <v>0</v>
      </c>
      <c r="H1231" s="37" t="s">
        <v>10</v>
      </c>
    </row>
    <row r="1232" spans="1:8" x14ac:dyDescent="0.25">
      <c r="A1232" s="31">
        <v>44632</v>
      </c>
      <c r="B1232" s="37" t="s">
        <v>8262</v>
      </c>
      <c r="C1232" s="51" t="s">
        <v>109</v>
      </c>
      <c r="D1232" s="52">
        <v>3877.5</v>
      </c>
      <c r="E1232" s="35">
        <v>44632</v>
      </c>
      <c r="F1232" s="52">
        <v>3877.5</v>
      </c>
      <c r="G1232" s="53">
        <f>Tabla14[[#This Row],[Importe]]-Tabla14[[#This Row],[Pagado]]</f>
        <v>0</v>
      </c>
      <c r="H1232" s="37" t="s">
        <v>10</v>
      </c>
    </row>
    <row r="1233" spans="1:8" x14ac:dyDescent="0.25">
      <c r="A1233" s="31">
        <v>44632</v>
      </c>
      <c r="B1233" s="37" t="s">
        <v>8263</v>
      </c>
      <c r="C1233" s="51" t="s">
        <v>105</v>
      </c>
      <c r="D1233" s="52">
        <v>11992.4</v>
      </c>
      <c r="E1233" s="35">
        <v>44634</v>
      </c>
      <c r="F1233" s="52">
        <v>11992.4</v>
      </c>
      <c r="G1233" s="53">
        <f>Tabla14[[#This Row],[Importe]]-Tabla14[[#This Row],[Pagado]]</f>
        <v>0</v>
      </c>
      <c r="H1233" s="37" t="s">
        <v>10</v>
      </c>
    </row>
    <row r="1234" spans="1:8" x14ac:dyDescent="0.25">
      <c r="A1234" s="31">
        <v>44632</v>
      </c>
      <c r="B1234" s="37" t="s">
        <v>8264</v>
      </c>
      <c r="C1234" s="51" t="s">
        <v>120</v>
      </c>
      <c r="D1234" s="52">
        <v>3924.5</v>
      </c>
      <c r="E1234" s="35">
        <v>44634</v>
      </c>
      <c r="F1234" s="52">
        <v>3924.5</v>
      </c>
      <c r="G1234" s="53">
        <f>Tabla14[[#This Row],[Importe]]-Tabla14[[#This Row],[Pagado]]</f>
        <v>0</v>
      </c>
      <c r="H1234" s="37" t="s">
        <v>10</v>
      </c>
    </row>
    <row r="1235" spans="1:8" x14ac:dyDescent="0.25">
      <c r="A1235" s="31">
        <v>44632</v>
      </c>
      <c r="B1235" s="37" t="s">
        <v>8265</v>
      </c>
      <c r="C1235" s="51" t="s">
        <v>114</v>
      </c>
      <c r="D1235" s="52">
        <v>12613.4</v>
      </c>
      <c r="E1235" s="35">
        <v>44634</v>
      </c>
      <c r="F1235" s="52">
        <v>12613.4</v>
      </c>
      <c r="G1235" s="53">
        <f>Tabla14[[#This Row],[Importe]]-Tabla14[[#This Row],[Pagado]]</f>
        <v>0</v>
      </c>
      <c r="H1235" s="37" t="s">
        <v>10</v>
      </c>
    </row>
    <row r="1236" spans="1:8" x14ac:dyDescent="0.25">
      <c r="A1236" s="31">
        <v>44632</v>
      </c>
      <c r="B1236" s="37" t="s">
        <v>8266</v>
      </c>
      <c r="C1236" s="51" t="s">
        <v>97</v>
      </c>
      <c r="D1236" s="52">
        <v>12342.2</v>
      </c>
      <c r="E1236" s="35">
        <v>44634</v>
      </c>
      <c r="F1236" s="52">
        <v>12342.2</v>
      </c>
      <c r="G1236" s="53">
        <f>Tabla14[[#This Row],[Importe]]-Tabla14[[#This Row],[Pagado]]</f>
        <v>0</v>
      </c>
      <c r="H1236" s="37" t="s">
        <v>10</v>
      </c>
    </row>
    <row r="1237" spans="1:8" x14ac:dyDescent="0.25">
      <c r="A1237" s="31">
        <v>44632</v>
      </c>
      <c r="B1237" s="37" t="s">
        <v>8267</v>
      </c>
      <c r="C1237" s="51" t="s">
        <v>39</v>
      </c>
      <c r="D1237" s="52">
        <v>31892.7</v>
      </c>
      <c r="E1237" s="35">
        <v>44635</v>
      </c>
      <c r="F1237" s="52">
        <v>31892.7</v>
      </c>
      <c r="G1237" s="53">
        <f>Tabla14[[#This Row],[Importe]]-Tabla14[[#This Row],[Pagado]]</f>
        <v>0</v>
      </c>
      <c r="H1237" s="37" t="s">
        <v>10</v>
      </c>
    </row>
    <row r="1238" spans="1:8" x14ac:dyDescent="0.25">
      <c r="A1238" s="31">
        <v>44632</v>
      </c>
      <c r="B1238" s="37" t="s">
        <v>8268</v>
      </c>
      <c r="C1238" s="51" t="s">
        <v>64</v>
      </c>
      <c r="D1238" s="52">
        <v>8631.6</v>
      </c>
      <c r="E1238" s="35">
        <v>44635</v>
      </c>
      <c r="F1238" s="52">
        <v>8631.6</v>
      </c>
      <c r="G1238" s="53">
        <f>Tabla14[[#This Row],[Importe]]-Tabla14[[#This Row],[Pagado]]</f>
        <v>0</v>
      </c>
      <c r="H1238" s="37" t="s">
        <v>10</v>
      </c>
    </row>
    <row r="1239" spans="1:8" x14ac:dyDescent="0.25">
      <c r="A1239" s="31">
        <v>44632</v>
      </c>
      <c r="B1239" s="37" t="s">
        <v>8269</v>
      </c>
      <c r="C1239" s="51" t="s">
        <v>93</v>
      </c>
      <c r="D1239" s="52">
        <v>10982.8</v>
      </c>
      <c r="E1239" s="35">
        <v>44634</v>
      </c>
      <c r="F1239" s="52">
        <v>10982.8</v>
      </c>
      <c r="G1239" s="53">
        <f>Tabla14[[#This Row],[Importe]]-Tabla14[[#This Row],[Pagado]]</f>
        <v>0</v>
      </c>
      <c r="H1239" s="37" t="s">
        <v>10</v>
      </c>
    </row>
    <row r="1240" spans="1:8" x14ac:dyDescent="0.25">
      <c r="A1240" s="31">
        <v>44632</v>
      </c>
      <c r="B1240" s="37" t="s">
        <v>8270</v>
      </c>
      <c r="C1240" s="51" t="s">
        <v>9</v>
      </c>
      <c r="D1240" s="52">
        <v>11956.8</v>
      </c>
      <c r="E1240" s="35">
        <v>44632</v>
      </c>
      <c r="F1240" s="52">
        <v>11956.8</v>
      </c>
      <c r="G1240" s="53">
        <f>Tabla14[[#This Row],[Importe]]-Tabla14[[#This Row],[Pagado]]</f>
        <v>0</v>
      </c>
      <c r="H1240" s="37" t="s">
        <v>10</v>
      </c>
    </row>
    <row r="1241" spans="1:8" x14ac:dyDescent="0.25">
      <c r="A1241" s="31">
        <v>44632</v>
      </c>
      <c r="B1241" s="37" t="s">
        <v>8271</v>
      </c>
      <c r="C1241" s="51" t="s">
        <v>99</v>
      </c>
      <c r="D1241" s="52">
        <v>7196.7</v>
      </c>
      <c r="E1241" s="35">
        <v>44634</v>
      </c>
      <c r="F1241" s="52">
        <v>7196.7</v>
      </c>
      <c r="G1241" s="53">
        <f>Tabla14[[#This Row],[Importe]]-Tabla14[[#This Row],[Pagado]]</f>
        <v>0</v>
      </c>
      <c r="H1241" s="37" t="s">
        <v>10</v>
      </c>
    </row>
    <row r="1242" spans="1:8" x14ac:dyDescent="0.25">
      <c r="A1242" s="31">
        <v>44632</v>
      </c>
      <c r="B1242" s="37" t="s">
        <v>8272</v>
      </c>
      <c r="C1242" s="51" t="s">
        <v>345</v>
      </c>
      <c r="D1242" s="52">
        <v>935.2</v>
      </c>
      <c r="E1242" s="35">
        <v>44632</v>
      </c>
      <c r="F1242" s="52">
        <v>935.2</v>
      </c>
      <c r="G1242" s="53">
        <f>Tabla14[[#This Row],[Importe]]-Tabla14[[#This Row],[Pagado]]</f>
        <v>0</v>
      </c>
      <c r="H1242" s="37" t="s">
        <v>10</v>
      </c>
    </row>
    <row r="1243" spans="1:8" x14ac:dyDescent="0.25">
      <c r="A1243" s="31">
        <v>44632</v>
      </c>
      <c r="B1243" s="37" t="s">
        <v>8273</v>
      </c>
      <c r="C1243" s="51" t="s">
        <v>116</v>
      </c>
      <c r="D1243" s="52">
        <v>405</v>
      </c>
      <c r="E1243" s="35">
        <v>44634</v>
      </c>
      <c r="F1243" s="52">
        <v>405</v>
      </c>
      <c r="G1243" s="53">
        <f>Tabla14[[#This Row],[Importe]]-Tabla14[[#This Row],[Pagado]]</f>
        <v>0</v>
      </c>
      <c r="H1243" s="37" t="s">
        <v>10</v>
      </c>
    </row>
    <row r="1244" spans="1:8" x14ac:dyDescent="0.25">
      <c r="A1244" s="31">
        <v>44632</v>
      </c>
      <c r="B1244" s="37" t="s">
        <v>8274</v>
      </c>
      <c r="C1244" s="51" t="s">
        <v>93</v>
      </c>
      <c r="D1244" s="52">
        <v>486</v>
      </c>
      <c r="E1244" s="35">
        <v>44634</v>
      </c>
      <c r="F1244" s="52">
        <v>486</v>
      </c>
      <c r="G1244" s="53">
        <f>Tabla14[[#This Row],[Importe]]-Tabla14[[#This Row],[Pagado]]</f>
        <v>0</v>
      </c>
      <c r="H1244" s="37" t="s">
        <v>10</v>
      </c>
    </row>
    <row r="1245" spans="1:8" x14ac:dyDescent="0.25">
      <c r="A1245" s="31">
        <v>44632</v>
      </c>
      <c r="B1245" s="37" t="s">
        <v>8275</v>
      </c>
      <c r="C1245" s="51" t="s">
        <v>60</v>
      </c>
      <c r="D1245" s="52">
        <v>7931.2</v>
      </c>
      <c r="E1245" s="35">
        <v>44638</v>
      </c>
      <c r="F1245" s="52">
        <v>7931.2</v>
      </c>
      <c r="G1245" s="53">
        <f>Tabla14[[#This Row],[Importe]]-Tabla14[[#This Row],[Pagado]]</f>
        <v>0</v>
      </c>
      <c r="H1245" s="37" t="s">
        <v>10</v>
      </c>
    </row>
    <row r="1246" spans="1:8" x14ac:dyDescent="0.25">
      <c r="A1246" s="31">
        <v>44632</v>
      </c>
      <c r="B1246" s="37" t="s">
        <v>8276</v>
      </c>
      <c r="C1246" s="51" t="s">
        <v>131</v>
      </c>
      <c r="D1246" s="52">
        <v>16291</v>
      </c>
      <c r="E1246" s="35">
        <v>44632</v>
      </c>
      <c r="F1246" s="52">
        <v>16291</v>
      </c>
      <c r="G1246" s="53">
        <f>Tabla14[[#This Row],[Importe]]-Tabla14[[#This Row],[Pagado]]</f>
        <v>0</v>
      </c>
      <c r="H1246" s="37" t="s">
        <v>10</v>
      </c>
    </row>
    <row r="1247" spans="1:8" x14ac:dyDescent="0.25">
      <c r="A1247" s="31">
        <v>44632</v>
      </c>
      <c r="B1247" s="37" t="s">
        <v>8277</v>
      </c>
      <c r="C1247" s="51" t="s">
        <v>934</v>
      </c>
      <c r="D1247" s="52">
        <v>5364.1</v>
      </c>
      <c r="E1247" s="35">
        <v>44632</v>
      </c>
      <c r="F1247" s="52">
        <v>5364.1</v>
      </c>
      <c r="G1247" s="53">
        <f>Tabla14[[#This Row],[Importe]]-Tabla14[[#This Row],[Pagado]]</f>
        <v>0</v>
      </c>
      <c r="H1247" s="37" t="s">
        <v>10</v>
      </c>
    </row>
    <row r="1248" spans="1:8" x14ac:dyDescent="0.25">
      <c r="A1248" s="31">
        <v>44632</v>
      </c>
      <c r="B1248" s="37" t="s">
        <v>8278</v>
      </c>
      <c r="C1248" s="51" t="s">
        <v>31</v>
      </c>
      <c r="D1248" s="52">
        <v>2956.8</v>
      </c>
      <c r="E1248" s="35">
        <v>44632</v>
      </c>
      <c r="F1248" s="52">
        <v>2956.8</v>
      </c>
      <c r="G1248" s="53">
        <f>Tabla14[[#This Row],[Importe]]-Tabla14[[#This Row],[Pagado]]</f>
        <v>0</v>
      </c>
      <c r="H1248" s="37" t="s">
        <v>10</v>
      </c>
    </row>
    <row r="1249" spans="1:8" x14ac:dyDescent="0.25">
      <c r="A1249" s="31">
        <v>44632</v>
      </c>
      <c r="B1249" s="37" t="s">
        <v>8279</v>
      </c>
      <c r="C1249" s="51" t="s">
        <v>157</v>
      </c>
      <c r="D1249" s="52">
        <v>2953.2</v>
      </c>
      <c r="E1249" s="35">
        <v>44632</v>
      </c>
      <c r="F1249" s="52">
        <v>2953.2</v>
      </c>
      <c r="G1249" s="53">
        <f>Tabla14[[#This Row],[Importe]]-Tabla14[[#This Row],[Pagado]]</f>
        <v>0</v>
      </c>
      <c r="H1249" s="37" t="s">
        <v>10</v>
      </c>
    </row>
    <row r="1250" spans="1:8" x14ac:dyDescent="0.25">
      <c r="A1250" s="31">
        <v>44632</v>
      </c>
      <c r="B1250" s="37" t="s">
        <v>8280</v>
      </c>
      <c r="C1250" s="51" t="s">
        <v>319</v>
      </c>
      <c r="D1250" s="52">
        <v>2123.3000000000002</v>
      </c>
      <c r="E1250" s="35">
        <v>44632</v>
      </c>
      <c r="F1250" s="52">
        <v>2123.3000000000002</v>
      </c>
      <c r="G1250" s="53">
        <f>Tabla14[[#This Row],[Importe]]-Tabla14[[#This Row],[Pagado]]</f>
        <v>0</v>
      </c>
      <c r="H1250" s="37" t="s">
        <v>10</v>
      </c>
    </row>
    <row r="1251" spans="1:8" x14ac:dyDescent="0.25">
      <c r="A1251" s="31">
        <v>44632</v>
      </c>
      <c r="B1251" s="37" t="s">
        <v>8281</v>
      </c>
      <c r="C1251" s="51" t="s">
        <v>525</v>
      </c>
      <c r="D1251" s="52">
        <v>3132.6</v>
      </c>
      <c r="E1251" s="35">
        <v>44632</v>
      </c>
      <c r="F1251" s="52">
        <v>3132.6</v>
      </c>
      <c r="G1251" s="53">
        <f>Tabla14[[#This Row],[Importe]]-Tabla14[[#This Row],[Pagado]]</f>
        <v>0</v>
      </c>
      <c r="H1251" s="37" t="s">
        <v>10</v>
      </c>
    </row>
    <row r="1252" spans="1:8" x14ac:dyDescent="0.25">
      <c r="A1252" s="31">
        <v>44632</v>
      </c>
      <c r="B1252" s="37" t="s">
        <v>8282</v>
      </c>
      <c r="C1252" s="51" t="s">
        <v>151</v>
      </c>
      <c r="D1252" s="52">
        <v>5489.4</v>
      </c>
      <c r="E1252" s="35">
        <v>44632</v>
      </c>
      <c r="F1252" s="52">
        <v>5489.4</v>
      </c>
      <c r="G1252" s="53">
        <f>Tabla14[[#This Row],[Importe]]-Tabla14[[#This Row],[Pagado]]</f>
        <v>0</v>
      </c>
      <c r="H1252" s="37" t="s">
        <v>10</v>
      </c>
    </row>
    <row r="1253" spans="1:8" x14ac:dyDescent="0.25">
      <c r="A1253" s="31">
        <v>44632</v>
      </c>
      <c r="B1253" s="37" t="s">
        <v>8283</v>
      </c>
      <c r="C1253" s="51" t="s">
        <v>31</v>
      </c>
      <c r="D1253" s="52">
        <v>4159.5</v>
      </c>
      <c r="E1253" s="35">
        <v>44632</v>
      </c>
      <c r="F1253" s="52">
        <v>4159.5</v>
      </c>
      <c r="G1253" s="53">
        <f>Tabla14[[#This Row],[Importe]]-Tabla14[[#This Row],[Pagado]]</f>
        <v>0</v>
      </c>
      <c r="H1253" s="37" t="s">
        <v>10</v>
      </c>
    </row>
    <row r="1254" spans="1:8" x14ac:dyDescent="0.25">
      <c r="A1254" s="31">
        <v>44632</v>
      </c>
      <c r="B1254" s="37" t="s">
        <v>8284</v>
      </c>
      <c r="C1254" s="51" t="s">
        <v>555</v>
      </c>
      <c r="D1254" s="52">
        <v>27573</v>
      </c>
      <c r="E1254" s="35">
        <v>44632</v>
      </c>
      <c r="F1254" s="52">
        <v>27573</v>
      </c>
      <c r="G1254" s="53">
        <f>Tabla14[[#This Row],[Importe]]-Tabla14[[#This Row],[Pagado]]</f>
        <v>0</v>
      </c>
      <c r="H1254" s="37" t="s">
        <v>10</v>
      </c>
    </row>
    <row r="1255" spans="1:8" x14ac:dyDescent="0.25">
      <c r="A1255" s="31">
        <v>44632</v>
      </c>
      <c r="B1255" s="37" t="s">
        <v>8285</v>
      </c>
      <c r="C1255" s="51" t="s">
        <v>161</v>
      </c>
      <c r="D1255" s="52">
        <v>4681.3999999999996</v>
      </c>
      <c r="E1255" s="35">
        <v>44632</v>
      </c>
      <c r="F1255" s="52">
        <v>4681.3999999999996</v>
      </c>
      <c r="G1255" s="53">
        <f>Tabla14[[#This Row],[Importe]]-Tabla14[[#This Row],[Pagado]]</f>
        <v>0</v>
      </c>
      <c r="H1255" s="37" t="s">
        <v>10</v>
      </c>
    </row>
    <row r="1256" spans="1:8" x14ac:dyDescent="0.25">
      <c r="A1256" s="31">
        <v>44632</v>
      </c>
      <c r="B1256" s="37" t="s">
        <v>8286</v>
      </c>
      <c r="C1256" s="51" t="s">
        <v>142</v>
      </c>
      <c r="D1256" s="52">
        <v>57174.8</v>
      </c>
      <c r="E1256" s="35">
        <v>44670</v>
      </c>
      <c r="F1256" s="52">
        <v>57174.8</v>
      </c>
      <c r="G1256" s="53">
        <f>Tabla14[[#This Row],[Importe]]-Tabla14[[#This Row],[Pagado]]</f>
        <v>0</v>
      </c>
      <c r="H1256" s="37" t="s">
        <v>10</v>
      </c>
    </row>
    <row r="1257" spans="1:8" x14ac:dyDescent="0.25">
      <c r="A1257" s="31">
        <v>44632</v>
      </c>
      <c r="B1257" s="37" t="s">
        <v>8287</v>
      </c>
      <c r="C1257" s="51" t="s">
        <v>198</v>
      </c>
      <c r="D1257" s="52">
        <v>3395.6</v>
      </c>
      <c r="E1257" s="35">
        <v>44632</v>
      </c>
      <c r="F1257" s="52">
        <v>3395.6</v>
      </c>
      <c r="G1257" s="53">
        <f>Tabla14[[#This Row],[Importe]]-Tabla14[[#This Row],[Pagado]]</f>
        <v>0</v>
      </c>
      <c r="H1257" s="37" t="s">
        <v>10</v>
      </c>
    </row>
    <row r="1258" spans="1:8" x14ac:dyDescent="0.25">
      <c r="A1258" s="31">
        <v>44632</v>
      </c>
      <c r="B1258" s="37" t="s">
        <v>8288</v>
      </c>
      <c r="C1258" s="51" t="s">
        <v>69</v>
      </c>
      <c r="D1258" s="52">
        <v>2772</v>
      </c>
      <c r="E1258" s="35">
        <v>44632</v>
      </c>
      <c r="F1258" s="52">
        <v>2772</v>
      </c>
      <c r="G1258" s="53">
        <f>Tabla14[[#This Row],[Importe]]-Tabla14[[#This Row],[Pagado]]</f>
        <v>0</v>
      </c>
      <c r="H1258" s="37" t="s">
        <v>10</v>
      </c>
    </row>
    <row r="1259" spans="1:8" x14ac:dyDescent="0.25">
      <c r="A1259" s="31">
        <v>44632</v>
      </c>
      <c r="B1259" s="37" t="s">
        <v>8289</v>
      </c>
      <c r="C1259" s="51" t="s">
        <v>161</v>
      </c>
      <c r="D1259" s="52">
        <v>88</v>
      </c>
      <c r="E1259" s="35">
        <v>44632</v>
      </c>
      <c r="F1259" s="52">
        <v>88</v>
      </c>
      <c r="G1259" s="53">
        <f>Tabla14[[#This Row],[Importe]]-Tabla14[[#This Row],[Pagado]]</f>
        <v>0</v>
      </c>
      <c r="H1259" s="37" t="s">
        <v>10</v>
      </c>
    </row>
    <row r="1260" spans="1:8" x14ac:dyDescent="0.25">
      <c r="A1260" s="31">
        <v>44632</v>
      </c>
      <c r="B1260" s="37" t="s">
        <v>8290</v>
      </c>
      <c r="C1260" s="51" t="s">
        <v>16</v>
      </c>
      <c r="D1260" s="52">
        <v>5817.3</v>
      </c>
      <c r="E1260" s="35">
        <v>44632</v>
      </c>
      <c r="F1260" s="52">
        <v>5817.3</v>
      </c>
      <c r="G1260" s="53">
        <f>Tabla14[[#This Row],[Importe]]-Tabla14[[#This Row],[Pagado]]</f>
        <v>0</v>
      </c>
      <c r="H1260" s="37" t="s">
        <v>10</v>
      </c>
    </row>
    <row r="1261" spans="1:8" x14ac:dyDescent="0.25">
      <c r="A1261" s="31">
        <v>44632</v>
      </c>
      <c r="B1261" s="37" t="s">
        <v>8291</v>
      </c>
      <c r="C1261" s="51" t="s">
        <v>520</v>
      </c>
      <c r="D1261" s="52">
        <v>9423.7000000000007</v>
      </c>
      <c r="E1261" s="35">
        <v>44632</v>
      </c>
      <c r="F1261" s="52">
        <v>9423.7000000000007</v>
      </c>
      <c r="G1261" s="53">
        <f>Tabla14[[#This Row],[Importe]]-Tabla14[[#This Row],[Pagado]]</f>
        <v>0</v>
      </c>
      <c r="H1261" s="37" t="s">
        <v>10</v>
      </c>
    </row>
    <row r="1262" spans="1:8" x14ac:dyDescent="0.25">
      <c r="A1262" s="31">
        <v>44632</v>
      </c>
      <c r="B1262" s="37" t="s">
        <v>8292</v>
      </c>
      <c r="C1262" s="51" t="s">
        <v>16</v>
      </c>
      <c r="D1262" s="52">
        <v>268.8</v>
      </c>
      <c r="E1262" s="35">
        <v>44632</v>
      </c>
      <c r="F1262" s="52">
        <v>268.8</v>
      </c>
      <c r="G1262" s="53">
        <f>Tabla14[[#This Row],[Importe]]-Tabla14[[#This Row],[Pagado]]</f>
        <v>0</v>
      </c>
      <c r="H1262" s="37" t="s">
        <v>10</v>
      </c>
    </row>
    <row r="1263" spans="1:8" x14ac:dyDescent="0.25">
      <c r="A1263" s="31">
        <v>44632</v>
      </c>
      <c r="B1263" s="37" t="s">
        <v>8293</v>
      </c>
      <c r="C1263" s="51" t="s">
        <v>804</v>
      </c>
      <c r="D1263" s="52">
        <v>17352.099999999999</v>
      </c>
      <c r="E1263" s="35">
        <v>44632</v>
      </c>
      <c r="F1263" s="52">
        <v>17352.099999999999</v>
      </c>
      <c r="G1263" s="53">
        <f>Tabla14[[#This Row],[Importe]]-Tabla14[[#This Row],[Pagado]]</f>
        <v>0</v>
      </c>
      <c r="H1263" s="37" t="s">
        <v>10</v>
      </c>
    </row>
    <row r="1264" spans="1:8" x14ac:dyDescent="0.25">
      <c r="A1264" s="31">
        <v>44632</v>
      </c>
      <c r="B1264" s="37" t="s">
        <v>8294</v>
      </c>
      <c r="C1264" s="51" t="s">
        <v>804</v>
      </c>
      <c r="D1264" s="52">
        <v>189</v>
      </c>
      <c r="E1264" s="35">
        <v>44632</v>
      </c>
      <c r="F1264" s="52">
        <v>189</v>
      </c>
      <c r="G1264" s="53">
        <f>Tabla14[[#This Row],[Importe]]-Tabla14[[#This Row],[Pagado]]</f>
        <v>0</v>
      </c>
      <c r="H1264" s="37" t="s">
        <v>10</v>
      </c>
    </row>
    <row r="1265" spans="1:8" ht="47.25" x14ac:dyDescent="0.25">
      <c r="A1265" s="31">
        <v>44632</v>
      </c>
      <c r="B1265" s="37" t="s">
        <v>8295</v>
      </c>
      <c r="C1265" s="51" t="s">
        <v>275</v>
      </c>
      <c r="D1265" s="52">
        <v>154226.70000000001</v>
      </c>
      <c r="E1265" s="35" t="s">
        <v>10559</v>
      </c>
      <c r="F1265" s="52">
        <f>8325.71+122934.54+22966.45</f>
        <v>154226.70000000001</v>
      </c>
      <c r="G1265" s="53">
        <f>Tabla14[[#This Row],[Importe]]-Tabla14[[#This Row],[Pagado]]</f>
        <v>0</v>
      </c>
      <c r="H1265" s="37" t="s">
        <v>10</v>
      </c>
    </row>
    <row r="1266" spans="1:8" x14ac:dyDescent="0.25">
      <c r="A1266" s="31">
        <v>44632</v>
      </c>
      <c r="B1266" s="37" t="s">
        <v>8296</v>
      </c>
      <c r="C1266" s="51" t="s">
        <v>27</v>
      </c>
      <c r="D1266" s="52">
        <v>2910.6</v>
      </c>
      <c r="E1266" s="35">
        <v>44632</v>
      </c>
      <c r="F1266" s="52">
        <v>2910.6</v>
      </c>
      <c r="G1266" s="53">
        <f>Tabla14[[#This Row],[Importe]]-Tabla14[[#This Row],[Pagado]]</f>
        <v>0</v>
      </c>
      <c r="H1266" s="37" t="s">
        <v>10</v>
      </c>
    </row>
    <row r="1267" spans="1:8" x14ac:dyDescent="0.25">
      <c r="A1267" s="31">
        <v>44632</v>
      </c>
      <c r="B1267" s="37" t="s">
        <v>8297</v>
      </c>
      <c r="C1267" s="51" t="s">
        <v>159</v>
      </c>
      <c r="D1267" s="52">
        <v>1600.2</v>
      </c>
      <c r="E1267" s="35">
        <v>44632</v>
      </c>
      <c r="F1267" s="52">
        <v>1600.2</v>
      </c>
      <c r="G1267" s="53">
        <f>Tabla14[[#This Row],[Importe]]-Tabla14[[#This Row],[Pagado]]</f>
        <v>0</v>
      </c>
      <c r="H1267" s="37" t="s">
        <v>10</v>
      </c>
    </row>
    <row r="1268" spans="1:8" x14ac:dyDescent="0.25">
      <c r="A1268" s="31">
        <v>44632</v>
      </c>
      <c r="B1268" s="37" t="s">
        <v>8298</v>
      </c>
      <c r="C1268" s="51" t="s">
        <v>371</v>
      </c>
      <c r="D1268" s="52">
        <v>4306.8999999999996</v>
      </c>
      <c r="E1268" s="35">
        <v>44632</v>
      </c>
      <c r="F1268" s="52">
        <v>4306.8999999999996</v>
      </c>
      <c r="G1268" s="53">
        <f>Tabla14[[#This Row],[Importe]]-Tabla14[[#This Row],[Pagado]]</f>
        <v>0</v>
      </c>
      <c r="H1268" s="37" t="s">
        <v>10</v>
      </c>
    </row>
    <row r="1269" spans="1:8" x14ac:dyDescent="0.25">
      <c r="A1269" s="31">
        <v>44632</v>
      </c>
      <c r="B1269" s="37" t="s">
        <v>8299</v>
      </c>
      <c r="C1269" s="51" t="s">
        <v>226</v>
      </c>
      <c r="D1269" s="52">
        <v>11550</v>
      </c>
      <c r="E1269" s="35">
        <v>44632</v>
      </c>
      <c r="F1269" s="52">
        <v>11550</v>
      </c>
      <c r="G1269" s="53">
        <f>Tabla14[[#This Row],[Importe]]-Tabla14[[#This Row],[Pagado]]</f>
        <v>0</v>
      </c>
      <c r="H1269" s="37" t="s">
        <v>10</v>
      </c>
    </row>
    <row r="1270" spans="1:8" x14ac:dyDescent="0.25">
      <c r="A1270" s="31">
        <v>44632</v>
      </c>
      <c r="B1270" s="37" t="s">
        <v>8300</v>
      </c>
      <c r="C1270" s="51" t="s">
        <v>79</v>
      </c>
      <c r="D1270" s="52">
        <v>16744</v>
      </c>
      <c r="E1270" s="35">
        <v>44632</v>
      </c>
      <c r="F1270" s="52">
        <v>16744</v>
      </c>
      <c r="G1270" s="53">
        <f>Tabla14[[#This Row],[Importe]]-Tabla14[[#This Row],[Pagado]]</f>
        <v>0</v>
      </c>
      <c r="H1270" s="37" t="s">
        <v>10</v>
      </c>
    </row>
    <row r="1271" spans="1:8" x14ac:dyDescent="0.25">
      <c r="A1271" s="31">
        <v>44632</v>
      </c>
      <c r="B1271" s="37" t="s">
        <v>8301</v>
      </c>
      <c r="C1271" s="51" t="s">
        <v>79</v>
      </c>
      <c r="D1271" s="52">
        <v>4743.2</v>
      </c>
      <c r="E1271" s="35">
        <v>44632</v>
      </c>
      <c r="F1271" s="52">
        <v>4743.2</v>
      </c>
      <c r="G1271" s="53">
        <f>Tabla14[[#This Row],[Importe]]-Tabla14[[#This Row],[Pagado]]</f>
        <v>0</v>
      </c>
      <c r="H1271" s="37" t="s">
        <v>10</v>
      </c>
    </row>
    <row r="1272" spans="1:8" x14ac:dyDescent="0.25">
      <c r="A1272" s="31">
        <v>44632</v>
      </c>
      <c r="B1272" s="37" t="s">
        <v>8302</v>
      </c>
      <c r="C1272" s="51" t="s">
        <v>1239</v>
      </c>
      <c r="D1272" s="52">
        <v>7223.4</v>
      </c>
      <c r="E1272" s="35">
        <v>44632</v>
      </c>
      <c r="F1272" s="52">
        <v>7223.4</v>
      </c>
      <c r="G1272" s="53">
        <f>Tabla14[[#This Row],[Importe]]-Tabla14[[#This Row],[Pagado]]</f>
        <v>0</v>
      </c>
      <c r="H1272" s="37" t="s">
        <v>10</v>
      </c>
    </row>
    <row r="1273" spans="1:8" x14ac:dyDescent="0.25">
      <c r="A1273" s="31">
        <v>44632</v>
      </c>
      <c r="B1273" s="37" t="s">
        <v>8303</v>
      </c>
      <c r="C1273" s="51" t="s">
        <v>1362</v>
      </c>
      <c r="D1273" s="52">
        <v>8051</v>
      </c>
      <c r="E1273" s="35">
        <v>44632</v>
      </c>
      <c r="F1273" s="52">
        <v>8051</v>
      </c>
      <c r="G1273" s="53">
        <f>Tabla14[[#This Row],[Importe]]-Tabla14[[#This Row],[Pagado]]</f>
        <v>0</v>
      </c>
      <c r="H1273" s="37" t="s">
        <v>10</v>
      </c>
    </row>
    <row r="1274" spans="1:8" x14ac:dyDescent="0.25">
      <c r="A1274" s="31">
        <v>44632</v>
      </c>
      <c r="B1274" s="37" t="s">
        <v>8304</v>
      </c>
      <c r="C1274" s="51" t="s">
        <v>518</v>
      </c>
      <c r="D1274" s="52">
        <v>890.4</v>
      </c>
      <c r="E1274" s="35">
        <v>44632</v>
      </c>
      <c r="F1274" s="52">
        <v>890.4</v>
      </c>
      <c r="G1274" s="53">
        <f>Tabla14[[#This Row],[Importe]]-Tabla14[[#This Row],[Pagado]]</f>
        <v>0</v>
      </c>
      <c r="H1274" s="37" t="s">
        <v>10</v>
      </c>
    </row>
    <row r="1275" spans="1:8" x14ac:dyDescent="0.25">
      <c r="A1275" s="31">
        <v>44632</v>
      </c>
      <c r="B1275" s="37" t="s">
        <v>8305</v>
      </c>
      <c r="C1275" s="51" t="s">
        <v>373</v>
      </c>
      <c r="D1275" s="52">
        <v>448</v>
      </c>
      <c r="E1275" s="35">
        <v>44632</v>
      </c>
      <c r="F1275" s="52">
        <v>448</v>
      </c>
      <c r="G1275" s="53">
        <f>Tabla14[[#This Row],[Importe]]-Tabla14[[#This Row],[Pagado]]</f>
        <v>0</v>
      </c>
      <c r="H1275" s="37" t="s">
        <v>10</v>
      </c>
    </row>
    <row r="1276" spans="1:8" x14ac:dyDescent="0.25">
      <c r="A1276" s="31">
        <v>44632</v>
      </c>
      <c r="B1276" s="37" t="s">
        <v>8306</v>
      </c>
      <c r="C1276" s="51" t="s">
        <v>49</v>
      </c>
      <c r="D1276" s="52">
        <v>2020.3</v>
      </c>
      <c r="E1276" s="35">
        <v>44632</v>
      </c>
      <c r="F1276" s="52">
        <v>2020.3</v>
      </c>
      <c r="G1276" s="53">
        <f>Tabla14[[#This Row],[Importe]]-Tabla14[[#This Row],[Pagado]]</f>
        <v>0</v>
      </c>
      <c r="H1276" s="37" t="s">
        <v>10</v>
      </c>
    </row>
    <row r="1277" spans="1:8" x14ac:dyDescent="0.25">
      <c r="A1277" s="31">
        <v>44632</v>
      </c>
      <c r="B1277" s="37" t="s">
        <v>8307</v>
      </c>
      <c r="C1277" s="51" t="s">
        <v>49</v>
      </c>
      <c r="D1277" s="52">
        <v>528.9</v>
      </c>
      <c r="E1277" s="35">
        <v>44632</v>
      </c>
      <c r="F1277" s="52">
        <v>528.9</v>
      </c>
      <c r="G1277" s="53">
        <f>Tabla14[[#This Row],[Importe]]-Tabla14[[#This Row],[Pagado]]</f>
        <v>0</v>
      </c>
      <c r="H1277" s="37" t="s">
        <v>10</v>
      </c>
    </row>
    <row r="1278" spans="1:8" x14ac:dyDescent="0.25">
      <c r="A1278" s="31">
        <v>44632</v>
      </c>
      <c r="B1278" s="37" t="s">
        <v>8308</v>
      </c>
      <c r="C1278" s="51" t="s">
        <v>125</v>
      </c>
      <c r="D1278" s="52">
        <v>1049.8</v>
      </c>
      <c r="E1278" s="35">
        <v>44632</v>
      </c>
      <c r="F1278" s="52">
        <v>1049.8</v>
      </c>
      <c r="G1278" s="53">
        <f>Tabla14[[#This Row],[Importe]]-Tabla14[[#This Row],[Pagado]]</f>
        <v>0</v>
      </c>
      <c r="H1278" s="37" t="s">
        <v>10</v>
      </c>
    </row>
    <row r="1279" spans="1:8" x14ac:dyDescent="0.25">
      <c r="A1279" s="31">
        <v>44632</v>
      </c>
      <c r="B1279" s="37" t="s">
        <v>8309</v>
      </c>
      <c r="C1279" s="51" t="s">
        <v>196</v>
      </c>
      <c r="D1279" s="52">
        <v>47979.55</v>
      </c>
      <c r="E1279" s="35">
        <v>44638</v>
      </c>
      <c r="F1279" s="52">
        <v>47979.55</v>
      </c>
      <c r="G1279" s="53">
        <f>Tabla14[[#This Row],[Importe]]-Tabla14[[#This Row],[Pagado]]</f>
        <v>0</v>
      </c>
      <c r="H1279" s="37" t="s">
        <v>10</v>
      </c>
    </row>
    <row r="1280" spans="1:8" x14ac:dyDescent="0.25">
      <c r="A1280" s="31">
        <v>44632</v>
      </c>
      <c r="B1280" s="37" t="s">
        <v>8310</v>
      </c>
      <c r="C1280" s="51" t="s">
        <v>146</v>
      </c>
      <c r="D1280" s="52">
        <v>10254.4</v>
      </c>
      <c r="E1280" s="35">
        <v>44632</v>
      </c>
      <c r="F1280" s="52">
        <v>10254.4</v>
      </c>
      <c r="G1280" s="53">
        <f>Tabla14[[#This Row],[Importe]]-Tabla14[[#This Row],[Pagado]]</f>
        <v>0</v>
      </c>
      <c r="H1280" s="37" t="s">
        <v>10</v>
      </c>
    </row>
    <row r="1281" spans="1:8" x14ac:dyDescent="0.25">
      <c r="A1281" s="31">
        <v>44632</v>
      </c>
      <c r="B1281" s="37" t="s">
        <v>8311</v>
      </c>
      <c r="C1281" s="51" t="s">
        <v>196</v>
      </c>
      <c r="D1281" s="52">
        <v>1377.6</v>
      </c>
      <c r="E1281" s="35">
        <v>44638</v>
      </c>
      <c r="F1281" s="52">
        <v>1377.6</v>
      </c>
      <c r="G1281" s="53">
        <f>Tabla14[[#This Row],[Importe]]-Tabla14[[#This Row],[Pagado]]</f>
        <v>0</v>
      </c>
      <c r="H1281" s="37" t="s">
        <v>10</v>
      </c>
    </row>
    <row r="1282" spans="1:8" x14ac:dyDescent="0.25">
      <c r="A1282" s="31">
        <v>44632</v>
      </c>
      <c r="B1282" s="37" t="s">
        <v>8312</v>
      </c>
      <c r="C1282" s="51" t="s">
        <v>8313</v>
      </c>
      <c r="D1282" s="52">
        <v>0</v>
      </c>
      <c r="E1282" s="39" t="s">
        <v>189</v>
      </c>
      <c r="F1282" s="52">
        <v>0</v>
      </c>
      <c r="G1282" s="53">
        <f>Tabla14[[#This Row],[Importe]]-Tabla14[[#This Row],[Pagado]]</f>
        <v>0</v>
      </c>
      <c r="H1282" s="37" t="s">
        <v>189</v>
      </c>
    </row>
    <row r="1283" spans="1:8" x14ac:dyDescent="0.25">
      <c r="A1283" s="31">
        <v>44632</v>
      </c>
      <c r="B1283" s="37" t="s">
        <v>8314</v>
      </c>
      <c r="C1283" s="51" t="s">
        <v>230</v>
      </c>
      <c r="D1283" s="52">
        <v>3088.8</v>
      </c>
      <c r="E1283" s="35">
        <v>44632</v>
      </c>
      <c r="F1283" s="52">
        <v>3088.8</v>
      </c>
      <c r="G1283" s="53">
        <f>Tabla14[[#This Row],[Importe]]-Tabla14[[#This Row],[Pagado]]</f>
        <v>0</v>
      </c>
      <c r="H1283" s="37" t="s">
        <v>10</v>
      </c>
    </row>
    <row r="1284" spans="1:8" x14ac:dyDescent="0.25">
      <c r="A1284" s="31">
        <v>44632</v>
      </c>
      <c r="B1284" s="37" t="s">
        <v>8315</v>
      </c>
      <c r="C1284" s="51" t="s">
        <v>382</v>
      </c>
      <c r="D1284" s="52">
        <v>7481.6</v>
      </c>
      <c r="E1284" s="35">
        <v>44632</v>
      </c>
      <c r="F1284" s="52">
        <v>7481.6</v>
      </c>
      <c r="G1284" s="53">
        <f>Tabla14[[#This Row],[Importe]]-Tabla14[[#This Row],[Pagado]]</f>
        <v>0</v>
      </c>
      <c r="H1284" s="37" t="s">
        <v>10</v>
      </c>
    </row>
    <row r="1285" spans="1:8" x14ac:dyDescent="0.25">
      <c r="A1285" s="31">
        <v>44632</v>
      </c>
      <c r="B1285" s="37" t="s">
        <v>8316</v>
      </c>
      <c r="C1285" s="51" t="s">
        <v>45</v>
      </c>
      <c r="D1285" s="52">
        <v>9021.9</v>
      </c>
      <c r="E1285" s="35">
        <v>44632</v>
      </c>
      <c r="F1285" s="52">
        <v>9021.9</v>
      </c>
      <c r="G1285" s="53">
        <f>Tabla14[[#This Row],[Importe]]-Tabla14[[#This Row],[Pagado]]</f>
        <v>0</v>
      </c>
      <c r="H1285" s="37" t="s">
        <v>10</v>
      </c>
    </row>
    <row r="1286" spans="1:8" x14ac:dyDescent="0.25">
      <c r="A1286" s="31">
        <v>44632</v>
      </c>
      <c r="B1286" s="37" t="s">
        <v>8317</v>
      </c>
      <c r="C1286" s="51" t="s">
        <v>664</v>
      </c>
      <c r="D1286" s="52">
        <v>6705.2</v>
      </c>
      <c r="E1286" s="35">
        <v>44632</v>
      </c>
      <c r="F1286" s="52">
        <v>6705.2</v>
      </c>
      <c r="G1286" s="53">
        <f>Tabla14[[#This Row],[Importe]]-Tabla14[[#This Row],[Pagado]]</f>
        <v>0</v>
      </c>
      <c r="H1286" s="37" t="s">
        <v>10</v>
      </c>
    </row>
    <row r="1287" spans="1:8" x14ac:dyDescent="0.25">
      <c r="A1287" s="31">
        <v>44632</v>
      </c>
      <c r="B1287" s="37" t="s">
        <v>8318</v>
      </c>
      <c r="C1287" s="51" t="s">
        <v>31</v>
      </c>
      <c r="D1287" s="52">
        <v>1377.6</v>
      </c>
      <c r="E1287" s="35">
        <v>44632</v>
      </c>
      <c r="F1287" s="52">
        <v>1377.6</v>
      </c>
      <c r="G1287" s="53">
        <f>Tabla14[[#This Row],[Importe]]-Tabla14[[#This Row],[Pagado]]</f>
        <v>0</v>
      </c>
      <c r="H1287" s="37" t="s">
        <v>10</v>
      </c>
    </row>
    <row r="1288" spans="1:8" x14ac:dyDescent="0.25">
      <c r="A1288" s="31">
        <v>44632</v>
      </c>
      <c r="B1288" s="37" t="s">
        <v>8319</v>
      </c>
      <c r="C1288" s="51" t="s">
        <v>382</v>
      </c>
      <c r="D1288" s="52">
        <v>3292.8</v>
      </c>
      <c r="E1288" s="35">
        <v>44632</v>
      </c>
      <c r="F1288" s="52">
        <v>3292.8</v>
      </c>
      <c r="G1288" s="53">
        <f>Tabla14[[#This Row],[Importe]]-Tabla14[[#This Row],[Pagado]]</f>
        <v>0</v>
      </c>
      <c r="H1288" s="37" t="s">
        <v>10</v>
      </c>
    </row>
    <row r="1289" spans="1:8" x14ac:dyDescent="0.25">
      <c r="A1289" s="31">
        <v>44632</v>
      </c>
      <c r="B1289" s="37" t="s">
        <v>8320</v>
      </c>
      <c r="C1289" s="51" t="s">
        <v>107</v>
      </c>
      <c r="D1289" s="52">
        <v>20215.7</v>
      </c>
      <c r="E1289" s="35">
        <v>44632</v>
      </c>
      <c r="F1289" s="52">
        <v>20215.7</v>
      </c>
      <c r="G1289" s="53">
        <f>Tabla14[[#This Row],[Importe]]-Tabla14[[#This Row],[Pagado]]</f>
        <v>0</v>
      </c>
      <c r="H1289" s="37" t="s">
        <v>10</v>
      </c>
    </row>
    <row r="1290" spans="1:8" x14ac:dyDescent="0.25">
      <c r="A1290" s="31">
        <v>44632</v>
      </c>
      <c r="B1290" s="37" t="s">
        <v>8321</v>
      </c>
      <c r="C1290" s="51" t="s">
        <v>4136</v>
      </c>
      <c r="D1290" s="52">
        <v>4925.3999999999996</v>
      </c>
      <c r="E1290" s="35">
        <v>44632</v>
      </c>
      <c r="F1290" s="52">
        <v>4925.3999999999996</v>
      </c>
      <c r="G1290" s="53">
        <f>Tabla14[[#This Row],[Importe]]-Tabla14[[#This Row],[Pagado]]</f>
        <v>0</v>
      </c>
      <c r="H1290" s="37" t="s">
        <v>10</v>
      </c>
    </row>
    <row r="1291" spans="1:8" x14ac:dyDescent="0.25">
      <c r="A1291" s="31">
        <v>44632</v>
      </c>
      <c r="B1291" s="37" t="s">
        <v>8322</v>
      </c>
      <c r="C1291" s="51" t="s">
        <v>140</v>
      </c>
      <c r="D1291" s="52">
        <v>456</v>
      </c>
      <c r="E1291" s="35">
        <v>44632</v>
      </c>
      <c r="F1291" s="52">
        <v>456</v>
      </c>
      <c r="G1291" s="53">
        <f>Tabla14[[#This Row],[Importe]]-Tabla14[[#This Row],[Pagado]]</f>
        <v>0</v>
      </c>
      <c r="H1291" s="37" t="s">
        <v>10</v>
      </c>
    </row>
    <row r="1292" spans="1:8" x14ac:dyDescent="0.25">
      <c r="A1292" s="31">
        <v>44632</v>
      </c>
      <c r="B1292" s="37" t="s">
        <v>8323</v>
      </c>
      <c r="C1292" s="51" t="s">
        <v>129</v>
      </c>
      <c r="D1292" s="52">
        <v>1824</v>
      </c>
      <c r="E1292" s="35">
        <v>44632</v>
      </c>
      <c r="F1292" s="52">
        <v>1824</v>
      </c>
      <c r="G1292" s="53">
        <f>Tabla14[[#This Row],[Importe]]-Tabla14[[#This Row],[Pagado]]</f>
        <v>0</v>
      </c>
      <c r="H1292" s="37" t="s">
        <v>10</v>
      </c>
    </row>
    <row r="1293" spans="1:8" x14ac:dyDescent="0.25">
      <c r="A1293" s="31">
        <v>44632</v>
      </c>
      <c r="B1293" s="37" t="s">
        <v>8324</v>
      </c>
      <c r="C1293" s="51" t="s">
        <v>127</v>
      </c>
      <c r="D1293" s="52">
        <v>3908.8</v>
      </c>
      <c r="E1293" s="35">
        <v>44632</v>
      </c>
      <c r="F1293" s="52">
        <v>3908.8</v>
      </c>
      <c r="G1293" s="53">
        <f>Tabla14[[#This Row],[Importe]]-Tabla14[[#This Row],[Pagado]]</f>
        <v>0</v>
      </c>
      <c r="H1293" s="37" t="s">
        <v>10</v>
      </c>
    </row>
    <row r="1294" spans="1:8" x14ac:dyDescent="0.25">
      <c r="A1294" s="31">
        <v>44632</v>
      </c>
      <c r="B1294" s="37" t="s">
        <v>8325</v>
      </c>
      <c r="C1294" s="51" t="s">
        <v>339</v>
      </c>
      <c r="D1294" s="52">
        <v>1832.8</v>
      </c>
      <c r="E1294" s="35">
        <v>44632</v>
      </c>
      <c r="F1294" s="52">
        <v>1832.8</v>
      </c>
      <c r="G1294" s="53">
        <f>Tabla14[[#This Row],[Importe]]-Tabla14[[#This Row],[Pagado]]</f>
        <v>0</v>
      </c>
      <c r="H1294" s="37" t="s">
        <v>10</v>
      </c>
    </row>
    <row r="1295" spans="1:8" x14ac:dyDescent="0.25">
      <c r="A1295" s="31">
        <v>44632</v>
      </c>
      <c r="B1295" s="37" t="s">
        <v>8326</v>
      </c>
      <c r="C1295" s="51" t="s">
        <v>181</v>
      </c>
      <c r="D1295" s="52">
        <v>18086.400000000001</v>
      </c>
      <c r="E1295" s="35">
        <v>44632</v>
      </c>
      <c r="F1295" s="52">
        <v>18086.400000000001</v>
      </c>
      <c r="G1295" s="53">
        <f>Tabla14[[#This Row],[Importe]]-Tabla14[[#This Row],[Pagado]]</f>
        <v>0</v>
      </c>
      <c r="H1295" s="37" t="s">
        <v>10</v>
      </c>
    </row>
    <row r="1296" spans="1:8" x14ac:dyDescent="0.25">
      <c r="A1296" s="31">
        <v>44632</v>
      </c>
      <c r="B1296" s="37" t="s">
        <v>8327</v>
      </c>
      <c r="C1296" s="51" t="s">
        <v>175</v>
      </c>
      <c r="D1296" s="52">
        <v>2347.8000000000002</v>
      </c>
      <c r="E1296" s="35">
        <v>44632</v>
      </c>
      <c r="F1296" s="52">
        <v>2347.8000000000002</v>
      </c>
      <c r="G1296" s="53">
        <f>Tabla14[[#This Row],[Importe]]-Tabla14[[#This Row],[Pagado]]</f>
        <v>0</v>
      </c>
      <c r="H1296" s="37" t="s">
        <v>10</v>
      </c>
    </row>
    <row r="1297" spans="1:8" x14ac:dyDescent="0.25">
      <c r="A1297" s="31">
        <v>44632</v>
      </c>
      <c r="B1297" s="37" t="s">
        <v>8328</v>
      </c>
      <c r="C1297" s="51" t="s">
        <v>244</v>
      </c>
      <c r="D1297" s="52">
        <v>5140</v>
      </c>
      <c r="E1297" s="35">
        <v>44632</v>
      </c>
      <c r="F1297" s="52">
        <v>5140</v>
      </c>
      <c r="G1297" s="53">
        <f>Tabla14[[#This Row],[Importe]]-Tabla14[[#This Row],[Pagado]]</f>
        <v>0</v>
      </c>
      <c r="H1297" s="37" t="s">
        <v>10</v>
      </c>
    </row>
    <row r="1298" spans="1:8" x14ac:dyDescent="0.25">
      <c r="A1298" s="31">
        <v>44632</v>
      </c>
      <c r="B1298" s="37" t="s">
        <v>8329</v>
      </c>
      <c r="C1298" s="51" t="s">
        <v>8330</v>
      </c>
      <c r="D1298" s="52">
        <v>0</v>
      </c>
      <c r="E1298" s="39" t="s">
        <v>189</v>
      </c>
      <c r="F1298" s="52">
        <v>0</v>
      </c>
      <c r="G1298" s="53">
        <f>Tabla14[[#This Row],[Importe]]-Tabla14[[#This Row],[Pagado]]</f>
        <v>0</v>
      </c>
      <c r="H1298" s="37" t="s">
        <v>189</v>
      </c>
    </row>
    <row r="1299" spans="1:8" x14ac:dyDescent="0.25">
      <c r="A1299" s="31">
        <v>44632</v>
      </c>
      <c r="B1299" s="37" t="s">
        <v>8331</v>
      </c>
      <c r="C1299" s="51" t="s">
        <v>392</v>
      </c>
      <c r="D1299" s="52">
        <v>1652</v>
      </c>
      <c r="E1299" s="35">
        <v>44632</v>
      </c>
      <c r="F1299" s="52">
        <v>1652</v>
      </c>
      <c r="G1299" s="53">
        <f>Tabla14[[#This Row],[Importe]]-Tabla14[[#This Row],[Pagado]]</f>
        <v>0</v>
      </c>
      <c r="H1299" s="37" t="s">
        <v>10</v>
      </c>
    </row>
    <row r="1300" spans="1:8" x14ac:dyDescent="0.25">
      <c r="A1300" s="31">
        <v>44632</v>
      </c>
      <c r="B1300" s="37" t="s">
        <v>8332</v>
      </c>
      <c r="C1300" s="51" t="s">
        <v>843</v>
      </c>
      <c r="D1300" s="52">
        <v>13351.6</v>
      </c>
      <c r="E1300" s="35">
        <v>44632</v>
      </c>
      <c r="F1300" s="52">
        <v>13351.6</v>
      </c>
      <c r="G1300" s="53">
        <f>Tabla14[[#This Row],[Importe]]-Tabla14[[#This Row],[Pagado]]</f>
        <v>0</v>
      </c>
      <c r="H1300" s="37" t="s">
        <v>10</v>
      </c>
    </row>
    <row r="1301" spans="1:8" x14ac:dyDescent="0.25">
      <c r="A1301" s="31">
        <v>44632</v>
      </c>
      <c r="B1301" s="37" t="s">
        <v>8333</v>
      </c>
      <c r="C1301" s="51" t="s">
        <v>200</v>
      </c>
      <c r="D1301" s="52">
        <v>1248</v>
      </c>
      <c r="E1301" s="35">
        <v>44632</v>
      </c>
      <c r="F1301" s="52">
        <v>1248</v>
      </c>
      <c r="G1301" s="53">
        <f>Tabla14[[#This Row],[Importe]]-Tabla14[[#This Row],[Pagado]]</f>
        <v>0</v>
      </c>
      <c r="H1301" s="37" t="s">
        <v>10</v>
      </c>
    </row>
    <row r="1302" spans="1:8" x14ac:dyDescent="0.25">
      <c r="A1302" s="31">
        <v>44632</v>
      </c>
      <c r="B1302" s="37" t="s">
        <v>8334</v>
      </c>
      <c r="C1302" s="51" t="s">
        <v>214</v>
      </c>
      <c r="D1302" s="52">
        <v>1512</v>
      </c>
      <c r="E1302" s="35">
        <v>44632</v>
      </c>
      <c r="F1302" s="52">
        <v>1512</v>
      </c>
      <c r="G1302" s="53">
        <f>Tabla14[[#This Row],[Importe]]-Tabla14[[#This Row],[Pagado]]</f>
        <v>0</v>
      </c>
      <c r="H1302" s="37" t="s">
        <v>10</v>
      </c>
    </row>
    <row r="1303" spans="1:8" x14ac:dyDescent="0.25">
      <c r="A1303" s="31">
        <v>44632</v>
      </c>
      <c r="B1303" s="37" t="s">
        <v>8335</v>
      </c>
      <c r="C1303" s="51" t="s">
        <v>843</v>
      </c>
      <c r="D1303" s="52">
        <v>6000</v>
      </c>
      <c r="E1303" s="35">
        <v>44632</v>
      </c>
      <c r="F1303" s="52">
        <v>6000</v>
      </c>
      <c r="G1303" s="53">
        <f>Tabla14[[#This Row],[Importe]]-Tabla14[[#This Row],[Pagado]]</f>
        <v>0</v>
      </c>
      <c r="H1303" s="37" t="s">
        <v>10</v>
      </c>
    </row>
    <row r="1304" spans="1:8" x14ac:dyDescent="0.25">
      <c r="A1304" s="31">
        <v>44632</v>
      </c>
      <c r="B1304" s="37" t="s">
        <v>8336</v>
      </c>
      <c r="C1304" s="51" t="s">
        <v>426</v>
      </c>
      <c r="D1304" s="52">
        <v>2683.2</v>
      </c>
      <c r="E1304" s="35">
        <v>44632</v>
      </c>
      <c r="F1304" s="52">
        <v>2683.2</v>
      </c>
      <c r="G1304" s="53">
        <f>Tabla14[[#This Row],[Importe]]-Tabla14[[#This Row],[Pagado]]</f>
        <v>0</v>
      </c>
      <c r="H1304" s="37" t="s">
        <v>10</v>
      </c>
    </row>
    <row r="1305" spans="1:8" x14ac:dyDescent="0.25">
      <c r="A1305" s="31">
        <v>44632</v>
      </c>
      <c r="B1305" s="37" t="s">
        <v>8337</v>
      </c>
      <c r="C1305" s="51" t="s">
        <v>67</v>
      </c>
      <c r="D1305" s="52">
        <v>980</v>
      </c>
      <c r="E1305" s="35">
        <v>44632</v>
      </c>
      <c r="F1305" s="52">
        <v>980</v>
      </c>
      <c r="G1305" s="53">
        <f>Tabla14[[#This Row],[Importe]]-Tabla14[[#This Row],[Pagado]]</f>
        <v>0</v>
      </c>
      <c r="H1305" s="37" t="s">
        <v>10</v>
      </c>
    </row>
    <row r="1306" spans="1:8" x14ac:dyDescent="0.25">
      <c r="A1306" s="31">
        <v>44632</v>
      </c>
      <c r="B1306" s="37" t="s">
        <v>8338</v>
      </c>
      <c r="C1306" s="51" t="s">
        <v>6112</v>
      </c>
      <c r="D1306" s="52">
        <v>4624</v>
      </c>
      <c r="E1306" s="35">
        <v>44632</v>
      </c>
      <c r="F1306" s="52">
        <v>4624</v>
      </c>
      <c r="G1306" s="53">
        <f>Tabla14[[#This Row],[Importe]]-Tabla14[[#This Row],[Pagado]]</f>
        <v>0</v>
      </c>
      <c r="H1306" s="37" t="s">
        <v>10</v>
      </c>
    </row>
    <row r="1307" spans="1:8" x14ac:dyDescent="0.25">
      <c r="A1307" s="31">
        <v>44632</v>
      </c>
      <c r="B1307" s="37" t="s">
        <v>8339</v>
      </c>
      <c r="C1307" s="51" t="s">
        <v>452</v>
      </c>
      <c r="D1307" s="52">
        <v>3052</v>
      </c>
      <c r="E1307" s="35">
        <v>44632</v>
      </c>
      <c r="F1307" s="52">
        <v>3052</v>
      </c>
      <c r="G1307" s="53">
        <f>Tabla14[[#This Row],[Importe]]-Tabla14[[#This Row],[Pagado]]</f>
        <v>0</v>
      </c>
      <c r="H1307" s="37" t="s">
        <v>10</v>
      </c>
    </row>
    <row r="1308" spans="1:8" x14ac:dyDescent="0.25">
      <c r="A1308" s="31">
        <v>44632</v>
      </c>
      <c r="B1308" s="37" t="s">
        <v>8340</v>
      </c>
      <c r="C1308" s="51" t="s">
        <v>670</v>
      </c>
      <c r="D1308" s="52">
        <v>3091</v>
      </c>
      <c r="E1308" s="35">
        <v>44632</v>
      </c>
      <c r="F1308" s="52">
        <v>3091</v>
      </c>
      <c r="G1308" s="53">
        <f>Tabla14[[#This Row],[Importe]]-Tabla14[[#This Row],[Pagado]]</f>
        <v>0</v>
      </c>
      <c r="H1308" s="37" t="s">
        <v>10</v>
      </c>
    </row>
    <row r="1309" spans="1:8" x14ac:dyDescent="0.25">
      <c r="A1309" s="31">
        <v>44632</v>
      </c>
      <c r="B1309" s="37" t="s">
        <v>8341</v>
      </c>
      <c r="C1309" s="51" t="s">
        <v>409</v>
      </c>
      <c r="D1309" s="52">
        <v>10981.5</v>
      </c>
      <c r="E1309" s="35">
        <v>44635</v>
      </c>
      <c r="F1309" s="52">
        <v>10981.5</v>
      </c>
      <c r="G1309" s="53">
        <f>Tabla14[[#This Row],[Importe]]-Tabla14[[#This Row],[Pagado]]</f>
        <v>0</v>
      </c>
      <c r="H1309" s="37" t="s">
        <v>10</v>
      </c>
    </row>
    <row r="1310" spans="1:8" x14ac:dyDescent="0.25">
      <c r="A1310" s="31">
        <v>44632</v>
      </c>
      <c r="B1310" s="37" t="s">
        <v>8342</v>
      </c>
      <c r="C1310" s="51" t="s">
        <v>67</v>
      </c>
      <c r="D1310" s="52">
        <v>1834</v>
      </c>
      <c r="E1310" s="35">
        <v>44632</v>
      </c>
      <c r="F1310" s="52">
        <v>1834</v>
      </c>
      <c r="G1310" s="53">
        <f>Tabla14[[#This Row],[Importe]]-Tabla14[[#This Row],[Pagado]]</f>
        <v>0</v>
      </c>
      <c r="H1310" s="37" t="s">
        <v>10</v>
      </c>
    </row>
    <row r="1311" spans="1:8" x14ac:dyDescent="0.25">
      <c r="A1311" s="31">
        <v>44632</v>
      </c>
      <c r="B1311" s="37" t="s">
        <v>8343</v>
      </c>
      <c r="C1311" s="51" t="s">
        <v>53</v>
      </c>
      <c r="D1311" s="52">
        <v>2000.7</v>
      </c>
      <c r="E1311" s="35">
        <v>44632</v>
      </c>
      <c r="F1311" s="52">
        <v>2000.7</v>
      </c>
      <c r="G1311" s="53">
        <f>Tabla14[[#This Row],[Importe]]-Tabla14[[#This Row],[Pagado]]</f>
        <v>0</v>
      </c>
      <c r="H1311" s="37" t="s">
        <v>10</v>
      </c>
    </row>
    <row r="1312" spans="1:8" x14ac:dyDescent="0.25">
      <c r="A1312" s="31">
        <v>44632</v>
      </c>
      <c r="B1312" s="37" t="s">
        <v>8344</v>
      </c>
      <c r="C1312" s="51" t="s">
        <v>31</v>
      </c>
      <c r="D1312" s="52">
        <v>1040.4000000000001</v>
      </c>
      <c r="E1312" s="35">
        <v>44632</v>
      </c>
      <c r="F1312" s="52">
        <v>1040.4000000000001</v>
      </c>
      <c r="G1312" s="53">
        <f>Tabla14[[#This Row],[Importe]]-Tabla14[[#This Row],[Pagado]]</f>
        <v>0</v>
      </c>
      <c r="H1312" s="37" t="s">
        <v>10</v>
      </c>
    </row>
    <row r="1313" spans="1:8" x14ac:dyDescent="0.25">
      <c r="A1313" s="31">
        <v>44632</v>
      </c>
      <c r="B1313" s="37" t="s">
        <v>8345</v>
      </c>
      <c r="C1313" s="51" t="s">
        <v>712</v>
      </c>
      <c r="D1313" s="52">
        <v>1.07</v>
      </c>
      <c r="E1313" s="35">
        <v>44637</v>
      </c>
      <c r="F1313" s="52">
        <v>1.07</v>
      </c>
      <c r="G1313" s="53">
        <f>Tabla14[[#This Row],[Importe]]-Tabla14[[#This Row],[Pagado]]</f>
        <v>0</v>
      </c>
      <c r="H1313" s="37" t="s">
        <v>10</v>
      </c>
    </row>
    <row r="1314" spans="1:8" x14ac:dyDescent="0.25">
      <c r="A1314" s="31">
        <v>44632</v>
      </c>
      <c r="B1314" s="37" t="s">
        <v>8346</v>
      </c>
      <c r="C1314" s="51" t="s">
        <v>9</v>
      </c>
      <c r="D1314" s="52">
        <v>1979.6</v>
      </c>
      <c r="E1314" s="35">
        <v>44632</v>
      </c>
      <c r="F1314" s="52">
        <v>1979.6</v>
      </c>
      <c r="G1314" s="53">
        <f>Tabla14[[#This Row],[Importe]]-Tabla14[[#This Row],[Pagado]]</f>
        <v>0</v>
      </c>
      <c r="H1314" s="37" t="s">
        <v>10</v>
      </c>
    </row>
    <row r="1315" spans="1:8" x14ac:dyDescent="0.25">
      <c r="A1315" s="31">
        <v>44632</v>
      </c>
      <c r="B1315" s="37" t="s">
        <v>8347</v>
      </c>
      <c r="C1315" s="51" t="s">
        <v>681</v>
      </c>
      <c r="D1315" s="52">
        <v>18908.25</v>
      </c>
      <c r="E1315" s="35">
        <v>44637</v>
      </c>
      <c r="F1315" s="52">
        <v>18908.25</v>
      </c>
      <c r="G1315" s="53">
        <f>Tabla14[[#This Row],[Importe]]-Tabla14[[#This Row],[Pagado]]</f>
        <v>0</v>
      </c>
      <c r="H1315" s="37" t="s">
        <v>10</v>
      </c>
    </row>
    <row r="1316" spans="1:8" x14ac:dyDescent="0.25">
      <c r="A1316" s="31">
        <v>44632</v>
      </c>
      <c r="B1316" s="37" t="s">
        <v>8348</v>
      </c>
      <c r="C1316" s="51" t="s">
        <v>414</v>
      </c>
      <c r="D1316" s="52">
        <v>1850</v>
      </c>
      <c r="E1316" s="35">
        <v>44638</v>
      </c>
      <c r="F1316" s="52">
        <v>1850</v>
      </c>
      <c r="G1316" s="53">
        <f>Tabla14[[#This Row],[Importe]]-Tabla14[[#This Row],[Pagado]]</f>
        <v>0</v>
      </c>
      <c r="H1316" s="37" t="s">
        <v>10</v>
      </c>
    </row>
    <row r="1317" spans="1:8" x14ac:dyDescent="0.25">
      <c r="A1317" s="31">
        <v>44632</v>
      </c>
      <c r="B1317" s="37" t="s">
        <v>8349</v>
      </c>
      <c r="C1317" s="51" t="s">
        <v>31</v>
      </c>
      <c r="D1317" s="52">
        <v>543.20000000000005</v>
      </c>
      <c r="E1317" s="35">
        <v>44632</v>
      </c>
      <c r="F1317" s="52">
        <v>543.20000000000005</v>
      </c>
      <c r="G1317" s="53">
        <f>Tabla14[[#This Row],[Importe]]-Tabla14[[#This Row],[Pagado]]</f>
        <v>0</v>
      </c>
      <c r="H1317" s="37" t="s">
        <v>10</v>
      </c>
    </row>
    <row r="1318" spans="1:8" x14ac:dyDescent="0.25">
      <c r="A1318" s="31">
        <v>44632</v>
      </c>
      <c r="B1318" s="37" t="s">
        <v>8350</v>
      </c>
      <c r="C1318" s="51" t="s">
        <v>421</v>
      </c>
      <c r="D1318" s="52">
        <v>7644.1</v>
      </c>
      <c r="E1318" s="35">
        <v>44632</v>
      </c>
      <c r="F1318" s="52">
        <v>7644.1</v>
      </c>
      <c r="G1318" s="53">
        <f>Tabla14[[#This Row],[Importe]]-Tabla14[[#This Row],[Pagado]]</f>
        <v>0</v>
      </c>
      <c r="H1318" s="37" t="s">
        <v>10</v>
      </c>
    </row>
    <row r="1319" spans="1:8" x14ac:dyDescent="0.25">
      <c r="A1319" s="31">
        <v>44632</v>
      </c>
      <c r="B1319" s="37" t="s">
        <v>8351</v>
      </c>
      <c r="C1319" s="51" t="s">
        <v>31</v>
      </c>
      <c r="D1319" s="52">
        <v>364</v>
      </c>
      <c r="E1319" s="35">
        <v>44632</v>
      </c>
      <c r="F1319" s="52">
        <v>364</v>
      </c>
      <c r="G1319" s="53">
        <f>Tabla14[[#This Row],[Importe]]-Tabla14[[#This Row],[Pagado]]</f>
        <v>0</v>
      </c>
      <c r="H1319" s="37" t="s">
        <v>10</v>
      </c>
    </row>
    <row r="1320" spans="1:8" x14ac:dyDescent="0.25">
      <c r="A1320" s="31">
        <v>44632</v>
      </c>
      <c r="B1320" s="37" t="s">
        <v>8352</v>
      </c>
      <c r="C1320" s="51" t="s">
        <v>5345</v>
      </c>
      <c r="D1320" s="52">
        <v>1573.6</v>
      </c>
      <c r="E1320" s="35">
        <v>44634</v>
      </c>
      <c r="F1320" s="52">
        <v>1573.6</v>
      </c>
      <c r="G1320" s="53">
        <f>Tabla14[[#This Row],[Importe]]-Tabla14[[#This Row],[Pagado]]</f>
        <v>0</v>
      </c>
      <c r="H1320" s="37" t="s">
        <v>10</v>
      </c>
    </row>
    <row r="1321" spans="1:8" x14ac:dyDescent="0.25">
      <c r="A1321" s="31">
        <v>44632</v>
      </c>
      <c r="B1321" s="37" t="s">
        <v>8353</v>
      </c>
      <c r="C1321" s="51" t="s">
        <v>280</v>
      </c>
      <c r="D1321" s="52">
        <v>980</v>
      </c>
      <c r="E1321" s="35">
        <v>44634</v>
      </c>
      <c r="F1321" s="52">
        <v>980</v>
      </c>
      <c r="G1321" s="53">
        <f>Tabla14[[#This Row],[Importe]]-Tabla14[[#This Row],[Pagado]]</f>
        <v>0</v>
      </c>
      <c r="H1321" s="37" t="s">
        <v>10</v>
      </c>
    </row>
    <row r="1322" spans="1:8" x14ac:dyDescent="0.25">
      <c r="A1322" s="31">
        <v>44632</v>
      </c>
      <c r="B1322" s="37" t="s">
        <v>8354</v>
      </c>
      <c r="C1322" s="51" t="s">
        <v>284</v>
      </c>
      <c r="D1322" s="52">
        <v>14173.6</v>
      </c>
      <c r="E1322" s="35">
        <v>44634</v>
      </c>
      <c r="F1322" s="52">
        <v>14173.6</v>
      </c>
      <c r="G1322" s="53">
        <f>Tabla14[[#This Row],[Importe]]-Tabla14[[#This Row],[Pagado]]</f>
        <v>0</v>
      </c>
      <c r="H1322" s="37" t="s">
        <v>10</v>
      </c>
    </row>
    <row r="1323" spans="1:8" x14ac:dyDescent="0.25">
      <c r="A1323" s="31">
        <v>44632</v>
      </c>
      <c r="B1323" s="37" t="s">
        <v>8355</v>
      </c>
      <c r="C1323" s="51" t="s">
        <v>8356</v>
      </c>
      <c r="D1323" s="52">
        <v>6260.8</v>
      </c>
      <c r="E1323" s="35">
        <v>44632</v>
      </c>
      <c r="F1323" s="52">
        <v>6260.8</v>
      </c>
      <c r="G1323" s="53">
        <f>Tabla14[[#This Row],[Importe]]-Tabla14[[#This Row],[Pagado]]</f>
        <v>0</v>
      </c>
      <c r="H1323" s="37" t="s">
        <v>10</v>
      </c>
    </row>
    <row r="1324" spans="1:8" x14ac:dyDescent="0.25">
      <c r="A1324" s="31">
        <v>44632</v>
      </c>
      <c r="B1324" s="37" t="s">
        <v>8357</v>
      </c>
      <c r="C1324" s="51" t="s">
        <v>282</v>
      </c>
      <c r="D1324" s="52">
        <v>6882.4</v>
      </c>
      <c r="E1324" s="35">
        <v>44634</v>
      </c>
      <c r="F1324" s="52">
        <v>6882.4</v>
      </c>
      <c r="G1324" s="53">
        <f>Tabla14[[#This Row],[Importe]]-Tabla14[[#This Row],[Pagado]]</f>
        <v>0</v>
      </c>
      <c r="H1324" s="37" t="s">
        <v>10</v>
      </c>
    </row>
    <row r="1325" spans="1:8" x14ac:dyDescent="0.25">
      <c r="A1325" s="31">
        <v>44632</v>
      </c>
      <c r="B1325" s="37" t="s">
        <v>8358</v>
      </c>
      <c r="C1325" s="51" t="s">
        <v>71</v>
      </c>
      <c r="D1325" s="52">
        <v>922.2</v>
      </c>
      <c r="E1325" s="35">
        <v>44632</v>
      </c>
      <c r="F1325" s="52">
        <v>922.2</v>
      </c>
      <c r="G1325" s="53">
        <f>Tabla14[[#This Row],[Importe]]-Tabla14[[#This Row],[Pagado]]</f>
        <v>0</v>
      </c>
      <c r="H1325" s="37" t="s">
        <v>10</v>
      </c>
    </row>
    <row r="1326" spans="1:8" x14ac:dyDescent="0.25">
      <c r="A1326" s="31">
        <v>44632</v>
      </c>
      <c r="B1326" s="37" t="s">
        <v>8359</v>
      </c>
      <c r="C1326" s="51" t="s">
        <v>314</v>
      </c>
      <c r="D1326" s="52">
        <v>3595.2</v>
      </c>
      <c r="E1326" s="35">
        <v>44634</v>
      </c>
      <c r="F1326" s="52">
        <v>3595.2</v>
      </c>
      <c r="G1326" s="53">
        <f>Tabla14[[#This Row],[Importe]]-Tabla14[[#This Row],[Pagado]]</f>
        <v>0</v>
      </c>
      <c r="H1326" s="37" t="s">
        <v>10</v>
      </c>
    </row>
    <row r="1327" spans="1:8" x14ac:dyDescent="0.25">
      <c r="A1327" s="31">
        <v>44632</v>
      </c>
      <c r="B1327" s="37" t="s">
        <v>8360</v>
      </c>
      <c r="C1327" s="51" t="s">
        <v>31</v>
      </c>
      <c r="D1327" s="52">
        <v>680</v>
      </c>
      <c r="E1327" s="35">
        <v>44632</v>
      </c>
      <c r="F1327" s="52">
        <v>680</v>
      </c>
      <c r="G1327" s="53">
        <f>Tabla14[[#This Row],[Importe]]-Tabla14[[#This Row],[Pagado]]</f>
        <v>0</v>
      </c>
      <c r="H1327" s="37" t="s">
        <v>10</v>
      </c>
    </row>
    <row r="1328" spans="1:8" x14ac:dyDescent="0.25">
      <c r="A1328" s="31">
        <v>44632</v>
      </c>
      <c r="B1328" s="37" t="s">
        <v>8361</v>
      </c>
      <c r="C1328" s="51" t="s">
        <v>87</v>
      </c>
      <c r="D1328" s="52">
        <v>4060</v>
      </c>
      <c r="E1328" s="35">
        <v>44634</v>
      </c>
      <c r="F1328" s="52">
        <v>4060</v>
      </c>
      <c r="G1328" s="53">
        <f>Tabla14[[#This Row],[Importe]]-Tabla14[[#This Row],[Pagado]]</f>
        <v>0</v>
      </c>
      <c r="H1328" s="37" t="s">
        <v>10</v>
      </c>
    </row>
    <row r="1329" spans="1:8" x14ac:dyDescent="0.25">
      <c r="A1329" s="31">
        <v>44632</v>
      </c>
      <c r="B1329" s="37" t="s">
        <v>8362</v>
      </c>
      <c r="C1329" s="51" t="s">
        <v>51</v>
      </c>
      <c r="D1329" s="52">
        <v>2956.8</v>
      </c>
      <c r="E1329" s="35">
        <v>44632</v>
      </c>
      <c r="F1329" s="52">
        <v>2956.8</v>
      </c>
      <c r="G1329" s="53">
        <f>Tabla14[[#This Row],[Importe]]-Tabla14[[#This Row],[Pagado]]</f>
        <v>0</v>
      </c>
      <c r="H1329" s="37" t="s">
        <v>10</v>
      </c>
    </row>
    <row r="1330" spans="1:8" x14ac:dyDescent="0.25">
      <c r="A1330" s="31">
        <v>44632</v>
      </c>
      <c r="B1330" s="37" t="s">
        <v>8363</v>
      </c>
      <c r="C1330" s="51" t="s">
        <v>27</v>
      </c>
      <c r="D1330" s="52">
        <v>867.2</v>
      </c>
      <c r="E1330" s="35">
        <v>44632</v>
      </c>
      <c r="F1330" s="52">
        <v>867.2</v>
      </c>
      <c r="G1330" s="53">
        <f>Tabla14[[#This Row],[Importe]]-Tabla14[[#This Row],[Pagado]]</f>
        <v>0</v>
      </c>
      <c r="H1330" s="37" t="s">
        <v>10</v>
      </c>
    </row>
    <row r="1331" spans="1:8" x14ac:dyDescent="0.25">
      <c r="A1331" s="31">
        <v>44632</v>
      </c>
      <c r="B1331" s="37" t="s">
        <v>8364</v>
      </c>
      <c r="C1331" s="51" t="s">
        <v>275</v>
      </c>
      <c r="D1331" s="52">
        <v>7389</v>
      </c>
      <c r="E1331" s="35">
        <v>44645</v>
      </c>
      <c r="F1331" s="52">
        <v>7389</v>
      </c>
      <c r="G1331" s="53">
        <f>Tabla14[[#This Row],[Importe]]-Tabla14[[#This Row],[Pagado]]</f>
        <v>0</v>
      </c>
      <c r="H1331" s="37" t="s">
        <v>10</v>
      </c>
    </row>
    <row r="1332" spans="1:8" x14ac:dyDescent="0.25">
      <c r="A1332" s="31">
        <v>44632</v>
      </c>
      <c r="B1332" s="37" t="s">
        <v>8365</v>
      </c>
      <c r="C1332" s="51" t="s">
        <v>1174</v>
      </c>
      <c r="D1332" s="52">
        <v>33392.800000000003</v>
      </c>
      <c r="E1332" s="35">
        <v>44632</v>
      </c>
      <c r="F1332" s="52">
        <v>33392.800000000003</v>
      </c>
      <c r="G1332" s="53">
        <f>Tabla14[[#This Row],[Importe]]-Tabla14[[#This Row],[Pagado]]</f>
        <v>0</v>
      </c>
      <c r="H1332" s="37" t="s">
        <v>10</v>
      </c>
    </row>
    <row r="1333" spans="1:8" x14ac:dyDescent="0.25">
      <c r="A1333" s="31">
        <v>44632</v>
      </c>
      <c r="B1333" s="37" t="s">
        <v>8366</v>
      </c>
      <c r="C1333" s="51" t="s">
        <v>1174</v>
      </c>
      <c r="D1333" s="52">
        <v>240</v>
      </c>
      <c r="E1333" s="35">
        <v>44632</v>
      </c>
      <c r="F1333" s="52">
        <v>240</v>
      </c>
      <c r="G1333" s="53">
        <f>Tabla14[[#This Row],[Importe]]-Tabla14[[#This Row],[Pagado]]</f>
        <v>0</v>
      </c>
      <c r="H1333" s="37" t="s">
        <v>10</v>
      </c>
    </row>
    <row r="1334" spans="1:8" x14ac:dyDescent="0.25">
      <c r="A1334" s="31">
        <v>44632</v>
      </c>
      <c r="B1334" s="37" t="s">
        <v>8367</v>
      </c>
      <c r="C1334" s="51" t="s">
        <v>610</v>
      </c>
      <c r="D1334" s="52">
        <v>6722.1</v>
      </c>
      <c r="E1334" s="35">
        <v>44632</v>
      </c>
      <c r="F1334" s="52">
        <v>6722.1</v>
      </c>
      <c r="G1334" s="53">
        <f>Tabla14[[#This Row],[Importe]]-Tabla14[[#This Row],[Pagado]]</f>
        <v>0</v>
      </c>
      <c r="H1334" s="37" t="s">
        <v>10</v>
      </c>
    </row>
    <row r="1335" spans="1:8" x14ac:dyDescent="0.25">
      <c r="A1335" s="31">
        <v>44632</v>
      </c>
      <c r="B1335" s="37" t="s">
        <v>8368</v>
      </c>
      <c r="C1335" s="51" t="s">
        <v>179</v>
      </c>
      <c r="D1335" s="52">
        <v>1058.4000000000001</v>
      </c>
      <c r="E1335" s="35">
        <v>44632</v>
      </c>
      <c r="F1335" s="52">
        <v>1058.4000000000001</v>
      </c>
      <c r="G1335" s="53">
        <f>Tabla14[[#This Row],[Importe]]-Tabla14[[#This Row],[Pagado]]</f>
        <v>0</v>
      </c>
      <c r="H1335" s="37" t="s">
        <v>10</v>
      </c>
    </row>
    <row r="1336" spans="1:8" x14ac:dyDescent="0.25">
      <c r="A1336" s="31">
        <v>44632</v>
      </c>
      <c r="B1336" s="37" t="s">
        <v>8369</v>
      </c>
      <c r="C1336" s="51" t="s">
        <v>857</v>
      </c>
      <c r="D1336" s="52">
        <v>1444.8</v>
      </c>
      <c r="E1336" s="35">
        <v>44632</v>
      </c>
      <c r="F1336" s="52">
        <v>1444.8</v>
      </c>
      <c r="G1336" s="53">
        <f>Tabla14[[#This Row],[Importe]]-Tabla14[[#This Row],[Pagado]]</f>
        <v>0</v>
      </c>
      <c r="H1336" s="37" t="s">
        <v>10</v>
      </c>
    </row>
    <row r="1337" spans="1:8" x14ac:dyDescent="0.25">
      <c r="A1337" s="31">
        <v>44632</v>
      </c>
      <c r="B1337" s="37" t="s">
        <v>8370</v>
      </c>
      <c r="C1337" s="51" t="s">
        <v>459</v>
      </c>
      <c r="D1337" s="52">
        <v>213</v>
      </c>
      <c r="E1337" s="35">
        <v>44632</v>
      </c>
      <c r="F1337" s="52">
        <v>213</v>
      </c>
      <c r="G1337" s="53">
        <f>Tabla14[[#This Row],[Importe]]-Tabla14[[#This Row],[Pagado]]</f>
        <v>0</v>
      </c>
      <c r="H1337" s="37" t="s">
        <v>10</v>
      </c>
    </row>
    <row r="1338" spans="1:8" x14ac:dyDescent="0.25">
      <c r="A1338" s="31">
        <v>44632</v>
      </c>
      <c r="B1338" s="37" t="s">
        <v>8371</v>
      </c>
      <c r="C1338" s="51" t="s">
        <v>457</v>
      </c>
      <c r="D1338" s="52">
        <v>198</v>
      </c>
      <c r="E1338" s="35">
        <v>44632</v>
      </c>
      <c r="F1338" s="52">
        <v>198</v>
      </c>
      <c r="G1338" s="53">
        <f>Tabla14[[#This Row],[Importe]]-Tabla14[[#This Row],[Pagado]]</f>
        <v>0</v>
      </c>
      <c r="H1338" s="37" t="s">
        <v>10</v>
      </c>
    </row>
    <row r="1339" spans="1:8" x14ac:dyDescent="0.25">
      <c r="A1339" s="31">
        <v>44632</v>
      </c>
      <c r="B1339" s="37" t="s">
        <v>8372</v>
      </c>
      <c r="C1339" s="51" t="s">
        <v>463</v>
      </c>
      <c r="D1339" s="52">
        <v>550</v>
      </c>
      <c r="E1339" s="35">
        <v>44632</v>
      </c>
      <c r="F1339" s="52">
        <v>550</v>
      </c>
      <c r="G1339" s="53">
        <f>Tabla14[[#This Row],[Importe]]-Tabla14[[#This Row],[Pagado]]</f>
        <v>0</v>
      </c>
      <c r="H1339" s="37" t="s">
        <v>10</v>
      </c>
    </row>
    <row r="1340" spans="1:8" x14ac:dyDescent="0.25">
      <c r="A1340" s="31">
        <v>44632</v>
      </c>
      <c r="B1340" s="37" t="s">
        <v>8373</v>
      </c>
      <c r="C1340" s="51" t="s">
        <v>461</v>
      </c>
      <c r="D1340" s="52">
        <v>394</v>
      </c>
      <c r="E1340" s="35">
        <v>44632</v>
      </c>
      <c r="F1340" s="52">
        <v>394</v>
      </c>
      <c r="G1340" s="53">
        <f>Tabla14[[#This Row],[Importe]]-Tabla14[[#This Row],[Pagado]]</f>
        <v>0</v>
      </c>
      <c r="H1340" s="37" t="s">
        <v>10</v>
      </c>
    </row>
    <row r="1341" spans="1:8" x14ac:dyDescent="0.25">
      <c r="A1341" s="31">
        <v>44632</v>
      </c>
      <c r="B1341" s="37" t="s">
        <v>8374</v>
      </c>
      <c r="C1341" s="51" t="s">
        <v>31</v>
      </c>
      <c r="D1341" s="52">
        <v>4144</v>
      </c>
      <c r="E1341" s="35">
        <v>44632</v>
      </c>
      <c r="F1341" s="52">
        <v>4144</v>
      </c>
      <c r="G1341" s="53">
        <f>Tabla14[[#This Row],[Importe]]-Tabla14[[#This Row],[Pagado]]</f>
        <v>0</v>
      </c>
      <c r="H1341" s="37" t="s">
        <v>10</v>
      </c>
    </row>
    <row r="1342" spans="1:8" x14ac:dyDescent="0.25">
      <c r="A1342" s="31">
        <v>44632</v>
      </c>
      <c r="B1342" s="37" t="s">
        <v>8375</v>
      </c>
      <c r="C1342" s="51" t="s">
        <v>31</v>
      </c>
      <c r="D1342" s="52">
        <v>932.4</v>
      </c>
      <c r="E1342" s="35">
        <v>44632</v>
      </c>
      <c r="F1342" s="52">
        <v>932.4</v>
      </c>
      <c r="G1342" s="53">
        <f>Tabla14[[#This Row],[Importe]]-Tabla14[[#This Row],[Pagado]]</f>
        <v>0</v>
      </c>
      <c r="H1342" s="37" t="s">
        <v>10</v>
      </c>
    </row>
    <row r="1343" spans="1:8" x14ac:dyDescent="0.25">
      <c r="A1343" s="31">
        <v>44632</v>
      </c>
      <c r="B1343" s="37" t="s">
        <v>8376</v>
      </c>
      <c r="C1343" s="51" t="s">
        <v>31</v>
      </c>
      <c r="D1343" s="52">
        <v>2850</v>
      </c>
      <c r="E1343" s="35">
        <v>44632</v>
      </c>
      <c r="F1343" s="52">
        <v>2850</v>
      </c>
      <c r="G1343" s="53">
        <f>Tabla14[[#This Row],[Importe]]-Tabla14[[#This Row],[Pagado]]</f>
        <v>0</v>
      </c>
      <c r="H1343" s="37" t="s">
        <v>10</v>
      </c>
    </row>
    <row r="1344" spans="1:8" x14ac:dyDescent="0.25">
      <c r="A1344" s="31">
        <v>44632</v>
      </c>
      <c r="B1344" s="37" t="s">
        <v>8377</v>
      </c>
      <c r="C1344" s="51" t="s">
        <v>1706</v>
      </c>
      <c r="D1344" s="52">
        <v>3580.8</v>
      </c>
      <c r="E1344" s="35">
        <v>44632</v>
      </c>
      <c r="F1344" s="52">
        <v>3580.8</v>
      </c>
      <c r="G1344" s="53">
        <f>Tabla14[[#This Row],[Importe]]-Tabla14[[#This Row],[Pagado]]</f>
        <v>0</v>
      </c>
      <c r="H1344" s="37" t="s">
        <v>10</v>
      </c>
    </row>
    <row r="1345" spans="1:8" x14ac:dyDescent="0.25">
      <c r="A1345" s="31">
        <v>44632</v>
      </c>
      <c r="B1345" s="37" t="s">
        <v>8378</v>
      </c>
      <c r="C1345" s="51" t="s">
        <v>14</v>
      </c>
      <c r="D1345" s="52">
        <v>19429.400000000001</v>
      </c>
      <c r="E1345" s="35">
        <v>44632</v>
      </c>
      <c r="F1345" s="52">
        <v>19429.400000000001</v>
      </c>
      <c r="G1345" s="53">
        <f>Tabla14[[#This Row],[Importe]]-Tabla14[[#This Row],[Pagado]]</f>
        <v>0</v>
      </c>
      <c r="H1345" s="37" t="s">
        <v>10</v>
      </c>
    </row>
    <row r="1346" spans="1:8" x14ac:dyDescent="0.25">
      <c r="A1346" s="31">
        <v>44632</v>
      </c>
      <c r="B1346" s="37" t="s">
        <v>8379</v>
      </c>
      <c r="C1346" s="51" t="s">
        <v>71</v>
      </c>
      <c r="D1346" s="52">
        <v>3572.8</v>
      </c>
      <c r="E1346" s="35">
        <v>44632</v>
      </c>
      <c r="F1346" s="52">
        <v>3572.8</v>
      </c>
      <c r="G1346" s="53">
        <f>Tabla14[[#This Row],[Importe]]-Tabla14[[#This Row],[Pagado]]</f>
        <v>0</v>
      </c>
      <c r="H1346" s="37" t="s">
        <v>10</v>
      </c>
    </row>
    <row r="1347" spans="1:8" x14ac:dyDescent="0.25">
      <c r="A1347" s="31">
        <v>44632</v>
      </c>
      <c r="B1347" s="37" t="s">
        <v>8380</v>
      </c>
      <c r="C1347" s="51" t="s">
        <v>31</v>
      </c>
      <c r="D1347" s="52">
        <v>292.39999999999998</v>
      </c>
      <c r="E1347" s="35">
        <v>44632</v>
      </c>
      <c r="F1347" s="52">
        <v>292.39999999999998</v>
      </c>
      <c r="G1347" s="53">
        <f>Tabla14[[#This Row],[Importe]]-Tabla14[[#This Row],[Pagado]]</f>
        <v>0</v>
      </c>
      <c r="H1347" s="37" t="s">
        <v>10</v>
      </c>
    </row>
    <row r="1348" spans="1:8" x14ac:dyDescent="0.25">
      <c r="A1348" s="31">
        <v>44632</v>
      </c>
      <c r="B1348" s="37" t="s">
        <v>8381</v>
      </c>
      <c r="C1348" s="51" t="s">
        <v>31</v>
      </c>
      <c r="D1348" s="52">
        <v>39.200000000000003</v>
      </c>
      <c r="E1348" s="35">
        <v>44644</v>
      </c>
      <c r="F1348" s="52">
        <v>39.200000000000003</v>
      </c>
      <c r="G1348" s="53">
        <f>Tabla14[[#This Row],[Importe]]-Tabla14[[#This Row],[Pagado]]</f>
        <v>0</v>
      </c>
      <c r="H1348" s="37" t="s">
        <v>10</v>
      </c>
    </row>
    <row r="1349" spans="1:8" x14ac:dyDescent="0.25">
      <c r="A1349" s="31">
        <v>44632</v>
      </c>
      <c r="B1349" s="37" t="s">
        <v>8382</v>
      </c>
      <c r="C1349" s="51" t="s">
        <v>31</v>
      </c>
      <c r="D1349" s="52">
        <v>544.5</v>
      </c>
      <c r="E1349" s="35">
        <v>44632</v>
      </c>
      <c r="F1349" s="52">
        <v>544.5</v>
      </c>
      <c r="G1349" s="53">
        <f>Tabla14[[#This Row],[Importe]]-Tabla14[[#This Row],[Pagado]]</f>
        <v>0</v>
      </c>
      <c r="H1349" s="37" t="s">
        <v>10</v>
      </c>
    </row>
    <row r="1350" spans="1:8" x14ac:dyDescent="0.25">
      <c r="A1350" s="31">
        <v>44632</v>
      </c>
      <c r="B1350" s="37" t="s">
        <v>8383</v>
      </c>
      <c r="C1350" s="51" t="s">
        <v>31</v>
      </c>
      <c r="D1350" s="52">
        <v>305.2</v>
      </c>
      <c r="E1350" s="35">
        <v>44632</v>
      </c>
      <c r="F1350" s="52">
        <v>305.2</v>
      </c>
      <c r="G1350" s="53">
        <f>Tabla14[[#This Row],[Importe]]-Tabla14[[#This Row],[Pagado]]</f>
        <v>0</v>
      </c>
      <c r="H1350" s="37" t="s">
        <v>10</v>
      </c>
    </row>
    <row r="1351" spans="1:8" x14ac:dyDescent="0.25">
      <c r="A1351" s="31">
        <v>44632</v>
      </c>
      <c r="B1351" s="37" t="s">
        <v>8384</v>
      </c>
      <c r="C1351" s="51" t="s">
        <v>31</v>
      </c>
      <c r="D1351" s="52">
        <v>179.2</v>
      </c>
      <c r="E1351" s="35">
        <v>44632</v>
      </c>
      <c r="F1351" s="52">
        <v>179.2</v>
      </c>
      <c r="G1351" s="53">
        <f>Tabla14[[#This Row],[Importe]]-Tabla14[[#This Row],[Pagado]]</f>
        <v>0</v>
      </c>
      <c r="H1351" s="37" t="s">
        <v>10</v>
      </c>
    </row>
    <row r="1352" spans="1:8" x14ac:dyDescent="0.25">
      <c r="A1352" s="31">
        <v>44632</v>
      </c>
      <c r="B1352" s="37" t="s">
        <v>8385</v>
      </c>
      <c r="C1352" s="51" t="s">
        <v>196</v>
      </c>
      <c r="D1352" s="52">
        <v>12015.5</v>
      </c>
      <c r="E1352" s="35">
        <v>44638</v>
      </c>
      <c r="F1352" s="52">
        <v>12015.5</v>
      </c>
      <c r="G1352" s="53">
        <f>Tabla14[[#This Row],[Importe]]-Tabla14[[#This Row],[Pagado]]</f>
        <v>0</v>
      </c>
      <c r="H1352" s="37" t="s">
        <v>10</v>
      </c>
    </row>
    <row r="1353" spans="1:8" x14ac:dyDescent="0.25">
      <c r="A1353" s="31">
        <v>44632</v>
      </c>
      <c r="B1353" s="37" t="s">
        <v>8386</v>
      </c>
      <c r="C1353" s="51" t="s">
        <v>407</v>
      </c>
      <c r="D1353" s="52">
        <v>7400</v>
      </c>
      <c r="E1353" s="35">
        <v>44637</v>
      </c>
      <c r="F1353" s="52">
        <v>7400</v>
      </c>
      <c r="G1353" s="53">
        <f>Tabla14[[#This Row],[Importe]]-Tabla14[[#This Row],[Pagado]]</f>
        <v>0</v>
      </c>
      <c r="H1353" s="37" t="s">
        <v>10</v>
      </c>
    </row>
    <row r="1354" spans="1:8" x14ac:dyDescent="0.25">
      <c r="A1354" s="31">
        <v>44633</v>
      </c>
      <c r="B1354" s="37" t="s">
        <v>8387</v>
      </c>
      <c r="C1354" s="51" t="s">
        <v>9</v>
      </c>
      <c r="D1354" s="52">
        <v>6662.6</v>
      </c>
      <c r="E1354" s="35">
        <v>44633</v>
      </c>
      <c r="F1354" s="52">
        <v>6662.6</v>
      </c>
      <c r="G1354" s="53">
        <f>Tabla14[[#This Row],[Importe]]-Tabla14[[#This Row],[Pagado]]</f>
        <v>0</v>
      </c>
      <c r="H1354" s="37" t="s">
        <v>10</v>
      </c>
    </row>
    <row r="1355" spans="1:8" x14ac:dyDescent="0.25">
      <c r="A1355" s="31">
        <v>44633</v>
      </c>
      <c r="B1355" s="37" t="s">
        <v>8388</v>
      </c>
      <c r="C1355" s="51" t="s">
        <v>1187</v>
      </c>
      <c r="D1355" s="52">
        <v>1953.3</v>
      </c>
      <c r="E1355" s="35">
        <v>44633</v>
      </c>
      <c r="F1355" s="52">
        <v>1953.3</v>
      </c>
      <c r="G1355" s="53">
        <f>Tabla14[[#This Row],[Importe]]-Tabla14[[#This Row],[Pagado]]</f>
        <v>0</v>
      </c>
      <c r="H1355" s="37" t="s">
        <v>10</v>
      </c>
    </row>
    <row r="1356" spans="1:8" x14ac:dyDescent="0.25">
      <c r="A1356" s="31">
        <v>44633</v>
      </c>
      <c r="B1356" s="37" t="s">
        <v>8389</v>
      </c>
      <c r="C1356" s="51" t="s">
        <v>475</v>
      </c>
      <c r="D1356" s="52">
        <v>47337.3</v>
      </c>
      <c r="E1356" s="35">
        <v>44634</v>
      </c>
      <c r="F1356" s="52">
        <v>47337.3</v>
      </c>
      <c r="G1356" s="53">
        <f>Tabla14[[#This Row],[Importe]]-Tabla14[[#This Row],[Pagado]]</f>
        <v>0</v>
      </c>
      <c r="H1356" s="37" t="s">
        <v>10</v>
      </c>
    </row>
    <row r="1357" spans="1:8" x14ac:dyDescent="0.25">
      <c r="A1357" s="31">
        <v>44633</v>
      </c>
      <c r="B1357" s="37" t="s">
        <v>8390</v>
      </c>
      <c r="C1357" s="51" t="s">
        <v>16</v>
      </c>
      <c r="D1357" s="52">
        <v>9200.5</v>
      </c>
      <c r="E1357" s="35">
        <v>44633</v>
      </c>
      <c r="F1357" s="52">
        <v>9200.5</v>
      </c>
      <c r="G1357" s="53">
        <f>Tabla14[[#This Row],[Importe]]-Tabla14[[#This Row],[Pagado]]</f>
        <v>0</v>
      </c>
      <c r="H1357" s="37" t="s">
        <v>10</v>
      </c>
    </row>
    <row r="1358" spans="1:8" x14ac:dyDescent="0.25">
      <c r="A1358" s="31">
        <v>44633</v>
      </c>
      <c r="B1358" s="37" t="s">
        <v>8391</v>
      </c>
      <c r="C1358" s="51" t="s">
        <v>924</v>
      </c>
      <c r="D1358" s="52">
        <v>12805</v>
      </c>
      <c r="E1358" s="35">
        <v>44633</v>
      </c>
      <c r="F1358" s="52">
        <v>12805</v>
      </c>
      <c r="G1358" s="53">
        <f>Tabla14[[#This Row],[Importe]]-Tabla14[[#This Row],[Pagado]]</f>
        <v>0</v>
      </c>
      <c r="H1358" s="37" t="s">
        <v>10</v>
      </c>
    </row>
    <row r="1359" spans="1:8" x14ac:dyDescent="0.25">
      <c r="A1359" s="31">
        <v>44633</v>
      </c>
      <c r="B1359" s="37" t="s">
        <v>8392</v>
      </c>
      <c r="C1359" s="51" t="s">
        <v>481</v>
      </c>
      <c r="D1359" s="52">
        <v>820.4</v>
      </c>
      <c r="E1359" s="35">
        <v>44633</v>
      </c>
      <c r="F1359" s="52">
        <v>820.4</v>
      </c>
      <c r="G1359" s="53">
        <f>Tabla14[[#This Row],[Importe]]-Tabla14[[#This Row],[Pagado]]</f>
        <v>0</v>
      </c>
      <c r="H1359" s="37" t="s">
        <v>10</v>
      </c>
    </row>
    <row r="1360" spans="1:8" x14ac:dyDescent="0.25">
      <c r="A1360" s="31">
        <v>44633</v>
      </c>
      <c r="B1360" s="37" t="s">
        <v>8393</v>
      </c>
      <c r="C1360" s="51" t="s">
        <v>924</v>
      </c>
      <c r="D1360" s="52">
        <v>660</v>
      </c>
      <c r="E1360" s="35">
        <v>44633</v>
      </c>
      <c r="F1360" s="52">
        <v>660</v>
      </c>
      <c r="G1360" s="53">
        <f>Tabla14[[#This Row],[Importe]]-Tabla14[[#This Row],[Pagado]]</f>
        <v>0</v>
      </c>
      <c r="H1360" s="37" t="s">
        <v>10</v>
      </c>
    </row>
    <row r="1361" spans="1:8" x14ac:dyDescent="0.25">
      <c r="A1361" s="31">
        <v>44633</v>
      </c>
      <c r="B1361" s="37" t="s">
        <v>8394</v>
      </c>
      <c r="C1361" s="51" t="s">
        <v>16</v>
      </c>
      <c r="D1361" s="52">
        <v>460</v>
      </c>
      <c r="E1361" s="35">
        <v>44633</v>
      </c>
      <c r="F1361" s="52">
        <v>460</v>
      </c>
      <c r="G1361" s="53">
        <f>Tabla14[[#This Row],[Importe]]-Tabla14[[#This Row],[Pagado]]</f>
        <v>0</v>
      </c>
      <c r="H1361" s="37" t="s">
        <v>10</v>
      </c>
    </row>
    <row r="1362" spans="1:8" x14ac:dyDescent="0.25">
      <c r="A1362" s="31">
        <v>44633</v>
      </c>
      <c r="B1362" s="37" t="s">
        <v>8395</v>
      </c>
      <c r="C1362" s="51" t="s">
        <v>29</v>
      </c>
      <c r="D1362" s="52">
        <v>8456</v>
      </c>
      <c r="E1362" s="35">
        <v>44633</v>
      </c>
      <c r="F1362" s="52">
        <v>8456</v>
      </c>
      <c r="G1362" s="53">
        <f>Tabla14[[#This Row],[Importe]]-Tabla14[[#This Row],[Pagado]]</f>
        <v>0</v>
      </c>
      <c r="H1362" s="37" t="s">
        <v>10</v>
      </c>
    </row>
    <row r="1363" spans="1:8" x14ac:dyDescent="0.25">
      <c r="A1363" s="31">
        <v>44633</v>
      </c>
      <c r="B1363" s="37" t="s">
        <v>8396</v>
      </c>
      <c r="C1363" s="51" t="s">
        <v>27</v>
      </c>
      <c r="D1363" s="52">
        <v>3366</v>
      </c>
      <c r="E1363" s="35">
        <v>44633</v>
      </c>
      <c r="F1363" s="52">
        <v>3366</v>
      </c>
      <c r="G1363" s="53">
        <f>Tabla14[[#This Row],[Importe]]-Tabla14[[#This Row],[Pagado]]</f>
        <v>0</v>
      </c>
      <c r="H1363" s="37" t="s">
        <v>10</v>
      </c>
    </row>
    <row r="1364" spans="1:8" x14ac:dyDescent="0.25">
      <c r="A1364" s="31">
        <v>44633</v>
      </c>
      <c r="B1364" s="37" t="s">
        <v>8397</v>
      </c>
      <c r="C1364" s="51" t="s">
        <v>22</v>
      </c>
      <c r="D1364" s="52">
        <v>49127.5</v>
      </c>
      <c r="E1364" s="35">
        <v>44635</v>
      </c>
      <c r="F1364" s="52">
        <v>49127.5</v>
      </c>
      <c r="G1364" s="53">
        <f>Tabla14[[#This Row],[Importe]]-Tabla14[[#This Row],[Pagado]]</f>
        <v>0</v>
      </c>
      <c r="H1364" s="37" t="s">
        <v>10</v>
      </c>
    </row>
    <row r="1365" spans="1:8" x14ac:dyDescent="0.25">
      <c r="A1365" s="31">
        <v>44633</v>
      </c>
      <c r="B1365" s="37" t="s">
        <v>8398</v>
      </c>
      <c r="C1365" s="51" t="s">
        <v>56</v>
      </c>
      <c r="D1365" s="52">
        <v>8269.5</v>
      </c>
      <c r="E1365" s="35">
        <v>44633</v>
      </c>
      <c r="F1365" s="52">
        <v>8269.5</v>
      </c>
      <c r="G1365" s="53">
        <f>Tabla14[[#This Row],[Importe]]-Tabla14[[#This Row],[Pagado]]</f>
        <v>0</v>
      </c>
      <c r="H1365" s="37" t="s">
        <v>10</v>
      </c>
    </row>
    <row r="1366" spans="1:8" x14ac:dyDescent="0.25">
      <c r="A1366" s="31">
        <v>44633</v>
      </c>
      <c r="B1366" s="37" t="s">
        <v>8399</v>
      </c>
      <c r="C1366" s="51" t="s">
        <v>37</v>
      </c>
      <c r="D1366" s="52">
        <v>3591</v>
      </c>
      <c r="E1366" s="35">
        <v>44633</v>
      </c>
      <c r="F1366" s="52">
        <v>3591</v>
      </c>
      <c r="G1366" s="53">
        <f>Tabla14[[#This Row],[Importe]]-Tabla14[[#This Row],[Pagado]]</f>
        <v>0</v>
      </c>
      <c r="H1366" s="37" t="s">
        <v>10</v>
      </c>
    </row>
    <row r="1367" spans="1:8" x14ac:dyDescent="0.25">
      <c r="A1367" s="31">
        <v>44633</v>
      </c>
      <c r="B1367" s="37" t="s">
        <v>8400</v>
      </c>
      <c r="C1367" s="51" t="s">
        <v>33</v>
      </c>
      <c r="D1367" s="52">
        <v>18899.099999999999</v>
      </c>
      <c r="E1367" s="35">
        <v>44633</v>
      </c>
      <c r="F1367" s="52">
        <v>18899.099999999999</v>
      </c>
      <c r="G1367" s="53">
        <f>Tabla14[[#This Row],[Importe]]-Tabla14[[#This Row],[Pagado]]</f>
        <v>0</v>
      </c>
      <c r="H1367" s="37" t="s">
        <v>10</v>
      </c>
    </row>
    <row r="1368" spans="1:8" x14ac:dyDescent="0.25">
      <c r="A1368" s="31">
        <v>44633</v>
      </c>
      <c r="B1368" s="37" t="s">
        <v>8401</v>
      </c>
      <c r="C1368" s="51" t="s">
        <v>373</v>
      </c>
      <c r="D1368" s="52">
        <v>520.79999999999995</v>
      </c>
      <c r="E1368" s="35">
        <v>44633</v>
      </c>
      <c r="F1368" s="52">
        <v>520.79999999999995</v>
      </c>
      <c r="G1368" s="53">
        <f>Tabla14[[#This Row],[Importe]]-Tabla14[[#This Row],[Pagado]]</f>
        <v>0</v>
      </c>
      <c r="H1368" s="37" t="s">
        <v>10</v>
      </c>
    </row>
    <row r="1369" spans="1:8" x14ac:dyDescent="0.25">
      <c r="A1369" s="31">
        <v>44633</v>
      </c>
      <c r="B1369" s="37" t="s">
        <v>8402</v>
      </c>
      <c r="C1369" s="51" t="s">
        <v>20</v>
      </c>
      <c r="D1369" s="52">
        <v>5961.2</v>
      </c>
      <c r="E1369" s="35">
        <v>44633</v>
      </c>
      <c r="F1369" s="52">
        <v>5961.2</v>
      </c>
      <c r="G1369" s="53">
        <f>Tabla14[[#This Row],[Importe]]-Tabla14[[#This Row],[Pagado]]</f>
        <v>0</v>
      </c>
      <c r="H1369" s="37" t="s">
        <v>10</v>
      </c>
    </row>
    <row r="1370" spans="1:8" x14ac:dyDescent="0.25">
      <c r="A1370" s="31">
        <v>44633</v>
      </c>
      <c r="B1370" s="37" t="s">
        <v>8403</v>
      </c>
      <c r="C1370" s="51" t="s">
        <v>31</v>
      </c>
      <c r="D1370" s="52">
        <v>1077.3</v>
      </c>
      <c r="E1370" s="35">
        <v>44633</v>
      </c>
      <c r="F1370" s="52">
        <v>1077.3</v>
      </c>
      <c r="G1370" s="53">
        <f>Tabla14[[#This Row],[Importe]]-Tabla14[[#This Row],[Pagado]]</f>
        <v>0</v>
      </c>
      <c r="H1370" s="37" t="s">
        <v>10</v>
      </c>
    </row>
    <row r="1371" spans="1:8" x14ac:dyDescent="0.25">
      <c r="A1371" s="31">
        <v>44633</v>
      </c>
      <c r="B1371" s="37" t="s">
        <v>8404</v>
      </c>
      <c r="C1371" s="51" t="s">
        <v>49</v>
      </c>
      <c r="D1371" s="52">
        <v>3212</v>
      </c>
      <c r="E1371" s="35">
        <v>44633</v>
      </c>
      <c r="F1371" s="52">
        <v>3212</v>
      </c>
      <c r="G1371" s="53">
        <f>Tabla14[[#This Row],[Importe]]-Tabla14[[#This Row],[Pagado]]</f>
        <v>0</v>
      </c>
      <c r="H1371" s="37" t="s">
        <v>10</v>
      </c>
    </row>
    <row r="1372" spans="1:8" x14ac:dyDescent="0.25">
      <c r="A1372" s="31">
        <v>44633</v>
      </c>
      <c r="B1372" s="37" t="s">
        <v>8405</v>
      </c>
      <c r="C1372" s="51" t="s">
        <v>216</v>
      </c>
      <c r="D1372" s="52">
        <v>2077.6</v>
      </c>
      <c r="E1372" s="35">
        <v>44633</v>
      </c>
      <c r="F1372" s="52">
        <v>2077.6</v>
      </c>
      <c r="G1372" s="53">
        <f>Tabla14[[#This Row],[Importe]]-Tabla14[[#This Row],[Pagado]]</f>
        <v>0</v>
      </c>
      <c r="H1372" s="37" t="s">
        <v>10</v>
      </c>
    </row>
    <row r="1373" spans="1:8" x14ac:dyDescent="0.25">
      <c r="A1373" s="31">
        <v>44633</v>
      </c>
      <c r="B1373" s="37" t="s">
        <v>8406</v>
      </c>
      <c r="C1373" s="51" t="s">
        <v>45</v>
      </c>
      <c r="D1373" s="52">
        <v>6267</v>
      </c>
      <c r="E1373" s="35">
        <v>44633</v>
      </c>
      <c r="F1373" s="52">
        <v>6267</v>
      </c>
      <c r="G1373" s="53">
        <f>Tabla14[[#This Row],[Importe]]-Tabla14[[#This Row],[Pagado]]</f>
        <v>0</v>
      </c>
      <c r="H1373" s="37" t="s">
        <v>10</v>
      </c>
    </row>
    <row r="1374" spans="1:8" x14ac:dyDescent="0.25">
      <c r="A1374" s="31">
        <v>44633</v>
      </c>
      <c r="B1374" s="37" t="s">
        <v>8407</v>
      </c>
      <c r="C1374" s="51" t="s">
        <v>35</v>
      </c>
      <c r="D1374" s="52">
        <v>2371.6999999999998</v>
      </c>
      <c r="E1374" s="35">
        <v>44633</v>
      </c>
      <c r="F1374" s="52">
        <v>2371.6999999999998</v>
      </c>
      <c r="G1374" s="53">
        <f>Tabla14[[#This Row],[Importe]]-Tabla14[[#This Row],[Pagado]]</f>
        <v>0</v>
      </c>
      <c r="H1374" s="37" t="s">
        <v>10</v>
      </c>
    </row>
    <row r="1375" spans="1:8" x14ac:dyDescent="0.25">
      <c r="A1375" s="31">
        <v>44633</v>
      </c>
      <c r="B1375" s="37" t="s">
        <v>8408</v>
      </c>
      <c r="C1375" s="51" t="s">
        <v>191</v>
      </c>
      <c r="D1375" s="52">
        <v>2047</v>
      </c>
      <c r="E1375" s="35">
        <v>44633</v>
      </c>
      <c r="F1375" s="52">
        <v>2047</v>
      </c>
      <c r="G1375" s="53">
        <f>Tabla14[[#This Row],[Importe]]-Tabla14[[#This Row],[Pagado]]</f>
        <v>0</v>
      </c>
      <c r="H1375" s="37" t="s">
        <v>10</v>
      </c>
    </row>
    <row r="1376" spans="1:8" x14ac:dyDescent="0.25">
      <c r="A1376" s="31">
        <v>44633</v>
      </c>
      <c r="B1376" s="37" t="s">
        <v>8409</v>
      </c>
      <c r="C1376" s="51" t="s">
        <v>8410</v>
      </c>
      <c r="D1376" s="52">
        <v>0</v>
      </c>
      <c r="E1376" s="39" t="s">
        <v>189</v>
      </c>
      <c r="F1376" s="52">
        <v>0</v>
      </c>
      <c r="G1376" s="53">
        <f>Tabla14[[#This Row],[Importe]]-Tabla14[[#This Row],[Pagado]]</f>
        <v>0</v>
      </c>
      <c r="H1376" s="37" t="s">
        <v>189</v>
      </c>
    </row>
    <row r="1377" spans="1:8" x14ac:dyDescent="0.25">
      <c r="A1377" s="31">
        <v>44633</v>
      </c>
      <c r="B1377" s="37" t="s">
        <v>8411</v>
      </c>
      <c r="C1377" s="51" t="s">
        <v>1421</v>
      </c>
      <c r="D1377" s="52">
        <v>30978</v>
      </c>
      <c r="E1377" s="35">
        <v>44633</v>
      </c>
      <c r="F1377" s="52">
        <v>30978</v>
      </c>
      <c r="G1377" s="53">
        <f>Tabla14[[#This Row],[Importe]]-Tabla14[[#This Row],[Pagado]]</f>
        <v>0</v>
      </c>
      <c r="H1377" s="37" t="s">
        <v>10</v>
      </c>
    </row>
    <row r="1378" spans="1:8" x14ac:dyDescent="0.25">
      <c r="A1378" s="31">
        <v>44633</v>
      </c>
      <c r="B1378" s="37" t="s">
        <v>8412</v>
      </c>
      <c r="C1378" s="51" t="s">
        <v>233</v>
      </c>
      <c r="D1378" s="52">
        <v>5448.8</v>
      </c>
      <c r="E1378" s="35">
        <v>44633</v>
      </c>
      <c r="F1378" s="52">
        <v>5448.8</v>
      </c>
      <c r="G1378" s="53">
        <f>Tabla14[[#This Row],[Importe]]-Tabla14[[#This Row],[Pagado]]</f>
        <v>0</v>
      </c>
      <c r="H1378" s="37" t="s">
        <v>10</v>
      </c>
    </row>
    <row r="1379" spans="1:8" x14ac:dyDescent="0.25">
      <c r="A1379" s="31">
        <v>44633</v>
      </c>
      <c r="B1379" s="37" t="s">
        <v>8413</v>
      </c>
      <c r="C1379" s="51" t="s">
        <v>326</v>
      </c>
      <c r="D1379" s="52">
        <v>3839.5</v>
      </c>
      <c r="E1379" s="35">
        <v>44633</v>
      </c>
      <c r="F1379" s="52">
        <v>3839.5</v>
      </c>
      <c r="G1379" s="53">
        <f>Tabla14[[#This Row],[Importe]]-Tabla14[[#This Row],[Pagado]]</f>
        <v>0</v>
      </c>
      <c r="H1379" s="37" t="s">
        <v>10</v>
      </c>
    </row>
    <row r="1380" spans="1:8" x14ac:dyDescent="0.25">
      <c r="A1380" s="31">
        <v>44633</v>
      </c>
      <c r="B1380" s="37" t="s">
        <v>8414</v>
      </c>
      <c r="C1380" s="51" t="s">
        <v>71</v>
      </c>
      <c r="D1380" s="52">
        <v>3277.5</v>
      </c>
      <c r="E1380" s="35">
        <v>44633</v>
      </c>
      <c r="F1380" s="52">
        <v>3277.5</v>
      </c>
      <c r="G1380" s="53">
        <f>Tabla14[[#This Row],[Importe]]-Tabla14[[#This Row],[Pagado]]</f>
        <v>0</v>
      </c>
      <c r="H1380" s="37" t="s">
        <v>10</v>
      </c>
    </row>
    <row r="1381" spans="1:8" x14ac:dyDescent="0.25">
      <c r="A1381" s="31">
        <v>44633</v>
      </c>
      <c r="B1381" s="37" t="s">
        <v>8415</v>
      </c>
      <c r="C1381" s="51" t="s">
        <v>454</v>
      </c>
      <c r="D1381" s="52">
        <v>1502.6</v>
      </c>
      <c r="E1381" s="35">
        <v>44633</v>
      </c>
      <c r="F1381" s="52">
        <v>1502.6</v>
      </c>
      <c r="G1381" s="53">
        <f>Tabla14[[#This Row],[Importe]]-Tabla14[[#This Row],[Pagado]]</f>
        <v>0</v>
      </c>
      <c r="H1381" s="37" t="s">
        <v>10</v>
      </c>
    </row>
    <row r="1382" spans="1:8" x14ac:dyDescent="0.25">
      <c r="A1382" s="31">
        <v>44633</v>
      </c>
      <c r="B1382" s="37" t="s">
        <v>8416</v>
      </c>
      <c r="C1382" s="51" t="s">
        <v>12</v>
      </c>
      <c r="D1382" s="52">
        <v>60674.400000000001</v>
      </c>
      <c r="E1382" s="35">
        <v>44634</v>
      </c>
      <c r="F1382" s="52">
        <v>60674.400000000001</v>
      </c>
      <c r="G1382" s="53">
        <f>Tabla14[[#This Row],[Importe]]-Tabla14[[#This Row],[Pagado]]</f>
        <v>0</v>
      </c>
      <c r="H1382" s="37" t="s">
        <v>10</v>
      </c>
    </row>
    <row r="1383" spans="1:8" x14ac:dyDescent="0.25">
      <c r="A1383" s="31">
        <v>44633</v>
      </c>
      <c r="B1383" s="37" t="s">
        <v>8417</v>
      </c>
      <c r="C1383" s="51" t="s">
        <v>31</v>
      </c>
      <c r="D1383" s="52">
        <v>53.2</v>
      </c>
      <c r="E1383" s="35">
        <v>44633</v>
      </c>
      <c r="F1383" s="52">
        <v>53.2</v>
      </c>
      <c r="G1383" s="53">
        <f>Tabla14[[#This Row],[Importe]]-Tabla14[[#This Row],[Pagado]]</f>
        <v>0</v>
      </c>
      <c r="H1383" s="37" t="s">
        <v>10</v>
      </c>
    </row>
    <row r="1384" spans="1:8" x14ac:dyDescent="0.25">
      <c r="A1384" s="31">
        <v>44633</v>
      </c>
      <c r="B1384" s="37" t="s">
        <v>8418</v>
      </c>
      <c r="C1384" s="51" t="s">
        <v>214</v>
      </c>
      <c r="D1384" s="52">
        <v>1181.5999999999999</v>
      </c>
      <c r="E1384" s="35">
        <v>44633</v>
      </c>
      <c r="F1384" s="52">
        <v>1181.5999999999999</v>
      </c>
      <c r="G1384" s="53">
        <f>Tabla14[[#This Row],[Importe]]-Tabla14[[#This Row],[Pagado]]</f>
        <v>0</v>
      </c>
      <c r="H1384" s="37" t="s">
        <v>10</v>
      </c>
    </row>
    <row r="1385" spans="1:8" x14ac:dyDescent="0.25">
      <c r="A1385" s="31">
        <v>44633</v>
      </c>
      <c r="B1385" s="37" t="s">
        <v>8419</v>
      </c>
      <c r="C1385" s="51" t="s">
        <v>69</v>
      </c>
      <c r="D1385" s="52">
        <v>3505.6</v>
      </c>
      <c r="E1385" s="35">
        <v>44633</v>
      </c>
      <c r="F1385" s="52">
        <v>3505.6</v>
      </c>
      <c r="G1385" s="53">
        <f>Tabla14[[#This Row],[Importe]]-Tabla14[[#This Row],[Pagado]]</f>
        <v>0</v>
      </c>
      <c r="H1385" s="37" t="s">
        <v>10</v>
      </c>
    </row>
    <row r="1386" spans="1:8" x14ac:dyDescent="0.25">
      <c r="A1386" s="31">
        <v>44633</v>
      </c>
      <c r="B1386" s="37" t="s">
        <v>8420</v>
      </c>
      <c r="C1386" s="51" t="s">
        <v>872</v>
      </c>
      <c r="D1386" s="52">
        <v>2819.6</v>
      </c>
      <c r="E1386" s="35">
        <v>44633</v>
      </c>
      <c r="F1386" s="52">
        <v>2819.6</v>
      </c>
      <c r="G1386" s="53">
        <f>Tabla14[[#This Row],[Importe]]-Tabla14[[#This Row],[Pagado]]</f>
        <v>0</v>
      </c>
      <c r="H1386" s="37" t="s">
        <v>10</v>
      </c>
    </row>
    <row r="1387" spans="1:8" x14ac:dyDescent="0.25">
      <c r="A1387" s="31">
        <v>44633</v>
      </c>
      <c r="B1387" s="37" t="s">
        <v>8421</v>
      </c>
      <c r="C1387" s="51" t="s">
        <v>58</v>
      </c>
      <c r="D1387" s="52">
        <v>3502.8</v>
      </c>
      <c r="E1387" s="35">
        <v>44633</v>
      </c>
      <c r="F1387" s="52">
        <v>3502.8</v>
      </c>
      <c r="G1387" s="53">
        <f>Tabla14[[#This Row],[Importe]]-Tabla14[[#This Row],[Pagado]]</f>
        <v>0</v>
      </c>
      <c r="H1387" s="37" t="s">
        <v>10</v>
      </c>
    </row>
    <row r="1388" spans="1:8" x14ac:dyDescent="0.25">
      <c r="A1388" s="31">
        <v>44633</v>
      </c>
      <c r="B1388" s="37" t="s">
        <v>8422</v>
      </c>
      <c r="C1388" s="51" t="s">
        <v>67</v>
      </c>
      <c r="D1388" s="52">
        <v>3023.6</v>
      </c>
      <c r="E1388" s="35">
        <v>44633</v>
      </c>
      <c r="F1388" s="52">
        <v>3023.6</v>
      </c>
      <c r="G1388" s="53">
        <f>Tabla14[[#This Row],[Importe]]-Tabla14[[#This Row],[Pagado]]</f>
        <v>0</v>
      </c>
      <c r="H1388" s="37" t="s">
        <v>10</v>
      </c>
    </row>
    <row r="1389" spans="1:8" x14ac:dyDescent="0.25">
      <c r="A1389" s="31">
        <v>44633</v>
      </c>
      <c r="B1389" s="37" t="s">
        <v>8423</v>
      </c>
      <c r="C1389" s="51" t="s">
        <v>244</v>
      </c>
      <c r="D1389" s="52">
        <v>900.6</v>
      </c>
      <c r="E1389" s="35">
        <v>44633</v>
      </c>
      <c r="F1389" s="52">
        <v>900.6</v>
      </c>
      <c r="G1389" s="53">
        <f>Tabla14[[#This Row],[Importe]]-Tabla14[[#This Row],[Pagado]]</f>
        <v>0</v>
      </c>
      <c r="H1389" s="37" t="s">
        <v>10</v>
      </c>
    </row>
    <row r="1390" spans="1:8" x14ac:dyDescent="0.25">
      <c r="A1390" s="31">
        <v>44633</v>
      </c>
      <c r="B1390" s="37" t="s">
        <v>8424</v>
      </c>
      <c r="C1390" s="51" t="s">
        <v>53</v>
      </c>
      <c r="D1390" s="52">
        <v>2052</v>
      </c>
      <c r="E1390" s="35">
        <v>44633</v>
      </c>
      <c r="F1390" s="52">
        <v>2052</v>
      </c>
      <c r="G1390" s="53">
        <f>Tabla14[[#This Row],[Importe]]-Tabla14[[#This Row],[Pagado]]</f>
        <v>0</v>
      </c>
      <c r="H1390" s="37" t="s">
        <v>10</v>
      </c>
    </row>
    <row r="1391" spans="1:8" x14ac:dyDescent="0.25">
      <c r="A1391" s="31">
        <v>44633</v>
      </c>
      <c r="B1391" s="37" t="s">
        <v>8425</v>
      </c>
      <c r="C1391" s="51" t="s">
        <v>191</v>
      </c>
      <c r="D1391" s="52">
        <v>1165.8</v>
      </c>
      <c r="E1391" s="35">
        <v>44633</v>
      </c>
      <c r="F1391" s="52">
        <v>1165.8</v>
      </c>
      <c r="G1391" s="53">
        <f>Tabla14[[#This Row],[Importe]]-Tabla14[[#This Row],[Pagado]]</f>
        <v>0</v>
      </c>
      <c r="H1391" s="37" t="s">
        <v>10</v>
      </c>
    </row>
    <row r="1392" spans="1:8" x14ac:dyDescent="0.25">
      <c r="A1392" s="31">
        <v>44633</v>
      </c>
      <c r="B1392" s="37" t="s">
        <v>8426</v>
      </c>
      <c r="C1392" s="51" t="s">
        <v>16</v>
      </c>
      <c r="D1392" s="52">
        <v>1310.8</v>
      </c>
      <c r="E1392" s="35">
        <v>44633</v>
      </c>
      <c r="F1392" s="52">
        <v>1310.8</v>
      </c>
      <c r="G1392" s="53">
        <f>Tabla14[[#This Row],[Importe]]-Tabla14[[#This Row],[Pagado]]</f>
        <v>0</v>
      </c>
      <c r="H1392" s="37" t="s">
        <v>10</v>
      </c>
    </row>
    <row r="1393" spans="1:8" x14ac:dyDescent="0.25">
      <c r="A1393" s="31">
        <v>44633</v>
      </c>
      <c r="B1393" s="37" t="s">
        <v>8427</v>
      </c>
      <c r="C1393" s="51" t="s">
        <v>53</v>
      </c>
      <c r="D1393" s="52">
        <v>639.6</v>
      </c>
      <c r="E1393" s="35">
        <v>44633</v>
      </c>
      <c r="F1393" s="52">
        <v>639.6</v>
      </c>
      <c r="G1393" s="53">
        <f>Tabla14[[#This Row],[Importe]]-Tabla14[[#This Row],[Pagado]]</f>
        <v>0</v>
      </c>
      <c r="H1393" s="37" t="s">
        <v>10</v>
      </c>
    </row>
    <row r="1394" spans="1:8" x14ac:dyDescent="0.25">
      <c r="A1394" s="31">
        <v>44633</v>
      </c>
      <c r="B1394" s="37" t="s">
        <v>8428</v>
      </c>
      <c r="C1394" s="51" t="s">
        <v>191</v>
      </c>
      <c r="D1394" s="52">
        <v>559</v>
      </c>
      <c r="E1394" s="35">
        <v>44633</v>
      </c>
      <c r="F1394" s="52">
        <v>559</v>
      </c>
      <c r="G1394" s="53">
        <f>Tabla14[[#This Row],[Importe]]-Tabla14[[#This Row],[Pagado]]</f>
        <v>0</v>
      </c>
      <c r="H1394" s="37" t="s">
        <v>10</v>
      </c>
    </row>
    <row r="1395" spans="1:8" x14ac:dyDescent="0.25">
      <c r="A1395" s="31">
        <v>44633</v>
      </c>
      <c r="B1395" s="37" t="s">
        <v>8429</v>
      </c>
      <c r="C1395" s="51" t="s">
        <v>31</v>
      </c>
      <c r="D1395" s="52">
        <v>15</v>
      </c>
      <c r="E1395" s="35">
        <v>44633</v>
      </c>
      <c r="F1395" s="52">
        <v>15</v>
      </c>
      <c r="G1395" s="53">
        <f>Tabla14[[#This Row],[Importe]]-Tabla14[[#This Row],[Pagado]]</f>
        <v>0</v>
      </c>
      <c r="H1395" s="37" t="s">
        <v>10</v>
      </c>
    </row>
    <row r="1396" spans="1:8" x14ac:dyDescent="0.25">
      <c r="A1396" s="31">
        <v>44633</v>
      </c>
      <c r="B1396" s="37" t="s">
        <v>8430</v>
      </c>
      <c r="C1396" s="51" t="s">
        <v>12</v>
      </c>
      <c r="D1396" s="52">
        <v>650</v>
      </c>
      <c r="E1396" s="35">
        <v>44633</v>
      </c>
      <c r="F1396" s="52">
        <v>650</v>
      </c>
      <c r="G1396" s="53">
        <f>Tabla14[[#This Row],[Importe]]-Tabla14[[#This Row],[Pagado]]</f>
        <v>0</v>
      </c>
      <c r="H1396" s="37" t="s">
        <v>10</v>
      </c>
    </row>
    <row r="1397" spans="1:8" x14ac:dyDescent="0.25">
      <c r="A1397" s="31">
        <v>44633</v>
      </c>
      <c r="B1397" s="37" t="s">
        <v>8431</v>
      </c>
      <c r="C1397" s="51" t="s">
        <v>31</v>
      </c>
      <c r="D1397" s="52">
        <v>160</v>
      </c>
      <c r="E1397" s="35">
        <v>44633</v>
      </c>
      <c r="F1397" s="52">
        <v>160</v>
      </c>
      <c r="G1397" s="53">
        <f>Tabla14[[#This Row],[Importe]]-Tabla14[[#This Row],[Pagado]]</f>
        <v>0</v>
      </c>
      <c r="H1397" s="37" t="s">
        <v>10</v>
      </c>
    </row>
    <row r="1398" spans="1:8" x14ac:dyDescent="0.25">
      <c r="A1398" s="31">
        <v>44633</v>
      </c>
      <c r="B1398" s="37" t="s">
        <v>8432</v>
      </c>
      <c r="C1398" s="51" t="s">
        <v>31</v>
      </c>
      <c r="D1398" s="52">
        <v>145.6</v>
      </c>
      <c r="E1398" s="35">
        <v>44633</v>
      </c>
      <c r="F1398" s="52">
        <v>145.6</v>
      </c>
      <c r="G1398" s="53">
        <f>Tabla14[[#This Row],[Importe]]-Tabla14[[#This Row],[Pagado]]</f>
        <v>0</v>
      </c>
      <c r="H1398" s="37" t="s">
        <v>10</v>
      </c>
    </row>
    <row r="1399" spans="1:8" x14ac:dyDescent="0.25">
      <c r="A1399" s="31">
        <v>44633</v>
      </c>
      <c r="B1399" s="37" t="s">
        <v>8433</v>
      </c>
      <c r="C1399" s="51" t="s">
        <v>31</v>
      </c>
      <c r="D1399" s="52">
        <v>591.6</v>
      </c>
      <c r="E1399" s="35">
        <v>44633</v>
      </c>
      <c r="F1399" s="52">
        <v>591.6</v>
      </c>
      <c r="G1399" s="53">
        <f>Tabla14[[#This Row],[Importe]]-Tabla14[[#This Row],[Pagado]]</f>
        <v>0</v>
      </c>
      <c r="H1399" s="37" t="s">
        <v>10</v>
      </c>
    </row>
    <row r="1400" spans="1:8" x14ac:dyDescent="0.25">
      <c r="A1400" s="31">
        <v>44633</v>
      </c>
      <c r="B1400" s="37" t="s">
        <v>8434</v>
      </c>
      <c r="C1400" s="51" t="s">
        <v>16</v>
      </c>
      <c r="D1400" s="52">
        <v>1182.5</v>
      </c>
      <c r="E1400" s="35">
        <v>44633</v>
      </c>
      <c r="F1400" s="52">
        <v>1182.5</v>
      </c>
      <c r="G1400" s="53">
        <f>Tabla14[[#This Row],[Importe]]-Tabla14[[#This Row],[Pagado]]</f>
        <v>0</v>
      </c>
      <c r="H1400" s="37" t="s">
        <v>10</v>
      </c>
    </row>
    <row r="1401" spans="1:8" x14ac:dyDescent="0.25">
      <c r="A1401" s="31">
        <v>44633</v>
      </c>
      <c r="B1401" s="37" t="s">
        <v>8435</v>
      </c>
      <c r="C1401" s="51" t="s">
        <v>8436</v>
      </c>
      <c r="D1401" s="52">
        <v>100</v>
      </c>
      <c r="E1401" s="35">
        <v>44636</v>
      </c>
      <c r="F1401" s="52">
        <v>100</v>
      </c>
      <c r="G1401" s="53">
        <f>Tabla14[[#This Row],[Importe]]-Tabla14[[#This Row],[Pagado]]</f>
        <v>0</v>
      </c>
      <c r="H1401" s="37" t="s">
        <v>10</v>
      </c>
    </row>
    <row r="1402" spans="1:8" x14ac:dyDescent="0.25">
      <c r="A1402" s="31">
        <v>44633</v>
      </c>
      <c r="B1402" s="37" t="s">
        <v>8437</v>
      </c>
      <c r="C1402" s="51" t="s">
        <v>31</v>
      </c>
      <c r="D1402" s="52">
        <v>160</v>
      </c>
      <c r="E1402" s="35">
        <v>44633</v>
      </c>
      <c r="F1402" s="52">
        <v>160</v>
      </c>
      <c r="G1402" s="53">
        <f>Tabla14[[#This Row],[Importe]]-Tabla14[[#This Row],[Pagado]]</f>
        <v>0</v>
      </c>
      <c r="H1402" s="37" t="s">
        <v>10</v>
      </c>
    </row>
    <row r="1403" spans="1:8" x14ac:dyDescent="0.25">
      <c r="A1403" s="31">
        <v>44633</v>
      </c>
      <c r="B1403" s="37" t="s">
        <v>8438</v>
      </c>
      <c r="C1403" s="51" t="s">
        <v>31</v>
      </c>
      <c r="D1403" s="52">
        <v>13</v>
      </c>
      <c r="E1403" s="35">
        <v>44634</v>
      </c>
      <c r="F1403" s="52">
        <v>13</v>
      </c>
      <c r="G1403" s="53">
        <f>Tabla14[[#This Row],[Importe]]-Tabla14[[#This Row],[Pagado]]</f>
        <v>0</v>
      </c>
      <c r="H1403" s="37" t="s">
        <v>10</v>
      </c>
    </row>
    <row r="1404" spans="1:8" x14ac:dyDescent="0.25">
      <c r="A1404" s="31">
        <v>44634</v>
      </c>
      <c r="B1404" s="37" t="s">
        <v>8439</v>
      </c>
      <c r="C1404" s="51" t="s">
        <v>887</v>
      </c>
      <c r="D1404" s="52">
        <v>7649.7</v>
      </c>
      <c r="E1404" s="35">
        <v>44635</v>
      </c>
      <c r="F1404" s="52">
        <v>7649.7</v>
      </c>
      <c r="G1404" s="53">
        <f>Tabla14[[#This Row],[Importe]]-Tabla14[[#This Row],[Pagado]]</f>
        <v>0</v>
      </c>
      <c r="H1404" s="37" t="s">
        <v>10</v>
      </c>
    </row>
    <row r="1405" spans="1:8" x14ac:dyDescent="0.25">
      <c r="A1405" s="31">
        <v>44634</v>
      </c>
      <c r="B1405" s="37" t="s">
        <v>8440</v>
      </c>
      <c r="C1405" s="51" t="s">
        <v>83</v>
      </c>
      <c r="D1405" s="52">
        <v>8270.7999999999993</v>
      </c>
      <c r="E1405" s="35">
        <v>44634</v>
      </c>
      <c r="F1405" s="52">
        <v>8270.7999999999993</v>
      </c>
      <c r="G1405" s="53">
        <f>Tabla14[[#This Row],[Importe]]-Tabla14[[#This Row],[Pagado]]</f>
        <v>0</v>
      </c>
      <c r="H1405" s="37" t="s">
        <v>10</v>
      </c>
    </row>
    <row r="1406" spans="1:8" x14ac:dyDescent="0.25">
      <c r="A1406" s="31">
        <v>44634</v>
      </c>
      <c r="B1406" s="37" t="s">
        <v>8441</v>
      </c>
      <c r="C1406" s="51" t="s">
        <v>87</v>
      </c>
      <c r="D1406" s="52">
        <v>2889.6</v>
      </c>
      <c r="E1406" s="35">
        <v>44634</v>
      </c>
      <c r="F1406" s="52">
        <v>2889.6</v>
      </c>
      <c r="G1406" s="53">
        <f>Tabla14[[#This Row],[Importe]]-Tabla14[[#This Row],[Pagado]]</f>
        <v>0</v>
      </c>
      <c r="H1406" s="37" t="s">
        <v>10</v>
      </c>
    </row>
    <row r="1407" spans="1:8" x14ac:dyDescent="0.25">
      <c r="A1407" s="31">
        <v>44634</v>
      </c>
      <c r="B1407" s="37" t="s">
        <v>8442</v>
      </c>
      <c r="C1407" s="51" t="s">
        <v>314</v>
      </c>
      <c r="D1407" s="52">
        <v>1500.8</v>
      </c>
      <c r="E1407" s="35">
        <v>44634</v>
      </c>
      <c r="F1407" s="52">
        <v>1500.8</v>
      </c>
      <c r="G1407" s="53">
        <f>Tabla14[[#This Row],[Importe]]-Tabla14[[#This Row],[Pagado]]</f>
        <v>0</v>
      </c>
      <c r="H1407" s="37" t="s">
        <v>10</v>
      </c>
    </row>
    <row r="1408" spans="1:8" ht="31.5" x14ac:dyDescent="0.25">
      <c r="A1408" s="31">
        <v>44634</v>
      </c>
      <c r="B1408" s="37" t="s">
        <v>8443</v>
      </c>
      <c r="C1408" s="51" t="s">
        <v>475</v>
      </c>
      <c r="D1408" s="52">
        <v>78873.8</v>
      </c>
      <c r="E1408" s="35" t="s">
        <v>8444</v>
      </c>
      <c r="F1408" s="52">
        <f>71500+7373.8</f>
        <v>78873.8</v>
      </c>
      <c r="G1408" s="53">
        <f>Tabla14[[#This Row],[Importe]]-Tabla14[[#This Row],[Pagado]]</f>
        <v>0</v>
      </c>
      <c r="H1408" s="37" t="s">
        <v>10</v>
      </c>
    </row>
    <row r="1409" spans="1:8" x14ac:dyDescent="0.25">
      <c r="A1409" s="31">
        <v>44634</v>
      </c>
      <c r="B1409" s="37" t="s">
        <v>8445</v>
      </c>
      <c r="C1409" s="51" t="s">
        <v>481</v>
      </c>
      <c r="D1409" s="52">
        <v>176.8</v>
      </c>
      <c r="E1409" s="35">
        <v>44634</v>
      </c>
      <c r="F1409" s="52">
        <v>176.8</v>
      </c>
      <c r="G1409" s="53">
        <f>Tabla14[[#This Row],[Importe]]-Tabla14[[#This Row],[Pagado]]</f>
        <v>0</v>
      </c>
      <c r="H1409" s="37" t="s">
        <v>10</v>
      </c>
    </row>
    <row r="1410" spans="1:8" x14ac:dyDescent="0.25">
      <c r="A1410" s="31">
        <v>44634</v>
      </c>
      <c r="B1410" s="37" t="s">
        <v>8446</v>
      </c>
      <c r="C1410" s="51" t="s">
        <v>473</v>
      </c>
      <c r="D1410" s="52">
        <v>4161.6000000000004</v>
      </c>
      <c r="E1410" s="35">
        <v>44634</v>
      </c>
      <c r="F1410" s="52">
        <v>4161.6000000000004</v>
      </c>
      <c r="G1410" s="53">
        <f>Tabla14[[#This Row],[Importe]]-Tabla14[[#This Row],[Pagado]]</f>
        <v>0</v>
      </c>
      <c r="H1410" s="37" t="s">
        <v>10</v>
      </c>
    </row>
    <row r="1411" spans="1:8" x14ac:dyDescent="0.25">
      <c r="A1411" s="31">
        <v>44634</v>
      </c>
      <c r="B1411" s="37" t="s">
        <v>8447</v>
      </c>
      <c r="C1411" s="51" t="s">
        <v>481</v>
      </c>
      <c r="D1411" s="52">
        <v>501.6</v>
      </c>
      <c r="E1411" s="35">
        <v>44634</v>
      </c>
      <c r="F1411" s="52">
        <v>501.6</v>
      </c>
      <c r="G1411" s="53">
        <f>Tabla14[[#This Row],[Importe]]-Tabla14[[#This Row],[Pagado]]</f>
        <v>0</v>
      </c>
      <c r="H1411" s="37" t="s">
        <v>10</v>
      </c>
    </row>
    <row r="1412" spans="1:8" x14ac:dyDescent="0.25">
      <c r="A1412" s="31">
        <v>44634</v>
      </c>
      <c r="B1412" s="37" t="s">
        <v>8448</v>
      </c>
      <c r="C1412" s="51" t="s">
        <v>179</v>
      </c>
      <c r="D1412" s="52">
        <v>1024.8</v>
      </c>
      <c r="E1412" s="35">
        <v>44634</v>
      </c>
      <c r="F1412" s="52">
        <v>1024.8</v>
      </c>
      <c r="G1412" s="53">
        <f>Tabla14[[#This Row],[Importe]]-Tabla14[[#This Row],[Pagado]]</f>
        <v>0</v>
      </c>
      <c r="H1412" s="37" t="s">
        <v>10</v>
      </c>
    </row>
    <row r="1413" spans="1:8" x14ac:dyDescent="0.25">
      <c r="A1413" s="31">
        <v>44634</v>
      </c>
      <c r="B1413" s="37" t="s">
        <v>8449</v>
      </c>
      <c r="C1413" s="51" t="s">
        <v>12</v>
      </c>
      <c r="D1413" s="52">
        <v>56886.7</v>
      </c>
      <c r="E1413" s="35">
        <v>44635</v>
      </c>
      <c r="F1413" s="52">
        <v>56886.7</v>
      </c>
      <c r="G1413" s="53">
        <f>Tabla14[[#This Row],[Importe]]-Tabla14[[#This Row],[Pagado]]</f>
        <v>0</v>
      </c>
      <c r="H1413" s="37" t="s">
        <v>10</v>
      </c>
    </row>
    <row r="1414" spans="1:8" x14ac:dyDescent="0.25">
      <c r="A1414" s="31">
        <v>44634</v>
      </c>
      <c r="B1414" s="37" t="s">
        <v>8450</v>
      </c>
      <c r="C1414" s="51" t="s">
        <v>75</v>
      </c>
      <c r="D1414" s="52">
        <v>7436.8</v>
      </c>
      <c r="E1414" s="35">
        <v>44634</v>
      </c>
      <c r="F1414" s="52">
        <v>7436.8</v>
      </c>
      <c r="G1414" s="53">
        <f>Tabla14[[#This Row],[Importe]]-Tabla14[[#This Row],[Pagado]]</f>
        <v>0</v>
      </c>
      <c r="H1414" s="37" t="s">
        <v>10</v>
      </c>
    </row>
    <row r="1415" spans="1:8" x14ac:dyDescent="0.25">
      <c r="A1415" s="31">
        <v>44634</v>
      </c>
      <c r="B1415" s="37" t="s">
        <v>8451</v>
      </c>
      <c r="C1415" s="51" t="s">
        <v>214</v>
      </c>
      <c r="D1415" s="52">
        <v>14817.2</v>
      </c>
      <c r="E1415" s="35">
        <v>44636</v>
      </c>
      <c r="F1415" s="52">
        <v>14817.2</v>
      </c>
      <c r="G1415" s="53">
        <f>Tabla14[[#This Row],[Importe]]-Tabla14[[#This Row],[Pagado]]</f>
        <v>0</v>
      </c>
      <c r="H1415" s="37" t="s">
        <v>10</v>
      </c>
    </row>
    <row r="1416" spans="1:8" x14ac:dyDescent="0.25">
      <c r="A1416" s="31">
        <v>44634</v>
      </c>
      <c r="B1416" s="37" t="s">
        <v>8452</v>
      </c>
      <c r="C1416" s="51" t="s">
        <v>312</v>
      </c>
      <c r="D1416" s="52">
        <v>3914.4</v>
      </c>
      <c r="E1416" s="35">
        <v>44634</v>
      </c>
      <c r="F1416" s="52">
        <v>3914.4</v>
      </c>
      <c r="G1416" s="53">
        <f>Tabla14[[#This Row],[Importe]]-Tabla14[[#This Row],[Pagado]]</f>
        <v>0</v>
      </c>
      <c r="H1416" s="37" t="s">
        <v>10</v>
      </c>
    </row>
    <row r="1417" spans="1:8" x14ac:dyDescent="0.25">
      <c r="A1417" s="31">
        <v>44634</v>
      </c>
      <c r="B1417" s="37" t="s">
        <v>8453</v>
      </c>
      <c r="C1417" s="51" t="s">
        <v>426</v>
      </c>
      <c r="D1417" s="52">
        <v>2807.9</v>
      </c>
      <c r="E1417" s="35">
        <v>44634</v>
      </c>
      <c r="F1417" s="52">
        <v>2807.9</v>
      </c>
      <c r="G1417" s="53">
        <f>Tabla14[[#This Row],[Importe]]-Tabla14[[#This Row],[Pagado]]</f>
        <v>0</v>
      </c>
      <c r="H1417" s="37" t="s">
        <v>10</v>
      </c>
    </row>
    <row r="1418" spans="1:8" x14ac:dyDescent="0.25">
      <c r="A1418" s="31">
        <v>44634</v>
      </c>
      <c r="B1418" s="37" t="s">
        <v>8454</v>
      </c>
      <c r="C1418" s="51" t="s">
        <v>198</v>
      </c>
      <c r="D1418" s="52">
        <v>950</v>
      </c>
      <c r="E1418" s="35">
        <v>44634</v>
      </c>
      <c r="F1418" s="52">
        <v>950</v>
      </c>
      <c r="G1418" s="53">
        <f>Tabla14[[#This Row],[Importe]]-Tabla14[[#This Row],[Pagado]]</f>
        <v>0</v>
      </c>
      <c r="H1418" s="37" t="s">
        <v>10</v>
      </c>
    </row>
    <row r="1419" spans="1:8" x14ac:dyDescent="0.25">
      <c r="A1419" s="31">
        <v>44634</v>
      </c>
      <c r="B1419" s="37" t="s">
        <v>8455</v>
      </c>
      <c r="C1419" s="51" t="s">
        <v>18</v>
      </c>
      <c r="D1419" s="52">
        <v>1409.4</v>
      </c>
      <c r="E1419" s="35">
        <v>44634</v>
      </c>
      <c r="F1419" s="52">
        <v>1409.4</v>
      </c>
      <c r="G1419" s="53">
        <f>Tabla14[[#This Row],[Importe]]-Tabla14[[#This Row],[Pagado]]</f>
        <v>0</v>
      </c>
      <c r="H1419" s="37" t="s">
        <v>10</v>
      </c>
    </row>
    <row r="1420" spans="1:8" x14ac:dyDescent="0.25">
      <c r="A1420" s="31">
        <v>44634</v>
      </c>
      <c r="B1420" s="37" t="s">
        <v>8456</v>
      </c>
      <c r="C1420" s="51" t="s">
        <v>47</v>
      </c>
      <c r="D1420" s="52">
        <v>35424</v>
      </c>
      <c r="E1420" s="35">
        <v>44634</v>
      </c>
      <c r="F1420" s="52">
        <v>35424</v>
      </c>
      <c r="G1420" s="53">
        <f>Tabla14[[#This Row],[Importe]]-Tabla14[[#This Row],[Pagado]]</f>
        <v>0</v>
      </c>
      <c r="H1420" s="37" t="s">
        <v>10</v>
      </c>
    </row>
    <row r="1421" spans="1:8" x14ac:dyDescent="0.25">
      <c r="A1421" s="31">
        <v>44634</v>
      </c>
      <c r="B1421" s="37" t="s">
        <v>8457</v>
      </c>
      <c r="C1421" s="51" t="s">
        <v>9</v>
      </c>
      <c r="D1421" s="52">
        <v>6037.6</v>
      </c>
      <c r="E1421" s="35">
        <v>44634</v>
      </c>
      <c r="F1421" s="52">
        <v>6037.6</v>
      </c>
      <c r="G1421" s="53">
        <f>Tabla14[[#This Row],[Importe]]-Tabla14[[#This Row],[Pagado]]</f>
        <v>0</v>
      </c>
      <c r="H1421" s="37" t="s">
        <v>10</v>
      </c>
    </row>
    <row r="1422" spans="1:8" x14ac:dyDescent="0.25">
      <c r="A1422" s="31">
        <v>44634</v>
      </c>
      <c r="B1422" s="37" t="s">
        <v>8458</v>
      </c>
      <c r="C1422" s="51" t="s">
        <v>89</v>
      </c>
      <c r="D1422" s="52">
        <v>8807.4</v>
      </c>
      <c r="E1422" s="35">
        <v>44635</v>
      </c>
      <c r="F1422" s="52">
        <v>8807.4</v>
      </c>
      <c r="G1422" s="53">
        <f>Tabla14[[#This Row],[Importe]]-Tabla14[[#This Row],[Pagado]]</f>
        <v>0</v>
      </c>
      <c r="H1422" s="37" t="s">
        <v>10</v>
      </c>
    </row>
    <row r="1423" spans="1:8" x14ac:dyDescent="0.25">
      <c r="A1423" s="31">
        <v>44634</v>
      </c>
      <c r="B1423" s="37" t="s">
        <v>8459</v>
      </c>
      <c r="C1423" s="51" t="s">
        <v>131</v>
      </c>
      <c r="D1423" s="52">
        <v>10450</v>
      </c>
      <c r="E1423" s="35">
        <v>44634</v>
      </c>
      <c r="F1423" s="52">
        <v>10450</v>
      </c>
      <c r="G1423" s="53">
        <f>Tabla14[[#This Row],[Importe]]-Tabla14[[#This Row],[Pagado]]</f>
        <v>0</v>
      </c>
      <c r="H1423" s="37" t="s">
        <v>10</v>
      </c>
    </row>
    <row r="1424" spans="1:8" x14ac:dyDescent="0.25">
      <c r="A1424" s="31">
        <v>44634</v>
      </c>
      <c r="B1424" s="37" t="s">
        <v>8460</v>
      </c>
      <c r="C1424" s="51" t="s">
        <v>109</v>
      </c>
      <c r="D1424" s="52">
        <v>4164.2</v>
      </c>
      <c r="E1424" s="35">
        <v>44635</v>
      </c>
      <c r="F1424" s="52">
        <v>4164.2</v>
      </c>
      <c r="G1424" s="53">
        <f>Tabla14[[#This Row],[Importe]]-Tabla14[[#This Row],[Pagado]]</f>
        <v>0</v>
      </c>
      <c r="H1424" s="37" t="s">
        <v>10</v>
      </c>
    </row>
    <row r="1425" spans="1:8" x14ac:dyDescent="0.25">
      <c r="A1425" s="31">
        <v>44634</v>
      </c>
      <c r="B1425" s="37" t="s">
        <v>8461</v>
      </c>
      <c r="C1425" s="51" t="s">
        <v>60</v>
      </c>
      <c r="D1425" s="52">
        <v>3645.6</v>
      </c>
      <c r="E1425" s="35">
        <v>44636</v>
      </c>
      <c r="F1425" s="52">
        <v>3645.6</v>
      </c>
      <c r="G1425" s="53">
        <f>Tabla14[[#This Row],[Importe]]-Tabla14[[#This Row],[Pagado]]</f>
        <v>0</v>
      </c>
      <c r="H1425" s="37" t="s">
        <v>10</v>
      </c>
    </row>
    <row r="1426" spans="1:8" x14ac:dyDescent="0.25">
      <c r="A1426" s="31">
        <v>44634</v>
      </c>
      <c r="B1426" s="37" t="s">
        <v>8462</v>
      </c>
      <c r="C1426" s="51" t="s">
        <v>27</v>
      </c>
      <c r="D1426" s="52">
        <v>3684.8</v>
      </c>
      <c r="E1426" s="35">
        <v>44634</v>
      </c>
      <c r="F1426" s="52">
        <v>3684.8</v>
      </c>
      <c r="G1426" s="53">
        <f>Tabla14[[#This Row],[Importe]]-Tabla14[[#This Row],[Pagado]]</f>
        <v>0</v>
      </c>
      <c r="H1426" s="37" t="s">
        <v>10</v>
      </c>
    </row>
    <row r="1427" spans="1:8" x14ac:dyDescent="0.25">
      <c r="A1427" s="31">
        <v>44634</v>
      </c>
      <c r="B1427" s="37" t="s">
        <v>8463</v>
      </c>
      <c r="C1427" s="51" t="s">
        <v>111</v>
      </c>
      <c r="D1427" s="52">
        <v>3769.4</v>
      </c>
      <c r="E1427" s="35">
        <v>44634</v>
      </c>
      <c r="F1427" s="52">
        <v>3769.4</v>
      </c>
      <c r="G1427" s="53">
        <f>Tabla14[[#This Row],[Importe]]-Tabla14[[#This Row],[Pagado]]</f>
        <v>0</v>
      </c>
      <c r="H1427" s="37" t="s">
        <v>10</v>
      </c>
    </row>
    <row r="1428" spans="1:8" x14ac:dyDescent="0.25">
      <c r="A1428" s="31">
        <v>44634</v>
      </c>
      <c r="B1428" s="37" t="s">
        <v>8464</v>
      </c>
      <c r="C1428" s="51" t="s">
        <v>2563</v>
      </c>
      <c r="D1428" s="52">
        <v>3763.2</v>
      </c>
      <c r="E1428" s="35">
        <v>44634</v>
      </c>
      <c r="F1428" s="52">
        <v>3763.2</v>
      </c>
      <c r="G1428" s="53">
        <f>Tabla14[[#This Row],[Importe]]-Tabla14[[#This Row],[Pagado]]</f>
        <v>0</v>
      </c>
      <c r="H1428" s="37" t="s">
        <v>10</v>
      </c>
    </row>
    <row r="1429" spans="1:8" x14ac:dyDescent="0.25">
      <c r="A1429" s="31">
        <v>44634</v>
      </c>
      <c r="B1429" s="37" t="s">
        <v>8465</v>
      </c>
      <c r="C1429" s="51" t="s">
        <v>97</v>
      </c>
      <c r="D1429" s="52">
        <v>7961.8</v>
      </c>
      <c r="E1429" s="35">
        <v>44635</v>
      </c>
      <c r="F1429" s="52">
        <v>7961.8</v>
      </c>
      <c r="G1429" s="53">
        <f>Tabla14[[#This Row],[Importe]]-Tabla14[[#This Row],[Pagado]]</f>
        <v>0</v>
      </c>
      <c r="H1429" s="37" t="s">
        <v>10</v>
      </c>
    </row>
    <row r="1430" spans="1:8" ht="31.5" x14ac:dyDescent="0.25">
      <c r="A1430" s="31">
        <v>44634</v>
      </c>
      <c r="B1430" s="37" t="s">
        <v>8466</v>
      </c>
      <c r="C1430" s="51" t="s">
        <v>39</v>
      </c>
      <c r="D1430" s="52">
        <v>23761.9</v>
      </c>
      <c r="E1430" s="35" t="s">
        <v>8467</v>
      </c>
      <c r="F1430" s="52">
        <f>10500+13261.9</f>
        <v>23761.9</v>
      </c>
      <c r="G1430" s="53">
        <f>Tabla14[[#This Row],[Importe]]-Tabla14[[#This Row],[Pagado]]</f>
        <v>0</v>
      </c>
      <c r="H1430" s="37" t="s">
        <v>10</v>
      </c>
    </row>
    <row r="1431" spans="1:8" x14ac:dyDescent="0.25">
      <c r="A1431" s="31">
        <v>44634</v>
      </c>
      <c r="B1431" s="37" t="s">
        <v>8468</v>
      </c>
      <c r="C1431" s="51" t="s">
        <v>137</v>
      </c>
      <c r="D1431" s="52">
        <v>4300</v>
      </c>
      <c r="E1431" s="35">
        <v>44634</v>
      </c>
      <c r="F1431" s="52">
        <v>4300</v>
      </c>
      <c r="G1431" s="53">
        <f>Tabla14[[#This Row],[Importe]]-Tabla14[[#This Row],[Pagado]]</f>
        <v>0</v>
      </c>
      <c r="H1431" s="37" t="s">
        <v>10</v>
      </c>
    </row>
    <row r="1432" spans="1:8" x14ac:dyDescent="0.25">
      <c r="A1432" s="31">
        <v>44634</v>
      </c>
      <c r="B1432" s="37" t="s">
        <v>8469</v>
      </c>
      <c r="C1432" s="51" t="s">
        <v>105</v>
      </c>
      <c r="D1432" s="52">
        <v>3802.3</v>
      </c>
      <c r="E1432" s="35">
        <v>44635</v>
      </c>
      <c r="F1432" s="52">
        <v>3802.3</v>
      </c>
      <c r="G1432" s="53">
        <f>Tabla14[[#This Row],[Importe]]-Tabla14[[#This Row],[Pagado]]</f>
        <v>0</v>
      </c>
      <c r="H1432" s="37" t="s">
        <v>10</v>
      </c>
    </row>
    <row r="1433" spans="1:8" x14ac:dyDescent="0.25">
      <c r="A1433" s="31">
        <v>44634</v>
      </c>
      <c r="B1433" s="37" t="s">
        <v>8470</v>
      </c>
      <c r="C1433" s="51" t="s">
        <v>64</v>
      </c>
      <c r="D1433" s="52">
        <v>7482.3</v>
      </c>
      <c r="E1433" s="35">
        <v>44635</v>
      </c>
      <c r="F1433" s="52">
        <v>7482.3</v>
      </c>
      <c r="G1433" s="53">
        <f>Tabla14[[#This Row],[Importe]]-Tabla14[[#This Row],[Pagado]]</f>
        <v>0</v>
      </c>
      <c r="H1433" s="37" t="s">
        <v>10</v>
      </c>
    </row>
    <row r="1434" spans="1:8" x14ac:dyDescent="0.25">
      <c r="A1434" s="31">
        <v>44634</v>
      </c>
      <c r="B1434" s="37" t="s">
        <v>8471</v>
      </c>
      <c r="C1434" s="51" t="s">
        <v>120</v>
      </c>
      <c r="D1434" s="52">
        <v>3915.1</v>
      </c>
      <c r="E1434" s="35">
        <v>44636</v>
      </c>
      <c r="F1434" s="52">
        <v>3915.1</v>
      </c>
      <c r="G1434" s="53">
        <f>Tabla14[[#This Row],[Importe]]-Tabla14[[#This Row],[Pagado]]</f>
        <v>0</v>
      </c>
      <c r="H1434" s="37" t="s">
        <v>10</v>
      </c>
    </row>
    <row r="1435" spans="1:8" x14ac:dyDescent="0.25">
      <c r="A1435" s="31">
        <v>44634</v>
      </c>
      <c r="B1435" s="37" t="s">
        <v>8472</v>
      </c>
      <c r="C1435" s="51" t="s">
        <v>99</v>
      </c>
      <c r="D1435" s="52">
        <v>4933.8</v>
      </c>
      <c r="E1435" s="35">
        <v>44635</v>
      </c>
      <c r="F1435" s="52">
        <v>4933.8</v>
      </c>
      <c r="G1435" s="53">
        <f>Tabla14[[#This Row],[Importe]]-Tabla14[[#This Row],[Pagado]]</f>
        <v>0</v>
      </c>
      <c r="H1435" s="37" t="s">
        <v>10</v>
      </c>
    </row>
    <row r="1436" spans="1:8" x14ac:dyDescent="0.25">
      <c r="A1436" s="31">
        <v>44634</v>
      </c>
      <c r="B1436" s="37" t="s">
        <v>8473</v>
      </c>
      <c r="C1436" s="51" t="s">
        <v>114</v>
      </c>
      <c r="D1436" s="52">
        <v>8096.2</v>
      </c>
      <c r="E1436" s="35">
        <v>44635</v>
      </c>
      <c r="F1436" s="52">
        <v>8096.2</v>
      </c>
      <c r="G1436" s="53">
        <f>Tabla14[[#This Row],[Importe]]-Tabla14[[#This Row],[Pagado]]</f>
        <v>0</v>
      </c>
      <c r="H1436" s="37" t="s">
        <v>10</v>
      </c>
    </row>
    <row r="1437" spans="1:8" x14ac:dyDescent="0.25">
      <c r="A1437" s="31">
        <v>44634</v>
      </c>
      <c r="B1437" s="37" t="s">
        <v>8474</v>
      </c>
      <c r="C1437" s="51" t="s">
        <v>93</v>
      </c>
      <c r="D1437" s="52">
        <v>7020.1</v>
      </c>
      <c r="E1437" s="35">
        <v>44635</v>
      </c>
      <c r="F1437" s="52">
        <v>7020.1</v>
      </c>
      <c r="G1437" s="53">
        <f>Tabla14[[#This Row],[Importe]]-Tabla14[[#This Row],[Pagado]]</f>
        <v>0</v>
      </c>
      <c r="H1437" s="37" t="s">
        <v>10</v>
      </c>
    </row>
    <row r="1438" spans="1:8" x14ac:dyDescent="0.25">
      <c r="A1438" s="31">
        <v>44634</v>
      </c>
      <c r="B1438" s="37" t="s">
        <v>8475</v>
      </c>
      <c r="C1438" s="51" t="s">
        <v>22</v>
      </c>
      <c r="D1438" s="52">
        <v>48669.8</v>
      </c>
      <c r="E1438" s="35">
        <v>44635</v>
      </c>
      <c r="F1438" s="52">
        <v>48669.8</v>
      </c>
      <c r="G1438" s="53">
        <f>Tabla14[[#This Row],[Importe]]-Tabla14[[#This Row],[Pagado]]</f>
        <v>0</v>
      </c>
      <c r="H1438" s="37" t="s">
        <v>10</v>
      </c>
    </row>
    <row r="1439" spans="1:8" x14ac:dyDescent="0.25">
      <c r="A1439" s="31">
        <v>44634</v>
      </c>
      <c r="B1439" s="37" t="s">
        <v>8476</v>
      </c>
      <c r="C1439" s="51" t="s">
        <v>31</v>
      </c>
      <c r="D1439" s="52">
        <v>2810.1</v>
      </c>
      <c r="E1439" s="35">
        <v>44634</v>
      </c>
      <c r="F1439" s="52">
        <v>2810.1</v>
      </c>
      <c r="G1439" s="53">
        <f>Tabla14[[#This Row],[Importe]]-Tabla14[[#This Row],[Pagado]]</f>
        <v>0</v>
      </c>
      <c r="H1439" s="37" t="s">
        <v>10</v>
      </c>
    </row>
    <row r="1440" spans="1:8" x14ac:dyDescent="0.25">
      <c r="A1440" s="31">
        <v>44634</v>
      </c>
      <c r="B1440" s="37" t="s">
        <v>8477</v>
      </c>
      <c r="C1440" s="51" t="s">
        <v>49</v>
      </c>
      <c r="D1440" s="52">
        <v>2854</v>
      </c>
      <c r="E1440" s="35">
        <v>44634</v>
      </c>
      <c r="F1440" s="52">
        <v>2854</v>
      </c>
      <c r="G1440" s="53">
        <f>Tabla14[[#This Row],[Importe]]-Tabla14[[#This Row],[Pagado]]</f>
        <v>0</v>
      </c>
      <c r="H1440" s="37" t="s">
        <v>10</v>
      </c>
    </row>
    <row r="1441" spans="1:8" x14ac:dyDescent="0.25">
      <c r="A1441" s="31">
        <v>44634</v>
      </c>
      <c r="B1441" s="37" t="s">
        <v>8478</v>
      </c>
      <c r="C1441" s="51" t="s">
        <v>154</v>
      </c>
      <c r="D1441" s="52">
        <v>23635.7</v>
      </c>
      <c r="E1441" s="35">
        <v>44639</v>
      </c>
      <c r="F1441" s="52">
        <v>23635.7</v>
      </c>
      <c r="G1441" s="53">
        <f>Tabla14[[#This Row],[Importe]]-Tabla14[[#This Row],[Pagado]]</f>
        <v>0</v>
      </c>
      <c r="H1441" s="37" t="s">
        <v>10</v>
      </c>
    </row>
    <row r="1442" spans="1:8" x14ac:dyDescent="0.25">
      <c r="A1442" s="31">
        <v>44634</v>
      </c>
      <c r="B1442" s="37" t="s">
        <v>8479</v>
      </c>
      <c r="C1442" s="51" t="s">
        <v>196</v>
      </c>
      <c r="D1442" s="52">
        <v>95938.68</v>
      </c>
      <c r="E1442" s="35">
        <v>44638</v>
      </c>
      <c r="F1442" s="52">
        <v>95938.68</v>
      </c>
      <c r="G1442" s="53">
        <f>Tabla14[[#This Row],[Importe]]-Tabla14[[#This Row],[Pagado]]</f>
        <v>0</v>
      </c>
      <c r="H1442" s="37" t="s">
        <v>10</v>
      </c>
    </row>
    <row r="1443" spans="1:8" x14ac:dyDescent="0.25">
      <c r="A1443" s="31">
        <v>44634</v>
      </c>
      <c r="B1443" s="37" t="s">
        <v>8480</v>
      </c>
      <c r="C1443" s="51" t="s">
        <v>7894</v>
      </c>
      <c r="D1443" s="52">
        <v>4664.3999999999996</v>
      </c>
      <c r="E1443" s="35">
        <v>44634</v>
      </c>
      <c r="F1443" s="52">
        <v>4664.3999999999996</v>
      </c>
      <c r="G1443" s="53">
        <f>Tabla14[[#This Row],[Importe]]-Tabla14[[#This Row],[Pagado]]</f>
        <v>0</v>
      </c>
      <c r="H1443" s="37" t="s">
        <v>10</v>
      </c>
    </row>
    <row r="1444" spans="1:8" x14ac:dyDescent="0.25">
      <c r="A1444" s="31">
        <v>44634</v>
      </c>
      <c r="B1444" s="37" t="s">
        <v>8481</v>
      </c>
      <c r="C1444" s="51" t="s">
        <v>45</v>
      </c>
      <c r="D1444" s="52">
        <v>8490.6</v>
      </c>
      <c r="E1444" s="35">
        <v>44634</v>
      </c>
      <c r="F1444" s="52">
        <v>8490.6</v>
      </c>
      <c r="G1444" s="53">
        <f>Tabla14[[#This Row],[Importe]]-Tabla14[[#This Row],[Pagado]]</f>
        <v>0</v>
      </c>
      <c r="H1444" s="37" t="s">
        <v>10</v>
      </c>
    </row>
    <row r="1445" spans="1:8" x14ac:dyDescent="0.25">
      <c r="A1445" s="31">
        <v>44634</v>
      </c>
      <c r="B1445" s="37" t="s">
        <v>8482</v>
      </c>
      <c r="C1445" s="51" t="s">
        <v>16</v>
      </c>
      <c r="D1445" s="52">
        <v>4731.7</v>
      </c>
      <c r="E1445" s="35">
        <v>44634</v>
      </c>
      <c r="F1445" s="52">
        <v>4731.7</v>
      </c>
      <c r="G1445" s="53">
        <f>Tabla14[[#This Row],[Importe]]-Tabla14[[#This Row],[Pagado]]</f>
        <v>0</v>
      </c>
      <c r="H1445" s="37" t="s">
        <v>10</v>
      </c>
    </row>
    <row r="1446" spans="1:8" x14ac:dyDescent="0.25">
      <c r="A1446" s="31">
        <v>44634</v>
      </c>
      <c r="B1446" s="37" t="s">
        <v>8483</v>
      </c>
      <c r="C1446" s="51" t="s">
        <v>222</v>
      </c>
      <c r="D1446" s="52">
        <v>9205.5</v>
      </c>
      <c r="E1446" s="35">
        <v>44634</v>
      </c>
      <c r="F1446" s="52">
        <v>9205.5</v>
      </c>
      <c r="G1446" s="53">
        <f>Tabla14[[#This Row],[Importe]]-Tabla14[[#This Row],[Pagado]]</f>
        <v>0</v>
      </c>
      <c r="H1446" s="37" t="s">
        <v>10</v>
      </c>
    </row>
    <row r="1447" spans="1:8" x14ac:dyDescent="0.25">
      <c r="A1447" s="31">
        <v>44634</v>
      </c>
      <c r="B1447" s="37" t="s">
        <v>8484</v>
      </c>
      <c r="C1447" s="51" t="s">
        <v>142</v>
      </c>
      <c r="D1447" s="52">
        <v>9004.7999999999993</v>
      </c>
      <c r="E1447" s="35">
        <v>44670</v>
      </c>
      <c r="F1447" s="52">
        <v>9004.7999999999993</v>
      </c>
      <c r="G1447" s="53">
        <f>Tabla14[[#This Row],[Importe]]-Tabla14[[#This Row],[Pagado]]</f>
        <v>0</v>
      </c>
      <c r="H1447" s="37" t="s">
        <v>10</v>
      </c>
    </row>
    <row r="1448" spans="1:8" x14ac:dyDescent="0.25">
      <c r="A1448" s="31">
        <v>44634</v>
      </c>
      <c r="B1448" s="37" t="s">
        <v>8485</v>
      </c>
      <c r="C1448" s="51" t="s">
        <v>212</v>
      </c>
      <c r="D1448" s="52">
        <v>39365.800000000003</v>
      </c>
      <c r="E1448" s="35">
        <v>44637</v>
      </c>
      <c r="F1448" s="52">
        <v>39365.800000000003</v>
      </c>
      <c r="G1448" s="53">
        <f>Tabla14[[#This Row],[Importe]]-Tabla14[[#This Row],[Pagado]]</f>
        <v>0</v>
      </c>
      <c r="H1448" s="37" t="s">
        <v>10</v>
      </c>
    </row>
    <row r="1449" spans="1:8" x14ac:dyDescent="0.25">
      <c r="A1449" s="31">
        <v>44634</v>
      </c>
      <c r="B1449" s="37" t="s">
        <v>8486</v>
      </c>
      <c r="C1449" s="51" t="s">
        <v>142</v>
      </c>
      <c r="D1449" s="52">
        <v>80090.45</v>
      </c>
      <c r="E1449" s="35">
        <v>44670</v>
      </c>
      <c r="F1449" s="52">
        <v>80090.45</v>
      </c>
      <c r="G1449" s="53">
        <f>Tabla14[[#This Row],[Importe]]-Tabla14[[#This Row],[Pagado]]</f>
        <v>0</v>
      </c>
      <c r="H1449" s="37" t="s">
        <v>10</v>
      </c>
    </row>
    <row r="1450" spans="1:8" x14ac:dyDescent="0.25">
      <c r="A1450" s="31">
        <v>44634</v>
      </c>
      <c r="B1450" s="37" t="s">
        <v>8487</v>
      </c>
      <c r="C1450" s="51" t="s">
        <v>56</v>
      </c>
      <c r="D1450" s="52">
        <v>7854</v>
      </c>
      <c r="E1450" s="35">
        <v>44634</v>
      </c>
      <c r="F1450" s="52">
        <v>7854</v>
      </c>
      <c r="G1450" s="53">
        <f>Tabla14[[#This Row],[Importe]]-Tabla14[[#This Row],[Pagado]]</f>
        <v>0</v>
      </c>
      <c r="H1450" s="37" t="s">
        <v>10</v>
      </c>
    </row>
    <row r="1451" spans="1:8" x14ac:dyDescent="0.25">
      <c r="A1451" s="31">
        <v>44634</v>
      </c>
      <c r="B1451" s="37" t="s">
        <v>8488</v>
      </c>
      <c r="C1451" s="51" t="s">
        <v>142</v>
      </c>
      <c r="D1451" s="52">
        <v>7015.6</v>
      </c>
      <c r="E1451" s="35">
        <v>44670</v>
      </c>
      <c r="F1451" s="52">
        <v>7015.6</v>
      </c>
      <c r="G1451" s="53">
        <f>Tabla14[[#This Row],[Importe]]-Tabla14[[#This Row],[Pagado]]</f>
        <v>0</v>
      </c>
      <c r="H1451" s="37" t="s">
        <v>10</v>
      </c>
    </row>
    <row r="1452" spans="1:8" x14ac:dyDescent="0.25">
      <c r="A1452" s="31">
        <v>44634</v>
      </c>
      <c r="B1452" s="37" t="s">
        <v>8489</v>
      </c>
      <c r="C1452" s="51" t="s">
        <v>218</v>
      </c>
      <c r="D1452" s="52">
        <v>8960</v>
      </c>
      <c r="E1452" s="35">
        <v>44637</v>
      </c>
      <c r="F1452" s="52">
        <v>8960</v>
      </c>
      <c r="G1452" s="53">
        <f>Tabla14[[#This Row],[Importe]]-Tabla14[[#This Row],[Pagado]]</f>
        <v>0</v>
      </c>
      <c r="H1452" s="37" t="s">
        <v>10</v>
      </c>
    </row>
    <row r="1453" spans="1:8" x14ac:dyDescent="0.25">
      <c r="A1453" s="31">
        <v>44634</v>
      </c>
      <c r="B1453" s="37" t="s">
        <v>8490</v>
      </c>
      <c r="C1453" s="51" t="s">
        <v>414</v>
      </c>
      <c r="D1453" s="52">
        <v>2220</v>
      </c>
      <c r="E1453" s="35">
        <v>44634</v>
      </c>
      <c r="F1453" s="52">
        <v>2220</v>
      </c>
      <c r="G1453" s="53">
        <f>Tabla14[[#This Row],[Importe]]-Tabla14[[#This Row],[Pagado]]</f>
        <v>0</v>
      </c>
      <c r="H1453" s="37" t="s">
        <v>10</v>
      </c>
    </row>
    <row r="1454" spans="1:8" x14ac:dyDescent="0.25">
      <c r="A1454" s="31">
        <v>44634</v>
      </c>
      <c r="B1454" s="37" t="s">
        <v>8491</v>
      </c>
      <c r="C1454" s="51" t="s">
        <v>208</v>
      </c>
      <c r="D1454" s="52">
        <v>14909</v>
      </c>
      <c r="E1454" s="35">
        <v>44637</v>
      </c>
      <c r="F1454" s="52">
        <v>14909</v>
      </c>
      <c r="G1454" s="53">
        <f>Tabla14[[#This Row],[Importe]]-Tabla14[[#This Row],[Pagado]]</f>
        <v>0</v>
      </c>
      <c r="H1454" s="37" t="s">
        <v>10</v>
      </c>
    </row>
    <row r="1455" spans="1:8" x14ac:dyDescent="0.25">
      <c r="A1455" s="31">
        <v>44634</v>
      </c>
      <c r="B1455" s="37" t="s">
        <v>8492</v>
      </c>
      <c r="C1455" s="51" t="s">
        <v>804</v>
      </c>
      <c r="D1455" s="52">
        <v>14895.2</v>
      </c>
      <c r="E1455" s="35">
        <v>44634</v>
      </c>
      <c r="F1455" s="52">
        <v>14895.2</v>
      </c>
      <c r="G1455" s="53">
        <f>Tabla14[[#This Row],[Importe]]-Tabla14[[#This Row],[Pagado]]</f>
        <v>0</v>
      </c>
      <c r="H1455" s="37" t="s">
        <v>10</v>
      </c>
    </row>
    <row r="1456" spans="1:8" x14ac:dyDescent="0.25">
      <c r="A1456" s="31">
        <v>44634</v>
      </c>
      <c r="B1456" s="37" t="s">
        <v>8493</v>
      </c>
      <c r="C1456" s="51" t="s">
        <v>228</v>
      </c>
      <c r="D1456" s="52">
        <v>4911.8</v>
      </c>
      <c r="E1456" s="35">
        <v>44634</v>
      </c>
      <c r="F1456" s="52">
        <v>4911.8</v>
      </c>
      <c r="G1456" s="53">
        <f>Tabla14[[#This Row],[Importe]]-Tabla14[[#This Row],[Pagado]]</f>
        <v>0</v>
      </c>
      <c r="H1456" s="37" t="s">
        <v>10</v>
      </c>
    </row>
    <row r="1457" spans="1:8" x14ac:dyDescent="0.25">
      <c r="A1457" s="31">
        <v>44634</v>
      </c>
      <c r="B1457" s="37" t="s">
        <v>8494</v>
      </c>
      <c r="C1457" s="51" t="s">
        <v>1998</v>
      </c>
      <c r="D1457" s="52">
        <v>18036</v>
      </c>
      <c r="E1457" s="35">
        <v>44634</v>
      </c>
      <c r="F1457" s="52">
        <v>18036</v>
      </c>
      <c r="G1457" s="53">
        <f>Tabla14[[#This Row],[Importe]]-Tabla14[[#This Row],[Pagado]]</f>
        <v>0</v>
      </c>
      <c r="H1457" s="37" t="s">
        <v>10</v>
      </c>
    </row>
    <row r="1458" spans="1:8" x14ac:dyDescent="0.25">
      <c r="A1458" s="31">
        <v>44634</v>
      </c>
      <c r="B1458" s="37" t="s">
        <v>8495</v>
      </c>
      <c r="C1458" s="51" t="s">
        <v>8496</v>
      </c>
      <c r="D1458" s="52">
        <v>0</v>
      </c>
      <c r="E1458" s="39" t="s">
        <v>189</v>
      </c>
      <c r="F1458" s="52">
        <v>0</v>
      </c>
      <c r="G1458" s="53">
        <f>Tabla14[[#This Row],[Importe]]-Tabla14[[#This Row],[Pagado]]</f>
        <v>0</v>
      </c>
      <c r="H1458" s="37" t="s">
        <v>189</v>
      </c>
    </row>
    <row r="1459" spans="1:8" x14ac:dyDescent="0.25">
      <c r="A1459" s="31">
        <v>44634</v>
      </c>
      <c r="B1459" s="37" t="s">
        <v>8497</v>
      </c>
      <c r="C1459" s="51" t="s">
        <v>175</v>
      </c>
      <c r="D1459" s="52">
        <v>17008.099999999999</v>
      </c>
      <c r="E1459" s="35">
        <v>44634</v>
      </c>
      <c r="F1459" s="52">
        <v>17008.099999999999</v>
      </c>
      <c r="G1459" s="53">
        <f>Tabla14[[#This Row],[Importe]]-Tabla14[[#This Row],[Pagado]]</f>
        <v>0</v>
      </c>
      <c r="H1459" s="37" t="s">
        <v>10</v>
      </c>
    </row>
    <row r="1460" spans="1:8" x14ac:dyDescent="0.25">
      <c r="A1460" s="31">
        <v>44634</v>
      </c>
      <c r="B1460" s="37" t="s">
        <v>8498</v>
      </c>
      <c r="C1460" s="51" t="s">
        <v>31</v>
      </c>
      <c r="D1460" s="52">
        <v>17000</v>
      </c>
      <c r="E1460" s="35">
        <v>44634</v>
      </c>
      <c r="F1460" s="52">
        <v>17000</v>
      </c>
      <c r="G1460" s="53">
        <f>Tabla14[[#This Row],[Importe]]-Tabla14[[#This Row],[Pagado]]</f>
        <v>0</v>
      </c>
      <c r="H1460" s="37" t="s">
        <v>10</v>
      </c>
    </row>
    <row r="1461" spans="1:8" x14ac:dyDescent="0.25">
      <c r="A1461" s="31">
        <v>44634</v>
      </c>
      <c r="B1461" s="37" t="s">
        <v>8499</v>
      </c>
      <c r="C1461" s="51" t="s">
        <v>14</v>
      </c>
      <c r="D1461" s="52">
        <v>20592</v>
      </c>
      <c r="E1461" s="35">
        <v>44634</v>
      </c>
      <c r="F1461" s="52">
        <v>20592</v>
      </c>
      <c r="G1461" s="53">
        <f>Tabla14[[#This Row],[Importe]]-Tabla14[[#This Row],[Pagado]]</f>
        <v>0</v>
      </c>
      <c r="H1461" s="37" t="s">
        <v>10</v>
      </c>
    </row>
    <row r="1462" spans="1:8" x14ac:dyDescent="0.25">
      <c r="A1462" s="31">
        <v>44634</v>
      </c>
      <c r="B1462" s="37" t="s">
        <v>8500</v>
      </c>
      <c r="C1462" s="51" t="s">
        <v>8501</v>
      </c>
      <c r="D1462" s="52">
        <v>4203.7</v>
      </c>
      <c r="E1462" s="35">
        <v>44634</v>
      </c>
      <c r="F1462" s="52">
        <v>4203.7</v>
      </c>
      <c r="G1462" s="53">
        <f>Tabla14[[#This Row],[Importe]]-Tabla14[[#This Row],[Pagado]]</f>
        <v>0</v>
      </c>
      <c r="H1462" s="37" t="s">
        <v>10</v>
      </c>
    </row>
    <row r="1463" spans="1:8" x14ac:dyDescent="0.25">
      <c r="A1463" s="31">
        <v>44634</v>
      </c>
      <c r="B1463" s="37" t="s">
        <v>8502</v>
      </c>
      <c r="C1463" s="51" t="s">
        <v>14</v>
      </c>
      <c r="D1463" s="52">
        <v>2218.1</v>
      </c>
      <c r="E1463" s="35">
        <v>44634</v>
      </c>
      <c r="F1463" s="52">
        <v>2218.1</v>
      </c>
      <c r="G1463" s="53">
        <f>Tabla14[[#This Row],[Importe]]-Tabla14[[#This Row],[Pagado]]</f>
        <v>0</v>
      </c>
      <c r="H1463" s="37" t="s">
        <v>10</v>
      </c>
    </row>
    <row r="1464" spans="1:8" x14ac:dyDescent="0.25">
      <c r="A1464" s="31">
        <v>44634</v>
      </c>
      <c r="B1464" s="37" t="s">
        <v>8503</v>
      </c>
      <c r="C1464" s="51" t="s">
        <v>275</v>
      </c>
      <c r="D1464" s="52">
        <v>107161.18</v>
      </c>
      <c r="E1464" s="35">
        <v>44645</v>
      </c>
      <c r="F1464" s="52">
        <v>107161.18</v>
      </c>
      <c r="G1464" s="53">
        <f>Tabla14[[#This Row],[Importe]]-Tabla14[[#This Row],[Pagado]]</f>
        <v>0</v>
      </c>
      <c r="H1464" s="37" t="s">
        <v>10</v>
      </c>
    </row>
    <row r="1465" spans="1:8" x14ac:dyDescent="0.25">
      <c r="A1465" s="31">
        <v>44634</v>
      </c>
      <c r="B1465" s="37" t="s">
        <v>8504</v>
      </c>
      <c r="C1465" s="51" t="s">
        <v>206</v>
      </c>
      <c r="D1465" s="52">
        <v>29575.72</v>
      </c>
      <c r="E1465" s="35">
        <v>44639</v>
      </c>
      <c r="F1465" s="52">
        <v>29575.72</v>
      </c>
      <c r="G1465" s="53">
        <f>Tabla14[[#This Row],[Importe]]-Tabla14[[#This Row],[Pagado]]</f>
        <v>0</v>
      </c>
      <c r="H1465" s="37" t="s">
        <v>10</v>
      </c>
    </row>
    <row r="1466" spans="1:8" x14ac:dyDescent="0.25">
      <c r="A1466" s="31">
        <v>44634</v>
      </c>
      <c r="B1466" s="37" t="s">
        <v>8505</v>
      </c>
      <c r="C1466" s="51" t="s">
        <v>181</v>
      </c>
      <c r="D1466" s="52">
        <v>7087.6</v>
      </c>
      <c r="E1466" s="35">
        <v>44634</v>
      </c>
      <c r="F1466" s="52">
        <v>7087.6</v>
      </c>
      <c r="G1466" s="53">
        <f>Tabla14[[#This Row],[Importe]]-Tabla14[[#This Row],[Pagado]]</f>
        <v>0</v>
      </c>
      <c r="H1466" s="37" t="s">
        <v>10</v>
      </c>
    </row>
    <row r="1467" spans="1:8" x14ac:dyDescent="0.25">
      <c r="A1467" s="31">
        <v>44634</v>
      </c>
      <c r="B1467" s="37" t="s">
        <v>8506</v>
      </c>
      <c r="C1467" s="51" t="s">
        <v>275</v>
      </c>
      <c r="D1467" s="52">
        <v>1316</v>
      </c>
      <c r="E1467" s="35">
        <v>44645</v>
      </c>
      <c r="F1467" s="52">
        <v>1316</v>
      </c>
      <c r="G1467" s="53">
        <f>Tabla14[[#This Row],[Importe]]-Tabla14[[#This Row],[Pagado]]</f>
        <v>0</v>
      </c>
      <c r="H1467" s="37" t="s">
        <v>10</v>
      </c>
    </row>
    <row r="1468" spans="1:8" x14ac:dyDescent="0.25">
      <c r="A1468" s="31">
        <v>44634</v>
      </c>
      <c r="B1468" s="37" t="s">
        <v>8507</v>
      </c>
      <c r="C1468" s="51" t="s">
        <v>359</v>
      </c>
      <c r="D1468" s="52">
        <v>1320.8</v>
      </c>
      <c r="E1468" s="35">
        <v>44634</v>
      </c>
      <c r="F1468" s="52">
        <v>1320.8</v>
      </c>
      <c r="G1468" s="53">
        <f>Tabla14[[#This Row],[Importe]]-Tabla14[[#This Row],[Pagado]]</f>
        <v>0</v>
      </c>
      <c r="H1468" s="37" t="s">
        <v>10</v>
      </c>
    </row>
    <row r="1469" spans="1:8" x14ac:dyDescent="0.25">
      <c r="A1469" s="31">
        <v>44634</v>
      </c>
      <c r="B1469" s="37" t="s">
        <v>8508</v>
      </c>
      <c r="C1469" s="51" t="s">
        <v>240</v>
      </c>
      <c r="D1469" s="52">
        <v>7556</v>
      </c>
      <c r="E1469" s="35">
        <v>44634</v>
      </c>
      <c r="F1469" s="52">
        <v>7556</v>
      </c>
      <c r="G1469" s="53">
        <f>Tabla14[[#This Row],[Importe]]-Tabla14[[#This Row],[Pagado]]</f>
        <v>0</v>
      </c>
      <c r="H1469" s="37" t="s">
        <v>10</v>
      </c>
    </row>
    <row r="1470" spans="1:8" x14ac:dyDescent="0.25">
      <c r="A1470" s="31">
        <v>44634</v>
      </c>
      <c r="B1470" s="37" t="s">
        <v>8509</v>
      </c>
      <c r="C1470" s="51" t="s">
        <v>359</v>
      </c>
      <c r="D1470" s="52">
        <v>176.8</v>
      </c>
      <c r="E1470" s="35">
        <v>44634</v>
      </c>
      <c r="F1470" s="52">
        <v>176.8</v>
      </c>
      <c r="G1470" s="53">
        <f>Tabla14[[#This Row],[Importe]]-Tabla14[[#This Row],[Pagado]]</f>
        <v>0</v>
      </c>
      <c r="H1470" s="37" t="s">
        <v>10</v>
      </c>
    </row>
    <row r="1471" spans="1:8" x14ac:dyDescent="0.25">
      <c r="A1471" s="31">
        <v>44634</v>
      </c>
      <c r="B1471" s="37" t="s">
        <v>8510</v>
      </c>
      <c r="C1471" s="51" t="s">
        <v>191</v>
      </c>
      <c r="D1471" s="52">
        <v>1610.2</v>
      </c>
      <c r="E1471" s="35">
        <v>44634</v>
      </c>
      <c r="F1471" s="52">
        <v>1610.2</v>
      </c>
      <c r="G1471" s="53">
        <f>Tabla14[[#This Row],[Importe]]-Tabla14[[#This Row],[Pagado]]</f>
        <v>0</v>
      </c>
      <c r="H1471" s="37" t="s">
        <v>10</v>
      </c>
    </row>
    <row r="1472" spans="1:8" x14ac:dyDescent="0.25">
      <c r="A1472" s="31">
        <v>44634</v>
      </c>
      <c r="B1472" s="37" t="s">
        <v>8511</v>
      </c>
      <c r="C1472" s="51" t="s">
        <v>196</v>
      </c>
      <c r="D1472" s="52">
        <v>9400.2000000000007</v>
      </c>
      <c r="E1472" s="35">
        <v>44638</v>
      </c>
      <c r="F1472" s="52">
        <v>9400.2000000000007</v>
      </c>
      <c r="G1472" s="53">
        <f>Tabla14[[#This Row],[Importe]]-Tabla14[[#This Row],[Pagado]]</f>
        <v>0</v>
      </c>
      <c r="H1472" s="37" t="s">
        <v>10</v>
      </c>
    </row>
    <row r="1473" spans="1:8" x14ac:dyDescent="0.25">
      <c r="A1473" s="31">
        <v>44634</v>
      </c>
      <c r="B1473" s="37" t="s">
        <v>8512</v>
      </c>
      <c r="C1473" s="51" t="s">
        <v>200</v>
      </c>
      <c r="D1473" s="52">
        <v>646</v>
      </c>
      <c r="E1473" s="35">
        <v>44634</v>
      </c>
      <c r="F1473" s="52">
        <v>646</v>
      </c>
      <c r="G1473" s="53">
        <f>Tabla14[[#This Row],[Importe]]-Tabla14[[#This Row],[Pagado]]</f>
        <v>0</v>
      </c>
      <c r="H1473" s="37" t="s">
        <v>10</v>
      </c>
    </row>
    <row r="1474" spans="1:8" x14ac:dyDescent="0.25">
      <c r="A1474" s="31">
        <v>44634</v>
      </c>
      <c r="B1474" s="37" t="s">
        <v>8513</v>
      </c>
      <c r="C1474" s="51" t="s">
        <v>216</v>
      </c>
      <c r="D1474" s="52">
        <v>2105.6</v>
      </c>
      <c r="E1474" s="35">
        <v>44634</v>
      </c>
      <c r="F1474" s="52">
        <v>2105.6</v>
      </c>
      <c r="G1474" s="53">
        <f>Tabla14[[#This Row],[Importe]]-Tabla14[[#This Row],[Pagado]]</f>
        <v>0</v>
      </c>
      <c r="H1474" s="37" t="s">
        <v>10</v>
      </c>
    </row>
    <row r="1475" spans="1:8" x14ac:dyDescent="0.25">
      <c r="A1475" s="31">
        <v>44634</v>
      </c>
      <c r="B1475" s="37" t="s">
        <v>8514</v>
      </c>
      <c r="C1475" s="51" t="s">
        <v>857</v>
      </c>
      <c r="D1475" s="52">
        <v>666.4</v>
      </c>
      <c r="E1475" s="35">
        <v>44634</v>
      </c>
      <c r="F1475" s="52">
        <v>666.4</v>
      </c>
      <c r="G1475" s="53">
        <f>Tabla14[[#This Row],[Importe]]-Tabla14[[#This Row],[Pagado]]</f>
        <v>0</v>
      </c>
      <c r="H1475" s="37" t="s">
        <v>10</v>
      </c>
    </row>
    <row r="1476" spans="1:8" x14ac:dyDescent="0.25">
      <c r="A1476" s="31">
        <v>44634</v>
      </c>
      <c r="B1476" s="37" t="s">
        <v>8515</v>
      </c>
      <c r="C1476" s="51" t="s">
        <v>419</v>
      </c>
      <c r="D1476" s="52">
        <v>6805.3</v>
      </c>
      <c r="E1476" s="35">
        <v>44634</v>
      </c>
      <c r="F1476" s="52">
        <v>6805.3</v>
      </c>
      <c r="G1476" s="53">
        <f>Tabla14[[#This Row],[Importe]]-Tabla14[[#This Row],[Pagado]]</f>
        <v>0</v>
      </c>
      <c r="H1476" s="37" t="s">
        <v>10</v>
      </c>
    </row>
    <row r="1477" spans="1:8" x14ac:dyDescent="0.25">
      <c r="A1477" s="31">
        <v>44634</v>
      </c>
      <c r="B1477" s="37" t="s">
        <v>8516</v>
      </c>
      <c r="C1477" s="51" t="s">
        <v>129</v>
      </c>
      <c r="D1477" s="52">
        <v>3623.2</v>
      </c>
      <c r="E1477" s="35">
        <v>44634</v>
      </c>
      <c r="F1477" s="52">
        <v>3623.2</v>
      </c>
      <c r="G1477" s="53">
        <f>Tabla14[[#This Row],[Importe]]-Tabla14[[#This Row],[Pagado]]</f>
        <v>0</v>
      </c>
      <c r="H1477" s="37" t="s">
        <v>10</v>
      </c>
    </row>
    <row r="1478" spans="1:8" x14ac:dyDescent="0.25">
      <c r="A1478" s="31">
        <v>44634</v>
      </c>
      <c r="B1478" s="37" t="s">
        <v>8517</v>
      </c>
      <c r="C1478" s="51" t="s">
        <v>357</v>
      </c>
      <c r="D1478" s="52">
        <v>3592.8</v>
      </c>
      <c r="E1478" s="35">
        <v>44634</v>
      </c>
      <c r="F1478" s="52">
        <v>3592.8</v>
      </c>
      <c r="G1478" s="53">
        <f>Tabla14[[#This Row],[Importe]]-Tabla14[[#This Row],[Pagado]]</f>
        <v>0</v>
      </c>
      <c r="H1478" s="37" t="s">
        <v>10</v>
      </c>
    </row>
    <row r="1479" spans="1:8" x14ac:dyDescent="0.25">
      <c r="A1479" s="31">
        <v>44634</v>
      </c>
      <c r="B1479" s="37" t="s">
        <v>8518</v>
      </c>
      <c r="C1479" s="51" t="s">
        <v>140</v>
      </c>
      <c r="D1479" s="52">
        <v>4547.5</v>
      </c>
      <c r="E1479" s="35">
        <v>44634</v>
      </c>
      <c r="F1479" s="52">
        <v>4547.5</v>
      </c>
      <c r="G1479" s="53">
        <f>Tabla14[[#This Row],[Importe]]-Tabla14[[#This Row],[Pagado]]</f>
        <v>0</v>
      </c>
      <c r="H1479" s="37" t="s">
        <v>10</v>
      </c>
    </row>
    <row r="1480" spans="1:8" x14ac:dyDescent="0.25">
      <c r="A1480" s="31">
        <v>44634</v>
      </c>
      <c r="B1480" s="37" t="s">
        <v>8519</v>
      </c>
      <c r="C1480" s="51" t="s">
        <v>127</v>
      </c>
      <c r="D1480" s="52">
        <v>3459.4</v>
      </c>
      <c r="E1480" s="35">
        <v>44634</v>
      </c>
      <c r="F1480" s="52">
        <v>3459.4</v>
      </c>
      <c r="G1480" s="53">
        <f>Tabla14[[#This Row],[Importe]]-Tabla14[[#This Row],[Pagado]]</f>
        <v>0</v>
      </c>
      <c r="H1480" s="37" t="s">
        <v>10</v>
      </c>
    </row>
    <row r="1481" spans="1:8" x14ac:dyDescent="0.25">
      <c r="A1481" s="31">
        <v>44634</v>
      </c>
      <c r="B1481" s="37" t="s">
        <v>8520</v>
      </c>
      <c r="C1481" s="51" t="s">
        <v>107</v>
      </c>
      <c r="D1481" s="52">
        <v>12204.5</v>
      </c>
      <c r="E1481" s="35">
        <v>44634</v>
      </c>
      <c r="F1481" s="52">
        <v>12204.5</v>
      </c>
      <c r="G1481" s="53">
        <f>Tabla14[[#This Row],[Importe]]-Tabla14[[#This Row],[Pagado]]</f>
        <v>0</v>
      </c>
      <c r="H1481" s="37" t="s">
        <v>10</v>
      </c>
    </row>
    <row r="1482" spans="1:8" x14ac:dyDescent="0.25">
      <c r="A1482" s="31">
        <v>44634</v>
      </c>
      <c r="B1482" s="37" t="s">
        <v>8521</v>
      </c>
      <c r="C1482" s="51" t="s">
        <v>664</v>
      </c>
      <c r="D1482" s="52">
        <v>9372.7999999999993</v>
      </c>
      <c r="E1482" s="35">
        <v>44634</v>
      </c>
      <c r="F1482" s="52">
        <v>9372.7999999999993</v>
      </c>
      <c r="G1482" s="53">
        <f>Tabla14[[#This Row],[Importe]]-Tabla14[[#This Row],[Pagado]]</f>
        <v>0</v>
      </c>
      <c r="H1482" s="37" t="s">
        <v>10</v>
      </c>
    </row>
    <row r="1483" spans="1:8" x14ac:dyDescent="0.25">
      <c r="A1483" s="31">
        <v>44634</v>
      </c>
      <c r="B1483" s="37" t="s">
        <v>8522</v>
      </c>
      <c r="C1483" s="51" t="s">
        <v>291</v>
      </c>
      <c r="D1483" s="52">
        <v>2966.8</v>
      </c>
      <c r="E1483" s="35">
        <v>44634</v>
      </c>
      <c r="F1483" s="52">
        <v>2966.8</v>
      </c>
      <c r="G1483" s="53">
        <f>Tabla14[[#This Row],[Importe]]-Tabla14[[#This Row],[Pagado]]</f>
        <v>0</v>
      </c>
      <c r="H1483" s="37" t="s">
        <v>10</v>
      </c>
    </row>
    <row r="1484" spans="1:8" x14ac:dyDescent="0.25">
      <c r="A1484" s="31">
        <v>44634</v>
      </c>
      <c r="B1484" s="37" t="s">
        <v>8523</v>
      </c>
      <c r="C1484" s="51" t="s">
        <v>670</v>
      </c>
      <c r="D1484" s="52">
        <v>3476</v>
      </c>
      <c r="E1484" s="35">
        <v>44634</v>
      </c>
      <c r="F1484" s="52">
        <v>3476</v>
      </c>
      <c r="G1484" s="53">
        <f>Tabla14[[#This Row],[Importe]]-Tabla14[[#This Row],[Pagado]]</f>
        <v>0</v>
      </c>
      <c r="H1484" s="37" t="s">
        <v>10</v>
      </c>
    </row>
    <row r="1485" spans="1:8" x14ac:dyDescent="0.25">
      <c r="A1485" s="31">
        <v>44634</v>
      </c>
      <c r="B1485" s="37" t="s">
        <v>8524</v>
      </c>
      <c r="C1485" s="51" t="s">
        <v>414</v>
      </c>
      <c r="D1485" s="52">
        <v>11425.6</v>
      </c>
      <c r="E1485" s="35">
        <v>44634</v>
      </c>
      <c r="F1485" s="52">
        <v>11425.6</v>
      </c>
      <c r="G1485" s="53">
        <f>Tabla14[[#This Row],[Importe]]-Tabla14[[#This Row],[Pagado]]</f>
        <v>0</v>
      </c>
      <c r="H1485" s="37" t="s">
        <v>10</v>
      </c>
    </row>
    <row r="1486" spans="1:8" x14ac:dyDescent="0.25">
      <c r="A1486" s="31">
        <v>44634</v>
      </c>
      <c r="B1486" s="37" t="s">
        <v>8525</v>
      </c>
      <c r="C1486" s="51" t="s">
        <v>289</v>
      </c>
      <c r="D1486" s="52">
        <v>7683.2</v>
      </c>
      <c r="E1486" s="35">
        <v>44634</v>
      </c>
      <c r="F1486" s="52">
        <v>7683.2</v>
      </c>
      <c r="G1486" s="53">
        <f>Tabla14[[#This Row],[Importe]]-Tabla14[[#This Row],[Pagado]]</f>
        <v>0</v>
      </c>
      <c r="H1486" s="37" t="s">
        <v>10</v>
      </c>
    </row>
    <row r="1487" spans="1:8" x14ac:dyDescent="0.25">
      <c r="A1487" s="31">
        <v>44634</v>
      </c>
      <c r="B1487" s="37" t="s">
        <v>8526</v>
      </c>
      <c r="C1487" s="51" t="s">
        <v>240</v>
      </c>
      <c r="D1487" s="52">
        <v>560</v>
      </c>
      <c r="E1487" s="35">
        <v>44634</v>
      </c>
      <c r="F1487" s="52">
        <v>560</v>
      </c>
      <c r="G1487" s="53">
        <f>Tabla14[[#This Row],[Importe]]-Tabla14[[#This Row],[Pagado]]</f>
        <v>0</v>
      </c>
      <c r="H1487" s="37" t="s">
        <v>10</v>
      </c>
    </row>
    <row r="1488" spans="1:8" x14ac:dyDescent="0.25">
      <c r="A1488" s="31">
        <v>44634</v>
      </c>
      <c r="B1488" s="37" t="s">
        <v>8527</v>
      </c>
      <c r="C1488" s="51" t="s">
        <v>286</v>
      </c>
      <c r="D1488" s="52">
        <v>27378</v>
      </c>
      <c r="E1488" s="35">
        <v>44635</v>
      </c>
      <c r="F1488" s="52">
        <v>27378</v>
      </c>
      <c r="G1488" s="53">
        <f>Tabla14[[#This Row],[Importe]]-Tabla14[[#This Row],[Pagado]]</f>
        <v>0</v>
      </c>
      <c r="H1488" s="37" t="s">
        <v>10</v>
      </c>
    </row>
    <row r="1489" spans="1:8" ht="31.5" x14ac:dyDescent="0.25">
      <c r="A1489" s="31">
        <v>44634</v>
      </c>
      <c r="B1489" s="37" t="s">
        <v>8528</v>
      </c>
      <c r="C1489" s="51" t="s">
        <v>392</v>
      </c>
      <c r="D1489" s="52">
        <v>6306</v>
      </c>
      <c r="E1489" s="35" t="s">
        <v>8529</v>
      </c>
      <c r="F1489" s="52">
        <f>5000+1306</f>
        <v>6306</v>
      </c>
      <c r="G1489" s="53">
        <f>Tabla14[[#This Row],[Importe]]-Tabla14[[#This Row],[Pagado]]</f>
        <v>0</v>
      </c>
      <c r="H1489" s="37" t="s">
        <v>10</v>
      </c>
    </row>
    <row r="1490" spans="1:8" x14ac:dyDescent="0.25">
      <c r="A1490" s="31">
        <v>44634</v>
      </c>
      <c r="B1490" s="37" t="s">
        <v>8530</v>
      </c>
      <c r="C1490" s="51" t="s">
        <v>62</v>
      </c>
      <c r="D1490" s="52">
        <v>2878.5</v>
      </c>
      <c r="E1490" s="35">
        <v>44634</v>
      </c>
      <c r="F1490" s="52">
        <v>2878.5</v>
      </c>
      <c r="G1490" s="53">
        <f>Tabla14[[#This Row],[Importe]]-Tabla14[[#This Row],[Pagado]]</f>
        <v>0</v>
      </c>
      <c r="H1490" s="37" t="s">
        <v>10</v>
      </c>
    </row>
    <row r="1491" spans="1:8" x14ac:dyDescent="0.25">
      <c r="A1491" s="31">
        <v>44634</v>
      </c>
      <c r="B1491" s="37" t="s">
        <v>8531</v>
      </c>
      <c r="C1491" s="51" t="s">
        <v>62</v>
      </c>
      <c r="D1491" s="52">
        <v>5811.6</v>
      </c>
      <c r="E1491" s="35">
        <v>44634</v>
      </c>
      <c r="F1491" s="52">
        <v>5811.6</v>
      </c>
      <c r="G1491" s="53">
        <f>Tabla14[[#This Row],[Importe]]-Tabla14[[#This Row],[Pagado]]</f>
        <v>0</v>
      </c>
      <c r="H1491" s="37" t="s">
        <v>10</v>
      </c>
    </row>
    <row r="1492" spans="1:8" x14ac:dyDescent="0.25">
      <c r="A1492" s="31">
        <v>44634</v>
      </c>
      <c r="B1492" s="37" t="s">
        <v>8532</v>
      </c>
      <c r="C1492" s="51" t="s">
        <v>280</v>
      </c>
      <c r="D1492" s="52">
        <v>1523.2</v>
      </c>
      <c r="E1492" s="35">
        <v>44635</v>
      </c>
      <c r="F1492" s="52">
        <v>1523.2</v>
      </c>
      <c r="G1492" s="53">
        <f>Tabla14[[#This Row],[Importe]]-Tabla14[[#This Row],[Pagado]]</f>
        <v>0</v>
      </c>
      <c r="H1492" s="37" t="s">
        <v>10</v>
      </c>
    </row>
    <row r="1493" spans="1:8" x14ac:dyDescent="0.25">
      <c r="A1493" s="31">
        <v>44634</v>
      </c>
      <c r="B1493" s="37" t="s">
        <v>8533</v>
      </c>
      <c r="C1493" s="51" t="s">
        <v>698</v>
      </c>
      <c r="D1493" s="52">
        <v>7120</v>
      </c>
      <c r="E1493" s="35">
        <v>44634</v>
      </c>
      <c r="F1493" s="52">
        <v>7120</v>
      </c>
      <c r="G1493" s="53">
        <f>Tabla14[[#This Row],[Importe]]-Tabla14[[#This Row],[Pagado]]</f>
        <v>0</v>
      </c>
      <c r="H1493" s="37" t="s">
        <v>10</v>
      </c>
    </row>
    <row r="1494" spans="1:8" x14ac:dyDescent="0.25">
      <c r="A1494" s="31">
        <v>44634</v>
      </c>
      <c r="B1494" s="37" t="s">
        <v>8534</v>
      </c>
      <c r="C1494" s="51" t="s">
        <v>5345</v>
      </c>
      <c r="D1494" s="52">
        <v>1652</v>
      </c>
      <c r="E1494" s="35">
        <v>44635</v>
      </c>
      <c r="F1494" s="52">
        <v>1652</v>
      </c>
      <c r="G1494" s="53">
        <f>Tabla14[[#This Row],[Importe]]-Tabla14[[#This Row],[Pagado]]</f>
        <v>0</v>
      </c>
      <c r="H1494" s="37" t="s">
        <v>10</v>
      </c>
    </row>
    <row r="1495" spans="1:8" x14ac:dyDescent="0.25">
      <c r="A1495" s="31">
        <v>44634</v>
      </c>
      <c r="B1495" s="37" t="s">
        <v>8535</v>
      </c>
      <c r="C1495" s="51" t="s">
        <v>282</v>
      </c>
      <c r="D1495" s="52">
        <v>2189.6</v>
      </c>
      <c r="E1495" s="35">
        <v>44635</v>
      </c>
      <c r="F1495" s="52">
        <v>2189.6</v>
      </c>
      <c r="G1495" s="53">
        <f>Tabla14[[#This Row],[Importe]]-Tabla14[[#This Row],[Pagado]]</f>
        <v>0</v>
      </c>
      <c r="H1495" s="37" t="s">
        <v>10</v>
      </c>
    </row>
    <row r="1496" spans="1:8" x14ac:dyDescent="0.25">
      <c r="A1496" s="31">
        <v>44634</v>
      </c>
      <c r="B1496" s="37" t="s">
        <v>8536</v>
      </c>
      <c r="C1496" s="51" t="s">
        <v>2151</v>
      </c>
      <c r="D1496" s="52">
        <v>580.5</v>
      </c>
      <c r="E1496" s="35">
        <v>44634</v>
      </c>
      <c r="F1496" s="52">
        <v>580.5</v>
      </c>
      <c r="G1496" s="53">
        <f>Tabla14[[#This Row],[Importe]]-Tabla14[[#This Row],[Pagado]]</f>
        <v>0</v>
      </c>
      <c r="H1496" s="37" t="s">
        <v>10</v>
      </c>
    </row>
    <row r="1497" spans="1:8" x14ac:dyDescent="0.25">
      <c r="A1497" s="31">
        <v>44634</v>
      </c>
      <c r="B1497" s="37" t="s">
        <v>8537</v>
      </c>
      <c r="C1497" s="51" t="s">
        <v>284</v>
      </c>
      <c r="D1497" s="52">
        <v>6815.2</v>
      </c>
      <c r="E1497" s="35">
        <v>44635</v>
      </c>
      <c r="F1497" s="52">
        <v>6815.2</v>
      </c>
      <c r="G1497" s="53">
        <f>Tabla14[[#This Row],[Importe]]-Tabla14[[#This Row],[Pagado]]</f>
        <v>0</v>
      </c>
      <c r="H1497" s="37" t="s">
        <v>10</v>
      </c>
    </row>
    <row r="1498" spans="1:8" x14ac:dyDescent="0.25">
      <c r="A1498" s="31">
        <v>44634</v>
      </c>
      <c r="B1498" s="37" t="s">
        <v>8538</v>
      </c>
      <c r="C1498" s="51" t="s">
        <v>133</v>
      </c>
      <c r="D1498" s="52">
        <v>17236.8</v>
      </c>
      <c r="E1498" s="35">
        <v>44635</v>
      </c>
      <c r="F1498" s="52">
        <v>17236.8</v>
      </c>
      <c r="G1498" s="53">
        <f>Tabla14[[#This Row],[Importe]]-Tabla14[[#This Row],[Pagado]]</f>
        <v>0</v>
      </c>
      <c r="H1498" s="37" t="s">
        <v>10</v>
      </c>
    </row>
    <row r="1499" spans="1:8" x14ac:dyDescent="0.25">
      <c r="A1499" s="31">
        <v>44634</v>
      </c>
      <c r="B1499" s="37" t="s">
        <v>8539</v>
      </c>
      <c r="C1499" s="51" t="s">
        <v>173</v>
      </c>
      <c r="D1499" s="52">
        <v>25308.799999999999</v>
      </c>
      <c r="E1499" s="35">
        <v>44635</v>
      </c>
      <c r="F1499" s="52">
        <v>25308.799999999999</v>
      </c>
      <c r="G1499" s="53">
        <f>Tabla14[[#This Row],[Importe]]-Tabla14[[#This Row],[Pagado]]</f>
        <v>0</v>
      </c>
      <c r="H1499" s="37" t="s">
        <v>10</v>
      </c>
    </row>
    <row r="1500" spans="1:8" x14ac:dyDescent="0.25">
      <c r="A1500" s="31">
        <v>44634</v>
      </c>
      <c r="B1500" s="37" t="s">
        <v>8540</v>
      </c>
      <c r="C1500" s="51" t="s">
        <v>5816</v>
      </c>
      <c r="D1500" s="52">
        <v>3322.2</v>
      </c>
      <c r="E1500" s="35">
        <v>44635</v>
      </c>
      <c r="F1500" s="52">
        <v>3322.2</v>
      </c>
      <c r="G1500" s="53">
        <f>Tabla14[[#This Row],[Importe]]-Tabla14[[#This Row],[Pagado]]</f>
        <v>0</v>
      </c>
      <c r="H1500" s="37" t="s">
        <v>10</v>
      </c>
    </row>
    <row r="1501" spans="1:8" x14ac:dyDescent="0.25">
      <c r="A1501" s="31">
        <v>44634</v>
      </c>
      <c r="B1501" s="37" t="s">
        <v>8541</v>
      </c>
      <c r="C1501" s="51" t="s">
        <v>475</v>
      </c>
      <c r="D1501" s="52">
        <v>31874.5</v>
      </c>
      <c r="E1501" s="35">
        <v>44638</v>
      </c>
      <c r="F1501" s="52">
        <v>31874.5</v>
      </c>
      <c r="G1501" s="53">
        <f>Tabla14[[#This Row],[Importe]]-Tabla14[[#This Row],[Pagado]]</f>
        <v>0</v>
      </c>
      <c r="H1501" s="37" t="s">
        <v>10</v>
      </c>
    </row>
    <row r="1502" spans="1:8" x14ac:dyDescent="0.25">
      <c r="A1502" s="31">
        <v>44634</v>
      </c>
      <c r="B1502" s="37" t="s">
        <v>8542</v>
      </c>
      <c r="C1502" s="51" t="s">
        <v>1313</v>
      </c>
      <c r="D1502" s="52">
        <v>9759.6</v>
      </c>
      <c r="E1502" s="35">
        <v>44634</v>
      </c>
      <c r="F1502" s="52">
        <v>9759.6</v>
      </c>
      <c r="G1502" s="53">
        <f>Tabla14[[#This Row],[Importe]]-Tabla14[[#This Row],[Pagado]]</f>
        <v>0</v>
      </c>
      <c r="H1502" s="37" t="s">
        <v>10</v>
      </c>
    </row>
    <row r="1503" spans="1:8" x14ac:dyDescent="0.25">
      <c r="A1503" s="31">
        <v>44634</v>
      </c>
      <c r="B1503" s="37" t="s">
        <v>8543</v>
      </c>
      <c r="C1503" s="51" t="s">
        <v>246</v>
      </c>
      <c r="D1503" s="52">
        <v>31458.400000000001</v>
      </c>
      <c r="E1503" s="35">
        <v>44634</v>
      </c>
      <c r="F1503" s="52">
        <v>31458.400000000001</v>
      </c>
      <c r="G1503" s="53">
        <f>Tabla14[[#This Row],[Importe]]-Tabla14[[#This Row],[Pagado]]</f>
        <v>0</v>
      </c>
      <c r="H1503" s="37" t="s">
        <v>10</v>
      </c>
    </row>
    <row r="1504" spans="1:8" x14ac:dyDescent="0.25">
      <c r="A1504" s="31">
        <v>44634</v>
      </c>
      <c r="B1504" s="37" t="s">
        <v>8544</v>
      </c>
      <c r="C1504" s="51" t="s">
        <v>269</v>
      </c>
      <c r="D1504" s="52">
        <v>3343.1</v>
      </c>
      <c r="E1504" s="35">
        <v>44634</v>
      </c>
      <c r="F1504" s="52">
        <v>3343.1</v>
      </c>
      <c r="G1504" s="53">
        <f>Tabla14[[#This Row],[Importe]]-Tabla14[[#This Row],[Pagado]]</f>
        <v>0</v>
      </c>
      <c r="H1504" s="37" t="s">
        <v>10</v>
      </c>
    </row>
    <row r="1505" spans="1:8" x14ac:dyDescent="0.25">
      <c r="A1505" s="31">
        <v>44634</v>
      </c>
      <c r="B1505" s="37" t="s">
        <v>8545</v>
      </c>
      <c r="C1505" s="51" t="s">
        <v>71</v>
      </c>
      <c r="D1505" s="52">
        <v>1221.2</v>
      </c>
      <c r="E1505" s="35">
        <v>44634</v>
      </c>
      <c r="F1505" s="52">
        <v>1221.2</v>
      </c>
      <c r="G1505" s="53">
        <f>Tabla14[[#This Row],[Importe]]-Tabla14[[#This Row],[Pagado]]</f>
        <v>0</v>
      </c>
      <c r="H1505" s="37" t="s">
        <v>10</v>
      </c>
    </row>
    <row r="1506" spans="1:8" x14ac:dyDescent="0.25">
      <c r="A1506" s="31">
        <v>44634</v>
      </c>
      <c r="B1506" s="37" t="s">
        <v>8546</v>
      </c>
      <c r="C1506" s="51" t="s">
        <v>414</v>
      </c>
      <c r="D1506" s="52">
        <v>16874</v>
      </c>
      <c r="E1506" s="35">
        <v>44634</v>
      </c>
      <c r="F1506" s="52">
        <v>16874</v>
      </c>
      <c r="G1506" s="53">
        <f>Tabla14[[#This Row],[Importe]]-Tabla14[[#This Row],[Pagado]]</f>
        <v>0</v>
      </c>
      <c r="H1506" s="37" t="s">
        <v>10</v>
      </c>
    </row>
    <row r="1507" spans="1:8" x14ac:dyDescent="0.25">
      <c r="A1507" s="31">
        <v>44634</v>
      </c>
      <c r="B1507" s="37" t="s">
        <v>8547</v>
      </c>
      <c r="C1507" s="51" t="s">
        <v>226</v>
      </c>
      <c r="D1507" s="52">
        <v>17633</v>
      </c>
      <c r="E1507" s="35">
        <v>44634</v>
      </c>
      <c r="F1507" s="52">
        <v>17633</v>
      </c>
      <c r="G1507" s="53">
        <f>Tabla14[[#This Row],[Importe]]-Tabla14[[#This Row],[Pagado]]</f>
        <v>0</v>
      </c>
      <c r="H1507" s="37" t="s">
        <v>10</v>
      </c>
    </row>
    <row r="1508" spans="1:8" x14ac:dyDescent="0.25">
      <c r="A1508" s="31">
        <v>44634</v>
      </c>
      <c r="B1508" s="37" t="s">
        <v>8548</v>
      </c>
      <c r="C1508" s="51" t="s">
        <v>214</v>
      </c>
      <c r="D1508" s="52">
        <v>1556.8</v>
      </c>
      <c r="E1508" s="35">
        <v>44634</v>
      </c>
      <c r="F1508" s="52">
        <v>1556.8</v>
      </c>
      <c r="G1508" s="53">
        <f>Tabla14[[#This Row],[Importe]]-Tabla14[[#This Row],[Pagado]]</f>
        <v>0</v>
      </c>
      <c r="H1508" s="37" t="s">
        <v>10</v>
      </c>
    </row>
    <row r="1509" spans="1:8" x14ac:dyDescent="0.25">
      <c r="A1509" s="31">
        <v>44634</v>
      </c>
      <c r="B1509" s="37" t="s">
        <v>8549</v>
      </c>
      <c r="C1509" s="51" t="s">
        <v>135</v>
      </c>
      <c r="D1509" s="52">
        <v>1557.6</v>
      </c>
      <c r="E1509" s="35">
        <v>44634</v>
      </c>
      <c r="F1509" s="52">
        <v>1557.6</v>
      </c>
      <c r="G1509" s="53">
        <f>Tabla14[[#This Row],[Importe]]-Tabla14[[#This Row],[Pagado]]</f>
        <v>0</v>
      </c>
      <c r="H1509" s="37" t="s">
        <v>10</v>
      </c>
    </row>
    <row r="1510" spans="1:8" x14ac:dyDescent="0.25">
      <c r="A1510" s="31">
        <v>44634</v>
      </c>
      <c r="B1510" s="37" t="s">
        <v>8550</v>
      </c>
      <c r="C1510" s="51" t="s">
        <v>2139</v>
      </c>
      <c r="D1510" s="52">
        <v>1050.4000000000001</v>
      </c>
      <c r="E1510" s="35">
        <v>44634</v>
      </c>
      <c r="F1510" s="52">
        <v>1050.4000000000001</v>
      </c>
      <c r="G1510" s="53">
        <f>Tabla14[[#This Row],[Importe]]-Tabla14[[#This Row],[Pagado]]</f>
        <v>0</v>
      </c>
      <c r="H1510" s="37" t="s">
        <v>10</v>
      </c>
    </row>
    <row r="1511" spans="1:8" x14ac:dyDescent="0.25">
      <c r="A1511" s="31">
        <v>44634</v>
      </c>
      <c r="B1511" s="37" t="s">
        <v>8551</v>
      </c>
      <c r="C1511" s="51" t="s">
        <v>71</v>
      </c>
      <c r="D1511" s="52">
        <v>3710</v>
      </c>
      <c r="E1511" s="35">
        <v>44634</v>
      </c>
      <c r="F1511" s="52">
        <v>3710</v>
      </c>
      <c r="G1511" s="53">
        <f>Tabla14[[#This Row],[Importe]]-Tabla14[[#This Row],[Pagado]]</f>
        <v>0</v>
      </c>
      <c r="H1511" s="37" t="s">
        <v>10</v>
      </c>
    </row>
    <row r="1512" spans="1:8" x14ac:dyDescent="0.25">
      <c r="A1512" s="31">
        <v>44634</v>
      </c>
      <c r="B1512" s="37" t="s">
        <v>8552</v>
      </c>
      <c r="C1512" s="51" t="s">
        <v>454</v>
      </c>
      <c r="D1512" s="52">
        <v>2937.6</v>
      </c>
      <c r="E1512" s="35">
        <v>44634</v>
      </c>
      <c r="F1512" s="52">
        <v>2937.6</v>
      </c>
      <c r="G1512" s="53">
        <f>Tabla14[[#This Row],[Importe]]-Tabla14[[#This Row],[Pagado]]</f>
        <v>0</v>
      </c>
      <c r="H1512" s="37" t="s">
        <v>10</v>
      </c>
    </row>
    <row r="1513" spans="1:8" x14ac:dyDescent="0.25">
      <c r="A1513" s="31">
        <v>44634</v>
      </c>
      <c r="B1513" s="37" t="s">
        <v>8553</v>
      </c>
      <c r="C1513" s="51" t="s">
        <v>296</v>
      </c>
      <c r="D1513" s="52">
        <v>2798.7</v>
      </c>
      <c r="E1513" s="35">
        <v>44634</v>
      </c>
      <c r="F1513" s="52">
        <v>2798.7</v>
      </c>
      <c r="G1513" s="53">
        <f>Tabla14[[#This Row],[Importe]]-Tabla14[[#This Row],[Pagado]]</f>
        <v>0</v>
      </c>
      <c r="H1513" s="37" t="s">
        <v>10</v>
      </c>
    </row>
    <row r="1514" spans="1:8" x14ac:dyDescent="0.25">
      <c r="A1514" s="31">
        <v>44634</v>
      </c>
      <c r="B1514" s="37" t="s">
        <v>8554</v>
      </c>
      <c r="C1514" s="51" t="s">
        <v>298</v>
      </c>
      <c r="D1514" s="52">
        <v>3400</v>
      </c>
      <c r="E1514" s="35">
        <v>44634</v>
      </c>
      <c r="F1514" s="52">
        <v>3400</v>
      </c>
      <c r="G1514" s="53">
        <f>Tabla14[[#This Row],[Importe]]-Tabla14[[#This Row],[Pagado]]</f>
        <v>0</v>
      </c>
      <c r="H1514" s="37" t="s">
        <v>10</v>
      </c>
    </row>
    <row r="1515" spans="1:8" x14ac:dyDescent="0.25">
      <c r="A1515" s="31">
        <v>44634</v>
      </c>
      <c r="B1515" s="37" t="s">
        <v>8555</v>
      </c>
      <c r="C1515" s="51" t="s">
        <v>414</v>
      </c>
      <c r="D1515" s="52">
        <v>14319.2</v>
      </c>
      <c r="E1515" s="35">
        <v>44638</v>
      </c>
      <c r="F1515" s="52">
        <v>14319.2</v>
      </c>
      <c r="G1515" s="53">
        <f>Tabla14[[#This Row],[Importe]]-Tabla14[[#This Row],[Pagado]]</f>
        <v>0</v>
      </c>
      <c r="H1515" s="37" t="s">
        <v>10</v>
      </c>
    </row>
    <row r="1516" spans="1:8" x14ac:dyDescent="0.25">
      <c r="A1516" s="31">
        <v>44634</v>
      </c>
      <c r="B1516" s="37" t="s">
        <v>8556</v>
      </c>
      <c r="C1516" s="51" t="s">
        <v>8557</v>
      </c>
      <c r="D1516" s="52">
        <v>0</v>
      </c>
      <c r="E1516" s="39" t="s">
        <v>189</v>
      </c>
      <c r="F1516" s="52">
        <v>0</v>
      </c>
      <c r="G1516" s="53">
        <f>Tabla14[[#This Row],[Importe]]-Tabla14[[#This Row],[Pagado]]</f>
        <v>0</v>
      </c>
      <c r="H1516" s="37" t="s">
        <v>189</v>
      </c>
    </row>
    <row r="1517" spans="1:8" x14ac:dyDescent="0.25">
      <c r="A1517" s="31">
        <v>44634</v>
      </c>
      <c r="B1517" s="37" t="s">
        <v>8558</v>
      </c>
      <c r="C1517" s="51" t="s">
        <v>5620</v>
      </c>
      <c r="D1517" s="52">
        <v>62762.400000000001</v>
      </c>
      <c r="E1517" s="35">
        <v>44635</v>
      </c>
      <c r="F1517" s="52">
        <v>62762.400000000001</v>
      </c>
      <c r="G1517" s="53">
        <f>Tabla14[[#This Row],[Importe]]-Tabla14[[#This Row],[Pagado]]</f>
        <v>0</v>
      </c>
      <c r="H1517" s="37" t="s">
        <v>10</v>
      </c>
    </row>
    <row r="1518" spans="1:8" x14ac:dyDescent="0.25">
      <c r="A1518" s="31">
        <v>44634</v>
      </c>
      <c r="B1518" s="37" t="s">
        <v>8559</v>
      </c>
      <c r="C1518" s="51" t="s">
        <v>53</v>
      </c>
      <c r="D1518" s="52">
        <v>1818.3</v>
      </c>
      <c r="E1518" s="35">
        <v>44634</v>
      </c>
      <c r="F1518" s="52">
        <v>1818.3</v>
      </c>
      <c r="G1518" s="53">
        <f>Tabla14[[#This Row],[Importe]]-Tabla14[[#This Row],[Pagado]]</f>
        <v>0</v>
      </c>
      <c r="H1518" s="37" t="s">
        <v>10</v>
      </c>
    </row>
    <row r="1519" spans="1:8" x14ac:dyDescent="0.25">
      <c r="A1519" s="31">
        <v>44634</v>
      </c>
      <c r="B1519" s="37" t="s">
        <v>8560</v>
      </c>
      <c r="C1519" s="51" t="s">
        <v>1008</v>
      </c>
      <c r="D1519" s="52">
        <v>3135</v>
      </c>
      <c r="E1519" s="35">
        <v>44634</v>
      </c>
      <c r="F1519" s="52">
        <v>3135</v>
      </c>
      <c r="G1519" s="53">
        <f>Tabla14[[#This Row],[Importe]]-Tabla14[[#This Row],[Pagado]]</f>
        <v>0</v>
      </c>
      <c r="H1519" s="37" t="s">
        <v>10</v>
      </c>
    </row>
    <row r="1520" spans="1:8" x14ac:dyDescent="0.25">
      <c r="A1520" s="31">
        <v>44634</v>
      </c>
      <c r="B1520" s="37" t="s">
        <v>8561</v>
      </c>
      <c r="C1520" s="51" t="s">
        <v>2961</v>
      </c>
      <c r="D1520" s="52">
        <v>51422.400000000001</v>
      </c>
      <c r="E1520" s="35">
        <v>44638</v>
      </c>
      <c r="F1520" s="52">
        <v>51422.400000000001</v>
      </c>
      <c r="G1520" s="53">
        <f>Tabla14[[#This Row],[Importe]]-Tabla14[[#This Row],[Pagado]]</f>
        <v>0</v>
      </c>
      <c r="H1520" s="37" t="s">
        <v>10</v>
      </c>
    </row>
    <row r="1521" spans="1:10" x14ac:dyDescent="0.25">
      <c r="A1521" s="31">
        <v>44634</v>
      </c>
      <c r="B1521" s="37" t="s">
        <v>8562</v>
      </c>
      <c r="C1521" s="51" t="s">
        <v>7742</v>
      </c>
      <c r="D1521" s="52">
        <v>32681.599999999999</v>
      </c>
      <c r="E1521" s="35">
        <v>44641</v>
      </c>
      <c r="F1521" s="52">
        <v>32681.599999999999</v>
      </c>
      <c r="G1521" s="53">
        <f>Tabla14[[#This Row],[Importe]]-Tabla14[[#This Row],[Pagado]]</f>
        <v>0</v>
      </c>
      <c r="H1521" s="37" t="s">
        <v>10</v>
      </c>
    </row>
    <row r="1522" spans="1:10" x14ac:dyDescent="0.25">
      <c r="A1522" s="31">
        <v>44634</v>
      </c>
      <c r="B1522" s="37" t="s">
        <v>8563</v>
      </c>
      <c r="C1522" s="51" t="s">
        <v>8564</v>
      </c>
      <c r="D1522" s="52">
        <v>0</v>
      </c>
      <c r="E1522" s="39" t="s">
        <v>189</v>
      </c>
      <c r="F1522" s="52">
        <v>0</v>
      </c>
      <c r="G1522" s="53">
        <f>Tabla14[[#This Row],[Importe]]-Tabla14[[#This Row],[Pagado]]</f>
        <v>0</v>
      </c>
      <c r="H1522" s="37" t="s">
        <v>189</v>
      </c>
    </row>
    <row r="1523" spans="1:10" x14ac:dyDescent="0.25">
      <c r="A1523" s="31">
        <v>44634</v>
      </c>
      <c r="B1523" s="37" t="s">
        <v>8565</v>
      </c>
      <c r="C1523" s="51" t="s">
        <v>7745</v>
      </c>
      <c r="D1523" s="52">
        <v>11212.2</v>
      </c>
      <c r="E1523" s="35">
        <v>44634</v>
      </c>
      <c r="F1523" s="52">
        <v>11212.2</v>
      </c>
      <c r="G1523" s="53">
        <f>Tabla14[[#This Row],[Importe]]-Tabla14[[#This Row],[Pagado]]</f>
        <v>0</v>
      </c>
      <c r="H1523" s="37" t="s">
        <v>10</v>
      </c>
    </row>
    <row r="1524" spans="1:10" x14ac:dyDescent="0.25">
      <c r="A1524" s="31">
        <v>44634</v>
      </c>
      <c r="B1524" s="37" t="s">
        <v>8566</v>
      </c>
      <c r="C1524" s="51" t="s">
        <v>31</v>
      </c>
      <c r="D1524" s="52">
        <v>40.799999999999997</v>
      </c>
      <c r="E1524" s="35">
        <v>44634</v>
      </c>
      <c r="F1524" s="52">
        <v>40.799999999999997</v>
      </c>
      <c r="G1524" s="53">
        <f>Tabla14[[#This Row],[Importe]]-Tabla14[[#This Row],[Pagado]]</f>
        <v>0</v>
      </c>
      <c r="H1524" s="37" t="s">
        <v>10</v>
      </c>
    </row>
    <row r="1525" spans="1:10" x14ac:dyDescent="0.25">
      <c r="A1525" s="31">
        <v>44634</v>
      </c>
      <c r="B1525" s="37" t="s">
        <v>8567</v>
      </c>
      <c r="C1525" s="51" t="s">
        <v>1302</v>
      </c>
      <c r="D1525" s="52">
        <v>36526.9</v>
      </c>
      <c r="E1525" s="35">
        <v>44635</v>
      </c>
      <c r="F1525" s="52">
        <v>36526.9</v>
      </c>
      <c r="G1525" s="53">
        <f>Tabla14[[#This Row],[Importe]]-Tabla14[[#This Row],[Pagado]]</f>
        <v>0</v>
      </c>
      <c r="H1525" s="37" t="s">
        <v>10</v>
      </c>
    </row>
    <row r="1526" spans="1:10" x14ac:dyDescent="0.25">
      <c r="A1526" s="31">
        <v>44634</v>
      </c>
      <c r="B1526" s="37" t="s">
        <v>8568</v>
      </c>
      <c r="C1526" s="51" t="s">
        <v>275</v>
      </c>
      <c r="D1526" s="52">
        <v>10800</v>
      </c>
      <c r="E1526" s="35">
        <v>44645</v>
      </c>
      <c r="F1526" s="52">
        <v>10800</v>
      </c>
      <c r="G1526" s="53">
        <f>Tabla14[[#This Row],[Importe]]-Tabla14[[#This Row],[Pagado]]</f>
        <v>0</v>
      </c>
      <c r="H1526" s="37" t="s">
        <v>10</v>
      </c>
    </row>
    <row r="1527" spans="1:10" x14ac:dyDescent="0.25">
      <c r="A1527" s="31">
        <v>44634</v>
      </c>
      <c r="B1527" s="37" t="s">
        <v>8569</v>
      </c>
      <c r="C1527" s="51" t="s">
        <v>31</v>
      </c>
      <c r="D1527" s="52">
        <v>175</v>
      </c>
      <c r="E1527" s="35">
        <v>44634</v>
      </c>
      <c r="F1527" s="52">
        <v>175</v>
      </c>
      <c r="G1527" s="53">
        <f>Tabla14[[#This Row],[Importe]]-Tabla14[[#This Row],[Pagado]]</f>
        <v>0</v>
      </c>
      <c r="H1527" s="37" t="s">
        <v>10</v>
      </c>
    </row>
    <row r="1528" spans="1:10" x14ac:dyDescent="0.25">
      <c r="A1528" s="31">
        <v>44634</v>
      </c>
      <c r="B1528" s="37" t="s">
        <v>8570</v>
      </c>
      <c r="C1528" s="51" t="s">
        <v>6528</v>
      </c>
      <c r="D1528" s="52">
        <v>78000</v>
      </c>
      <c r="E1528" s="35">
        <v>44634</v>
      </c>
      <c r="F1528" s="52">
        <v>78000</v>
      </c>
      <c r="G1528" s="53">
        <f>Tabla14[[#This Row],[Importe]]-Tabla14[[#This Row],[Pagado]]</f>
        <v>0</v>
      </c>
      <c r="H1528" s="37" t="s">
        <v>10</v>
      </c>
    </row>
    <row r="1529" spans="1:10" x14ac:dyDescent="0.25">
      <c r="A1529" s="31">
        <v>44634</v>
      </c>
      <c r="B1529" s="37" t="s">
        <v>8571</v>
      </c>
      <c r="C1529" s="51" t="s">
        <v>840</v>
      </c>
      <c r="D1529" s="52">
        <v>11970.9</v>
      </c>
      <c r="E1529" s="35">
        <v>44634</v>
      </c>
      <c r="F1529" s="52">
        <v>11970.9</v>
      </c>
      <c r="G1529" s="53">
        <f>Tabla14[[#This Row],[Importe]]-Tabla14[[#This Row],[Pagado]]</f>
        <v>0</v>
      </c>
      <c r="H1529" s="37" t="s">
        <v>10</v>
      </c>
    </row>
    <row r="1530" spans="1:10" x14ac:dyDescent="0.25">
      <c r="A1530" s="31">
        <v>44635</v>
      </c>
      <c r="B1530" s="37" t="s">
        <v>8572</v>
      </c>
      <c r="C1530" s="51" t="s">
        <v>887</v>
      </c>
      <c r="D1530" s="52">
        <v>11615.5</v>
      </c>
      <c r="E1530" s="35">
        <v>44636</v>
      </c>
      <c r="F1530" s="52">
        <v>11615.5</v>
      </c>
      <c r="G1530" s="53">
        <f>Tabla14[[#This Row],[Importe]]-Tabla14[[#This Row],[Pagado]]</f>
        <v>0</v>
      </c>
      <c r="H1530" s="37" t="s">
        <v>10</v>
      </c>
    </row>
    <row r="1531" spans="1:10" ht="18.75" x14ac:dyDescent="0.3">
      <c r="A1531" s="31">
        <v>44635</v>
      </c>
      <c r="B1531" s="37" t="s">
        <v>8573</v>
      </c>
      <c r="C1531" s="51" t="s">
        <v>8574</v>
      </c>
      <c r="D1531" s="52">
        <v>0</v>
      </c>
      <c r="E1531" s="56" t="s">
        <v>189</v>
      </c>
      <c r="F1531" s="57">
        <v>0</v>
      </c>
      <c r="G1531" s="58">
        <f>Tabla14[[#This Row],[Importe]]-Tabla14[[#This Row],[Pagado]]</f>
        <v>0</v>
      </c>
      <c r="H1531" s="59" t="s">
        <v>8575</v>
      </c>
      <c r="I1531" s="60"/>
      <c r="J1531" s="60"/>
    </row>
    <row r="1532" spans="1:10" x14ac:dyDescent="0.25">
      <c r="A1532" s="31">
        <v>44635</v>
      </c>
      <c r="B1532" s="37" t="s">
        <v>8576</v>
      </c>
      <c r="C1532" s="51" t="s">
        <v>12</v>
      </c>
      <c r="D1532" s="52">
        <v>6692.7</v>
      </c>
      <c r="E1532" s="35">
        <v>44636</v>
      </c>
      <c r="F1532" s="52">
        <v>6692.7</v>
      </c>
      <c r="G1532" s="53">
        <f>Tabla14[[#This Row],[Importe]]-Tabla14[[#This Row],[Pagado]]</f>
        <v>0</v>
      </c>
      <c r="H1532" s="37" t="s">
        <v>10</v>
      </c>
    </row>
    <row r="1533" spans="1:10" x14ac:dyDescent="0.25">
      <c r="A1533" s="31">
        <v>44635</v>
      </c>
      <c r="B1533" s="37" t="s">
        <v>8577</v>
      </c>
      <c r="C1533" s="51" t="s">
        <v>481</v>
      </c>
      <c r="D1533" s="52">
        <v>1921.1</v>
      </c>
      <c r="E1533" s="35">
        <v>44635</v>
      </c>
      <c r="F1533" s="52">
        <v>1921.1</v>
      </c>
      <c r="G1533" s="53">
        <f>Tabla14[[#This Row],[Importe]]-Tabla14[[#This Row],[Pagado]]</f>
        <v>0</v>
      </c>
      <c r="H1533" s="37" t="s">
        <v>10</v>
      </c>
    </row>
    <row r="1534" spans="1:10" x14ac:dyDescent="0.25">
      <c r="A1534" s="31">
        <v>44635</v>
      </c>
      <c r="B1534" s="37" t="s">
        <v>8578</v>
      </c>
      <c r="C1534" s="51" t="s">
        <v>95</v>
      </c>
      <c r="D1534" s="52">
        <v>15893</v>
      </c>
      <c r="E1534" s="35">
        <v>44635</v>
      </c>
      <c r="F1534" s="52">
        <v>15893</v>
      </c>
      <c r="G1534" s="53">
        <f>Tabla14[[#This Row],[Importe]]-Tabla14[[#This Row],[Pagado]]</f>
        <v>0</v>
      </c>
      <c r="H1534" s="37" t="s">
        <v>10</v>
      </c>
    </row>
    <row r="1535" spans="1:10" x14ac:dyDescent="0.25">
      <c r="A1535" s="31">
        <v>44635</v>
      </c>
      <c r="B1535" s="37" t="s">
        <v>8579</v>
      </c>
      <c r="C1535" s="51" t="s">
        <v>20</v>
      </c>
      <c r="D1535" s="52">
        <v>1498.5</v>
      </c>
      <c r="E1535" s="35">
        <v>44635</v>
      </c>
      <c r="F1535" s="52">
        <v>1498.5</v>
      </c>
      <c r="G1535" s="53">
        <f>Tabla14[[#This Row],[Importe]]-Tabla14[[#This Row],[Pagado]]</f>
        <v>0</v>
      </c>
      <c r="H1535" s="37" t="s">
        <v>10</v>
      </c>
    </row>
    <row r="1536" spans="1:10" x14ac:dyDescent="0.25">
      <c r="A1536" s="31">
        <v>44635</v>
      </c>
      <c r="B1536" s="37" t="s">
        <v>8580</v>
      </c>
      <c r="C1536" s="51" t="s">
        <v>31</v>
      </c>
      <c r="D1536" s="52">
        <v>2447.1999999999998</v>
      </c>
      <c r="E1536" s="35">
        <v>44635</v>
      </c>
      <c r="F1536" s="52">
        <v>2447.1999999999998</v>
      </c>
      <c r="G1536" s="53">
        <f>Tabla14[[#This Row],[Importe]]-Tabla14[[#This Row],[Pagado]]</f>
        <v>0</v>
      </c>
      <c r="H1536" s="37" t="s">
        <v>10</v>
      </c>
    </row>
    <row r="1537" spans="1:8" x14ac:dyDescent="0.25">
      <c r="A1537" s="31">
        <v>44635</v>
      </c>
      <c r="B1537" s="37" t="s">
        <v>8581</v>
      </c>
      <c r="C1537" s="51" t="s">
        <v>9</v>
      </c>
      <c r="D1537" s="52">
        <v>5689.6</v>
      </c>
      <c r="E1537" s="35">
        <v>44635</v>
      </c>
      <c r="F1537" s="52">
        <v>5689.6</v>
      </c>
      <c r="G1537" s="53">
        <f>Tabla14[[#This Row],[Importe]]-Tabla14[[#This Row],[Pagado]]</f>
        <v>0</v>
      </c>
      <c r="H1537" s="37" t="s">
        <v>10</v>
      </c>
    </row>
    <row r="1538" spans="1:8" x14ac:dyDescent="0.25">
      <c r="A1538" s="31">
        <v>44635</v>
      </c>
      <c r="B1538" s="37" t="s">
        <v>8582</v>
      </c>
      <c r="C1538" s="51" t="s">
        <v>64</v>
      </c>
      <c r="D1538" s="52">
        <v>3694.6</v>
      </c>
      <c r="E1538" s="35">
        <v>44636</v>
      </c>
      <c r="F1538" s="52">
        <v>3694.6</v>
      </c>
      <c r="G1538" s="53">
        <f>Tabla14[[#This Row],[Importe]]-Tabla14[[#This Row],[Pagado]]</f>
        <v>0</v>
      </c>
      <c r="H1538" s="37" t="s">
        <v>10</v>
      </c>
    </row>
    <row r="1539" spans="1:8" x14ac:dyDescent="0.25">
      <c r="A1539" s="31">
        <v>44635</v>
      </c>
      <c r="B1539" s="37" t="s">
        <v>8583</v>
      </c>
      <c r="C1539" s="51" t="s">
        <v>109</v>
      </c>
      <c r="D1539" s="52">
        <v>3905.7</v>
      </c>
      <c r="E1539" s="35">
        <v>44636</v>
      </c>
      <c r="F1539" s="52">
        <v>3905.7</v>
      </c>
      <c r="G1539" s="53">
        <f>Tabla14[[#This Row],[Importe]]-Tabla14[[#This Row],[Pagado]]</f>
        <v>0</v>
      </c>
      <c r="H1539" s="37" t="s">
        <v>10</v>
      </c>
    </row>
    <row r="1540" spans="1:8" x14ac:dyDescent="0.25">
      <c r="A1540" s="31">
        <v>44635</v>
      </c>
      <c r="B1540" s="37" t="s">
        <v>8584</v>
      </c>
      <c r="C1540" s="51" t="s">
        <v>326</v>
      </c>
      <c r="D1540" s="52">
        <v>3985.6</v>
      </c>
      <c r="E1540" s="35">
        <v>44637</v>
      </c>
      <c r="F1540" s="52">
        <v>3985.6</v>
      </c>
      <c r="G1540" s="53">
        <f>Tabla14[[#This Row],[Importe]]-Tabla14[[#This Row],[Pagado]]</f>
        <v>0</v>
      </c>
      <c r="H1540" s="37" t="s">
        <v>10</v>
      </c>
    </row>
    <row r="1541" spans="1:8" x14ac:dyDescent="0.25">
      <c r="A1541" s="31">
        <v>44635</v>
      </c>
      <c r="B1541" s="37" t="s">
        <v>8585</v>
      </c>
      <c r="C1541" s="51" t="s">
        <v>111</v>
      </c>
      <c r="D1541" s="52">
        <v>4013.8</v>
      </c>
      <c r="E1541" s="35">
        <v>44636</v>
      </c>
      <c r="F1541" s="52">
        <v>4013.8</v>
      </c>
      <c r="G1541" s="53">
        <f>Tabla14[[#This Row],[Importe]]-Tabla14[[#This Row],[Pagado]]</f>
        <v>0</v>
      </c>
      <c r="H1541" s="37" t="s">
        <v>10</v>
      </c>
    </row>
    <row r="1542" spans="1:8" x14ac:dyDescent="0.25">
      <c r="A1542" s="31">
        <v>44635</v>
      </c>
      <c r="B1542" s="37" t="s">
        <v>8586</v>
      </c>
      <c r="C1542" s="51" t="s">
        <v>97</v>
      </c>
      <c r="D1542" s="52">
        <v>4173.6000000000004</v>
      </c>
      <c r="E1542" s="35">
        <v>44636</v>
      </c>
      <c r="F1542" s="52">
        <v>4173.6000000000004</v>
      </c>
      <c r="G1542" s="53">
        <f>Tabla14[[#This Row],[Importe]]-Tabla14[[#This Row],[Pagado]]</f>
        <v>0</v>
      </c>
      <c r="H1542" s="37" t="s">
        <v>10</v>
      </c>
    </row>
    <row r="1543" spans="1:8" x14ac:dyDescent="0.25">
      <c r="A1543" s="31">
        <v>44635</v>
      </c>
      <c r="B1543" s="37" t="s">
        <v>8587</v>
      </c>
      <c r="C1543" s="51" t="s">
        <v>39</v>
      </c>
      <c r="D1543" s="52">
        <v>12322</v>
      </c>
      <c r="E1543" s="35">
        <v>44636</v>
      </c>
      <c r="F1543" s="52">
        <v>12322</v>
      </c>
      <c r="G1543" s="53">
        <f>Tabla14[[#This Row],[Importe]]-Tabla14[[#This Row],[Pagado]]</f>
        <v>0</v>
      </c>
      <c r="H1543" s="37" t="s">
        <v>10</v>
      </c>
    </row>
    <row r="1544" spans="1:8" x14ac:dyDescent="0.25">
      <c r="A1544" s="31">
        <v>44635</v>
      </c>
      <c r="B1544" s="37" t="s">
        <v>8588</v>
      </c>
      <c r="C1544" s="51" t="s">
        <v>22</v>
      </c>
      <c r="D1544" s="52">
        <v>31338.7</v>
      </c>
      <c r="E1544" s="35">
        <v>44637</v>
      </c>
      <c r="F1544" s="52">
        <v>31338.7</v>
      </c>
      <c r="G1544" s="53">
        <f>Tabla14[[#This Row],[Importe]]-Tabla14[[#This Row],[Pagado]]</f>
        <v>0</v>
      </c>
      <c r="H1544" s="37" t="s">
        <v>10</v>
      </c>
    </row>
    <row r="1545" spans="1:8" x14ac:dyDescent="0.25">
      <c r="A1545" s="31">
        <v>44635</v>
      </c>
      <c r="B1545" s="37" t="s">
        <v>8589</v>
      </c>
      <c r="C1545" s="51" t="s">
        <v>93</v>
      </c>
      <c r="D1545" s="52">
        <v>3858.7</v>
      </c>
      <c r="E1545" s="35">
        <v>44636</v>
      </c>
      <c r="F1545" s="52">
        <v>3858.7</v>
      </c>
      <c r="G1545" s="53">
        <f>Tabla14[[#This Row],[Importe]]-Tabla14[[#This Row],[Pagado]]</f>
        <v>0</v>
      </c>
      <c r="H1545" s="37" t="s">
        <v>10</v>
      </c>
    </row>
    <row r="1546" spans="1:8" x14ac:dyDescent="0.25">
      <c r="A1546" s="31">
        <v>44635</v>
      </c>
      <c r="B1546" s="37" t="s">
        <v>8590</v>
      </c>
      <c r="C1546" s="51" t="s">
        <v>89</v>
      </c>
      <c r="D1546" s="52">
        <v>6067.5</v>
      </c>
      <c r="E1546" s="35">
        <v>44636</v>
      </c>
      <c r="F1546" s="52">
        <v>6067.5</v>
      </c>
      <c r="G1546" s="53">
        <f>Tabla14[[#This Row],[Importe]]-Tabla14[[#This Row],[Pagado]]</f>
        <v>0</v>
      </c>
      <c r="H1546" s="37" t="s">
        <v>10</v>
      </c>
    </row>
    <row r="1547" spans="1:8" x14ac:dyDescent="0.25">
      <c r="A1547" s="31">
        <v>44635</v>
      </c>
      <c r="B1547" s="37" t="s">
        <v>8591</v>
      </c>
      <c r="C1547" s="51" t="s">
        <v>345</v>
      </c>
      <c r="D1547" s="52">
        <v>448</v>
      </c>
      <c r="E1547" s="35">
        <v>44635</v>
      </c>
      <c r="F1547" s="52">
        <v>448</v>
      </c>
      <c r="G1547" s="53">
        <f>Tabla14[[#This Row],[Importe]]-Tabla14[[#This Row],[Pagado]]</f>
        <v>0</v>
      </c>
      <c r="H1547" s="37" t="s">
        <v>10</v>
      </c>
    </row>
    <row r="1548" spans="1:8" x14ac:dyDescent="0.25">
      <c r="A1548" s="31">
        <v>44635</v>
      </c>
      <c r="B1548" s="37" t="s">
        <v>8592</v>
      </c>
      <c r="C1548" s="51" t="s">
        <v>105</v>
      </c>
      <c r="D1548" s="52">
        <v>5239.5</v>
      </c>
      <c r="E1548" s="35">
        <v>44636</v>
      </c>
      <c r="F1548" s="52">
        <v>5239.5</v>
      </c>
      <c r="G1548" s="53">
        <f>Tabla14[[#This Row],[Importe]]-Tabla14[[#This Row],[Pagado]]</f>
        <v>0</v>
      </c>
      <c r="H1548" s="37" t="s">
        <v>10</v>
      </c>
    </row>
    <row r="1549" spans="1:8" x14ac:dyDescent="0.25">
      <c r="A1549" s="31">
        <v>44635</v>
      </c>
      <c r="B1549" s="37" t="s">
        <v>8593</v>
      </c>
      <c r="C1549" s="51" t="s">
        <v>99</v>
      </c>
      <c r="D1549" s="52">
        <v>1444.8</v>
      </c>
      <c r="E1549" s="35">
        <v>44636</v>
      </c>
      <c r="F1549" s="52">
        <v>1444.8</v>
      </c>
      <c r="G1549" s="53">
        <f>Tabla14[[#This Row],[Importe]]-Tabla14[[#This Row],[Pagado]]</f>
        <v>0</v>
      </c>
      <c r="H1549" s="37" t="s">
        <v>10</v>
      </c>
    </row>
    <row r="1550" spans="1:8" x14ac:dyDescent="0.25">
      <c r="A1550" s="31">
        <v>44635</v>
      </c>
      <c r="B1550" s="37" t="s">
        <v>8594</v>
      </c>
      <c r="C1550" s="51" t="s">
        <v>31</v>
      </c>
      <c r="D1550" s="52">
        <v>1744.2</v>
      </c>
      <c r="E1550" s="35">
        <v>44635</v>
      </c>
      <c r="F1550" s="52">
        <v>1744.2</v>
      </c>
      <c r="G1550" s="53">
        <f>Tabla14[[#This Row],[Importe]]-Tabla14[[#This Row],[Pagado]]</f>
        <v>0</v>
      </c>
      <c r="H1550" s="37" t="s">
        <v>10</v>
      </c>
    </row>
    <row r="1551" spans="1:8" x14ac:dyDescent="0.25">
      <c r="A1551" s="31">
        <v>44635</v>
      </c>
      <c r="B1551" s="37" t="s">
        <v>8595</v>
      </c>
      <c r="C1551" s="51" t="s">
        <v>414</v>
      </c>
      <c r="D1551" s="52">
        <v>3600</v>
      </c>
      <c r="E1551" s="35">
        <v>44635</v>
      </c>
      <c r="F1551" s="52">
        <v>3600</v>
      </c>
      <c r="G1551" s="53">
        <f>Tabla14[[#This Row],[Importe]]-Tabla14[[#This Row],[Pagado]]</f>
        <v>0</v>
      </c>
      <c r="H1551" s="37" t="s">
        <v>10</v>
      </c>
    </row>
    <row r="1552" spans="1:8" x14ac:dyDescent="0.25">
      <c r="A1552" s="31">
        <v>44635</v>
      </c>
      <c r="B1552" s="37" t="s">
        <v>8596</v>
      </c>
      <c r="C1552" s="51" t="s">
        <v>348</v>
      </c>
      <c r="D1552" s="52">
        <v>1541.4</v>
      </c>
      <c r="E1552" s="35">
        <v>44635</v>
      </c>
      <c r="F1552" s="52">
        <v>1541.4</v>
      </c>
      <c r="G1552" s="53">
        <f>Tabla14[[#This Row],[Importe]]-Tabla14[[#This Row],[Pagado]]</f>
        <v>0</v>
      </c>
      <c r="H1552" s="37" t="s">
        <v>10</v>
      </c>
    </row>
    <row r="1553" spans="1:8" x14ac:dyDescent="0.25">
      <c r="A1553" s="31">
        <v>44635</v>
      </c>
      <c r="B1553" s="37" t="s">
        <v>8597</v>
      </c>
      <c r="C1553" s="51" t="s">
        <v>924</v>
      </c>
      <c r="D1553" s="52">
        <v>12514.2</v>
      </c>
      <c r="E1553" s="35">
        <v>44635</v>
      </c>
      <c r="F1553" s="52">
        <v>12514.2</v>
      </c>
      <c r="G1553" s="53">
        <f>Tabla14[[#This Row],[Importe]]-Tabla14[[#This Row],[Pagado]]</f>
        <v>0</v>
      </c>
      <c r="H1553" s="37" t="s">
        <v>10</v>
      </c>
    </row>
    <row r="1554" spans="1:8" x14ac:dyDescent="0.25">
      <c r="A1554" s="31">
        <v>44635</v>
      </c>
      <c r="B1554" s="37" t="s">
        <v>8598</v>
      </c>
      <c r="C1554" s="51" t="s">
        <v>131</v>
      </c>
      <c r="D1554" s="52">
        <v>7788</v>
      </c>
      <c r="E1554" s="35">
        <v>44635</v>
      </c>
      <c r="F1554" s="52">
        <v>7788</v>
      </c>
      <c r="G1554" s="53">
        <f>Tabla14[[#This Row],[Importe]]-Tabla14[[#This Row],[Pagado]]</f>
        <v>0</v>
      </c>
      <c r="H1554" s="37" t="s">
        <v>10</v>
      </c>
    </row>
    <row r="1555" spans="1:8" x14ac:dyDescent="0.25">
      <c r="A1555" s="31">
        <v>44635</v>
      </c>
      <c r="B1555" s="37" t="s">
        <v>8599</v>
      </c>
      <c r="C1555" s="51" t="s">
        <v>135</v>
      </c>
      <c r="D1555" s="52">
        <v>2428.6</v>
      </c>
      <c r="E1555" s="35">
        <v>44635</v>
      </c>
      <c r="F1555" s="52">
        <v>2428.6</v>
      </c>
      <c r="G1555" s="53">
        <f>Tabla14[[#This Row],[Importe]]-Tabla14[[#This Row],[Pagado]]</f>
        <v>0</v>
      </c>
      <c r="H1555" s="37" t="s">
        <v>10</v>
      </c>
    </row>
    <row r="1556" spans="1:8" x14ac:dyDescent="0.25">
      <c r="A1556" s="31">
        <v>44635</v>
      </c>
      <c r="B1556" s="37" t="s">
        <v>8600</v>
      </c>
      <c r="C1556" s="51" t="s">
        <v>27</v>
      </c>
      <c r="D1556" s="52">
        <v>2915</v>
      </c>
      <c r="E1556" s="35">
        <v>44635</v>
      </c>
      <c r="F1556" s="52">
        <v>2915</v>
      </c>
      <c r="G1556" s="53">
        <f>Tabla14[[#This Row],[Importe]]-Tabla14[[#This Row],[Pagado]]</f>
        <v>0</v>
      </c>
      <c r="H1556" s="37" t="s">
        <v>10</v>
      </c>
    </row>
    <row r="1557" spans="1:8" x14ac:dyDescent="0.25">
      <c r="A1557" s="31">
        <v>44635</v>
      </c>
      <c r="B1557" s="37" t="s">
        <v>8601</v>
      </c>
      <c r="C1557" s="51" t="s">
        <v>484</v>
      </c>
      <c r="D1557" s="52">
        <v>5502.6</v>
      </c>
      <c r="E1557" s="35">
        <v>44635</v>
      </c>
      <c r="F1557" s="52">
        <v>5502.6</v>
      </c>
      <c r="G1557" s="53">
        <f>Tabla14[[#This Row],[Importe]]-Tabla14[[#This Row],[Pagado]]</f>
        <v>0</v>
      </c>
      <c r="H1557" s="37" t="s">
        <v>10</v>
      </c>
    </row>
    <row r="1558" spans="1:8" x14ac:dyDescent="0.25">
      <c r="A1558" s="31">
        <v>44635</v>
      </c>
      <c r="B1558" s="37" t="s">
        <v>8602</v>
      </c>
      <c r="C1558" s="51" t="s">
        <v>466</v>
      </c>
      <c r="D1558" s="52">
        <v>14400</v>
      </c>
      <c r="E1558" s="35">
        <v>44635</v>
      </c>
      <c r="F1558" s="52">
        <v>14400</v>
      </c>
      <c r="G1558" s="53">
        <f>Tabla14[[#This Row],[Importe]]-Tabla14[[#This Row],[Pagado]]</f>
        <v>0</v>
      </c>
      <c r="H1558" s="37" t="s">
        <v>10</v>
      </c>
    </row>
    <row r="1559" spans="1:8" x14ac:dyDescent="0.25">
      <c r="A1559" s="31">
        <v>44635</v>
      </c>
      <c r="B1559" s="37" t="s">
        <v>8603</v>
      </c>
      <c r="C1559" s="51" t="s">
        <v>16</v>
      </c>
      <c r="D1559" s="52">
        <v>5671.2</v>
      </c>
      <c r="E1559" s="35">
        <v>44635</v>
      </c>
      <c r="F1559" s="52">
        <v>5671.2</v>
      </c>
      <c r="G1559" s="53">
        <f>Tabla14[[#This Row],[Importe]]-Tabla14[[#This Row],[Pagado]]</f>
        <v>0</v>
      </c>
      <c r="H1559" s="37" t="s">
        <v>10</v>
      </c>
    </row>
    <row r="1560" spans="1:8" x14ac:dyDescent="0.25">
      <c r="A1560" s="31">
        <v>44635</v>
      </c>
      <c r="B1560" s="37" t="s">
        <v>8604</v>
      </c>
      <c r="C1560" s="51" t="s">
        <v>840</v>
      </c>
      <c r="D1560" s="52">
        <v>7232</v>
      </c>
      <c r="E1560" s="35">
        <v>44635</v>
      </c>
      <c r="F1560" s="52">
        <v>7232</v>
      </c>
      <c r="G1560" s="53">
        <f>Tabla14[[#This Row],[Importe]]-Tabla14[[#This Row],[Pagado]]</f>
        <v>0</v>
      </c>
      <c r="H1560" s="37" t="s">
        <v>10</v>
      </c>
    </row>
    <row r="1561" spans="1:8" x14ac:dyDescent="0.25">
      <c r="A1561" s="31">
        <v>44635</v>
      </c>
      <c r="B1561" s="37" t="s">
        <v>8605</v>
      </c>
      <c r="C1561" s="51" t="s">
        <v>319</v>
      </c>
      <c r="D1561" s="52">
        <v>7534.04</v>
      </c>
      <c r="E1561" s="35">
        <v>44636</v>
      </c>
      <c r="F1561" s="52">
        <v>7534.04</v>
      </c>
      <c r="G1561" s="53">
        <f>Tabla14[[#This Row],[Importe]]-Tabla14[[#This Row],[Pagado]]</f>
        <v>0</v>
      </c>
      <c r="H1561" s="37" t="s">
        <v>10</v>
      </c>
    </row>
    <row r="1562" spans="1:8" x14ac:dyDescent="0.25">
      <c r="A1562" s="31">
        <v>44635</v>
      </c>
      <c r="B1562" s="37" t="s">
        <v>8606</v>
      </c>
      <c r="C1562" s="51" t="s">
        <v>151</v>
      </c>
      <c r="D1562" s="52">
        <v>7824</v>
      </c>
      <c r="E1562" s="35">
        <v>44636</v>
      </c>
      <c r="F1562" s="52">
        <v>7824</v>
      </c>
      <c r="G1562" s="53">
        <f>Tabla14[[#This Row],[Importe]]-Tabla14[[#This Row],[Pagado]]</f>
        <v>0</v>
      </c>
      <c r="H1562" s="37" t="s">
        <v>10</v>
      </c>
    </row>
    <row r="1563" spans="1:8" x14ac:dyDescent="0.25">
      <c r="A1563" s="31">
        <v>44635</v>
      </c>
      <c r="B1563" s="37" t="s">
        <v>8607</v>
      </c>
      <c r="C1563" s="51" t="s">
        <v>49</v>
      </c>
      <c r="D1563" s="52">
        <v>3669.9</v>
      </c>
      <c r="E1563" s="35">
        <v>44635</v>
      </c>
      <c r="F1563" s="52">
        <v>3669.9</v>
      </c>
      <c r="G1563" s="53">
        <f>Tabla14[[#This Row],[Importe]]-Tabla14[[#This Row],[Pagado]]</f>
        <v>0</v>
      </c>
      <c r="H1563" s="37" t="s">
        <v>10</v>
      </c>
    </row>
    <row r="1564" spans="1:8" x14ac:dyDescent="0.25">
      <c r="A1564" s="31">
        <v>44635</v>
      </c>
      <c r="B1564" s="37" t="s">
        <v>8608</v>
      </c>
      <c r="C1564" s="51" t="s">
        <v>75</v>
      </c>
      <c r="D1564" s="52">
        <v>5362.2</v>
      </c>
      <c r="E1564" s="35">
        <v>44635</v>
      </c>
      <c r="F1564" s="52">
        <v>5362.2</v>
      </c>
      <c r="G1564" s="53">
        <f>Tabla14[[#This Row],[Importe]]-Tabla14[[#This Row],[Pagado]]</f>
        <v>0</v>
      </c>
      <c r="H1564" s="37" t="s">
        <v>10</v>
      </c>
    </row>
    <row r="1565" spans="1:8" x14ac:dyDescent="0.25">
      <c r="A1565" s="31">
        <v>44635</v>
      </c>
      <c r="B1565" s="37" t="s">
        <v>8609</v>
      </c>
      <c r="C1565" s="51" t="s">
        <v>85</v>
      </c>
      <c r="D1565" s="52">
        <v>1067.8</v>
      </c>
      <c r="E1565" s="35">
        <v>44635</v>
      </c>
      <c r="F1565" s="52">
        <v>1067.8</v>
      </c>
      <c r="G1565" s="53">
        <f>Tabla14[[#This Row],[Importe]]-Tabla14[[#This Row],[Pagado]]</f>
        <v>0</v>
      </c>
      <c r="H1565" s="37" t="s">
        <v>10</v>
      </c>
    </row>
    <row r="1566" spans="1:8" x14ac:dyDescent="0.25">
      <c r="A1566" s="31">
        <v>44635</v>
      </c>
      <c r="B1566" s="37" t="s">
        <v>8610</v>
      </c>
      <c r="C1566" s="51" t="s">
        <v>380</v>
      </c>
      <c r="D1566" s="52">
        <v>7269.6</v>
      </c>
      <c r="E1566" s="35">
        <v>44636</v>
      </c>
      <c r="F1566" s="52">
        <v>7269.6</v>
      </c>
      <c r="G1566" s="53">
        <f>Tabla14[[#This Row],[Importe]]-Tabla14[[#This Row],[Pagado]]</f>
        <v>0</v>
      </c>
      <c r="H1566" s="37" t="s">
        <v>10</v>
      </c>
    </row>
    <row r="1567" spans="1:8" x14ac:dyDescent="0.25">
      <c r="A1567" s="31">
        <v>44635</v>
      </c>
      <c r="B1567" s="37" t="s">
        <v>8611</v>
      </c>
      <c r="C1567" s="51" t="s">
        <v>47</v>
      </c>
      <c r="D1567" s="52">
        <v>50915.199999999997</v>
      </c>
      <c r="E1567" s="35">
        <v>44636</v>
      </c>
      <c r="F1567" s="52">
        <v>50915.199999999997</v>
      </c>
      <c r="G1567" s="53">
        <f>Tabla14[[#This Row],[Importe]]-Tabla14[[#This Row],[Pagado]]</f>
        <v>0</v>
      </c>
      <c r="H1567" s="37" t="s">
        <v>10</v>
      </c>
    </row>
    <row r="1568" spans="1:8" x14ac:dyDescent="0.25">
      <c r="A1568" s="31">
        <v>44635</v>
      </c>
      <c r="B1568" s="37" t="s">
        <v>8612</v>
      </c>
      <c r="C1568" s="51" t="s">
        <v>4136</v>
      </c>
      <c r="D1568" s="52">
        <v>2464.4</v>
      </c>
      <c r="E1568" s="35">
        <v>44635</v>
      </c>
      <c r="F1568" s="52">
        <v>2464.4</v>
      </c>
      <c r="G1568" s="53">
        <f>Tabla14[[#This Row],[Importe]]-Tabla14[[#This Row],[Pagado]]</f>
        <v>0</v>
      </c>
      <c r="H1568" s="37" t="s">
        <v>10</v>
      </c>
    </row>
    <row r="1569" spans="1:8" x14ac:dyDescent="0.25">
      <c r="A1569" s="31">
        <v>44635</v>
      </c>
      <c r="B1569" s="37" t="s">
        <v>8613</v>
      </c>
      <c r="C1569" s="51" t="s">
        <v>142</v>
      </c>
      <c r="D1569" s="52">
        <v>2559.1999999999998</v>
      </c>
      <c r="E1569" s="35">
        <v>44670</v>
      </c>
      <c r="F1569" s="52">
        <v>2559.1999999999998</v>
      </c>
      <c r="G1569" s="53">
        <f>Tabla14[[#This Row],[Importe]]-Tabla14[[#This Row],[Pagado]]</f>
        <v>0</v>
      </c>
      <c r="H1569" s="37" t="s">
        <v>10</v>
      </c>
    </row>
    <row r="1570" spans="1:8" x14ac:dyDescent="0.25">
      <c r="A1570" s="31">
        <v>44635</v>
      </c>
      <c r="B1570" s="37" t="s">
        <v>8614</v>
      </c>
      <c r="C1570" s="51" t="s">
        <v>161</v>
      </c>
      <c r="D1570" s="52">
        <v>3074.5</v>
      </c>
      <c r="E1570" s="35">
        <v>44635</v>
      </c>
      <c r="F1570" s="52">
        <v>3074.5</v>
      </c>
      <c r="G1570" s="53">
        <f>Tabla14[[#This Row],[Importe]]-Tabla14[[#This Row],[Pagado]]</f>
        <v>0</v>
      </c>
      <c r="H1570" s="37" t="s">
        <v>10</v>
      </c>
    </row>
    <row r="1571" spans="1:8" x14ac:dyDescent="0.25">
      <c r="A1571" s="31">
        <v>44635</v>
      </c>
      <c r="B1571" s="37" t="s">
        <v>8615</v>
      </c>
      <c r="C1571" s="51" t="s">
        <v>53</v>
      </c>
      <c r="D1571" s="52">
        <v>2079.5</v>
      </c>
      <c r="E1571" s="35">
        <v>44635</v>
      </c>
      <c r="F1571" s="52">
        <v>2079.5</v>
      </c>
      <c r="G1571" s="53">
        <f>Tabla14[[#This Row],[Importe]]-Tabla14[[#This Row],[Pagado]]</f>
        <v>0</v>
      </c>
      <c r="H1571" s="37" t="s">
        <v>10</v>
      </c>
    </row>
    <row r="1572" spans="1:8" x14ac:dyDescent="0.25">
      <c r="A1572" s="31">
        <v>44635</v>
      </c>
      <c r="B1572" s="37" t="s">
        <v>8616</v>
      </c>
      <c r="C1572" s="51" t="s">
        <v>275</v>
      </c>
      <c r="D1572" s="52">
        <v>30697.26</v>
      </c>
      <c r="E1572" s="35">
        <v>44645</v>
      </c>
      <c r="F1572" s="52">
        <v>30697.26</v>
      </c>
      <c r="G1572" s="53">
        <f>Tabla14[[#This Row],[Importe]]-Tabla14[[#This Row],[Pagado]]</f>
        <v>0</v>
      </c>
      <c r="H1572" s="37" t="s">
        <v>10</v>
      </c>
    </row>
    <row r="1573" spans="1:8" x14ac:dyDescent="0.25">
      <c r="A1573" s="31">
        <v>44635</v>
      </c>
      <c r="B1573" s="37" t="s">
        <v>8617</v>
      </c>
      <c r="C1573" s="51" t="s">
        <v>159</v>
      </c>
      <c r="D1573" s="52">
        <v>5353.7</v>
      </c>
      <c r="E1573" s="35">
        <v>44636</v>
      </c>
      <c r="F1573" s="52">
        <v>5353.7</v>
      </c>
      <c r="G1573" s="53">
        <f>Tabla14[[#This Row],[Importe]]-Tabla14[[#This Row],[Pagado]]</f>
        <v>0</v>
      </c>
      <c r="H1573" s="37" t="s">
        <v>10</v>
      </c>
    </row>
    <row r="1574" spans="1:8" x14ac:dyDescent="0.25">
      <c r="A1574" s="31">
        <v>44635</v>
      </c>
      <c r="B1574" s="37" t="s">
        <v>8618</v>
      </c>
      <c r="C1574" s="51" t="s">
        <v>402</v>
      </c>
      <c r="D1574" s="52">
        <v>14326.8</v>
      </c>
      <c r="E1574" s="35">
        <v>44641</v>
      </c>
      <c r="F1574" s="52">
        <v>14326.8</v>
      </c>
      <c r="G1574" s="53">
        <f>Tabla14[[#This Row],[Importe]]-Tabla14[[#This Row],[Pagado]]</f>
        <v>0</v>
      </c>
      <c r="H1574" s="37" t="s">
        <v>10</v>
      </c>
    </row>
    <row r="1575" spans="1:8" x14ac:dyDescent="0.25">
      <c r="A1575" s="31">
        <v>44635</v>
      </c>
      <c r="B1575" s="37" t="s">
        <v>8619</v>
      </c>
      <c r="C1575" s="51" t="s">
        <v>83</v>
      </c>
      <c r="D1575" s="52">
        <v>4340</v>
      </c>
      <c r="E1575" s="35">
        <v>44635</v>
      </c>
      <c r="F1575" s="52">
        <v>4340</v>
      </c>
      <c r="G1575" s="53">
        <f>Tabla14[[#This Row],[Importe]]-Tabla14[[#This Row],[Pagado]]</f>
        <v>0</v>
      </c>
      <c r="H1575" s="37" t="s">
        <v>10</v>
      </c>
    </row>
    <row r="1576" spans="1:8" x14ac:dyDescent="0.25">
      <c r="A1576" s="31">
        <v>44635</v>
      </c>
      <c r="B1576" s="37" t="s">
        <v>8620</v>
      </c>
      <c r="C1576" s="51" t="s">
        <v>181</v>
      </c>
      <c r="D1576" s="52">
        <v>8878.1</v>
      </c>
      <c r="E1576" s="35">
        <v>44635</v>
      </c>
      <c r="F1576" s="52">
        <v>8878.1</v>
      </c>
      <c r="G1576" s="53">
        <f>Tabla14[[#This Row],[Importe]]-Tabla14[[#This Row],[Pagado]]</f>
        <v>0</v>
      </c>
      <c r="H1576" s="37" t="s">
        <v>10</v>
      </c>
    </row>
    <row r="1577" spans="1:8" x14ac:dyDescent="0.25">
      <c r="A1577" s="31">
        <v>44635</v>
      </c>
      <c r="B1577" s="37" t="s">
        <v>8621</v>
      </c>
      <c r="C1577" s="51" t="s">
        <v>414</v>
      </c>
      <c r="D1577" s="52">
        <v>13.51</v>
      </c>
      <c r="E1577" s="35">
        <v>44638</v>
      </c>
      <c r="F1577" s="52">
        <v>13.51</v>
      </c>
      <c r="G1577" s="53">
        <f>Tabla14[[#This Row],[Importe]]-Tabla14[[#This Row],[Pagado]]</f>
        <v>0</v>
      </c>
      <c r="H1577" s="37" t="s">
        <v>10</v>
      </c>
    </row>
    <row r="1578" spans="1:8" x14ac:dyDescent="0.25">
      <c r="A1578" s="31">
        <v>44635</v>
      </c>
      <c r="B1578" s="37" t="s">
        <v>8622</v>
      </c>
      <c r="C1578" s="51" t="s">
        <v>681</v>
      </c>
      <c r="D1578" s="52">
        <v>9.17</v>
      </c>
      <c r="E1578" s="35">
        <v>44642</v>
      </c>
      <c r="F1578" s="52">
        <v>9.17</v>
      </c>
      <c r="G1578" s="53">
        <f>Tabla14[[#This Row],[Importe]]-Tabla14[[#This Row],[Pagado]]</f>
        <v>0</v>
      </c>
      <c r="H1578" s="37" t="s">
        <v>10</v>
      </c>
    </row>
    <row r="1579" spans="1:8" x14ac:dyDescent="0.25">
      <c r="A1579" s="31">
        <v>44635</v>
      </c>
      <c r="B1579" s="37" t="s">
        <v>8623</v>
      </c>
      <c r="C1579" s="51" t="s">
        <v>6405</v>
      </c>
      <c r="D1579" s="52">
        <v>3.67</v>
      </c>
      <c r="E1579" s="35">
        <v>44652</v>
      </c>
      <c r="F1579" s="52">
        <v>3.67</v>
      </c>
      <c r="G1579" s="53">
        <f>Tabla14[[#This Row],[Importe]]-Tabla14[[#This Row],[Pagado]]</f>
        <v>0</v>
      </c>
      <c r="H1579" s="37" t="s">
        <v>10</v>
      </c>
    </row>
    <row r="1580" spans="1:8" x14ac:dyDescent="0.25">
      <c r="A1580" s="31">
        <v>44635</v>
      </c>
      <c r="B1580" s="37" t="s">
        <v>8624</v>
      </c>
      <c r="C1580" s="51" t="s">
        <v>89</v>
      </c>
      <c r="D1580" s="52">
        <v>388.8</v>
      </c>
      <c r="E1580" s="35">
        <v>44635</v>
      </c>
      <c r="F1580" s="52">
        <v>388.8</v>
      </c>
      <c r="G1580" s="53">
        <f>Tabla14[[#This Row],[Importe]]-Tabla14[[#This Row],[Pagado]]</f>
        <v>0</v>
      </c>
      <c r="H1580" s="37" t="s">
        <v>10</v>
      </c>
    </row>
    <row r="1581" spans="1:8" x14ac:dyDescent="0.25">
      <c r="A1581" s="31">
        <v>44635</v>
      </c>
      <c r="B1581" s="37" t="s">
        <v>8625</v>
      </c>
      <c r="C1581" s="51" t="s">
        <v>407</v>
      </c>
      <c r="D1581" s="52">
        <v>7200</v>
      </c>
      <c r="E1581" s="35">
        <v>44645</v>
      </c>
      <c r="F1581" s="52">
        <v>7200</v>
      </c>
      <c r="G1581" s="53">
        <f>Tabla14[[#This Row],[Importe]]-Tabla14[[#This Row],[Pagado]]</f>
        <v>0</v>
      </c>
      <c r="H1581" s="37" t="s">
        <v>10</v>
      </c>
    </row>
    <row r="1582" spans="1:8" x14ac:dyDescent="0.25">
      <c r="A1582" s="31">
        <v>44635</v>
      </c>
      <c r="B1582" s="37" t="s">
        <v>8626</v>
      </c>
      <c r="C1582" s="51" t="s">
        <v>157</v>
      </c>
      <c r="D1582" s="52">
        <v>4342.8999999999996</v>
      </c>
      <c r="E1582" s="35">
        <v>44636</v>
      </c>
      <c r="F1582" s="52">
        <v>4342.8999999999996</v>
      </c>
      <c r="G1582" s="53">
        <f>Tabla14[[#This Row],[Importe]]-Tabla14[[#This Row],[Pagado]]</f>
        <v>0</v>
      </c>
      <c r="H1582" s="37" t="s">
        <v>10</v>
      </c>
    </row>
    <row r="1583" spans="1:8" x14ac:dyDescent="0.25">
      <c r="A1583" s="31">
        <v>44635</v>
      </c>
      <c r="B1583" s="37" t="s">
        <v>8627</v>
      </c>
      <c r="C1583" s="51" t="s">
        <v>8628</v>
      </c>
      <c r="D1583" s="52">
        <v>0</v>
      </c>
      <c r="E1583" s="39" t="s">
        <v>189</v>
      </c>
      <c r="F1583" s="52">
        <v>0</v>
      </c>
      <c r="G1583" s="53">
        <f>Tabla14[[#This Row],[Importe]]-Tabla14[[#This Row],[Pagado]]</f>
        <v>0</v>
      </c>
      <c r="H1583" s="37" t="s">
        <v>189</v>
      </c>
    </row>
    <row r="1584" spans="1:8" x14ac:dyDescent="0.25">
      <c r="A1584" s="31">
        <v>44635</v>
      </c>
      <c r="B1584" s="37" t="s">
        <v>8629</v>
      </c>
      <c r="C1584" s="51" t="s">
        <v>144</v>
      </c>
      <c r="D1584" s="52">
        <v>2394</v>
      </c>
      <c r="E1584" s="35">
        <v>44635</v>
      </c>
      <c r="F1584" s="52">
        <v>2394</v>
      </c>
      <c r="G1584" s="53">
        <f>Tabla14[[#This Row],[Importe]]-Tabla14[[#This Row],[Pagado]]</f>
        <v>0</v>
      </c>
      <c r="H1584" s="37" t="s">
        <v>10</v>
      </c>
    </row>
    <row r="1585" spans="1:8" x14ac:dyDescent="0.25">
      <c r="A1585" s="31">
        <v>44635</v>
      </c>
      <c r="B1585" s="37" t="s">
        <v>8630</v>
      </c>
      <c r="C1585" s="51" t="s">
        <v>1339</v>
      </c>
      <c r="D1585" s="52">
        <v>2911</v>
      </c>
      <c r="E1585" s="35">
        <v>44642</v>
      </c>
      <c r="F1585" s="52">
        <v>2911</v>
      </c>
      <c r="G1585" s="53">
        <f>Tabla14[[#This Row],[Importe]]-Tabla14[[#This Row],[Pagado]]</f>
        <v>0</v>
      </c>
      <c r="H1585" s="37" t="s">
        <v>10</v>
      </c>
    </row>
    <row r="1586" spans="1:8" x14ac:dyDescent="0.25">
      <c r="A1586" s="31">
        <v>44635</v>
      </c>
      <c r="B1586" s="37" t="s">
        <v>8631</v>
      </c>
      <c r="C1586" s="51" t="s">
        <v>371</v>
      </c>
      <c r="D1586" s="52">
        <v>2327.4</v>
      </c>
      <c r="E1586" s="35">
        <v>44636</v>
      </c>
      <c r="F1586" s="52">
        <v>2327.4</v>
      </c>
      <c r="G1586" s="53">
        <f>Tabla14[[#This Row],[Importe]]-Tabla14[[#This Row],[Pagado]]</f>
        <v>0</v>
      </c>
      <c r="H1586" s="37" t="s">
        <v>10</v>
      </c>
    </row>
    <row r="1587" spans="1:8" x14ac:dyDescent="0.25">
      <c r="A1587" s="31">
        <v>44635</v>
      </c>
      <c r="B1587" s="37" t="s">
        <v>8632</v>
      </c>
      <c r="C1587" s="51" t="s">
        <v>664</v>
      </c>
      <c r="D1587" s="52">
        <v>4408</v>
      </c>
      <c r="E1587" s="35">
        <v>44635</v>
      </c>
      <c r="F1587" s="52">
        <v>4408</v>
      </c>
      <c r="G1587" s="53">
        <f>Tabla14[[#This Row],[Importe]]-Tabla14[[#This Row],[Pagado]]</f>
        <v>0</v>
      </c>
      <c r="H1587" s="37" t="s">
        <v>10</v>
      </c>
    </row>
    <row r="1588" spans="1:8" x14ac:dyDescent="0.25">
      <c r="A1588" s="31">
        <v>44635</v>
      </c>
      <c r="B1588" s="37" t="s">
        <v>8633</v>
      </c>
      <c r="C1588" s="51" t="s">
        <v>56</v>
      </c>
      <c r="D1588" s="52">
        <v>6755.1</v>
      </c>
      <c r="E1588" s="35">
        <v>44635</v>
      </c>
      <c r="F1588" s="52">
        <v>6755.1</v>
      </c>
      <c r="G1588" s="53">
        <f>Tabla14[[#This Row],[Importe]]-Tabla14[[#This Row],[Pagado]]</f>
        <v>0</v>
      </c>
      <c r="H1588" s="37" t="s">
        <v>10</v>
      </c>
    </row>
    <row r="1589" spans="1:8" x14ac:dyDescent="0.25">
      <c r="A1589" s="31">
        <v>44635</v>
      </c>
      <c r="B1589" s="37" t="s">
        <v>8634</v>
      </c>
      <c r="C1589" s="51" t="s">
        <v>275</v>
      </c>
      <c r="D1589" s="52">
        <v>72776</v>
      </c>
      <c r="E1589" s="35">
        <v>44645</v>
      </c>
      <c r="F1589" s="52">
        <v>72776</v>
      </c>
      <c r="G1589" s="53">
        <f>Tabla14[[#This Row],[Importe]]-Tabla14[[#This Row],[Pagado]]</f>
        <v>0</v>
      </c>
      <c r="H1589" s="37" t="s">
        <v>10</v>
      </c>
    </row>
    <row r="1590" spans="1:8" x14ac:dyDescent="0.25">
      <c r="A1590" s="31">
        <v>44635</v>
      </c>
      <c r="B1590" s="37" t="s">
        <v>8635</v>
      </c>
      <c r="C1590" s="51" t="s">
        <v>5906</v>
      </c>
      <c r="D1590" s="52">
        <v>2511.6</v>
      </c>
      <c r="E1590" s="35">
        <v>44636</v>
      </c>
      <c r="F1590" s="52">
        <v>2511.6</v>
      </c>
      <c r="G1590" s="53">
        <f>Tabla14[[#This Row],[Importe]]-Tabla14[[#This Row],[Pagado]]</f>
        <v>0</v>
      </c>
      <c r="H1590" s="37" t="s">
        <v>10</v>
      </c>
    </row>
    <row r="1591" spans="1:8" x14ac:dyDescent="0.25">
      <c r="A1591" s="31">
        <v>44635</v>
      </c>
      <c r="B1591" s="37" t="s">
        <v>8636</v>
      </c>
      <c r="C1591" s="51" t="s">
        <v>146</v>
      </c>
      <c r="D1591" s="52">
        <v>1983.6</v>
      </c>
      <c r="E1591" s="35">
        <v>44635</v>
      </c>
      <c r="F1591" s="52">
        <v>1983.6</v>
      </c>
      <c r="G1591" s="53">
        <f>Tabla14[[#This Row],[Importe]]-Tabla14[[#This Row],[Pagado]]</f>
        <v>0</v>
      </c>
      <c r="H1591" s="37" t="s">
        <v>10</v>
      </c>
    </row>
    <row r="1592" spans="1:8" x14ac:dyDescent="0.25">
      <c r="A1592" s="31">
        <v>44635</v>
      </c>
      <c r="B1592" s="37" t="s">
        <v>8637</v>
      </c>
      <c r="C1592" s="51" t="s">
        <v>125</v>
      </c>
      <c r="D1592" s="52">
        <v>4101.1000000000004</v>
      </c>
      <c r="E1592" s="35">
        <v>44635</v>
      </c>
      <c r="F1592" s="52">
        <v>4101.1000000000004</v>
      </c>
      <c r="G1592" s="53">
        <f>Tabla14[[#This Row],[Importe]]-Tabla14[[#This Row],[Pagado]]</f>
        <v>0</v>
      </c>
      <c r="H1592" s="37" t="s">
        <v>10</v>
      </c>
    </row>
    <row r="1593" spans="1:8" x14ac:dyDescent="0.25">
      <c r="A1593" s="31">
        <v>44635</v>
      </c>
      <c r="B1593" s="37" t="s">
        <v>8638</v>
      </c>
      <c r="C1593" s="51" t="s">
        <v>45</v>
      </c>
      <c r="D1593" s="52">
        <v>7728.9</v>
      </c>
      <c r="E1593" s="35">
        <v>44635</v>
      </c>
      <c r="F1593" s="52">
        <v>7728.9</v>
      </c>
      <c r="G1593" s="53">
        <f>Tabla14[[#This Row],[Importe]]-Tabla14[[#This Row],[Pagado]]</f>
        <v>0</v>
      </c>
      <c r="H1593" s="37" t="s">
        <v>10</v>
      </c>
    </row>
    <row r="1594" spans="1:8" x14ac:dyDescent="0.25">
      <c r="A1594" s="31">
        <v>44635</v>
      </c>
      <c r="B1594" s="37" t="s">
        <v>8639</v>
      </c>
      <c r="C1594" s="51" t="s">
        <v>357</v>
      </c>
      <c r="D1594" s="52">
        <v>990</v>
      </c>
      <c r="E1594" s="35">
        <v>44635</v>
      </c>
      <c r="F1594" s="52">
        <v>990</v>
      </c>
      <c r="G1594" s="53">
        <f>Tabla14[[#This Row],[Importe]]-Tabla14[[#This Row],[Pagado]]</f>
        <v>0</v>
      </c>
      <c r="H1594" s="37" t="s">
        <v>10</v>
      </c>
    </row>
    <row r="1595" spans="1:8" x14ac:dyDescent="0.25">
      <c r="A1595" s="31">
        <v>44635</v>
      </c>
      <c r="B1595" s="37" t="s">
        <v>8640</v>
      </c>
      <c r="C1595" s="51" t="s">
        <v>129</v>
      </c>
      <c r="D1595" s="52">
        <v>891</v>
      </c>
      <c r="E1595" s="35">
        <v>44635</v>
      </c>
      <c r="F1595" s="52">
        <v>891</v>
      </c>
      <c r="G1595" s="53">
        <f>Tabla14[[#This Row],[Importe]]-Tabla14[[#This Row],[Pagado]]</f>
        <v>0</v>
      </c>
      <c r="H1595" s="37" t="s">
        <v>10</v>
      </c>
    </row>
    <row r="1596" spans="1:8" x14ac:dyDescent="0.25">
      <c r="A1596" s="31">
        <v>44635</v>
      </c>
      <c r="B1596" s="37" t="s">
        <v>8641</v>
      </c>
      <c r="C1596" s="51" t="s">
        <v>127</v>
      </c>
      <c r="D1596" s="52">
        <v>1831.5</v>
      </c>
      <c r="E1596" s="35">
        <v>44635</v>
      </c>
      <c r="F1596" s="52">
        <v>1831.5</v>
      </c>
      <c r="G1596" s="53">
        <f>Tabla14[[#This Row],[Importe]]-Tabla14[[#This Row],[Pagado]]</f>
        <v>0</v>
      </c>
      <c r="H1596" s="37" t="s">
        <v>10</v>
      </c>
    </row>
    <row r="1597" spans="1:8" x14ac:dyDescent="0.25">
      <c r="A1597" s="31">
        <v>44635</v>
      </c>
      <c r="B1597" s="37" t="s">
        <v>8642</v>
      </c>
      <c r="C1597" s="51" t="s">
        <v>966</v>
      </c>
      <c r="D1597" s="52">
        <v>1525.44</v>
      </c>
      <c r="E1597" s="35">
        <v>44636</v>
      </c>
      <c r="F1597" s="52">
        <v>1525.44</v>
      </c>
      <c r="G1597" s="53">
        <f>Tabla14[[#This Row],[Importe]]-Tabla14[[#This Row],[Pagado]]</f>
        <v>0</v>
      </c>
      <c r="H1597" s="37" t="s">
        <v>10</v>
      </c>
    </row>
    <row r="1598" spans="1:8" x14ac:dyDescent="0.25">
      <c r="A1598" s="31">
        <v>44635</v>
      </c>
      <c r="B1598" s="37" t="s">
        <v>8643</v>
      </c>
      <c r="C1598" s="51" t="s">
        <v>191</v>
      </c>
      <c r="D1598" s="52">
        <v>2801.4</v>
      </c>
      <c r="E1598" s="35">
        <v>44635</v>
      </c>
      <c r="F1598" s="52">
        <v>2801.4</v>
      </c>
      <c r="G1598" s="53">
        <f>Tabla14[[#This Row],[Importe]]-Tabla14[[#This Row],[Pagado]]</f>
        <v>0</v>
      </c>
      <c r="H1598" s="37" t="s">
        <v>10</v>
      </c>
    </row>
    <row r="1599" spans="1:8" x14ac:dyDescent="0.25">
      <c r="A1599" s="31">
        <v>44635</v>
      </c>
      <c r="B1599" s="37" t="s">
        <v>8644</v>
      </c>
      <c r="C1599" s="51" t="s">
        <v>1239</v>
      </c>
      <c r="D1599" s="52">
        <v>8978.4</v>
      </c>
      <c r="E1599" s="35">
        <v>44635</v>
      </c>
      <c r="F1599" s="52">
        <v>8978.4</v>
      </c>
      <c r="G1599" s="53">
        <f>Tabla14[[#This Row],[Importe]]-Tabla14[[#This Row],[Pagado]]</f>
        <v>0</v>
      </c>
      <c r="H1599" s="37" t="s">
        <v>10</v>
      </c>
    </row>
    <row r="1600" spans="1:8" x14ac:dyDescent="0.25">
      <c r="A1600" s="31">
        <v>44635</v>
      </c>
      <c r="B1600" s="37" t="s">
        <v>8645</v>
      </c>
      <c r="C1600" s="51" t="s">
        <v>698</v>
      </c>
      <c r="D1600" s="52">
        <v>5027.1000000000004</v>
      </c>
      <c r="E1600" s="35">
        <v>44635</v>
      </c>
      <c r="F1600" s="52">
        <v>5027.1000000000004</v>
      </c>
      <c r="G1600" s="53">
        <f>Tabla14[[#This Row],[Importe]]-Tabla14[[#This Row],[Pagado]]</f>
        <v>0</v>
      </c>
      <c r="H1600" s="37" t="s">
        <v>10</v>
      </c>
    </row>
    <row r="1601" spans="1:8" x14ac:dyDescent="0.25">
      <c r="A1601" s="31">
        <v>44635</v>
      </c>
      <c r="B1601" s="37" t="s">
        <v>8646</v>
      </c>
      <c r="C1601" s="51" t="s">
        <v>3971</v>
      </c>
      <c r="D1601" s="52">
        <v>4423.2</v>
      </c>
      <c r="E1601" s="35">
        <v>44635</v>
      </c>
      <c r="F1601" s="52">
        <v>4423.2</v>
      </c>
      <c r="G1601" s="53">
        <f>Tabla14[[#This Row],[Importe]]-Tabla14[[#This Row],[Pagado]]</f>
        <v>0</v>
      </c>
      <c r="H1601" s="37" t="s">
        <v>10</v>
      </c>
    </row>
    <row r="1602" spans="1:8" x14ac:dyDescent="0.25">
      <c r="A1602" s="31">
        <v>44635</v>
      </c>
      <c r="B1602" s="37" t="s">
        <v>8647</v>
      </c>
      <c r="C1602" s="51" t="s">
        <v>3971</v>
      </c>
      <c r="D1602" s="52">
        <v>997.1</v>
      </c>
      <c r="E1602" s="35">
        <v>44635</v>
      </c>
      <c r="F1602" s="52">
        <v>997.1</v>
      </c>
      <c r="G1602" s="53">
        <f>Tabla14[[#This Row],[Importe]]-Tabla14[[#This Row],[Pagado]]</f>
        <v>0</v>
      </c>
      <c r="H1602" s="37" t="s">
        <v>10</v>
      </c>
    </row>
    <row r="1603" spans="1:8" x14ac:dyDescent="0.25">
      <c r="A1603" s="31">
        <v>44635</v>
      </c>
      <c r="B1603" s="37" t="s">
        <v>8648</v>
      </c>
      <c r="C1603" s="51" t="s">
        <v>107</v>
      </c>
      <c r="D1603" s="52">
        <v>12920.4</v>
      </c>
      <c r="E1603" s="35">
        <v>44635</v>
      </c>
      <c r="F1603" s="52">
        <v>12920.4</v>
      </c>
      <c r="G1603" s="53">
        <f>Tabla14[[#This Row],[Importe]]-Tabla14[[#This Row],[Pagado]]</f>
        <v>0</v>
      </c>
      <c r="H1603" s="37" t="s">
        <v>10</v>
      </c>
    </row>
    <row r="1604" spans="1:8" x14ac:dyDescent="0.25">
      <c r="A1604" s="31">
        <v>44635</v>
      </c>
      <c r="B1604" s="37" t="s">
        <v>8649</v>
      </c>
      <c r="C1604" s="51" t="s">
        <v>396</v>
      </c>
      <c r="D1604" s="52">
        <v>10960</v>
      </c>
      <c r="E1604" s="35">
        <v>44641</v>
      </c>
      <c r="F1604" s="52">
        <v>10960</v>
      </c>
      <c r="G1604" s="53">
        <f>Tabla14[[#This Row],[Importe]]-Tabla14[[#This Row],[Pagado]]</f>
        <v>0</v>
      </c>
      <c r="H1604" s="37" t="s">
        <v>10</v>
      </c>
    </row>
    <row r="1605" spans="1:8" x14ac:dyDescent="0.25">
      <c r="A1605" s="31">
        <v>44635</v>
      </c>
      <c r="B1605" s="37" t="s">
        <v>8650</v>
      </c>
      <c r="C1605" s="51" t="s">
        <v>79</v>
      </c>
      <c r="D1605" s="52">
        <v>4341.6000000000004</v>
      </c>
      <c r="E1605" s="35">
        <v>44636</v>
      </c>
      <c r="F1605" s="52">
        <v>4341.6000000000004</v>
      </c>
      <c r="G1605" s="53">
        <f>Tabla14[[#This Row],[Importe]]-Tabla14[[#This Row],[Pagado]]</f>
        <v>0</v>
      </c>
      <c r="H1605" s="37" t="s">
        <v>10</v>
      </c>
    </row>
    <row r="1606" spans="1:8" x14ac:dyDescent="0.25">
      <c r="A1606" s="31">
        <v>44635</v>
      </c>
      <c r="B1606" s="37" t="s">
        <v>8651</v>
      </c>
      <c r="C1606" s="51" t="s">
        <v>31</v>
      </c>
      <c r="D1606" s="52">
        <v>5493.6</v>
      </c>
      <c r="E1606" s="35">
        <v>44635</v>
      </c>
      <c r="F1606" s="52">
        <v>5493.6</v>
      </c>
      <c r="G1606" s="53">
        <f>Tabla14[[#This Row],[Importe]]-Tabla14[[#This Row],[Pagado]]</f>
        <v>0</v>
      </c>
      <c r="H1606" s="37" t="s">
        <v>10</v>
      </c>
    </row>
    <row r="1607" spans="1:8" x14ac:dyDescent="0.25">
      <c r="A1607" s="31">
        <v>44635</v>
      </c>
      <c r="B1607" s="37" t="s">
        <v>8652</v>
      </c>
      <c r="C1607" s="51" t="s">
        <v>216</v>
      </c>
      <c r="D1607" s="52">
        <v>1458</v>
      </c>
      <c r="E1607" s="35">
        <v>44635</v>
      </c>
      <c r="F1607" s="52">
        <v>1458</v>
      </c>
      <c r="G1607" s="53">
        <f>Tabla14[[#This Row],[Importe]]-Tabla14[[#This Row],[Pagado]]</f>
        <v>0</v>
      </c>
      <c r="H1607" s="37" t="s">
        <v>10</v>
      </c>
    </row>
    <row r="1608" spans="1:8" x14ac:dyDescent="0.25">
      <c r="A1608" s="31">
        <v>44635</v>
      </c>
      <c r="B1608" s="37" t="s">
        <v>8653</v>
      </c>
      <c r="C1608" s="51" t="s">
        <v>79</v>
      </c>
      <c r="D1608" s="52">
        <v>7651.4</v>
      </c>
      <c r="E1608" s="35">
        <v>44636</v>
      </c>
      <c r="F1608" s="52">
        <v>7651.4</v>
      </c>
      <c r="G1608" s="53">
        <f>Tabla14[[#This Row],[Importe]]-Tabla14[[#This Row],[Pagado]]</f>
        <v>0</v>
      </c>
      <c r="H1608" s="37" t="s">
        <v>10</v>
      </c>
    </row>
    <row r="1609" spans="1:8" x14ac:dyDescent="0.25">
      <c r="A1609" s="31">
        <v>44635</v>
      </c>
      <c r="B1609" s="37" t="s">
        <v>8654</v>
      </c>
      <c r="C1609" s="51" t="s">
        <v>230</v>
      </c>
      <c r="D1609" s="52">
        <v>2810.1</v>
      </c>
      <c r="E1609" s="35">
        <v>44635</v>
      </c>
      <c r="F1609" s="52">
        <v>2810.1</v>
      </c>
      <c r="G1609" s="53">
        <f>Tabla14[[#This Row],[Importe]]-Tabla14[[#This Row],[Pagado]]</f>
        <v>0</v>
      </c>
      <c r="H1609" s="37" t="s">
        <v>10</v>
      </c>
    </row>
    <row r="1610" spans="1:8" x14ac:dyDescent="0.25">
      <c r="A1610" s="31">
        <v>44635</v>
      </c>
      <c r="B1610" s="37" t="s">
        <v>8655</v>
      </c>
      <c r="C1610" s="51" t="s">
        <v>69</v>
      </c>
      <c r="D1610" s="52">
        <v>2781</v>
      </c>
      <c r="E1610" s="35">
        <v>44635</v>
      </c>
      <c r="F1610" s="52">
        <v>2781</v>
      </c>
      <c r="G1610" s="53">
        <f>Tabla14[[#This Row],[Importe]]-Tabla14[[#This Row],[Pagado]]</f>
        <v>0</v>
      </c>
      <c r="H1610" s="37" t="s">
        <v>10</v>
      </c>
    </row>
    <row r="1611" spans="1:8" x14ac:dyDescent="0.25">
      <c r="A1611" s="31">
        <v>44635</v>
      </c>
      <c r="B1611" s="37" t="s">
        <v>8656</v>
      </c>
      <c r="C1611" s="51" t="s">
        <v>3402</v>
      </c>
      <c r="D1611" s="52">
        <v>2484</v>
      </c>
      <c r="E1611" s="35">
        <v>44635</v>
      </c>
      <c r="F1611" s="52">
        <v>2484</v>
      </c>
      <c r="G1611" s="53">
        <f>Tabla14[[#This Row],[Importe]]-Tabla14[[#This Row],[Pagado]]</f>
        <v>0</v>
      </c>
      <c r="H1611" s="37" t="s">
        <v>10</v>
      </c>
    </row>
    <row r="1612" spans="1:8" x14ac:dyDescent="0.25">
      <c r="A1612" s="31">
        <v>44635</v>
      </c>
      <c r="B1612" s="37" t="s">
        <v>8657</v>
      </c>
      <c r="C1612" s="51" t="s">
        <v>58</v>
      </c>
      <c r="D1612" s="52">
        <v>5706.8</v>
      </c>
      <c r="E1612" s="35">
        <v>44635</v>
      </c>
      <c r="F1612" s="52">
        <v>5706.8</v>
      </c>
      <c r="G1612" s="53">
        <f>Tabla14[[#This Row],[Importe]]-Tabla14[[#This Row],[Pagado]]</f>
        <v>0</v>
      </c>
      <c r="H1612" s="37" t="s">
        <v>10</v>
      </c>
    </row>
    <row r="1613" spans="1:8" x14ac:dyDescent="0.25">
      <c r="A1613" s="31">
        <v>44635</v>
      </c>
      <c r="B1613" s="37" t="s">
        <v>8658</v>
      </c>
      <c r="C1613" s="51" t="s">
        <v>31</v>
      </c>
      <c r="D1613" s="52">
        <v>637.20000000000005</v>
      </c>
      <c r="E1613" s="35">
        <v>44635</v>
      </c>
      <c r="F1613" s="52">
        <v>637.20000000000005</v>
      </c>
      <c r="G1613" s="53">
        <f>Tabla14[[#This Row],[Importe]]-Tabla14[[#This Row],[Pagado]]</f>
        <v>0</v>
      </c>
      <c r="H1613" s="37" t="s">
        <v>10</v>
      </c>
    </row>
    <row r="1614" spans="1:8" x14ac:dyDescent="0.25">
      <c r="A1614" s="31">
        <v>44635</v>
      </c>
      <c r="B1614" s="37" t="s">
        <v>8659</v>
      </c>
      <c r="C1614" s="51" t="s">
        <v>454</v>
      </c>
      <c r="D1614" s="52">
        <v>556.20000000000005</v>
      </c>
      <c r="E1614" s="35">
        <v>44635</v>
      </c>
      <c r="F1614" s="52">
        <v>556.20000000000005</v>
      </c>
      <c r="G1614" s="53">
        <f>Tabla14[[#This Row],[Importe]]-Tabla14[[#This Row],[Pagado]]</f>
        <v>0</v>
      </c>
      <c r="H1614" s="37" t="s">
        <v>10</v>
      </c>
    </row>
    <row r="1615" spans="1:8" x14ac:dyDescent="0.25">
      <c r="A1615" s="31">
        <v>44635</v>
      </c>
      <c r="B1615" s="37" t="s">
        <v>8660</v>
      </c>
      <c r="C1615" s="51" t="s">
        <v>365</v>
      </c>
      <c r="D1615" s="52">
        <v>482.6</v>
      </c>
      <c r="E1615" s="35">
        <v>44635</v>
      </c>
      <c r="F1615" s="52">
        <v>482.6</v>
      </c>
      <c r="G1615" s="53">
        <f>Tabla14[[#This Row],[Importe]]-Tabla14[[#This Row],[Pagado]]</f>
        <v>0</v>
      </c>
      <c r="H1615" s="37" t="s">
        <v>10</v>
      </c>
    </row>
    <row r="1616" spans="1:8" x14ac:dyDescent="0.25">
      <c r="A1616" s="31">
        <v>44635</v>
      </c>
      <c r="B1616" s="37" t="s">
        <v>8661</v>
      </c>
      <c r="C1616" s="51" t="s">
        <v>670</v>
      </c>
      <c r="D1616" s="52">
        <v>3498</v>
      </c>
      <c r="E1616" s="35">
        <v>44635</v>
      </c>
      <c r="F1616" s="52">
        <v>3498</v>
      </c>
      <c r="G1616" s="53">
        <f>Tabla14[[#This Row],[Importe]]-Tabla14[[#This Row],[Pagado]]</f>
        <v>0</v>
      </c>
      <c r="H1616" s="37" t="s">
        <v>10</v>
      </c>
    </row>
    <row r="1617" spans="1:8" x14ac:dyDescent="0.25">
      <c r="A1617" s="31">
        <v>44635</v>
      </c>
      <c r="B1617" s="37" t="s">
        <v>8662</v>
      </c>
      <c r="C1617" s="51" t="s">
        <v>419</v>
      </c>
      <c r="D1617" s="52">
        <v>6316.4</v>
      </c>
      <c r="E1617" s="35">
        <v>44635</v>
      </c>
      <c r="F1617" s="52">
        <v>6316.4</v>
      </c>
      <c r="G1617" s="53">
        <f>Tabla14[[#This Row],[Importe]]-Tabla14[[#This Row],[Pagado]]</f>
        <v>0</v>
      </c>
      <c r="H1617" s="37" t="s">
        <v>10</v>
      </c>
    </row>
    <row r="1618" spans="1:8" x14ac:dyDescent="0.25">
      <c r="A1618" s="31">
        <v>44635</v>
      </c>
      <c r="B1618" s="37" t="s">
        <v>8663</v>
      </c>
      <c r="C1618" s="51" t="s">
        <v>31</v>
      </c>
      <c r="D1618" s="52">
        <v>854.3</v>
      </c>
      <c r="E1618" s="35">
        <v>44635</v>
      </c>
      <c r="F1618" s="52">
        <v>854.3</v>
      </c>
      <c r="G1618" s="53">
        <f>Tabla14[[#This Row],[Importe]]-Tabla14[[#This Row],[Pagado]]</f>
        <v>0</v>
      </c>
      <c r="H1618" s="37" t="s">
        <v>10</v>
      </c>
    </row>
    <row r="1619" spans="1:8" x14ac:dyDescent="0.25">
      <c r="A1619" s="31">
        <v>44635</v>
      </c>
      <c r="B1619" s="37" t="s">
        <v>8664</v>
      </c>
      <c r="C1619" s="51" t="s">
        <v>179</v>
      </c>
      <c r="D1619" s="52">
        <v>896.4</v>
      </c>
      <c r="E1619" s="35">
        <v>44635</v>
      </c>
      <c r="F1619" s="52">
        <v>896.4</v>
      </c>
      <c r="G1619" s="53">
        <f>Tabla14[[#This Row],[Importe]]-Tabla14[[#This Row],[Pagado]]</f>
        <v>0</v>
      </c>
      <c r="H1619" s="37" t="s">
        <v>10</v>
      </c>
    </row>
    <row r="1620" spans="1:8" x14ac:dyDescent="0.25">
      <c r="A1620" s="31">
        <v>44635</v>
      </c>
      <c r="B1620" s="37" t="s">
        <v>8665</v>
      </c>
      <c r="C1620" s="51" t="s">
        <v>67</v>
      </c>
      <c r="D1620" s="52">
        <v>1579.4</v>
      </c>
      <c r="E1620" s="35">
        <v>44635</v>
      </c>
      <c r="F1620" s="52">
        <v>1579.4</v>
      </c>
      <c r="G1620" s="53">
        <f>Tabla14[[#This Row],[Importe]]-Tabla14[[#This Row],[Pagado]]</f>
        <v>0</v>
      </c>
      <c r="H1620" s="37" t="s">
        <v>10</v>
      </c>
    </row>
    <row r="1621" spans="1:8" x14ac:dyDescent="0.25">
      <c r="A1621" s="31">
        <v>44635</v>
      </c>
      <c r="B1621" s="37" t="s">
        <v>8666</v>
      </c>
      <c r="C1621" s="51" t="s">
        <v>440</v>
      </c>
      <c r="D1621" s="52">
        <v>12177.48</v>
      </c>
      <c r="E1621" s="35">
        <v>44645</v>
      </c>
      <c r="F1621" s="52">
        <v>12177.48</v>
      </c>
      <c r="G1621" s="53">
        <f>Tabla14[[#This Row],[Importe]]-Tabla14[[#This Row],[Pagado]]</f>
        <v>0</v>
      </c>
      <c r="H1621" s="37" t="s">
        <v>10</v>
      </c>
    </row>
    <row r="1622" spans="1:8" x14ac:dyDescent="0.25">
      <c r="A1622" s="31">
        <v>44635</v>
      </c>
      <c r="B1622" s="37" t="s">
        <v>8667</v>
      </c>
      <c r="C1622" s="51" t="s">
        <v>16</v>
      </c>
      <c r="D1622" s="52">
        <v>189</v>
      </c>
      <c r="E1622" s="35">
        <v>44635</v>
      </c>
      <c r="F1622" s="52">
        <v>189</v>
      </c>
      <c r="G1622" s="53">
        <f>Tabla14[[#This Row],[Importe]]-Tabla14[[#This Row],[Pagado]]</f>
        <v>0</v>
      </c>
      <c r="H1622" s="37" t="s">
        <v>10</v>
      </c>
    </row>
    <row r="1623" spans="1:8" x14ac:dyDescent="0.25">
      <c r="A1623" s="31">
        <v>44635</v>
      </c>
      <c r="B1623" s="37" t="s">
        <v>8668</v>
      </c>
      <c r="C1623" s="51" t="s">
        <v>71</v>
      </c>
      <c r="D1623" s="52">
        <v>9223.2000000000007</v>
      </c>
      <c r="E1623" s="35">
        <v>44635</v>
      </c>
      <c r="F1623" s="52">
        <v>9223.2000000000007</v>
      </c>
      <c r="G1623" s="53">
        <f>Tabla14[[#This Row],[Importe]]-Tabla14[[#This Row],[Pagado]]</f>
        <v>0</v>
      </c>
      <c r="H1623" s="37" t="s">
        <v>10</v>
      </c>
    </row>
    <row r="1624" spans="1:8" x14ac:dyDescent="0.25">
      <c r="A1624" s="31">
        <v>44635</v>
      </c>
      <c r="B1624" s="37" t="s">
        <v>8669</v>
      </c>
      <c r="C1624" s="51" t="s">
        <v>433</v>
      </c>
      <c r="D1624" s="52">
        <v>27000</v>
      </c>
      <c r="E1624" s="35">
        <v>44635</v>
      </c>
      <c r="F1624" s="52">
        <v>27000</v>
      </c>
      <c r="G1624" s="53">
        <f>Tabla14[[#This Row],[Importe]]-Tabla14[[#This Row],[Pagado]]</f>
        <v>0</v>
      </c>
      <c r="H1624" s="37" t="s">
        <v>10</v>
      </c>
    </row>
    <row r="1625" spans="1:8" x14ac:dyDescent="0.25">
      <c r="A1625" s="31">
        <v>44635</v>
      </c>
      <c r="B1625" s="37" t="s">
        <v>8670</v>
      </c>
      <c r="C1625" s="51" t="s">
        <v>284</v>
      </c>
      <c r="D1625" s="52">
        <v>6501.6</v>
      </c>
      <c r="E1625" s="35">
        <v>44636</v>
      </c>
      <c r="F1625" s="52">
        <v>6501.6</v>
      </c>
      <c r="G1625" s="53">
        <f>Tabla14[[#This Row],[Importe]]-Tabla14[[#This Row],[Pagado]]</f>
        <v>0</v>
      </c>
      <c r="H1625" s="37" t="s">
        <v>10</v>
      </c>
    </row>
    <row r="1626" spans="1:8" x14ac:dyDescent="0.25">
      <c r="A1626" s="31">
        <v>44635</v>
      </c>
      <c r="B1626" s="37" t="s">
        <v>8671</v>
      </c>
      <c r="C1626" s="51" t="s">
        <v>273</v>
      </c>
      <c r="D1626" s="52">
        <v>1525.44</v>
      </c>
      <c r="E1626" s="35">
        <v>44636</v>
      </c>
      <c r="F1626" s="52">
        <v>1525.44</v>
      </c>
      <c r="G1626" s="53">
        <f>Tabla14[[#This Row],[Importe]]-Tabla14[[#This Row],[Pagado]]</f>
        <v>0</v>
      </c>
      <c r="H1626" s="37" t="s">
        <v>10</v>
      </c>
    </row>
    <row r="1627" spans="1:8" x14ac:dyDescent="0.25">
      <c r="A1627" s="31">
        <v>44635</v>
      </c>
      <c r="B1627" s="37" t="s">
        <v>8672</v>
      </c>
      <c r="C1627" s="51" t="s">
        <v>5345</v>
      </c>
      <c r="D1627" s="52">
        <v>1625.4</v>
      </c>
      <c r="E1627" s="35">
        <v>44636</v>
      </c>
      <c r="F1627" s="52">
        <v>1625.4</v>
      </c>
      <c r="G1627" s="53">
        <f>Tabla14[[#This Row],[Importe]]-Tabla14[[#This Row],[Pagado]]</f>
        <v>0</v>
      </c>
      <c r="H1627" s="37" t="s">
        <v>10</v>
      </c>
    </row>
    <row r="1628" spans="1:8" x14ac:dyDescent="0.25">
      <c r="A1628" s="31">
        <v>44635</v>
      </c>
      <c r="B1628" s="37" t="s">
        <v>8673</v>
      </c>
      <c r="C1628" s="51" t="s">
        <v>431</v>
      </c>
      <c r="D1628" s="52">
        <v>523.79999999999995</v>
      </c>
      <c r="E1628" s="35">
        <v>44636</v>
      </c>
      <c r="F1628" s="52">
        <v>523.79999999999995</v>
      </c>
      <c r="G1628" s="53">
        <f>Tabla14[[#This Row],[Importe]]-Tabla14[[#This Row],[Pagado]]</f>
        <v>0</v>
      </c>
      <c r="H1628" s="37" t="s">
        <v>10</v>
      </c>
    </row>
    <row r="1629" spans="1:8" x14ac:dyDescent="0.25">
      <c r="A1629" s="31">
        <v>44635</v>
      </c>
      <c r="B1629" s="37" t="s">
        <v>8674</v>
      </c>
      <c r="C1629" s="51" t="s">
        <v>280</v>
      </c>
      <c r="D1629" s="52">
        <v>486</v>
      </c>
      <c r="E1629" s="35">
        <v>44636</v>
      </c>
      <c r="F1629" s="52">
        <v>486</v>
      </c>
      <c r="G1629" s="53">
        <f>Tabla14[[#This Row],[Importe]]-Tabla14[[#This Row],[Pagado]]</f>
        <v>0</v>
      </c>
      <c r="H1629" s="37" t="s">
        <v>10</v>
      </c>
    </row>
    <row r="1630" spans="1:8" x14ac:dyDescent="0.25">
      <c r="A1630" s="31">
        <v>44635</v>
      </c>
      <c r="B1630" s="37" t="s">
        <v>8675</v>
      </c>
      <c r="C1630" s="51" t="s">
        <v>368</v>
      </c>
      <c r="D1630" s="52">
        <v>5742.8</v>
      </c>
      <c r="E1630" s="35">
        <v>44636</v>
      </c>
      <c r="F1630" s="52">
        <v>5742.8</v>
      </c>
      <c r="G1630" s="53">
        <f>Tabla14[[#This Row],[Importe]]-Tabla14[[#This Row],[Pagado]]</f>
        <v>0</v>
      </c>
      <c r="H1630" s="37" t="s">
        <v>10</v>
      </c>
    </row>
    <row r="1631" spans="1:8" x14ac:dyDescent="0.25">
      <c r="A1631" s="31">
        <v>44635</v>
      </c>
      <c r="B1631" s="37" t="s">
        <v>8676</v>
      </c>
      <c r="C1631" s="51" t="s">
        <v>301</v>
      </c>
      <c r="D1631" s="52">
        <v>18460</v>
      </c>
      <c r="E1631" s="35">
        <v>44635</v>
      </c>
      <c r="F1631" s="52">
        <v>18460</v>
      </c>
      <c r="G1631" s="53">
        <f>Tabla14[[#This Row],[Importe]]-Tabla14[[#This Row],[Pagado]]</f>
        <v>0</v>
      </c>
      <c r="H1631" s="37" t="s">
        <v>10</v>
      </c>
    </row>
    <row r="1632" spans="1:8" x14ac:dyDescent="0.25">
      <c r="A1632" s="31">
        <v>44635</v>
      </c>
      <c r="B1632" s="37" t="s">
        <v>8677</v>
      </c>
      <c r="C1632" s="51" t="s">
        <v>849</v>
      </c>
      <c r="D1632" s="52">
        <v>2932.8</v>
      </c>
      <c r="E1632" s="35">
        <v>44635</v>
      </c>
      <c r="F1632" s="52">
        <v>2932.8</v>
      </c>
      <c r="G1632" s="53">
        <f>Tabla14[[#This Row],[Importe]]-Tabla14[[#This Row],[Pagado]]</f>
        <v>0</v>
      </c>
      <c r="H1632" s="37" t="s">
        <v>10</v>
      </c>
    </row>
    <row r="1633" spans="1:8" x14ac:dyDescent="0.25">
      <c r="A1633" s="31">
        <v>44635</v>
      </c>
      <c r="B1633" s="37" t="s">
        <v>8678</v>
      </c>
      <c r="C1633" s="51" t="s">
        <v>5217</v>
      </c>
      <c r="D1633" s="52">
        <v>2998.6</v>
      </c>
      <c r="E1633" s="35">
        <v>44635</v>
      </c>
      <c r="F1633" s="52">
        <v>2998.6</v>
      </c>
      <c r="G1633" s="53">
        <f>Tabla14[[#This Row],[Importe]]-Tabla14[[#This Row],[Pagado]]</f>
        <v>0</v>
      </c>
      <c r="H1633" s="37" t="s">
        <v>10</v>
      </c>
    </row>
    <row r="1634" spans="1:8" x14ac:dyDescent="0.25">
      <c r="A1634" s="31">
        <v>44635</v>
      </c>
      <c r="B1634" s="37" t="s">
        <v>8679</v>
      </c>
      <c r="C1634" s="51" t="s">
        <v>298</v>
      </c>
      <c r="D1634" s="52">
        <v>3812.4</v>
      </c>
      <c r="E1634" s="35">
        <v>44635</v>
      </c>
      <c r="F1634" s="52">
        <v>3812.4</v>
      </c>
      <c r="G1634" s="53">
        <f>Tabla14[[#This Row],[Importe]]-Tabla14[[#This Row],[Pagado]]</f>
        <v>0</v>
      </c>
      <c r="H1634" s="37" t="s">
        <v>10</v>
      </c>
    </row>
    <row r="1635" spans="1:8" x14ac:dyDescent="0.25">
      <c r="A1635" s="31">
        <v>44635</v>
      </c>
      <c r="B1635" s="37" t="s">
        <v>8680</v>
      </c>
      <c r="C1635" s="51" t="s">
        <v>269</v>
      </c>
      <c r="D1635" s="52">
        <v>1233.7</v>
      </c>
      <c r="E1635" s="35">
        <v>44635</v>
      </c>
      <c r="F1635" s="52">
        <v>1233.7</v>
      </c>
      <c r="G1635" s="53">
        <f>Tabla14[[#This Row],[Importe]]-Tabla14[[#This Row],[Pagado]]</f>
        <v>0</v>
      </c>
      <c r="H1635" s="37" t="s">
        <v>10</v>
      </c>
    </row>
    <row r="1636" spans="1:8" x14ac:dyDescent="0.25">
      <c r="A1636" s="31">
        <v>44635</v>
      </c>
      <c r="B1636" s="37" t="s">
        <v>8681</v>
      </c>
      <c r="C1636" s="51" t="s">
        <v>426</v>
      </c>
      <c r="D1636" s="52">
        <v>4720.8999999999996</v>
      </c>
      <c r="E1636" s="35">
        <v>44636</v>
      </c>
      <c r="F1636" s="52">
        <v>4720.8999999999996</v>
      </c>
      <c r="G1636" s="53">
        <f>Tabla14[[#This Row],[Importe]]-Tabla14[[#This Row],[Pagado]]</f>
        <v>0</v>
      </c>
      <c r="H1636" s="37" t="s">
        <v>10</v>
      </c>
    </row>
    <row r="1637" spans="1:8" x14ac:dyDescent="0.25">
      <c r="A1637" s="31">
        <v>44635</v>
      </c>
      <c r="B1637" s="37" t="s">
        <v>8682</v>
      </c>
      <c r="C1637" s="51" t="s">
        <v>732</v>
      </c>
      <c r="D1637" s="52">
        <v>5555</v>
      </c>
      <c r="E1637" s="35">
        <v>44635</v>
      </c>
      <c r="F1637" s="52">
        <v>5555</v>
      </c>
      <c r="G1637" s="53">
        <f>Tabla14[[#This Row],[Importe]]-Tabla14[[#This Row],[Pagado]]</f>
        <v>0</v>
      </c>
      <c r="H1637" s="37" t="s">
        <v>10</v>
      </c>
    </row>
    <row r="1638" spans="1:8" x14ac:dyDescent="0.25">
      <c r="A1638" s="31">
        <v>44635</v>
      </c>
      <c r="B1638" s="37" t="s">
        <v>8683</v>
      </c>
      <c r="C1638" s="51" t="s">
        <v>31</v>
      </c>
      <c r="D1638" s="52">
        <v>2018.8</v>
      </c>
      <c r="E1638" s="35">
        <v>44635</v>
      </c>
      <c r="F1638" s="52">
        <v>2018.8</v>
      </c>
      <c r="G1638" s="53">
        <f>Tabla14[[#This Row],[Importe]]-Tabla14[[#This Row],[Pagado]]</f>
        <v>0</v>
      </c>
      <c r="H1638" s="37" t="s">
        <v>10</v>
      </c>
    </row>
    <row r="1639" spans="1:8" x14ac:dyDescent="0.25">
      <c r="A1639" s="31">
        <v>44635</v>
      </c>
      <c r="B1639" s="37" t="s">
        <v>8684</v>
      </c>
      <c r="C1639" s="51" t="s">
        <v>8685</v>
      </c>
      <c r="D1639" s="52">
        <v>0</v>
      </c>
      <c r="E1639" s="39" t="s">
        <v>189</v>
      </c>
      <c r="F1639" s="52">
        <v>0</v>
      </c>
      <c r="G1639" s="53">
        <f>Tabla14[[#This Row],[Importe]]-Tabla14[[#This Row],[Pagado]]</f>
        <v>0</v>
      </c>
      <c r="H1639" s="54" t="s">
        <v>8686</v>
      </c>
    </row>
    <row r="1640" spans="1:8" x14ac:dyDescent="0.25">
      <c r="A1640" s="31">
        <v>44635</v>
      </c>
      <c r="B1640" s="37" t="s">
        <v>8687</v>
      </c>
      <c r="C1640" s="51" t="s">
        <v>409</v>
      </c>
      <c r="D1640" s="52">
        <v>4305.3</v>
      </c>
      <c r="E1640" s="35">
        <v>44638</v>
      </c>
      <c r="F1640" s="52">
        <v>4305.3</v>
      </c>
      <c r="G1640" s="53">
        <f>Tabla14[[#This Row],[Importe]]-Tabla14[[#This Row],[Pagado]]</f>
        <v>0</v>
      </c>
      <c r="H1640" s="37" t="s">
        <v>10</v>
      </c>
    </row>
    <row r="1641" spans="1:8" x14ac:dyDescent="0.25">
      <c r="A1641" s="31">
        <v>44635</v>
      </c>
      <c r="B1641" s="37" t="s">
        <v>8688</v>
      </c>
      <c r="C1641" s="51" t="s">
        <v>4523</v>
      </c>
      <c r="D1641" s="52">
        <v>710.6</v>
      </c>
      <c r="E1641" s="35">
        <v>44635</v>
      </c>
      <c r="F1641" s="52">
        <v>710.6</v>
      </c>
      <c r="G1641" s="53">
        <f>Tabla14[[#This Row],[Importe]]-Tabla14[[#This Row],[Pagado]]</f>
        <v>0</v>
      </c>
      <c r="H1641" s="37" t="s">
        <v>10</v>
      </c>
    </row>
    <row r="1642" spans="1:8" x14ac:dyDescent="0.25">
      <c r="A1642" s="31">
        <v>44635</v>
      </c>
      <c r="B1642" s="37" t="s">
        <v>8689</v>
      </c>
      <c r="C1642" s="51" t="s">
        <v>1706</v>
      </c>
      <c r="D1642" s="52">
        <v>10008</v>
      </c>
      <c r="E1642" s="35">
        <v>44635</v>
      </c>
      <c r="F1642" s="52">
        <v>10008</v>
      </c>
      <c r="G1642" s="53">
        <f>Tabla14[[#This Row],[Importe]]-Tabla14[[#This Row],[Pagado]]</f>
        <v>0</v>
      </c>
      <c r="H1642" s="37" t="s">
        <v>10</v>
      </c>
    </row>
    <row r="1643" spans="1:8" x14ac:dyDescent="0.25">
      <c r="A1643" s="31">
        <v>44635</v>
      </c>
      <c r="B1643" s="37" t="s">
        <v>8690</v>
      </c>
      <c r="C1643" s="51" t="s">
        <v>583</v>
      </c>
      <c r="D1643" s="52">
        <v>3567.2</v>
      </c>
      <c r="E1643" s="35">
        <v>44635</v>
      </c>
      <c r="F1643" s="52">
        <v>3567.2</v>
      </c>
      <c r="G1643" s="53">
        <f>Tabla14[[#This Row],[Importe]]-Tabla14[[#This Row],[Pagado]]</f>
        <v>0</v>
      </c>
      <c r="H1643" s="37" t="s">
        <v>10</v>
      </c>
    </row>
    <row r="1644" spans="1:8" x14ac:dyDescent="0.25">
      <c r="A1644" s="31">
        <v>44635</v>
      </c>
      <c r="B1644" s="37" t="s">
        <v>8691</v>
      </c>
      <c r="C1644" s="51" t="s">
        <v>31</v>
      </c>
      <c r="D1644" s="52">
        <v>37.5</v>
      </c>
      <c r="E1644" s="35">
        <v>44635</v>
      </c>
      <c r="F1644" s="52">
        <v>37.5</v>
      </c>
      <c r="G1644" s="53">
        <f>Tabla14[[#This Row],[Importe]]-Tabla14[[#This Row],[Pagado]]</f>
        <v>0</v>
      </c>
      <c r="H1644" s="37" t="s">
        <v>10</v>
      </c>
    </row>
    <row r="1645" spans="1:8" x14ac:dyDescent="0.25">
      <c r="A1645" s="31">
        <v>44635</v>
      </c>
      <c r="B1645" s="37" t="s">
        <v>8692</v>
      </c>
      <c r="C1645" s="51" t="s">
        <v>7444</v>
      </c>
      <c r="D1645" s="52">
        <v>5728.8</v>
      </c>
      <c r="E1645" s="35">
        <v>44635</v>
      </c>
      <c r="F1645" s="52">
        <v>5728.8</v>
      </c>
      <c r="G1645" s="53">
        <f>Tabla14[[#This Row],[Importe]]-Tabla14[[#This Row],[Pagado]]</f>
        <v>0</v>
      </c>
      <c r="H1645" s="37" t="s">
        <v>10</v>
      </c>
    </row>
    <row r="1646" spans="1:8" x14ac:dyDescent="0.25">
      <c r="A1646" s="31">
        <v>44635</v>
      </c>
      <c r="B1646" s="37" t="s">
        <v>8693</v>
      </c>
      <c r="C1646" s="51" t="s">
        <v>804</v>
      </c>
      <c r="D1646" s="52">
        <v>5184</v>
      </c>
      <c r="E1646" s="35">
        <v>44635</v>
      </c>
      <c r="F1646" s="52">
        <v>5184</v>
      </c>
      <c r="G1646" s="53">
        <f>Tabla14[[#This Row],[Importe]]-Tabla14[[#This Row],[Pagado]]</f>
        <v>0</v>
      </c>
      <c r="H1646" s="37" t="s">
        <v>10</v>
      </c>
    </row>
    <row r="1647" spans="1:8" x14ac:dyDescent="0.25">
      <c r="A1647" s="31">
        <v>44635</v>
      </c>
      <c r="B1647" s="37" t="s">
        <v>8694</v>
      </c>
      <c r="C1647" s="51" t="s">
        <v>314</v>
      </c>
      <c r="D1647" s="52">
        <v>1544.4</v>
      </c>
      <c r="E1647" s="35">
        <v>44636</v>
      </c>
      <c r="F1647" s="52">
        <v>1544.4</v>
      </c>
      <c r="G1647" s="53">
        <f>Tabla14[[#This Row],[Importe]]-Tabla14[[#This Row],[Pagado]]</f>
        <v>0</v>
      </c>
      <c r="H1647" s="37" t="s">
        <v>10</v>
      </c>
    </row>
    <row r="1648" spans="1:8" x14ac:dyDescent="0.25">
      <c r="A1648" s="31">
        <v>44635</v>
      </c>
      <c r="B1648" s="37" t="s">
        <v>8695</v>
      </c>
      <c r="C1648" s="51" t="s">
        <v>87</v>
      </c>
      <c r="D1648" s="52">
        <v>1938.2</v>
      </c>
      <c r="E1648" s="35">
        <v>44636</v>
      </c>
      <c r="F1648" s="52">
        <v>1938.2</v>
      </c>
      <c r="G1648" s="53">
        <f>Tabla14[[#This Row],[Importe]]-Tabla14[[#This Row],[Pagado]]</f>
        <v>0</v>
      </c>
      <c r="H1648" s="37" t="s">
        <v>10</v>
      </c>
    </row>
    <row r="1649" spans="1:8" x14ac:dyDescent="0.25">
      <c r="A1649" s="31">
        <v>44636</v>
      </c>
      <c r="B1649" s="37" t="s">
        <v>8696</v>
      </c>
      <c r="C1649" s="51" t="s">
        <v>887</v>
      </c>
      <c r="D1649" s="52">
        <v>11584.3</v>
      </c>
      <c r="E1649" s="35">
        <v>44643</v>
      </c>
      <c r="F1649" s="52">
        <v>11584.3</v>
      </c>
      <c r="G1649" s="53">
        <f>Tabla14[[#This Row],[Importe]]-Tabla14[[#This Row],[Pagado]]</f>
        <v>0</v>
      </c>
      <c r="H1649" s="37" t="s">
        <v>10</v>
      </c>
    </row>
    <row r="1650" spans="1:8" ht="31.5" x14ac:dyDescent="0.25">
      <c r="A1650" s="31">
        <v>44636</v>
      </c>
      <c r="B1650" s="37" t="s">
        <v>8697</v>
      </c>
      <c r="C1650" s="51" t="s">
        <v>475</v>
      </c>
      <c r="D1650" s="52">
        <v>61185.5</v>
      </c>
      <c r="E1650" s="35" t="s">
        <v>8698</v>
      </c>
      <c r="F1650" s="52">
        <f>32000+29185.5</f>
        <v>61185.5</v>
      </c>
      <c r="G1650" s="53">
        <f>Tabla14[[#This Row],[Importe]]-Tabla14[[#This Row],[Pagado]]</f>
        <v>0</v>
      </c>
      <c r="H1650" s="37" t="s">
        <v>10</v>
      </c>
    </row>
    <row r="1651" spans="1:8" x14ac:dyDescent="0.25">
      <c r="A1651" s="31">
        <v>44636</v>
      </c>
      <c r="B1651" s="37" t="s">
        <v>8699</v>
      </c>
      <c r="C1651" s="51" t="s">
        <v>481</v>
      </c>
      <c r="D1651" s="52">
        <v>426.5</v>
      </c>
      <c r="E1651" s="35">
        <v>44636</v>
      </c>
      <c r="F1651" s="52">
        <v>426.5</v>
      </c>
      <c r="G1651" s="53">
        <f>Tabla14[[#This Row],[Importe]]-Tabla14[[#This Row],[Pagado]]</f>
        <v>0</v>
      </c>
      <c r="H1651" s="37" t="s">
        <v>10</v>
      </c>
    </row>
    <row r="1652" spans="1:8" x14ac:dyDescent="0.25">
      <c r="A1652" s="31">
        <v>44636</v>
      </c>
      <c r="B1652" s="37" t="s">
        <v>8700</v>
      </c>
      <c r="C1652" s="51" t="s">
        <v>31</v>
      </c>
      <c r="D1652" s="52">
        <v>18936.3</v>
      </c>
      <c r="E1652" s="35">
        <v>44636</v>
      </c>
      <c r="F1652" s="52">
        <v>18936.3</v>
      </c>
      <c r="G1652" s="53">
        <f>Tabla14[[#This Row],[Importe]]-Tabla14[[#This Row],[Pagado]]</f>
        <v>0</v>
      </c>
      <c r="H1652" s="37" t="s">
        <v>10</v>
      </c>
    </row>
    <row r="1653" spans="1:8" x14ac:dyDescent="0.25">
      <c r="A1653" s="31">
        <v>44636</v>
      </c>
      <c r="B1653" s="37" t="s">
        <v>8701</v>
      </c>
      <c r="C1653" s="51" t="s">
        <v>196</v>
      </c>
      <c r="D1653" s="52">
        <v>121105.5</v>
      </c>
      <c r="E1653" s="35">
        <v>44638</v>
      </c>
      <c r="F1653" s="52">
        <v>121105.5</v>
      </c>
      <c r="G1653" s="53">
        <f>Tabla14[[#This Row],[Importe]]-Tabla14[[#This Row],[Pagado]]</f>
        <v>0</v>
      </c>
      <c r="H1653" s="37" t="s">
        <v>10</v>
      </c>
    </row>
    <row r="1654" spans="1:8" x14ac:dyDescent="0.25">
      <c r="A1654" s="31">
        <v>44636</v>
      </c>
      <c r="B1654" s="37" t="s">
        <v>8702</v>
      </c>
      <c r="C1654" s="51" t="s">
        <v>60</v>
      </c>
      <c r="D1654" s="52">
        <v>3655.4</v>
      </c>
      <c r="E1654" s="35">
        <v>44640</v>
      </c>
      <c r="F1654" s="52">
        <v>3655.4</v>
      </c>
      <c r="G1654" s="53">
        <f>Tabla14[[#This Row],[Importe]]-Tabla14[[#This Row],[Pagado]]</f>
        <v>0</v>
      </c>
      <c r="H1654" s="37" t="s">
        <v>10</v>
      </c>
    </row>
    <row r="1655" spans="1:8" x14ac:dyDescent="0.25">
      <c r="A1655" s="31">
        <v>44636</v>
      </c>
      <c r="B1655" s="37" t="s">
        <v>8703</v>
      </c>
      <c r="C1655" s="51" t="s">
        <v>326</v>
      </c>
      <c r="D1655" s="52">
        <v>3788.2</v>
      </c>
      <c r="E1655" s="35">
        <v>44637</v>
      </c>
      <c r="F1655" s="52">
        <v>3788.2</v>
      </c>
      <c r="G1655" s="53">
        <f>Tabla14[[#This Row],[Importe]]-Tabla14[[#This Row],[Pagado]]</f>
        <v>0</v>
      </c>
      <c r="H1655" s="37" t="s">
        <v>10</v>
      </c>
    </row>
    <row r="1656" spans="1:8" x14ac:dyDescent="0.25">
      <c r="A1656" s="31">
        <v>44636</v>
      </c>
      <c r="B1656" s="37" t="s">
        <v>8704</v>
      </c>
      <c r="C1656" s="51" t="s">
        <v>39</v>
      </c>
      <c r="D1656" s="52">
        <v>19622</v>
      </c>
      <c r="E1656" s="35">
        <v>44638</v>
      </c>
      <c r="F1656" s="52">
        <v>19622</v>
      </c>
      <c r="G1656" s="53">
        <f>Tabla14[[#This Row],[Importe]]-Tabla14[[#This Row],[Pagado]]</f>
        <v>0</v>
      </c>
      <c r="H1656" s="37" t="s">
        <v>10</v>
      </c>
    </row>
    <row r="1657" spans="1:8" x14ac:dyDescent="0.25">
      <c r="A1657" s="31">
        <v>44636</v>
      </c>
      <c r="B1657" s="37" t="s">
        <v>8705</v>
      </c>
      <c r="C1657" s="51" t="s">
        <v>83</v>
      </c>
      <c r="D1657" s="52">
        <v>8713.6</v>
      </c>
      <c r="E1657" s="35">
        <v>44636</v>
      </c>
      <c r="F1657" s="52">
        <v>8713.6</v>
      </c>
      <c r="G1657" s="53">
        <f>Tabla14[[#This Row],[Importe]]-Tabla14[[#This Row],[Pagado]]</f>
        <v>0</v>
      </c>
      <c r="H1657" s="37" t="s">
        <v>10</v>
      </c>
    </row>
    <row r="1658" spans="1:8" x14ac:dyDescent="0.25">
      <c r="A1658" s="31">
        <v>44636</v>
      </c>
      <c r="B1658" s="37" t="s">
        <v>8706</v>
      </c>
      <c r="C1658" s="51" t="s">
        <v>97</v>
      </c>
      <c r="D1658" s="52">
        <v>7444.8</v>
      </c>
      <c r="E1658" s="35">
        <v>44637</v>
      </c>
      <c r="F1658" s="52">
        <v>7444.8</v>
      </c>
      <c r="G1658" s="53">
        <f>Tabla14[[#This Row],[Importe]]-Tabla14[[#This Row],[Pagado]]</f>
        <v>0</v>
      </c>
      <c r="H1658" s="37" t="s">
        <v>10</v>
      </c>
    </row>
    <row r="1659" spans="1:8" x14ac:dyDescent="0.25">
      <c r="A1659" s="31">
        <v>44636</v>
      </c>
      <c r="B1659" s="37" t="s">
        <v>8707</v>
      </c>
      <c r="C1659" s="51" t="s">
        <v>31</v>
      </c>
      <c r="D1659" s="52">
        <v>2417.4</v>
      </c>
      <c r="E1659" s="35">
        <v>44636</v>
      </c>
      <c r="F1659" s="52">
        <v>2417.4</v>
      </c>
      <c r="G1659" s="53">
        <f>Tabla14[[#This Row],[Importe]]-Tabla14[[#This Row],[Pagado]]</f>
        <v>0</v>
      </c>
      <c r="H1659" s="37" t="s">
        <v>10</v>
      </c>
    </row>
    <row r="1660" spans="1:8" x14ac:dyDescent="0.25">
      <c r="A1660" s="31">
        <v>44636</v>
      </c>
      <c r="B1660" s="37" t="s">
        <v>8708</v>
      </c>
      <c r="C1660" s="51" t="s">
        <v>64</v>
      </c>
      <c r="D1660" s="52">
        <v>4030.3</v>
      </c>
      <c r="E1660" s="35">
        <v>44638</v>
      </c>
      <c r="F1660" s="52">
        <v>4030.3</v>
      </c>
      <c r="G1660" s="53">
        <f>Tabla14[[#This Row],[Importe]]-Tabla14[[#This Row],[Pagado]]</f>
        <v>0</v>
      </c>
      <c r="H1660" s="37" t="s">
        <v>10</v>
      </c>
    </row>
    <row r="1661" spans="1:8" x14ac:dyDescent="0.25">
      <c r="A1661" s="31">
        <v>44636</v>
      </c>
      <c r="B1661" s="37" t="s">
        <v>8709</v>
      </c>
      <c r="C1661" s="51" t="s">
        <v>89</v>
      </c>
      <c r="D1661" s="52">
        <v>5940</v>
      </c>
      <c r="E1661" s="35">
        <v>44638</v>
      </c>
      <c r="F1661" s="52">
        <v>5940</v>
      </c>
      <c r="G1661" s="53">
        <f>Tabla14[[#This Row],[Importe]]-Tabla14[[#This Row],[Pagado]]</f>
        <v>0</v>
      </c>
      <c r="H1661" s="37" t="s">
        <v>10</v>
      </c>
    </row>
    <row r="1662" spans="1:8" x14ac:dyDescent="0.25">
      <c r="A1662" s="31">
        <v>44636</v>
      </c>
      <c r="B1662" s="37" t="s">
        <v>8710</v>
      </c>
      <c r="C1662" s="51" t="s">
        <v>22</v>
      </c>
      <c r="D1662" s="52">
        <v>40208.300000000003</v>
      </c>
      <c r="E1662" s="35">
        <v>44637</v>
      </c>
      <c r="F1662" s="52">
        <v>40208.300000000003</v>
      </c>
      <c r="G1662" s="53">
        <f>Tabla14[[#This Row],[Importe]]-Tabla14[[#This Row],[Pagado]]</f>
        <v>0</v>
      </c>
      <c r="H1662" s="37" t="s">
        <v>10</v>
      </c>
    </row>
    <row r="1663" spans="1:8" x14ac:dyDescent="0.25">
      <c r="A1663" s="31">
        <v>44636</v>
      </c>
      <c r="B1663" s="37" t="s">
        <v>8711</v>
      </c>
      <c r="C1663" s="51" t="s">
        <v>2563</v>
      </c>
      <c r="D1663" s="52">
        <v>3518.2</v>
      </c>
      <c r="E1663" s="35">
        <v>44636</v>
      </c>
      <c r="F1663" s="52">
        <v>3518.2</v>
      </c>
      <c r="G1663" s="53">
        <f>Tabla14[[#This Row],[Importe]]-Tabla14[[#This Row],[Pagado]]</f>
        <v>0</v>
      </c>
      <c r="H1663" s="37" t="s">
        <v>10</v>
      </c>
    </row>
    <row r="1664" spans="1:8" x14ac:dyDescent="0.25">
      <c r="A1664" s="31">
        <v>44636</v>
      </c>
      <c r="B1664" s="37" t="s">
        <v>8712</v>
      </c>
      <c r="C1664" s="51" t="s">
        <v>39</v>
      </c>
      <c r="D1664" s="52">
        <v>1000</v>
      </c>
      <c r="E1664" s="35">
        <v>44637</v>
      </c>
      <c r="F1664" s="52">
        <v>1000</v>
      </c>
      <c r="G1664" s="53">
        <f>Tabla14[[#This Row],[Importe]]-Tabla14[[#This Row],[Pagado]]</f>
        <v>0</v>
      </c>
      <c r="H1664" s="37" t="s">
        <v>10</v>
      </c>
    </row>
    <row r="1665" spans="1:8" x14ac:dyDescent="0.25">
      <c r="A1665" s="31">
        <v>44636</v>
      </c>
      <c r="B1665" s="37" t="s">
        <v>8713</v>
      </c>
      <c r="C1665" s="51" t="s">
        <v>348</v>
      </c>
      <c r="D1665" s="52">
        <v>2480</v>
      </c>
      <c r="E1665" s="35">
        <v>44636</v>
      </c>
      <c r="F1665" s="52">
        <v>2480</v>
      </c>
      <c r="G1665" s="53">
        <f>Tabla14[[#This Row],[Importe]]-Tabla14[[#This Row],[Pagado]]</f>
        <v>0</v>
      </c>
      <c r="H1665" s="37" t="s">
        <v>10</v>
      </c>
    </row>
    <row r="1666" spans="1:8" x14ac:dyDescent="0.25">
      <c r="A1666" s="31">
        <v>44636</v>
      </c>
      <c r="B1666" s="37" t="s">
        <v>8714</v>
      </c>
      <c r="C1666" s="51" t="s">
        <v>9</v>
      </c>
      <c r="D1666" s="52">
        <v>6210</v>
      </c>
      <c r="E1666" s="35">
        <v>44636</v>
      </c>
      <c r="F1666" s="52">
        <v>6210</v>
      </c>
      <c r="G1666" s="53">
        <f>Tabla14[[#This Row],[Importe]]-Tabla14[[#This Row],[Pagado]]</f>
        <v>0</v>
      </c>
      <c r="H1666" s="37" t="s">
        <v>10</v>
      </c>
    </row>
    <row r="1667" spans="1:8" x14ac:dyDescent="0.25">
      <c r="A1667" s="31">
        <v>44636</v>
      </c>
      <c r="B1667" s="37" t="s">
        <v>8715</v>
      </c>
      <c r="C1667" s="51" t="s">
        <v>18</v>
      </c>
      <c r="D1667" s="52">
        <v>1322.4</v>
      </c>
      <c r="E1667" s="35">
        <v>44636</v>
      </c>
      <c r="F1667" s="52">
        <v>1322.4</v>
      </c>
      <c r="G1667" s="53">
        <f>Tabla14[[#This Row],[Importe]]-Tabla14[[#This Row],[Pagado]]</f>
        <v>0</v>
      </c>
      <c r="H1667" s="37" t="s">
        <v>10</v>
      </c>
    </row>
    <row r="1668" spans="1:8" x14ac:dyDescent="0.25">
      <c r="A1668" s="31">
        <v>44636</v>
      </c>
      <c r="B1668" s="37" t="s">
        <v>8716</v>
      </c>
      <c r="C1668" s="51" t="s">
        <v>149</v>
      </c>
      <c r="D1668" s="52">
        <v>1020</v>
      </c>
      <c r="E1668" s="35">
        <v>44636</v>
      </c>
      <c r="F1668" s="52">
        <v>1020</v>
      </c>
      <c r="G1668" s="53">
        <f>Tabla14[[#This Row],[Importe]]-Tabla14[[#This Row],[Pagado]]</f>
        <v>0</v>
      </c>
      <c r="H1668" s="37" t="s">
        <v>10</v>
      </c>
    </row>
    <row r="1669" spans="1:8" x14ac:dyDescent="0.25">
      <c r="A1669" s="31">
        <v>44636</v>
      </c>
      <c r="B1669" s="37" t="s">
        <v>8717</v>
      </c>
      <c r="C1669" s="51" t="s">
        <v>93</v>
      </c>
      <c r="D1669" s="52">
        <v>6635.6</v>
      </c>
      <c r="E1669" s="35">
        <v>44637</v>
      </c>
      <c r="F1669" s="52">
        <v>6635.6</v>
      </c>
      <c r="G1669" s="53">
        <f>Tabla14[[#This Row],[Importe]]-Tabla14[[#This Row],[Pagado]]</f>
        <v>0</v>
      </c>
      <c r="H1669" s="37" t="s">
        <v>10</v>
      </c>
    </row>
    <row r="1670" spans="1:8" x14ac:dyDescent="0.25">
      <c r="A1670" s="31">
        <v>44636</v>
      </c>
      <c r="B1670" s="37" t="s">
        <v>8718</v>
      </c>
      <c r="C1670" s="51" t="s">
        <v>87</v>
      </c>
      <c r="D1670" s="52">
        <v>2532.1999999999998</v>
      </c>
      <c r="E1670" s="35">
        <v>44636</v>
      </c>
      <c r="F1670" s="52">
        <v>2532.1999999999998</v>
      </c>
      <c r="G1670" s="53">
        <f>Tabla14[[#This Row],[Importe]]-Tabla14[[#This Row],[Pagado]]</f>
        <v>0</v>
      </c>
      <c r="H1670" s="37" t="s">
        <v>10</v>
      </c>
    </row>
    <row r="1671" spans="1:8" x14ac:dyDescent="0.25">
      <c r="A1671" s="31">
        <v>44636</v>
      </c>
      <c r="B1671" s="37" t="s">
        <v>8719</v>
      </c>
      <c r="C1671" s="51" t="s">
        <v>105</v>
      </c>
      <c r="D1671" s="52">
        <v>11175.9</v>
      </c>
      <c r="E1671" s="35">
        <v>44637</v>
      </c>
      <c r="F1671" s="52">
        <v>11175.9</v>
      </c>
      <c r="G1671" s="53">
        <f>Tabla14[[#This Row],[Importe]]-Tabla14[[#This Row],[Pagado]]</f>
        <v>0</v>
      </c>
      <c r="H1671" s="37" t="s">
        <v>10</v>
      </c>
    </row>
    <row r="1672" spans="1:8" x14ac:dyDescent="0.25">
      <c r="A1672" s="31">
        <v>44636</v>
      </c>
      <c r="B1672" s="37" t="s">
        <v>8720</v>
      </c>
      <c r="C1672" s="51" t="s">
        <v>8721</v>
      </c>
      <c r="D1672" s="52">
        <v>0</v>
      </c>
      <c r="E1672" s="39" t="s">
        <v>189</v>
      </c>
      <c r="F1672" s="52">
        <v>0</v>
      </c>
      <c r="G1672" s="53">
        <f>Tabla14[[#This Row],[Importe]]-Tabla14[[#This Row],[Pagado]]</f>
        <v>0</v>
      </c>
      <c r="H1672" s="37" t="s">
        <v>189</v>
      </c>
    </row>
    <row r="1673" spans="1:8" x14ac:dyDescent="0.25">
      <c r="A1673" s="31">
        <v>44636</v>
      </c>
      <c r="B1673" s="37" t="s">
        <v>8722</v>
      </c>
      <c r="C1673" s="51" t="s">
        <v>53</v>
      </c>
      <c r="D1673" s="52">
        <v>1479.7</v>
      </c>
      <c r="E1673" s="35">
        <v>44636</v>
      </c>
      <c r="F1673" s="52">
        <v>1479.7</v>
      </c>
      <c r="G1673" s="53">
        <f>Tabla14[[#This Row],[Importe]]-Tabla14[[#This Row],[Pagado]]</f>
        <v>0</v>
      </c>
      <c r="H1673" s="37" t="s">
        <v>10</v>
      </c>
    </row>
    <row r="1674" spans="1:8" x14ac:dyDescent="0.25">
      <c r="A1674" s="31">
        <v>44636</v>
      </c>
      <c r="B1674" s="37" t="s">
        <v>8723</v>
      </c>
      <c r="C1674" s="51" t="s">
        <v>12</v>
      </c>
      <c r="D1674" s="52">
        <v>34375.550000000003</v>
      </c>
      <c r="E1674" s="35">
        <v>44637</v>
      </c>
      <c r="F1674" s="52">
        <v>34375.550000000003</v>
      </c>
      <c r="G1674" s="53">
        <f>Tabla14[[#This Row],[Importe]]-Tabla14[[#This Row],[Pagado]]</f>
        <v>0</v>
      </c>
      <c r="H1674" s="37" t="s">
        <v>10</v>
      </c>
    </row>
    <row r="1675" spans="1:8" x14ac:dyDescent="0.25">
      <c r="A1675" s="31">
        <v>44636</v>
      </c>
      <c r="B1675" s="37" t="s">
        <v>8724</v>
      </c>
      <c r="C1675" s="51" t="s">
        <v>31</v>
      </c>
      <c r="D1675" s="52">
        <v>1493.4</v>
      </c>
      <c r="E1675" s="35">
        <v>44636</v>
      </c>
      <c r="F1675" s="52">
        <v>1493.4</v>
      </c>
      <c r="G1675" s="53">
        <f>Tabla14[[#This Row],[Importe]]-Tabla14[[#This Row],[Pagado]]</f>
        <v>0</v>
      </c>
      <c r="H1675" s="37" t="s">
        <v>10</v>
      </c>
    </row>
    <row r="1676" spans="1:8" x14ac:dyDescent="0.25">
      <c r="A1676" s="31">
        <v>44636</v>
      </c>
      <c r="B1676" s="37" t="s">
        <v>8725</v>
      </c>
      <c r="C1676" s="51" t="s">
        <v>16</v>
      </c>
      <c r="D1676" s="52">
        <v>3654.7</v>
      </c>
      <c r="E1676" s="35">
        <v>44636</v>
      </c>
      <c r="F1676" s="52">
        <v>3654.7</v>
      </c>
      <c r="G1676" s="53">
        <f>Tabla14[[#This Row],[Importe]]-Tabla14[[#This Row],[Pagado]]</f>
        <v>0</v>
      </c>
      <c r="H1676" s="37" t="s">
        <v>10</v>
      </c>
    </row>
    <row r="1677" spans="1:8" x14ac:dyDescent="0.25">
      <c r="A1677" s="31">
        <v>44636</v>
      </c>
      <c r="B1677" s="37" t="s">
        <v>8726</v>
      </c>
      <c r="C1677" s="51" t="s">
        <v>212</v>
      </c>
      <c r="D1677" s="52">
        <v>31021.5</v>
      </c>
      <c r="E1677" s="35">
        <v>44639</v>
      </c>
      <c r="F1677" s="52">
        <v>31021.5</v>
      </c>
      <c r="G1677" s="53">
        <f>Tabla14[[#This Row],[Importe]]-Tabla14[[#This Row],[Pagado]]</f>
        <v>0</v>
      </c>
      <c r="H1677" s="37" t="s">
        <v>10</v>
      </c>
    </row>
    <row r="1678" spans="1:8" x14ac:dyDescent="0.25">
      <c r="A1678" s="31">
        <v>44636</v>
      </c>
      <c r="B1678" s="37" t="s">
        <v>8727</v>
      </c>
      <c r="C1678" s="51" t="s">
        <v>146</v>
      </c>
      <c r="D1678" s="52">
        <v>939.6</v>
      </c>
      <c r="E1678" s="35">
        <v>44636</v>
      </c>
      <c r="F1678" s="52">
        <v>939.6</v>
      </c>
      <c r="G1678" s="53">
        <f>Tabla14[[#This Row],[Importe]]-Tabla14[[#This Row],[Pagado]]</f>
        <v>0</v>
      </c>
      <c r="H1678" s="37" t="s">
        <v>10</v>
      </c>
    </row>
    <row r="1679" spans="1:8" x14ac:dyDescent="0.25">
      <c r="A1679" s="31">
        <v>44636</v>
      </c>
      <c r="B1679" s="37" t="s">
        <v>8728</v>
      </c>
      <c r="C1679" s="51" t="s">
        <v>154</v>
      </c>
      <c r="D1679" s="52">
        <v>22390.7</v>
      </c>
      <c r="E1679" s="35">
        <v>44639</v>
      </c>
      <c r="F1679" s="52">
        <v>22390.7</v>
      </c>
      <c r="G1679" s="53">
        <f>Tabla14[[#This Row],[Importe]]-Tabla14[[#This Row],[Pagado]]</f>
        <v>0</v>
      </c>
      <c r="H1679" s="37" t="s">
        <v>10</v>
      </c>
    </row>
    <row r="1680" spans="1:8" x14ac:dyDescent="0.25">
      <c r="A1680" s="31">
        <v>44636</v>
      </c>
      <c r="B1680" s="37" t="s">
        <v>8729</v>
      </c>
      <c r="C1680" s="51" t="s">
        <v>27</v>
      </c>
      <c r="D1680" s="52">
        <v>1703.5</v>
      </c>
      <c r="E1680" s="35">
        <v>44636</v>
      </c>
      <c r="F1680" s="52">
        <v>1703.5</v>
      </c>
      <c r="G1680" s="53">
        <f>Tabla14[[#This Row],[Importe]]-Tabla14[[#This Row],[Pagado]]</f>
        <v>0</v>
      </c>
      <c r="H1680" s="37" t="s">
        <v>10</v>
      </c>
    </row>
    <row r="1681" spans="1:8" x14ac:dyDescent="0.25">
      <c r="A1681" s="31">
        <v>44636</v>
      </c>
      <c r="B1681" s="37" t="s">
        <v>8730</v>
      </c>
      <c r="C1681" s="51" t="s">
        <v>196</v>
      </c>
      <c r="D1681" s="52">
        <v>17248.8</v>
      </c>
      <c r="E1681" s="35">
        <v>44638</v>
      </c>
      <c r="F1681" s="52">
        <v>17248.8</v>
      </c>
      <c r="G1681" s="53">
        <f>Tabla14[[#This Row],[Importe]]-Tabla14[[#This Row],[Pagado]]</f>
        <v>0</v>
      </c>
      <c r="H1681" s="37" t="s">
        <v>10</v>
      </c>
    </row>
    <row r="1682" spans="1:8" x14ac:dyDescent="0.25">
      <c r="A1682" s="31">
        <v>44636</v>
      </c>
      <c r="B1682" s="37" t="s">
        <v>8731</v>
      </c>
      <c r="C1682" s="51" t="s">
        <v>31</v>
      </c>
      <c r="D1682" s="52">
        <v>928.3</v>
      </c>
      <c r="E1682" s="35">
        <v>44636</v>
      </c>
      <c r="F1682" s="52">
        <v>928.3</v>
      </c>
      <c r="G1682" s="53">
        <f>Tabla14[[#This Row],[Importe]]-Tabla14[[#This Row],[Pagado]]</f>
        <v>0</v>
      </c>
      <c r="H1682" s="37" t="s">
        <v>10</v>
      </c>
    </row>
    <row r="1683" spans="1:8" x14ac:dyDescent="0.25">
      <c r="A1683" s="31">
        <v>44636</v>
      </c>
      <c r="B1683" s="37" t="s">
        <v>8732</v>
      </c>
      <c r="C1683" s="51" t="s">
        <v>218</v>
      </c>
      <c r="D1683" s="52">
        <v>9728.6</v>
      </c>
      <c r="E1683" s="35">
        <v>44639</v>
      </c>
      <c r="F1683" s="52">
        <v>9728.6</v>
      </c>
      <c r="G1683" s="53">
        <f>Tabla14[[#This Row],[Importe]]-Tabla14[[#This Row],[Pagado]]</f>
        <v>0</v>
      </c>
      <c r="H1683" s="37" t="s">
        <v>10</v>
      </c>
    </row>
    <row r="1684" spans="1:8" x14ac:dyDescent="0.25">
      <c r="A1684" s="31">
        <v>44636</v>
      </c>
      <c r="B1684" s="37" t="s">
        <v>8733</v>
      </c>
      <c r="C1684" s="51" t="s">
        <v>206</v>
      </c>
      <c r="D1684" s="52">
        <v>17195</v>
      </c>
      <c r="E1684" s="35">
        <v>44639</v>
      </c>
      <c r="F1684" s="52">
        <v>17195</v>
      </c>
      <c r="G1684" s="53">
        <f>Tabla14[[#This Row],[Importe]]-Tabla14[[#This Row],[Pagado]]</f>
        <v>0</v>
      </c>
      <c r="H1684" s="37" t="s">
        <v>10</v>
      </c>
    </row>
    <row r="1685" spans="1:8" x14ac:dyDescent="0.25">
      <c r="A1685" s="31">
        <v>44636</v>
      </c>
      <c r="B1685" s="37" t="s">
        <v>8734</v>
      </c>
      <c r="C1685" s="51" t="s">
        <v>31</v>
      </c>
      <c r="D1685" s="52">
        <v>1618.6</v>
      </c>
      <c r="E1685" s="35">
        <v>44636</v>
      </c>
      <c r="F1685" s="52">
        <v>1618.6</v>
      </c>
      <c r="G1685" s="53">
        <f>Tabla14[[#This Row],[Importe]]-Tabla14[[#This Row],[Pagado]]</f>
        <v>0</v>
      </c>
      <c r="H1685" s="37" t="s">
        <v>10</v>
      </c>
    </row>
    <row r="1686" spans="1:8" x14ac:dyDescent="0.25">
      <c r="A1686" s="31">
        <v>44636</v>
      </c>
      <c r="B1686" s="37" t="s">
        <v>8735</v>
      </c>
      <c r="C1686" s="51" t="s">
        <v>127</v>
      </c>
      <c r="D1686" s="52">
        <v>4399.8999999999996</v>
      </c>
      <c r="E1686" s="35">
        <v>44636</v>
      </c>
      <c r="F1686" s="52">
        <v>4399.8999999999996</v>
      </c>
      <c r="G1686" s="53">
        <f>Tabla14[[#This Row],[Importe]]-Tabla14[[#This Row],[Pagado]]</f>
        <v>0</v>
      </c>
      <c r="H1686" s="37" t="s">
        <v>10</v>
      </c>
    </row>
    <row r="1687" spans="1:8" x14ac:dyDescent="0.25">
      <c r="A1687" s="31">
        <v>44636</v>
      </c>
      <c r="B1687" s="37" t="s">
        <v>8736</v>
      </c>
      <c r="C1687" s="51" t="s">
        <v>357</v>
      </c>
      <c r="D1687" s="52">
        <v>803</v>
      </c>
      <c r="E1687" s="35">
        <v>44636</v>
      </c>
      <c r="F1687" s="52">
        <v>803</v>
      </c>
      <c r="G1687" s="53">
        <f>Tabla14[[#This Row],[Importe]]-Tabla14[[#This Row],[Pagado]]</f>
        <v>0</v>
      </c>
      <c r="H1687" s="37" t="s">
        <v>10</v>
      </c>
    </row>
    <row r="1688" spans="1:8" x14ac:dyDescent="0.25">
      <c r="A1688" s="31">
        <v>44636</v>
      </c>
      <c r="B1688" s="37" t="s">
        <v>8737</v>
      </c>
      <c r="C1688" s="51" t="s">
        <v>339</v>
      </c>
      <c r="D1688" s="52">
        <v>1713.4</v>
      </c>
      <c r="E1688" s="35">
        <v>44636</v>
      </c>
      <c r="F1688" s="52">
        <v>1713.4</v>
      </c>
      <c r="G1688" s="53">
        <f>Tabla14[[#This Row],[Importe]]-Tabla14[[#This Row],[Pagado]]</f>
        <v>0</v>
      </c>
      <c r="H1688" s="37" t="s">
        <v>10</v>
      </c>
    </row>
    <row r="1689" spans="1:8" x14ac:dyDescent="0.25">
      <c r="A1689" s="31">
        <v>44636</v>
      </c>
      <c r="B1689" s="37" t="s">
        <v>8738</v>
      </c>
      <c r="C1689" s="51" t="s">
        <v>129</v>
      </c>
      <c r="D1689" s="52">
        <v>3685.6</v>
      </c>
      <c r="E1689" s="35">
        <v>44636</v>
      </c>
      <c r="F1689" s="52">
        <v>3685.6</v>
      </c>
      <c r="G1689" s="53">
        <f>Tabla14[[#This Row],[Importe]]-Tabla14[[#This Row],[Pagado]]</f>
        <v>0</v>
      </c>
      <c r="H1689" s="37" t="s">
        <v>10</v>
      </c>
    </row>
    <row r="1690" spans="1:8" x14ac:dyDescent="0.25">
      <c r="A1690" s="31">
        <v>44636</v>
      </c>
      <c r="B1690" s="37" t="s">
        <v>8739</v>
      </c>
      <c r="C1690" s="51" t="s">
        <v>140</v>
      </c>
      <c r="D1690" s="52">
        <v>1769</v>
      </c>
      <c r="E1690" s="35">
        <v>44636</v>
      </c>
      <c r="F1690" s="52">
        <v>1769</v>
      </c>
      <c r="G1690" s="53">
        <f>Tabla14[[#This Row],[Importe]]-Tabla14[[#This Row],[Pagado]]</f>
        <v>0</v>
      </c>
      <c r="H1690" s="37" t="s">
        <v>10</v>
      </c>
    </row>
    <row r="1691" spans="1:8" x14ac:dyDescent="0.25">
      <c r="A1691" s="31">
        <v>44636</v>
      </c>
      <c r="B1691" s="37" t="s">
        <v>8740</v>
      </c>
      <c r="C1691" s="51" t="s">
        <v>555</v>
      </c>
      <c r="D1691" s="52">
        <v>27575.439999999999</v>
      </c>
      <c r="E1691" s="35">
        <v>44636</v>
      </c>
      <c r="F1691" s="52">
        <v>27575.439999999999</v>
      </c>
      <c r="G1691" s="53">
        <f>Tabla14[[#This Row],[Importe]]-Tabla14[[#This Row],[Pagado]]</f>
        <v>0</v>
      </c>
      <c r="H1691" s="37" t="s">
        <v>10</v>
      </c>
    </row>
    <row r="1692" spans="1:8" x14ac:dyDescent="0.25">
      <c r="A1692" s="31">
        <v>44636</v>
      </c>
      <c r="B1692" s="37" t="s">
        <v>8741</v>
      </c>
      <c r="C1692" s="51" t="s">
        <v>698</v>
      </c>
      <c r="D1692" s="52">
        <v>7029.6</v>
      </c>
      <c r="E1692" s="35">
        <v>44636</v>
      </c>
      <c r="F1692" s="52">
        <v>7029.6</v>
      </c>
      <c r="G1692" s="53">
        <f>Tabla14[[#This Row],[Importe]]-Tabla14[[#This Row],[Pagado]]</f>
        <v>0</v>
      </c>
      <c r="H1692" s="37" t="s">
        <v>10</v>
      </c>
    </row>
    <row r="1693" spans="1:8" x14ac:dyDescent="0.25">
      <c r="A1693" s="31">
        <v>44636</v>
      </c>
      <c r="B1693" s="37" t="s">
        <v>8742</v>
      </c>
      <c r="C1693" s="51" t="s">
        <v>146</v>
      </c>
      <c r="D1693" s="52">
        <v>2003.4</v>
      </c>
      <c r="E1693" s="35">
        <v>44636</v>
      </c>
      <c r="F1693" s="52">
        <v>2003.4</v>
      </c>
      <c r="G1693" s="53">
        <f>Tabla14[[#This Row],[Importe]]-Tabla14[[#This Row],[Pagado]]</f>
        <v>0</v>
      </c>
      <c r="H1693" s="37" t="s">
        <v>10</v>
      </c>
    </row>
    <row r="1694" spans="1:8" x14ac:dyDescent="0.25">
      <c r="A1694" s="31">
        <v>44636</v>
      </c>
      <c r="B1694" s="37" t="s">
        <v>8743</v>
      </c>
      <c r="C1694" s="51" t="s">
        <v>226</v>
      </c>
      <c r="D1694" s="52">
        <v>7172.8</v>
      </c>
      <c r="E1694" s="35">
        <v>44636</v>
      </c>
      <c r="F1694" s="52">
        <v>7172.8</v>
      </c>
      <c r="G1694" s="53">
        <f>Tabla14[[#This Row],[Importe]]-Tabla14[[#This Row],[Pagado]]</f>
        <v>0</v>
      </c>
      <c r="H1694" s="37" t="s">
        <v>10</v>
      </c>
    </row>
    <row r="1695" spans="1:8" x14ac:dyDescent="0.25">
      <c r="A1695" s="31">
        <v>44636</v>
      </c>
      <c r="B1695" s="37" t="s">
        <v>8744</v>
      </c>
      <c r="C1695" s="51" t="s">
        <v>226</v>
      </c>
      <c r="D1695" s="52">
        <v>1301.4000000000001</v>
      </c>
      <c r="E1695" s="35">
        <v>44636</v>
      </c>
      <c r="F1695" s="52">
        <v>1301.4000000000001</v>
      </c>
      <c r="G1695" s="53">
        <f>Tabla14[[#This Row],[Importe]]-Tabla14[[#This Row],[Pagado]]</f>
        <v>0</v>
      </c>
      <c r="H1695" s="37" t="s">
        <v>10</v>
      </c>
    </row>
    <row r="1696" spans="1:8" x14ac:dyDescent="0.25">
      <c r="A1696" s="31">
        <v>44636</v>
      </c>
      <c r="B1696" s="37" t="s">
        <v>8745</v>
      </c>
      <c r="C1696" s="51" t="s">
        <v>587</v>
      </c>
      <c r="D1696" s="52">
        <v>5713.12</v>
      </c>
      <c r="E1696" s="35">
        <v>44636</v>
      </c>
      <c r="F1696" s="52">
        <v>5713.12</v>
      </c>
      <c r="G1696" s="53">
        <f>Tabla14[[#This Row],[Importe]]-Tabla14[[#This Row],[Pagado]]</f>
        <v>0</v>
      </c>
      <c r="H1696" s="37" t="s">
        <v>10</v>
      </c>
    </row>
    <row r="1697" spans="1:8" ht="31.5" x14ac:dyDescent="0.25">
      <c r="A1697" s="31">
        <v>44636</v>
      </c>
      <c r="B1697" s="37" t="s">
        <v>8746</v>
      </c>
      <c r="C1697" s="55" t="s">
        <v>6106</v>
      </c>
      <c r="D1697" s="52">
        <v>0</v>
      </c>
      <c r="E1697" s="39" t="s">
        <v>189</v>
      </c>
      <c r="F1697" s="52">
        <v>0</v>
      </c>
      <c r="G1697" s="53">
        <f>Tabla14[[#This Row],[Importe]]-Tabla14[[#This Row],[Pagado]]</f>
        <v>0</v>
      </c>
      <c r="H1697" s="37" t="s">
        <v>189</v>
      </c>
    </row>
    <row r="1698" spans="1:8" x14ac:dyDescent="0.25">
      <c r="A1698" s="31">
        <v>44636</v>
      </c>
      <c r="B1698" s="37" t="s">
        <v>8747</v>
      </c>
      <c r="C1698" s="51" t="s">
        <v>664</v>
      </c>
      <c r="D1698" s="52">
        <v>6396</v>
      </c>
      <c r="E1698" s="35">
        <v>44636</v>
      </c>
      <c r="F1698" s="52">
        <v>6396</v>
      </c>
      <c r="G1698" s="53">
        <f>Tabla14[[#This Row],[Importe]]-Tabla14[[#This Row],[Pagado]]</f>
        <v>0</v>
      </c>
      <c r="H1698" s="37" t="s">
        <v>10</v>
      </c>
    </row>
    <row r="1699" spans="1:8" x14ac:dyDescent="0.25">
      <c r="A1699" s="31">
        <v>44636</v>
      </c>
      <c r="B1699" s="37" t="s">
        <v>8748</v>
      </c>
      <c r="C1699" s="51" t="s">
        <v>125</v>
      </c>
      <c r="D1699" s="52">
        <v>4659.7</v>
      </c>
      <c r="E1699" s="35">
        <v>44636</v>
      </c>
      <c r="F1699" s="52">
        <v>4659.7</v>
      </c>
      <c r="G1699" s="53">
        <f>Tabla14[[#This Row],[Importe]]-Tabla14[[#This Row],[Pagado]]</f>
        <v>0</v>
      </c>
      <c r="H1699" s="37" t="s">
        <v>10</v>
      </c>
    </row>
    <row r="1700" spans="1:8" x14ac:dyDescent="0.25">
      <c r="A1700" s="31">
        <v>44636</v>
      </c>
      <c r="B1700" s="37" t="s">
        <v>8749</v>
      </c>
      <c r="C1700" s="51" t="s">
        <v>45</v>
      </c>
      <c r="D1700" s="52">
        <v>12314.9</v>
      </c>
      <c r="E1700" s="35">
        <v>44636</v>
      </c>
      <c r="F1700" s="52">
        <v>12314.9</v>
      </c>
      <c r="G1700" s="53">
        <f>Tabla14[[#This Row],[Importe]]-Tabla14[[#This Row],[Pagado]]</f>
        <v>0</v>
      </c>
      <c r="H1700" s="37" t="s">
        <v>10</v>
      </c>
    </row>
    <row r="1701" spans="1:8" x14ac:dyDescent="0.25">
      <c r="A1701" s="31">
        <v>44636</v>
      </c>
      <c r="B1701" s="37" t="s">
        <v>8750</v>
      </c>
      <c r="C1701" s="51" t="s">
        <v>348</v>
      </c>
      <c r="D1701" s="52">
        <v>3324.6</v>
      </c>
      <c r="E1701" s="35">
        <v>44636</v>
      </c>
      <c r="F1701" s="52">
        <v>3324.6</v>
      </c>
      <c r="G1701" s="53">
        <f>Tabla14[[#This Row],[Importe]]-Tabla14[[#This Row],[Pagado]]</f>
        <v>0</v>
      </c>
      <c r="H1701" s="37" t="s">
        <v>10</v>
      </c>
    </row>
    <row r="1702" spans="1:8" x14ac:dyDescent="0.25">
      <c r="A1702" s="31">
        <v>44636</v>
      </c>
      <c r="B1702" s="37" t="s">
        <v>8751</v>
      </c>
      <c r="C1702" s="51" t="s">
        <v>5816</v>
      </c>
      <c r="D1702" s="52">
        <v>4114.3999999999996</v>
      </c>
      <c r="E1702" s="35">
        <v>44636</v>
      </c>
      <c r="F1702" s="52">
        <v>4114.3999999999996</v>
      </c>
      <c r="G1702" s="53">
        <f>Tabla14[[#This Row],[Importe]]-Tabla14[[#This Row],[Pagado]]</f>
        <v>0</v>
      </c>
      <c r="H1702" s="37" t="s">
        <v>10</v>
      </c>
    </row>
    <row r="1703" spans="1:8" x14ac:dyDescent="0.25">
      <c r="A1703" s="31">
        <v>44636</v>
      </c>
      <c r="B1703" s="37" t="s">
        <v>8752</v>
      </c>
      <c r="C1703" s="51" t="s">
        <v>8753</v>
      </c>
      <c r="D1703" s="52">
        <v>0</v>
      </c>
      <c r="E1703" s="39" t="s">
        <v>189</v>
      </c>
      <c r="F1703" s="52">
        <v>0</v>
      </c>
      <c r="G1703" s="53">
        <f>Tabla14[[#This Row],[Importe]]-Tabla14[[#This Row],[Pagado]]</f>
        <v>0</v>
      </c>
      <c r="H1703" s="37" t="s">
        <v>189</v>
      </c>
    </row>
    <row r="1704" spans="1:8" x14ac:dyDescent="0.25">
      <c r="A1704" s="31">
        <v>44636</v>
      </c>
      <c r="B1704" s="37" t="s">
        <v>8754</v>
      </c>
      <c r="C1704" s="51" t="s">
        <v>230</v>
      </c>
      <c r="D1704" s="52">
        <v>4493</v>
      </c>
      <c r="E1704" s="35">
        <v>44636</v>
      </c>
      <c r="F1704" s="52">
        <v>4493</v>
      </c>
      <c r="G1704" s="53">
        <f>Tabla14[[#This Row],[Importe]]-Tabla14[[#This Row],[Pagado]]</f>
        <v>0</v>
      </c>
      <c r="H1704" s="37" t="s">
        <v>10</v>
      </c>
    </row>
    <row r="1705" spans="1:8" x14ac:dyDescent="0.25">
      <c r="A1705" s="31">
        <v>44636</v>
      </c>
      <c r="B1705" s="37" t="s">
        <v>8755</v>
      </c>
      <c r="C1705" s="51" t="s">
        <v>173</v>
      </c>
      <c r="D1705" s="52">
        <v>24427.200000000001</v>
      </c>
      <c r="E1705" s="35">
        <v>44636</v>
      </c>
      <c r="F1705" s="52">
        <v>24427.200000000001</v>
      </c>
      <c r="G1705" s="53">
        <f>Tabla14[[#This Row],[Importe]]-Tabla14[[#This Row],[Pagado]]</f>
        <v>0</v>
      </c>
      <c r="H1705" s="37" t="s">
        <v>10</v>
      </c>
    </row>
    <row r="1706" spans="1:8" x14ac:dyDescent="0.25">
      <c r="A1706" s="31">
        <v>44636</v>
      </c>
      <c r="B1706" s="37" t="s">
        <v>8756</v>
      </c>
      <c r="C1706" s="51" t="s">
        <v>75</v>
      </c>
      <c r="D1706" s="52">
        <v>4433.3999999999996</v>
      </c>
      <c r="E1706" s="35">
        <v>44636</v>
      </c>
      <c r="F1706" s="52">
        <v>4433.3999999999996</v>
      </c>
      <c r="G1706" s="53">
        <f>Tabla14[[#This Row],[Importe]]-Tabla14[[#This Row],[Pagado]]</f>
        <v>0</v>
      </c>
      <c r="H1706" s="37" t="s">
        <v>10</v>
      </c>
    </row>
    <row r="1707" spans="1:8" x14ac:dyDescent="0.25">
      <c r="A1707" s="31">
        <v>44636</v>
      </c>
      <c r="B1707" s="37" t="s">
        <v>8757</v>
      </c>
      <c r="C1707" s="51" t="s">
        <v>85</v>
      </c>
      <c r="D1707" s="52">
        <v>977.4</v>
      </c>
      <c r="E1707" s="35">
        <v>44636</v>
      </c>
      <c r="F1707" s="52">
        <v>977.4</v>
      </c>
      <c r="G1707" s="53">
        <f>Tabla14[[#This Row],[Importe]]-Tabla14[[#This Row],[Pagado]]</f>
        <v>0</v>
      </c>
      <c r="H1707" s="37" t="s">
        <v>10</v>
      </c>
    </row>
    <row r="1708" spans="1:8" x14ac:dyDescent="0.25">
      <c r="A1708" s="31">
        <v>44636</v>
      </c>
      <c r="B1708" s="37" t="s">
        <v>8758</v>
      </c>
      <c r="C1708" s="51" t="s">
        <v>37</v>
      </c>
      <c r="D1708" s="52">
        <v>3455.6</v>
      </c>
      <c r="E1708" s="35">
        <v>44636</v>
      </c>
      <c r="F1708" s="52">
        <v>3455.6</v>
      </c>
      <c r="G1708" s="53">
        <f>Tabla14[[#This Row],[Importe]]-Tabla14[[#This Row],[Pagado]]</f>
        <v>0</v>
      </c>
      <c r="H1708" s="37" t="s">
        <v>10</v>
      </c>
    </row>
    <row r="1709" spans="1:8" x14ac:dyDescent="0.25">
      <c r="A1709" s="31">
        <v>44636</v>
      </c>
      <c r="B1709" s="37" t="s">
        <v>8759</v>
      </c>
      <c r="C1709" s="51" t="s">
        <v>24</v>
      </c>
      <c r="D1709" s="52">
        <v>445.5</v>
      </c>
      <c r="E1709" s="35">
        <v>44636</v>
      </c>
      <c r="F1709" s="52">
        <v>445.5</v>
      </c>
      <c r="G1709" s="53">
        <f>Tabla14[[#This Row],[Importe]]-Tabla14[[#This Row],[Pagado]]</f>
        <v>0</v>
      </c>
      <c r="H1709" s="37" t="s">
        <v>10</v>
      </c>
    </row>
    <row r="1710" spans="1:8" x14ac:dyDescent="0.25">
      <c r="A1710" s="31">
        <v>44636</v>
      </c>
      <c r="B1710" s="37" t="s">
        <v>8760</v>
      </c>
      <c r="C1710" s="51" t="s">
        <v>31</v>
      </c>
      <c r="D1710" s="52">
        <v>6006.8</v>
      </c>
      <c r="E1710" s="35">
        <v>44636</v>
      </c>
      <c r="F1710" s="52">
        <v>6006.8</v>
      </c>
      <c r="G1710" s="53">
        <f>Tabla14[[#This Row],[Importe]]-Tabla14[[#This Row],[Pagado]]</f>
        <v>0</v>
      </c>
      <c r="H1710" s="37" t="s">
        <v>10</v>
      </c>
    </row>
    <row r="1711" spans="1:8" x14ac:dyDescent="0.25">
      <c r="A1711" s="31">
        <v>44636</v>
      </c>
      <c r="B1711" s="37" t="s">
        <v>8761</v>
      </c>
      <c r="C1711" s="51" t="s">
        <v>133</v>
      </c>
      <c r="D1711" s="52">
        <v>11016</v>
      </c>
      <c r="E1711" s="35">
        <v>44636</v>
      </c>
      <c r="F1711" s="52">
        <v>11016</v>
      </c>
      <c r="G1711" s="53">
        <f>Tabla14[[#This Row],[Importe]]-Tabla14[[#This Row],[Pagado]]</f>
        <v>0</v>
      </c>
      <c r="H1711" s="37" t="s">
        <v>10</v>
      </c>
    </row>
    <row r="1712" spans="1:8" x14ac:dyDescent="0.25">
      <c r="A1712" s="31">
        <v>44636</v>
      </c>
      <c r="B1712" s="37" t="s">
        <v>8762</v>
      </c>
      <c r="C1712" s="51" t="s">
        <v>131</v>
      </c>
      <c r="D1712" s="52">
        <v>13271.2</v>
      </c>
      <c r="E1712" s="35">
        <v>44636</v>
      </c>
      <c r="F1712" s="52">
        <v>13271.2</v>
      </c>
      <c r="G1712" s="53">
        <f>Tabla14[[#This Row],[Importe]]-Tabla14[[#This Row],[Pagado]]</f>
        <v>0</v>
      </c>
      <c r="H1712" s="37" t="s">
        <v>10</v>
      </c>
    </row>
    <row r="1713" spans="1:8" x14ac:dyDescent="0.25">
      <c r="A1713" s="31">
        <v>44636</v>
      </c>
      <c r="B1713" s="37" t="s">
        <v>8763</v>
      </c>
      <c r="C1713" s="51" t="s">
        <v>135</v>
      </c>
      <c r="D1713" s="52">
        <v>1905.5</v>
      </c>
      <c r="E1713" s="35">
        <v>44636</v>
      </c>
      <c r="F1713" s="52">
        <v>1905.5</v>
      </c>
      <c r="G1713" s="53">
        <f>Tabla14[[#This Row],[Importe]]-Tabla14[[#This Row],[Pagado]]</f>
        <v>0</v>
      </c>
      <c r="H1713" s="37" t="s">
        <v>10</v>
      </c>
    </row>
    <row r="1714" spans="1:8" x14ac:dyDescent="0.25">
      <c r="A1714" s="31">
        <v>44636</v>
      </c>
      <c r="B1714" s="37" t="s">
        <v>8764</v>
      </c>
      <c r="C1714" s="51" t="s">
        <v>191</v>
      </c>
      <c r="D1714" s="52">
        <v>1299.2</v>
      </c>
      <c r="E1714" s="35">
        <v>44636</v>
      </c>
      <c r="F1714" s="52">
        <v>1299.2</v>
      </c>
      <c r="G1714" s="53">
        <f>Tabla14[[#This Row],[Importe]]-Tabla14[[#This Row],[Pagado]]</f>
        <v>0</v>
      </c>
      <c r="H1714" s="37" t="s">
        <v>10</v>
      </c>
    </row>
    <row r="1715" spans="1:8" x14ac:dyDescent="0.25">
      <c r="A1715" s="31">
        <v>44636</v>
      </c>
      <c r="B1715" s="37" t="s">
        <v>8765</v>
      </c>
      <c r="C1715" s="51" t="s">
        <v>275</v>
      </c>
      <c r="D1715" s="52">
        <v>108438.2</v>
      </c>
      <c r="E1715" s="35">
        <v>44645</v>
      </c>
      <c r="F1715" s="52">
        <v>108438.2</v>
      </c>
      <c r="G1715" s="53">
        <f>Tabla14[[#This Row],[Importe]]-Tabla14[[#This Row],[Pagado]]</f>
        <v>0</v>
      </c>
      <c r="H1715" s="37" t="s">
        <v>10</v>
      </c>
    </row>
    <row r="1716" spans="1:8" x14ac:dyDescent="0.25">
      <c r="A1716" s="31">
        <v>44636</v>
      </c>
      <c r="B1716" s="37" t="s">
        <v>8766</v>
      </c>
      <c r="C1716" s="51" t="s">
        <v>191</v>
      </c>
      <c r="D1716" s="52">
        <v>129.19999999999999</v>
      </c>
      <c r="E1716" s="35">
        <v>44636</v>
      </c>
      <c r="F1716" s="52">
        <v>129.19999999999999</v>
      </c>
      <c r="G1716" s="53">
        <f>Tabla14[[#This Row],[Importe]]-Tabla14[[#This Row],[Pagado]]</f>
        <v>0</v>
      </c>
      <c r="H1716" s="37" t="s">
        <v>10</v>
      </c>
    </row>
    <row r="1717" spans="1:8" x14ac:dyDescent="0.25">
      <c r="A1717" s="31">
        <v>44636</v>
      </c>
      <c r="B1717" s="37" t="s">
        <v>8767</v>
      </c>
      <c r="C1717" s="51" t="s">
        <v>261</v>
      </c>
      <c r="D1717" s="52">
        <v>34920.6</v>
      </c>
      <c r="E1717" s="35">
        <v>44637</v>
      </c>
      <c r="F1717" s="52">
        <v>34920.6</v>
      </c>
      <c r="G1717" s="53">
        <f>Tabla14[[#This Row],[Importe]]-Tabla14[[#This Row],[Pagado]]</f>
        <v>0</v>
      </c>
      <c r="H1717" s="37" t="s">
        <v>10</v>
      </c>
    </row>
    <row r="1718" spans="1:8" x14ac:dyDescent="0.25">
      <c r="A1718" s="31">
        <v>44636</v>
      </c>
      <c r="B1718" s="37" t="s">
        <v>8768</v>
      </c>
      <c r="C1718" s="51" t="s">
        <v>142</v>
      </c>
      <c r="D1718" s="52">
        <v>11187.2</v>
      </c>
      <c r="E1718" s="35">
        <v>44670</v>
      </c>
      <c r="F1718" s="52">
        <v>11187.2</v>
      </c>
      <c r="G1718" s="53">
        <f>Tabla14[[#This Row],[Importe]]-Tabla14[[#This Row],[Pagado]]</f>
        <v>0</v>
      </c>
      <c r="H1718" s="37" t="s">
        <v>10</v>
      </c>
    </row>
    <row r="1719" spans="1:8" x14ac:dyDescent="0.25">
      <c r="A1719" s="31">
        <v>44636</v>
      </c>
      <c r="B1719" s="37" t="s">
        <v>8769</v>
      </c>
      <c r="C1719" s="51" t="s">
        <v>216</v>
      </c>
      <c r="D1719" s="52">
        <v>2343.6</v>
      </c>
      <c r="E1719" s="35">
        <v>44636</v>
      </c>
      <c r="F1719" s="52">
        <v>2343.6</v>
      </c>
      <c r="G1719" s="53">
        <f>Tabla14[[#This Row],[Importe]]-Tabla14[[#This Row],[Pagado]]</f>
        <v>0</v>
      </c>
      <c r="H1719" s="37" t="s">
        <v>10</v>
      </c>
    </row>
    <row r="1720" spans="1:8" x14ac:dyDescent="0.25">
      <c r="A1720" s="31">
        <v>44636</v>
      </c>
      <c r="B1720" s="37" t="s">
        <v>8770</v>
      </c>
      <c r="C1720" s="51" t="s">
        <v>31</v>
      </c>
      <c r="D1720" s="52">
        <v>4635.8999999999996</v>
      </c>
      <c r="E1720" s="35">
        <v>44636</v>
      </c>
      <c r="F1720" s="52">
        <v>4635.8999999999996</v>
      </c>
      <c r="G1720" s="53">
        <f>Tabla14[[#This Row],[Importe]]-Tabla14[[#This Row],[Pagado]]</f>
        <v>0</v>
      </c>
      <c r="H1720" s="37" t="s">
        <v>10</v>
      </c>
    </row>
    <row r="1721" spans="1:8" x14ac:dyDescent="0.25">
      <c r="A1721" s="31">
        <v>44636</v>
      </c>
      <c r="B1721" s="37" t="s">
        <v>8771</v>
      </c>
      <c r="C1721" s="51" t="s">
        <v>3900</v>
      </c>
      <c r="D1721" s="52">
        <v>24054.6</v>
      </c>
      <c r="E1721" s="35">
        <v>44636</v>
      </c>
      <c r="F1721" s="52">
        <v>24054.6</v>
      </c>
      <c r="G1721" s="53">
        <f>Tabla14[[#This Row],[Importe]]-Tabla14[[#This Row],[Pagado]]</f>
        <v>0</v>
      </c>
      <c r="H1721" s="37" t="s">
        <v>10</v>
      </c>
    </row>
    <row r="1722" spans="1:8" x14ac:dyDescent="0.25">
      <c r="A1722" s="31">
        <v>44636</v>
      </c>
      <c r="B1722" s="37" t="s">
        <v>8772</v>
      </c>
      <c r="C1722" s="51" t="s">
        <v>198</v>
      </c>
      <c r="D1722" s="52">
        <v>3507.2</v>
      </c>
      <c r="E1722" s="35">
        <v>44641</v>
      </c>
      <c r="F1722" s="52">
        <v>3507.2</v>
      </c>
      <c r="G1722" s="53">
        <f>Tabla14[[#This Row],[Importe]]-Tabla14[[#This Row],[Pagado]]</f>
        <v>0</v>
      </c>
      <c r="H1722" s="37" t="s">
        <v>10</v>
      </c>
    </row>
    <row r="1723" spans="1:8" x14ac:dyDescent="0.25">
      <c r="A1723" s="31">
        <v>44636</v>
      </c>
      <c r="B1723" s="37" t="s">
        <v>8773</v>
      </c>
      <c r="C1723" s="51" t="s">
        <v>312</v>
      </c>
      <c r="D1723" s="52">
        <v>855.7</v>
      </c>
      <c r="E1723" s="35">
        <v>44636</v>
      </c>
      <c r="F1723" s="52">
        <v>855.7</v>
      </c>
      <c r="G1723" s="53">
        <f>Tabla14[[#This Row],[Importe]]-Tabla14[[#This Row],[Pagado]]</f>
        <v>0</v>
      </c>
      <c r="H1723" s="37" t="s">
        <v>10</v>
      </c>
    </row>
    <row r="1724" spans="1:8" x14ac:dyDescent="0.25">
      <c r="A1724" s="31">
        <v>44636</v>
      </c>
      <c r="B1724" s="37" t="s">
        <v>8774</v>
      </c>
      <c r="C1724" s="51" t="s">
        <v>31</v>
      </c>
      <c r="D1724" s="52">
        <v>909.3</v>
      </c>
      <c r="E1724" s="35">
        <v>44636</v>
      </c>
      <c r="F1724" s="52">
        <v>909.3</v>
      </c>
      <c r="G1724" s="53">
        <f>Tabla14[[#This Row],[Importe]]-Tabla14[[#This Row],[Pagado]]</f>
        <v>0</v>
      </c>
      <c r="H1724" s="37" t="s">
        <v>10</v>
      </c>
    </row>
    <row r="1725" spans="1:8" x14ac:dyDescent="0.25">
      <c r="A1725" s="31">
        <v>44636</v>
      </c>
      <c r="B1725" s="37" t="s">
        <v>8775</v>
      </c>
      <c r="C1725" s="51" t="s">
        <v>175</v>
      </c>
      <c r="D1725" s="52">
        <v>5172.2</v>
      </c>
      <c r="E1725" s="35">
        <v>44636</v>
      </c>
      <c r="F1725" s="52">
        <v>5172.2</v>
      </c>
      <c r="G1725" s="53">
        <f>Tabla14[[#This Row],[Importe]]-Tabla14[[#This Row],[Pagado]]</f>
        <v>0</v>
      </c>
      <c r="H1725" s="37" t="s">
        <v>10</v>
      </c>
    </row>
    <row r="1726" spans="1:8" x14ac:dyDescent="0.25">
      <c r="A1726" s="31">
        <v>44636</v>
      </c>
      <c r="B1726" s="37" t="s">
        <v>8776</v>
      </c>
      <c r="C1726" s="51" t="s">
        <v>1481</v>
      </c>
      <c r="D1726" s="52">
        <v>3098</v>
      </c>
      <c r="E1726" s="35">
        <v>44636</v>
      </c>
      <c r="F1726" s="52">
        <v>3098</v>
      </c>
      <c r="G1726" s="53">
        <f>Tabla14[[#This Row],[Importe]]-Tabla14[[#This Row],[Pagado]]</f>
        <v>0</v>
      </c>
      <c r="H1726" s="37" t="s">
        <v>10</v>
      </c>
    </row>
    <row r="1727" spans="1:8" x14ac:dyDescent="0.25">
      <c r="A1727" s="31">
        <v>44636</v>
      </c>
      <c r="B1727" s="37" t="s">
        <v>8777</v>
      </c>
      <c r="C1727" s="51" t="s">
        <v>58</v>
      </c>
      <c r="D1727" s="52">
        <v>2519.4</v>
      </c>
      <c r="E1727" s="35">
        <v>44636</v>
      </c>
      <c r="F1727" s="52">
        <v>2519.4</v>
      </c>
      <c r="G1727" s="53">
        <f>Tabla14[[#This Row],[Importe]]-Tabla14[[#This Row],[Pagado]]</f>
        <v>0</v>
      </c>
      <c r="H1727" s="37" t="s">
        <v>10</v>
      </c>
    </row>
    <row r="1728" spans="1:8" x14ac:dyDescent="0.25">
      <c r="A1728" s="31">
        <v>44636</v>
      </c>
      <c r="B1728" s="37" t="s">
        <v>8778</v>
      </c>
      <c r="C1728" s="51" t="s">
        <v>200</v>
      </c>
      <c r="D1728" s="52">
        <v>1008.6</v>
      </c>
      <c r="E1728" s="35">
        <v>44636</v>
      </c>
      <c r="F1728" s="52">
        <v>1008.6</v>
      </c>
      <c r="G1728" s="53">
        <f>Tabla14[[#This Row],[Importe]]-Tabla14[[#This Row],[Pagado]]</f>
        <v>0</v>
      </c>
      <c r="H1728" s="37" t="s">
        <v>10</v>
      </c>
    </row>
    <row r="1729" spans="1:8" x14ac:dyDescent="0.25">
      <c r="A1729" s="31">
        <v>44636</v>
      </c>
      <c r="B1729" s="37" t="s">
        <v>8779</v>
      </c>
      <c r="C1729" s="51" t="s">
        <v>414</v>
      </c>
      <c r="D1729" s="52">
        <v>16275.6</v>
      </c>
      <c r="E1729" s="35">
        <v>44638</v>
      </c>
      <c r="F1729" s="52">
        <v>16275.6</v>
      </c>
      <c r="G1729" s="53">
        <f>Tabla14[[#This Row],[Importe]]-Tabla14[[#This Row],[Pagado]]</f>
        <v>0</v>
      </c>
      <c r="H1729" s="37" t="s">
        <v>10</v>
      </c>
    </row>
    <row r="1730" spans="1:8" x14ac:dyDescent="0.25">
      <c r="A1730" s="31">
        <v>44636</v>
      </c>
      <c r="B1730" s="37" t="s">
        <v>8780</v>
      </c>
      <c r="C1730" s="51" t="s">
        <v>214</v>
      </c>
      <c r="D1730" s="52">
        <v>1053</v>
      </c>
      <c r="E1730" s="35">
        <v>44636</v>
      </c>
      <c r="F1730" s="52">
        <v>1053</v>
      </c>
      <c r="G1730" s="53">
        <f>Tabla14[[#This Row],[Importe]]-Tabla14[[#This Row],[Pagado]]</f>
        <v>0</v>
      </c>
      <c r="H1730" s="37" t="s">
        <v>10</v>
      </c>
    </row>
    <row r="1731" spans="1:8" x14ac:dyDescent="0.25">
      <c r="A1731" s="31">
        <v>44636</v>
      </c>
      <c r="B1731" s="37" t="s">
        <v>8781</v>
      </c>
      <c r="C1731" s="51" t="s">
        <v>235</v>
      </c>
      <c r="D1731" s="52">
        <v>2048.1999999999998</v>
      </c>
      <c r="E1731" s="35">
        <v>44636</v>
      </c>
      <c r="F1731" s="52">
        <v>2048.1999999999998</v>
      </c>
      <c r="G1731" s="53">
        <f>Tabla14[[#This Row],[Importe]]-Tabla14[[#This Row],[Pagado]]</f>
        <v>0</v>
      </c>
      <c r="H1731" s="37" t="s">
        <v>10</v>
      </c>
    </row>
    <row r="1732" spans="1:8" x14ac:dyDescent="0.25">
      <c r="A1732" s="31">
        <v>44636</v>
      </c>
      <c r="B1732" s="37" t="s">
        <v>8782</v>
      </c>
      <c r="C1732" s="51" t="s">
        <v>414</v>
      </c>
      <c r="D1732" s="52">
        <v>17.98</v>
      </c>
      <c r="E1732" s="71">
        <v>44691</v>
      </c>
      <c r="F1732" s="83">
        <v>17.98</v>
      </c>
      <c r="G1732" s="84">
        <f>Tabla14[[#This Row],[Importe]]-Tabla14[[#This Row],[Pagado]]</f>
        <v>0</v>
      </c>
      <c r="H1732" s="68" t="s">
        <v>10</v>
      </c>
    </row>
    <row r="1733" spans="1:8" x14ac:dyDescent="0.25">
      <c r="A1733" s="31">
        <v>44636</v>
      </c>
      <c r="B1733" s="37" t="s">
        <v>8783</v>
      </c>
      <c r="C1733" s="51" t="s">
        <v>1174</v>
      </c>
      <c r="D1733" s="52">
        <v>12364.8</v>
      </c>
      <c r="E1733" s="35">
        <v>44636</v>
      </c>
      <c r="F1733" s="52">
        <v>12364.8</v>
      </c>
      <c r="G1733" s="53">
        <f>Tabla14[[#This Row],[Importe]]-Tabla14[[#This Row],[Pagado]]</f>
        <v>0</v>
      </c>
      <c r="H1733" s="37" t="s">
        <v>10</v>
      </c>
    </row>
    <row r="1734" spans="1:8" x14ac:dyDescent="0.25">
      <c r="A1734" s="31">
        <v>44636</v>
      </c>
      <c r="B1734" s="37" t="s">
        <v>8784</v>
      </c>
      <c r="C1734" s="51" t="s">
        <v>67</v>
      </c>
      <c r="D1734" s="52">
        <v>480.6</v>
      </c>
      <c r="E1734" s="35">
        <v>44636</v>
      </c>
      <c r="F1734" s="52">
        <v>480.6</v>
      </c>
      <c r="G1734" s="53">
        <f>Tabla14[[#This Row],[Importe]]-Tabla14[[#This Row],[Pagado]]</f>
        <v>0</v>
      </c>
      <c r="H1734" s="37" t="s">
        <v>10</v>
      </c>
    </row>
    <row r="1735" spans="1:8" x14ac:dyDescent="0.25">
      <c r="A1735" s="31">
        <v>44636</v>
      </c>
      <c r="B1735" s="37" t="s">
        <v>8785</v>
      </c>
      <c r="C1735" s="51" t="s">
        <v>107</v>
      </c>
      <c r="D1735" s="52">
        <v>10668.6</v>
      </c>
      <c r="E1735" s="35">
        <v>44637</v>
      </c>
      <c r="F1735" s="52">
        <v>10668.6</v>
      </c>
      <c r="G1735" s="53">
        <f>Tabla14[[#This Row],[Importe]]-Tabla14[[#This Row],[Pagado]]</f>
        <v>0</v>
      </c>
      <c r="H1735" s="37" t="s">
        <v>10</v>
      </c>
    </row>
    <row r="1736" spans="1:8" x14ac:dyDescent="0.25">
      <c r="A1736" s="31">
        <v>44636</v>
      </c>
      <c r="B1736" s="37" t="s">
        <v>8786</v>
      </c>
      <c r="C1736" s="51" t="s">
        <v>291</v>
      </c>
      <c r="D1736" s="52">
        <v>4717.1000000000004</v>
      </c>
      <c r="E1736" s="35">
        <v>44637</v>
      </c>
      <c r="F1736" s="52">
        <v>4717.1000000000004</v>
      </c>
      <c r="G1736" s="53">
        <f>Tabla14[[#This Row],[Importe]]-Tabla14[[#This Row],[Pagado]]</f>
        <v>0</v>
      </c>
      <c r="H1736" s="37" t="s">
        <v>10</v>
      </c>
    </row>
    <row r="1737" spans="1:8" x14ac:dyDescent="0.25">
      <c r="A1737" s="31">
        <v>44636</v>
      </c>
      <c r="B1737" s="37" t="s">
        <v>8787</v>
      </c>
      <c r="C1737" s="51" t="s">
        <v>435</v>
      </c>
      <c r="D1737" s="52">
        <v>1981.6</v>
      </c>
      <c r="E1737" s="35">
        <v>44636</v>
      </c>
      <c r="F1737" s="52">
        <v>1981.6</v>
      </c>
      <c r="G1737" s="53">
        <f>Tabla14[[#This Row],[Importe]]-Tabla14[[#This Row],[Pagado]]</f>
        <v>0</v>
      </c>
      <c r="H1737" s="37" t="s">
        <v>10</v>
      </c>
    </row>
    <row r="1738" spans="1:8" x14ac:dyDescent="0.25">
      <c r="A1738" s="31">
        <v>44636</v>
      </c>
      <c r="B1738" s="37" t="s">
        <v>8788</v>
      </c>
      <c r="C1738" s="51" t="s">
        <v>670</v>
      </c>
      <c r="D1738" s="52">
        <v>1020.6</v>
      </c>
      <c r="E1738" s="35">
        <v>44636</v>
      </c>
      <c r="F1738" s="52">
        <v>1020.6</v>
      </c>
      <c r="G1738" s="53">
        <f>Tabla14[[#This Row],[Importe]]-Tabla14[[#This Row],[Pagado]]</f>
        <v>0</v>
      </c>
      <c r="H1738" s="37" t="s">
        <v>10</v>
      </c>
    </row>
    <row r="1739" spans="1:8" x14ac:dyDescent="0.25">
      <c r="A1739" s="31">
        <v>44636</v>
      </c>
      <c r="B1739" s="37" t="s">
        <v>8789</v>
      </c>
      <c r="C1739" s="51" t="s">
        <v>291</v>
      </c>
      <c r="D1739" s="52">
        <v>1100</v>
      </c>
      <c r="E1739" s="35">
        <v>44637</v>
      </c>
      <c r="F1739" s="52">
        <v>1100</v>
      </c>
      <c r="G1739" s="53">
        <f>Tabla14[[#This Row],[Importe]]-Tabla14[[#This Row],[Pagado]]</f>
        <v>0</v>
      </c>
      <c r="H1739" s="37" t="s">
        <v>10</v>
      </c>
    </row>
    <row r="1740" spans="1:8" x14ac:dyDescent="0.25">
      <c r="A1740" s="31">
        <v>44636</v>
      </c>
      <c r="B1740" s="37" t="s">
        <v>8790</v>
      </c>
      <c r="C1740" s="51" t="s">
        <v>31</v>
      </c>
      <c r="D1740" s="52">
        <v>467.6</v>
      </c>
      <c r="E1740" s="35">
        <v>44636</v>
      </c>
      <c r="F1740" s="52">
        <v>467.6</v>
      </c>
      <c r="G1740" s="53">
        <f>Tabla14[[#This Row],[Importe]]-Tabla14[[#This Row],[Pagado]]</f>
        <v>0</v>
      </c>
      <c r="H1740" s="37" t="s">
        <v>10</v>
      </c>
    </row>
    <row r="1741" spans="1:8" x14ac:dyDescent="0.25">
      <c r="A1741" s="31">
        <v>44636</v>
      </c>
      <c r="B1741" s="37" t="s">
        <v>8791</v>
      </c>
      <c r="C1741" s="51" t="s">
        <v>8792</v>
      </c>
      <c r="D1741" s="52">
        <v>0</v>
      </c>
      <c r="E1741" s="39" t="s">
        <v>189</v>
      </c>
      <c r="F1741" s="52">
        <v>0</v>
      </c>
      <c r="G1741" s="53">
        <f>Tabla14[[#This Row],[Importe]]-Tabla14[[#This Row],[Pagado]]</f>
        <v>0</v>
      </c>
      <c r="H1741" s="37" t="s">
        <v>189</v>
      </c>
    </row>
    <row r="1742" spans="1:8" x14ac:dyDescent="0.25">
      <c r="A1742" s="31">
        <v>44636</v>
      </c>
      <c r="B1742" s="37" t="s">
        <v>8793</v>
      </c>
      <c r="C1742" s="51" t="s">
        <v>275</v>
      </c>
      <c r="D1742" s="52">
        <v>15542.8</v>
      </c>
      <c r="E1742" s="35">
        <v>44645</v>
      </c>
      <c r="F1742" s="52">
        <v>15542.8</v>
      </c>
      <c r="G1742" s="53">
        <f>Tabla14[[#This Row],[Importe]]-Tabla14[[#This Row],[Pagado]]</f>
        <v>0</v>
      </c>
      <c r="H1742" s="37" t="s">
        <v>10</v>
      </c>
    </row>
    <row r="1743" spans="1:8" x14ac:dyDescent="0.25">
      <c r="A1743" s="31">
        <v>44636</v>
      </c>
      <c r="B1743" s="37" t="s">
        <v>8794</v>
      </c>
      <c r="C1743" s="51" t="s">
        <v>284</v>
      </c>
      <c r="D1743" s="52">
        <v>6712.2</v>
      </c>
      <c r="E1743" s="35">
        <v>44637</v>
      </c>
      <c r="F1743" s="52">
        <v>6712.2</v>
      </c>
      <c r="G1743" s="53">
        <f>Tabla14[[#This Row],[Importe]]-Tabla14[[#This Row],[Pagado]]</f>
        <v>0</v>
      </c>
      <c r="H1743" s="37" t="s">
        <v>10</v>
      </c>
    </row>
    <row r="1744" spans="1:8" x14ac:dyDescent="0.25">
      <c r="A1744" s="31">
        <v>44636</v>
      </c>
      <c r="B1744" s="37" t="s">
        <v>8795</v>
      </c>
      <c r="C1744" s="51" t="s">
        <v>280</v>
      </c>
      <c r="D1744" s="52">
        <v>928.8</v>
      </c>
      <c r="E1744" s="35">
        <v>44637</v>
      </c>
      <c r="F1744" s="52">
        <v>928.8</v>
      </c>
      <c r="G1744" s="53">
        <f>Tabla14[[#This Row],[Importe]]-Tabla14[[#This Row],[Pagado]]</f>
        <v>0</v>
      </c>
      <c r="H1744" s="37" t="s">
        <v>10</v>
      </c>
    </row>
    <row r="1745" spans="1:8" x14ac:dyDescent="0.25">
      <c r="A1745" s="31">
        <v>44636</v>
      </c>
      <c r="B1745" s="37" t="s">
        <v>8796</v>
      </c>
      <c r="C1745" s="51" t="s">
        <v>282</v>
      </c>
      <c r="D1745" s="52">
        <v>2478.6</v>
      </c>
      <c r="E1745" s="35">
        <v>44637</v>
      </c>
      <c r="F1745" s="52">
        <v>2478.6</v>
      </c>
      <c r="G1745" s="53">
        <f>Tabla14[[#This Row],[Importe]]-Tabla14[[#This Row],[Pagado]]</f>
        <v>0</v>
      </c>
      <c r="H1745" s="37" t="s">
        <v>10</v>
      </c>
    </row>
    <row r="1746" spans="1:8" x14ac:dyDescent="0.25">
      <c r="A1746" s="31">
        <v>44636</v>
      </c>
      <c r="B1746" s="37" t="s">
        <v>8797</v>
      </c>
      <c r="C1746" s="51" t="s">
        <v>273</v>
      </c>
      <c r="D1746" s="52">
        <v>1120</v>
      </c>
      <c r="E1746" s="35">
        <v>44637</v>
      </c>
      <c r="F1746" s="52">
        <v>1120</v>
      </c>
      <c r="G1746" s="53">
        <f>Tabla14[[#This Row],[Importe]]-Tabla14[[#This Row],[Pagado]]</f>
        <v>0</v>
      </c>
      <c r="H1746" s="37" t="s">
        <v>10</v>
      </c>
    </row>
    <row r="1747" spans="1:8" x14ac:dyDescent="0.25">
      <c r="A1747" s="31">
        <v>44636</v>
      </c>
      <c r="B1747" s="37" t="s">
        <v>8798</v>
      </c>
      <c r="C1747" s="51" t="s">
        <v>14</v>
      </c>
      <c r="D1747" s="52">
        <v>16806.2</v>
      </c>
      <c r="E1747" s="35">
        <v>44636</v>
      </c>
      <c r="F1747" s="52">
        <v>16806.2</v>
      </c>
      <c r="G1747" s="53">
        <f>Tabla14[[#This Row],[Importe]]-Tabla14[[#This Row],[Pagado]]</f>
        <v>0</v>
      </c>
      <c r="H1747" s="37" t="s">
        <v>10</v>
      </c>
    </row>
    <row r="1748" spans="1:8" x14ac:dyDescent="0.25">
      <c r="A1748" s="31">
        <v>44636</v>
      </c>
      <c r="B1748" s="37" t="s">
        <v>8799</v>
      </c>
      <c r="C1748" s="51" t="s">
        <v>31</v>
      </c>
      <c r="D1748" s="52">
        <v>68</v>
      </c>
      <c r="E1748" s="35">
        <v>44636</v>
      </c>
      <c r="F1748" s="52">
        <v>68</v>
      </c>
      <c r="G1748" s="53">
        <f>Tabla14[[#This Row],[Importe]]-Tabla14[[#This Row],[Pagado]]</f>
        <v>0</v>
      </c>
      <c r="H1748" s="37" t="s">
        <v>10</v>
      </c>
    </row>
    <row r="1749" spans="1:8" x14ac:dyDescent="0.25">
      <c r="A1749" s="31">
        <v>44636</v>
      </c>
      <c r="B1749" s="37" t="s">
        <v>8800</v>
      </c>
      <c r="C1749" s="51" t="s">
        <v>8801</v>
      </c>
      <c r="D1749" s="52">
        <v>12716</v>
      </c>
      <c r="E1749" s="35">
        <v>44636</v>
      </c>
      <c r="F1749" s="52">
        <v>12716</v>
      </c>
      <c r="G1749" s="53">
        <f>Tabla14[[#This Row],[Importe]]-Tabla14[[#This Row],[Pagado]]</f>
        <v>0</v>
      </c>
      <c r="H1749" s="37" t="s">
        <v>10</v>
      </c>
    </row>
    <row r="1750" spans="1:8" x14ac:dyDescent="0.25">
      <c r="A1750" s="31">
        <v>44636</v>
      </c>
      <c r="B1750" s="37" t="s">
        <v>8802</v>
      </c>
      <c r="C1750" s="51" t="s">
        <v>31</v>
      </c>
      <c r="D1750" s="52">
        <v>775.5</v>
      </c>
      <c r="E1750" s="35">
        <v>44636</v>
      </c>
      <c r="F1750" s="52">
        <v>775.5</v>
      </c>
      <c r="G1750" s="53">
        <f>Tabla14[[#This Row],[Importe]]-Tabla14[[#This Row],[Pagado]]</f>
        <v>0</v>
      </c>
      <c r="H1750" s="37" t="s">
        <v>10</v>
      </c>
    </row>
    <row r="1751" spans="1:8" x14ac:dyDescent="0.25">
      <c r="A1751" s="31">
        <v>44636</v>
      </c>
      <c r="B1751" s="37" t="s">
        <v>8803</v>
      </c>
      <c r="C1751" s="51" t="s">
        <v>1421</v>
      </c>
      <c r="D1751" s="52">
        <v>34711.199999999997</v>
      </c>
      <c r="E1751" s="35">
        <v>44636</v>
      </c>
      <c r="F1751" s="52">
        <v>34711.199999999997</v>
      </c>
      <c r="G1751" s="53">
        <f>Tabla14[[#This Row],[Importe]]-Tabla14[[#This Row],[Pagado]]</f>
        <v>0</v>
      </c>
      <c r="H1751" s="37" t="s">
        <v>10</v>
      </c>
    </row>
    <row r="1752" spans="1:8" x14ac:dyDescent="0.25">
      <c r="A1752" s="31">
        <v>44636</v>
      </c>
      <c r="B1752" s="37" t="s">
        <v>8804</v>
      </c>
      <c r="C1752" s="51" t="s">
        <v>31</v>
      </c>
      <c r="D1752" s="52">
        <v>58</v>
      </c>
      <c r="E1752" s="35">
        <v>44636</v>
      </c>
      <c r="F1752" s="52">
        <v>58</v>
      </c>
      <c r="G1752" s="53">
        <f>Tabla14[[#This Row],[Importe]]-Tabla14[[#This Row],[Pagado]]</f>
        <v>0</v>
      </c>
      <c r="H1752" s="37" t="s">
        <v>10</v>
      </c>
    </row>
    <row r="1753" spans="1:8" x14ac:dyDescent="0.25">
      <c r="A1753" s="31">
        <v>44636</v>
      </c>
      <c r="B1753" s="37" t="s">
        <v>8805</v>
      </c>
      <c r="C1753" s="51" t="s">
        <v>442</v>
      </c>
      <c r="D1753" s="52">
        <v>15636.4</v>
      </c>
      <c r="E1753" s="35">
        <v>44636</v>
      </c>
      <c r="F1753" s="52">
        <v>15636.4</v>
      </c>
      <c r="G1753" s="53">
        <f>Tabla14[[#This Row],[Importe]]-Tabla14[[#This Row],[Pagado]]</f>
        <v>0</v>
      </c>
      <c r="H1753" s="37" t="s">
        <v>10</v>
      </c>
    </row>
    <row r="1754" spans="1:8" x14ac:dyDescent="0.25">
      <c r="A1754" s="31">
        <v>44636</v>
      </c>
      <c r="B1754" s="37" t="s">
        <v>8806</v>
      </c>
      <c r="C1754" s="51" t="s">
        <v>442</v>
      </c>
      <c r="D1754" s="52">
        <v>5468.8</v>
      </c>
      <c r="E1754" s="35">
        <v>44636</v>
      </c>
      <c r="F1754" s="52">
        <v>5468.8</v>
      </c>
      <c r="G1754" s="53">
        <f>Tabla14[[#This Row],[Importe]]-Tabla14[[#This Row],[Pagado]]</f>
        <v>0</v>
      </c>
      <c r="H1754" s="37" t="s">
        <v>10</v>
      </c>
    </row>
    <row r="1755" spans="1:8" x14ac:dyDescent="0.25">
      <c r="A1755" s="31">
        <v>44636</v>
      </c>
      <c r="B1755" s="37" t="s">
        <v>8807</v>
      </c>
      <c r="C1755" s="51" t="s">
        <v>442</v>
      </c>
      <c r="D1755" s="52">
        <v>1445.6</v>
      </c>
      <c r="E1755" s="35">
        <v>44636</v>
      </c>
      <c r="F1755" s="52">
        <v>1445.6</v>
      </c>
      <c r="G1755" s="53">
        <f>Tabla14[[#This Row],[Importe]]-Tabla14[[#This Row],[Pagado]]</f>
        <v>0</v>
      </c>
      <c r="H1755" s="37" t="s">
        <v>10</v>
      </c>
    </row>
    <row r="1756" spans="1:8" x14ac:dyDescent="0.25">
      <c r="A1756" s="31">
        <v>44636</v>
      </c>
      <c r="B1756" s="37" t="s">
        <v>8808</v>
      </c>
      <c r="C1756" s="51" t="s">
        <v>610</v>
      </c>
      <c r="D1756" s="52">
        <v>16828</v>
      </c>
      <c r="E1756" s="35">
        <v>44636</v>
      </c>
      <c r="F1756" s="52">
        <v>16828</v>
      </c>
      <c r="G1756" s="53">
        <f>Tabla14[[#This Row],[Importe]]-Tabla14[[#This Row],[Pagado]]</f>
        <v>0</v>
      </c>
      <c r="H1756" s="37" t="s">
        <v>10</v>
      </c>
    </row>
    <row r="1757" spans="1:8" x14ac:dyDescent="0.25">
      <c r="A1757" s="31">
        <v>44636</v>
      </c>
      <c r="B1757" s="37" t="s">
        <v>8809</v>
      </c>
      <c r="C1757" s="51" t="s">
        <v>2139</v>
      </c>
      <c r="D1757" s="52">
        <v>1537.5</v>
      </c>
      <c r="E1757" s="35">
        <v>44636</v>
      </c>
      <c r="F1757" s="52">
        <v>1537.5</v>
      </c>
      <c r="G1757" s="53">
        <f>Tabla14[[#This Row],[Importe]]-Tabla14[[#This Row],[Pagado]]</f>
        <v>0</v>
      </c>
      <c r="H1757" s="37" t="s">
        <v>10</v>
      </c>
    </row>
    <row r="1758" spans="1:8" x14ac:dyDescent="0.25">
      <c r="A1758" s="31">
        <v>44636</v>
      </c>
      <c r="B1758" s="37" t="s">
        <v>8810</v>
      </c>
      <c r="C1758" s="51" t="s">
        <v>3900</v>
      </c>
      <c r="D1758" s="52">
        <v>1242</v>
      </c>
      <c r="E1758" s="35">
        <v>44636</v>
      </c>
      <c r="F1758" s="52">
        <v>1242</v>
      </c>
      <c r="G1758" s="53">
        <f>Tabla14[[#This Row],[Importe]]-Tabla14[[#This Row],[Pagado]]</f>
        <v>0</v>
      </c>
      <c r="H1758" s="37" t="s">
        <v>10</v>
      </c>
    </row>
    <row r="1759" spans="1:8" x14ac:dyDescent="0.25">
      <c r="A1759" s="31">
        <v>44636</v>
      </c>
      <c r="B1759" s="37" t="s">
        <v>8811</v>
      </c>
      <c r="C1759" s="51" t="s">
        <v>5217</v>
      </c>
      <c r="D1759" s="52">
        <v>2486</v>
      </c>
      <c r="E1759" s="35">
        <v>44636</v>
      </c>
      <c r="F1759" s="52">
        <v>2486</v>
      </c>
      <c r="G1759" s="53">
        <f>Tabla14[[#This Row],[Importe]]-Tabla14[[#This Row],[Pagado]]</f>
        <v>0</v>
      </c>
      <c r="H1759" s="37" t="s">
        <v>10</v>
      </c>
    </row>
    <row r="1760" spans="1:8" x14ac:dyDescent="0.25">
      <c r="A1760" s="31">
        <v>44637</v>
      </c>
      <c r="B1760" s="37" t="s">
        <v>8812</v>
      </c>
      <c r="C1760" s="51" t="s">
        <v>20</v>
      </c>
      <c r="D1760" s="52">
        <v>1680</v>
      </c>
      <c r="E1760" s="35">
        <v>44637</v>
      </c>
      <c r="F1760" s="52">
        <v>1680</v>
      </c>
      <c r="G1760" s="53">
        <f>Tabla14[[#This Row],[Importe]]-Tabla14[[#This Row],[Pagado]]</f>
        <v>0</v>
      </c>
      <c r="H1760" s="37" t="s">
        <v>10</v>
      </c>
    </row>
    <row r="1761" spans="1:8" x14ac:dyDescent="0.25">
      <c r="A1761" s="31">
        <v>44637</v>
      </c>
      <c r="B1761" s="37" t="s">
        <v>8813</v>
      </c>
      <c r="C1761" s="51" t="s">
        <v>414</v>
      </c>
      <c r="D1761" s="52">
        <v>6071</v>
      </c>
      <c r="E1761" s="35">
        <v>44637</v>
      </c>
      <c r="F1761" s="52">
        <v>6071</v>
      </c>
      <c r="G1761" s="53">
        <f>Tabla14[[#This Row],[Importe]]-Tabla14[[#This Row],[Pagado]]</f>
        <v>0</v>
      </c>
      <c r="H1761" s="37" t="s">
        <v>10</v>
      </c>
    </row>
    <row r="1762" spans="1:8" x14ac:dyDescent="0.25">
      <c r="A1762" s="31">
        <v>44637</v>
      </c>
      <c r="B1762" s="37" t="s">
        <v>8814</v>
      </c>
      <c r="C1762" s="51" t="s">
        <v>151</v>
      </c>
      <c r="D1762" s="52">
        <v>7720</v>
      </c>
      <c r="E1762" s="35">
        <v>44637</v>
      </c>
      <c r="F1762" s="52">
        <v>7720</v>
      </c>
      <c r="G1762" s="53">
        <f>Tabla14[[#This Row],[Importe]]-Tabla14[[#This Row],[Pagado]]</f>
        <v>0</v>
      </c>
      <c r="H1762" s="37" t="s">
        <v>10</v>
      </c>
    </row>
    <row r="1763" spans="1:8" x14ac:dyDescent="0.25">
      <c r="A1763" s="31">
        <v>44637</v>
      </c>
      <c r="B1763" s="37" t="s">
        <v>8815</v>
      </c>
      <c r="C1763" s="51" t="s">
        <v>31</v>
      </c>
      <c r="D1763" s="52">
        <v>4324.8</v>
      </c>
      <c r="E1763" s="35">
        <v>44637</v>
      </c>
      <c r="F1763" s="52">
        <v>4324.8</v>
      </c>
      <c r="G1763" s="53">
        <f>Tabla14[[#This Row],[Importe]]-Tabla14[[#This Row],[Pagado]]</f>
        <v>0</v>
      </c>
      <c r="H1763" s="37" t="s">
        <v>10</v>
      </c>
    </row>
    <row r="1764" spans="1:8" x14ac:dyDescent="0.25">
      <c r="A1764" s="31">
        <v>44637</v>
      </c>
      <c r="B1764" s="37" t="s">
        <v>8816</v>
      </c>
      <c r="C1764" s="51" t="s">
        <v>31</v>
      </c>
      <c r="D1764" s="52">
        <v>496.1</v>
      </c>
      <c r="E1764" s="35">
        <v>44637</v>
      </c>
      <c r="F1764" s="52">
        <v>496.1</v>
      </c>
      <c r="G1764" s="53">
        <f>Tabla14[[#This Row],[Importe]]-Tabla14[[#This Row],[Pagado]]</f>
        <v>0</v>
      </c>
      <c r="H1764" s="37" t="s">
        <v>10</v>
      </c>
    </row>
    <row r="1765" spans="1:8" x14ac:dyDescent="0.25">
      <c r="A1765" s="31">
        <v>44637</v>
      </c>
      <c r="B1765" s="37" t="s">
        <v>8817</v>
      </c>
      <c r="C1765" s="51" t="s">
        <v>159</v>
      </c>
      <c r="D1765" s="52">
        <v>2271</v>
      </c>
      <c r="E1765" s="35">
        <v>44637</v>
      </c>
      <c r="F1765" s="52">
        <v>2271</v>
      </c>
      <c r="G1765" s="53">
        <f>Tabla14[[#This Row],[Importe]]-Tabla14[[#This Row],[Pagado]]</f>
        <v>0</v>
      </c>
      <c r="H1765" s="37" t="s">
        <v>10</v>
      </c>
    </row>
    <row r="1766" spans="1:8" x14ac:dyDescent="0.25">
      <c r="A1766" s="31">
        <v>44637</v>
      </c>
      <c r="B1766" s="37" t="s">
        <v>8818</v>
      </c>
      <c r="C1766" s="51" t="s">
        <v>520</v>
      </c>
      <c r="D1766" s="52">
        <v>6587</v>
      </c>
      <c r="E1766" s="35">
        <v>44637</v>
      </c>
      <c r="F1766" s="52">
        <v>6587</v>
      </c>
      <c r="G1766" s="53">
        <f>Tabla14[[#This Row],[Importe]]-Tabla14[[#This Row],[Pagado]]</f>
        <v>0</v>
      </c>
      <c r="H1766" s="37" t="s">
        <v>10</v>
      </c>
    </row>
    <row r="1767" spans="1:8" x14ac:dyDescent="0.25">
      <c r="A1767" s="31">
        <v>44637</v>
      </c>
      <c r="B1767" s="37" t="s">
        <v>8819</v>
      </c>
      <c r="C1767" s="51" t="s">
        <v>481</v>
      </c>
      <c r="D1767" s="52">
        <v>975</v>
      </c>
      <c r="E1767" s="35">
        <v>44637</v>
      </c>
      <c r="F1767" s="52">
        <v>975</v>
      </c>
      <c r="G1767" s="53">
        <f>Tabla14[[#This Row],[Importe]]-Tabla14[[#This Row],[Pagado]]</f>
        <v>0</v>
      </c>
      <c r="H1767" s="37" t="s">
        <v>10</v>
      </c>
    </row>
    <row r="1768" spans="1:8" x14ac:dyDescent="0.25">
      <c r="A1768" s="31">
        <v>44637</v>
      </c>
      <c r="B1768" s="37" t="s">
        <v>8820</v>
      </c>
      <c r="C1768" s="51" t="s">
        <v>481</v>
      </c>
      <c r="D1768" s="52">
        <v>91.8</v>
      </c>
      <c r="E1768" s="35">
        <v>44637</v>
      </c>
      <c r="F1768" s="52">
        <v>91.8</v>
      </c>
      <c r="G1768" s="53">
        <f>Tabla14[[#This Row],[Importe]]-Tabla14[[#This Row],[Pagado]]</f>
        <v>0</v>
      </c>
      <c r="H1768" s="37" t="s">
        <v>10</v>
      </c>
    </row>
    <row r="1769" spans="1:8" x14ac:dyDescent="0.25">
      <c r="A1769" s="31">
        <v>44637</v>
      </c>
      <c r="B1769" s="37" t="s">
        <v>8821</v>
      </c>
      <c r="C1769" s="51" t="s">
        <v>319</v>
      </c>
      <c r="D1769" s="52">
        <v>5040.3999999999996</v>
      </c>
      <c r="E1769" s="35">
        <v>44637</v>
      </c>
      <c r="F1769" s="52">
        <v>5040.3999999999996</v>
      </c>
      <c r="G1769" s="53">
        <f>Tabla14[[#This Row],[Importe]]-Tabla14[[#This Row],[Pagado]]</f>
        <v>0</v>
      </c>
      <c r="H1769" s="37" t="s">
        <v>10</v>
      </c>
    </row>
    <row r="1770" spans="1:8" x14ac:dyDescent="0.25">
      <c r="A1770" s="31">
        <v>44637</v>
      </c>
      <c r="B1770" s="37" t="s">
        <v>8822</v>
      </c>
      <c r="C1770" s="51" t="s">
        <v>518</v>
      </c>
      <c r="D1770" s="52">
        <v>1420.2</v>
      </c>
      <c r="E1770" s="35">
        <v>44637</v>
      </c>
      <c r="F1770" s="52">
        <v>1420.2</v>
      </c>
      <c r="G1770" s="53">
        <f>Tabla14[[#This Row],[Importe]]-Tabla14[[#This Row],[Pagado]]</f>
        <v>0</v>
      </c>
      <c r="H1770" s="37" t="s">
        <v>10</v>
      </c>
    </row>
    <row r="1771" spans="1:8" x14ac:dyDescent="0.25">
      <c r="A1771" s="31">
        <v>44637</v>
      </c>
      <c r="B1771" s="37" t="s">
        <v>8823</v>
      </c>
      <c r="C1771" s="51" t="s">
        <v>39</v>
      </c>
      <c r="D1771" s="52">
        <v>19092.2</v>
      </c>
      <c r="E1771" s="35">
        <v>44639</v>
      </c>
      <c r="F1771" s="52">
        <v>19092.2</v>
      </c>
      <c r="G1771" s="53">
        <f>Tabla14[[#This Row],[Importe]]-Tabla14[[#This Row],[Pagado]]</f>
        <v>0</v>
      </c>
      <c r="H1771" s="37" t="s">
        <v>10</v>
      </c>
    </row>
    <row r="1772" spans="1:8" x14ac:dyDescent="0.25">
      <c r="A1772" s="31">
        <v>44637</v>
      </c>
      <c r="B1772" s="37" t="s">
        <v>8824</v>
      </c>
      <c r="C1772" s="51" t="s">
        <v>8825</v>
      </c>
      <c r="D1772" s="52">
        <v>0</v>
      </c>
      <c r="E1772" s="39" t="s">
        <v>189</v>
      </c>
      <c r="F1772" s="52">
        <v>0</v>
      </c>
      <c r="G1772" s="53">
        <f>Tabla14[[#This Row],[Importe]]-Tabla14[[#This Row],[Pagado]]</f>
        <v>0</v>
      </c>
      <c r="H1772" s="37" t="s">
        <v>189</v>
      </c>
    </row>
    <row r="1773" spans="1:8" x14ac:dyDescent="0.25">
      <c r="A1773" s="31">
        <v>44637</v>
      </c>
      <c r="B1773" s="37" t="s">
        <v>8826</v>
      </c>
      <c r="C1773" s="51" t="s">
        <v>22</v>
      </c>
      <c r="D1773" s="52">
        <v>39422.9</v>
      </c>
      <c r="E1773" s="35">
        <v>44639</v>
      </c>
      <c r="F1773" s="52">
        <v>39422.9</v>
      </c>
      <c r="G1773" s="53">
        <f>Tabla14[[#This Row],[Importe]]-Tabla14[[#This Row],[Pagado]]</f>
        <v>0</v>
      </c>
      <c r="H1773" s="37" t="s">
        <v>10</v>
      </c>
    </row>
    <row r="1774" spans="1:8" x14ac:dyDescent="0.25">
      <c r="A1774" s="31">
        <v>44637</v>
      </c>
      <c r="B1774" s="37" t="s">
        <v>8827</v>
      </c>
      <c r="C1774" s="51" t="s">
        <v>105</v>
      </c>
      <c r="D1774" s="52">
        <v>4931.2</v>
      </c>
      <c r="E1774" s="35">
        <v>44638</v>
      </c>
      <c r="F1774" s="52">
        <v>4931.2</v>
      </c>
      <c r="G1774" s="53">
        <f>Tabla14[[#This Row],[Importe]]-Tabla14[[#This Row],[Pagado]]</f>
        <v>0</v>
      </c>
      <c r="H1774" s="37" t="s">
        <v>10</v>
      </c>
    </row>
    <row r="1775" spans="1:8" x14ac:dyDescent="0.25">
      <c r="A1775" s="31">
        <v>44637</v>
      </c>
      <c r="B1775" s="37" t="s">
        <v>8828</v>
      </c>
      <c r="C1775" s="51" t="s">
        <v>348</v>
      </c>
      <c r="D1775" s="52">
        <v>2668</v>
      </c>
      <c r="E1775" s="35">
        <v>44637</v>
      </c>
      <c r="F1775" s="52">
        <v>2668</v>
      </c>
      <c r="G1775" s="53">
        <f>Tabla14[[#This Row],[Importe]]-Tabla14[[#This Row],[Pagado]]</f>
        <v>0</v>
      </c>
      <c r="H1775" s="37" t="s">
        <v>10</v>
      </c>
    </row>
    <row r="1776" spans="1:8" x14ac:dyDescent="0.25">
      <c r="A1776" s="31">
        <v>44637</v>
      </c>
      <c r="B1776" s="37" t="s">
        <v>8829</v>
      </c>
      <c r="C1776" s="51" t="s">
        <v>93</v>
      </c>
      <c r="D1776" s="52">
        <v>1123.2</v>
      </c>
      <c r="E1776" s="35">
        <v>44638</v>
      </c>
      <c r="F1776" s="52">
        <v>1123.2</v>
      </c>
      <c r="G1776" s="53">
        <f>Tabla14[[#This Row],[Importe]]-Tabla14[[#This Row],[Pagado]]</f>
        <v>0</v>
      </c>
      <c r="H1776" s="37" t="s">
        <v>10</v>
      </c>
    </row>
    <row r="1777" spans="1:8" x14ac:dyDescent="0.25">
      <c r="A1777" s="31">
        <v>44637</v>
      </c>
      <c r="B1777" s="37" t="s">
        <v>8830</v>
      </c>
      <c r="C1777" s="51" t="s">
        <v>114</v>
      </c>
      <c r="D1777" s="52">
        <v>4331.2</v>
      </c>
      <c r="E1777" s="35">
        <v>44638</v>
      </c>
      <c r="F1777" s="52">
        <v>4331.2</v>
      </c>
      <c r="G1777" s="53">
        <f>Tabla14[[#This Row],[Importe]]-Tabla14[[#This Row],[Pagado]]</f>
        <v>0</v>
      </c>
      <c r="H1777" s="37" t="s">
        <v>10</v>
      </c>
    </row>
    <row r="1778" spans="1:8" x14ac:dyDescent="0.25">
      <c r="A1778" s="31">
        <v>44637</v>
      </c>
      <c r="B1778" s="37" t="s">
        <v>8831</v>
      </c>
      <c r="C1778" s="51" t="s">
        <v>75</v>
      </c>
      <c r="D1778" s="52">
        <v>4417.2</v>
      </c>
      <c r="E1778" s="35">
        <v>44637</v>
      </c>
      <c r="F1778" s="52">
        <v>4417.2</v>
      </c>
      <c r="G1778" s="53">
        <f>Tabla14[[#This Row],[Importe]]-Tabla14[[#This Row],[Pagado]]</f>
        <v>0</v>
      </c>
      <c r="H1778" s="37" t="s">
        <v>10</v>
      </c>
    </row>
    <row r="1779" spans="1:8" x14ac:dyDescent="0.25">
      <c r="A1779" s="31">
        <v>44637</v>
      </c>
      <c r="B1779" s="37" t="s">
        <v>8832</v>
      </c>
      <c r="C1779" s="51" t="s">
        <v>157</v>
      </c>
      <c r="D1779" s="52">
        <v>4152.3999999999996</v>
      </c>
      <c r="E1779" s="35">
        <v>44637</v>
      </c>
      <c r="F1779" s="52">
        <v>4152.3999999999996</v>
      </c>
      <c r="G1779" s="53">
        <f>Tabla14[[#This Row],[Importe]]-Tabla14[[#This Row],[Pagado]]</f>
        <v>0</v>
      </c>
      <c r="H1779" s="37" t="s">
        <v>10</v>
      </c>
    </row>
    <row r="1780" spans="1:8" x14ac:dyDescent="0.25">
      <c r="A1780" s="31">
        <v>44637</v>
      </c>
      <c r="B1780" s="37" t="s">
        <v>8833</v>
      </c>
      <c r="C1780" s="51" t="s">
        <v>111</v>
      </c>
      <c r="D1780" s="52">
        <v>3902.4</v>
      </c>
      <c r="E1780" s="35">
        <v>44638</v>
      </c>
      <c r="F1780" s="52">
        <v>3902.4</v>
      </c>
      <c r="G1780" s="53">
        <f>Tabla14[[#This Row],[Importe]]-Tabla14[[#This Row],[Pagado]]</f>
        <v>0</v>
      </c>
      <c r="H1780" s="37" t="s">
        <v>10</v>
      </c>
    </row>
    <row r="1781" spans="1:8" x14ac:dyDescent="0.25">
      <c r="A1781" s="31">
        <v>44637</v>
      </c>
      <c r="B1781" s="37" t="s">
        <v>8834</v>
      </c>
      <c r="C1781" s="51" t="s">
        <v>618</v>
      </c>
      <c r="D1781" s="52">
        <v>8961.6</v>
      </c>
      <c r="E1781" s="35">
        <v>44637</v>
      </c>
      <c r="F1781" s="52">
        <v>8961.6</v>
      </c>
      <c r="G1781" s="53">
        <f>Tabla14[[#This Row],[Importe]]-Tabla14[[#This Row],[Pagado]]</f>
        <v>0</v>
      </c>
      <c r="H1781" s="37" t="s">
        <v>10</v>
      </c>
    </row>
    <row r="1782" spans="1:8" x14ac:dyDescent="0.25">
      <c r="A1782" s="31">
        <v>44637</v>
      </c>
      <c r="B1782" s="37" t="s">
        <v>8835</v>
      </c>
      <c r="C1782" s="51" t="s">
        <v>120</v>
      </c>
      <c r="D1782" s="52">
        <v>3790</v>
      </c>
      <c r="E1782" s="35">
        <v>44639</v>
      </c>
      <c r="F1782" s="52">
        <v>3790</v>
      </c>
      <c r="G1782" s="53">
        <f>Tabla14[[#This Row],[Importe]]-Tabla14[[#This Row],[Pagado]]</f>
        <v>0</v>
      </c>
      <c r="H1782" s="37" t="s">
        <v>10</v>
      </c>
    </row>
    <row r="1783" spans="1:8" x14ac:dyDescent="0.25">
      <c r="A1783" s="31">
        <v>44637</v>
      </c>
      <c r="B1783" s="37" t="s">
        <v>8836</v>
      </c>
      <c r="C1783" s="51" t="s">
        <v>99</v>
      </c>
      <c r="D1783" s="52">
        <v>3897.6</v>
      </c>
      <c r="E1783" s="35">
        <v>44638</v>
      </c>
      <c r="F1783" s="52">
        <v>3897.6</v>
      </c>
      <c r="G1783" s="53">
        <f>Tabla14[[#This Row],[Importe]]-Tabla14[[#This Row],[Pagado]]</f>
        <v>0</v>
      </c>
      <c r="H1783" s="37" t="s">
        <v>10</v>
      </c>
    </row>
    <row r="1784" spans="1:8" x14ac:dyDescent="0.25">
      <c r="A1784" s="31">
        <v>44637</v>
      </c>
      <c r="B1784" s="37" t="s">
        <v>8837</v>
      </c>
      <c r="C1784" s="51" t="s">
        <v>79</v>
      </c>
      <c r="D1784" s="52">
        <v>10530</v>
      </c>
      <c r="E1784" s="35">
        <v>44637</v>
      </c>
      <c r="F1784" s="52">
        <v>10530</v>
      </c>
      <c r="G1784" s="53">
        <f>Tabla14[[#This Row],[Importe]]-Tabla14[[#This Row],[Pagado]]</f>
        <v>0</v>
      </c>
      <c r="H1784" s="37" t="s">
        <v>10</v>
      </c>
    </row>
    <row r="1785" spans="1:8" x14ac:dyDescent="0.25">
      <c r="A1785" s="31">
        <v>44637</v>
      </c>
      <c r="B1785" s="37" t="s">
        <v>8838</v>
      </c>
      <c r="C1785" s="51" t="s">
        <v>109</v>
      </c>
      <c r="D1785" s="52">
        <v>3955.2</v>
      </c>
      <c r="E1785" s="35">
        <v>44638</v>
      </c>
      <c r="F1785" s="52">
        <v>3955.2</v>
      </c>
      <c r="G1785" s="53">
        <f>Tabla14[[#This Row],[Importe]]-Tabla14[[#This Row],[Pagado]]</f>
        <v>0</v>
      </c>
      <c r="H1785" s="37" t="s">
        <v>10</v>
      </c>
    </row>
    <row r="1786" spans="1:8" x14ac:dyDescent="0.25">
      <c r="A1786" s="31">
        <v>44637</v>
      </c>
      <c r="B1786" s="37" t="s">
        <v>8839</v>
      </c>
      <c r="C1786" s="51" t="s">
        <v>2563</v>
      </c>
      <c r="D1786" s="52">
        <v>3950.4</v>
      </c>
      <c r="E1786" s="35">
        <v>44637</v>
      </c>
      <c r="F1786" s="52">
        <v>3950.4</v>
      </c>
      <c r="G1786" s="53">
        <f>Tabla14[[#This Row],[Importe]]-Tabla14[[#This Row],[Pagado]]</f>
        <v>0</v>
      </c>
      <c r="H1786" s="37" t="s">
        <v>10</v>
      </c>
    </row>
    <row r="1787" spans="1:8" x14ac:dyDescent="0.25">
      <c r="A1787" s="31">
        <v>44637</v>
      </c>
      <c r="B1787" s="37" t="s">
        <v>8840</v>
      </c>
      <c r="C1787" s="51" t="s">
        <v>97</v>
      </c>
      <c r="D1787" s="52">
        <v>3995</v>
      </c>
      <c r="E1787" s="35">
        <v>44638</v>
      </c>
      <c r="F1787" s="52">
        <v>3995</v>
      </c>
      <c r="G1787" s="53">
        <f>Tabla14[[#This Row],[Importe]]-Tabla14[[#This Row],[Pagado]]</f>
        <v>0</v>
      </c>
      <c r="H1787" s="37" t="s">
        <v>10</v>
      </c>
    </row>
    <row r="1788" spans="1:8" x14ac:dyDescent="0.25">
      <c r="A1788" s="31">
        <v>44637</v>
      </c>
      <c r="B1788" s="37" t="s">
        <v>8841</v>
      </c>
      <c r="C1788" s="51" t="s">
        <v>64</v>
      </c>
      <c r="D1788" s="52">
        <v>4047.1</v>
      </c>
      <c r="E1788" s="35">
        <v>44638</v>
      </c>
      <c r="F1788" s="52">
        <v>4047.1</v>
      </c>
      <c r="G1788" s="53">
        <f>Tabla14[[#This Row],[Importe]]-Tabla14[[#This Row],[Pagado]]</f>
        <v>0</v>
      </c>
      <c r="H1788" s="37" t="s">
        <v>10</v>
      </c>
    </row>
    <row r="1789" spans="1:8" x14ac:dyDescent="0.25">
      <c r="A1789" s="31">
        <v>44637</v>
      </c>
      <c r="B1789" s="37" t="s">
        <v>8842</v>
      </c>
      <c r="C1789" s="51" t="s">
        <v>9</v>
      </c>
      <c r="D1789" s="52">
        <v>9220.7000000000007</v>
      </c>
      <c r="E1789" s="35">
        <v>44637</v>
      </c>
      <c r="F1789" s="52">
        <v>9220.7000000000007</v>
      </c>
      <c r="G1789" s="53">
        <f>Tabla14[[#This Row],[Importe]]-Tabla14[[#This Row],[Pagado]]</f>
        <v>0</v>
      </c>
      <c r="H1789" s="37" t="s">
        <v>10</v>
      </c>
    </row>
    <row r="1790" spans="1:8" x14ac:dyDescent="0.25">
      <c r="A1790" s="31">
        <v>44637</v>
      </c>
      <c r="B1790" s="37" t="s">
        <v>8843</v>
      </c>
      <c r="C1790" s="51" t="s">
        <v>93</v>
      </c>
      <c r="D1790" s="52">
        <v>1055.7</v>
      </c>
      <c r="E1790" s="35">
        <v>44638</v>
      </c>
      <c r="F1790" s="52">
        <v>1055.7</v>
      </c>
      <c r="G1790" s="53">
        <f>Tabla14[[#This Row],[Importe]]-Tabla14[[#This Row],[Pagado]]</f>
        <v>0</v>
      </c>
      <c r="H1790" s="37" t="s">
        <v>10</v>
      </c>
    </row>
    <row r="1791" spans="1:8" x14ac:dyDescent="0.25">
      <c r="A1791" s="31">
        <v>44637</v>
      </c>
      <c r="B1791" s="37" t="s">
        <v>8844</v>
      </c>
      <c r="C1791" s="51" t="s">
        <v>79</v>
      </c>
      <c r="D1791" s="52">
        <v>2748.6</v>
      </c>
      <c r="E1791" s="35">
        <v>44637</v>
      </c>
      <c r="F1791" s="52">
        <v>2748.6</v>
      </c>
      <c r="G1791" s="53">
        <f>Tabla14[[#This Row],[Importe]]-Tabla14[[#This Row],[Pagado]]</f>
        <v>0</v>
      </c>
      <c r="H1791" s="37" t="s">
        <v>10</v>
      </c>
    </row>
    <row r="1792" spans="1:8" x14ac:dyDescent="0.25">
      <c r="A1792" s="31">
        <v>44637</v>
      </c>
      <c r="B1792" s="37" t="s">
        <v>8845</v>
      </c>
      <c r="C1792" s="51" t="s">
        <v>222</v>
      </c>
      <c r="D1792" s="52">
        <v>6909.7</v>
      </c>
      <c r="E1792" s="35">
        <v>44637</v>
      </c>
      <c r="F1792" s="52">
        <v>6909.7</v>
      </c>
      <c r="G1792" s="53">
        <f>Tabla14[[#This Row],[Importe]]-Tabla14[[#This Row],[Pagado]]</f>
        <v>0</v>
      </c>
      <c r="H1792" s="37" t="s">
        <v>10</v>
      </c>
    </row>
    <row r="1793" spans="1:8" x14ac:dyDescent="0.25">
      <c r="A1793" s="31">
        <v>44637</v>
      </c>
      <c r="B1793" s="37" t="s">
        <v>8846</v>
      </c>
      <c r="C1793" s="51" t="s">
        <v>12</v>
      </c>
      <c r="D1793" s="52">
        <v>44988.6</v>
      </c>
      <c r="E1793" s="35">
        <v>44638</v>
      </c>
      <c r="F1793" s="52">
        <v>44988.6</v>
      </c>
      <c r="G1793" s="53">
        <f>Tabla14[[#This Row],[Importe]]-Tabla14[[#This Row],[Pagado]]</f>
        <v>0</v>
      </c>
      <c r="H1793" s="37" t="s">
        <v>10</v>
      </c>
    </row>
    <row r="1794" spans="1:8" x14ac:dyDescent="0.25">
      <c r="A1794" s="31">
        <v>44637</v>
      </c>
      <c r="B1794" s="37" t="s">
        <v>8847</v>
      </c>
      <c r="C1794" s="51" t="s">
        <v>83</v>
      </c>
      <c r="D1794" s="52">
        <v>4746.3999999999996</v>
      </c>
      <c r="E1794" s="35">
        <v>44637</v>
      </c>
      <c r="F1794" s="52">
        <v>4746.3999999999996</v>
      </c>
      <c r="G1794" s="53">
        <f>Tabla14[[#This Row],[Importe]]-Tabla14[[#This Row],[Pagado]]</f>
        <v>0</v>
      </c>
      <c r="H1794" s="37" t="s">
        <v>10</v>
      </c>
    </row>
    <row r="1795" spans="1:8" x14ac:dyDescent="0.25">
      <c r="A1795" s="31">
        <v>44637</v>
      </c>
      <c r="B1795" s="37" t="s">
        <v>8848</v>
      </c>
      <c r="C1795" s="51" t="s">
        <v>87</v>
      </c>
      <c r="D1795" s="52">
        <v>2094.6</v>
      </c>
      <c r="E1795" s="35">
        <v>44637</v>
      </c>
      <c r="F1795" s="52">
        <v>2094.6</v>
      </c>
      <c r="G1795" s="53">
        <f>Tabla14[[#This Row],[Importe]]-Tabla14[[#This Row],[Pagado]]</f>
        <v>0</v>
      </c>
      <c r="H1795" s="37" t="s">
        <v>10</v>
      </c>
    </row>
    <row r="1796" spans="1:8" x14ac:dyDescent="0.25">
      <c r="A1796" s="31">
        <v>44637</v>
      </c>
      <c r="B1796" s="37" t="s">
        <v>8849</v>
      </c>
      <c r="C1796" s="51" t="s">
        <v>18</v>
      </c>
      <c r="D1796" s="52">
        <v>1507.8</v>
      </c>
      <c r="E1796" s="35">
        <v>44637</v>
      </c>
      <c r="F1796" s="52">
        <v>1507.8</v>
      </c>
      <c r="G1796" s="53">
        <f>Tabla14[[#This Row],[Importe]]-Tabla14[[#This Row],[Pagado]]</f>
        <v>0</v>
      </c>
      <c r="H1796" s="37" t="s">
        <v>10</v>
      </c>
    </row>
    <row r="1797" spans="1:8" x14ac:dyDescent="0.25">
      <c r="A1797" s="31">
        <v>44637</v>
      </c>
      <c r="B1797" s="37" t="s">
        <v>8850</v>
      </c>
      <c r="C1797" s="51" t="s">
        <v>85</v>
      </c>
      <c r="D1797" s="52">
        <v>1015.2</v>
      </c>
      <c r="E1797" s="35">
        <v>44637</v>
      </c>
      <c r="F1797" s="52">
        <v>1015.2</v>
      </c>
      <c r="G1797" s="53">
        <f>Tabla14[[#This Row],[Importe]]-Tabla14[[#This Row],[Pagado]]</f>
        <v>0</v>
      </c>
      <c r="H1797" s="37" t="s">
        <v>10</v>
      </c>
    </row>
    <row r="1798" spans="1:8" x14ac:dyDescent="0.25">
      <c r="A1798" s="31">
        <v>44637</v>
      </c>
      <c r="B1798" s="37" t="s">
        <v>8851</v>
      </c>
      <c r="C1798" s="51" t="s">
        <v>473</v>
      </c>
      <c r="D1798" s="52">
        <v>12953.7</v>
      </c>
      <c r="E1798" s="35">
        <v>44637</v>
      </c>
      <c r="F1798" s="52">
        <v>12953.7</v>
      </c>
      <c r="G1798" s="53">
        <f>Tabla14[[#This Row],[Importe]]-Tabla14[[#This Row],[Pagado]]</f>
        <v>0</v>
      </c>
      <c r="H1798" s="37" t="s">
        <v>10</v>
      </c>
    </row>
    <row r="1799" spans="1:8" x14ac:dyDescent="0.25">
      <c r="A1799" s="31">
        <v>44637</v>
      </c>
      <c r="B1799" s="37" t="s">
        <v>8852</v>
      </c>
      <c r="C1799" s="51" t="s">
        <v>31</v>
      </c>
      <c r="D1799" s="52">
        <v>1498.6</v>
      </c>
      <c r="E1799" s="35">
        <v>44637</v>
      </c>
      <c r="F1799" s="52">
        <v>1498.6</v>
      </c>
      <c r="G1799" s="53">
        <f>Tabla14[[#This Row],[Importe]]-Tabla14[[#This Row],[Pagado]]</f>
        <v>0</v>
      </c>
      <c r="H1799" s="37" t="s">
        <v>10</v>
      </c>
    </row>
    <row r="1800" spans="1:8" x14ac:dyDescent="0.25">
      <c r="A1800" s="31">
        <v>44637</v>
      </c>
      <c r="B1800" s="37" t="s">
        <v>8853</v>
      </c>
      <c r="C1800" s="51" t="s">
        <v>382</v>
      </c>
      <c r="D1800" s="52">
        <v>6787.8</v>
      </c>
      <c r="E1800" s="35">
        <v>44637</v>
      </c>
      <c r="F1800" s="52">
        <v>6787.8</v>
      </c>
      <c r="G1800" s="53">
        <f>Tabla14[[#This Row],[Importe]]-Tabla14[[#This Row],[Pagado]]</f>
        <v>0</v>
      </c>
      <c r="H1800" s="37" t="s">
        <v>10</v>
      </c>
    </row>
    <row r="1801" spans="1:8" x14ac:dyDescent="0.25">
      <c r="A1801" s="31">
        <v>44637</v>
      </c>
      <c r="B1801" s="37" t="s">
        <v>8854</v>
      </c>
      <c r="C1801" s="51" t="s">
        <v>275</v>
      </c>
      <c r="D1801" s="52">
        <v>93240.02</v>
      </c>
      <c r="E1801" s="35">
        <v>44645</v>
      </c>
      <c r="F1801" s="52">
        <v>93240.02</v>
      </c>
      <c r="G1801" s="53">
        <f>Tabla14[[#This Row],[Importe]]-Tabla14[[#This Row],[Pagado]]</f>
        <v>0</v>
      </c>
      <c r="H1801" s="37" t="s">
        <v>10</v>
      </c>
    </row>
    <row r="1802" spans="1:8" x14ac:dyDescent="0.25">
      <c r="A1802" s="31">
        <v>44637</v>
      </c>
      <c r="B1802" s="37" t="s">
        <v>8855</v>
      </c>
      <c r="C1802" s="51" t="s">
        <v>181</v>
      </c>
      <c r="D1802" s="52">
        <v>11351.3</v>
      </c>
      <c r="E1802" s="35">
        <v>44637</v>
      </c>
      <c r="F1802" s="52">
        <v>11351.3</v>
      </c>
      <c r="G1802" s="53">
        <f>Tabla14[[#This Row],[Importe]]-Tabla14[[#This Row],[Pagado]]</f>
        <v>0</v>
      </c>
      <c r="H1802" s="37" t="s">
        <v>10</v>
      </c>
    </row>
    <row r="1803" spans="1:8" x14ac:dyDescent="0.25">
      <c r="A1803" s="31">
        <v>44637</v>
      </c>
      <c r="B1803" s="37" t="s">
        <v>8856</v>
      </c>
      <c r="C1803" s="51" t="s">
        <v>27</v>
      </c>
      <c r="D1803" s="52">
        <v>1567.5</v>
      </c>
      <c r="E1803" s="35">
        <v>44637</v>
      </c>
      <c r="F1803" s="52">
        <v>1567.5</v>
      </c>
      <c r="G1803" s="53">
        <f>Tabla14[[#This Row],[Importe]]-Tabla14[[#This Row],[Pagado]]</f>
        <v>0</v>
      </c>
      <c r="H1803" s="37" t="s">
        <v>10</v>
      </c>
    </row>
    <row r="1804" spans="1:8" x14ac:dyDescent="0.25">
      <c r="A1804" s="31">
        <v>44637</v>
      </c>
      <c r="B1804" s="37" t="s">
        <v>8857</v>
      </c>
      <c r="C1804" s="51" t="s">
        <v>932</v>
      </c>
      <c r="D1804" s="52">
        <v>1000</v>
      </c>
      <c r="E1804" s="35">
        <v>44637</v>
      </c>
      <c r="F1804" s="52">
        <v>1000</v>
      </c>
      <c r="G1804" s="53">
        <f>Tabla14[[#This Row],[Importe]]-Tabla14[[#This Row],[Pagado]]</f>
        <v>0</v>
      </c>
      <c r="H1804" s="37" t="s">
        <v>10</v>
      </c>
    </row>
    <row r="1805" spans="1:8" x14ac:dyDescent="0.25">
      <c r="A1805" s="31">
        <v>44637</v>
      </c>
      <c r="B1805" s="37" t="s">
        <v>8858</v>
      </c>
      <c r="C1805" s="51" t="s">
        <v>159</v>
      </c>
      <c r="D1805" s="52">
        <v>1269.5999999999999</v>
      </c>
      <c r="E1805" s="35">
        <v>44637</v>
      </c>
      <c r="F1805" s="52">
        <v>1269.5999999999999</v>
      </c>
      <c r="G1805" s="53">
        <f>Tabla14[[#This Row],[Importe]]-Tabla14[[#This Row],[Pagado]]</f>
        <v>0</v>
      </c>
      <c r="H1805" s="37" t="s">
        <v>10</v>
      </c>
    </row>
    <row r="1806" spans="1:8" x14ac:dyDescent="0.25">
      <c r="A1806" s="31">
        <v>44637</v>
      </c>
      <c r="B1806" s="37" t="s">
        <v>8859</v>
      </c>
      <c r="C1806" s="51" t="s">
        <v>426</v>
      </c>
      <c r="D1806" s="52">
        <v>2343</v>
      </c>
      <c r="E1806" s="35">
        <v>44637</v>
      </c>
      <c r="F1806" s="52">
        <v>2343</v>
      </c>
      <c r="G1806" s="53">
        <f>Tabla14[[#This Row],[Importe]]-Tabla14[[#This Row],[Pagado]]</f>
        <v>0</v>
      </c>
      <c r="H1806" s="37" t="s">
        <v>10</v>
      </c>
    </row>
    <row r="1807" spans="1:8" x14ac:dyDescent="0.25">
      <c r="A1807" s="31">
        <v>44637</v>
      </c>
      <c r="B1807" s="37" t="s">
        <v>8860</v>
      </c>
      <c r="C1807" s="51" t="s">
        <v>359</v>
      </c>
      <c r="D1807" s="52">
        <v>1435</v>
      </c>
      <c r="E1807" s="35">
        <v>44637</v>
      </c>
      <c r="F1807" s="52">
        <v>1435</v>
      </c>
      <c r="G1807" s="53">
        <f>Tabla14[[#This Row],[Importe]]-Tabla14[[#This Row],[Pagado]]</f>
        <v>0</v>
      </c>
      <c r="H1807" s="37" t="s">
        <v>10</v>
      </c>
    </row>
    <row r="1808" spans="1:8" x14ac:dyDescent="0.25">
      <c r="A1808" s="31">
        <v>44637</v>
      </c>
      <c r="B1808" s="37" t="s">
        <v>8861</v>
      </c>
      <c r="C1808" s="51" t="s">
        <v>131</v>
      </c>
      <c r="D1808" s="52">
        <v>16960</v>
      </c>
      <c r="E1808" s="35">
        <v>44637</v>
      </c>
      <c r="F1808" s="52">
        <v>16960</v>
      </c>
      <c r="G1808" s="53">
        <f>Tabla14[[#This Row],[Importe]]-Tabla14[[#This Row],[Pagado]]</f>
        <v>0</v>
      </c>
      <c r="H1808" s="37" t="s">
        <v>10</v>
      </c>
    </row>
    <row r="1809" spans="1:8" x14ac:dyDescent="0.25">
      <c r="A1809" s="31">
        <v>44637</v>
      </c>
      <c r="B1809" s="37" t="s">
        <v>8862</v>
      </c>
      <c r="C1809" s="51" t="s">
        <v>179</v>
      </c>
      <c r="D1809" s="52">
        <v>1058.4000000000001</v>
      </c>
      <c r="E1809" s="35">
        <v>44637</v>
      </c>
      <c r="F1809" s="52">
        <v>1058.4000000000001</v>
      </c>
      <c r="G1809" s="53">
        <f>Tabla14[[#This Row],[Importe]]-Tabla14[[#This Row],[Pagado]]</f>
        <v>0</v>
      </c>
      <c r="H1809" s="37" t="s">
        <v>10</v>
      </c>
    </row>
    <row r="1810" spans="1:8" x14ac:dyDescent="0.25">
      <c r="A1810" s="31">
        <v>44637</v>
      </c>
      <c r="B1810" s="37" t="s">
        <v>8863</v>
      </c>
      <c r="C1810" s="51" t="s">
        <v>484</v>
      </c>
      <c r="D1810" s="52">
        <v>5448</v>
      </c>
      <c r="E1810" s="35">
        <v>44637</v>
      </c>
      <c r="F1810" s="52">
        <v>5448</v>
      </c>
      <c r="G1810" s="53">
        <f>Tabla14[[#This Row],[Importe]]-Tabla14[[#This Row],[Pagado]]</f>
        <v>0</v>
      </c>
      <c r="H1810" s="37" t="s">
        <v>10</v>
      </c>
    </row>
    <row r="1811" spans="1:8" x14ac:dyDescent="0.25">
      <c r="A1811" s="31">
        <v>44637</v>
      </c>
      <c r="B1811" s="37" t="s">
        <v>8864</v>
      </c>
      <c r="C1811" s="51" t="s">
        <v>161</v>
      </c>
      <c r="D1811" s="52">
        <v>3852.8</v>
      </c>
      <c r="E1811" s="35">
        <v>44637</v>
      </c>
      <c r="F1811" s="52">
        <v>3852.8</v>
      </c>
      <c r="G1811" s="53">
        <f>Tabla14[[#This Row],[Importe]]-Tabla14[[#This Row],[Pagado]]</f>
        <v>0</v>
      </c>
      <c r="H1811" s="37" t="s">
        <v>10</v>
      </c>
    </row>
    <row r="1812" spans="1:8" x14ac:dyDescent="0.25">
      <c r="A1812" s="31">
        <v>44637</v>
      </c>
      <c r="B1812" s="37" t="s">
        <v>8865</v>
      </c>
      <c r="C1812" s="51" t="s">
        <v>647</v>
      </c>
      <c r="D1812" s="52">
        <v>3514.2</v>
      </c>
      <c r="E1812" s="35">
        <v>44637</v>
      </c>
      <c r="F1812" s="52">
        <v>3514.2</v>
      </c>
      <c r="G1812" s="53">
        <f>Tabla14[[#This Row],[Importe]]-Tabla14[[#This Row],[Pagado]]</f>
        <v>0</v>
      </c>
      <c r="H1812" s="37" t="s">
        <v>10</v>
      </c>
    </row>
    <row r="1813" spans="1:8" x14ac:dyDescent="0.25">
      <c r="A1813" s="31">
        <v>44637</v>
      </c>
      <c r="B1813" s="37" t="s">
        <v>8866</v>
      </c>
      <c r="C1813" s="51" t="s">
        <v>56</v>
      </c>
      <c r="D1813" s="52">
        <v>7797.8</v>
      </c>
      <c r="E1813" s="35">
        <v>44637</v>
      </c>
      <c r="F1813" s="52">
        <v>7797.8</v>
      </c>
      <c r="G1813" s="53">
        <f>Tabla14[[#This Row],[Importe]]-Tabla14[[#This Row],[Pagado]]</f>
        <v>0</v>
      </c>
      <c r="H1813" s="37" t="s">
        <v>10</v>
      </c>
    </row>
    <row r="1814" spans="1:8" x14ac:dyDescent="0.25">
      <c r="A1814" s="31">
        <v>44637</v>
      </c>
      <c r="B1814" s="37" t="s">
        <v>8867</v>
      </c>
      <c r="C1814" s="51" t="s">
        <v>53</v>
      </c>
      <c r="D1814" s="52">
        <v>885.5</v>
      </c>
      <c r="E1814" s="35">
        <v>44637</v>
      </c>
      <c r="F1814" s="52">
        <v>885.5</v>
      </c>
      <c r="G1814" s="53">
        <f>Tabla14[[#This Row],[Importe]]-Tabla14[[#This Row],[Pagado]]</f>
        <v>0</v>
      </c>
      <c r="H1814" s="37" t="s">
        <v>10</v>
      </c>
    </row>
    <row r="1815" spans="1:8" x14ac:dyDescent="0.25">
      <c r="A1815" s="31">
        <v>44637</v>
      </c>
      <c r="B1815" s="37" t="s">
        <v>8868</v>
      </c>
      <c r="C1815" s="51" t="s">
        <v>226</v>
      </c>
      <c r="D1815" s="52">
        <v>3778</v>
      </c>
      <c r="E1815" s="35">
        <v>44637</v>
      </c>
      <c r="F1815" s="52">
        <v>3778</v>
      </c>
      <c r="G1815" s="53">
        <f>Tabla14[[#This Row],[Importe]]-Tabla14[[#This Row],[Pagado]]</f>
        <v>0</v>
      </c>
      <c r="H1815" s="37" t="s">
        <v>10</v>
      </c>
    </row>
    <row r="1816" spans="1:8" x14ac:dyDescent="0.25">
      <c r="A1816" s="31">
        <v>44637</v>
      </c>
      <c r="B1816" s="37" t="s">
        <v>8869</v>
      </c>
      <c r="C1816" s="51" t="s">
        <v>142</v>
      </c>
      <c r="D1816" s="52">
        <v>51776.46</v>
      </c>
      <c r="E1816" s="35">
        <v>44670</v>
      </c>
      <c r="F1816" s="52">
        <v>51776.46</v>
      </c>
      <c r="G1816" s="53">
        <f>Tabla14[[#This Row],[Importe]]-Tabla14[[#This Row],[Pagado]]</f>
        <v>0</v>
      </c>
      <c r="H1816" s="37" t="s">
        <v>10</v>
      </c>
    </row>
    <row r="1817" spans="1:8" x14ac:dyDescent="0.25">
      <c r="A1817" s="31">
        <v>44637</v>
      </c>
      <c r="B1817" s="37" t="s">
        <v>8870</v>
      </c>
      <c r="C1817" s="51" t="s">
        <v>312</v>
      </c>
      <c r="D1817" s="52">
        <v>3328.8</v>
      </c>
      <c r="E1817" s="35">
        <v>44637</v>
      </c>
      <c r="F1817" s="52">
        <v>3328.8</v>
      </c>
      <c r="G1817" s="53">
        <f>Tabla14[[#This Row],[Importe]]-Tabla14[[#This Row],[Pagado]]</f>
        <v>0</v>
      </c>
      <c r="H1817" s="37" t="s">
        <v>10</v>
      </c>
    </row>
    <row r="1818" spans="1:8" x14ac:dyDescent="0.25">
      <c r="A1818" s="31">
        <v>44637</v>
      </c>
      <c r="B1818" s="37" t="s">
        <v>8871</v>
      </c>
      <c r="C1818" s="51" t="s">
        <v>5043</v>
      </c>
      <c r="D1818" s="52">
        <v>658.8</v>
      </c>
      <c r="E1818" s="35">
        <v>44638</v>
      </c>
      <c r="F1818" s="52">
        <v>658.8</v>
      </c>
      <c r="G1818" s="53">
        <f>Tabla14[[#This Row],[Importe]]-Tabla14[[#This Row],[Pagado]]</f>
        <v>0</v>
      </c>
      <c r="H1818" s="37" t="s">
        <v>10</v>
      </c>
    </row>
    <row r="1819" spans="1:8" x14ac:dyDescent="0.25">
      <c r="A1819" s="31">
        <v>44637</v>
      </c>
      <c r="B1819" s="37" t="s">
        <v>8872</v>
      </c>
      <c r="C1819" s="51" t="s">
        <v>204</v>
      </c>
      <c r="D1819" s="52">
        <v>319.8</v>
      </c>
      <c r="E1819" s="35">
        <v>44637</v>
      </c>
      <c r="F1819" s="52">
        <v>319.8</v>
      </c>
      <c r="G1819" s="53">
        <f>Tabla14[[#This Row],[Importe]]-Tabla14[[#This Row],[Pagado]]</f>
        <v>0</v>
      </c>
      <c r="H1819" s="37" t="s">
        <v>10</v>
      </c>
    </row>
    <row r="1820" spans="1:8" x14ac:dyDescent="0.25">
      <c r="A1820" s="31">
        <v>44637</v>
      </c>
      <c r="B1820" s="37" t="s">
        <v>8873</v>
      </c>
      <c r="C1820" s="51" t="s">
        <v>373</v>
      </c>
      <c r="D1820" s="52">
        <v>216.8</v>
      </c>
      <c r="E1820" s="35">
        <v>44637</v>
      </c>
      <c r="F1820" s="52">
        <v>216.8</v>
      </c>
      <c r="G1820" s="53">
        <f>Tabla14[[#This Row],[Importe]]-Tabla14[[#This Row],[Pagado]]</f>
        <v>0</v>
      </c>
      <c r="H1820" s="37" t="s">
        <v>10</v>
      </c>
    </row>
    <row r="1821" spans="1:8" x14ac:dyDescent="0.25">
      <c r="A1821" s="31">
        <v>44637</v>
      </c>
      <c r="B1821" s="37" t="s">
        <v>8874</v>
      </c>
      <c r="C1821" s="51" t="s">
        <v>45</v>
      </c>
      <c r="D1821" s="52">
        <v>12771.6</v>
      </c>
      <c r="E1821" s="35">
        <v>44637</v>
      </c>
      <c r="F1821" s="52">
        <v>12771.6</v>
      </c>
      <c r="G1821" s="53">
        <f>Tabla14[[#This Row],[Importe]]-Tabla14[[#This Row],[Pagado]]</f>
        <v>0</v>
      </c>
      <c r="H1821" s="37" t="s">
        <v>10</v>
      </c>
    </row>
    <row r="1822" spans="1:8" x14ac:dyDescent="0.25">
      <c r="A1822" s="31">
        <v>44637</v>
      </c>
      <c r="B1822" s="37" t="s">
        <v>8875</v>
      </c>
      <c r="C1822" s="51" t="s">
        <v>45</v>
      </c>
      <c r="D1822" s="52">
        <v>160</v>
      </c>
      <c r="E1822" s="35">
        <v>44637</v>
      </c>
      <c r="F1822" s="52">
        <v>160</v>
      </c>
      <c r="G1822" s="53">
        <f>Tabla14[[#This Row],[Importe]]-Tabla14[[#This Row],[Pagado]]</f>
        <v>0</v>
      </c>
      <c r="H1822" s="37" t="s">
        <v>10</v>
      </c>
    </row>
    <row r="1823" spans="1:8" x14ac:dyDescent="0.25">
      <c r="A1823" s="31">
        <v>44637</v>
      </c>
      <c r="B1823" s="37" t="s">
        <v>8876</v>
      </c>
      <c r="C1823" s="51" t="s">
        <v>373</v>
      </c>
      <c r="D1823" s="52">
        <v>80</v>
      </c>
      <c r="E1823" s="35">
        <v>44637</v>
      </c>
      <c r="F1823" s="52">
        <v>80</v>
      </c>
      <c r="G1823" s="53">
        <f>Tabla14[[#This Row],[Importe]]-Tabla14[[#This Row],[Pagado]]</f>
        <v>0</v>
      </c>
      <c r="H1823" s="37" t="s">
        <v>10</v>
      </c>
    </row>
    <row r="1824" spans="1:8" x14ac:dyDescent="0.25">
      <c r="A1824" s="31">
        <v>44637</v>
      </c>
      <c r="B1824" s="37" t="s">
        <v>8877</v>
      </c>
      <c r="C1824" s="51" t="s">
        <v>326</v>
      </c>
      <c r="D1824" s="52">
        <v>1846.8</v>
      </c>
      <c r="E1824" s="35">
        <v>44637</v>
      </c>
      <c r="F1824" s="52">
        <v>1846.8</v>
      </c>
      <c r="G1824" s="53">
        <f>Tabla14[[#This Row],[Importe]]-Tabla14[[#This Row],[Pagado]]</f>
        <v>0</v>
      </c>
      <c r="H1824" s="37" t="s">
        <v>10</v>
      </c>
    </row>
    <row r="1825" spans="1:8" x14ac:dyDescent="0.25">
      <c r="A1825" s="31">
        <v>44637</v>
      </c>
      <c r="B1825" s="37" t="s">
        <v>8878</v>
      </c>
      <c r="C1825" s="51" t="s">
        <v>2383</v>
      </c>
      <c r="D1825" s="52">
        <v>1768</v>
      </c>
      <c r="E1825" s="35">
        <v>44637</v>
      </c>
      <c r="F1825" s="52">
        <v>1768</v>
      </c>
      <c r="G1825" s="53">
        <f>Tabla14[[#This Row],[Importe]]-Tabla14[[#This Row],[Pagado]]</f>
        <v>0</v>
      </c>
      <c r="H1825" s="37" t="s">
        <v>10</v>
      </c>
    </row>
    <row r="1826" spans="1:8" x14ac:dyDescent="0.25">
      <c r="A1826" s="31">
        <v>44637</v>
      </c>
      <c r="B1826" s="37" t="s">
        <v>8879</v>
      </c>
      <c r="C1826" s="51" t="s">
        <v>49</v>
      </c>
      <c r="D1826" s="52">
        <v>3394.3</v>
      </c>
      <c r="E1826" s="35">
        <v>44637</v>
      </c>
      <c r="F1826" s="52">
        <v>3394.3</v>
      </c>
      <c r="G1826" s="53">
        <f>Tabla14[[#This Row],[Importe]]-Tabla14[[#This Row],[Pagado]]</f>
        <v>0</v>
      </c>
      <c r="H1826" s="37" t="s">
        <v>10</v>
      </c>
    </row>
    <row r="1827" spans="1:8" x14ac:dyDescent="0.25">
      <c r="A1827" s="31">
        <v>44637</v>
      </c>
      <c r="B1827" s="37" t="s">
        <v>8880</v>
      </c>
      <c r="C1827" s="51" t="s">
        <v>226</v>
      </c>
      <c r="D1827" s="52">
        <v>11772</v>
      </c>
      <c r="E1827" s="35">
        <v>44637</v>
      </c>
      <c r="F1827" s="52">
        <v>11772</v>
      </c>
      <c r="G1827" s="53">
        <f>Tabla14[[#This Row],[Importe]]-Tabla14[[#This Row],[Pagado]]</f>
        <v>0</v>
      </c>
      <c r="H1827" s="37" t="s">
        <v>10</v>
      </c>
    </row>
    <row r="1828" spans="1:8" x14ac:dyDescent="0.25">
      <c r="A1828" s="31">
        <v>44637</v>
      </c>
      <c r="B1828" s="37" t="s">
        <v>8881</v>
      </c>
      <c r="C1828" s="51" t="s">
        <v>191</v>
      </c>
      <c r="D1828" s="52">
        <v>1956.1</v>
      </c>
      <c r="E1828" s="35">
        <v>44637</v>
      </c>
      <c r="F1828" s="52">
        <v>1956.1</v>
      </c>
      <c r="G1828" s="53">
        <f>Tabla14[[#This Row],[Importe]]-Tabla14[[#This Row],[Pagado]]</f>
        <v>0</v>
      </c>
      <c r="H1828" s="37" t="s">
        <v>10</v>
      </c>
    </row>
    <row r="1829" spans="1:8" x14ac:dyDescent="0.25">
      <c r="A1829" s="31">
        <v>44637</v>
      </c>
      <c r="B1829" s="37" t="s">
        <v>8882</v>
      </c>
      <c r="C1829" s="51" t="s">
        <v>33</v>
      </c>
      <c r="D1829" s="52">
        <v>14713</v>
      </c>
      <c r="E1829" s="35">
        <v>44637</v>
      </c>
      <c r="F1829" s="52">
        <v>14713</v>
      </c>
      <c r="G1829" s="53">
        <f>Tabla14[[#This Row],[Importe]]-Tabla14[[#This Row],[Pagado]]</f>
        <v>0</v>
      </c>
      <c r="H1829" s="37" t="s">
        <v>10</v>
      </c>
    </row>
    <row r="1830" spans="1:8" x14ac:dyDescent="0.25">
      <c r="A1830" s="31">
        <v>44637</v>
      </c>
      <c r="B1830" s="37" t="s">
        <v>8883</v>
      </c>
      <c r="C1830" s="51" t="s">
        <v>228</v>
      </c>
      <c r="D1830" s="52">
        <v>4653.3999999999996</v>
      </c>
      <c r="E1830" s="35">
        <v>44637</v>
      </c>
      <c r="F1830" s="52">
        <v>4653.3999999999996</v>
      </c>
      <c r="G1830" s="53">
        <f>Tabla14[[#This Row],[Importe]]-Tabla14[[#This Row],[Pagado]]</f>
        <v>0</v>
      </c>
      <c r="H1830" s="37" t="s">
        <v>10</v>
      </c>
    </row>
    <row r="1831" spans="1:8" x14ac:dyDescent="0.25">
      <c r="A1831" s="31">
        <v>44637</v>
      </c>
      <c r="B1831" s="37" t="s">
        <v>8884</v>
      </c>
      <c r="C1831" s="51" t="s">
        <v>562</v>
      </c>
      <c r="D1831" s="52">
        <v>2750.4</v>
      </c>
      <c r="E1831" s="35">
        <v>44637</v>
      </c>
      <c r="F1831" s="52">
        <v>2750.4</v>
      </c>
      <c r="G1831" s="53">
        <f>Tabla14[[#This Row],[Importe]]-Tabla14[[#This Row],[Pagado]]</f>
        <v>0</v>
      </c>
      <c r="H1831" s="37" t="s">
        <v>10</v>
      </c>
    </row>
    <row r="1832" spans="1:8" x14ac:dyDescent="0.25">
      <c r="A1832" s="31">
        <v>44637</v>
      </c>
      <c r="B1832" s="37" t="s">
        <v>8885</v>
      </c>
      <c r="C1832" s="51" t="s">
        <v>31</v>
      </c>
      <c r="D1832" s="52">
        <v>957</v>
      </c>
      <c r="E1832" s="35">
        <v>44637</v>
      </c>
      <c r="F1832" s="52">
        <v>957</v>
      </c>
      <c r="G1832" s="53">
        <f>Tabla14[[#This Row],[Importe]]-Tabla14[[#This Row],[Pagado]]</f>
        <v>0</v>
      </c>
      <c r="H1832" s="37" t="s">
        <v>10</v>
      </c>
    </row>
    <row r="1833" spans="1:8" x14ac:dyDescent="0.25">
      <c r="A1833" s="31">
        <v>44637</v>
      </c>
      <c r="B1833" s="37" t="s">
        <v>8886</v>
      </c>
      <c r="C1833" s="51" t="s">
        <v>698</v>
      </c>
      <c r="D1833" s="52">
        <v>6585</v>
      </c>
      <c r="E1833" s="35">
        <v>44637</v>
      </c>
      <c r="F1833" s="52">
        <v>6585</v>
      </c>
      <c r="G1833" s="53">
        <f>Tabla14[[#This Row],[Importe]]-Tabla14[[#This Row],[Pagado]]</f>
        <v>0</v>
      </c>
      <c r="H1833" s="37" t="s">
        <v>10</v>
      </c>
    </row>
    <row r="1834" spans="1:8" x14ac:dyDescent="0.25">
      <c r="A1834" s="31">
        <v>44637</v>
      </c>
      <c r="B1834" s="37" t="s">
        <v>8887</v>
      </c>
      <c r="C1834" s="51" t="s">
        <v>715</v>
      </c>
      <c r="D1834" s="52">
        <v>7103.2</v>
      </c>
      <c r="E1834" s="35">
        <v>44637</v>
      </c>
      <c r="F1834" s="52">
        <v>7103.2</v>
      </c>
      <c r="G1834" s="53">
        <f>Tabla14[[#This Row],[Importe]]-Tabla14[[#This Row],[Pagado]]</f>
        <v>0</v>
      </c>
      <c r="H1834" s="37" t="s">
        <v>10</v>
      </c>
    </row>
    <row r="1835" spans="1:8" x14ac:dyDescent="0.25">
      <c r="A1835" s="31">
        <v>44637</v>
      </c>
      <c r="B1835" s="37" t="s">
        <v>8888</v>
      </c>
      <c r="C1835" s="51" t="s">
        <v>454</v>
      </c>
      <c r="D1835" s="52">
        <v>3667.2</v>
      </c>
      <c r="E1835" s="35">
        <v>44637</v>
      </c>
      <c r="F1835" s="52">
        <v>3667.2</v>
      </c>
      <c r="G1835" s="53">
        <f>Tabla14[[#This Row],[Importe]]-Tabla14[[#This Row],[Pagado]]</f>
        <v>0</v>
      </c>
      <c r="H1835" s="37" t="s">
        <v>10</v>
      </c>
    </row>
    <row r="1836" spans="1:8" x14ac:dyDescent="0.25">
      <c r="A1836" s="31">
        <v>44637</v>
      </c>
      <c r="B1836" s="37" t="s">
        <v>8889</v>
      </c>
      <c r="C1836" s="51" t="s">
        <v>216</v>
      </c>
      <c r="D1836" s="52">
        <v>1350</v>
      </c>
      <c r="E1836" s="35">
        <v>44637</v>
      </c>
      <c r="F1836" s="52">
        <v>1350</v>
      </c>
      <c r="G1836" s="53">
        <f>Tabla14[[#This Row],[Importe]]-Tabla14[[#This Row],[Pagado]]</f>
        <v>0</v>
      </c>
      <c r="H1836" s="37" t="s">
        <v>10</v>
      </c>
    </row>
    <row r="1837" spans="1:8" x14ac:dyDescent="0.25">
      <c r="A1837" s="31">
        <v>44637</v>
      </c>
      <c r="B1837" s="37" t="s">
        <v>8890</v>
      </c>
      <c r="C1837" s="51" t="s">
        <v>58</v>
      </c>
      <c r="D1837" s="52">
        <v>3048</v>
      </c>
      <c r="E1837" s="35">
        <v>44637</v>
      </c>
      <c r="F1837" s="52">
        <v>3048</v>
      </c>
      <c r="G1837" s="53">
        <f>Tabla14[[#This Row],[Importe]]-Tabla14[[#This Row],[Pagado]]</f>
        <v>0</v>
      </c>
      <c r="H1837" s="37" t="s">
        <v>10</v>
      </c>
    </row>
    <row r="1838" spans="1:8" x14ac:dyDescent="0.25">
      <c r="A1838" s="31">
        <v>44637</v>
      </c>
      <c r="B1838" s="37" t="s">
        <v>8891</v>
      </c>
      <c r="C1838" s="51" t="s">
        <v>29</v>
      </c>
      <c r="D1838" s="52">
        <v>4611.6000000000004</v>
      </c>
      <c r="E1838" s="35">
        <v>44637</v>
      </c>
      <c r="F1838" s="52">
        <v>4611.6000000000004</v>
      </c>
      <c r="G1838" s="53">
        <f>Tabla14[[#This Row],[Importe]]-Tabla14[[#This Row],[Pagado]]</f>
        <v>0</v>
      </c>
      <c r="H1838" s="37" t="s">
        <v>10</v>
      </c>
    </row>
    <row r="1839" spans="1:8" x14ac:dyDescent="0.25">
      <c r="A1839" s="31">
        <v>44637</v>
      </c>
      <c r="B1839" s="37" t="s">
        <v>8892</v>
      </c>
      <c r="C1839" s="51" t="s">
        <v>289</v>
      </c>
      <c r="D1839" s="52">
        <v>8152.8</v>
      </c>
      <c r="E1839" s="35">
        <v>44637</v>
      </c>
      <c r="F1839" s="52">
        <v>8152.8</v>
      </c>
      <c r="G1839" s="53">
        <f>Tabla14[[#This Row],[Importe]]-Tabla14[[#This Row],[Pagado]]</f>
        <v>0</v>
      </c>
      <c r="H1839" s="37" t="s">
        <v>10</v>
      </c>
    </row>
    <row r="1840" spans="1:8" x14ac:dyDescent="0.25">
      <c r="A1840" s="31">
        <v>44637</v>
      </c>
      <c r="B1840" s="37" t="s">
        <v>8893</v>
      </c>
      <c r="C1840" s="51" t="s">
        <v>67</v>
      </c>
      <c r="D1840" s="52">
        <v>9962.2000000000007</v>
      </c>
      <c r="E1840" s="35">
        <v>44637</v>
      </c>
      <c r="F1840" s="52">
        <v>9962.2000000000007</v>
      </c>
      <c r="G1840" s="53">
        <f>Tabla14[[#This Row],[Importe]]-Tabla14[[#This Row],[Pagado]]</f>
        <v>0</v>
      </c>
      <c r="H1840" s="37" t="s">
        <v>10</v>
      </c>
    </row>
    <row r="1841" spans="1:8" x14ac:dyDescent="0.25">
      <c r="A1841" s="31">
        <v>44637</v>
      </c>
      <c r="B1841" s="37" t="s">
        <v>8894</v>
      </c>
      <c r="C1841" s="51" t="s">
        <v>146</v>
      </c>
      <c r="D1841" s="52">
        <v>3439.4</v>
      </c>
      <c r="E1841" s="35">
        <v>44637</v>
      </c>
      <c r="F1841" s="52">
        <v>3439.4</v>
      </c>
      <c r="G1841" s="53">
        <f>Tabla14[[#This Row],[Importe]]-Tabla14[[#This Row],[Pagado]]</f>
        <v>0</v>
      </c>
      <c r="H1841" s="37" t="s">
        <v>10</v>
      </c>
    </row>
    <row r="1842" spans="1:8" x14ac:dyDescent="0.25">
      <c r="A1842" s="31">
        <v>44637</v>
      </c>
      <c r="B1842" s="37" t="s">
        <v>8895</v>
      </c>
      <c r="C1842" s="51" t="s">
        <v>357</v>
      </c>
      <c r="D1842" s="52">
        <v>1237.5</v>
      </c>
      <c r="E1842" s="35">
        <v>44637</v>
      </c>
      <c r="F1842" s="52">
        <v>1237.5</v>
      </c>
      <c r="G1842" s="53">
        <f>Tabla14[[#This Row],[Importe]]-Tabla14[[#This Row],[Pagado]]</f>
        <v>0</v>
      </c>
      <c r="H1842" s="37" t="s">
        <v>10</v>
      </c>
    </row>
    <row r="1843" spans="1:8" x14ac:dyDescent="0.25">
      <c r="A1843" s="31">
        <v>44637</v>
      </c>
      <c r="B1843" s="37" t="s">
        <v>8896</v>
      </c>
      <c r="C1843" s="51" t="s">
        <v>16</v>
      </c>
      <c r="D1843" s="52">
        <v>1892.4</v>
      </c>
      <c r="E1843" s="35">
        <v>44637</v>
      </c>
      <c r="F1843" s="52">
        <v>1892.4</v>
      </c>
      <c r="G1843" s="53">
        <f>Tabla14[[#This Row],[Importe]]-Tabla14[[#This Row],[Pagado]]</f>
        <v>0</v>
      </c>
      <c r="H1843" s="37" t="s">
        <v>10</v>
      </c>
    </row>
    <row r="1844" spans="1:8" x14ac:dyDescent="0.25">
      <c r="A1844" s="31">
        <v>44637</v>
      </c>
      <c r="B1844" s="37" t="s">
        <v>8897</v>
      </c>
      <c r="C1844" s="51" t="s">
        <v>670</v>
      </c>
      <c r="D1844" s="52">
        <v>3371.2</v>
      </c>
      <c r="E1844" s="35">
        <v>44637</v>
      </c>
      <c r="F1844" s="52">
        <v>3371.2</v>
      </c>
      <c r="G1844" s="53">
        <f>Tabla14[[#This Row],[Importe]]-Tabla14[[#This Row],[Pagado]]</f>
        <v>0</v>
      </c>
      <c r="H1844" s="37" t="s">
        <v>10</v>
      </c>
    </row>
    <row r="1845" spans="1:8" x14ac:dyDescent="0.25">
      <c r="A1845" s="31">
        <v>44637</v>
      </c>
      <c r="B1845" s="37" t="s">
        <v>8898</v>
      </c>
      <c r="C1845" s="51" t="s">
        <v>140</v>
      </c>
      <c r="D1845" s="52">
        <v>984.5</v>
      </c>
      <c r="E1845" s="35">
        <v>44637</v>
      </c>
      <c r="F1845" s="52">
        <v>984.5</v>
      </c>
      <c r="G1845" s="53">
        <f>Tabla14[[#This Row],[Importe]]-Tabla14[[#This Row],[Pagado]]</f>
        <v>0</v>
      </c>
      <c r="H1845" s="37" t="s">
        <v>10</v>
      </c>
    </row>
    <row r="1846" spans="1:8" x14ac:dyDescent="0.25">
      <c r="A1846" s="31">
        <v>44637</v>
      </c>
      <c r="B1846" s="37" t="s">
        <v>8899</v>
      </c>
      <c r="C1846" s="51" t="s">
        <v>214</v>
      </c>
      <c r="D1846" s="52">
        <v>945</v>
      </c>
      <c r="E1846" s="35">
        <v>44637</v>
      </c>
      <c r="F1846" s="52">
        <v>945</v>
      </c>
      <c r="G1846" s="53">
        <f>Tabla14[[#This Row],[Importe]]-Tabla14[[#This Row],[Pagado]]</f>
        <v>0</v>
      </c>
      <c r="H1846" s="37" t="s">
        <v>10</v>
      </c>
    </row>
    <row r="1847" spans="1:8" x14ac:dyDescent="0.25">
      <c r="A1847" s="31">
        <v>44637</v>
      </c>
      <c r="B1847" s="37" t="s">
        <v>8900</v>
      </c>
      <c r="C1847" s="51" t="s">
        <v>129</v>
      </c>
      <c r="D1847" s="52">
        <v>988.5</v>
      </c>
      <c r="E1847" s="35">
        <v>44637</v>
      </c>
      <c r="F1847" s="52">
        <v>988.5</v>
      </c>
      <c r="G1847" s="53">
        <f>Tabla14[[#This Row],[Importe]]-Tabla14[[#This Row],[Pagado]]</f>
        <v>0</v>
      </c>
      <c r="H1847" s="37" t="s">
        <v>10</v>
      </c>
    </row>
    <row r="1848" spans="1:8" x14ac:dyDescent="0.25">
      <c r="A1848" s="31">
        <v>44637</v>
      </c>
      <c r="B1848" s="37" t="s">
        <v>8901</v>
      </c>
      <c r="C1848" s="51" t="s">
        <v>127</v>
      </c>
      <c r="D1848" s="52">
        <v>4508.7</v>
      </c>
      <c r="E1848" s="35">
        <v>44637</v>
      </c>
      <c r="F1848" s="52">
        <v>4508.7</v>
      </c>
      <c r="G1848" s="53">
        <f>Tabla14[[#This Row],[Importe]]-Tabla14[[#This Row],[Pagado]]</f>
        <v>0</v>
      </c>
      <c r="H1848" s="37" t="s">
        <v>10</v>
      </c>
    </row>
    <row r="1849" spans="1:8" x14ac:dyDescent="0.25">
      <c r="A1849" s="31">
        <v>44637</v>
      </c>
      <c r="B1849" s="37" t="s">
        <v>8902</v>
      </c>
      <c r="C1849" s="51" t="s">
        <v>365</v>
      </c>
      <c r="D1849" s="52">
        <v>2368.6</v>
      </c>
      <c r="E1849" s="35">
        <v>44637</v>
      </c>
      <c r="F1849" s="52">
        <v>2368.6</v>
      </c>
      <c r="G1849" s="53">
        <f>Tabla14[[#This Row],[Importe]]-Tabla14[[#This Row],[Pagado]]</f>
        <v>0</v>
      </c>
      <c r="H1849" s="37" t="s">
        <v>10</v>
      </c>
    </row>
    <row r="1850" spans="1:8" x14ac:dyDescent="0.25">
      <c r="A1850" s="31">
        <v>44637</v>
      </c>
      <c r="B1850" s="37" t="s">
        <v>8903</v>
      </c>
      <c r="C1850" s="51" t="s">
        <v>664</v>
      </c>
      <c r="D1850" s="52">
        <v>14481</v>
      </c>
      <c r="E1850" s="35">
        <v>44637</v>
      </c>
      <c r="F1850" s="52">
        <v>14481</v>
      </c>
      <c r="G1850" s="53">
        <f>Tabla14[[#This Row],[Importe]]-Tabla14[[#This Row],[Pagado]]</f>
        <v>0</v>
      </c>
      <c r="H1850" s="37" t="s">
        <v>10</v>
      </c>
    </row>
    <row r="1851" spans="1:8" x14ac:dyDescent="0.25">
      <c r="A1851" s="31">
        <v>44637</v>
      </c>
      <c r="B1851" s="37" t="s">
        <v>8904</v>
      </c>
      <c r="C1851" s="51" t="s">
        <v>31</v>
      </c>
      <c r="D1851" s="52">
        <v>904</v>
      </c>
      <c r="E1851" s="35">
        <v>44637</v>
      </c>
      <c r="F1851" s="52">
        <v>904</v>
      </c>
      <c r="G1851" s="53">
        <f>Tabla14[[#This Row],[Importe]]-Tabla14[[#This Row],[Pagado]]</f>
        <v>0</v>
      </c>
      <c r="H1851" s="37" t="s">
        <v>10</v>
      </c>
    </row>
    <row r="1852" spans="1:8" x14ac:dyDescent="0.25">
      <c r="A1852" s="31">
        <v>44637</v>
      </c>
      <c r="B1852" s="37" t="s">
        <v>8905</v>
      </c>
      <c r="C1852" s="51" t="s">
        <v>107</v>
      </c>
      <c r="D1852" s="52">
        <v>7089.6</v>
      </c>
      <c r="E1852" s="35">
        <v>44637</v>
      </c>
      <c r="F1852" s="52">
        <v>7089.6</v>
      </c>
      <c r="G1852" s="53">
        <f>Tabla14[[#This Row],[Importe]]-Tabla14[[#This Row],[Pagado]]</f>
        <v>0</v>
      </c>
      <c r="H1852" s="37" t="s">
        <v>10</v>
      </c>
    </row>
    <row r="1853" spans="1:8" x14ac:dyDescent="0.25">
      <c r="A1853" s="31">
        <v>44637</v>
      </c>
      <c r="B1853" s="37" t="s">
        <v>8906</v>
      </c>
      <c r="C1853" s="51" t="s">
        <v>878</v>
      </c>
      <c r="D1853" s="52">
        <v>3354.9</v>
      </c>
      <c r="E1853" s="35">
        <v>44637</v>
      </c>
      <c r="F1853" s="52">
        <v>3354.9</v>
      </c>
      <c r="G1853" s="53">
        <f>Tabla14[[#This Row],[Importe]]-Tabla14[[#This Row],[Pagado]]</f>
        <v>0</v>
      </c>
      <c r="H1853" s="37" t="s">
        <v>10</v>
      </c>
    </row>
    <row r="1854" spans="1:8" x14ac:dyDescent="0.25">
      <c r="A1854" s="31">
        <v>44637</v>
      </c>
      <c r="B1854" s="37" t="s">
        <v>8907</v>
      </c>
      <c r="C1854" s="51" t="s">
        <v>703</v>
      </c>
      <c r="D1854" s="52">
        <v>4197.6000000000004</v>
      </c>
      <c r="E1854" s="35">
        <v>44637</v>
      </c>
      <c r="F1854" s="52">
        <v>4197.6000000000004</v>
      </c>
      <c r="G1854" s="53">
        <f>Tabla14[[#This Row],[Importe]]-Tabla14[[#This Row],[Pagado]]</f>
        <v>0</v>
      </c>
      <c r="H1854" s="37" t="s">
        <v>10</v>
      </c>
    </row>
    <row r="1855" spans="1:8" x14ac:dyDescent="0.25">
      <c r="A1855" s="31">
        <v>44637</v>
      </c>
      <c r="B1855" s="37" t="s">
        <v>8908</v>
      </c>
      <c r="C1855" s="51" t="s">
        <v>1265</v>
      </c>
      <c r="D1855" s="52">
        <v>864.4</v>
      </c>
      <c r="E1855" s="35">
        <v>44637</v>
      </c>
      <c r="F1855" s="52">
        <v>864.4</v>
      </c>
      <c r="G1855" s="53">
        <f>Tabla14[[#This Row],[Importe]]-Tabla14[[#This Row],[Pagado]]</f>
        <v>0</v>
      </c>
      <c r="H1855" s="37" t="s">
        <v>10</v>
      </c>
    </row>
    <row r="1856" spans="1:8" x14ac:dyDescent="0.25">
      <c r="A1856" s="31">
        <v>44637</v>
      </c>
      <c r="B1856" s="37" t="s">
        <v>8909</v>
      </c>
      <c r="C1856" s="51" t="s">
        <v>244</v>
      </c>
      <c r="D1856" s="52">
        <v>5281.6</v>
      </c>
      <c r="E1856" s="35">
        <v>44637</v>
      </c>
      <c r="F1856" s="52">
        <v>5281.6</v>
      </c>
      <c r="G1856" s="53">
        <f>Tabla14[[#This Row],[Importe]]-Tabla14[[#This Row],[Pagado]]</f>
        <v>0</v>
      </c>
      <c r="H1856" s="37" t="s">
        <v>10</v>
      </c>
    </row>
    <row r="1857" spans="1:8" x14ac:dyDescent="0.25">
      <c r="A1857" s="31">
        <v>44637</v>
      </c>
      <c r="B1857" s="37" t="s">
        <v>8910</v>
      </c>
      <c r="C1857" s="51" t="s">
        <v>31</v>
      </c>
      <c r="D1857" s="52">
        <v>561.6</v>
      </c>
      <c r="E1857" s="35">
        <v>44637</v>
      </c>
      <c r="F1857" s="52">
        <v>561.6</v>
      </c>
      <c r="G1857" s="53">
        <f>Tabla14[[#This Row],[Importe]]-Tabla14[[#This Row],[Pagado]]</f>
        <v>0</v>
      </c>
      <c r="H1857" s="37" t="s">
        <v>10</v>
      </c>
    </row>
    <row r="1858" spans="1:8" x14ac:dyDescent="0.25">
      <c r="A1858" s="31">
        <v>44637</v>
      </c>
      <c r="B1858" s="37" t="s">
        <v>8911</v>
      </c>
      <c r="C1858" s="51" t="s">
        <v>7295</v>
      </c>
      <c r="D1858" s="52">
        <v>12673.3</v>
      </c>
      <c r="E1858" s="35">
        <v>44637</v>
      </c>
      <c r="F1858" s="52">
        <v>12673.3</v>
      </c>
      <c r="G1858" s="53">
        <f>Tabla14[[#This Row],[Importe]]-Tabla14[[#This Row],[Pagado]]</f>
        <v>0</v>
      </c>
      <c r="H1858" s="37" t="s">
        <v>10</v>
      </c>
    </row>
    <row r="1859" spans="1:8" x14ac:dyDescent="0.25">
      <c r="A1859" s="31">
        <v>44637</v>
      </c>
      <c r="B1859" s="37" t="s">
        <v>8912</v>
      </c>
      <c r="C1859" s="51" t="s">
        <v>400</v>
      </c>
      <c r="D1859" s="52">
        <v>4174.3999999999996</v>
      </c>
      <c r="E1859" s="35">
        <v>44642</v>
      </c>
      <c r="F1859" s="52">
        <v>4174.3999999999996</v>
      </c>
      <c r="G1859" s="53">
        <f>Tabla14[[#This Row],[Importe]]-Tabla14[[#This Row],[Pagado]]</f>
        <v>0</v>
      </c>
      <c r="H1859" s="37" t="s">
        <v>10</v>
      </c>
    </row>
    <row r="1860" spans="1:8" x14ac:dyDescent="0.25">
      <c r="A1860" s="31">
        <v>44637</v>
      </c>
      <c r="B1860" s="37" t="s">
        <v>8913</v>
      </c>
      <c r="C1860" s="51" t="s">
        <v>284</v>
      </c>
      <c r="D1860" s="52">
        <v>6615</v>
      </c>
      <c r="E1860" s="35">
        <v>44638</v>
      </c>
      <c r="F1860" s="52">
        <v>6615</v>
      </c>
      <c r="G1860" s="53">
        <f>Tabla14[[#This Row],[Importe]]-Tabla14[[#This Row],[Pagado]]</f>
        <v>0</v>
      </c>
      <c r="H1860" s="37" t="s">
        <v>10</v>
      </c>
    </row>
    <row r="1861" spans="1:8" x14ac:dyDescent="0.25">
      <c r="A1861" s="31">
        <v>44637</v>
      </c>
      <c r="B1861" s="37" t="s">
        <v>8914</v>
      </c>
      <c r="C1861" s="51" t="s">
        <v>282</v>
      </c>
      <c r="D1861" s="52">
        <v>2359.8000000000002</v>
      </c>
      <c r="E1861" s="35">
        <v>44638</v>
      </c>
      <c r="F1861" s="52">
        <v>2359.8000000000002</v>
      </c>
      <c r="G1861" s="53">
        <f>Tabla14[[#This Row],[Importe]]-Tabla14[[#This Row],[Pagado]]</f>
        <v>0</v>
      </c>
      <c r="H1861" s="37" t="s">
        <v>10</v>
      </c>
    </row>
    <row r="1862" spans="1:8" x14ac:dyDescent="0.25">
      <c r="A1862" s="31">
        <v>44637</v>
      </c>
      <c r="B1862" s="37" t="s">
        <v>8915</v>
      </c>
      <c r="C1862" s="51" t="s">
        <v>280</v>
      </c>
      <c r="D1862" s="52">
        <v>1090.8</v>
      </c>
      <c r="E1862" s="35">
        <v>44638</v>
      </c>
      <c r="F1862" s="52">
        <v>1090.8</v>
      </c>
      <c r="G1862" s="53">
        <f>Tabla14[[#This Row],[Importe]]-Tabla14[[#This Row],[Pagado]]</f>
        <v>0</v>
      </c>
      <c r="H1862" s="37" t="s">
        <v>10</v>
      </c>
    </row>
    <row r="1863" spans="1:8" x14ac:dyDescent="0.25">
      <c r="A1863" s="31">
        <v>44637</v>
      </c>
      <c r="B1863" s="37" t="s">
        <v>8916</v>
      </c>
      <c r="C1863" s="51" t="s">
        <v>71</v>
      </c>
      <c r="D1863" s="52">
        <v>2725.8</v>
      </c>
      <c r="E1863" s="35">
        <v>44637</v>
      </c>
      <c r="F1863" s="52">
        <v>2725.8</v>
      </c>
      <c r="G1863" s="53">
        <f>Tabla14[[#This Row],[Importe]]-Tabla14[[#This Row],[Pagado]]</f>
        <v>0</v>
      </c>
      <c r="H1863" s="37" t="s">
        <v>10</v>
      </c>
    </row>
    <row r="1864" spans="1:8" x14ac:dyDescent="0.25">
      <c r="A1864" s="31">
        <v>44637</v>
      </c>
      <c r="B1864" s="37" t="s">
        <v>8917</v>
      </c>
      <c r="C1864" s="51" t="s">
        <v>5345</v>
      </c>
      <c r="D1864" s="52">
        <v>1528.2</v>
      </c>
      <c r="E1864" s="35">
        <v>44638</v>
      </c>
      <c r="F1864" s="52">
        <v>1528.2</v>
      </c>
      <c r="G1864" s="53">
        <f>Tabla14[[#This Row],[Importe]]-Tabla14[[#This Row],[Pagado]]</f>
        <v>0</v>
      </c>
      <c r="H1864" s="37" t="s">
        <v>10</v>
      </c>
    </row>
    <row r="1865" spans="1:8" x14ac:dyDescent="0.25">
      <c r="A1865" s="31">
        <v>44637</v>
      </c>
      <c r="B1865" s="37" t="s">
        <v>8918</v>
      </c>
      <c r="C1865" s="51" t="s">
        <v>368</v>
      </c>
      <c r="D1865" s="52">
        <v>2246.4</v>
      </c>
      <c r="E1865" s="35">
        <v>44638</v>
      </c>
      <c r="F1865" s="52">
        <v>2246.4</v>
      </c>
      <c r="G1865" s="53">
        <f>Tabla14[[#This Row],[Importe]]-Tabla14[[#This Row],[Pagado]]</f>
        <v>0</v>
      </c>
      <c r="H1865" s="37" t="s">
        <v>10</v>
      </c>
    </row>
    <row r="1866" spans="1:8" x14ac:dyDescent="0.25">
      <c r="A1866" s="31">
        <v>44637</v>
      </c>
      <c r="B1866" s="37" t="s">
        <v>8919</v>
      </c>
      <c r="C1866" s="51" t="s">
        <v>729</v>
      </c>
      <c r="D1866" s="52">
        <v>20083.599999999999</v>
      </c>
      <c r="E1866" s="35">
        <v>44638</v>
      </c>
      <c r="F1866" s="52">
        <v>20083.599999999999</v>
      </c>
      <c r="G1866" s="53">
        <f>Tabla14[[#This Row],[Importe]]-Tabla14[[#This Row],[Pagado]]</f>
        <v>0</v>
      </c>
      <c r="H1866" s="37" t="s">
        <v>10</v>
      </c>
    </row>
    <row r="1867" spans="1:8" x14ac:dyDescent="0.25">
      <c r="A1867" s="31">
        <v>44637</v>
      </c>
      <c r="B1867" s="37" t="s">
        <v>8920</v>
      </c>
      <c r="C1867" s="51" t="s">
        <v>12</v>
      </c>
      <c r="D1867" s="52">
        <v>2393</v>
      </c>
      <c r="E1867" s="35">
        <v>44638</v>
      </c>
      <c r="F1867" s="52">
        <v>2393</v>
      </c>
      <c r="G1867" s="53">
        <f>Tabla14[[#This Row],[Importe]]-Tabla14[[#This Row],[Pagado]]</f>
        <v>0</v>
      </c>
      <c r="H1867" s="37" t="s">
        <v>10</v>
      </c>
    </row>
    <row r="1868" spans="1:8" x14ac:dyDescent="0.25">
      <c r="A1868" s="31">
        <v>44637</v>
      </c>
      <c r="B1868" s="37" t="s">
        <v>8921</v>
      </c>
      <c r="C1868" s="51" t="s">
        <v>647</v>
      </c>
      <c r="D1868" s="52">
        <v>2501.3000000000002</v>
      </c>
      <c r="E1868" s="35">
        <v>44637</v>
      </c>
      <c r="F1868" s="52">
        <v>2501.3000000000002</v>
      </c>
      <c r="G1868" s="53">
        <f>Tabla14[[#This Row],[Importe]]-Tabla14[[#This Row],[Pagado]]</f>
        <v>0</v>
      </c>
      <c r="H1868" s="37" t="s">
        <v>10</v>
      </c>
    </row>
    <row r="1869" spans="1:8" x14ac:dyDescent="0.25">
      <c r="A1869" s="31">
        <v>44637</v>
      </c>
      <c r="B1869" s="37" t="s">
        <v>8922</v>
      </c>
      <c r="C1869" s="51" t="s">
        <v>69</v>
      </c>
      <c r="D1869" s="52">
        <v>5464.8</v>
      </c>
      <c r="E1869" s="35">
        <v>44637</v>
      </c>
      <c r="F1869" s="52">
        <v>5464.8</v>
      </c>
      <c r="G1869" s="53">
        <f>Tabla14[[#This Row],[Importe]]-Tabla14[[#This Row],[Pagado]]</f>
        <v>0</v>
      </c>
      <c r="H1869" s="37" t="s">
        <v>10</v>
      </c>
    </row>
    <row r="1870" spans="1:8" x14ac:dyDescent="0.25">
      <c r="A1870" s="31">
        <v>44637</v>
      </c>
      <c r="B1870" s="37" t="s">
        <v>8923</v>
      </c>
      <c r="C1870" s="51" t="s">
        <v>31</v>
      </c>
      <c r="D1870" s="52">
        <v>156</v>
      </c>
      <c r="E1870" s="35">
        <v>44637</v>
      </c>
      <c r="F1870" s="52">
        <v>156</v>
      </c>
      <c r="G1870" s="53">
        <f>Tabla14[[#This Row],[Importe]]-Tabla14[[#This Row],[Pagado]]</f>
        <v>0</v>
      </c>
      <c r="H1870" s="37" t="s">
        <v>10</v>
      </c>
    </row>
    <row r="1871" spans="1:8" x14ac:dyDescent="0.25">
      <c r="A1871" s="31">
        <v>44637</v>
      </c>
      <c r="B1871" s="37" t="s">
        <v>8924</v>
      </c>
      <c r="C1871" s="51" t="s">
        <v>8925</v>
      </c>
      <c r="D1871" s="52">
        <v>0</v>
      </c>
      <c r="E1871" s="39" t="s">
        <v>189</v>
      </c>
      <c r="F1871" s="52">
        <v>0</v>
      </c>
      <c r="G1871" s="53">
        <f>Tabla14[[#This Row],[Importe]]-Tabla14[[#This Row],[Pagado]]</f>
        <v>0</v>
      </c>
      <c r="H1871" s="37" t="s">
        <v>189</v>
      </c>
    </row>
    <row r="1872" spans="1:8" x14ac:dyDescent="0.25">
      <c r="A1872" s="31">
        <v>44637</v>
      </c>
      <c r="B1872" s="37" t="s">
        <v>8926</v>
      </c>
      <c r="C1872" s="51" t="s">
        <v>71</v>
      </c>
      <c r="D1872" s="52">
        <v>2840.5</v>
      </c>
      <c r="E1872" s="35">
        <v>44637</v>
      </c>
      <c r="F1872" s="52">
        <v>2840.5</v>
      </c>
      <c r="G1872" s="53">
        <f>Tabla14[[#This Row],[Importe]]-Tabla14[[#This Row],[Pagado]]</f>
        <v>0</v>
      </c>
      <c r="H1872" s="37" t="s">
        <v>10</v>
      </c>
    </row>
    <row r="1873" spans="1:8" x14ac:dyDescent="0.25">
      <c r="A1873" s="31">
        <v>44637</v>
      </c>
      <c r="B1873" s="37" t="s">
        <v>8927</v>
      </c>
      <c r="C1873" s="51" t="s">
        <v>353</v>
      </c>
      <c r="D1873" s="52">
        <v>436.6</v>
      </c>
      <c r="E1873" s="35">
        <v>44637</v>
      </c>
      <c r="F1873" s="52">
        <v>436.6</v>
      </c>
      <c r="G1873" s="53">
        <f>Tabla14[[#This Row],[Importe]]-Tabla14[[#This Row],[Pagado]]</f>
        <v>0</v>
      </c>
      <c r="H1873" s="37" t="s">
        <v>10</v>
      </c>
    </row>
    <row r="1874" spans="1:8" ht="31.5" x14ac:dyDescent="0.25">
      <c r="A1874" s="31">
        <v>44637</v>
      </c>
      <c r="B1874" s="37" t="s">
        <v>8928</v>
      </c>
      <c r="C1874" s="51" t="s">
        <v>421</v>
      </c>
      <c r="D1874" s="52">
        <v>9992.6</v>
      </c>
      <c r="E1874" s="35" t="s">
        <v>10560</v>
      </c>
      <c r="F1874" s="52">
        <f>1100+8892.6</f>
        <v>9992.6</v>
      </c>
      <c r="G1874" s="53">
        <f>Tabla14[[#This Row],[Importe]]-Tabla14[[#This Row],[Pagado]]</f>
        <v>0</v>
      </c>
      <c r="H1874" s="37" t="s">
        <v>10</v>
      </c>
    </row>
    <row r="1875" spans="1:8" x14ac:dyDescent="0.25">
      <c r="A1875" s="31">
        <v>44637</v>
      </c>
      <c r="B1875" s="37" t="s">
        <v>8929</v>
      </c>
      <c r="C1875" s="51" t="s">
        <v>8930</v>
      </c>
      <c r="D1875" s="52">
        <v>0</v>
      </c>
      <c r="E1875" s="39" t="s">
        <v>189</v>
      </c>
      <c r="F1875" s="52">
        <v>0</v>
      </c>
      <c r="G1875" s="53">
        <f>Tabla14[[#This Row],[Importe]]-Tabla14[[#This Row],[Pagado]]</f>
        <v>0</v>
      </c>
      <c r="H1875" s="37" t="s">
        <v>189</v>
      </c>
    </row>
    <row r="1876" spans="1:8" x14ac:dyDescent="0.25">
      <c r="A1876" s="31">
        <v>44637</v>
      </c>
      <c r="B1876" s="37" t="s">
        <v>8931</v>
      </c>
      <c r="C1876" s="51" t="s">
        <v>843</v>
      </c>
      <c r="D1876" s="52">
        <v>11730</v>
      </c>
      <c r="E1876" s="35">
        <v>44638</v>
      </c>
      <c r="F1876" s="52">
        <v>11730</v>
      </c>
      <c r="G1876" s="53">
        <f>Tabla14[[#This Row],[Importe]]-Tabla14[[#This Row],[Pagado]]</f>
        <v>0</v>
      </c>
      <c r="H1876" s="37" t="s">
        <v>10</v>
      </c>
    </row>
    <row r="1877" spans="1:8" x14ac:dyDescent="0.25">
      <c r="A1877" s="31">
        <v>44637</v>
      </c>
      <c r="B1877" s="37" t="s">
        <v>8932</v>
      </c>
      <c r="C1877" s="51" t="s">
        <v>407</v>
      </c>
      <c r="D1877" s="52">
        <v>7200</v>
      </c>
      <c r="E1877" s="35">
        <v>44645</v>
      </c>
      <c r="F1877" s="52">
        <v>7200</v>
      </c>
      <c r="G1877" s="53">
        <f>Tabla14[[#This Row],[Importe]]-Tabla14[[#This Row],[Pagado]]</f>
        <v>0</v>
      </c>
      <c r="H1877" s="37" t="s">
        <v>10</v>
      </c>
    </row>
    <row r="1878" spans="1:8" x14ac:dyDescent="0.25">
      <c r="A1878" s="31">
        <v>44637</v>
      </c>
      <c r="B1878" s="37" t="s">
        <v>8933</v>
      </c>
      <c r="C1878" s="51" t="s">
        <v>196</v>
      </c>
      <c r="D1878" s="52">
        <v>21554.400000000001</v>
      </c>
      <c r="E1878" s="35">
        <v>44638</v>
      </c>
      <c r="F1878" s="52">
        <v>21554.400000000001</v>
      </c>
      <c r="G1878" s="53">
        <f>Tabla14[[#This Row],[Importe]]-Tabla14[[#This Row],[Pagado]]</f>
        <v>0</v>
      </c>
      <c r="H1878" s="37" t="s">
        <v>10</v>
      </c>
    </row>
    <row r="1879" spans="1:8" x14ac:dyDescent="0.25">
      <c r="A1879" s="31">
        <v>44637</v>
      </c>
      <c r="B1879" s="37" t="s">
        <v>8934</v>
      </c>
      <c r="C1879" s="51" t="s">
        <v>2139</v>
      </c>
      <c r="D1879" s="52">
        <v>1988.5</v>
      </c>
      <c r="E1879" s="35">
        <v>44637</v>
      </c>
      <c r="F1879" s="52">
        <v>1988.5</v>
      </c>
      <c r="G1879" s="53">
        <f>Tabla14[[#This Row],[Importe]]-Tabla14[[#This Row],[Pagado]]</f>
        <v>0</v>
      </c>
      <c r="H1879" s="37" t="s">
        <v>10</v>
      </c>
    </row>
    <row r="1880" spans="1:8" x14ac:dyDescent="0.25">
      <c r="A1880" s="31">
        <v>44637</v>
      </c>
      <c r="B1880" s="37" t="s">
        <v>8935</v>
      </c>
      <c r="C1880" s="51" t="s">
        <v>2020</v>
      </c>
      <c r="D1880" s="52">
        <v>3900</v>
      </c>
      <c r="E1880" s="35">
        <v>44637</v>
      </c>
      <c r="F1880" s="52">
        <v>3900</v>
      </c>
      <c r="G1880" s="53">
        <f>Tabla14[[#This Row],[Importe]]-Tabla14[[#This Row],[Pagado]]</f>
        <v>0</v>
      </c>
      <c r="H1880" s="37" t="s">
        <v>10</v>
      </c>
    </row>
    <row r="1881" spans="1:8" x14ac:dyDescent="0.25">
      <c r="A1881" s="31">
        <v>44637</v>
      </c>
      <c r="B1881" s="37" t="s">
        <v>8936</v>
      </c>
      <c r="C1881" s="51" t="s">
        <v>31</v>
      </c>
      <c r="D1881" s="52">
        <v>162</v>
      </c>
      <c r="E1881" s="35">
        <v>44637</v>
      </c>
      <c r="F1881" s="52">
        <v>162</v>
      </c>
      <c r="G1881" s="53">
        <f>Tabla14[[#This Row],[Importe]]-Tabla14[[#This Row],[Pagado]]</f>
        <v>0</v>
      </c>
      <c r="H1881" s="37" t="s">
        <v>10</v>
      </c>
    </row>
    <row r="1882" spans="1:8" x14ac:dyDescent="0.25">
      <c r="A1882" s="31">
        <v>44637</v>
      </c>
      <c r="B1882" s="37" t="s">
        <v>8937</v>
      </c>
      <c r="C1882" s="51" t="s">
        <v>612</v>
      </c>
      <c r="D1882" s="52">
        <v>156.19999999999999</v>
      </c>
      <c r="E1882" s="35">
        <v>44637</v>
      </c>
      <c r="F1882" s="52">
        <v>156.19999999999999</v>
      </c>
      <c r="G1882" s="53">
        <f>Tabla14[[#This Row],[Importe]]-Tabla14[[#This Row],[Pagado]]</f>
        <v>0</v>
      </c>
      <c r="H1882" s="37" t="s">
        <v>10</v>
      </c>
    </row>
    <row r="1883" spans="1:8" x14ac:dyDescent="0.25">
      <c r="A1883" s="31">
        <v>44637</v>
      </c>
      <c r="B1883" s="37" t="s">
        <v>8938</v>
      </c>
      <c r="C1883" s="51" t="s">
        <v>31</v>
      </c>
      <c r="D1883" s="52">
        <v>773.69</v>
      </c>
      <c r="E1883" s="35">
        <v>44637</v>
      </c>
      <c r="F1883" s="52">
        <v>773.69</v>
      </c>
      <c r="G1883" s="53">
        <f>Tabla14[[#This Row],[Importe]]-Tabla14[[#This Row],[Pagado]]</f>
        <v>0</v>
      </c>
      <c r="H1883" s="37" t="s">
        <v>10</v>
      </c>
    </row>
    <row r="1884" spans="1:8" x14ac:dyDescent="0.25">
      <c r="A1884" s="31">
        <v>44637</v>
      </c>
      <c r="B1884" s="37" t="s">
        <v>8939</v>
      </c>
      <c r="C1884" s="51" t="s">
        <v>179</v>
      </c>
      <c r="D1884" s="52">
        <v>1123.2</v>
      </c>
      <c r="E1884" s="35">
        <v>44638</v>
      </c>
      <c r="F1884" s="52">
        <v>1123.2</v>
      </c>
      <c r="G1884" s="53">
        <f>Tabla14[[#This Row],[Importe]]-Tabla14[[#This Row],[Pagado]]</f>
        <v>0</v>
      </c>
      <c r="H1884" s="37" t="s">
        <v>10</v>
      </c>
    </row>
    <row r="1885" spans="1:8" x14ac:dyDescent="0.25">
      <c r="A1885" s="31">
        <v>44638</v>
      </c>
      <c r="B1885" s="37" t="s">
        <v>8940</v>
      </c>
      <c r="C1885" s="51" t="s">
        <v>20</v>
      </c>
      <c r="D1885" s="52">
        <v>140</v>
      </c>
      <c r="E1885" s="35">
        <v>44638</v>
      </c>
      <c r="F1885" s="52">
        <v>140</v>
      </c>
      <c r="G1885" s="53">
        <f>Tabla14[[#This Row],[Importe]]-Tabla14[[#This Row],[Pagado]]</f>
        <v>0</v>
      </c>
      <c r="H1885" s="37" t="s">
        <v>10</v>
      </c>
    </row>
    <row r="1886" spans="1:8" ht="31.5" x14ac:dyDescent="0.25">
      <c r="A1886" s="31">
        <v>44638</v>
      </c>
      <c r="B1886" s="37" t="s">
        <v>8941</v>
      </c>
      <c r="C1886" s="51" t="s">
        <v>475</v>
      </c>
      <c r="D1886" s="52">
        <v>43386.6</v>
      </c>
      <c r="E1886" s="35" t="s">
        <v>8942</v>
      </c>
      <c r="F1886" s="52">
        <f>13000+30386.6</f>
        <v>43386.6</v>
      </c>
      <c r="G1886" s="53">
        <f>Tabla14[[#This Row],[Importe]]-Tabla14[[#This Row],[Pagado]]</f>
        <v>0</v>
      </c>
      <c r="H1886" s="37" t="s">
        <v>10</v>
      </c>
    </row>
    <row r="1887" spans="1:8" x14ac:dyDescent="0.25">
      <c r="A1887" s="31">
        <v>44638</v>
      </c>
      <c r="B1887" s="37" t="s">
        <v>8943</v>
      </c>
      <c r="C1887" s="51" t="s">
        <v>481</v>
      </c>
      <c r="D1887" s="52">
        <v>291.60000000000002</v>
      </c>
      <c r="E1887" s="35">
        <v>44638</v>
      </c>
      <c r="F1887" s="52">
        <v>291.60000000000002</v>
      </c>
      <c r="G1887" s="53">
        <f>Tabla14[[#This Row],[Importe]]-Tabla14[[#This Row],[Pagado]]</f>
        <v>0</v>
      </c>
      <c r="H1887" s="37" t="s">
        <v>10</v>
      </c>
    </row>
    <row r="1888" spans="1:8" x14ac:dyDescent="0.25">
      <c r="A1888" s="31">
        <v>44638</v>
      </c>
      <c r="B1888" s="37" t="s">
        <v>8944</v>
      </c>
      <c r="C1888" s="51" t="s">
        <v>151</v>
      </c>
      <c r="D1888" s="52">
        <v>14960</v>
      </c>
      <c r="E1888" s="35">
        <v>44638</v>
      </c>
      <c r="F1888" s="52">
        <v>14960</v>
      </c>
      <c r="G1888" s="53">
        <f>Tabla14[[#This Row],[Importe]]-Tabla14[[#This Row],[Pagado]]</f>
        <v>0</v>
      </c>
      <c r="H1888" s="37" t="s">
        <v>10</v>
      </c>
    </row>
    <row r="1889" spans="1:8" x14ac:dyDescent="0.25">
      <c r="A1889" s="31">
        <v>44638</v>
      </c>
      <c r="B1889" s="37" t="s">
        <v>8945</v>
      </c>
      <c r="C1889" s="51" t="s">
        <v>8946</v>
      </c>
      <c r="D1889" s="52">
        <v>0</v>
      </c>
      <c r="E1889" s="39" t="s">
        <v>189</v>
      </c>
      <c r="F1889" s="52">
        <v>0</v>
      </c>
      <c r="G1889" s="53">
        <f>Tabla14[[#This Row],[Importe]]-Tabla14[[#This Row],[Pagado]]</f>
        <v>0</v>
      </c>
      <c r="H1889" s="37" t="s">
        <v>189</v>
      </c>
    </row>
    <row r="1890" spans="1:8" x14ac:dyDescent="0.25">
      <c r="A1890" s="31">
        <v>44638</v>
      </c>
      <c r="B1890" s="37" t="s">
        <v>8947</v>
      </c>
      <c r="C1890" s="51" t="s">
        <v>151</v>
      </c>
      <c r="D1890" s="52">
        <v>180.2</v>
      </c>
      <c r="E1890" s="35">
        <v>44638</v>
      </c>
      <c r="F1890" s="52">
        <v>180.2</v>
      </c>
      <c r="G1890" s="53">
        <f>Tabla14[[#This Row],[Importe]]-Tabla14[[#This Row],[Pagado]]</f>
        <v>0</v>
      </c>
      <c r="H1890" s="37" t="s">
        <v>10</v>
      </c>
    </row>
    <row r="1891" spans="1:8" x14ac:dyDescent="0.25">
      <c r="A1891" s="31">
        <v>44638</v>
      </c>
      <c r="B1891" s="37" t="s">
        <v>8948</v>
      </c>
      <c r="C1891" s="51" t="s">
        <v>8949</v>
      </c>
      <c r="D1891" s="52">
        <v>4448.6000000000004</v>
      </c>
      <c r="E1891" s="35">
        <v>44639</v>
      </c>
      <c r="F1891" s="52">
        <v>4448.6000000000004</v>
      </c>
      <c r="G1891" s="53">
        <f>Tabla14[[#This Row],[Importe]]-Tabla14[[#This Row],[Pagado]]</f>
        <v>0</v>
      </c>
      <c r="H1891" s="37" t="s">
        <v>10</v>
      </c>
    </row>
    <row r="1892" spans="1:8" x14ac:dyDescent="0.25">
      <c r="A1892" s="31">
        <v>44638</v>
      </c>
      <c r="B1892" s="37" t="s">
        <v>8950</v>
      </c>
      <c r="C1892" s="51" t="s">
        <v>135</v>
      </c>
      <c r="D1892" s="52">
        <v>2227.6</v>
      </c>
      <c r="E1892" s="35">
        <v>44638</v>
      </c>
      <c r="F1892" s="52">
        <v>2227.6</v>
      </c>
      <c r="G1892" s="53">
        <f>Tabla14[[#This Row],[Importe]]-Tabla14[[#This Row],[Pagado]]</f>
        <v>0</v>
      </c>
      <c r="H1892" s="37" t="s">
        <v>10</v>
      </c>
    </row>
    <row r="1893" spans="1:8" x14ac:dyDescent="0.25">
      <c r="A1893" s="31">
        <v>44638</v>
      </c>
      <c r="B1893" s="37" t="s">
        <v>8951</v>
      </c>
      <c r="C1893" s="51" t="s">
        <v>97</v>
      </c>
      <c r="D1893" s="52">
        <v>3864</v>
      </c>
      <c r="E1893" s="35">
        <v>44639</v>
      </c>
      <c r="F1893" s="52">
        <v>3864</v>
      </c>
      <c r="G1893" s="53">
        <f>Tabla14[[#This Row],[Importe]]-Tabla14[[#This Row],[Pagado]]</f>
        <v>0</v>
      </c>
      <c r="H1893" s="37" t="s">
        <v>10</v>
      </c>
    </row>
    <row r="1894" spans="1:8" x14ac:dyDescent="0.25">
      <c r="A1894" s="31">
        <v>44638</v>
      </c>
      <c r="B1894" s="37" t="s">
        <v>8952</v>
      </c>
      <c r="C1894" s="51" t="s">
        <v>111</v>
      </c>
      <c r="D1894" s="52">
        <v>4099.2</v>
      </c>
      <c r="E1894" s="35">
        <v>44641</v>
      </c>
      <c r="F1894" s="52">
        <v>4099.2</v>
      </c>
      <c r="G1894" s="53">
        <f>Tabla14[[#This Row],[Importe]]-Tabla14[[#This Row],[Pagado]]</f>
        <v>0</v>
      </c>
      <c r="H1894" s="37" t="s">
        <v>10</v>
      </c>
    </row>
    <row r="1895" spans="1:8" x14ac:dyDescent="0.25">
      <c r="A1895" s="31">
        <v>44638</v>
      </c>
      <c r="B1895" s="37" t="s">
        <v>8953</v>
      </c>
      <c r="C1895" s="51" t="s">
        <v>83</v>
      </c>
      <c r="D1895" s="52">
        <v>4267.2</v>
      </c>
      <c r="E1895" s="35">
        <v>44638</v>
      </c>
      <c r="F1895" s="52">
        <v>4267.2</v>
      </c>
      <c r="G1895" s="53">
        <f>Tabla14[[#This Row],[Importe]]-Tabla14[[#This Row],[Pagado]]</f>
        <v>0</v>
      </c>
      <c r="H1895" s="37" t="s">
        <v>10</v>
      </c>
    </row>
    <row r="1896" spans="1:8" x14ac:dyDescent="0.25">
      <c r="A1896" s="31">
        <v>44638</v>
      </c>
      <c r="B1896" s="37" t="s">
        <v>8954</v>
      </c>
      <c r="C1896" s="51" t="s">
        <v>75</v>
      </c>
      <c r="D1896" s="52">
        <v>5335.2</v>
      </c>
      <c r="E1896" s="35">
        <v>44638</v>
      </c>
      <c r="F1896" s="52">
        <v>5335.2</v>
      </c>
      <c r="G1896" s="53">
        <f>Tabla14[[#This Row],[Importe]]-Tabla14[[#This Row],[Pagado]]</f>
        <v>0</v>
      </c>
      <c r="H1896" s="37" t="s">
        <v>10</v>
      </c>
    </row>
    <row r="1897" spans="1:8" x14ac:dyDescent="0.25">
      <c r="A1897" s="31">
        <v>44638</v>
      </c>
      <c r="B1897" s="37" t="s">
        <v>8955</v>
      </c>
      <c r="C1897" s="51" t="s">
        <v>326</v>
      </c>
      <c r="D1897" s="52">
        <v>3960</v>
      </c>
      <c r="E1897" s="35">
        <v>44639</v>
      </c>
      <c r="F1897" s="52">
        <v>3960</v>
      </c>
      <c r="G1897" s="53">
        <f>Tabla14[[#This Row],[Importe]]-Tabla14[[#This Row],[Pagado]]</f>
        <v>0</v>
      </c>
      <c r="H1897" s="37" t="s">
        <v>10</v>
      </c>
    </row>
    <row r="1898" spans="1:8" x14ac:dyDescent="0.25">
      <c r="A1898" s="31">
        <v>44638</v>
      </c>
      <c r="B1898" s="37" t="s">
        <v>8956</v>
      </c>
      <c r="C1898" s="51" t="s">
        <v>39</v>
      </c>
      <c r="D1898" s="52">
        <v>15562.1</v>
      </c>
      <c r="E1898" s="35">
        <v>44640</v>
      </c>
      <c r="F1898" s="52">
        <v>15562.1</v>
      </c>
      <c r="G1898" s="53">
        <f>Tabla14[[#This Row],[Importe]]-Tabla14[[#This Row],[Pagado]]</f>
        <v>0</v>
      </c>
      <c r="H1898" s="37" t="s">
        <v>10</v>
      </c>
    </row>
    <row r="1899" spans="1:8" ht="31.5" x14ac:dyDescent="0.25">
      <c r="A1899" s="31">
        <v>44638</v>
      </c>
      <c r="B1899" s="37" t="s">
        <v>8957</v>
      </c>
      <c r="C1899" s="51" t="s">
        <v>22</v>
      </c>
      <c r="D1899" s="52">
        <v>14540</v>
      </c>
      <c r="E1899" s="35" t="s">
        <v>8942</v>
      </c>
      <c r="F1899" s="52">
        <f>10000+4540</f>
        <v>14540</v>
      </c>
      <c r="G1899" s="53">
        <f>Tabla14[[#This Row],[Importe]]-Tabla14[[#This Row],[Pagado]]</f>
        <v>0</v>
      </c>
      <c r="H1899" s="37" t="s">
        <v>10</v>
      </c>
    </row>
    <row r="1900" spans="1:8" x14ac:dyDescent="0.25">
      <c r="A1900" s="31">
        <v>44638</v>
      </c>
      <c r="B1900" s="37" t="s">
        <v>8958</v>
      </c>
      <c r="C1900" s="51" t="s">
        <v>60</v>
      </c>
      <c r="D1900" s="52">
        <v>3880</v>
      </c>
      <c r="E1900" s="35">
        <v>44644</v>
      </c>
      <c r="F1900" s="52">
        <v>3880</v>
      </c>
      <c r="G1900" s="53">
        <f>Tabla14[[#This Row],[Importe]]-Tabla14[[#This Row],[Pagado]]</f>
        <v>0</v>
      </c>
      <c r="H1900" s="37" t="s">
        <v>10</v>
      </c>
    </row>
    <row r="1901" spans="1:8" x14ac:dyDescent="0.25">
      <c r="A1901" s="31">
        <v>44638</v>
      </c>
      <c r="B1901" s="37" t="s">
        <v>8959</v>
      </c>
      <c r="C1901" s="51" t="s">
        <v>64</v>
      </c>
      <c r="D1901" s="52">
        <v>8071.1</v>
      </c>
      <c r="E1901" s="35">
        <v>44639</v>
      </c>
      <c r="F1901" s="52">
        <v>8071.1</v>
      </c>
      <c r="G1901" s="53">
        <f>Tabla14[[#This Row],[Importe]]-Tabla14[[#This Row],[Pagado]]</f>
        <v>0</v>
      </c>
      <c r="H1901" s="37" t="s">
        <v>10</v>
      </c>
    </row>
    <row r="1902" spans="1:8" x14ac:dyDescent="0.25">
      <c r="A1902" s="31">
        <v>44638</v>
      </c>
      <c r="B1902" s="37" t="s">
        <v>8960</v>
      </c>
      <c r="C1902" s="51" t="s">
        <v>105</v>
      </c>
      <c r="D1902" s="52">
        <v>11779.2</v>
      </c>
      <c r="E1902" s="35">
        <v>44639</v>
      </c>
      <c r="F1902" s="52">
        <v>11779.2</v>
      </c>
      <c r="G1902" s="53">
        <f>Tabla14[[#This Row],[Importe]]-Tabla14[[#This Row],[Pagado]]</f>
        <v>0</v>
      </c>
      <c r="H1902" s="37" t="s">
        <v>10</v>
      </c>
    </row>
    <row r="1903" spans="1:8" x14ac:dyDescent="0.25">
      <c r="A1903" s="31">
        <v>44638</v>
      </c>
      <c r="B1903" s="37" t="s">
        <v>8961</v>
      </c>
      <c r="C1903" s="51" t="s">
        <v>314</v>
      </c>
      <c r="D1903" s="52">
        <v>3412.8</v>
      </c>
      <c r="E1903" s="35">
        <v>44638</v>
      </c>
      <c r="F1903" s="52">
        <v>3412.8</v>
      </c>
      <c r="G1903" s="53">
        <f>Tabla14[[#This Row],[Importe]]-Tabla14[[#This Row],[Pagado]]</f>
        <v>0</v>
      </c>
      <c r="H1903" s="37" t="s">
        <v>10</v>
      </c>
    </row>
    <row r="1904" spans="1:8" x14ac:dyDescent="0.25">
      <c r="A1904" s="31">
        <v>44638</v>
      </c>
      <c r="B1904" s="37" t="s">
        <v>8962</v>
      </c>
      <c r="C1904" s="51" t="s">
        <v>9</v>
      </c>
      <c r="D1904" s="52">
        <v>6589.6</v>
      </c>
      <c r="E1904" s="35">
        <v>44638</v>
      </c>
      <c r="F1904" s="52">
        <v>6589.6</v>
      </c>
      <c r="G1904" s="53">
        <f>Tabla14[[#This Row],[Importe]]-Tabla14[[#This Row],[Pagado]]</f>
        <v>0</v>
      </c>
      <c r="H1904" s="37" t="s">
        <v>10</v>
      </c>
    </row>
    <row r="1905" spans="1:8" x14ac:dyDescent="0.25">
      <c r="A1905" s="31">
        <v>44638</v>
      </c>
      <c r="B1905" s="37" t="s">
        <v>8963</v>
      </c>
      <c r="C1905" s="51" t="s">
        <v>7497</v>
      </c>
      <c r="D1905" s="52">
        <v>0</v>
      </c>
      <c r="E1905" s="39" t="s">
        <v>189</v>
      </c>
      <c r="F1905" s="52">
        <v>0</v>
      </c>
      <c r="G1905" s="53">
        <f>Tabla14[[#This Row],[Importe]]-Tabla14[[#This Row],[Pagado]]</f>
        <v>0</v>
      </c>
      <c r="H1905" s="37" t="s">
        <v>189</v>
      </c>
    </row>
    <row r="1906" spans="1:8" x14ac:dyDescent="0.25">
      <c r="A1906" s="31">
        <v>44638</v>
      </c>
      <c r="B1906" s="37" t="s">
        <v>8964</v>
      </c>
      <c r="C1906" s="51" t="s">
        <v>348</v>
      </c>
      <c r="D1906" s="52">
        <v>952</v>
      </c>
      <c r="E1906" s="35">
        <v>44638</v>
      </c>
      <c r="F1906" s="52">
        <v>952</v>
      </c>
      <c r="G1906" s="53">
        <f>Tabla14[[#This Row],[Importe]]-Tabla14[[#This Row],[Pagado]]</f>
        <v>0</v>
      </c>
      <c r="H1906" s="37" t="s">
        <v>10</v>
      </c>
    </row>
    <row r="1907" spans="1:8" x14ac:dyDescent="0.25">
      <c r="A1907" s="31">
        <v>44638</v>
      </c>
      <c r="B1907" s="37" t="s">
        <v>8965</v>
      </c>
      <c r="C1907" s="51" t="s">
        <v>114</v>
      </c>
      <c r="D1907" s="52">
        <v>4842.2</v>
      </c>
      <c r="E1907" s="35">
        <v>44639</v>
      </c>
      <c r="F1907" s="52">
        <v>4842.2</v>
      </c>
      <c r="G1907" s="53">
        <f>Tabla14[[#This Row],[Importe]]-Tabla14[[#This Row],[Pagado]]</f>
        <v>0</v>
      </c>
      <c r="H1907" s="37" t="s">
        <v>10</v>
      </c>
    </row>
    <row r="1908" spans="1:8" x14ac:dyDescent="0.25">
      <c r="A1908" s="31">
        <v>44638</v>
      </c>
      <c r="B1908" s="37" t="s">
        <v>8966</v>
      </c>
      <c r="C1908" s="51" t="s">
        <v>95</v>
      </c>
      <c r="D1908" s="52">
        <v>7562</v>
      </c>
      <c r="E1908" s="35">
        <v>44638</v>
      </c>
      <c r="F1908" s="52">
        <v>7562</v>
      </c>
      <c r="G1908" s="53">
        <f>Tabla14[[#This Row],[Importe]]-Tabla14[[#This Row],[Pagado]]</f>
        <v>0</v>
      </c>
      <c r="H1908" s="37" t="s">
        <v>10</v>
      </c>
    </row>
    <row r="1909" spans="1:8" x14ac:dyDescent="0.25">
      <c r="A1909" s="31">
        <v>44638</v>
      </c>
      <c r="B1909" s="37" t="s">
        <v>8967</v>
      </c>
      <c r="C1909" s="51" t="s">
        <v>89</v>
      </c>
      <c r="D1909" s="52">
        <v>9968</v>
      </c>
      <c r="E1909" s="35">
        <v>44639</v>
      </c>
      <c r="F1909" s="52">
        <v>9968</v>
      </c>
      <c r="G1909" s="53">
        <f>Tabla14[[#This Row],[Importe]]-Tabla14[[#This Row],[Pagado]]</f>
        <v>0</v>
      </c>
      <c r="H1909" s="37" t="s">
        <v>10</v>
      </c>
    </row>
    <row r="1910" spans="1:8" x14ac:dyDescent="0.25">
      <c r="A1910" s="31">
        <v>44638</v>
      </c>
      <c r="B1910" s="37" t="s">
        <v>8968</v>
      </c>
      <c r="C1910" s="51" t="s">
        <v>93</v>
      </c>
      <c r="D1910" s="52">
        <v>7633.5</v>
      </c>
      <c r="E1910" s="35">
        <v>44639</v>
      </c>
      <c r="F1910" s="52">
        <v>7633.5</v>
      </c>
      <c r="G1910" s="53">
        <f>Tabla14[[#This Row],[Importe]]-Tabla14[[#This Row],[Pagado]]</f>
        <v>0</v>
      </c>
      <c r="H1910" s="37" t="s">
        <v>10</v>
      </c>
    </row>
    <row r="1911" spans="1:8" x14ac:dyDescent="0.25">
      <c r="A1911" s="31">
        <v>44638</v>
      </c>
      <c r="B1911" s="37" t="s">
        <v>8969</v>
      </c>
      <c r="C1911" s="51" t="s">
        <v>345</v>
      </c>
      <c r="D1911" s="52">
        <v>1377</v>
      </c>
      <c r="E1911" s="35">
        <v>44638</v>
      </c>
      <c r="F1911" s="52">
        <v>1377</v>
      </c>
      <c r="G1911" s="53">
        <f>Tabla14[[#This Row],[Importe]]-Tabla14[[#This Row],[Pagado]]</f>
        <v>0</v>
      </c>
      <c r="H1911" s="37" t="s">
        <v>10</v>
      </c>
    </row>
    <row r="1912" spans="1:8" x14ac:dyDescent="0.25">
      <c r="A1912" s="31">
        <v>44638</v>
      </c>
      <c r="B1912" s="37" t="s">
        <v>8970</v>
      </c>
      <c r="C1912" s="51" t="s">
        <v>12</v>
      </c>
      <c r="D1912" s="52">
        <v>25901.5</v>
      </c>
      <c r="E1912" s="35">
        <v>44638</v>
      </c>
      <c r="F1912" s="52">
        <v>25901.5</v>
      </c>
      <c r="G1912" s="53">
        <f>Tabla14[[#This Row],[Importe]]-Tabla14[[#This Row],[Pagado]]</f>
        <v>0</v>
      </c>
      <c r="H1912" s="37" t="s">
        <v>10</v>
      </c>
    </row>
    <row r="1913" spans="1:8" x14ac:dyDescent="0.25">
      <c r="A1913" s="31">
        <v>44638</v>
      </c>
      <c r="B1913" s="37" t="s">
        <v>8971</v>
      </c>
      <c r="C1913" s="51" t="s">
        <v>87</v>
      </c>
      <c r="D1913" s="52">
        <v>1762.8</v>
      </c>
      <c r="E1913" s="35">
        <v>44638</v>
      </c>
      <c r="F1913" s="52">
        <v>1762.8</v>
      </c>
      <c r="G1913" s="53">
        <f>Tabla14[[#This Row],[Importe]]-Tabla14[[#This Row],[Pagado]]</f>
        <v>0</v>
      </c>
      <c r="H1913" s="37" t="s">
        <v>10</v>
      </c>
    </row>
    <row r="1914" spans="1:8" x14ac:dyDescent="0.25">
      <c r="A1914" s="31">
        <v>44638</v>
      </c>
      <c r="B1914" s="37" t="s">
        <v>8972</v>
      </c>
      <c r="C1914" s="51" t="s">
        <v>31</v>
      </c>
      <c r="D1914" s="52">
        <v>4503.6000000000004</v>
      </c>
      <c r="E1914" s="35">
        <v>44638</v>
      </c>
      <c r="F1914" s="52">
        <v>4503.6000000000004</v>
      </c>
      <c r="G1914" s="53">
        <f>Tabla14[[#This Row],[Importe]]-Tabla14[[#This Row],[Pagado]]</f>
        <v>0</v>
      </c>
      <c r="H1914" s="37" t="s">
        <v>10</v>
      </c>
    </row>
    <row r="1915" spans="1:8" x14ac:dyDescent="0.25">
      <c r="A1915" s="31">
        <v>44638</v>
      </c>
      <c r="B1915" s="37" t="s">
        <v>8973</v>
      </c>
      <c r="C1915" s="51" t="s">
        <v>275</v>
      </c>
      <c r="D1915" s="52">
        <v>79313.8</v>
      </c>
      <c r="E1915" s="35">
        <v>44652</v>
      </c>
      <c r="F1915" s="52">
        <v>79313.8</v>
      </c>
      <c r="G1915" s="53">
        <f>Tabla14[[#This Row],[Importe]]-Tabla14[[#This Row],[Pagado]]</f>
        <v>0</v>
      </c>
      <c r="H1915" s="37" t="s">
        <v>10</v>
      </c>
    </row>
    <row r="1916" spans="1:8" x14ac:dyDescent="0.25">
      <c r="A1916" s="31">
        <v>44638</v>
      </c>
      <c r="B1916" s="37" t="s">
        <v>8974</v>
      </c>
      <c r="C1916" s="51" t="s">
        <v>484</v>
      </c>
      <c r="D1916" s="52">
        <v>3450</v>
      </c>
      <c r="E1916" s="35">
        <v>44638</v>
      </c>
      <c r="F1916" s="52">
        <v>3450</v>
      </c>
      <c r="G1916" s="53">
        <f>Tabla14[[#This Row],[Importe]]-Tabla14[[#This Row],[Pagado]]</f>
        <v>0</v>
      </c>
      <c r="H1916" s="37" t="s">
        <v>10</v>
      </c>
    </row>
    <row r="1917" spans="1:8" x14ac:dyDescent="0.25">
      <c r="A1917" s="31">
        <v>44638</v>
      </c>
      <c r="B1917" s="37" t="s">
        <v>8975</v>
      </c>
      <c r="C1917" s="51" t="s">
        <v>131</v>
      </c>
      <c r="D1917" s="52">
        <v>16419.400000000001</v>
      </c>
      <c r="E1917" s="35">
        <v>44638</v>
      </c>
      <c r="F1917" s="52">
        <v>16419.400000000001</v>
      </c>
      <c r="G1917" s="53">
        <f>Tabla14[[#This Row],[Importe]]-Tabla14[[#This Row],[Pagado]]</f>
        <v>0</v>
      </c>
      <c r="H1917" s="37" t="s">
        <v>10</v>
      </c>
    </row>
    <row r="1918" spans="1:8" x14ac:dyDescent="0.25">
      <c r="A1918" s="31">
        <v>44638</v>
      </c>
      <c r="B1918" s="37" t="s">
        <v>8976</v>
      </c>
      <c r="C1918" s="51" t="s">
        <v>154</v>
      </c>
      <c r="D1918" s="52">
        <v>50630.6</v>
      </c>
      <c r="E1918" s="35">
        <v>44644</v>
      </c>
      <c r="F1918" s="52">
        <v>50630.6</v>
      </c>
      <c r="G1918" s="53">
        <f>Tabla14[[#This Row],[Importe]]-Tabla14[[#This Row],[Pagado]]</f>
        <v>0</v>
      </c>
      <c r="H1918" s="37" t="s">
        <v>10</v>
      </c>
    </row>
    <row r="1919" spans="1:8" x14ac:dyDescent="0.25">
      <c r="A1919" s="31">
        <v>44638</v>
      </c>
      <c r="B1919" s="37" t="s">
        <v>8977</v>
      </c>
      <c r="C1919" s="51" t="s">
        <v>196</v>
      </c>
      <c r="D1919" s="52">
        <v>79239.5</v>
      </c>
      <c r="E1919" s="35">
        <v>44638</v>
      </c>
      <c r="F1919" s="52">
        <v>79239.5</v>
      </c>
      <c r="G1919" s="53">
        <f>Tabla14[[#This Row],[Importe]]-Tabla14[[#This Row],[Pagado]]</f>
        <v>0</v>
      </c>
      <c r="H1919" s="37" t="s">
        <v>10</v>
      </c>
    </row>
    <row r="1920" spans="1:8" x14ac:dyDescent="0.25">
      <c r="A1920" s="31">
        <v>44638</v>
      </c>
      <c r="B1920" s="37" t="s">
        <v>8978</v>
      </c>
      <c r="C1920" s="51" t="s">
        <v>27</v>
      </c>
      <c r="D1920" s="52">
        <v>2313.6</v>
      </c>
      <c r="E1920" s="35">
        <v>44638</v>
      </c>
      <c r="F1920" s="52">
        <v>2313.6</v>
      </c>
      <c r="G1920" s="53">
        <f>Tabla14[[#This Row],[Importe]]-Tabla14[[#This Row],[Pagado]]</f>
        <v>0</v>
      </c>
      <c r="H1920" s="37" t="s">
        <v>10</v>
      </c>
    </row>
    <row r="1921" spans="1:8" x14ac:dyDescent="0.25">
      <c r="A1921" s="31">
        <v>44638</v>
      </c>
      <c r="B1921" s="37" t="s">
        <v>8979</v>
      </c>
      <c r="C1921" s="51" t="s">
        <v>140</v>
      </c>
      <c r="D1921" s="52">
        <v>2129.6999999999998</v>
      </c>
      <c r="E1921" s="35">
        <v>44638</v>
      </c>
      <c r="F1921" s="52">
        <v>2129.6999999999998</v>
      </c>
      <c r="G1921" s="53">
        <f>Tabla14[[#This Row],[Importe]]-Tabla14[[#This Row],[Pagado]]</f>
        <v>0</v>
      </c>
      <c r="H1921" s="37" t="s">
        <v>10</v>
      </c>
    </row>
    <row r="1922" spans="1:8" x14ac:dyDescent="0.25">
      <c r="A1922" s="31">
        <v>44638</v>
      </c>
      <c r="B1922" s="37" t="s">
        <v>8980</v>
      </c>
      <c r="C1922" s="51" t="s">
        <v>127</v>
      </c>
      <c r="D1922" s="52">
        <v>1823.6</v>
      </c>
      <c r="E1922" s="35">
        <v>44638</v>
      </c>
      <c r="F1922" s="52">
        <v>1823.6</v>
      </c>
      <c r="G1922" s="53">
        <f>Tabla14[[#This Row],[Importe]]-Tabla14[[#This Row],[Pagado]]</f>
        <v>0</v>
      </c>
      <c r="H1922" s="37" t="s">
        <v>10</v>
      </c>
    </row>
    <row r="1923" spans="1:8" x14ac:dyDescent="0.25">
      <c r="A1923" s="31">
        <v>44638</v>
      </c>
      <c r="B1923" s="37" t="s">
        <v>8981</v>
      </c>
      <c r="C1923" s="51" t="s">
        <v>129</v>
      </c>
      <c r="D1923" s="52">
        <v>4594.7</v>
      </c>
      <c r="E1923" s="35">
        <v>44638</v>
      </c>
      <c r="F1923" s="52">
        <v>4594.7</v>
      </c>
      <c r="G1923" s="53">
        <f>Tabla14[[#This Row],[Importe]]-Tabla14[[#This Row],[Pagado]]</f>
        <v>0</v>
      </c>
      <c r="H1923" s="37" t="s">
        <v>10</v>
      </c>
    </row>
    <row r="1924" spans="1:8" x14ac:dyDescent="0.25">
      <c r="A1924" s="31">
        <v>44638</v>
      </c>
      <c r="B1924" s="37" t="s">
        <v>8982</v>
      </c>
      <c r="C1924" s="51" t="s">
        <v>357</v>
      </c>
      <c r="D1924" s="52">
        <v>3414.3</v>
      </c>
      <c r="E1924" s="35">
        <v>44638</v>
      </c>
      <c r="F1924" s="52">
        <v>3414.3</v>
      </c>
      <c r="G1924" s="53">
        <f>Tabla14[[#This Row],[Importe]]-Tabla14[[#This Row],[Pagado]]</f>
        <v>0</v>
      </c>
      <c r="H1924" s="37" t="s">
        <v>10</v>
      </c>
    </row>
    <row r="1925" spans="1:8" x14ac:dyDescent="0.25">
      <c r="A1925" s="31">
        <v>44638</v>
      </c>
      <c r="B1925" s="37" t="s">
        <v>8983</v>
      </c>
      <c r="C1925" s="51" t="s">
        <v>333</v>
      </c>
      <c r="D1925" s="52">
        <v>313.26</v>
      </c>
      <c r="E1925" s="35">
        <v>44638</v>
      </c>
      <c r="F1925" s="52">
        <v>313.26</v>
      </c>
      <c r="G1925" s="53">
        <f>Tabla14[[#This Row],[Importe]]-Tabla14[[#This Row],[Pagado]]</f>
        <v>0</v>
      </c>
      <c r="H1925" s="37" t="s">
        <v>10</v>
      </c>
    </row>
    <row r="1926" spans="1:8" x14ac:dyDescent="0.25">
      <c r="A1926" s="31">
        <v>44638</v>
      </c>
      <c r="B1926" s="37" t="s">
        <v>8984</v>
      </c>
      <c r="C1926" s="51" t="s">
        <v>18</v>
      </c>
      <c r="D1926" s="52">
        <v>1705.2</v>
      </c>
      <c r="E1926" s="35">
        <v>44638</v>
      </c>
      <c r="F1926" s="52">
        <v>1705.2</v>
      </c>
      <c r="G1926" s="53">
        <f>Tabla14[[#This Row],[Importe]]-Tabla14[[#This Row],[Pagado]]</f>
        <v>0</v>
      </c>
      <c r="H1926" s="37" t="s">
        <v>10</v>
      </c>
    </row>
    <row r="1927" spans="1:8" x14ac:dyDescent="0.25">
      <c r="A1927" s="31">
        <v>44638</v>
      </c>
      <c r="B1927" s="37" t="s">
        <v>8985</v>
      </c>
      <c r="C1927" s="51" t="s">
        <v>224</v>
      </c>
      <c r="D1927" s="52">
        <v>8324.2999999999993</v>
      </c>
      <c r="E1927" s="35">
        <v>44641</v>
      </c>
      <c r="F1927" s="52">
        <v>8324.2999999999993</v>
      </c>
      <c r="G1927" s="53">
        <f>Tabla14[[#This Row],[Importe]]-Tabla14[[#This Row],[Pagado]]</f>
        <v>0</v>
      </c>
      <c r="H1927" s="37" t="s">
        <v>10</v>
      </c>
    </row>
    <row r="1928" spans="1:8" x14ac:dyDescent="0.25">
      <c r="A1928" s="31">
        <v>44638</v>
      </c>
      <c r="B1928" s="37" t="s">
        <v>8986</v>
      </c>
      <c r="C1928" s="51" t="s">
        <v>647</v>
      </c>
      <c r="D1928" s="52">
        <v>1020.9</v>
      </c>
      <c r="E1928" s="35">
        <v>44638</v>
      </c>
      <c r="F1928" s="52">
        <v>1020.9</v>
      </c>
      <c r="G1928" s="53">
        <f>Tabla14[[#This Row],[Importe]]-Tabla14[[#This Row],[Pagado]]</f>
        <v>0</v>
      </c>
      <c r="H1928" s="37" t="s">
        <v>10</v>
      </c>
    </row>
    <row r="1929" spans="1:8" x14ac:dyDescent="0.25">
      <c r="A1929" s="31">
        <v>44638</v>
      </c>
      <c r="B1929" s="37" t="s">
        <v>8987</v>
      </c>
      <c r="C1929" s="51" t="s">
        <v>35</v>
      </c>
      <c r="D1929" s="52">
        <v>3375.4</v>
      </c>
      <c r="E1929" s="35">
        <v>44638</v>
      </c>
      <c r="F1929" s="52">
        <v>3375.4</v>
      </c>
      <c r="G1929" s="53">
        <f>Tabla14[[#This Row],[Importe]]-Tabla14[[#This Row],[Pagado]]</f>
        <v>0</v>
      </c>
      <c r="H1929" s="37" t="s">
        <v>10</v>
      </c>
    </row>
    <row r="1930" spans="1:8" x14ac:dyDescent="0.25">
      <c r="A1930" s="31">
        <v>44638</v>
      </c>
      <c r="B1930" s="37" t="s">
        <v>8988</v>
      </c>
      <c r="C1930" s="51" t="s">
        <v>212</v>
      </c>
      <c r="D1930" s="52">
        <v>55148.6</v>
      </c>
      <c r="E1930" s="35">
        <v>44644</v>
      </c>
      <c r="F1930" s="52">
        <v>55148.6</v>
      </c>
      <c r="G1930" s="53">
        <f>Tabla14[[#This Row],[Importe]]-Tabla14[[#This Row],[Pagado]]</f>
        <v>0</v>
      </c>
      <c r="H1930" s="37" t="s">
        <v>10</v>
      </c>
    </row>
    <row r="1931" spans="1:8" x14ac:dyDescent="0.25">
      <c r="A1931" s="31">
        <v>44638</v>
      </c>
      <c r="B1931" s="37" t="s">
        <v>8989</v>
      </c>
      <c r="C1931" s="51" t="s">
        <v>206</v>
      </c>
      <c r="D1931" s="52">
        <v>40099.360000000001</v>
      </c>
      <c r="E1931" s="35">
        <v>44644</v>
      </c>
      <c r="F1931" s="52">
        <v>40099.360000000001</v>
      </c>
      <c r="G1931" s="53">
        <f>Tabla14[[#This Row],[Importe]]-Tabla14[[#This Row],[Pagado]]</f>
        <v>0</v>
      </c>
      <c r="H1931" s="37" t="s">
        <v>10</v>
      </c>
    </row>
    <row r="1932" spans="1:8" x14ac:dyDescent="0.25">
      <c r="A1932" s="31">
        <v>44638</v>
      </c>
      <c r="B1932" s="37" t="s">
        <v>8990</v>
      </c>
      <c r="C1932" s="51" t="s">
        <v>373</v>
      </c>
      <c r="D1932" s="52">
        <v>607.20000000000005</v>
      </c>
      <c r="E1932" s="35">
        <v>44638</v>
      </c>
      <c r="F1932" s="52">
        <v>607.20000000000005</v>
      </c>
      <c r="G1932" s="53">
        <f>Tabla14[[#This Row],[Importe]]-Tabla14[[#This Row],[Pagado]]</f>
        <v>0</v>
      </c>
      <c r="H1932" s="37" t="s">
        <v>10</v>
      </c>
    </row>
    <row r="1933" spans="1:8" x14ac:dyDescent="0.25">
      <c r="A1933" s="31">
        <v>44638</v>
      </c>
      <c r="B1933" s="37" t="s">
        <v>8991</v>
      </c>
      <c r="C1933" s="51" t="s">
        <v>45</v>
      </c>
      <c r="D1933" s="52">
        <v>10104.799999999999</v>
      </c>
      <c r="E1933" s="35">
        <v>44638</v>
      </c>
      <c r="F1933" s="52">
        <v>10104.799999999999</v>
      </c>
      <c r="G1933" s="53">
        <f>Tabla14[[#This Row],[Importe]]-Tabla14[[#This Row],[Pagado]]</f>
        <v>0</v>
      </c>
      <c r="H1933" s="37" t="s">
        <v>10</v>
      </c>
    </row>
    <row r="1934" spans="1:8" x14ac:dyDescent="0.25">
      <c r="A1934" s="31">
        <v>44638</v>
      </c>
      <c r="B1934" s="37" t="s">
        <v>8992</v>
      </c>
      <c r="C1934" s="51" t="s">
        <v>53</v>
      </c>
      <c r="D1934" s="52">
        <v>1148.4000000000001</v>
      </c>
      <c r="E1934" s="35">
        <v>44638</v>
      </c>
      <c r="F1934" s="52">
        <v>1148.4000000000001</v>
      </c>
      <c r="G1934" s="53">
        <f>Tabla14[[#This Row],[Importe]]-Tabla14[[#This Row],[Pagado]]</f>
        <v>0</v>
      </c>
      <c r="H1934" s="37" t="s">
        <v>10</v>
      </c>
    </row>
    <row r="1935" spans="1:8" x14ac:dyDescent="0.25">
      <c r="A1935" s="31">
        <v>44638</v>
      </c>
      <c r="B1935" s="37" t="s">
        <v>8993</v>
      </c>
      <c r="C1935" s="51" t="s">
        <v>218</v>
      </c>
      <c r="D1935" s="52">
        <v>26630.2</v>
      </c>
      <c r="E1935" s="35">
        <v>44644</v>
      </c>
      <c r="F1935" s="52">
        <v>26630.2</v>
      </c>
      <c r="G1935" s="53">
        <f>Tabla14[[#This Row],[Importe]]-Tabla14[[#This Row],[Pagado]]</f>
        <v>0</v>
      </c>
      <c r="H1935" s="37" t="s">
        <v>10</v>
      </c>
    </row>
    <row r="1936" spans="1:8" x14ac:dyDescent="0.25">
      <c r="A1936" s="31">
        <v>44638</v>
      </c>
      <c r="B1936" s="37" t="s">
        <v>8994</v>
      </c>
      <c r="C1936" s="51" t="s">
        <v>2114</v>
      </c>
      <c r="D1936" s="52">
        <v>1766.4</v>
      </c>
      <c r="E1936" s="35">
        <v>44638</v>
      </c>
      <c r="F1936" s="52">
        <v>1766.4</v>
      </c>
      <c r="G1936" s="53">
        <f>Tabla14[[#This Row],[Importe]]-Tabla14[[#This Row],[Pagado]]</f>
        <v>0</v>
      </c>
      <c r="H1936" s="37" t="s">
        <v>10</v>
      </c>
    </row>
    <row r="1937" spans="1:8" x14ac:dyDescent="0.25">
      <c r="A1937" s="31">
        <v>44638</v>
      </c>
      <c r="B1937" s="37" t="s">
        <v>8995</v>
      </c>
      <c r="C1937" s="51" t="s">
        <v>49</v>
      </c>
      <c r="D1937" s="52">
        <v>3111.7</v>
      </c>
      <c r="E1937" s="35">
        <v>44638</v>
      </c>
      <c r="F1937" s="52">
        <v>3111.7</v>
      </c>
      <c r="G1937" s="53">
        <f>Tabla14[[#This Row],[Importe]]-Tabla14[[#This Row],[Pagado]]</f>
        <v>0</v>
      </c>
      <c r="H1937" s="37" t="s">
        <v>10</v>
      </c>
    </row>
    <row r="1938" spans="1:8" x14ac:dyDescent="0.25">
      <c r="A1938" s="31">
        <v>44638</v>
      </c>
      <c r="B1938" s="37" t="s">
        <v>8996</v>
      </c>
      <c r="C1938" s="51" t="s">
        <v>175</v>
      </c>
      <c r="D1938" s="52">
        <v>8818.7000000000007</v>
      </c>
      <c r="E1938" s="35">
        <v>44638</v>
      </c>
      <c r="F1938" s="52">
        <v>8818.7000000000007</v>
      </c>
      <c r="G1938" s="53">
        <f>Tabla14[[#This Row],[Importe]]-Tabla14[[#This Row],[Pagado]]</f>
        <v>0</v>
      </c>
      <c r="H1938" s="37" t="s">
        <v>10</v>
      </c>
    </row>
    <row r="1939" spans="1:8" x14ac:dyDescent="0.25">
      <c r="A1939" s="31">
        <v>44638</v>
      </c>
      <c r="B1939" s="37" t="s">
        <v>8997</v>
      </c>
      <c r="C1939" s="51" t="s">
        <v>200</v>
      </c>
      <c r="D1939" s="52">
        <v>926</v>
      </c>
      <c r="E1939" s="35">
        <v>44638</v>
      </c>
      <c r="F1939" s="52">
        <v>926</v>
      </c>
      <c r="G1939" s="53">
        <f>Tabla14[[#This Row],[Importe]]-Tabla14[[#This Row],[Pagado]]</f>
        <v>0</v>
      </c>
      <c r="H1939" s="37" t="s">
        <v>10</v>
      </c>
    </row>
    <row r="1940" spans="1:8" x14ac:dyDescent="0.25">
      <c r="A1940" s="31">
        <v>44638</v>
      </c>
      <c r="B1940" s="37" t="s">
        <v>8998</v>
      </c>
      <c r="C1940" s="51" t="s">
        <v>208</v>
      </c>
      <c r="D1940" s="52">
        <v>12421.84</v>
      </c>
      <c r="E1940" s="35">
        <v>44642</v>
      </c>
      <c r="F1940" s="52">
        <v>12421.84</v>
      </c>
      <c r="G1940" s="53">
        <f>Tabla14[[#This Row],[Importe]]-Tabla14[[#This Row],[Pagado]]</f>
        <v>0</v>
      </c>
      <c r="H1940" s="37" t="s">
        <v>10</v>
      </c>
    </row>
    <row r="1941" spans="1:8" x14ac:dyDescent="0.25">
      <c r="A1941" s="31">
        <v>44638</v>
      </c>
      <c r="B1941" s="37" t="s">
        <v>8999</v>
      </c>
      <c r="C1941" s="51" t="s">
        <v>2114</v>
      </c>
      <c r="D1941" s="52">
        <v>1254</v>
      </c>
      <c r="E1941" s="35">
        <v>44638</v>
      </c>
      <c r="F1941" s="52">
        <v>1254</v>
      </c>
      <c r="G1941" s="53">
        <f>Tabla14[[#This Row],[Importe]]-Tabla14[[#This Row],[Pagado]]</f>
        <v>0</v>
      </c>
      <c r="H1941" s="37" t="s">
        <v>10</v>
      </c>
    </row>
    <row r="1942" spans="1:8" x14ac:dyDescent="0.25">
      <c r="A1942" s="31">
        <v>44638</v>
      </c>
      <c r="B1942" s="37" t="s">
        <v>9000</v>
      </c>
      <c r="C1942" s="51" t="s">
        <v>85</v>
      </c>
      <c r="D1942" s="52">
        <v>3515</v>
      </c>
      <c r="E1942" s="35">
        <v>44638</v>
      </c>
      <c r="F1942" s="52">
        <v>3515</v>
      </c>
      <c r="G1942" s="53">
        <f>Tabla14[[#This Row],[Importe]]-Tabla14[[#This Row],[Pagado]]</f>
        <v>0</v>
      </c>
      <c r="H1942" s="37" t="s">
        <v>10</v>
      </c>
    </row>
    <row r="1943" spans="1:8" x14ac:dyDescent="0.25">
      <c r="A1943" s="31">
        <v>44638</v>
      </c>
      <c r="B1943" s="37" t="s">
        <v>9001</v>
      </c>
      <c r="C1943" s="51" t="s">
        <v>918</v>
      </c>
      <c r="D1943" s="52">
        <v>3625</v>
      </c>
      <c r="E1943" s="35">
        <v>44638</v>
      </c>
      <c r="F1943" s="52">
        <v>3625</v>
      </c>
      <c r="G1943" s="53">
        <f>Tabla14[[#This Row],[Importe]]-Tabla14[[#This Row],[Pagado]]</f>
        <v>0</v>
      </c>
      <c r="H1943" s="37" t="s">
        <v>10</v>
      </c>
    </row>
    <row r="1944" spans="1:8" x14ac:dyDescent="0.25">
      <c r="A1944" s="31">
        <v>44638</v>
      </c>
      <c r="B1944" s="37" t="s">
        <v>9002</v>
      </c>
      <c r="C1944" s="51" t="s">
        <v>208</v>
      </c>
      <c r="D1944" s="52">
        <v>851</v>
      </c>
      <c r="E1944" s="35">
        <v>44642</v>
      </c>
      <c r="F1944" s="52">
        <v>851</v>
      </c>
      <c r="G1944" s="53">
        <f>Tabla14[[#This Row],[Importe]]-Tabla14[[#This Row],[Pagado]]</f>
        <v>0</v>
      </c>
      <c r="H1944" s="37" t="s">
        <v>10</v>
      </c>
    </row>
    <row r="1945" spans="1:8" x14ac:dyDescent="0.25">
      <c r="A1945" s="31">
        <v>44638</v>
      </c>
      <c r="B1945" s="37" t="s">
        <v>9003</v>
      </c>
      <c r="C1945" s="51" t="s">
        <v>230</v>
      </c>
      <c r="D1945" s="52">
        <v>5555.6</v>
      </c>
      <c r="E1945" s="35">
        <v>44638</v>
      </c>
      <c r="F1945" s="52">
        <v>5555.6</v>
      </c>
      <c r="G1945" s="53">
        <f>Tabla14[[#This Row],[Importe]]-Tabla14[[#This Row],[Pagado]]</f>
        <v>0</v>
      </c>
      <c r="H1945" s="37" t="s">
        <v>10</v>
      </c>
    </row>
    <row r="1946" spans="1:8" x14ac:dyDescent="0.25">
      <c r="A1946" s="31">
        <v>44638</v>
      </c>
      <c r="B1946" s="37" t="s">
        <v>9004</v>
      </c>
      <c r="C1946" s="51" t="s">
        <v>56</v>
      </c>
      <c r="D1946" s="52">
        <v>4732.8</v>
      </c>
      <c r="E1946" s="35">
        <v>44638</v>
      </c>
      <c r="F1946" s="52">
        <v>4732.8</v>
      </c>
      <c r="G1946" s="53">
        <f>Tabla14[[#This Row],[Importe]]-Tabla14[[#This Row],[Pagado]]</f>
        <v>0</v>
      </c>
      <c r="H1946" s="37" t="s">
        <v>10</v>
      </c>
    </row>
    <row r="1947" spans="1:8" x14ac:dyDescent="0.25">
      <c r="A1947" s="31">
        <v>44638</v>
      </c>
      <c r="B1947" s="37" t="s">
        <v>9005</v>
      </c>
      <c r="C1947" s="51" t="s">
        <v>191</v>
      </c>
      <c r="D1947" s="52">
        <v>1327.8</v>
      </c>
      <c r="E1947" s="35">
        <v>44638</v>
      </c>
      <c r="F1947" s="52">
        <v>1327.8</v>
      </c>
      <c r="G1947" s="53">
        <f>Tabla14[[#This Row],[Importe]]-Tabla14[[#This Row],[Pagado]]</f>
        <v>0</v>
      </c>
      <c r="H1947" s="37" t="s">
        <v>10</v>
      </c>
    </row>
    <row r="1948" spans="1:8" x14ac:dyDescent="0.25">
      <c r="A1948" s="31">
        <v>44638</v>
      </c>
      <c r="B1948" s="37" t="s">
        <v>9006</v>
      </c>
      <c r="C1948" s="51" t="s">
        <v>191</v>
      </c>
      <c r="D1948" s="52">
        <v>80</v>
      </c>
      <c r="E1948" s="35">
        <v>44638</v>
      </c>
      <c r="F1948" s="52">
        <v>80</v>
      </c>
      <c r="G1948" s="53">
        <f>Tabla14[[#This Row],[Importe]]-Tabla14[[#This Row],[Pagado]]</f>
        <v>0</v>
      </c>
      <c r="H1948" s="37" t="s">
        <v>10</v>
      </c>
    </row>
    <row r="1949" spans="1:8" x14ac:dyDescent="0.25">
      <c r="A1949" s="31">
        <v>44638</v>
      </c>
      <c r="B1949" s="37" t="s">
        <v>9007</v>
      </c>
      <c r="C1949" s="51" t="s">
        <v>142</v>
      </c>
      <c r="D1949" s="52">
        <v>87124.5</v>
      </c>
      <c r="E1949" s="35">
        <v>44670</v>
      </c>
      <c r="F1949" s="52">
        <v>87124.5</v>
      </c>
      <c r="G1949" s="53">
        <f>Tabla14[[#This Row],[Importe]]-Tabla14[[#This Row],[Pagado]]</f>
        <v>0</v>
      </c>
      <c r="H1949" s="37" t="s">
        <v>10</v>
      </c>
    </row>
    <row r="1950" spans="1:8" x14ac:dyDescent="0.25">
      <c r="A1950" s="31">
        <v>44638</v>
      </c>
      <c r="B1950" s="37" t="s">
        <v>9008</v>
      </c>
      <c r="C1950" s="51" t="s">
        <v>840</v>
      </c>
      <c r="D1950" s="52">
        <v>4040</v>
      </c>
      <c r="E1950" s="35">
        <v>44638</v>
      </c>
      <c r="F1950" s="52">
        <v>4040</v>
      </c>
      <c r="G1950" s="53">
        <f>Tabla14[[#This Row],[Importe]]-Tabla14[[#This Row],[Pagado]]</f>
        <v>0</v>
      </c>
      <c r="H1950" s="37" t="s">
        <v>10</v>
      </c>
    </row>
    <row r="1951" spans="1:8" x14ac:dyDescent="0.25">
      <c r="A1951" s="31">
        <v>44638</v>
      </c>
      <c r="B1951" s="37" t="s">
        <v>9009</v>
      </c>
      <c r="C1951" s="51" t="s">
        <v>107</v>
      </c>
      <c r="D1951" s="52">
        <v>11841.5</v>
      </c>
      <c r="E1951" s="35">
        <v>44638</v>
      </c>
      <c r="F1951" s="52">
        <v>11841.5</v>
      </c>
      <c r="G1951" s="53">
        <f>Tabla14[[#This Row],[Importe]]-Tabla14[[#This Row],[Pagado]]</f>
        <v>0</v>
      </c>
      <c r="H1951" s="37" t="s">
        <v>10</v>
      </c>
    </row>
    <row r="1952" spans="1:8" x14ac:dyDescent="0.25">
      <c r="A1952" s="31">
        <v>44638</v>
      </c>
      <c r="B1952" s="37" t="s">
        <v>9010</v>
      </c>
      <c r="C1952" s="51" t="s">
        <v>419</v>
      </c>
      <c r="D1952" s="52">
        <v>6851.7</v>
      </c>
      <c r="E1952" s="35">
        <v>44638</v>
      </c>
      <c r="F1952" s="52">
        <v>6851.7</v>
      </c>
      <c r="G1952" s="53">
        <f>Tabla14[[#This Row],[Importe]]-Tabla14[[#This Row],[Pagado]]</f>
        <v>0</v>
      </c>
      <c r="H1952" s="37" t="s">
        <v>10</v>
      </c>
    </row>
    <row r="1953" spans="1:8" x14ac:dyDescent="0.25">
      <c r="A1953" s="31">
        <v>44638</v>
      </c>
      <c r="B1953" s="37" t="s">
        <v>9011</v>
      </c>
      <c r="C1953" s="51" t="s">
        <v>133</v>
      </c>
      <c r="D1953" s="52">
        <v>16718.400000000001</v>
      </c>
      <c r="E1953" s="35">
        <v>44642</v>
      </c>
      <c r="F1953" s="52">
        <v>16718.400000000001</v>
      </c>
      <c r="G1953" s="53">
        <f>Tabla14[[#This Row],[Importe]]-Tabla14[[#This Row],[Pagado]]</f>
        <v>0</v>
      </c>
      <c r="H1953" s="37" t="s">
        <v>10</v>
      </c>
    </row>
    <row r="1954" spans="1:8" x14ac:dyDescent="0.25">
      <c r="A1954" s="31">
        <v>44638</v>
      </c>
      <c r="B1954" s="37" t="s">
        <v>9012</v>
      </c>
      <c r="C1954" s="51" t="s">
        <v>804</v>
      </c>
      <c r="D1954" s="52">
        <v>15536.4</v>
      </c>
      <c r="E1954" s="35">
        <v>44638</v>
      </c>
      <c r="F1954" s="52">
        <v>15536.4</v>
      </c>
      <c r="G1954" s="53">
        <f>Tabla14[[#This Row],[Importe]]-Tabla14[[#This Row],[Pagado]]</f>
        <v>0</v>
      </c>
      <c r="H1954" s="37" t="s">
        <v>10</v>
      </c>
    </row>
    <row r="1955" spans="1:8" x14ac:dyDescent="0.25">
      <c r="A1955" s="31">
        <v>44638</v>
      </c>
      <c r="B1955" s="37" t="s">
        <v>9013</v>
      </c>
      <c r="C1955" s="51" t="s">
        <v>214</v>
      </c>
      <c r="D1955" s="52">
        <v>1026</v>
      </c>
      <c r="E1955" s="35">
        <v>44638</v>
      </c>
      <c r="F1955" s="52">
        <v>1026</v>
      </c>
      <c r="G1955" s="53">
        <f>Tabla14[[#This Row],[Importe]]-Tabla14[[#This Row],[Pagado]]</f>
        <v>0</v>
      </c>
      <c r="H1955" s="37" t="s">
        <v>10</v>
      </c>
    </row>
    <row r="1956" spans="1:8" x14ac:dyDescent="0.25">
      <c r="A1956" s="31">
        <v>44638</v>
      </c>
      <c r="B1956" s="37" t="s">
        <v>9014</v>
      </c>
      <c r="C1956" s="51" t="s">
        <v>592</v>
      </c>
      <c r="D1956" s="52">
        <v>33948</v>
      </c>
      <c r="E1956" s="35">
        <v>44639</v>
      </c>
      <c r="F1956" s="52">
        <v>33948</v>
      </c>
      <c r="G1956" s="53">
        <f>Tabla14[[#This Row],[Importe]]-Tabla14[[#This Row],[Pagado]]</f>
        <v>0</v>
      </c>
      <c r="H1956" s="37" t="s">
        <v>10</v>
      </c>
    </row>
    <row r="1957" spans="1:8" x14ac:dyDescent="0.25">
      <c r="A1957" s="31">
        <v>44638</v>
      </c>
      <c r="B1957" s="37" t="s">
        <v>9015</v>
      </c>
      <c r="C1957" s="51" t="s">
        <v>583</v>
      </c>
      <c r="D1957" s="52">
        <v>1649.2</v>
      </c>
      <c r="E1957" s="35">
        <v>44638</v>
      </c>
      <c r="F1957" s="52">
        <v>1649.2</v>
      </c>
      <c r="G1957" s="53">
        <f>Tabla14[[#This Row],[Importe]]-Tabla14[[#This Row],[Pagado]]</f>
        <v>0</v>
      </c>
      <c r="H1957" s="37" t="s">
        <v>10</v>
      </c>
    </row>
    <row r="1958" spans="1:8" x14ac:dyDescent="0.25">
      <c r="A1958" s="31">
        <v>44638</v>
      </c>
      <c r="B1958" s="37" t="s">
        <v>9016</v>
      </c>
      <c r="C1958" s="51" t="s">
        <v>233</v>
      </c>
      <c r="D1958" s="52">
        <v>5540.4</v>
      </c>
      <c r="E1958" s="35">
        <v>44638</v>
      </c>
      <c r="F1958" s="52">
        <v>5540.4</v>
      </c>
      <c r="G1958" s="53">
        <f>Tabla14[[#This Row],[Importe]]-Tabla14[[#This Row],[Pagado]]</f>
        <v>0</v>
      </c>
      <c r="H1958" s="37" t="s">
        <v>10</v>
      </c>
    </row>
    <row r="1959" spans="1:8" x14ac:dyDescent="0.25">
      <c r="A1959" s="31">
        <v>44638</v>
      </c>
      <c r="B1959" s="37" t="s">
        <v>9017</v>
      </c>
      <c r="C1959" s="51" t="s">
        <v>31</v>
      </c>
      <c r="D1959" s="52">
        <v>4520.2</v>
      </c>
      <c r="E1959" s="35">
        <v>44639</v>
      </c>
      <c r="F1959" s="52">
        <v>4520.2</v>
      </c>
      <c r="G1959" s="53">
        <f>Tabla14[[#This Row],[Importe]]-Tabla14[[#This Row],[Pagado]]</f>
        <v>0</v>
      </c>
      <c r="H1959" s="37" t="s">
        <v>10</v>
      </c>
    </row>
    <row r="1960" spans="1:8" x14ac:dyDescent="0.25">
      <c r="A1960" s="31">
        <v>44638</v>
      </c>
      <c r="B1960" s="37" t="s">
        <v>9018</v>
      </c>
      <c r="C1960" s="51" t="s">
        <v>226</v>
      </c>
      <c r="D1960" s="52">
        <v>2884</v>
      </c>
      <c r="E1960" s="35">
        <v>44638</v>
      </c>
      <c r="F1960" s="52">
        <v>2884</v>
      </c>
      <c r="G1960" s="53">
        <f>Tabla14[[#This Row],[Importe]]-Tabla14[[#This Row],[Pagado]]</f>
        <v>0</v>
      </c>
      <c r="H1960" s="37" t="s">
        <v>10</v>
      </c>
    </row>
    <row r="1961" spans="1:8" x14ac:dyDescent="0.25">
      <c r="A1961" s="31">
        <v>44638</v>
      </c>
      <c r="B1961" s="37" t="s">
        <v>9019</v>
      </c>
      <c r="C1961" s="51" t="s">
        <v>849</v>
      </c>
      <c r="D1961" s="52">
        <v>4256</v>
      </c>
      <c r="E1961" s="35">
        <v>44638</v>
      </c>
      <c r="F1961" s="52">
        <v>4256</v>
      </c>
      <c r="G1961" s="53">
        <f>Tabla14[[#This Row],[Importe]]-Tabla14[[#This Row],[Pagado]]</f>
        <v>0</v>
      </c>
      <c r="H1961" s="37" t="s">
        <v>10</v>
      </c>
    </row>
    <row r="1962" spans="1:8" x14ac:dyDescent="0.25">
      <c r="A1962" s="31">
        <v>44638</v>
      </c>
      <c r="B1962" s="37" t="s">
        <v>9020</v>
      </c>
      <c r="C1962" s="51" t="s">
        <v>62</v>
      </c>
      <c r="D1962" s="52">
        <v>3056.6</v>
      </c>
      <c r="E1962" s="35">
        <v>44638</v>
      </c>
      <c r="F1962" s="52">
        <v>3056.6</v>
      </c>
      <c r="G1962" s="53">
        <f>Tabla14[[#This Row],[Importe]]-Tabla14[[#This Row],[Pagado]]</f>
        <v>0</v>
      </c>
      <c r="H1962" s="37" t="s">
        <v>10</v>
      </c>
    </row>
    <row r="1963" spans="1:8" x14ac:dyDescent="0.25">
      <c r="A1963" s="31">
        <v>44638</v>
      </c>
      <c r="B1963" s="37" t="s">
        <v>9021</v>
      </c>
      <c r="C1963" s="51" t="s">
        <v>173</v>
      </c>
      <c r="D1963" s="52">
        <v>41325.199999999997</v>
      </c>
      <c r="E1963" s="35">
        <v>44639</v>
      </c>
      <c r="F1963" s="52">
        <v>41325.199999999997</v>
      </c>
      <c r="G1963" s="53">
        <f>Tabla14[[#This Row],[Importe]]-Tabla14[[#This Row],[Pagado]]</f>
        <v>0</v>
      </c>
      <c r="H1963" s="37" t="s">
        <v>10</v>
      </c>
    </row>
    <row r="1964" spans="1:8" x14ac:dyDescent="0.25">
      <c r="A1964" s="31">
        <v>44638</v>
      </c>
      <c r="B1964" s="37" t="s">
        <v>9022</v>
      </c>
      <c r="C1964" s="51" t="s">
        <v>51</v>
      </c>
      <c r="D1964" s="52">
        <v>3180.8</v>
      </c>
      <c r="E1964" s="35">
        <v>44638</v>
      </c>
      <c r="F1964" s="52">
        <v>3180.8</v>
      </c>
      <c r="G1964" s="53">
        <f>Tabla14[[#This Row],[Importe]]-Tabla14[[#This Row],[Pagado]]</f>
        <v>0</v>
      </c>
      <c r="H1964" s="37" t="s">
        <v>10</v>
      </c>
    </row>
    <row r="1965" spans="1:8" x14ac:dyDescent="0.25">
      <c r="A1965" s="31">
        <v>44638</v>
      </c>
      <c r="B1965" s="37" t="s">
        <v>9023</v>
      </c>
      <c r="C1965" s="51" t="s">
        <v>664</v>
      </c>
      <c r="D1965" s="52">
        <v>11286.8</v>
      </c>
      <c r="E1965" s="35">
        <v>44638</v>
      </c>
      <c r="F1965" s="52">
        <v>11286.8</v>
      </c>
      <c r="G1965" s="53">
        <f>Tabla14[[#This Row],[Importe]]-Tabla14[[#This Row],[Pagado]]</f>
        <v>0</v>
      </c>
      <c r="H1965" s="37" t="s">
        <v>10</v>
      </c>
    </row>
    <row r="1966" spans="1:8" x14ac:dyDescent="0.25">
      <c r="A1966" s="31">
        <v>44638</v>
      </c>
      <c r="B1966" s="37" t="s">
        <v>9024</v>
      </c>
      <c r="C1966" s="51" t="s">
        <v>31</v>
      </c>
      <c r="D1966" s="52">
        <v>513</v>
      </c>
      <c r="E1966" s="35">
        <v>44638</v>
      </c>
      <c r="F1966" s="52">
        <v>513</v>
      </c>
      <c r="G1966" s="53">
        <f>Tabla14[[#This Row],[Importe]]-Tabla14[[#This Row],[Pagado]]</f>
        <v>0</v>
      </c>
      <c r="H1966" s="37" t="s">
        <v>10</v>
      </c>
    </row>
    <row r="1967" spans="1:8" x14ac:dyDescent="0.25">
      <c r="A1967" s="31">
        <v>44638</v>
      </c>
      <c r="B1967" s="37" t="s">
        <v>9025</v>
      </c>
      <c r="C1967" s="51" t="s">
        <v>31</v>
      </c>
      <c r="D1967" s="52">
        <v>2835.2</v>
      </c>
      <c r="E1967" s="35">
        <v>44638</v>
      </c>
      <c r="F1967" s="52">
        <v>2835.2</v>
      </c>
      <c r="G1967" s="53">
        <f>Tabla14[[#This Row],[Importe]]-Tabla14[[#This Row],[Pagado]]</f>
        <v>0</v>
      </c>
      <c r="H1967" s="37" t="s">
        <v>10</v>
      </c>
    </row>
    <row r="1968" spans="1:8" x14ac:dyDescent="0.25">
      <c r="A1968" s="31">
        <v>44638</v>
      </c>
      <c r="B1968" s="37" t="s">
        <v>9026</v>
      </c>
      <c r="C1968" s="51" t="s">
        <v>58</v>
      </c>
      <c r="D1968" s="52">
        <v>3264</v>
      </c>
      <c r="E1968" s="35">
        <v>44638</v>
      </c>
      <c r="F1968" s="52">
        <v>3264</v>
      </c>
      <c r="G1968" s="53">
        <f>Tabla14[[#This Row],[Importe]]-Tabla14[[#This Row],[Pagado]]</f>
        <v>0</v>
      </c>
      <c r="H1968" s="37" t="s">
        <v>10</v>
      </c>
    </row>
    <row r="1969" spans="1:8" x14ac:dyDescent="0.25">
      <c r="A1969" s="31">
        <v>44638</v>
      </c>
      <c r="B1969" s="37" t="s">
        <v>9027</v>
      </c>
      <c r="C1969" s="51" t="s">
        <v>31</v>
      </c>
      <c r="D1969" s="52">
        <v>966.4</v>
      </c>
      <c r="E1969" s="35">
        <v>44638</v>
      </c>
      <c r="F1969" s="52">
        <v>966.4</v>
      </c>
      <c r="G1969" s="53">
        <f>Tabla14[[#This Row],[Importe]]-Tabla14[[#This Row],[Pagado]]</f>
        <v>0</v>
      </c>
      <c r="H1969" s="37" t="s">
        <v>10</v>
      </c>
    </row>
    <row r="1970" spans="1:8" x14ac:dyDescent="0.25">
      <c r="A1970" s="31">
        <v>44638</v>
      </c>
      <c r="B1970" s="37" t="s">
        <v>9028</v>
      </c>
      <c r="C1970" s="51" t="s">
        <v>246</v>
      </c>
      <c r="D1970" s="52">
        <v>35281.4</v>
      </c>
      <c r="E1970" s="35">
        <v>44638</v>
      </c>
      <c r="F1970" s="52">
        <v>35281.4</v>
      </c>
      <c r="G1970" s="53">
        <f>Tabla14[[#This Row],[Importe]]-Tabla14[[#This Row],[Pagado]]</f>
        <v>0</v>
      </c>
      <c r="H1970" s="37" t="s">
        <v>10</v>
      </c>
    </row>
    <row r="1971" spans="1:8" x14ac:dyDescent="0.25">
      <c r="A1971" s="31">
        <v>44638</v>
      </c>
      <c r="B1971" s="37" t="s">
        <v>9029</v>
      </c>
      <c r="C1971" s="51" t="s">
        <v>146</v>
      </c>
      <c r="D1971" s="52">
        <v>10515.4</v>
      </c>
      <c r="E1971" s="35">
        <v>44638</v>
      </c>
      <c r="F1971" s="52">
        <v>10515.4</v>
      </c>
      <c r="G1971" s="53">
        <f>Tabla14[[#This Row],[Importe]]-Tabla14[[#This Row],[Pagado]]</f>
        <v>0</v>
      </c>
      <c r="H1971" s="37" t="s">
        <v>10</v>
      </c>
    </row>
    <row r="1972" spans="1:8" x14ac:dyDescent="0.25">
      <c r="A1972" s="31">
        <v>44638</v>
      </c>
      <c r="B1972" s="37" t="s">
        <v>9030</v>
      </c>
      <c r="C1972" s="51" t="s">
        <v>31</v>
      </c>
      <c r="D1972" s="52">
        <v>13254.4</v>
      </c>
      <c r="E1972" s="35">
        <v>44638</v>
      </c>
      <c r="F1972" s="52">
        <v>13254.4</v>
      </c>
      <c r="G1972" s="53">
        <f>Tabla14[[#This Row],[Importe]]-Tabla14[[#This Row],[Pagado]]</f>
        <v>0</v>
      </c>
      <c r="H1972" s="37" t="s">
        <v>10</v>
      </c>
    </row>
    <row r="1973" spans="1:8" x14ac:dyDescent="0.25">
      <c r="A1973" s="31">
        <v>44638</v>
      </c>
      <c r="B1973" s="37" t="s">
        <v>9031</v>
      </c>
      <c r="C1973" s="51" t="s">
        <v>67</v>
      </c>
      <c r="D1973" s="52">
        <v>2037</v>
      </c>
      <c r="E1973" s="35">
        <v>44638</v>
      </c>
      <c r="F1973" s="52">
        <v>2037</v>
      </c>
      <c r="G1973" s="53">
        <f>Tabla14[[#This Row],[Importe]]-Tabla14[[#This Row],[Pagado]]</f>
        <v>0</v>
      </c>
      <c r="H1973" s="37" t="s">
        <v>10</v>
      </c>
    </row>
    <row r="1974" spans="1:8" x14ac:dyDescent="0.25">
      <c r="A1974" s="31">
        <v>44638</v>
      </c>
      <c r="B1974" s="37" t="s">
        <v>9032</v>
      </c>
      <c r="C1974" s="51" t="s">
        <v>269</v>
      </c>
      <c r="D1974" s="52">
        <v>4551.6000000000004</v>
      </c>
      <c r="E1974" s="35">
        <v>44638</v>
      </c>
      <c r="F1974" s="52">
        <v>4551.6000000000004</v>
      </c>
      <c r="G1974" s="53">
        <f>Tabla14[[#This Row],[Importe]]-Tabla14[[#This Row],[Pagado]]</f>
        <v>0</v>
      </c>
      <c r="H1974" s="37" t="s">
        <v>10</v>
      </c>
    </row>
    <row r="1975" spans="1:8" x14ac:dyDescent="0.25">
      <c r="A1975" s="31">
        <v>44638</v>
      </c>
      <c r="B1975" s="37" t="s">
        <v>9033</v>
      </c>
      <c r="C1975" s="51" t="s">
        <v>9034</v>
      </c>
      <c r="D1975" s="52">
        <v>0</v>
      </c>
      <c r="E1975" s="39" t="s">
        <v>189</v>
      </c>
      <c r="F1975" s="52">
        <v>0</v>
      </c>
      <c r="G1975" s="53">
        <f>Tabla14[[#This Row],[Importe]]-Tabla14[[#This Row],[Pagado]]</f>
        <v>0</v>
      </c>
      <c r="H1975" s="37" t="s">
        <v>189</v>
      </c>
    </row>
    <row r="1976" spans="1:8" x14ac:dyDescent="0.25">
      <c r="A1976" s="31">
        <v>44638</v>
      </c>
      <c r="B1976" s="37" t="s">
        <v>9035</v>
      </c>
      <c r="C1976" s="51" t="s">
        <v>31</v>
      </c>
      <c r="D1976" s="52">
        <v>3888</v>
      </c>
      <c r="E1976" s="35">
        <v>44638</v>
      </c>
      <c r="F1976" s="52">
        <v>3888</v>
      </c>
      <c r="G1976" s="53">
        <f>Tabla14[[#This Row],[Importe]]-Tabla14[[#This Row],[Pagado]]</f>
        <v>0</v>
      </c>
      <c r="H1976" s="37" t="s">
        <v>10</v>
      </c>
    </row>
    <row r="1977" spans="1:8" x14ac:dyDescent="0.25">
      <c r="A1977" s="31">
        <v>44638</v>
      </c>
      <c r="B1977" s="37" t="s">
        <v>9036</v>
      </c>
      <c r="C1977" s="51" t="s">
        <v>246</v>
      </c>
      <c r="D1977" s="52">
        <v>655.20000000000005</v>
      </c>
      <c r="E1977" s="35">
        <v>44638</v>
      </c>
      <c r="F1977" s="52">
        <v>655.20000000000005</v>
      </c>
      <c r="G1977" s="53">
        <f>Tabla14[[#This Row],[Importe]]-Tabla14[[#This Row],[Pagado]]</f>
        <v>0</v>
      </c>
      <c r="H1977" s="37" t="s">
        <v>10</v>
      </c>
    </row>
    <row r="1978" spans="1:8" x14ac:dyDescent="0.25">
      <c r="A1978" s="31">
        <v>44638</v>
      </c>
      <c r="B1978" s="37" t="s">
        <v>9037</v>
      </c>
      <c r="C1978" s="51" t="s">
        <v>484</v>
      </c>
      <c r="D1978" s="52">
        <v>3126</v>
      </c>
      <c r="E1978" s="35">
        <v>44638</v>
      </c>
      <c r="F1978" s="52">
        <v>3126</v>
      </c>
      <c r="G1978" s="53">
        <f>Tabla14[[#This Row],[Importe]]-Tabla14[[#This Row],[Pagado]]</f>
        <v>0</v>
      </c>
      <c r="H1978" s="37" t="s">
        <v>10</v>
      </c>
    </row>
    <row r="1979" spans="1:8" x14ac:dyDescent="0.25">
      <c r="A1979" s="31">
        <v>44638</v>
      </c>
      <c r="B1979" s="37" t="s">
        <v>9038</v>
      </c>
      <c r="C1979" s="51" t="s">
        <v>365</v>
      </c>
      <c r="D1979" s="52">
        <v>630.79999999999995</v>
      </c>
      <c r="E1979" s="35">
        <v>44638</v>
      </c>
      <c r="F1979" s="52">
        <v>630.79999999999995</v>
      </c>
      <c r="G1979" s="53">
        <f>Tabla14[[#This Row],[Importe]]-Tabla14[[#This Row],[Pagado]]</f>
        <v>0</v>
      </c>
      <c r="H1979" s="37" t="s">
        <v>10</v>
      </c>
    </row>
    <row r="1980" spans="1:8" x14ac:dyDescent="0.25">
      <c r="A1980" s="31">
        <v>44638</v>
      </c>
      <c r="B1980" s="37" t="s">
        <v>9039</v>
      </c>
      <c r="C1980" s="51" t="s">
        <v>24</v>
      </c>
      <c r="D1980" s="52">
        <v>529.20000000000005</v>
      </c>
      <c r="E1980" s="35">
        <v>44638</v>
      </c>
      <c r="F1980" s="52">
        <v>529.20000000000005</v>
      </c>
      <c r="G1980" s="53">
        <f>Tabla14[[#This Row],[Importe]]-Tabla14[[#This Row],[Pagado]]</f>
        <v>0</v>
      </c>
      <c r="H1980" s="37" t="s">
        <v>10</v>
      </c>
    </row>
    <row r="1981" spans="1:8" x14ac:dyDescent="0.25">
      <c r="A1981" s="31">
        <v>44638</v>
      </c>
      <c r="B1981" s="37" t="s">
        <v>9040</v>
      </c>
      <c r="C1981" s="51" t="s">
        <v>1313</v>
      </c>
      <c r="D1981" s="52">
        <v>3872.2</v>
      </c>
      <c r="E1981" s="35">
        <v>44638</v>
      </c>
      <c r="F1981" s="52">
        <v>3872.2</v>
      </c>
      <c r="G1981" s="53">
        <f>Tabla14[[#This Row],[Importe]]-Tabla14[[#This Row],[Pagado]]</f>
        <v>0</v>
      </c>
      <c r="H1981" s="37" t="s">
        <v>10</v>
      </c>
    </row>
    <row r="1982" spans="1:8" x14ac:dyDescent="0.25">
      <c r="A1982" s="31">
        <v>44638</v>
      </c>
      <c r="B1982" s="37" t="s">
        <v>9041</v>
      </c>
      <c r="C1982" s="51" t="s">
        <v>282</v>
      </c>
      <c r="D1982" s="52">
        <v>2214</v>
      </c>
      <c r="E1982" s="35">
        <v>44639</v>
      </c>
      <c r="F1982" s="52">
        <v>2214</v>
      </c>
      <c r="G1982" s="53">
        <f>Tabla14[[#This Row],[Importe]]-Tabla14[[#This Row],[Pagado]]</f>
        <v>0</v>
      </c>
      <c r="H1982" s="37" t="s">
        <v>10</v>
      </c>
    </row>
    <row r="1983" spans="1:8" x14ac:dyDescent="0.25">
      <c r="A1983" s="31">
        <v>44638</v>
      </c>
      <c r="B1983" s="37" t="s">
        <v>9042</v>
      </c>
      <c r="C1983" s="51" t="s">
        <v>280</v>
      </c>
      <c r="D1983" s="52">
        <v>1447.2</v>
      </c>
      <c r="E1983" s="35">
        <v>44639</v>
      </c>
      <c r="F1983" s="52">
        <v>1447.2</v>
      </c>
      <c r="G1983" s="53">
        <f>Tabla14[[#This Row],[Importe]]-Tabla14[[#This Row],[Pagado]]</f>
        <v>0</v>
      </c>
      <c r="H1983" s="37" t="s">
        <v>10</v>
      </c>
    </row>
    <row r="1984" spans="1:8" x14ac:dyDescent="0.25">
      <c r="A1984" s="31">
        <v>44638</v>
      </c>
      <c r="B1984" s="37" t="s">
        <v>9043</v>
      </c>
      <c r="C1984" s="51" t="s">
        <v>555</v>
      </c>
      <c r="D1984" s="52">
        <v>22650</v>
      </c>
      <c r="E1984" s="35">
        <v>44638</v>
      </c>
      <c r="F1984" s="52">
        <v>22650</v>
      </c>
      <c r="G1984" s="53">
        <f>Tabla14[[#This Row],[Importe]]-Tabla14[[#This Row],[Pagado]]</f>
        <v>0</v>
      </c>
      <c r="H1984" s="37" t="s">
        <v>10</v>
      </c>
    </row>
    <row r="1985" spans="1:8" x14ac:dyDescent="0.25">
      <c r="A1985" s="31">
        <v>44638</v>
      </c>
      <c r="B1985" s="37" t="s">
        <v>9044</v>
      </c>
      <c r="C1985" s="51" t="s">
        <v>5345</v>
      </c>
      <c r="D1985" s="52">
        <v>1663.2</v>
      </c>
      <c r="E1985" s="35">
        <v>44639</v>
      </c>
      <c r="F1985" s="52">
        <v>1663.2</v>
      </c>
      <c r="G1985" s="53">
        <f>Tabla14[[#This Row],[Importe]]-Tabla14[[#This Row],[Pagado]]</f>
        <v>0</v>
      </c>
      <c r="H1985" s="37" t="s">
        <v>10</v>
      </c>
    </row>
    <row r="1986" spans="1:8" x14ac:dyDescent="0.25">
      <c r="A1986" s="31">
        <v>44638</v>
      </c>
      <c r="B1986" s="37" t="s">
        <v>9045</v>
      </c>
      <c r="C1986" s="51" t="s">
        <v>284</v>
      </c>
      <c r="D1986" s="52">
        <v>8132.4</v>
      </c>
      <c r="E1986" s="35">
        <v>44639</v>
      </c>
      <c r="F1986" s="52">
        <v>8132.4</v>
      </c>
      <c r="G1986" s="53">
        <f>Tabla14[[#This Row],[Importe]]-Tabla14[[#This Row],[Pagado]]</f>
        <v>0</v>
      </c>
      <c r="H1986" s="37" t="s">
        <v>10</v>
      </c>
    </row>
    <row r="1987" spans="1:8" x14ac:dyDescent="0.25">
      <c r="A1987" s="31">
        <v>44638</v>
      </c>
      <c r="B1987" s="37" t="s">
        <v>9046</v>
      </c>
      <c r="C1987" s="51" t="s">
        <v>31</v>
      </c>
      <c r="D1987" s="52">
        <v>840</v>
      </c>
      <c r="E1987" s="35">
        <v>44638</v>
      </c>
      <c r="F1987" s="52">
        <v>840</v>
      </c>
      <c r="G1987" s="53">
        <f>Tabla14[[#This Row],[Importe]]-Tabla14[[#This Row],[Pagado]]</f>
        <v>0</v>
      </c>
      <c r="H1987" s="37" t="s">
        <v>10</v>
      </c>
    </row>
    <row r="1988" spans="1:8" x14ac:dyDescent="0.25">
      <c r="A1988" s="31">
        <v>44638</v>
      </c>
      <c r="B1988" s="37" t="s">
        <v>9047</v>
      </c>
      <c r="C1988" s="51" t="s">
        <v>9</v>
      </c>
      <c r="D1988" s="52">
        <v>2785.4</v>
      </c>
      <c r="E1988" s="35">
        <v>44638</v>
      </c>
      <c r="F1988" s="52">
        <v>2785.4</v>
      </c>
      <c r="G1988" s="53">
        <f>Tabla14[[#This Row],[Importe]]-Tabla14[[#This Row],[Pagado]]</f>
        <v>0</v>
      </c>
      <c r="H1988" s="37" t="s">
        <v>10</v>
      </c>
    </row>
    <row r="1989" spans="1:8" x14ac:dyDescent="0.25">
      <c r="A1989" s="31">
        <v>44638</v>
      </c>
      <c r="B1989" s="37" t="s">
        <v>9048</v>
      </c>
      <c r="C1989" s="51" t="s">
        <v>414</v>
      </c>
      <c r="D1989" s="52">
        <v>11458.8</v>
      </c>
      <c r="E1989" s="35">
        <v>44638</v>
      </c>
      <c r="F1989" s="52">
        <v>11458.8</v>
      </c>
      <c r="G1989" s="53">
        <f>Tabla14[[#This Row],[Importe]]-Tabla14[[#This Row],[Pagado]]</f>
        <v>0</v>
      </c>
      <c r="H1989" s="37" t="s">
        <v>10</v>
      </c>
    </row>
    <row r="1990" spans="1:8" x14ac:dyDescent="0.25">
      <c r="A1990" s="31">
        <v>44638</v>
      </c>
      <c r="B1990" s="37" t="s">
        <v>9049</v>
      </c>
      <c r="C1990" s="51" t="s">
        <v>31</v>
      </c>
      <c r="D1990" s="52">
        <v>44.8</v>
      </c>
      <c r="E1990" s="35">
        <v>44638</v>
      </c>
      <c r="F1990" s="52">
        <v>44.8</v>
      </c>
      <c r="G1990" s="53">
        <f>Tabla14[[#This Row],[Importe]]-Tabla14[[#This Row],[Pagado]]</f>
        <v>0</v>
      </c>
      <c r="H1990" s="37" t="s">
        <v>10</v>
      </c>
    </row>
    <row r="1991" spans="1:8" x14ac:dyDescent="0.25">
      <c r="A1991" s="31">
        <v>44638</v>
      </c>
      <c r="B1991" s="37" t="s">
        <v>9050</v>
      </c>
      <c r="C1991" s="51" t="s">
        <v>95</v>
      </c>
      <c r="D1991" s="52">
        <v>7867.1</v>
      </c>
      <c r="E1991" s="35">
        <v>44638</v>
      </c>
      <c r="F1991" s="52">
        <v>7867.1</v>
      </c>
      <c r="G1991" s="53">
        <f>Tabla14[[#This Row],[Importe]]-Tabla14[[#This Row],[Pagado]]</f>
        <v>0</v>
      </c>
      <c r="H1991" s="37" t="s">
        <v>10</v>
      </c>
    </row>
    <row r="1992" spans="1:8" x14ac:dyDescent="0.25">
      <c r="A1992" s="31">
        <v>44638</v>
      </c>
      <c r="B1992" s="37" t="s">
        <v>9051</v>
      </c>
      <c r="C1992" s="51" t="s">
        <v>1008</v>
      </c>
      <c r="D1992" s="52">
        <v>180.9</v>
      </c>
      <c r="E1992" s="35">
        <v>44638</v>
      </c>
      <c r="F1992" s="52">
        <v>180.9</v>
      </c>
      <c r="G1992" s="53">
        <f>Tabla14[[#This Row],[Importe]]-Tabla14[[#This Row],[Pagado]]</f>
        <v>0</v>
      </c>
      <c r="H1992" s="37" t="s">
        <v>10</v>
      </c>
    </row>
    <row r="1993" spans="1:8" x14ac:dyDescent="0.25">
      <c r="A1993" s="31">
        <v>44638</v>
      </c>
      <c r="B1993" s="37" t="s">
        <v>9052</v>
      </c>
      <c r="C1993" s="51" t="s">
        <v>7444</v>
      </c>
      <c r="D1993" s="52">
        <v>16708.599999999999</v>
      </c>
      <c r="E1993" s="35">
        <v>44659</v>
      </c>
      <c r="F1993" s="52">
        <v>16708.599999999999</v>
      </c>
      <c r="G1993" s="53">
        <f>Tabla14[[#This Row],[Importe]]-Tabla14[[#This Row],[Pagado]]</f>
        <v>0</v>
      </c>
      <c r="H1993" s="37" t="s">
        <v>10</v>
      </c>
    </row>
    <row r="1994" spans="1:8" x14ac:dyDescent="0.25">
      <c r="A1994" s="31">
        <v>44638</v>
      </c>
      <c r="B1994" s="37" t="s">
        <v>9053</v>
      </c>
      <c r="C1994" s="51" t="s">
        <v>452</v>
      </c>
      <c r="D1994" s="52">
        <v>9747.2000000000007</v>
      </c>
      <c r="E1994" s="35">
        <v>44638</v>
      </c>
      <c r="F1994" s="52">
        <v>9747.2000000000007</v>
      </c>
      <c r="G1994" s="53">
        <f>Tabla14[[#This Row],[Importe]]-Tabla14[[#This Row],[Pagado]]</f>
        <v>0</v>
      </c>
      <c r="H1994" s="37" t="s">
        <v>10</v>
      </c>
    </row>
    <row r="1995" spans="1:8" x14ac:dyDescent="0.25">
      <c r="A1995" s="31">
        <v>44638</v>
      </c>
      <c r="B1995" s="37" t="s">
        <v>9054</v>
      </c>
      <c r="C1995" s="51" t="s">
        <v>409</v>
      </c>
      <c r="D1995" s="52">
        <v>11095.2</v>
      </c>
      <c r="E1995" s="35">
        <v>44642</v>
      </c>
      <c r="F1995" s="52">
        <v>11095.2</v>
      </c>
      <c r="G1995" s="53">
        <f>Tabla14[[#This Row],[Importe]]-Tabla14[[#This Row],[Pagado]]</f>
        <v>0</v>
      </c>
      <c r="H1995" s="37" t="s">
        <v>10</v>
      </c>
    </row>
    <row r="1996" spans="1:8" x14ac:dyDescent="0.25">
      <c r="A1996" s="31">
        <v>44638</v>
      </c>
      <c r="B1996" s="37" t="s">
        <v>9055</v>
      </c>
      <c r="C1996" s="51" t="s">
        <v>296</v>
      </c>
      <c r="D1996" s="52">
        <v>1798.5</v>
      </c>
      <c r="E1996" s="35">
        <v>44638</v>
      </c>
      <c r="F1996" s="52">
        <v>1798.5</v>
      </c>
      <c r="G1996" s="53">
        <f>Tabla14[[#This Row],[Importe]]-Tabla14[[#This Row],[Pagado]]</f>
        <v>0</v>
      </c>
      <c r="H1996" s="37" t="s">
        <v>10</v>
      </c>
    </row>
    <row r="1997" spans="1:8" x14ac:dyDescent="0.25">
      <c r="A1997" s="31">
        <v>44638</v>
      </c>
      <c r="B1997" s="37" t="s">
        <v>9056</v>
      </c>
      <c r="C1997" s="51" t="s">
        <v>7313</v>
      </c>
      <c r="D1997" s="52">
        <v>1738.4</v>
      </c>
      <c r="E1997" s="35">
        <v>44638</v>
      </c>
      <c r="F1997" s="52">
        <v>1738.4</v>
      </c>
      <c r="G1997" s="53">
        <f>Tabla14[[#This Row],[Importe]]-Tabla14[[#This Row],[Pagado]]</f>
        <v>0</v>
      </c>
      <c r="H1997" s="37" t="s">
        <v>10</v>
      </c>
    </row>
    <row r="1998" spans="1:8" x14ac:dyDescent="0.25">
      <c r="A1998" s="31">
        <v>44638</v>
      </c>
      <c r="B1998" s="37" t="s">
        <v>9057</v>
      </c>
      <c r="C1998" s="51" t="s">
        <v>843</v>
      </c>
      <c r="D1998" s="52">
        <v>19796</v>
      </c>
      <c r="E1998" s="35">
        <v>44639</v>
      </c>
      <c r="F1998" s="52">
        <v>19796</v>
      </c>
      <c r="G1998" s="53">
        <f>Tabla14[[#This Row],[Importe]]-Tabla14[[#This Row],[Pagado]]</f>
        <v>0</v>
      </c>
      <c r="H1998" s="37" t="s">
        <v>10</v>
      </c>
    </row>
    <row r="1999" spans="1:8" x14ac:dyDescent="0.25">
      <c r="A1999" s="31">
        <v>44638</v>
      </c>
      <c r="B1999" s="37" t="s">
        <v>9058</v>
      </c>
      <c r="C1999" s="51" t="s">
        <v>196</v>
      </c>
      <c r="D1999" s="52">
        <v>12469.8</v>
      </c>
      <c r="E1999" s="35">
        <v>44647</v>
      </c>
      <c r="F1999" s="52">
        <v>12469.8</v>
      </c>
      <c r="G1999" s="53">
        <f>Tabla14[[#This Row],[Importe]]-Tabla14[[#This Row],[Pagado]]</f>
        <v>0</v>
      </c>
      <c r="H1999" s="37" t="s">
        <v>10</v>
      </c>
    </row>
    <row r="2000" spans="1:8" x14ac:dyDescent="0.25">
      <c r="A2000" s="31">
        <v>44638</v>
      </c>
      <c r="B2000" s="37" t="s">
        <v>9059</v>
      </c>
      <c r="C2000" s="51" t="s">
        <v>14</v>
      </c>
      <c r="D2000" s="52">
        <v>1725.4</v>
      </c>
      <c r="E2000" s="35">
        <v>44638</v>
      </c>
      <c r="F2000" s="52">
        <v>1725.4</v>
      </c>
      <c r="G2000" s="53">
        <f>Tabla14[[#This Row],[Importe]]-Tabla14[[#This Row],[Pagado]]</f>
        <v>0</v>
      </c>
      <c r="H2000" s="37" t="s">
        <v>10</v>
      </c>
    </row>
    <row r="2001" spans="1:8" x14ac:dyDescent="0.25">
      <c r="A2001" s="31">
        <v>44638</v>
      </c>
      <c r="B2001" s="37" t="s">
        <v>9060</v>
      </c>
      <c r="C2001" s="51" t="s">
        <v>681</v>
      </c>
      <c r="D2001" s="52">
        <v>7.68</v>
      </c>
      <c r="E2001" s="35">
        <v>44644</v>
      </c>
      <c r="F2001" s="52">
        <v>7.68</v>
      </c>
      <c r="G2001" s="53">
        <f>Tabla14[[#This Row],[Importe]]-Tabla14[[#This Row],[Pagado]]</f>
        <v>0</v>
      </c>
      <c r="H2001" s="37" t="s">
        <v>10</v>
      </c>
    </row>
    <row r="2002" spans="1:8" x14ac:dyDescent="0.25">
      <c r="A2002" s="31">
        <v>44638</v>
      </c>
      <c r="B2002" s="37" t="s">
        <v>9061</v>
      </c>
      <c r="C2002" s="51" t="s">
        <v>31</v>
      </c>
      <c r="D2002" s="52">
        <v>78.2</v>
      </c>
      <c r="E2002" s="35">
        <v>44639</v>
      </c>
      <c r="F2002" s="52">
        <v>78.2</v>
      </c>
      <c r="G2002" s="53">
        <f>Tabla14[[#This Row],[Importe]]-Tabla14[[#This Row],[Pagado]]</f>
        <v>0</v>
      </c>
      <c r="H2002" s="37" t="s">
        <v>10</v>
      </c>
    </row>
    <row r="2003" spans="1:8" x14ac:dyDescent="0.25">
      <c r="A2003" s="31">
        <v>44639</v>
      </c>
      <c r="B2003" s="37" t="s">
        <v>9062</v>
      </c>
      <c r="C2003" s="51" t="s">
        <v>31</v>
      </c>
      <c r="D2003" s="52">
        <v>3475</v>
      </c>
      <c r="E2003" s="35">
        <v>44639</v>
      </c>
      <c r="F2003" s="52">
        <v>3475</v>
      </c>
      <c r="G2003" s="53">
        <f>Tabla14[[#This Row],[Importe]]-Tabla14[[#This Row],[Pagado]]</f>
        <v>0</v>
      </c>
      <c r="H2003" s="37" t="s">
        <v>10</v>
      </c>
    </row>
    <row r="2004" spans="1:8" x14ac:dyDescent="0.25">
      <c r="A2004" s="31">
        <v>44639</v>
      </c>
      <c r="B2004" s="37" t="s">
        <v>9063</v>
      </c>
      <c r="C2004" s="51" t="s">
        <v>85</v>
      </c>
      <c r="D2004" s="52">
        <v>5815.6</v>
      </c>
      <c r="E2004" s="35">
        <v>44639</v>
      </c>
      <c r="F2004" s="52">
        <v>5815.6</v>
      </c>
      <c r="G2004" s="53">
        <f>Tabla14[[#This Row],[Importe]]-Tabla14[[#This Row],[Pagado]]</f>
        <v>0</v>
      </c>
      <c r="H2004" s="37" t="s">
        <v>10</v>
      </c>
    </row>
    <row r="2005" spans="1:8" x14ac:dyDescent="0.25">
      <c r="A2005" s="31">
        <v>44639</v>
      </c>
      <c r="B2005" s="37" t="s">
        <v>9064</v>
      </c>
      <c r="C2005" s="51" t="s">
        <v>481</v>
      </c>
      <c r="D2005" s="52">
        <v>1009.4</v>
      </c>
      <c r="E2005" s="35">
        <v>44639</v>
      </c>
      <c r="F2005" s="52">
        <v>1009.4</v>
      </c>
      <c r="G2005" s="53">
        <f>Tabla14[[#This Row],[Importe]]-Tabla14[[#This Row],[Pagado]]</f>
        <v>0</v>
      </c>
      <c r="H2005" s="37" t="s">
        <v>10</v>
      </c>
    </row>
    <row r="2006" spans="1:8" ht="31.5" x14ac:dyDescent="0.25">
      <c r="A2006" s="31">
        <v>44639</v>
      </c>
      <c r="B2006" s="37" t="s">
        <v>9065</v>
      </c>
      <c r="C2006" s="51" t="s">
        <v>475</v>
      </c>
      <c r="D2006" s="52">
        <v>75412</v>
      </c>
      <c r="E2006" s="35" t="s">
        <v>9066</v>
      </c>
      <c r="F2006" s="52">
        <f>34500+40912</f>
        <v>75412</v>
      </c>
      <c r="G2006" s="53">
        <f>Tabla14[[#This Row],[Importe]]-Tabla14[[#This Row],[Pagado]]</f>
        <v>0</v>
      </c>
      <c r="H2006" s="37" t="s">
        <v>10</v>
      </c>
    </row>
    <row r="2007" spans="1:8" x14ac:dyDescent="0.25">
      <c r="A2007" s="31">
        <v>44639</v>
      </c>
      <c r="B2007" s="37" t="s">
        <v>9067</v>
      </c>
      <c r="C2007" s="51" t="s">
        <v>83</v>
      </c>
      <c r="D2007" s="52">
        <v>11569.6</v>
      </c>
      <c r="E2007" s="35">
        <v>44639</v>
      </c>
      <c r="F2007" s="52">
        <v>11569.6</v>
      </c>
      <c r="G2007" s="53">
        <f>Tabla14[[#This Row],[Importe]]-Tabla14[[#This Row],[Pagado]]</f>
        <v>0</v>
      </c>
      <c r="H2007" s="37" t="s">
        <v>10</v>
      </c>
    </row>
    <row r="2008" spans="1:8" x14ac:dyDescent="0.25">
      <c r="A2008" s="31">
        <v>44639</v>
      </c>
      <c r="B2008" s="37" t="s">
        <v>9068</v>
      </c>
      <c r="C2008" s="51" t="s">
        <v>9</v>
      </c>
      <c r="D2008" s="52">
        <v>6161</v>
      </c>
      <c r="E2008" s="35">
        <v>44639</v>
      </c>
      <c r="F2008" s="52">
        <v>6161</v>
      </c>
      <c r="G2008" s="53">
        <f>Tabla14[[#This Row],[Importe]]-Tabla14[[#This Row],[Pagado]]</f>
        <v>0</v>
      </c>
      <c r="H2008" s="37" t="s">
        <v>10</v>
      </c>
    </row>
    <row r="2009" spans="1:8" x14ac:dyDescent="0.25">
      <c r="A2009" s="31">
        <v>44639</v>
      </c>
      <c r="B2009" s="37" t="s">
        <v>9069</v>
      </c>
      <c r="C2009" s="51" t="s">
        <v>12</v>
      </c>
      <c r="D2009" s="52">
        <v>80114.3</v>
      </c>
      <c r="E2009" s="35">
        <v>44640</v>
      </c>
      <c r="F2009" s="52">
        <v>80114.3</v>
      </c>
      <c r="G2009" s="53">
        <f>Tabla14[[#This Row],[Importe]]-Tabla14[[#This Row],[Pagado]]</f>
        <v>0</v>
      </c>
      <c r="H2009" s="37" t="s">
        <v>10</v>
      </c>
    </row>
    <row r="2010" spans="1:8" x14ac:dyDescent="0.25">
      <c r="A2010" s="31">
        <v>44639</v>
      </c>
      <c r="B2010" s="37" t="s">
        <v>9070</v>
      </c>
      <c r="C2010" s="51" t="s">
        <v>31</v>
      </c>
      <c r="D2010" s="52">
        <v>2587.5</v>
      </c>
      <c r="E2010" s="35">
        <v>44639</v>
      </c>
      <c r="F2010" s="52">
        <v>2587.5</v>
      </c>
      <c r="G2010" s="53">
        <f>Tabla14[[#This Row],[Importe]]-Tabla14[[#This Row],[Pagado]]</f>
        <v>0</v>
      </c>
      <c r="H2010" s="37" t="s">
        <v>10</v>
      </c>
    </row>
    <row r="2011" spans="1:8" x14ac:dyDescent="0.25">
      <c r="A2011" s="31">
        <v>44639</v>
      </c>
      <c r="B2011" s="37" t="s">
        <v>9071</v>
      </c>
      <c r="C2011" s="51" t="s">
        <v>924</v>
      </c>
      <c r="D2011" s="52">
        <v>10218.64</v>
      </c>
      <c r="E2011" s="35">
        <v>44639</v>
      </c>
      <c r="F2011" s="52">
        <v>10218.64</v>
      </c>
      <c r="G2011" s="53">
        <f>Tabla14[[#This Row],[Importe]]-Tabla14[[#This Row],[Pagado]]</f>
        <v>0</v>
      </c>
      <c r="H2011" s="37" t="s">
        <v>10</v>
      </c>
    </row>
    <row r="2012" spans="1:8" x14ac:dyDescent="0.25">
      <c r="A2012" s="31">
        <v>44639</v>
      </c>
      <c r="B2012" s="37" t="s">
        <v>9072</v>
      </c>
      <c r="C2012" s="51" t="s">
        <v>31</v>
      </c>
      <c r="D2012" s="52">
        <v>4164.3999999999996</v>
      </c>
      <c r="E2012" s="35">
        <v>44639</v>
      </c>
      <c r="F2012" s="52">
        <v>4164.3999999999996</v>
      </c>
      <c r="G2012" s="53">
        <f>Tabla14[[#This Row],[Importe]]-Tabla14[[#This Row],[Pagado]]</f>
        <v>0</v>
      </c>
      <c r="H2012" s="37" t="s">
        <v>10</v>
      </c>
    </row>
    <row r="2013" spans="1:8" ht="31.5" x14ac:dyDescent="0.25">
      <c r="A2013" s="31">
        <v>44639</v>
      </c>
      <c r="B2013" s="37" t="s">
        <v>9073</v>
      </c>
      <c r="C2013" s="51" t="s">
        <v>22</v>
      </c>
      <c r="D2013" s="52">
        <v>62875.5</v>
      </c>
      <c r="E2013" s="35" t="s">
        <v>9066</v>
      </c>
      <c r="F2013" s="52">
        <f>52000+10875.5</f>
        <v>62875.5</v>
      </c>
      <c r="G2013" s="53">
        <f>Tabla14[[#This Row],[Importe]]-Tabla14[[#This Row],[Pagado]]</f>
        <v>0</v>
      </c>
      <c r="H2013" s="37" t="s">
        <v>10</v>
      </c>
    </row>
    <row r="2014" spans="1:8" x14ac:dyDescent="0.25">
      <c r="A2014" s="31">
        <v>44639</v>
      </c>
      <c r="B2014" s="37" t="s">
        <v>9074</v>
      </c>
      <c r="C2014" s="51" t="s">
        <v>196</v>
      </c>
      <c r="D2014" s="52">
        <v>99143.25</v>
      </c>
      <c r="E2014" s="35">
        <v>44647</v>
      </c>
      <c r="F2014" s="52">
        <v>99143.25</v>
      </c>
      <c r="G2014" s="53">
        <f>Tabla14[[#This Row],[Importe]]-Tabla14[[#This Row],[Pagado]]</f>
        <v>0</v>
      </c>
      <c r="H2014" s="37" t="s">
        <v>10</v>
      </c>
    </row>
    <row r="2015" spans="1:8" x14ac:dyDescent="0.25">
      <c r="A2015" s="31">
        <v>44639</v>
      </c>
      <c r="B2015" s="37" t="s">
        <v>9075</v>
      </c>
      <c r="C2015" s="51" t="s">
        <v>120</v>
      </c>
      <c r="D2015" s="52">
        <v>4200</v>
      </c>
      <c r="E2015" s="35">
        <v>44642</v>
      </c>
      <c r="F2015" s="52">
        <v>4200</v>
      </c>
      <c r="G2015" s="53">
        <f>Tabla14[[#This Row],[Importe]]-Tabla14[[#This Row],[Pagado]]</f>
        <v>0</v>
      </c>
      <c r="H2015" s="37" t="s">
        <v>10</v>
      </c>
    </row>
    <row r="2016" spans="1:8" x14ac:dyDescent="0.25">
      <c r="A2016" s="31">
        <v>44639</v>
      </c>
      <c r="B2016" s="37" t="s">
        <v>9076</v>
      </c>
      <c r="C2016" s="51" t="s">
        <v>109</v>
      </c>
      <c r="D2016" s="52">
        <v>3892.8</v>
      </c>
      <c r="E2016" s="35">
        <v>44641</v>
      </c>
      <c r="F2016" s="52">
        <v>3892.8</v>
      </c>
      <c r="G2016" s="53">
        <f>Tabla14[[#This Row],[Importe]]-Tabla14[[#This Row],[Pagado]]</f>
        <v>0</v>
      </c>
      <c r="H2016" s="37" t="s">
        <v>10</v>
      </c>
    </row>
    <row r="2017" spans="1:8" x14ac:dyDescent="0.25">
      <c r="A2017" s="31">
        <v>44639</v>
      </c>
      <c r="B2017" s="37" t="s">
        <v>9077</v>
      </c>
      <c r="C2017" s="51" t="s">
        <v>5043</v>
      </c>
      <c r="D2017" s="52">
        <v>3705</v>
      </c>
      <c r="E2017" s="35">
        <v>44641</v>
      </c>
      <c r="F2017" s="52">
        <v>3705</v>
      </c>
      <c r="G2017" s="53">
        <f>Tabla14[[#This Row],[Importe]]-Tabla14[[#This Row],[Pagado]]</f>
        <v>0</v>
      </c>
      <c r="H2017" s="37" t="s">
        <v>10</v>
      </c>
    </row>
    <row r="2018" spans="1:8" ht="31.5" x14ac:dyDescent="0.25">
      <c r="A2018" s="31">
        <v>44639</v>
      </c>
      <c r="B2018" s="37" t="s">
        <v>9078</v>
      </c>
      <c r="C2018" s="51" t="s">
        <v>99</v>
      </c>
      <c r="D2018" s="52">
        <v>11835.6</v>
      </c>
      <c r="E2018" s="35" t="s">
        <v>9079</v>
      </c>
      <c r="F2018" s="52">
        <f>9000+2835.6</f>
        <v>11835.6</v>
      </c>
      <c r="G2018" s="53">
        <f>Tabla14[[#This Row],[Importe]]-Tabla14[[#This Row],[Pagado]]</f>
        <v>0</v>
      </c>
      <c r="H2018" s="37" t="s">
        <v>10</v>
      </c>
    </row>
    <row r="2019" spans="1:8" x14ac:dyDescent="0.25">
      <c r="A2019" s="31">
        <v>44639</v>
      </c>
      <c r="B2019" s="37" t="s">
        <v>9080</v>
      </c>
      <c r="C2019" s="51" t="s">
        <v>64</v>
      </c>
      <c r="D2019" s="52">
        <v>10980</v>
      </c>
      <c r="E2019" s="35">
        <v>44643</v>
      </c>
      <c r="F2019" s="52">
        <v>10980</v>
      </c>
      <c r="G2019" s="53">
        <f>Tabla14[[#This Row],[Importe]]-Tabla14[[#This Row],[Pagado]]</f>
        <v>0</v>
      </c>
      <c r="H2019" s="37" t="s">
        <v>10</v>
      </c>
    </row>
    <row r="2020" spans="1:8" x14ac:dyDescent="0.25">
      <c r="A2020" s="31">
        <v>44639</v>
      </c>
      <c r="B2020" s="37" t="s">
        <v>9081</v>
      </c>
      <c r="C2020" s="51" t="s">
        <v>56</v>
      </c>
      <c r="D2020" s="52">
        <v>9255.4</v>
      </c>
      <c r="E2020" s="35">
        <v>44639</v>
      </c>
      <c r="F2020" s="52">
        <v>9255.4</v>
      </c>
      <c r="G2020" s="53">
        <f>Tabla14[[#This Row],[Importe]]-Tabla14[[#This Row],[Pagado]]</f>
        <v>0</v>
      </c>
      <c r="H2020" s="37" t="s">
        <v>10</v>
      </c>
    </row>
    <row r="2021" spans="1:8" x14ac:dyDescent="0.25">
      <c r="A2021" s="31">
        <v>44639</v>
      </c>
      <c r="B2021" s="37" t="s">
        <v>9082</v>
      </c>
      <c r="C2021" s="51" t="s">
        <v>196</v>
      </c>
      <c r="D2021" s="52">
        <v>6625</v>
      </c>
      <c r="E2021" s="35">
        <v>44647</v>
      </c>
      <c r="F2021" s="52">
        <v>6625</v>
      </c>
      <c r="G2021" s="53">
        <f>Tabla14[[#This Row],[Importe]]-Tabla14[[#This Row],[Pagado]]</f>
        <v>0</v>
      </c>
      <c r="H2021" s="37" t="s">
        <v>10</v>
      </c>
    </row>
    <row r="2022" spans="1:8" x14ac:dyDescent="0.25">
      <c r="A2022" s="31">
        <v>44639</v>
      </c>
      <c r="B2022" s="37" t="s">
        <v>9083</v>
      </c>
      <c r="C2022" s="51" t="s">
        <v>93</v>
      </c>
      <c r="D2022" s="52">
        <v>12544.5</v>
      </c>
      <c r="E2022" s="35">
        <v>44641</v>
      </c>
      <c r="F2022" s="52">
        <v>12544.5</v>
      </c>
      <c r="G2022" s="53">
        <f>Tabla14[[#This Row],[Importe]]-Tabla14[[#This Row],[Pagado]]</f>
        <v>0</v>
      </c>
      <c r="H2022" s="37" t="s">
        <v>10</v>
      </c>
    </row>
    <row r="2023" spans="1:8" x14ac:dyDescent="0.25">
      <c r="A2023" s="31">
        <v>44639</v>
      </c>
      <c r="B2023" s="37" t="s">
        <v>9084</v>
      </c>
      <c r="C2023" s="51" t="s">
        <v>326</v>
      </c>
      <c r="D2023" s="52">
        <v>10538.4</v>
      </c>
      <c r="E2023" s="35">
        <v>44642</v>
      </c>
      <c r="F2023" s="52">
        <v>10538.4</v>
      </c>
      <c r="G2023" s="53">
        <f>Tabla14[[#This Row],[Importe]]-Tabla14[[#This Row],[Pagado]]</f>
        <v>0</v>
      </c>
      <c r="H2023" s="37" t="s">
        <v>10</v>
      </c>
    </row>
    <row r="2024" spans="1:8" x14ac:dyDescent="0.25">
      <c r="A2024" s="31">
        <v>44639</v>
      </c>
      <c r="B2024" s="37" t="s">
        <v>9085</v>
      </c>
      <c r="C2024" s="51" t="s">
        <v>114</v>
      </c>
      <c r="D2024" s="52">
        <v>12856.4</v>
      </c>
      <c r="E2024" s="35">
        <v>44641</v>
      </c>
      <c r="F2024" s="52">
        <v>12856.4</v>
      </c>
      <c r="G2024" s="53">
        <f>Tabla14[[#This Row],[Importe]]-Tabla14[[#This Row],[Pagado]]</f>
        <v>0</v>
      </c>
      <c r="H2024" s="37" t="s">
        <v>10</v>
      </c>
    </row>
    <row r="2025" spans="1:8" x14ac:dyDescent="0.25">
      <c r="A2025" s="31">
        <v>44639</v>
      </c>
      <c r="B2025" s="37" t="s">
        <v>9086</v>
      </c>
      <c r="C2025" s="51" t="s">
        <v>97</v>
      </c>
      <c r="D2025" s="52">
        <v>15100.8</v>
      </c>
      <c r="E2025" s="35">
        <v>44641</v>
      </c>
      <c r="F2025" s="52">
        <v>15100.8</v>
      </c>
      <c r="G2025" s="53">
        <f>Tabla14[[#This Row],[Importe]]-Tabla14[[#This Row],[Pagado]]</f>
        <v>0</v>
      </c>
      <c r="H2025" s="37" t="s">
        <v>10</v>
      </c>
    </row>
    <row r="2026" spans="1:8" x14ac:dyDescent="0.25">
      <c r="A2026" s="31">
        <v>44639</v>
      </c>
      <c r="B2026" s="37" t="s">
        <v>9087</v>
      </c>
      <c r="C2026" s="51" t="s">
        <v>105</v>
      </c>
      <c r="D2026" s="52">
        <v>9968</v>
      </c>
      <c r="E2026" s="35">
        <v>44641</v>
      </c>
      <c r="F2026" s="52">
        <v>9968</v>
      </c>
      <c r="G2026" s="53">
        <f>Tabla14[[#This Row],[Importe]]-Tabla14[[#This Row],[Pagado]]</f>
        <v>0</v>
      </c>
      <c r="H2026" s="37" t="s">
        <v>10</v>
      </c>
    </row>
    <row r="2027" spans="1:8" x14ac:dyDescent="0.25">
      <c r="A2027" s="31">
        <v>44639</v>
      </c>
      <c r="B2027" s="37" t="s">
        <v>9088</v>
      </c>
      <c r="C2027" s="51" t="s">
        <v>348</v>
      </c>
      <c r="D2027" s="52">
        <v>5676</v>
      </c>
      <c r="E2027" s="35">
        <v>44639</v>
      </c>
      <c r="F2027" s="52">
        <v>5676</v>
      </c>
      <c r="G2027" s="53">
        <f>Tabla14[[#This Row],[Importe]]-Tabla14[[#This Row],[Pagado]]</f>
        <v>0</v>
      </c>
      <c r="H2027" s="37" t="s">
        <v>10</v>
      </c>
    </row>
    <row r="2028" spans="1:8" x14ac:dyDescent="0.25">
      <c r="A2028" s="31">
        <v>44639</v>
      </c>
      <c r="B2028" s="37" t="s">
        <v>9089</v>
      </c>
      <c r="C2028" s="51" t="s">
        <v>111</v>
      </c>
      <c r="D2028" s="52">
        <v>8452.7999999999993</v>
      </c>
      <c r="E2028" s="35">
        <v>44641</v>
      </c>
      <c r="F2028" s="52">
        <v>8452.7999999999993</v>
      </c>
      <c r="G2028" s="53">
        <f>Tabla14[[#This Row],[Importe]]-Tabla14[[#This Row],[Pagado]]</f>
        <v>0</v>
      </c>
      <c r="H2028" s="37" t="s">
        <v>10</v>
      </c>
    </row>
    <row r="2029" spans="1:8" ht="31.5" x14ac:dyDescent="0.25">
      <c r="A2029" s="31">
        <v>44639</v>
      </c>
      <c r="B2029" s="37" t="s">
        <v>9090</v>
      </c>
      <c r="C2029" s="51" t="s">
        <v>39</v>
      </c>
      <c r="D2029" s="52">
        <v>34261.699999999997</v>
      </c>
      <c r="E2029" s="35" t="s">
        <v>9091</v>
      </c>
      <c r="F2029" s="52">
        <f>7000+27261.7</f>
        <v>34261.699999999997</v>
      </c>
      <c r="G2029" s="53">
        <f>Tabla14[[#This Row],[Importe]]-Tabla14[[#This Row],[Pagado]]</f>
        <v>0</v>
      </c>
      <c r="H2029" s="37" t="s">
        <v>10</v>
      </c>
    </row>
    <row r="2030" spans="1:8" x14ac:dyDescent="0.25">
      <c r="A2030" s="31">
        <v>44639</v>
      </c>
      <c r="B2030" s="37" t="s">
        <v>9092</v>
      </c>
      <c r="C2030" s="51" t="s">
        <v>1239</v>
      </c>
      <c r="D2030" s="52">
        <v>7178.4</v>
      </c>
      <c r="E2030" s="35">
        <v>44639</v>
      </c>
      <c r="F2030" s="52">
        <v>7178.4</v>
      </c>
      <c r="G2030" s="53">
        <f>Tabla14[[#This Row],[Importe]]-Tabla14[[#This Row],[Pagado]]</f>
        <v>0</v>
      </c>
      <c r="H2030" s="37" t="s">
        <v>10</v>
      </c>
    </row>
    <row r="2031" spans="1:8" x14ac:dyDescent="0.25">
      <c r="A2031" s="31">
        <v>44639</v>
      </c>
      <c r="B2031" s="37" t="s">
        <v>9093</v>
      </c>
      <c r="C2031" s="51" t="s">
        <v>918</v>
      </c>
      <c r="D2031" s="52">
        <v>418.5</v>
      </c>
      <c r="E2031" s="35">
        <v>44639</v>
      </c>
      <c r="F2031" s="52">
        <v>418.5</v>
      </c>
      <c r="G2031" s="53">
        <f>Tabla14[[#This Row],[Importe]]-Tabla14[[#This Row],[Pagado]]</f>
        <v>0</v>
      </c>
      <c r="H2031" s="37" t="s">
        <v>10</v>
      </c>
    </row>
    <row r="2032" spans="1:8" x14ac:dyDescent="0.25">
      <c r="A2032" s="31">
        <v>44639</v>
      </c>
      <c r="B2032" s="37" t="s">
        <v>9094</v>
      </c>
      <c r="C2032" s="51" t="s">
        <v>89</v>
      </c>
      <c r="D2032" s="52">
        <v>9516</v>
      </c>
      <c r="E2032" s="35">
        <v>44641</v>
      </c>
      <c r="F2032" s="52">
        <v>9516</v>
      </c>
      <c r="G2032" s="53">
        <f>Tabla14[[#This Row],[Importe]]-Tabla14[[#This Row],[Pagado]]</f>
        <v>0</v>
      </c>
      <c r="H2032" s="37" t="s">
        <v>10</v>
      </c>
    </row>
    <row r="2033" spans="1:8" x14ac:dyDescent="0.25">
      <c r="A2033" s="31">
        <v>44639</v>
      </c>
      <c r="B2033" s="37" t="s">
        <v>9095</v>
      </c>
      <c r="C2033" s="51" t="s">
        <v>47</v>
      </c>
      <c r="D2033" s="52">
        <v>67408.479999999996</v>
      </c>
      <c r="E2033" s="35">
        <v>44639</v>
      </c>
      <c r="F2033" s="52">
        <v>67408.479999999996</v>
      </c>
      <c r="G2033" s="53">
        <f>Tabla14[[#This Row],[Importe]]-Tabla14[[#This Row],[Pagado]]</f>
        <v>0</v>
      </c>
      <c r="H2033" s="37" t="s">
        <v>10</v>
      </c>
    </row>
    <row r="2034" spans="1:8" x14ac:dyDescent="0.25">
      <c r="A2034" s="31">
        <v>44639</v>
      </c>
      <c r="B2034" s="37" t="s">
        <v>9096</v>
      </c>
      <c r="C2034" s="51" t="s">
        <v>47</v>
      </c>
      <c r="D2034" s="52">
        <v>939.78</v>
      </c>
      <c r="E2034" s="35">
        <v>44639</v>
      </c>
      <c r="F2034" s="52">
        <v>939.78</v>
      </c>
      <c r="G2034" s="53">
        <f>Tabla14[[#This Row],[Importe]]-Tabla14[[#This Row],[Pagado]]</f>
        <v>0</v>
      </c>
      <c r="H2034" s="37" t="s">
        <v>10</v>
      </c>
    </row>
    <row r="2035" spans="1:8" x14ac:dyDescent="0.25">
      <c r="A2035" s="31">
        <v>44639</v>
      </c>
      <c r="B2035" s="37" t="s">
        <v>9097</v>
      </c>
      <c r="C2035" s="51" t="s">
        <v>16</v>
      </c>
      <c r="D2035" s="52">
        <v>5210.5</v>
      </c>
      <c r="E2035" s="35">
        <v>44639</v>
      </c>
      <c r="F2035" s="52">
        <v>5210.5</v>
      </c>
      <c r="G2035" s="53">
        <f>Tabla14[[#This Row],[Importe]]-Tabla14[[#This Row],[Pagado]]</f>
        <v>0</v>
      </c>
      <c r="H2035" s="37" t="s">
        <v>10</v>
      </c>
    </row>
    <row r="2036" spans="1:8" x14ac:dyDescent="0.25">
      <c r="A2036" s="31">
        <v>44639</v>
      </c>
      <c r="B2036" s="37" t="s">
        <v>9098</v>
      </c>
      <c r="C2036" s="51" t="s">
        <v>414</v>
      </c>
      <c r="D2036" s="52">
        <v>9308</v>
      </c>
      <c r="E2036" s="35">
        <v>44639</v>
      </c>
      <c r="F2036" s="52">
        <v>9308</v>
      </c>
      <c r="G2036" s="53">
        <f>Tabla14[[#This Row],[Importe]]-Tabla14[[#This Row],[Pagado]]</f>
        <v>0</v>
      </c>
      <c r="H2036" s="37" t="s">
        <v>10</v>
      </c>
    </row>
    <row r="2037" spans="1:8" x14ac:dyDescent="0.25">
      <c r="A2037" s="31">
        <v>44639</v>
      </c>
      <c r="B2037" s="37" t="s">
        <v>9099</v>
      </c>
      <c r="C2037" s="51" t="s">
        <v>161</v>
      </c>
      <c r="D2037" s="52">
        <v>907.8</v>
      </c>
      <c r="E2037" s="35">
        <v>44639</v>
      </c>
      <c r="F2037" s="52">
        <v>907.8</v>
      </c>
      <c r="G2037" s="53">
        <f>Tabla14[[#This Row],[Importe]]-Tabla14[[#This Row],[Pagado]]</f>
        <v>0</v>
      </c>
      <c r="H2037" s="37" t="s">
        <v>10</v>
      </c>
    </row>
    <row r="2038" spans="1:8" x14ac:dyDescent="0.25">
      <c r="A2038" s="31">
        <v>44639</v>
      </c>
      <c r="B2038" s="37" t="s">
        <v>9100</v>
      </c>
      <c r="C2038" s="51" t="s">
        <v>230</v>
      </c>
      <c r="D2038" s="52">
        <v>7317.8</v>
      </c>
      <c r="E2038" s="35">
        <v>44639</v>
      </c>
      <c r="F2038" s="52">
        <v>7317.8</v>
      </c>
      <c r="G2038" s="53">
        <f>Tabla14[[#This Row],[Importe]]-Tabla14[[#This Row],[Pagado]]</f>
        <v>0</v>
      </c>
      <c r="H2038" s="37" t="s">
        <v>10</v>
      </c>
    </row>
    <row r="2039" spans="1:8" x14ac:dyDescent="0.25">
      <c r="A2039" s="31">
        <v>44639</v>
      </c>
      <c r="B2039" s="37" t="s">
        <v>9101</v>
      </c>
      <c r="C2039" s="51" t="s">
        <v>14</v>
      </c>
      <c r="D2039" s="52">
        <v>30104.2</v>
      </c>
      <c r="E2039" s="35">
        <v>44639</v>
      </c>
      <c r="F2039" s="52">
        <v>30104.2</v>
      </c>
      <c r="G2039" s="53">
        <f>Tabla14[[#This Row],[Importe]]-Tabla14[[#This Row],[Pagado]]</f>
        <v>0</v>
      </c>
      <c r="H2039" s="37" t="s">
        <v>10</v>
      </c>
    </row>
    <row r="2040" spans="1:8" x14ac:dyDescent="0.25">
      <c r="A2040" s="31">
        <v>44639</v>
      </c>
      <c r="B2040" s="37" t="s">
        <v>9102</v>
      </c>
      <c r="C2040" s="51" t="s">
        <v>9103</v>
      </c>
      <c r="D2040" s="52">
        <v>0</v>
      </c>
      <c r="E2040" s="39" t="s">
        <v>189</v>
      </c>
      <c r="F2040" s="52">
        <v>0</v>
      </c>
      <c r="G2040" s="53">
        <f>Tabla14[[#This Row],[Importe]]-Tabla14[[#This Row],[Pagado]]</f>
        <v>0</v>
      </c>
      <c r="H2040" s="54" t="s">
        <v>9104</v>
      </c>
    </row>
    <row r="2041" spans="1:8" x14ac:dyDescent="0.25">
      <c r="A2041" s="31">
        <v>44639</v>
      </c>
      <c r="B2041" s="37" t="s">
        <v>9105</v>
      </c>
      <c r="C2041" s="51" t="s">
        <v>135</v>
      </c>
      <c r="D2041" s="52">
        <v>1281.5</v>
      </c>
      <c r="E2041" s="35">
        <v>44639</v>
      </c>
      <c r="F2041" s="52">
        <v>1281.5</v>
      </c>
      <c r="G2041" s="53">
        <f>Tabla14[[#This Row],[Importe]]-Tabla14[[#This Row],[Pagado]]</f>
        <v>0</v>
      </c>
      <c r="H2041" s="37" t="s">
        <v>10</v>
      </c>
    </row>
    <row r="2042" spans="1:8" x14ac:dyDescent="0.25">
      <c r="A2042" s="31">
        <v>44639</v>
      </c>
      <c r="B2042" s="37" t="s">
        <v>9106</v>
      </c>
      <c r="C2042" s="51" t="s">
        <v>179</v>
      </c>
      <c r="D2042" s="52">
        <v>1053</v>
      </c>
      <c r="E2042" s="35">
        <v>44639</v>
      </c>
      <c r="F2042" s="52">
        <v>1053</v>
      </c>
      <c r="G2042" s="53">
        <f>Tabla14[[#This Row],[Importe]]-Tabla14[[#This Row],[Pagado]]</f>
        <v>0</v>
      </c>
      <c r="H2042" s="37" t="s">
        <v>10</v>
      </c>
    </row>
    <row r="2043" spans="1:8" x14ac:dyDescent="0.25">
      <c r="A2043" s="31">
        <v>44639</v>
      </c>
      <c r="B2043" s="37" t="s">
        <v>9107</v>
      </c>
      <c r="C2043" s="51" t="s">
        <v>49</v>
      </c>
      <c r="D2043" s="52">
        <v>3051.1</v>
      </c>
      <c r="E2043" s="35">
        <v>44639</v>
      </c>
      <c r="F2043" s="52">
        <v>3051.1</v>
      </c>
      <c r="G2043" s="53">
        <f>Tabla14[[#This Row],[Importe]]-Tabla14[[#This Row],[Pagado]]</f>
        <v>0</v>
      </c>
      <c r="H2043" s="37" t="s">
        <v>10</v>
      </c>
    </row>
    <row r="2044" spans="1:8" x14ac:dyDescent="0.25">
      <c r="A2044" s="31">
        <v>44639</v>
      </c>
      <c r="B2044" s="37" t="s">
        <v>9108</v>
      </c>
      <c r="C2044" s="51" t="s">
        <v>131</v>
      </c>
      <c r="D2044" s="52">
        <v>17150.8</v>
      </c>
      <c r="E2044" s="35">
        <v>44639</v>
      </c>
      <c r="F2044" s="52">
        <v>17150.8</v>
      </c>
      <c r="G2044" s="53">
        <f>Tabla14[[#This Row],[Importe]]-Tabla14[[#This Row],[Pagado]]</f>
        <v>0</v>
      </c>
      <c r="H2044" s="37" t="s">
        <v>10</v>
      </c>
    </row>
    <row r="2045" spans="1:8" x14ac:dyDescent="0.25">
      <c r="A2045" s="31">
        <v>44639</v>
      </c>
      <c r="B2045" s="37" t="s">
        <v>9109</v>
      </c>
      <c r="C2045" s="51" t="s">
        <v>142</v>
      </c>
      <c r="D2045" s="52">
        <v>67449.740000000005</v>
      </c>
      <c r="E2045" s="35">
        <v>44670</v>
      </c>
      <c r="F2045" s="52">
        <v>67449.740000000005</v>
      </c>
      <c r="G2045" s="53">
        <f>Tabla14[[#This Row],[Importe]]-Tabla14[[#This Row],[Pagado]]</f>
        <v>0</v>
      </c>
      <c r="H2045" s="37" t="s">
        <v>10</v>
      </c>
    </row>
    <row r="2046" spans="1:8" x14ac:dyDescent="0.25">
      <c r="A2046" s="31">
        <v>44639</v>
      </c>
      <c r="B2046" s="37" t="s">
        <v>9110</v>
      </c>
      <c r="C2046" s="51" t="s">
        <v>373</v>
      </c>
      <c r="D2046" s="52">
        <v>1174.2</v>
      </c>
      <c r="E2046" s="35">
        <v>44639</v>
      </c>
      <c r="F2046" s="52">
        <v>1174.2</v>
      </c>
      <c r="G2046" s="53">
        <f>Tabla14[[#This Row],[Importe]]-Tabla14[[#This Row],[Pagado]]</f>
        <v>0</v>
      </c>
      <c r="H2046" s="37" t="s">
        <v>10</v>
      </c>
    </row>
    <row r="2047" spans="1:8" x14ac:dyDescent="0.25">
      <c r="A2047" s="31">
        <v>44639</v>
      </c>
      <c r="B2047" s="37" t="s">
        <v>9111</v>
      </c>
      <c r="C2047" s="51" t="s">
        <v>373</v>
      </c>
      <c r="D2047" s="52">
        <v>372.6</v>
      </c>
      <c r="E2047" s="35">
        <v>44639</v>
      </c>
      <c r="F2047" s="52">
        <v>372.6</v>
      </c>
      <c r="G2047" s="53">
        <f>Tabla14[[#This Row],[Importe]]-Tabla14[[#This Row],[Pagado]]</f>
        <v>0</v>
      </c>
      <c r="H2047" s="37" t="s">
        <v>10</v>
      </c>
    </row>
    <row r="2048" spans="1:8" x14ac:dyDescent="0.25">
      <c r="A2048" s="31">
        <v>44639</v>
      </c>
      <c r="B2048" s="37" t="s">
        <v>9112</v>
      </c>
      <c r="C2048" s="51" t="s">
        <v>29</v>
      </c>
      <c r="D2048" s="52">
        <v>7819.2</v>
      </c>
      <c r="E2048" s="35">
        <v>44639</v>
      </c>
      <c r="F2048" s="52">
        <v>7819.2</v>
      </c>
      <c r="G2048" s="53">
        <f>Tabla14[[#This Row],[Importe]]-Tabla14[[#This Row],[Pagado]]</f>
        <v>0</v>
      </c>
      <c r="H2048" s="37" t="s">
        <v>10</v>
      </c>
    </row>
    <row r="2049" spans="1:8" x14ac:dyDescent="0.25">
      <c r="A2049" s="31">
        <v>44639</v>
      </c>
      <c r="B2049" s="37" t="s">
        <v>9113</v>
      </c>
      <c r="C2049" s="51" t="s">
        <v>314</v>
      </c>
      <c r="D2049" s="52">
        <v>4476.6000000000004</v>
      </c>
      <c r="E2049" s="35">
        <v>44639</v>
      </c>
      <c r="F2049" s="52">
        <v>4476.6000000000004</v>
      </c>
      <c r="G2049" s="53">
        <f>Tabla14[[#This Row],[Importe]]-Tabla14[[#This Row],[Pagado]]</f>
        <v>0</v>
      </c>
      <c r="H2049" s="37" t="s">
        <v>10</v>
      </c>
    </row>
    <row r="2050" spans="1:8" x14ac:dyDescent="0.25">
      <c r="A2050" s="31">
        <v>44639</v>
      </c>
      <c r="B2050" s="37" t="s">
        <v>9114</v>
      </c>
      <c r="C2050" s="51" t="s">
        <v>87</v>
      </c>
      <c r="D2050" s="52">
        <v>3466.4</v>
      </c>
      <c r="E2050" s="35">
        <v>44639</v>
      </c>
      <c r="F2050" s="52">
        <v>3466.4</v>
      </c>
      <c r="G2050" s="53">
        <f>Tabla14[[#This Row],[Importe]]-Tabla14[[#This Row],[Pagado]]</f>
        <v>0</v>
      </c>
      <c r="H2050" s="37" t="s">
        <v>10</v>
      </c>
    </row>
    <row r="2051" spans="1:8" x14ac:dyDescent="0.25">
      <c r="A2051" s="31">
        <v>44639</v>
      </c>
      <c r="B2051" s="37" t="s">
        <v>9115</v>
      </c>
      <c r="C2051" s="51" t="s">
        <v>146</v>
      </c>
      <c r="D2051" s="52">
        <v>2430.1999999999998</v>
      </c>
      <c r="E2051" s="35">
        <v>44639</v>
      </c>
      <c r="F2051" s="52">
        <v>2430.1999999999998</v>
      </c>
      <c r="G2051" s="53">
        <f>Tabla14[[#This Row],[Importe]]-Tabla14[[#This Row],[Pagado]]</f>
        <v>0</v>
      </c>
      <c r="H2051" s="37" t="s">
        <v>10</v>
      </c>
    </row>
    <row r="2052" spans="1:8" x14ac:dyDescent="0.25">
      <c r="A2052" s="31">
        <v>44639</v>
      </c>
      <c r="B2052" s="37" t="s">
        <v>9116</v>
      </c>
      <c r="C2052" s="51" t="s">
        <v>698</v>
      </c>
      <c r="D2052" s="52">
        <v>4002</v>
      </c>
      <c r="E2052" s="35">
        <v>44639</v>
      </c>
      <c r="F2052" s="52">
        <v>4002</v>
      </c>
      <c r="G2052" s="53">
        <f>Tabla14[[#This Row],[Importe]]-Tabla14[[#This Row],[Pagado]]</f>
        <v>0</v>
      </c>
      <c r="H2052" s="37" t="s">
        <v>10</v>
      </c>
    </row>
    <row r="2053" spans="1:8" x14ac:dyDescent="0.25">
      <c r="A2053" s="31">
        <v>44639</v>
      </c>
      <c r="B2053" s="37" t="s">
        <v>9117</v>
      </c>
      <c r="C2053" s="51" t="s">
        <v>339</v>
      </c>
      <c r="D2053" s="52">
        <v>955.4</v>
      </c>
      <c r="E2053" s="35">
        <v>44639</v>
      </c>
      <c r="F2053" s="52">
        <v>955.4</v>
      </c>
      <c r="G2053" s="53">
        <f>Tabla14[[#This Row],[Importe]]-Tabla14[[#This Row],[Pagado]]</f>
        <v>0</v>
      </c>
      <c r="H2053" s="37" t="s">
        <v>10</v>
      </c>
    </row>
    <row r="2054" spans="1:8" x14ac:dyDescent="0.25">
      <c r="A2054" s="31">
        <v>44639</v>
      </c>
      <c r="B2054" s="37" t="s">
        <v>9118</v>
      </c>
      <c r="C2054" s="51" t="s">
        <v>380</v>
      </c>
      <c r="D2054" s="52">
        <v>10224</v>
      </c>
      <c r="E2054" s="35">
        <v>44640</v>
      </c>
      <c r="F2054" s="52">
        <v>10224</v>
      </c>
      <c r="G2054" s="53">
        <f>Tabla14[[#This Row],[Importe]]-Tabla14[[#This Row],[Pagado]]</f>
        <v>0</v>
      </c>
      <c r="H2054" s="37" t="s">
        <v>10</v>
      </c>
    </row>
    <row r="2055" spans="1:8" x14ac:dyDescent="0.25">
      <c r="A2055" s="31">
        <v>44639</v>
      </c>
      <c r="B2055" s="37" t="s">
        <v>9119</v>
      </c>
      <c r="C2055" s="51" t="s">
        <v>129</v>
      </c>
      <c r="D2055" s="52">
        <v>2188.9</v>
      </c>
      <c r="E2055" s="35">
        <v>44639</v>
      </c>
      <c r="F2055" s="52">
        <v>2188.9</v>
      </c>
      <c r="G2055" s="53">
        <f>Tabla14[[#This Row],[Importe]]-Tabla14[[#This Row],[Pagado]]</f>
        <v>0</v>
      </c>
      <c r="H2055" s="37" t="s">
        <v>10</v>
      </c>
    </row>
    <row r="2056" spans="1:8" x14ac:dyDescent="0.25">
      <c r="A2056" s="31">
        <v>44639</v>
      </c>
      <c r="B2056" s="37" t="s">
        <v>9120</v>
      </c>
      <c r="C2056" s="51" t="s">
        <v>140</v>
      </c>
      <c r="D2056" s="52">
        <v>1545.8</v>
      </c>
      <c r="E2056" s="35">
        <v>44639</v>
      </c>
      <c r="F2056" s="52">
        <v>1545.8</v>
      </c>
      <c r="G2056" s="53">
        <f>Tabla14[[#This Row],[Importe]]-Tabla14[[#This Row],[Pagado]]</f>
        <v>0</v>
      </c>
      <c r="H2056" s="37" t="s">
        <v>10</v>
      </c>
    </row>
    <row r="2057" spans="1:8" x14ac:dyDescent="0.25">
      <c r="A2057" s="31">
        <v>44639</v>
      </c>
      <c r="B2057" s="37" t="s">
        <v>9121</v>
      </c>
      <c r="C2057" s="51" t="s">
        <v>357</v>
      </c>
      <c r="D2057" s="52">
        <v>262.2</v>
      </c>
      <c r="E2057" s="35">
        <v>44639</v>
      </c>
      <c r="F2057" s="52">
        <v>262.2</v>
      </c>
      <c r="G2057" s="53">
        <f>Tabla14[[#This Row],[Importe]]-Tabla14[[#This Row],[Pagado]]</f>
        <v>0</v>
      </c>
      <c r="H2057" s="37" t="s">
        <v>10</v>
      </c>
    </row>
    <row r="2058" spans="1:8" x14ac:dyDescent="0.25">
      <c r="A2058" s="31">
        <v>44639</v>
      </c>
      <c r="B2058" s="37" t="s">
        <v>9122</v>
      </c>
      <c r="C2058" s="51" t="s">
        <v>3971</v>
      </c>
      <c r="D2058" s="52">
        <v>988</v>
      </c>
      <c r="E2058" s="35">
        <v>44639</v>
      </c>
      <c r="F2058" s="52">
        <v>988</v>
      </c>
      <c r="G2058" s="53">
        <f>Tabla14[[#This Row],[Importe]]-Tabla14[[#This Row],[Pagado]]</f>
        <v>0</v>
      </c>
      <c r="H2058" s="37" t="s">
        <v>10</v>
      </c>
    </row>
    <row r="2059" spans="1:8" x14ac:dyDescent="0.25">
      <c r="A2059" s="31">
        <v>44639</v>
      </c>
      <c r="B2059" s="37" t="s">
        <v>9123</v>
      </c>
      <c r="C2059" s="51" t="s">
        <v>24</v>
      </c>
      <c r="D2059" s="52">
        <v>1500.1</v>
      </c>
      <c r="E2059" s="35">
        <v>44639</v>
      </c>
      <c r="F2059" s="52">
        <v>1500.1</v>
      </c>
      <c r="G2059" s="53">
        <f>Tabla14[[#This Row],[Importe]]-Tabla14[[#This Row],[Pagado]]</f>
        <v>0</v>
      </c>
      <c r="H2059" s="37" t="s">
        <v>10</v>
      </c>
    </row>
    <row r="2060" spans="1:8" x14ac:dyDescent="0.25">
      <c r="A2060" s="31">
        <v>44639</v>
      </c>
      <c r="B2060" s="37" t="s">
        <v>9124</v>
      </c>
      <c r="C2060" s="51" t="s">
        <v>4136</v>
      </c>
      <c r="D2060" s="52">
        <v>3288.2</v>
      </c>
      <c r="E2060" s="35">
        <v>44639</v>
      </c>
      <c r="F2060" s="52">
        <v>3288.2</v>
      </c>
      <c r="G2060" s="53">
        <f>Tabla14[[#This Row],[Importe]]-Tabla14[[#This Row],[Pagado]]</f>
        <v>0</v>
      </c>
      <c r="H2060" s="37" t="s">
        <v>10</v>
      </c>
    </row>
    <row r="2061" spans="1:8" x14ac:dyDescent="0.25">
      <c r="A2061" s="31">
        <v>44639</v>
      </c>
      <c r="B2061" s="37" t="s">
        <v>9125</v>
      </c>
      <c r="C2061" s="51" t="s">
        <v>127</v>
      </c>
      <c r="D2061" s="52">
        <v>3226.2</v>
      </c>
      <c r="E2061" s="35">
        <v>44639</v>
      </c>
      <c r="F2061" s="52">
        <v>3226.2</v>
      </c>
      <c r="G2061" s="53">
        <f>Tabla14[[#This Row],[Importe]]-Tabla14[[#This Row],[Pagado]]</f>
        <v>0</v>
      </c>
      <c r="H2061" s="37" t="s">
        <v>10</v>
      </c>
    </row>
    <row r="2062" spans="1:8" x14ac:dyDescent="0.25">
      <c r="A2062" s="31">
        <v>44639</v>
      </c>
      <c r="B2062" s="37" t="s">
        <v>9126</v>
      </c>
      <c r="C2062" s="51" t="s">
        <v>151</v>
      </c>
      <c r="D2062" s="52">
        <v>9472</v>
      </c>
      <c r="E2062" s="35">
        <v>44640</v>
      </c>
      <c r="F2062" s="52">
        <v>9472</v>
      </c>
      <c r="G2062" s="53">
        <f>Tabla14[[#This Row],[Importe]]-Tabla14[[#This Row],[Pagado]]</f>
        <v>0</v>
      </c>
      <c r="H2062" s="37" t="s">
        <v>10</v>
      </c>
    </row>
    <row r="2063" spans="1:8" x14ac:dyDescent="0.25">
      <c r="A2063" s="31">
        <v>44639</v>
      </c>
      <c r="B2063" s="37" t="s">
        <v>9127</v>
      </c>
      <c r="C2063" s="51" t="s">
        <v>4136</v>
      </c>
      <c r="D2063" s="52">
        <v>22</v>
      </c>
      <c r="E2063" s="35">
        <v>44639</v>
      </c>
      <c r="F2063" s="52">
        <v>22</v>
      </c>
      <c r="G2063" s="53">
        <f>Tabla14[[#This Row],[Importe]]-Tabla14[[#This Row],[Pagado]]</f>
        <v>0</v>
      </c>
      <c r="H2063" s="37" t="s">
        <v>10</v>
      </c>
    </row>
    <row r="2064" spans="1:8" x14ac:dyDescent="0.25">
      <c r="A2064" s="31">
        <v>44639</v>
      </c>
      <c r="B2064" s="37" t="s">
        <v>9128</v>
      </c>
      <c r="C2064" s="51" t="s">
        <v>79</v>
      </c>
      <c r="D2064" s="52">
        <v>19764</v>
      </c>
      <c r="E2064" s="35">
        <v>44639</v>
      </c>
      <c r="F2064" s="52">
        <v>19764</v>
      </c>
      <c r="G2064" s="53">
        <f>Tabla14[[#This Row],[Importe]]-Tabla14[[#This Row],[Pagado]]</f>
        <v>0</v>
      </c>
      <c r="H2064" s="37" t="s">
        <v>10</v>
      </c>
    </row>
    <row r="2065" spans="1:8" x14ac:dyDescent="0.25">
      <c r="A2065" s="31">
        <v>44639</v>
      </c>
      <c r="B2065" s="37" t="s">
        <v>9129</v>
      </c>
      <c r="C2065" s="51" t="s">
        <v>107</v>
      </c>
      <c r="D2065" s="52">
        <v>20487.7</v>
      </c>
      <c r="E2065" s="35">
        <v>44639</v>
      </c>
      <c r="F2065" s="52">
        <v>20487.7</v>
      </c>
      <c r="G2065" s="53">
        <f>Tabla14[[#This Row],[Importe]]-Tabla14[[#This Row],[Pagado]]</f>
        <v>0</v>
      </c>
      <c r="H2065" s="37" t="s">
        <v>10</v>
      </c>
    </row>
    <row r="2066" spans="1:8" x14ac:dyDescent="0.25">
      <c r="A2066" s="31">
        <v>44639</v>
      </c>
      <c r="B2066" s="37" t="s">
        <v>9130</v>
      </c>
      <c r="C2066" s="51" t="s">
        <v>45</v>
      </c>
      <c r="D2066" s="52">
        <v>11024.8</v>
      </c>
      <c r="E2066" s="35">
        <v>44639</v>
      </c>
      <c r="F2066" s="52">
        <v>11024.8</v>
      </c>
      <c r="G2066" s="53">
        <f>Tabla14[[#This Row],[Importe]]-Tabla14[[#This Row],[Pagado]]</f>
        <v>0</v>
      </c>
      <c r="H2066" s="37" t="s">
        <v>10</v>
      </c>
    </row>
    <row r="2067" spans="1:8" x14ac:dyDescent="0.25">
      <c r="A2067" s="31">
        <v>44639</v>
      </c>
      <c r="B2067" s="37" t="s">
        <v>9131</v>
      </c>
      <c r="C2067" s="51" t="s">
        <v>520</v>
      </c>
      <c r="D2067" s="52">
        <v>6260</v>
      </c>
      <c r="E2067" s="35">
        <v>44640</v>
      </c>
      <c r="F2067" s="52">
        <v>6260</v>
      </c>
      <c r="G2067" s="53">
        <f>Tabla14[[#This Row],[Importe]]-Tabla14[[#This Row],[Pagado]]</f>
        <v>0</v>
      </c>
      <c r="H2067" s="37" t="s">
        <v>10</v>
      </c>
    </row>
    <row r="2068" spans="1:8" x14ac:dyDescent="0.25">
      <c r="A2068" s="31">
        <v>44639</v>
      </c>
      <c r="B2068" s="37" t="s">
        <v>9132</v>
      </c>
      <c r="C2068" s="51" t="s">
        <v>226</v>
      </c>
      <c r="D2068" s="52">
        <v>10721.7</v>
      </c>
      <c r="E2068" s="35">
        <v>44639</v>
      </c>
      <c r="F2068" s="52">
        <v>10721.7</v>
      </c>
      <c r="G2068" s="53">
        <f>Tabla14[[#This Row],[Importe]]-Tabla14[[#This Row],[Pagado]]</f>
        <v>0</v>
      </c>
      <c r="H2068" s="37" t="s">
        <v>10</v>
      </c>
    </row>
    <row r="2069" spans="1:8" x14ac:dyDescent="0.25">
      <c r="A2069" s="31">
        <v>44639</v>
      </c>
      <c r="B2069" s="37" t="s">
        <v>9133</v>
      </c>
      <c r="C2069" s="51" t="s">
        <v>159</v>
      </c>
      <c r="D2069" s="52">
        <v>2896</v>
      </c>
      <c r="E2069" s="35">
        <v>44640</v>
      </c>
      <c r="F2069" s="52">
        <v>2896</v>
      </c>
      <c r="G2069" s="53">
        <f>Tabla14[[#This Row],[Importe]]-Tabla14[[#This Row],[Pagado]]</f>
        <v>0</v>
      </c>
      <c r="H2069" s="37" t="s">
        <v>10</v>
      </c>
    </row>
    <row r="2070" spans="1:8" x14ac:dyDescent="0.25">
      <c r="A2070" s="31">
        <v>44639</v>
      </c>
      <c r="B2070" s="37" t="s">
        <v>9134</v>
      </c>
      <c r="C2070" s="51" t="s">
        <v>966</v>
      </c>
      <c r="D2070" s="52">
        <v>1875</v>
      </c>
      <c r="E2070" s="35">
        <v>44640</v>
      </c>
      <c r="F2070" s="52">
        <v>1875</v>
      </c>
      <c r="G2070" s="53">
        <f>Tabla14[[#This Row],[Importe]]-Tabla14[[#This Row],[Pagado]]</f>
        <v>0</v>
      </c>
      <c r="H2070" s="37" t="s">
        <v>10</v>
      </c>
    </row>
    <row r="2071" spans="1:8" x14ac:dyDescent="0.25">
      <c r="A2071" s="31">
        <v>44639</v>
      </c>
      <c r="B2071" s="37" t="s">
        <v>9135</v>
      </c>
      <c r="C2071" s="51" t="s">
        <v>380</v>
      </c>
      <c r="D2071" s="52">
        <v>691.6</v>
      </c>
      <c r="E2071" s="35">
        <v>44640</v>
      </c>
      <c r="F2071" s="52">
        <v>691.6</v>
      </c>
      <c r="G2071" s="53">
        <f>Tabla14[[#This Row],[Importe]]-Tabla14[[#This Row],[Pagado]]</f>
        <v>0</v>
      </c>
      <c r="H2071" s="37" t="s">
        <v>10</v>
      </c>
    </row>
    <row r="2072" spans="1:8" x14ac:dyDescent="0.25">
      <c r="A2072" s="31">
        <v>44639</v>
      </c>
      <c r="B2072" s="37" t="s">
        <v>9136</v>
      </c>
      <c r="C2072" s="51" t="s">
        <v>157</v>
      </c>
      <c r="D2072" s="52">
        <v>4322</v>
      </c>
      <c r="E2072" s="35">
        <v>44640</v>
      </c>
      <c r="F2072" s="52">
        <v>4322</v>
      </c>
      <c r="G2072" s="53">
        <f>Tabla14[[#This Row],[Importe]]-Tabla14[[#This Row],[Pagado]]</f>
        <v>0</v>
      </c>
      <c r="H2072" s="37" t="s">
        <v>10</v>
      </c>
    </row>
    <row r="2073" spans="1:8" x14ac:dyDescent="0.25">
      <c r="A2073" s="31">
        <v>44639</v>
      </c>
      <c r="B2073" s="37" t="s">
        <v>9137</v>
      </c>
      <c r="C2073" s="51" t="s">
        <v>79</v>
      </c>
      <c r="D2073" s="52">
        <v>5950.8</v>
      </c>
      <c r="E2073" s="35">
        <v>44639</v>
      </c>
      <c r="F2073" s="52">
        <v>5950.8</v>
      </c>
      <c r="G2073" s="53">
        <f>Tabla14[[#This Row],[Importe]]-Tabla14[[#This Row],[Pagado]]</f>
        <v>0</v>
      </c>
      <c r="H2073" s="37" t="s">
        <v>10</v>
      </c>
    </row>
    <row r="2074" spans="1:8" x14ac:dyDescent="0.25">
      <c r="A2074" s="31">
        <v>44639</v>
      </c>
      <c r="B2074" s="37" t="s">
        <v>9138</v>
      </c>
      <c r="C2074" s="51" t="s">
        <v>181</v>
      </c>
      <c r="D2074" s="52">
        <v>12802.2</v>
      </c>
      <c r="E2074" s="35">
        <v>44639</v>
      </c>
      <c r="F2074" s="52">
        <v>12802.2</v>
      </c>
      <c r="G2074" s="53">
        <f>Tabla14[[#This Row],[Importe]]-Tabla14[[#This Row],[Pagado]]</f>
        <v>0</v>
      </c>
      <c r="H2074" s="37" t="s">
        <v>10</v>
      </c>
    </row>
    <row r="2075" spans="1:8" x14ac:dyDescent="0.25">
      <c r="A2075" s="31">
        <v>44639</v>
      </c>
      <c r="B2075" s="37" t="s">
        <v>9139</v>
      </c>
      <c r="C2075" s="51" t="s">
        <v>27</v>
      </c>
      <c r="D2075" s="52">
        <v>2428</v>
      </c>
      <c r="E2075" s="35">
        <v>44639</v>
      </c>
      <c r="F2075" s="52">
        <v>2428</v>
      </c>
      <c r="G2075" s="53">
        <f>Tabla14[[#This Row],[Importe]]-Tabla14[[#This Row],[Pagado]]</f>
        <v>0</v>
      </c>
      <c r="H2075" s="37" t="s">
        <v>10</v>
      </c>
    </row>
    <row r="2076" spans="1:8" x14ac:dyDescent="0.25">
      <c r="A2076" s="31">
        <v>44639</v>
      </c>
      <c r="B2076" s="37" t="s">
        <v>9140</v>
      </c>
      <c r="C2076" s="51" t="s">
        <v>319</v>
      </c>
      <c r="D2076" s="52">
        <v>5173.7</v>
      </c>
      <c r="E2076" s="35">
        <v>44640</v>
      </c>
      <c r="F2076" s="52">
        <v>5173.7</v>
      </c>
      <c r="G2076" s="53">
        <f>Tabla14[[#This Row],[Importe]]-Tabla14[[#This Row],[Pagado]]</f>
        <v>0</v>
      </c>
      <c r="H2076" s="37" t="s">
        <v>10</v>
      </c>
    </row>
    <row r="2077" spans="1:8" x14ac:dyDescent="0.25">
      <c r="A2077" s="31">
        <v>44639</v>
      </c>
      <c r="B2077" s="37" t="s">
        <v>9141</v>
      </c>
      <c r="C2077" s="51" t="s">
        <v>518</v>
      </c>
      <c r="D2077" s="52">
        <v>2017.8</v>
      </c>
      <c r="E2077" s="35">
        <v>44640</v>
      </c>
      <c r="F2077" s="52">
        <v>2017.8</v>
      </c>
      <c r="G2077" s="53">
        <f>Tabla14[[#This Row],[Importe]]-Tabla14[[#This Row],[Pagado]]</f>
        <v>0</v>
      </c>
      <c r="H2077" s="37" t="s">
        <v>10</v>
      </c>
    </row>
    <row r="2078" spans="1:8" x14ac:dyDescent="0.25">
      <c r="A2078" s="31">
        <v>44639</v>
      </c>
      <c r="B2078" s="37" t="s">
        <v>9142</v>
      </c>
      <c r="C2078" s="51" t="s">
        <v>151</v>
      </c>
      <c r="D2078" s="52">
        <v>176.8</v>
      </c>
      <c r="E2078" s="35">
        <v>44640</v>
      </c>
      <c r="F2078" s="52">
        <v>176.8</v>
      </c>
      <c r="G2078" s="53">
        <f>Tabla14[[#This Row],[Importe]]-Tabla14[[#This Row],[Pagado]]</f>
        <v>0</v>
      </c>
      <c r="H2078" s="37" t="s">
        <v>10</v>
      </c>
    </row>
    <row r="2079" spans="1:8" x14ac:dyDescent="0.25">
      <c r="A2079" s="31">
        <v>44639</v>
      </c>
      <c r="B2079" s="37" t="s">
        <v>9143</v>
      </c>
      <c r="C2079" s="51" t="s">
        <v>244</v>
      </c>
      <c r="D2079" s="52">
        <v>1612.2</v>
      </c>
      <c r="E2079" s="35">
        <v>44639</v>
      </c>
      <c r="F2079" s="52">
        <v>1612.2</v>
      </c>
      <c r="G2079" s="53">
        <f>Tabla14[[#This Row],[Importe]]-Tabla14[[#This Row],[Pagado]]</f>
        <v>0</v>
      </c>
      <c r="H2079" s="37" t="s">
        <v>10</v>
      </c>
    </row>
    <row r="2080" spans="1:8" x14ac:dyDescent="0.25">
      <c r="A2080" s="31">
        <v>44639</v>
      </c>
      <c r="B2080" s="37" t="s">
        <v>9144</v>
      </c>
      <c r="C2080" s="51" t="s">
        <v>31</v>
      </c>
      <c r="D2080" s="52">
        <v>1114.2</v>
      </c>
      <c r="E2080" s="35">
        <v>44639</v>
      </c>
      <c r="F2080" s="52">
        <v>1114.2</v>
      </c>
      <c r="G2080" s="53">
        <f>Tabla14[[#This Row],[Importe]]-Tabla14[[#This Row],[Pagado]]</f>
        <v>0</v>
      </c>
      <c r="H2080" s="37" t="s">
        <v>10</v>
      </c>
    </row>
    <row r="2081" spans="1:8" x14ac:dyDescent="0.25">
      <c r="A2081" s="31">
        <v>44639</v>
      </c>
      <c r="B2081" s="37" t="s">
        <v>9145</v>
      </c>
      <c r="C2081" s="51" t="s">
        <v>31</v>
      </c>
      <c r="D2081" s="52">
        <v>572</v>
      </c>
      <c r="E2081" s="35">
        <v>44640</v>
      </c>
      <c r="F2081" s="52">
        <v>572</v>
      </c>
      <c r="G2081" s="53">
        <f>Tabla14[[#This Row],[Importe]]-Tabla14[[#This Row],[Pagado]]</f>
        <v>0</v>
      </c>
      <c r="H2081" s="37" t="s">
        <v>10</v>
      </c>
    </row>
    <row r="2082" spans="1:8" x14ac:dyDescent="0.25">
      <c r="A2082" s="31">
        <v>44639</v>
      </c>
      <c r="B2082" s="37" t="s">
        <v>9146</v>
      </c>
      <c r="C2082" s="51" t="s">
        <v>2139</v>
      </c>
      <c r="D2082" s="52">
        <v>4798.2</v>
      </c>
      <c r="E2082" s="35">
        <v>44639</v>
      </c>
      <c r="F2082" s="52">
        <v>4798.2</v>
      </c>
      <c r="G2082" s="53">
        <f>Tabla14[[#This Row],[Importe]]-Tabla14[[#This Row],[Pagado]]</f>
        <v>0</v>
      </c>
      <c r="H2082" s="37" t="s">
        <v>10</v>
      </c>
    </row>
    <row r="2083" spans="1:8" x14ac:dyDescent="0.25">
      <c r="A2083" s="31">
        <v>44639</v>
      </c>
      <c r="B2083" s="37" t="s">
        <v>9147</v>
      </c>
      <c r="C2083" s="51" t="s">
        <v>932</v>
      </c>
      <c r="D2083" s="52">
        <v>2000</v>
      </c>
      <c r="E2083" s="35">
        <v>44640</v>
      </c>
      <c r="F2083" s="52">
        <v>2000</v>
      </c>
      <c r="G2083" s="53">
        <f>Tabla14[[#This Row],[Importe]]-Tabla14[[#This Row],[Pagado]]</f>
        <v>0</v>
      </c>
      <c r="H2083" s="37" t="s">
        <v>10</v>
      </c>
    </row>
    <row r="2084" spans="1:8" x14ac:dyDescent="0.25">
      <c r="A2084" s="31">
        <v>44639</v>
      </c>
      <c r="B2084" s="37" t="s">
        <v>9148</v>
      </c>
      <c r="C2084" s="51" t="s">
        <v>191</v>
      </c>
      <c r="D2084" s="52">
        <v>1370.8</v>
      </c>
      <c r="E2084" s="35">
        <v>44639</v>
      </c>
      <c r="F2084" s="52">
        <v>1370.8</v>
      </c>
      <c r="G2084" s="53">
        <f>Tabla14[[#This Row],[Importe]]-Tabla14[[#This Row],[Pagado]]</f>
        <v>0</v>
      </c>
      <c r="H2084" s="37" t="s">
        <v>10</v>
      </c>
    </row>
    <row r="2085" spans="1:8" x14ac:dyDescent="0.25">
      <c r="A2085" s="31">
        <v>44639</v>
      </c>
      <c r="B2085" s="37" t="s">
        <v>9149</v>
      </c>
      <c r="C2085" s="51" t="s">
        <v>200</v>
      </c>
      <c r="D2085" s="52">
        <v>1229.5999999999999</v>
      </c>
      <c r="E2085" s="35">
        <v>44639</v>
      </c>
      <c r="F2085" s="52">
        <v>1229.5999999999999</v>
      </c>
      <c r="G2085" s="53">
        <f>Tabla14[[#This Row],[Importe]]-Tabla14[[#This Row],[Pagado]]</f>
        <v>0</v>
      </c>
      <c r="H2085" s="37" t="s">
        <v>10</v>
      </c>
    </row>
    <row r="2086" spans="1:8" x14ac:dyDescent="0.25">
      <c r="A2086" s="31">
        <v>44639</v>
      </c>
      <c r="B2086" s="37" t="s">
        <v>9150</v>
      </c>
      <c r="C2086" s="51" t="s">
        <v>359</v>
      </c>
      <c r="D2086" s="52">
        <v>359.1</v>
      </c>
      <c r="E2086" s="35">
        <v>44639</v>
      </c>
      <c r="F2086" s="52">
        <v>359.1</v>
      </c>
      <c r="G2086" s="53">
        <f>Tabla14[[#This Row],[Importe]]-Tabla14[[#This Row],[Pagado]]</f>
        <v>0</v>
      </c>
      <c r="H2086" s="37" t="s">
        <v>10</v>
      </c>
    </row>
    <row r="2087" spans="1:8" x14ac:dyDescent="0.25">
      <c r="A2087" s="31">
        <v>44639</v>
      </c>
      <c r="B2087" s="37" t="s">
        <v>9151</v>
      </c>
      <c r="C2087" s="51" t="s">
        <v>31</v>
      </c>
      <c r="D2087" s="52">
        <v>3370</v>
      </c>
      <c r="E2087" s="35">
        <v>44639</v>
      </c>
      <c r="F2087" s="52">
        <v>3370</v>
      </c>
      <c r="G2087" s="53">
        <f>Tabla14[[#This Row],[Importe]]-Tabla14[[#This Row],[Pagado]]</f>
        <v>0</v>
      </c>
      <c r="H2087" s="37" t="s">
        <v>10</v>
      </c>
    </row>
    <row r="2088" spans="1:8" x14ac:dyDescent="0.25">
      <c r="A2088" s="31">
        <v>44639</v>
      </c>
      <c r="B2088" s="37" t="s">
        <v>9152</v>
      </c>
      <c r="C2088" s="51" t="s">
        <v>426</v>
      </c>
      <c r="D2088" s="52">
        <v>2183.5</v>
      </c>
      <c r="E2088" s="35">
        <v>44639</v>
      </c>
      <c r="F2088" s="52">
        <v>2183.5</v>
      </c>
      <c r="G2088" s="53">
        <f>Tabla14[[#This Row],[Importe]]-Tabla14[[#This Row],[Pagado]]</f>
        <v>0</v>
      </c>
      <c r="H2088" s="37" t="s">
        <v>10</v>
      </c>
    </row>
    <row r="2089" spans="1:8" x14ac:dyDescent="0.25">
      <c r="A2089" s="31">
        <v>44639</v>
      </c>
      <c r="B2089" s="37" t="s">
        <v>9153</v>
      </c>
      <c r="C2089" s="51" t="s">
        <v>296</v>
      </c>
      <c r="D2089" s="52">
        <v>2662</v>
      </c>
      <c r="E2089" s="35">
        <v>44639</v>
      </c>
      <c r="F2089" s="52">
        <v>2662</v>
      </c>
      <c r="G2089" s="53">
        <f>Tabla14[[#This Row],[Importe]]-Tabla14[[#This Row],[Pagado]]</f>
        <v>0</v>
      </c>
      <c r="H2089" s="37" t="s">
        <v>10</v>
      </c>
    </row>
    <row r="2090" spans="1:8" ht="31.5" x14ac:dyDescent="0.25">
      <c r="A2090" s="31">
        <v>44639</v>
      </c>
      <c r="B2090" s="37" t="s">
        <v>9154</v>
      </c>
      <c r="C2090" s="51" t="s">
        <v>75</v>
      </c>
      <c r="D2090" s="52">
        <v>17323.2</v>
      </c>
      <c r="E2090" s="35" t="s">
        <v>8942</v>
      </c>
      <c r="F2090" s="52">
        <f>8132.4+9190.8</f>
        <v>17323.199999999997</v>
      </c>
      <c r="G2090" s="53">
        <f>Tabla14[[#This Row],[Importe]]-Tabla14[[#This Row],[Pagado]]</f>
        <v>0</v>
      </c>
      <c r="H2090" s="37" t="s">
        <v>10</v>
      </c>
    </row>
    <row r="2091" spans="1:8" x14ac:dyDescent="0.25">
      <c r="A2091" s="31">
        <v>44639</v>
      </c>
      <c r="B2091" s="37" t="s">
        <v>9155</v>
      </c>
      <c r="C2091" s="51" t="s">
        <v>142</v>
      </c>
      <c r="D2091" s="52">
        <v>4430.8</v>
      </c>
      <c r="E2091" s="35">
        <v>44670</v>
      </c>
      <c r="F2091" s="52">
        <v>4430.8</v>
      </c>
      <c r="G2091" s="53">
        <f>Tabla14[[#This Row],[Importe]]-Tabla14[[#This Row],[Pagado]]</f>
        <v>0</v>
      </c>
      <c r="H2091" s="37" t="s">
        <v>10</v>
      </c>
    </row>
    <row r="2092" spans="1:8" x14ac:dyDescent="0.25">
      <c r="A2092" s="31">
        <v>44639</v>
      </c>
      <c r="B2092" s="37" t="s">
        <v>9156</v>
      </c>
      <c r="C2092" s="51" t="s">
        <v>67</v>
      </c>
      <c r="D2092" s="52">
        <v>1695.6</v>
      </c>
      <c r="E2092" s="35">
        <v>44639</v>
      </c>
      <c r="F2092" s="52">
        <v>1695.6</v>
      </c>
      <c r="G2092" s="53">
        <f>Tabla14[[#This Row],[Importe]]-Tabla14[[#This Row],[Pagado]]</f>
        <v>0</v>
      </c>
      <c r="H2092" s="37" t="s">
        <v>10</v>
      </c>
    </row>
    <row r="2093" spans="1:8" x14ac:dyDescent="0.25">
      <c r="A2093" s="31">
        <v>44639</v>
      </c>
      <c r="B2093" s="37" t="s">
        <v>9157</v>
      </c>
      <c r="C2093" s="51" t="s">
        <v>31</v>
      </c>
      <c r="D2093" s="52">
        <v>905</v>
      </c>
      <c r="E2093" s="35">
        <v>44639</v>
      </c>
      <c r="F2093" s="52">
        <v>905</v>
      </c>
      <c r="G2093" s="53">
        <f>Tabla14[[#This Row],[Importe]]-Tabla14[[#This Row],[Pagado]]</f>
        <v>0</v>
      </c>
      <c r="H2093" s="37" t="s">
        <v>10</v>
      </c>
    </row>
    <row r="2094" spans="1:8" x14ac:dyDescent="0.25">
      <c r="A2094" s="31">
        <v>44639</v>
      </c>
      <c r="B2094" s="37" t="s">
        <v>9158</v>
      </c>
      <c r="C2094" s="51" t="s">
        <v>53</v>
      </c>
      <c r="D2094" s="52">
        <v>1397</v>
      </c>
      <c r="E2094" s="35">
        <v>44639</v>
      </c>
      <c r="F2094" s="52">
        <v>1397</v>
      </c>
      <c r="G2094" s="53">
        <f>Tabla14[[#This Row],[Importe]]-Tabla14[[#This Row],[Pagado]]</f>
        <v>0</v>
      </c>
      <c r="H2094" s="37" t="s">
        <v>10</v>
      </c>
    </row>
    <row r="2095" spans="1:8" x14ac:dyDescent="0.25">
      <c r="A2095" s="31">
        <v>44639</v>
      </c>
      <c r="B2095" s="37" t="s">
        <v>9159</v>
      </c>
      <c r="C2095" s="51" t="s">
        <v>289</v>
      </c>
      <c r="D2095" s="52">
        <v>7032.4</v>
      </c>
      <c r="E2095" s="35">
        <v>44639</v>
      </c>
      <c r="F2095" s="52">
        <v>7032.4</v>
      </c>
      <c r="G2095" s="53">
        <f>Tabla14[[#This Row],[Importe]]-Tabla14[[#This Row],[Pagado]]</f>
        <v>0</v>
      </c>
      <c r="H2095" s="37" t="s">
        <v>10</v>
      </c>
    </row>
    <row r="2096" spans="1:8" x14ac:dyDescent="0.25">
      <c r="A2096" s="31">
        <v>44639</v>
      </c>
      <c r="B2096" s="37" t="s">
        <v>9160</v>
      </c>
      <c r="C2096" s="51" t="s">
        <v>67</v>
      </c>
      <c r="D2096" s="52">
        <v>1031.4000000000001</v>
      </c>
      <c r="E2096" s="35">
        <v>44639</v>
      </c>
      <c r="F2096" s="52">
        <v>1031.4000000000001</v>
      </c>
      <c r="G2096" s="53">
        <f>Tabla14[[#This Row],[Importe]]-Tabla14[[#This Row],[Pagado]]</f>
        <v>0</v>
      </c>
      <c r="H2096" s="37" t="s">
        <v>10</v>
      </c>
    </row>
    <row r="2097" spans="1:8" x14ac:dyDescent="0.25">
      <c r="A2097" s="31">
        <v>44639</v>
      </c>
      <c r="B2097" s="37" t="s">
        <v>9161</v>
      </c>
      <c r="C2097" s="51" t="s">
        <v>670</v>
      </c>
      <c r="D2097" s="52">
        <v>2401.1</v>
      </c>
      <c r="E2097" s="35">
        <v>44639</v>
      </c>
      <c r="F2097" s="52">
        <v>2401.1</v>
      </c>
      <c r="G2097" s="53">
        <f>Tabla14[[#This Row],[Importe]]-Tabla14[[#This Row],[Pagado]]</f>
        <v>0</v>
      </c>
      <c r="H2097" s="37" t="s">
        <v>10</v>
      </c>
    </row>
    <row r="2098" spans="1:8" x14ac:dyDescent="0.25">
      <c r="A2098" s="31">
        <v>44639</v>
      </c>
      <c r="B2098" s="37" t="s">
        <v>9162</v>
      </c>
      <c r="C2098" s="51" t="s">
        <v>845</v>
      </c>
      <c r="D2098" s="52">
        <v>1931.4</v>
      </c>
      <c r="E2098" s="35">
        <v>44639</v>
      </c>
      <c r="F2098" s="52">
        <v>1931.4</v>
      </c>
      <c r="G2098" s="53">
        <f>Tabla14[[#This Row],[Importe]]-Tabla14[[#This Row],[Pagado]]</f>
        <v>0</v>
      </c>
      <c r="H2098" s="37" t="s">
        <v>10</v>
      </c>
    </row>
    <row r="2099" spans="1:8" x14ac:dyDescent="0.25">
      <c r="A2099" s="31">
        <v>44639</v>
      </c>
      <c r="B2099" s="37" t="s">
        <v>9163</v>
      </c>
      <c r="C2099" s="51" t="s">
        <v>214</v>
      </c>
      <c r="D2099" s="52">
        <v>1204.2</v>
      </c>
      <c r="E2099" s="35">
        <v>44639</v>
      </c>
      <c r="F2099" s="52">
        <v>1204.2</v>
      </c>
      <c r="G2099" s="53">
        <f>Tabla14[[#This Row],[Importe]]-Tabla14[[#This Row],[Pagado]]</f>
        <v>0</v>
      </c>
      <c r="H2099" s="37" t="s">
        <v>10</v>
      </c>
    </row>
    <row r="2100" spans="1:8" x14ac:dyDescent="0.25">
      <c r="A2100" s="31">
        <v>44639</v>
      </c>
      <c r="B2100" s="37" t="s">
        <v>9164</v>
      </c>
      <c r="C2100" s="51" t="s">
        <v>216</v>
      </c>
      <c r="D2100" s="52">
        <v>2359.8000000000002</v>
      </c>
      <c r="E2100" s="35">
        <v>44639</v>
      </c>
      <c r="F2100" s="52">
        <v>2359.8000000000002</v>
      </c>
      <c r="G2100" s="53">
        <f>Tabla14[[#This Row],[Importe]]-Tabla14[[#This Row],[Pagado]]</f>
        <v>0</v>
      </c>
      <c r="H2100" s="37" t="s">
        <v>10</v>
      </c>
    </row>
    <row r="2101" spans="1:8" x14ac:dyDescent="0.25">
      <c r="A2101" s="31">
        <v>44639</v>
      </c>
      <c r="B2101" s="37" t="s">
        <v>9165</v>
      </c>
      <c r="C2101" s="51" t="s">
        <v>31</v>
      </c>
      <c r="D2101" s="52">
        <v>1620</v>
      </c>
      <c r="E2101" s="35">
        <v>44639</v>
      </c>
      <c r="F2101" s="52">
        <v>1620</v>
      </c>
      <c r="G2101" s="53">
        <f>Tabla14[[#This Row],[Importe]]-Tabla14[[#This Row],[Pagado]]</f>
        <v>0</v>
      </c>
      <c r="H2101" s="37" t="s">
        <v>10</v>
      </c>
    </row>
    <row r="2102" spans="1:8" x14ac:dyDescent="0.25">
      <c r="A2102" s="31">
        <v>44639</v>
      </c>
      <c r="B2102" s="37" t="s">
        <v>9166</v>
      </c>
      <c r="C2102" s="51" t="s">
        <v>191</v>
      </c>
      <c r="D2102" s="52">
        <v>1423.1</v>
      </c>
      <c r="E2102" s="35">
        <v>44639</v>
      </c>
      <c r="F2102" s="52">
        <v>1423.1</v>
      </c>
      <c r="G2102" s="53">
        <f>Tabla14[[#This Row],[Importe]]-Tabla14[[#This Row],[Pagado]]</f>
        <v>0</v>
      </c>
      <c r="H2102" s="37" t="s">
        <v>10</v>
      </c>
    </row>
    <row r="2103" spans="1:8" x14ac:dyDescent="0.25">
      <c r="A2103" s="31">
        <v>44639</v>
      </c>
      <c r="B2103" s="37" t="s">
        <v>9167</v>
      </c>
      <c r="C2103" s="51" t="s">
        <v>273</v>
      </c>
      <c r="D2103" s="52">
        <v>2184</v>
      </c>
      <c r="E2103" s="35">
        <v>44639</v>
      </c>
      <c r="F2103" s="52">
        <v>2184</v>
      </c>
      <c r="G2103" s="53">
        <f>Tabla14[[#This Row],[Importe]]-Tabla14[[#This Row],[Pagado]]</f>
        <v>0</v>
      </c>
      <c r="H2103" s="37" t="s">
        <v>10</v>
      </c>
    </row>
    <row r="2104" spans="1:8" x14ac:dyDescent="0.25">
      <c r="A2104" s="31">
        <v>44639</v>
      </c>
      <c r="B2104" s="37" t="s">
        <v>9168</v>
      </c>
      <c r="C2104" s="51" t="s">
        <v>43</v>
      </c>
      <c r="D2104" s="52">
        <v>29998</v>
      </c>
      <c r="E2104" s="35">
        <v>44639</v>
      </c>
      <c r="F2104" s="52">
        <v>29998</v>
      </c>
      <c r="G2104" s="53">
        <f>Tabla14[[#This Row],[Importe]]-Tabla14[[#This Row],[Pagado]]</f>
        <v>0</v>
      </c>
      <c r="H2104" s="37" t="s">
        <v>10</v>
      </c>
    </row>
    <row r="2105" spans="1:8" x14ac:dyDescent="0.25">
      <c r="A2105" s="31">
        <v>44639</v>
      </c>
      <c r="B2105" s="37" t="s">
        <v>9169</v>
      </c>
      <c r="C2105" s="51" t="s">
        <v>261</v>
      </c>
      <c r="D2105" s="52">
        <v>38354.400000000001</v>
      </c>
      <c r="E2105" s="35">
        <v>44640</v>
      </c>
      <c r="F2105" s="52">
        <v>38354.400000000001</v>
      </c>
      <c r="G2105" s="53">
        <f>Tabla14[[#This Row],[Importe]]-Tabla14[[#This Row],[Pagado]]</f>
        <v>0</v>
      </c>
      <c r="H2105" s="37" t="s">
        <v>10</v>
      </c>
    </row>
    <row r="2106" spans="1:8" x14ac:dyDescent="0.25">
      <c r="A2106" s="31">
        <v>44639</v>
      </c>
      <c r="B2106" s="37" t="s">
        <v>9170</v>
      </c>
      <c r="C2106" s="51" t="s">
        <v>71</v>
      </c>
      <c r="D2106" s="52">
        <v>849.3</v>
      </c>
      <c r="E2106" s="35">
        <v>44639</v>
      </c>
      <c r="F2106" s="52">
        <v>849.3</v>
      </c>
      <c r="G2106" s="53">
        <f>Tabla14[[#This Row],[Importe]]-Tabla14[[#This Row],[Pagado]]</f>
        <v>0</v>
      </c>
      <c r="H2106" s="37" t="s">
        <v>10</v>
      </c>
    </row>
    <row r="2107" spans="1:8" x14ac:dyDescent="0.25">
      <c r="A2107" s="31">
        <v>44639</v>
      </c>
      <c r="B2107" s="37" t="s">
        <v>9171</v>
      </c>
      <c r="C2107" s="51" t="s">
        <v>284</v>
      </c>
      <c r="D2107" s="52">
        <v>11102.4</v>
      </c>
      <c r="E2107" s="35">
        <v>44640</v>
      </c>
      <c r="F2107" s="52">
        <v>11102.4</v>
      </c>
      <c r="G2107" s="53">
        <f>Tabla14[[#This Row],[Importe]]-Tabla14[[#This Row],[Pagado]]</f>
        <v>0</v>
      </c>
      <c r="H2107" s="37" t="s">
        <v>10</v>
      </c>
    </row>
    <row r="2108" spans="1:8" x14ac:dyDescent="0.25">
      <c r="A2108" s="31">
        <v>44639</v>
      </c>
      <c r="B2108" s="37" t="s">
        <v>9172</v>
      </c>
      <c r="C2108" s="51" t="s">
        <v>282</v>
      </c>
      <c r="D2108" s="52">
        <v>6663.6</v>
      </c>
      <c r="E2108" s="35">
        <v>44639</v>
      </c>
      <c r="F2108" s="52">
        <v>6663.6</v>
      </c>
      <c r="G2108" s="53">
        <f>Tabla14[[#This Row],[Importe]]-Tabla14[[#This Row],[Pagado]]</f>
        <v>0</v>
      </c>
      <c r="H2108" s="37" t="s">
        <v>10</v>
      </c>
    </row>
    <row r="2109" spans="1:8" x14ac:dyDescent="0.25">
      <c r="A2109" s="31">
        <v>44639</v>
      </c>
      <c r="B2109" s="37" t="s">
        <v>9173</v>
      </c>
      <c r="C2109" s="51" t="s">
        <v>5345</v>
      </c>
      <c r="D2109" s="52">
        <v>2905.2</v>
      </c>
      <c r="E2109" s="35">
        <v>44640</v>
      </c>
      <c r="F2109" s="52">
        <v>2905.2</v>
      </c>
      <c r="G2109" s="53">
        <f>Tabla14[[#This Row],[Importe]]-Tabla14[[#This Row],[Pagado]]</f>
        <v>0</v>
      </c>
      <c r="H2109" s="37" t="s">
        <v>10</v>
      </c>
    </row>
    <row r="2110" spans="1:8" x14ac:dyDescent="0.25">
      <c r="A2110" s="31">
        <v>44639</v>
      </c>
      <c r="B2110" s="37" t="s">
        <v>9174</v>
      </c>
      <c r="C2110" s="51" t="s">
        <v>9175</v>
      </c>
      <c r="D2110" s="52">
        <v>12055</v>
      </c>
      <c r="E2110" s="35">
        <v>44639</v>
      </c>
      <c r="F2110" s="52">
        <v>12055</v>
      </c>
      <c r="G2110" s="53">
        <f>Tabla14[[#This Row],[Importe]]-Tabla14[[#This Row],[Pagado]]</f>
        <v>0</v>
      </c>
      <c r="H2110" s="37" t="s">
        <v>10</v>
      </c>
    </row>
    <row r="2111" spans="1:8" x14ac:dyDescent="0.25">
      <c r="A2111" s="31">
        <v>44639</v>
      </c>
      <c r="B2111" s="37" t="s">
        <v>9176</v>
      </c>
      <c r="C2111" s="51" t="s">
        <v>16</v>
      </c>
      <c r="D2111" s="52">
        <v>1098.8</v>
      </c>
      <c r="E2111" s="35">
        <v>44639</v>
      </c>
      <c r="F2111" s="52">
        <v>1098.8</v>
      </c>
      <c r="G2111" s="53">
        <f>Tabla14[[#This Row],[Importe]]-Tabla14[[#This Row],[Pagado]]</f>
        <v>0</v>
      </c>
      <c r="H2111" s="37" t="s">
        <v>10</v>
      </c>
    </row>
    <row r="2112" spans="1:8" x14ac:dyDescent="0.25">
      <c r="A2112" s="31">
        <v>44639</v>
      </c>
      <c r="B2112" s="37" t="s">
        <v>9177</v>
      </c>
      <c r="C2112" s="51" t="s">
        <v>142</v>
      </c>
      <c r="D2112" s="52">
        <v>6400</v>
      </c>
      <c r="E2112" s="35">
        <v>44670</v>
      </c>
      <c r="F2112" s="52">
        <v>6400</v>
      </c>
      <c r="G2112" s="53">
        <f>Tabla14[[#This Row],[Importe]]-Tabla14[[#This Row],[Pagado]]</f>
        <v>0</v>
      </c>
      <c r="H2112" s="37" t="s">
        <v>10</v>
      </c>
    </row>
    <row r="2113" spans="1:8" x14ac:dyDescent="0.25">
      <c r="A2113" s="31">
        <v>44639</v>
      </c>
      <c r="B2113" s="37" t="s">
        <v>9178</v>
      </c>
      <c r="C2113" s="51" t="s">
        <v>280</v>
      </c>
      <c r="D2113" s="52">
        <v>1425.6</v>
      </c>
      <c r="E2113" s="35">
        <v>44640</v>
      </c>
      <c r="F2113" s="52">
        <v>1425.6</v>
      </c>
      <c r="G2113" s="53">
        <f>Tabla14[[#This Row],[Importe]]-Tabla14[[#This Row],[Pagado]]</f>
        <v>0</v>
      </c>
      <c r="H2113" s="37" t="s">
        <v>10</v>
      </c>
    </row>
    <row r="2114" spans="1:8" x14ac:dyDescent="0.25">
      <c r="A2114" s="31">
        <v>44639</v>
      </c>
      <c r="B2114" s="37" t="s">
        <v>9179</v>
      </c>
      <c r="C2114" s="51" t="s">
        <v>9180</v>
      </c>
      <c r="D2114" s="52">
        <v>0</v>
      </c>
      <c r="E2114" s="39" t="s">
        <v>189</v>
      </c>
      <c r="F2114" s="52">
        <v>0</v>
      </c>
      <c r="G2114" s="53">
        <f>Tabla14[[#This Row],[Importe]]-Tabla14[[#This Row],[Pagado]]</f>
        <v>0</v>
      </c>
      <c r="H2114" s="54" t="s">
        <v>9181</v>
      </c>
    </row>
    <row r="2115" spans="1:8" x14ac:dyDescent="0.25">
      <c r="A2115" s="31">
        <v>44639</v>
      </c>
      <c r="B2115" s="37" t="s">
        <v>9182</v>
      </c>
      <c r="C2115" s="51" t="s">
        <v>275</v>
      </c>
      <c r="D2115" s="52">
        <v>74039.8</v>
      </c>
      <c r="E2115" s="35">
        <v>44652</v>
      </c>
      <c r="F2115" s="52">
        <v>74039.8</v>
      </c>
      <c r="G2115" s="53">
        <f>Tabla14[[#This Row],[Importe]]-Tabla14[[#This Row],[Pagado]]</f>
        <v>0</v>
      </c>
      <c r="H2115" s="37" t="s">
        <v>10</v>
      </c>
    </row>
    <row r="2116" spans="1:8" x14ac:dyDescent="0.25">
      <c r="A2116" s="31">
        <v>44639</v>
      </c>
      <c r="B2116" s="37" t="s">
        <v>9183</v>
      </c>
      <c r="C2116" s="51" t="s">
        <v>275</v>
      </c>
      <c r="D2116" s="52">
        <v>44835.72</v>
      </c>
      <c r="E2116" s="35">
        <v>44652</v>
      </c>
      <c r="F2116" s="52">
        <v>44835.72</v>
      </c>
      <c r="G2116" s="53">
        <f>Tabla14[[#This Row],[Importe]]-Tabla14[[#This Row],[Pagado]]</f>
        <v>0</v>
      </c>
      <c r="H2116" s="37" t="s">
        <v>10</v>
      </c>
    </row>
    <row r="2117" spans="1:8" x14ac:dyDescent="0.25">
      <c r="A2117" s="31">
        <v>44639</v>
      </c>
      <c r="B2117" s="37" t="s">
        <v>9184</v>
      </c>
      <c r="C2117" s="51" t="s">
        <v>51</v>
      </c>
      <c r="D2117" s="52">
        <v>3447.6</v>
      </c>
      <c r="E2117" s="35">
        <v>44639</v>
      </c>
      <c r="F2117" s="52">
        <v>3447.6</v>
      </c>
      <c r="G2117" s="53">
        <f>Tabla14[[#This Row],[Importe]]-Tabla14[[#This Row],[Pagado]]</f>
        <v>0</v>
      </c>
      <c r="H2117" s="37" t="s">
        <v>10</v>
      </c>
    </row>
    <row r="2118" spans="1:8" x14ac:dyDescent="0.25">
      <c r="A2118" s="31">
        <v>44639</v>
      </c>
      <c r="B2118" s="37" t="s">
        <v>9185</v>
      </c>
      <c r="C2118" s="51" t="s">
        <v>664</v>
      </c>
      <c r="D2118" s="52">
        <v>11890</v>
      </c>
      <c r="E2118" s="35">
        <v>44640</v>
      </c>
      <c r="F2118" s="52">
        <v>11890</v>
      </c>
      <c r="G2118" s="53">
        <f>Tabla14[[#This Row],[Importe]]-Tabla14[[#This Row],[Pagado]]</f>
        <v>0</v>
      </c>
      <c r="H2118" s="37" t="s">
        <v>10</v>
      </c>
    </row>
    <row r="2119" spans="1:8" x14ac:dyDescent="0.25">
      <c r="A2119" s="31">
        <v>44639</v>
      </c>
      <c r="B2119" s="37" t="s">
        <v>9186</v>
      </c>
      <c r="C2119" s="51" t="s">
        <v>1421</v>
      </c>
      <c r="D2119" s="52">
        <v>35215.199999999997</v>
      </c>
      <c r="E2119" s="35">
        <v>44639</v>
      </c>
      <c r="F2119" s="52">
        <v>35215.199999999997</v>
      </c>
      <c r="G2119" s="53">
        <f>Tabla14[[#This Row],[Importe]]-Tabla14[[#This Row],[Pagado]]</f>
        <v>0</v>
      </c>
      <c r="H2119" s="37" t="s">
        <v>10</v>
      </c>
    </row>
    <row r="2120" spans="1:8" x14ac:dyDescent="0.25">
      <c r="A2120" s="31">
        <v>44639</v>
      </c>
      <c r="B2120" s="37" t="s">
        <v>9187</v>
      </c>
      <c r="C2120" s="51" t="s">
        <v>291</v>
      </c>
      <c r="D2120" s="52">
        <v>253</v>
      </c>
      <c r="E2120" s="35">
        <v>44640</v>
      </c>
      <c r="F2120" s="52">
        <v>253</v>
      </c>
      <c r="G2120" s="53">
        <f>Tabla14[[#This Row],[Importe]]-Tabla14[[#This Row],[Pagado]]</f>
        <v>0</v>
      </c>
      <c r="H2120" s="37" t="s">
        <v>10</v>
      </c>
    </row>
    <row r="2121" spans="1:8" x14ac:dyDescent="0.25">
      <c r="A2121" s="31">
        <v>44639</v>
      </c>
      <c r="B2121" s="37" t="s">
        <v>9188</v>
      </c>
      <c r="C2121" s="51" t="s">
        <v>9</v>
      </c>
      <c r="D2121" s="52">
        <v>1980.8</v>
      </c>
      <c r="E2121" s="35">
        <v>44639</v>
      </c>
      <c r="F2121" s="52">
        <v>1980.8</v>
      </c>
      <c r="G2121" s="53">
        <f>Tabla14[[#This Row],[Importe]]-Tabla14[[#This Row],[Pagado]]</f>
        <v>0</v>
      </c>
      <c r="H2121" s="37" t="s">
        <v>10</v>
      </c>
    </row>
    <row r="2122" spans="1:8" x14ac:dyDescent="0.25">
      <c r="A2122" s="31">
        <v>44639</v>
      </c>
      <c r="B2122" s="37" t="s">
        <v>9189</v>
      </c>
      <c r="C2122" s="51" t="s">
        <v>71</v>
      </c>
      <c r="D2122" s="52">
        <v>4102.1000000000004</v>
      </c>
      <c r="E2122" s="35">
        <v>44639</v>
      </c>
      <c r="F2122" s="52">
        <v>4102.1000000000004</v>
      </c>
      <c r="G2122" s="53">
        <f>Tabla14[[#This Row],[Importe]]-Tabla14[[#This Row],[Pagado]]</f>
        <v>0</v>
      </c>
      <c r="H2122" s="37" t="s">
        <v>10</v>
      </c>
    </row>
    <row r="2123" spans="1:8" x14ac:dyDescent="0.25">
      <c r="A2123" s="31">
        <v>44639</v>
      </c>
      <c r="B2123" s="37" t="s">
        <v>9190</v>
      </c>
      <c r="C2123" s="51" t="s">
        <v>857</v>
      </c>
      <c r="D2123" s="52">
        <v>1368.5</v>
      </c>
      <c r="E2123" s="35">
        <v>44639</v>
      </c>
      <c r="F2123" s="52">
        <v>1368.5</v>
      </c>
      <c r="G2123" s="53">
        <f>Tabla14[[#This Row],[Importe]]-Tabla14[[#This Row],[Pagado]]</f>
        <v>0</v>
      </c>
      <c r="H2123" s="37" t="s">
        <v>10</v>
      </c>
    </row>
    <row r="2124" spans="1:8" x14ac:dyDescent="0.25">
      <c r="A2124" s="31">
        <v>44639</v>
      </c>
      <c r="B2124" s="37" t="s">
        <v>9191</v>
      </c>
      <c r="C2124" s="51" t="s">
        <v>555</v>
      </c>
      <c r="D2124" s="52">
        <v>32654.400000000001</v>
      </c>
      <c r="E2124" s="35">
        <v>44640</v>
      </c>
      <c r="F2124" s="52">
        <v>32654.400000000001</v>
      </c>
      <c r="G2124" s="53">
        <f>Tabla14[[#This Row],[Importe]]-Tabla14[[#This Row],[Pagado]]</f>
        <v>0</v>
      </c>
      <c r="H2124" s="37" t="s">
        <v>10</v>
      </c>
    </row>
    <row r="2125" spans="1:8" x14ac:dyDescent="0.25">
      <c r="A2125" s="31">
        <v>44639</v>
      </c>
      <c r="B2125" s="37" t="s">
        <v>9192</v>
      </c>
      <c r="C2125" s="51" t="s">
        <v>461</v>
      </c>
      <c r="D2125" s="52">
        <v>394</v>
      </c>
      <c r="E2125" s="35">
        <v>44639</v>
      </c>
      <c r="F2125" s="52">
        <v>394</v>
      </c>
      <c r="G2125" s="53">
        <f>Tabla14[[#This Row],[Importe]]-Tabla14[[#This Row],[Pagado]]</f>
        <v>0</v>
      </c>
      <c r="H2125" s="37" t="s">
        <v>10</v>
      </c>
    </row>
    <row r="2126" spans="1:8" x14ac:dyDescent="0.25">
      <c r="A2126" s="31">
        <v>44639</v>
      </c>
      <c r="B2126" s="37" t="s">
        <v>9193</v>
      </c>
      <c r="C2126" s="51" t="s">
        <v>463</v>
      </c>
      <c r="D2126" s="52">
        <v>550</v>
      </c>
      <c r="E2126" s="35">
        <v>44641</v>
      </c>
      <c r="F2126" s="52">
        <v>550</v>
      </c>
      <c r="G2126" s="53">
        <f>Tabla14[[#This Row],[Importe]]-Tabla14[[#This Row],[Pagado]]</f>
        <v>0</v>
      </c>
      <c r="H2126" s="37" t="s">
        <v>10</v>
      </c>
    </row>
    <row r="2127" spans="1:8" x14ac:dyDescent="0.25">
      <c r="A2127" s="31">
        <v>44639</v>
      </c>
      <c r="B2127" s="37" t="s">
        <v>9194</v>
      </c>
      <c r="C2127" s="51" t="s">
        <v>1174</v>
      </c>
      <c r="D2127" s="52">
        <v>43958.400000000001</v>
      </c>
      <c r="E2127" s="35">
        <v>44639</v>
      </c>
      <c r="F2127" s="52">
        <v>43958.400000000001</v>
      </c>
      <c r="G2127" s="53">
        <f>Tabla14[[#This Row],[Importe]]-Tabla14[[#This Row],[Pagado]]</f>
        <v>0</v>
      </c>
      <c r="H2127" s="37" t="s">
        <v>10</v>
      </c>
    </row>
    <row r="2128" spans="1:8" x14ac:dyDescent="0.25">
      <c r="A2128" s="31">
        <v>44639</v>
      </c>
      <c r="B2128" s="37" t="s">
        <v>9195</v>
      </c>
      <c r="C2128" s="51" t="s">
        <v>459</v>
      </c>
      <c r="D2128" s="52">
        <v>213</v>
      </c>
      <c r="E2128" s="35">
        <v>44639</v>
      </c>
      <c r="F2128" s="52">
        <v>213</v>
      </c>
      <c r="G2128" s="53">
        <f>Tabla14[[#This Row],[Importe]]-Tabla14[[#This Row],[Pagado]]</f>
        <v>0</v>
      </c>
      <c r="H2128" s="37" t="s">
        <v>10</v>
      </c>
    </row>
    <row r="2129" spans="1:8" x14ac:dyDescent="0.25">
      <c r="A2129" s="31">
        <v>44639</v>
      </c>
      <c r="B2129" s="37" t="s">
        <v>9196</v>
      </c>
      <c r="C2129" s="51" t="s">
        <v>457</v>
      </c>
      <c r="D2129" s="52">
        <v>198</v>
      </c>
      <c r="E2129" s="35">
        <v>44639</v>
      </c>
      <c r="F2129" s="52">
        <v>198</v>
      </c>
      <c r="G2129" s="53">
        <f>Tabla14[[#This Row],[Importe]]-Tabla14[[#This Row],[Pagado]]</f>
        <v>0</v>
      </c>
      <c r="H2129" s="37" t="s">
        <v>10</v>
      </c>
    </row>
    <row r="2130" spans="1:8" x14ac:dyDescent="0.25">
      <c r="A2130" s="31">
        <v>44639</v>
      </c>
      <c r="B2130" s="37" t="s">
        <v>9197</v>
      </c>
      <c r="C2130" s="51" t="s">
        <v>9198</v>
      </c>
      <c r="D2130" s="52">
        <v>0</v>
      </c>
      <c r="E2130" s="39" t="s">
        <v>189</v>
      </c>
      <c r="F2130" s="52">
        <v>0</v>
      </c>
      <c r="G2130" s="53">
        <f>Tabla14[[#This Row],[Importe]]-Tabla14[[#This Row],[Pagado]]</f>
        <v>0</v>
      </c>
      <c r="H2130" s="37" t="s">
        <v>189</v>
      </c>
    </row>
    <row r="2131" spans="1:8" x14ac:dyDescent="0.25">
      <c r="A2131" s="31">
        <v>44639</v>
      </c>
      <c r="B2131" s="37" t="s">
        <v>9199</v>
      </c>
      <c r="C2131" s="51" t="s">
        <v>31</v>
      </c>
      <c r="D2131" s="52">
        <v>5997.6</v>
      </c>
      <c r="E2131" s="35">
        <v>44639</v>
      </c>
      <c r="F2131" s="52">
        <v>5997.6</v>
      </c>
      <c r="G2131" s="53">
        <f>Tabla14[[#This Row],[Importe]]-Tabla14[[#This Row],[Pagado]]</f>
        <v>0</v>
      </c>
      <c r="H2131" s="37" t="s">
        <v>10</v>
      </c>
    </row>
    <row r="2132" spans="1:8" x14ac:dyDescent="0.25">
      <c r="A2132" s="31">
        <v>44639</v>
      </c>
      <c r="B2132" s="37" t="s">
        <v>9200</v>
      </c>
      <c r="C2132" s="51" t="s">
        <v>35</v>
      </c>
      <c r="D2132" s="52">
        <v>2072.4</v>
      </c>
      <c r="E2132" s="35">
        <v>44639</v>
      </c>
      <c r="F2132" s="52">
        <v>2072.4</v>
      </c>
      <c r="G2132" s="53">
        <f>Tabla14[[#This Row],[Importe]]-Tabla14[[#This Row],[Pagado]]</f>
        <v>0</v>
      </c>
      <c r="H2132" s="37" t="s">
        <v>10</v>
      </c>
    </row>
    <row r="2133" spans="1:8" x14ac:dyDescent="0.25">
      <c r="A2133" s="31">
        <v>44639</v>
      </c>
      <c r="B2133" s="37" t="s">
        <v>9201</v>
      </c>
      <c r="C2133" s="51" t="s">
        <v>31</v>
      </c>
      <c r="D2133" s="52">
        <v>108</v>
      </c>
      <c r="E2133" s="35">
        <v>44639</v>
      </c>
      <c r="F2133" s="52">
        <v>108</v>
      </c>
      <c r="G2133" s="53">
        <f>Tabla14[[#This Row],[Importe]]-Tabla14[[#This Row],[Pagado]]</f>
        <v>0</v>
      </c>
      <c r="H2133" s="37" t="s">
        <v>10</v>
      </c>
    </row>
    <row r="2134" spans="1:8" x14ac:dyDescent="0.25">
      <c r="A2134" s="31">
        <v>44639</v>
      </c>
      <c r="B2134" s="37" t="s">
        <v>9202</v>
      </c>
      <c r="C2134" s="51" t="s">
        <v>31</v>
      </c>
      <c r="D2134" s="52">
        <v>162</v>
      </c>
      <c r="E2134" s="35">
        <v>44639</v>
      </c>
      <c r="F2134" s="52">
        <v>162</v>
      </c>
      <c r="G2134" s="53">
        <f>Tabla14[[#This Row],[Importe]]-Tabla14[[#This Row],[Pagado]]</f>
        <v>0</v>
      </c>
      <c r="H2134" s="37" t="s">
        <v>10</v>
      </c>
    </row>
    <row r="2135" spans="1:8" x14ac:dyDescent="0.25">
      <c r="A2135" s="31">
        <v>44639</v>
      </c>
      <c r="B2135" s="37" t="s">
        <v>9203</v>
      </c>
      <c r="C2135" s="51" t="s">
        <v>31</v>
      </c>
      <c r="D2135" s="52">
        <v>82</v>
      </c>
      <c r="E2135" s="35">
        <v>44644</v>
      </c>
      <c r="F2135" s="52">
        <v>82</v>
      </c>
      <c r="G2135" s="53">
        <f>Tabla14[[#This Row],[Importe]]-Tabla14[[#This Row],[Pagado]]</f>
        <v>0</v>
      </c>
      <c r="H2135" s="37" t="s">
        <v>10</v>
      </c>
    </row>
    <row r="2136" spans="1:8" x14ac:dyDescent="0.25">
      <c r="A2136" s="31">
        <v>44639</v>
      </c>
      <c r="B2136" s="37" t="s">
        <v>9204</v>
      </c>
      <c r="C2136" s="51" t="s">
        <v>58</v>
      </c>
      <c r="D2136" s="52">
        <v>2040</v>
      </c>
      <c r="E2136" s="35">
        <v>44639</v>
      </c>
      <c r="F2136" s="52">
        <v>2040</v>
      </c>
      <c r="G2136" s="53">
        <f>Tabla14[[#This Row],[Importe]]-Tabla14[[#This Row],[Pagado]]</f>
        <v>0</v>
      </c>
      <c r="H2136" s="37" t="s">
        <v>10</v>
      </c>
    </row>
    <row r="2137" spans="1:8" x14ac:dyDescent="0.25">
      <c r="A2137" s="31">
        <v>44639</v>
      </c>
      <c r="B2137" s="37" t="s">
        <v>9205</v>
      </c>
      <c r="C2137" s="51" t="s">
        <v>196</v>
      </c>
      <c r="D2137" s="52">
        <v>2445.6</v>
      </c>
      <c r="E2137" s="35">
        <v>44647</v>
      </c>
      <c r="F2137" s="52">
        <v>2445.6</v>
      </c>
      <c r="G2137" s="53">
        <f>Tabla14[[#This Row],[Importe]]-Tabla14[[#This Row],[Pagado]]</f>
        <v>0</v>
      </c>
      <c r="H2137" s="37" t="s">
        <v>10</v>
      </c>
    </row>
    <row r="2138" spans="1:8" ht="31.5" x14ac:dyDescent="0.25">
      <c r="A2138" s="31">
        <v>44639</v>
      </c>
      <c r="B2138" s="37" t="s">
        <v>9206</v>
      </c>
      <c r="C2138" s="51" t="s">
        <v>2020</v>
      </c>
      <c r="D2138" s="52">
        <v>32814.99</v>
      </c>
      <c r="E2138" s="35" t="s">
        <v>9207</v>
      </c>
      <c r="F2138" s="52">
        <f>18900+13914.99</f>
        <v>32814.99</v>
      </c>
      <c r="G2138" s="53">
        <f>Tabla14[[#This Row],[Importe]]-Tabla14[[#This Row],[Pagado]]</f>
        <v>0</v>
      </c>
      <c r="H2138" s="37" t="s">
        <v>10</v>
      </c>
    </row>
    <row r="2139" spans="1:8" x14ac:dyDescent="0.25">
      <c r="A2139" s="31">
        <v>44639</v>
      </c>
      <c r="B2139" s="37" t="s">
        <v>9208</v>
      </c>
      <c r="C2139" s="51" t="s">
        <v>179</v>
      </c>
      <c r="D2139" s="52">
        <v>1080</v>
      </c>
      <c r="E2139" s="35">
        <v>44641</v>
      </c>
      <c r="F2139" s="52">
        <v>1080</v>
      </c>
      <c r="G2139" s="53">
        <f>Tabla14[[#This Row],[Importe]]-Tabla14[[#This Row],[Pagado]]</f>
        <v>0</v>
      </c>
      <c r="H2139" s="37" t="s">
        <v>10</v>
      </c>
    </row>
    <row r="2140" spans="1:8" x14ac:dyDescent="0.25">
      <c r="A2140" s="31">
        <v>44640</v>
      </c>
      <c r="B2140" s="37" t="s">
        <v>9209</v>
      </c>
      <c r="C2140" s="51" t="s">
        <v>9</v>
      </c>
      <c r="D2140" s="52">
        <v>7349.6</v>
      </c>
      <c r="E2140" s="35">
        <v>44640</v>
      </c>
      <c r="F2140" s="52">
        <v>7349.6</v>
      </c>
      <c r="G2140" s="53">
        <f>Tabla14[[#This Row],[Importe]]-Tabla14[[#This Row],[Pagado]]</f>
        <v>0</v>
      </c>
      <c r="H2140" s="37" t="s">
        <v>10</v>
      </c>
    </row>
    <row r="2141" spans="1:8" x14ac:dyDescent="0.25">
      <c r="A2141" s="31">
        <v>44640</v>
      </c>
      <c r="B2141" s="37" t="s">
        <v>9210</v>
      </c>
      <c r="C2141" s="51" t="s">
        <v>1187</v>
      </c>
      <c r="D2141" s="52">
        <v>2029.8</v>
      </c>
      <c r="E2141" s="35">
        <v>44640</v>
      </c>
      <c r="F2141" s="52">
        <v>2029.8</v>
      </c>
      <c r="G2141" s="53">
        <f>Tabla14[[#This Row],[Importe]]-Tabla14[[#This Row],[Pagado]]</f>
        <v>0</v>
      </c>
      <c r="H2141" s="37" t="s">
        <v>10</v>
      </c>
    </row>
    <row r="2142" spans="1:8" x14ac:dyDescent="0.25">
      <c r="A2142" s="31">
        <v>44640</v>
      </c>
      <c r="B2142" s="37" t="s">
        <v>9211</v>
      </c>
      <c r="C2142" s="51" t="s">
        <v>12</v>
      </c>
      <c r="D2142" s="52">
        <v>52708.55</v>
      </c>
      <c r="E2142" s="35">
        <v>44641</v>
      </c>
      <c r="F2142" s="52">
        <v>52708.55</v>
      </c>
      <c r="G2142" s="53">
        <f>Tabla14[[#This Row],[Importe]]-Tabla14[[#This Row],[Pagado]]</f>
        <v>0</v>
      </c>
      <c r="H2142" s="37" t="s">
        <v>10</v>
      </c>
    </row>
    <row r="2143" spans="1:8" x14ac:dyDescent="0.25">
      <c r="A2143" s="31">
        <v>44640</v>
      </c>
      <c r="B2143" s="37" t="s">
        <v>9212</v>
      </c>
      <c r="C2143" s="51" t="s">
        <v>31</v>
      </c>
      <c r="D2143" s="52">
        <v>4495.8</v>
      </c>
      <c r="E2143" s="35">
        <v>44640</v>
      </c>
      <c r="F2143" s="52">
        <v>4495.8</v>
      </c>
      <c r="G2143" s="53">
        <f>Tabla14[[#This Row],[Importe]]-Tabla14[[#This Row],[Pagado]]</f>
        <v>0</v>
      </c>
      <c r="H2143" s="37" t="s">
        <v>10</v>
      </c>
    </row>
    <row r="2144" spans="1:8" x14ac:dyDescent="0.25">
      <c r="A2144" s="31">
        <v>44640</v>
      </c>
      <c r="B2144" s="37" t="s">
        <v>9213</v>
      </c>
      <c r="C2144" s="51" t="s">
        <v>20</v>
      </c>
      <c r="D2144" s="52">
        <v>6179.6</v>
      </c>
      <c r="E2144" s="35">
        <v>44640</v>
      </c>
      <c r="F2144" s="52">
        <v>6179.6</v>
      </c>
      <c r="G2144" s="53">
        <f>Tabla14[[#This Row],[Importe]]-Tabla14[[#This Row],[Pagado]]</f>
        <v>0</v>
      </c>
      <c r="H2144" s="37" t="s">
        <v>10</v>
      </c>
    </row>
    <row r="2145" spans="1:8" x14ac:dyDescent="0.25">
      <c r="A2145" s="31">
        <v>44640</v>
      </c>
      <c r="B2145" s="37" t="s">
        <v>9214</v>
      </c>
      <c r="C2145" s="51" t="s">
        <v>27</v>
      </c>
      <c r="D2145" s="52">
        <v>2851</v>
      </c>
      <c r="E2145" s="35">
        <v>44640</v>
      </c>
      <c r="F2145" s="52">
        <v>2851</v>
      </c>
      <c r="G2145" s="53">
        <f>Tabla14[[#This Row],[Importe]]-Tabla14[[#This Row],[Pagado]]</f>
        <v>0</v>
      </c>
      <c r="H2145" s="37" t="s">
        <v>10</v>
      </c>
    </row>
    <row r="2146" spans="1:8" x14ac:dyDescent="0.25">
      <c r="A2146" s="31">
        <v>44640</v>
      </c>
      <c r="B2146" s="37" t="s">
        <v>9215</v>
      </c>
      <c r="C2146" s="51" t="s">
        <v>18</v>
      </c>
      <c r="D2146" s="52">
        <v>1298</v>
      </c>
      <c r="E2146" s="35">
        <v>44640</v>
      </c>
      <c r="F2146" s="52">
        <v>1298</v>
      </c>
      <c r="G2146" s="53">
        <f>Tabla14[[#This Row],[Importe]]-Tabla14[[#This Row],[Pagado]]</f>
        <v>0</v>
      </c>
      <c r="H2146" s="37" t="s">
        <v>10</v>
      </c>
    </row>
    <row r="2147" spans="1:8" x14ac:dyDescent="0.25">
      <c r="A2147" s="31">
        <v>44640</v>
      </c>
      <c r="B2147" s="37" t="s">
        <v>9216</v>
      </c>
      <c r="C2147" s="51" t="s">
        <v>16</v>
      </c>
      <c r="D2147" s="52">
        <v>9098.9</v>
      </c>
      <c r="E2147" s="35">
        <v>44640</v>
      </c>
      <c r="F2147" s="52">
        <v>9098.9</v>
      </c>
      <c r="G2147" s="53">
        <f>Tabla14[[#This Row],[Importe]]-Tabla14[[#This Row],[Pagado]]</f>
        <v>0</v>
      </c>
      <c r="H2147" s="37" t="s">
        <v>10</v>
      </c>
    </row>
    <row r="2148" spans="1:8" ht="31.5" x14ac:dyDescent="0.25">
      <c r="A2148" s="31">
        <v>44640</v>
      </c>
      <c r="B2148" s="37" t="s">
        <v>9217</v>
      </c>
      <c r="C2148" s="51" t="s">
        <v>475</v>
      </c>
      <c r="D2148" s="52">
        <v>44313.4</v>
      </c>
      <c r="E2148" s="35" t="s">
        <v>9218</v>
      </c>
      <c r="F2148" s="52">
        <f>22500+21813.4</f>
        <v>44313.4</v>
      </c>
      <c r="G2148" s="53">
        <f>Tabla14[[#This Row],[Importe]]-Tabla14[[#This Row],[Pagado]]</f>
        <v>0</v>
      </c>
      <c r="H2148" s="37" t="s">
        <v>10</v>
      </c>
    </row>
    <row r="2149" spans="1:8" x14ac:dyDescent="0.25">
      <c r="A2149" s="31">
        <v>44640</v>
      </c>
      <c r="B2149" s="37" t="s">
        <v>9219</v>
      </c>
      <c r="C2149" s="51" t="s">
        <v>2114</v>
      </c>
      <c r="D2149" s="52">
        <v>1339.9</v>
      </c>
      <c r="E2149" s="35">
        <v>44640</v>
      </c>
      <c r="F2149" s="52">
        <v>1339.9</v>
      </c>
      <c r="G2149" s="53">
        <f>Tabla14[[#This Row],[Importe]]-Tabla14[[#This Row],[Pagado]]</f>
        <v>0</v>
      </c>
      <c r="H2149" s="37" t="s">
        <v>10</v>
      </c>
    </row>
    <row r="2150" spans="1:8" ht="31.5" x14ac:dyDescent="0.25">
      <c r="A2150" s="31">
        <v>44640</v>
      </c>
      <c r="B2150" s="37" t="s">
        <v>9220</v>
      </c>
      <c r="C2150" s="51" t="s">
        <v>22</v>
      </c>
      <c r="D2150" s="52">
        <v>48579</v>
      </c>
      <c r="E2150" s="35" t="s">
        <v>9079</v>
      </c>
      <c r="F2150" s="52">
        <f>40000+8579</f>
        <v>48579</v>
      </c>
      <c r="G2150" s="53">
        <f>Tabla14[[#This Row],[Importe]]-Tabla14[[#This Row],[Pagado]]</f>
        <v>0</v>
      </c>
      <c r="H2150" s="37" t="s">
        <v>10</v>
      </c>
    </row>
    <row r="2151" spans="1:8" x14ac:dyDescent="0.25">
      <c r="A2151" s="31">
        <v>44640</v>
      </c>
      <c r="B2151" s="37" t="s">
        <v>9221</v>
      </c>
      <c r="C2151" s="51" t="s">
        <v>111</v>
      </c>
      <c r="D2151" s="52">
        <v>950.4</v>
      </c>
      <c r="E2151" s="35">
        <v>44640</v>
      </c>
      <c r="F2151" s="52">
        <v>950.4</v>
      </c>
      <c r="G2151" s="53">
        <f>Tabla14[[#This Row],[Importe]]-Tabla14[[#This Row],[Pagado]]</f>
        <v>0</v>
      </c>
      <c r="H2151" s="37" t="s">
        <v>10</v>
      </c>
    </row>
    <row r="2152" spans="1:8" x14ac:dyDescent="0.25">
      <c r="A2152" s="31">
        <v>44640</v>
      </c>
      <c r="B2152" s="37" t="s">
        <v>9222</v>
      </c>
      <c r="C2152" s="51" t="s">
        <v>29</v>
      </c>
      <c r="D2152" s="52">
        <v>6253.2</v>
      </c>
      <c r="E2152" s="35">
        <v>44640</v>
      </c>
      <c r="F2152" s="52">
        <v>6253.2</v>
      </c>
      <c r="G2152" s="53">
        <f>Tabla14[[#This Row],[Importe]]-Tabla14[[#This Row],[Pagado]]</f>
        <v>0</v>
      </c>
      <c r="H2152" s="37" t="s">
        <v>10</v>
      </c>
    </row>
    <row r="2153" spans="1:8" x14ac:dyDescent="0.25">
      <c r="A2153" s="31">
        <v>44640</v>
      </c>
      <c r="B2153" s="37" t="s">
        <v>9223</v>
      </c>
      <c r="C2153" s="51" t="s">
        <v>37</v>
      </c>
      <c r="D2153" s="52">
        <v>3618.4</v>
      </c>
      <c r="E2153" s="35">
        <v>44640</v>
      </c>
      <c r="F2153" s="52">
        <v>3618.4</v>
      </c>
      <c r="G2153" s="53">
        <f>Tabla14[[#This Row],[Importe]]-Tabla14[[#This Row],[Pagado]]</f>
        <v>0</v>
      </c>
      <c r="H2153" s="37" t="s">
        <v>10</v>
      </c>
    </row>
    <row r="2154" spans="1:8" x14ac:dyDescent="0.25">
      <c r="A2154" s="31">
        <v>44640</v>
      </c>
      <c r="B2154" s="37" t="s">
        <v>9224</v>
      </c>
      <c r="C2154" s="51" t="s">
        <v>31</v>
      </c>
      <c r="D2154" s="52">
        <v>817.6</v>
      </c>
      <c r="E2154" s="35">
        <v>44640</v>
      </c>
      <c r="F2154" s="52">
        <v>817.6</v>
      </c>
      <c r="G2154" s="53">
        <f>Tabla14[[#This Row],[Importe]]-Tabla14[[#This Row],[Pagado]]</f>
        <v>0</v>
      </c>
      <c r="H2154" s="37" t="s">
        <v>10</v>
      </c>
    </row>
    <row r="2155" spans="1:8" x14ac:dyDescent="0.25">
      <c r="A2155" s="31">
        <v>44640</v>
      </c>
      <c r="B2155" s="37" t="s">
        <v>9225</v>
      </c>
      <c r="C2155" s="51" t="s">
        <v>481</v>
      </c>
      <c r="D2155" s="52">
        <v>1031</v>
      </c>
      <c r="E2155" s="35">
        <v>44640</v>
      </c>
      <c r="F2155" s="52">
        <v>1031</v>
      </c>
      <c r="G2155" s="53">
        <f>Tabla14[[#This Row],[Importe]]-Tabla14[[#This Row],[Pagado]]</f>
        <v>0</v>
      </c>
      <c r="H2155" s="37" t="s">
        <v>10</v>
      </c>
    </row>
    <row r="2156" spans="1:8" x14ac:dyDescent="0.25">
      <c r="A2156" s="31">
        <v>44640</v>
      </c>
      <c r="B2156" s="37" t="s">
        <v>9226</v>
      </c>
      <c r="C2156" s="51" t="s">
        <v>49</v>
      </c>
      <c r="D2156" s="52">
        <v>3748.3</v>
      </c>
      <c r="E2156" s="35">
        <v>44640</v>
      </c>
      <c r="F2156" s="52">
        <v>3748.3</v>
      </c>
      <c r="G2156" s="53">
        <f>Tabla14[[#This Row],[Importe]]-Tabla14[[#This Row],[Pagado]]</f>
        <v>0</v>
      </c>
      <c r="H2156" s="37" t="s">
        <v>10</v>
      </c>
    </row>
    <row r="2157" spans="1:8" x14ac:dyDescent="0.25">
      <c r="A2157" s="31">
        <v>44640</v>
      </c>
      <c r="B2157" s="37" t="s">
        <v>9227</v>
      </c>
      <c r="C2157" s="51" t="s">
        <v>435</v>
      </c>
      <c r="D2157" s="52">
        <v>3068.8</v>
      </c>
      <c r="E2157" s="35">
        <v>44640</v>
      </c>
      <c r="F2157" s="52">
        <v>3068.8</v>
      </c>
      <c r="G2157" s="53">
        <f>Tabla14[[#This Row],[Importe]]-Tabla14[[#This Row],[Pagado]]</f>
        <v>0</v>
      </c>
      <c r="H2157" s="37" t="s">
        <v>10</v>
      </c>
    </row>
    <row r="2158" spans="1:8" x14ac:dyDescent="0.25">
      <c r="A2158" s="31">
        <v>44640</v>
      </c>
      <c r="B2158" s="37" t="s">
        <v>9228</v>
      </c>
      <c r="C2158" s="51" t="s">
        <v>373</v>
      </c>
      <c r="D2158" s="52">
        <v>378</v>
      </c>
      <c r="E2158" s="35">
        <v>44640</v>
      </c>
      <c r="F2158" s="52">
        <v>378</v>
      </c>
      <c r="G2158" s="53">
        <f>Tabla14[[#This Row],[Importe]]-Tabla14[[#This Row],[Pagado]]</f>
        <v>0</v>
      </c>
      <c r="H2158" s="37" t="s">
        <v>10</v>
      </c>
    </row>
    <row r="2159" spans="1:8" x14ac:dyDescent="0.25">
      <c r="A2159" s="31">
        <v>44640</v>
      </c>
      <c r="B2159" s="37" t="s">
        <v>9229</v>
      </c>
      <c r="C2159" s="51" t="s">
        <v>31</v>
      </c>
      <c r="D2159" s="52">
        <v>1085</v>
      </c>
      <c r="E2159" s="35">
        <v>44640</v>
      </c>
      <c r="F2159" s="52">
        <v>1085</v>
      </c>
      <c r="G2159" s="53">
        <f>Tabla14[[#This Row],[Importe]]-Tabla14[[#This Row],[Pagado]]</f>
        <v>0</v>
      </c>
      <c r="H2159" s="37" t="s">
        <v>10</v>
      </c>
    </row>
    <row r="2160" spans="1:8" x14ac:dyDescent="0.25">
      <c r="A2160" s="31">
        <v>44640</v>
      </c>
      <c r="B2160" s="37" t="s">
        <v>9230</v>
      </c>
      <c r="C2160" s="51" t="s">
        <v>161</v>
      </c>
      <c r="D2160" s="52">
        <v>3718.4</v>
      </c>
      <c r="E2160" s="35">
        <v>44640</v>
      </c>
      <c r="F2160" s="52">
        <v>3718.4</v>
      </c>
      <c r="G2160" s="53">
        <f>Tabla14[[#This Row],[Importe]]-Tabla14[[#This Row],[Pagado]]</f>
        <v>0</v>
      </c>
      <c r="H2160" s="37" t="s">
        <v>10</v>
      </c>
    </row>
    <row r="2161" spans="1:8" x14ac:dyDescent="0.25">
      <c r="A2161" s="31">
        <v>44640</v>
      </c>
      <c r="B2161" s="37" t="s">
        <v>9231</v>
      </c>
      <c r="C2161" s="51" t="s">
        <v>31</v>
      </c>
      <c r="D2161" s="52">
        <v>5496.1</v>
      </c>
      <c r="E2161" s="35">
        <v>44640</v>
      </c>
      <c r="F2161" s="52">
        <v>5496.1</v>
      </c>
      <c r="G2161" s="53">
        <f>Tabla14[[#This Row],[Importe]]-Tabla14[[#This Row],[Pagado]]</f>
        <v>0</v>
      </c>
      <c r="H2161" s="37" t="s">
        <v>10</v>
      </c>
    </row>
    <row r="2162" spans="1:8" x14ac:dyDescent="0.25">
      <c r="A2162" s="31">
        <v>44640</v>
      </c>
      <c r="B2162" s="37" t="s">
        <v>9232</v>
      </c>
      <c r="C2162" s="51" t="s">
        <v>45</v>
      </c>
      <c r="D2162" s="52">
        <v>8375.6</v>
      </c>
      <c r="E2162" s="35">
        <v>44640</v>
      </c>
      <c r="F2162" s="52">
        <v>8375.6</v>
      </c>
      <c r="G2162" s="53">
        <f>Tabla14[[#This Row],[Importe]]-Tabla14[[#This Row],[Pagado]]</f>
        <v>0</v>
      </c>
      <c r="H2162" s="37" t="s">
        <v>10</v>
      </c>
    </row>
    <row r="2163" spans="1:8" x14ac:dyDescent="0.25">
      <c r="A2163" s="31">
        <v>44640</v>
      </c>
      <c r="B2163" s="37" t="s">
        <v>9233</v>
      </c>
      <c r="C2163" s="51" t="s">
        <v>45</v>
      </c>
      <c r="D2163" s="52">
        <v>160</v>
      </c>
      <c r="E2163" s="35">
        <v>44640</v>
      </c>
      <c r="F2163" s="52">
        <v>160</v>
      </c>
      <c r="G2163" s="53">
        <f>Tabla14[[#This Row],[Importe]]-Tabla14[[#This Row],[Pagado]]</f>
        <v>0</v>
      </c>
      <c r="H2163" s="37" t="s">
        <v>10</v>
      </c>
    </row>
    <row r="2164" spans="1:8" x14ac:dyDescent="0.25">
      <c r="A2164" s="31">
        <v>44640</v>
      </c>
      <c r="B2164" s="37" t="s">
        <v>9234</v>
      </c>
      <c r="C2164" s="51" t="s">
        <v>501</v>
      </c>
      <c r="D2164" s="52">
        <v>7600</v>
      </c>
      <c r="E2164" s="35">
        <v>44640</v>
      </c>
      <c r="F2164" s="52">
        <v>7600</v>
      </c>
      <c r="G2164" s="53">
        <f>Tabla14[[#This Row],[Importe]]-Tabla14[[#This Row],[Pagado]]</f>
        <v>0</v>
      </c>
      <c r="H2164" s="37" t="s">
        <v>10</v>
      </c>
    </row>
    <row r="2165" spans="1:8" x14ac:dyDescent="0.25">
      <c r="A2165" s="31">
        <v>44640</v>
      </c>
      <c r="B2165" s="37" t="s">
        <v>9235</v>
      </c>
      <c r="C2165" s="51" t="s">
        <v>24</v>
      </c>
      <c r="D2165" s="52">
        <v>3379.3</v>
      </c>
      <c r="E2165" s="35">
        <v>44640</v>
      </c>
      <c r="F2165" s="52">
        <v>3379.3</v>
      </c>
      <c r="G2165" s="53">
        <f>Tabla14[[#This Row],[Importe]]-Tabla14[[#This Row],[Pagado]]</f>
        <v>0</v>
      </c>
      <c r="H2165" s="37" t="s">
        <v>10</v>
      </c>
    </row>
    <row r="2166" spans="1:8" x14ac:dyDescent="0.25">
      <c r="A2166" s="31">
        <v>44640</v>
      </c>
      <c r="B2166" s="37" t="s">
        <v>9236</v>
      </c>
      <c r="C2166" s="51" t="s">
        <v>191</v>
      </c>
      <c r="D2166" s="52">
        <v>1505.7</v>
      </c>
      <c r="E2166" s="35">
        <v>44640</v>
      </c>
      <c r="F2166" s="52">
        <v>1505.7</v>
      </c>
      <c r="G2166" s="53">
        <f>Tabla14[[#This Row],[Importe]]-Tabla14[[#This Row],[Pagado]]</f>
        <v>0</v>
      </c>
      <c r="H2166" s="37" t="s">
        <v>10</v>
      </c>
    </row>
    <row r="2167" spans="1:8" x14ac:dyDescent="0.25">
      <c r="A2167" s="31">
        <v>44640</v>
      </c>
      <c r="B2167" s="37" t="s">
        <v>9237</v>
      </c>
      <c r="C2167" s="51" t="s">
        <v>216</v>
      </c>
      <c r="D2167" s="52">
        <v>2505.6</v>
      </c>
      <c r="E2167" s="35">
        <v>44640</v>
      </c>
      <c r="F2167" s="52">
        <v>2505.6</v>
      </c>
      <c r="G2167" s="53">
        <f>Tabla14[[#This Row],[Importe]]-Tabla14[[#This Row],[Pagado]]</f>
        <v>0</v>
      </c>
      <c r="H2167" s="37" t="s">
        <v>10</v>
      </c>
    </row>
    <row r="2168" spans="1:8" x14ac:dyDescent="0.25">
      <c r="A2168" s="31">
        <v>44640</v>
      </c>
      <c r="B2168" s="37" t="s">
        <v>9238</v>
      </c>
      <c r="C2168" s="51" t="s">
        <v>56</v>
      </c>
      <c r="D2168" s="52">
        <v>7681.5</v>
      </c>
      <c r="E2168" s="35">
        <v>44640</v>
      </c>
      <c r="F2168" s="52">
        <v>7681.5</v>
      </c>
      <c r="G2168" s="53">
        <f>Tabla14[[#This Row],[Importe]]-Tabla14[[#This Row],[Pagado]]</f>
        <v>0</v>
      </c>
      <c r="H2168" s="37" t="s">
        <v>10</v>
      </c>
    </row>
    <row r="2169" spans="1:8" x14ac:dyDescent="0.25">
      <c r="A2169" s="31">
        <v>44640</v>
      </c>
      <c r="B2169" s="37" t="s">
        <v>9239</v>
      </c>
      <c r="C2169" s="51" t="s">
        <v>840</v>
      </c>
      <c r="D2169" s="52">
        <v>4728</v>
      </c>
      <c r="E2169" s="35">
        <v>44640</v>
      </c>
      <c r="F2169" s="52">
        <v>4728</v>
      </c>
      <c r="G2169" s="53">
        <f>Tabla14[[#This Row],[Importe]]-Tabla14[[#This Row],[Pagado]]</f>
        <v>0</v>
      </c>
      <c r="H2169" s="37" t="s">
        <v>10</v>
      </c>
    </row>
    <row r="2170" spans="1:8" x14ac:dyDescent="0.25">
      <c r="A2170" s="31">
        <v>44640</v>
      </c>
      <c r="B2170" s="37" t="s">
        <v>9240</v>
      </c>
      <c r="C2170" s="51" t="s">
        <v>670</v>
      </c>
      <c r="D2170" s="52">
        <v>3119.2</v>
      </c>
      <c r="E2170" s="35">
        <v>44640</v>
      </c>
      <c r="F2170" s="52">
        <v>3119.2</v>
      </c>
      <c r="G2170" s="53">
        <f>Tabla14[[#This Row],[Importe]]-Tabla14[[#This Row],[Pagado]]</f>
        <v>0</v>
      </c>
      <c r="H2170" s="37" t="s">
        <v>10</v>
      </c>
    </row>
    <row r="2171" spans="1:8" x14ac:dyDescent="0.25">
      <c r="A2171" s="31">
        <v>44640</v>
      </c>
      <c r="B2171" s="37" t="s">
        <v>9241</v>
      </c>
      <c r="C2171" s="51" t="s">
        <v>58</v>
      </c>
      <c r="D2171" s="52">
        <v>6370</v>
      </c>
      <c r="E2171" s="35">
        <v>44640</v>
      </c>
      <c r="F2171" s="52">
        <v>6370</v>
      </c>
      <c r="G2171" s="53">
        <f>Tabla14[[#This Row],[Importe]]-Tabla14[[#This Row],[Pagado]]</f>
        <v>0</v>
      </c>
      <c r="H2171" s="37" t="s">
        <v>10</v>
      </c>
    </row>
    <row r="2172" spans="1:8" x14ac:dyDescent="0.25">
      <c r="A2172" s="31">
        <v>44640</v>
      </c>
      <c r="B2172" s="37" t="s">
        <v>9242</v>
      </c>
      <c r="C2172" s="51" t="s">
        <v>67</v>
      </c>
      <c r="D2172" s="52">
        <v>2323</v>
      </c>
      <c r="E2172" s="35">
        <v>44640</v>
      </c>
      <c r="F2172" s="52">
        <v>2323</v>
      </c>
      <c r="G2172" s="53">
        <f>Tabla14[[#This Row],[Importe]]-Tabla14[[#This Row],[Pagado]]</f>
        <v>0</v>
      </c>
      <c r="H2172" s="37" t="s">
        <v>10</v>
      </c>
    </row>
    <row r="2173" spans="1:8" x14ac:dyDescent="0.25">
      <c r="A2173" s="31">
        <v>44640</v>
      </c>
      <c r="B2173" s="37" t="s">
        <v>9243</v>
      </c>
      <c r="C2173" s="51" t="s">
        <v>53</v>
      </c>
      <c r="D2173" s="52">
        <v>2059.1</v>
      </c>
      <c r="E2173" s="35">
        <v>44640</v>
      </c>
      <c r="F2173" s="52">
        <v>2059.1</v>
      </c>
      <c r="G2173" s="53">
        <f>Tabla14[[#This Row],[Importe]]-Tabla14[[#This Row],[Pagado]]</f>
        <v>0</v>
      </c>
      <c r="H2173" s="37" t="s">
        <v>10</v>
      </c>
    </row>
    <row r="2174" spans="1:8" x14ac:dyDescent="0.25">
      <c r="A2174" s="31">
        <v>44640</v>
      </c>
      <c r="B2174" s="37" t="s">
        <v>9244</v>
      </c>
      <c r="C2174" s="51" t="s">
        <v>71</v>
      </c>
      <c r="D2174" s="52">
        <v>2955.9</v>
      </c>
      <c r="E2174" s="35">
        <v>44640</v>
      </c>
      <c r="F2174" s="52">
        <v>2955.9</v>
      </c>
      <c r="G2174" s="53">
        <f>Tabla14[[#This Row],[Importe]]-Tabla14[[#This Row],[Pagado]]</f>
        <v>0</v>
      </c>
      <c r="H2174" s="37" t="s">
        <v>10</v>
      </c>
    </row>
    <row r="2175" spans="1:8" x14ac:dyDescent="0.25">
      <c r="A2175" s="31">
        <v>44640</v>
      </c>
      <c r="B2175" s="37" t="s">
        <v>9245</v>
      </c>
      <c r="C2175" s="51" t="s">
        <v>69</v>
      </c>
      <c r="D2175" s="52">
        <v>2208.6</v>
      </c>
      <c r="E2175" s="35">
        <v>44640</v>
      </c>
      <c r="F2175" s="52">
        <v>2208.6</v>
      </c>
      <c r="G2175" s="53">
        <f>Tabla14[[#This Row],[Importe]]-Tabla14[[#This Row],[Pagado]]</f>
        <v>0</v>
      </c>
      <c r="H2175" s="37" t="s">
        <v>10</v>
      </c>
    </row>
    <row r="2176" spans="1:8" x14ac:dyDescent="0.25">
      <c r="A2176" s="31">
        <v>44640</v>
      </c>
      <c r="B2176" s="37" t="s">
        <v>9246</v>
      </c>
      <c r="C2176" s="51" t="s">
        <v>56</v>
      </c>
      <c r="D2176" s="52">
        <v>3225.9</v>
      </c>
      <c r="E2176" s="35">
        <v>44640</v>
      </c>
      <c r="F2176" s="52">
        <v>3225.9</v>
      </c>
      <c r="G2176" s="53">
        <f>Tabla14[[#This Row],[Importe]]-Tabla14[[#This Row],[Pagado]]</f>
        <v>0</v>
      </c>
      <c r="H2176" s="37" t="s">
        <v>10</v>
      </c>
    </row>
    <row r="2177" spans="1:8" x14ac:dyDescent="0.25">
      <c r="A2177" s="31">
        <v>44640</v>
      </c>
      <c r="B2177" s="37" t="s">
        <v>9247</v>
      </c>
      <c r="C2177" s="51" t="s">
        <v>39</v>
      </c>
      <c r="D2177" s="52">
        <v>399.6</v>
      </c>
      <c r="E2177" s="35">
        <v>44640</v>
      </c>
      <c r="F2177" s="52">
        <v>399.6</v>
      </c>
      <c r="G2177" s="53">
        <f>Tabla14[[#This Row],[Importe]]-Tabla14[[#This Row],[Pagado]]</f>
        <v>0</v>
      </c>
      <c r="H2177" s="37" t="s">
        <v>10</v>
      </c>
    </row>
    <row r="2178" spans="1:8" x14ac:dyDescent="0.25">
      <c r="A2178" s="31">
        <v>44640</v>
      </c>
      <c r="B2178" s="37" t="s">
        <v>9248</v>
      </c>
      <c r="C2178" s="51" t="s">
        <v>214</v>
      </c>
      <c r="D2178" s="52">
        <v>993.6</v>
      </c>
      <c r="E2178" s="35">
        <v>44640</v>
      </c>
      <c r="F2178" s="52">
        <v>993.6</v>
      </c>
      <c r="G2178" s="53">
        <f>Tabla14[[#This Row],[Importe]]-Tabla14[[#This Row],[Pagado]]</f>
        <v>0</v>
      </c>
      <c r="H2178" s="37" t="s">
        <v>10</v>
      </c>
    </row>
    <row r="2179" spans="1:8" x14ac:dyDescent="0.25">
      <c r="A2179" s="31">
        <v>44640</v>
      </c>
      <c r="B2179" s="37" t="s">
        <v>9249</v>
      </c>
      <c r="C2179" s="51" t="s">
        <v>12</v>
      </c>
      <c r="D2179" s="52">
        <v>302</v>
      </c>
      <c r="E2179" s="35">
        <v>44640</v>
      </c>
      <c r="F2179" s="52">
        <v>302</v>
      </c>
      <c r="G2179" s="53">
        <f>Tabla14[[#This Row],[Importe]]-Tabla14[[#This Row],[Pagado]]</f>
        <v>0</v>
      </c>
      <c r="H2179" s="37" t="s">
        <v>10</v>
      </c>
    </row>
    <row r="2180" spans="1:8" x14ac:dyDescent="0.25">
      <c r="A2180" s="31">
        <v>44640</v>
      </c>
      <c r="B2180" s="37" t="s">
        <v>9250</v>
      </c>
      <c r="C2180" s="51" t="s">
        <v>583</v>
      </c>
      <c r="D2180" s="52">
        <v>1288</v>
      </c>
      <c r="E2180" s="35">
        <v>44640</v>
      </c>
      <c r="F2180" s="52">
        <v>1288</v>
      </c>
      <c r="G2180" s="53">
        <f>Tabla14[[#This Row],[Importe]]-Tabla14[[#This Row],[Pagado]]</f>
        <v>0</v>
      </c>
      <c r="H2180" s="37" t="s">
        <v>10</v>
      </c>
    </row>
    <row r="2181" spans="1:8" x14ac:dyDescent="0.25">
      <c r="A2181" s="31">
        <v>44640</v>
      </c>
      <c r="B2181" s="37" t="s">
        <v>9251</v>
      </c>
      <c r="C2181" s="51" t="s">
        <v>27</v>
      </c>
      <c r="D2181" s="52">
        <v>793.8</v>
      </c>
      <c r="E2181" s="35">
        <v>44640</v>
      </c>
      <c r="F2181" s="52">
        <v>793.8</v>
      </c>
      <c r="G2181" s="53">
        <f>Tabla14[[#This Row],[Importe]]-Tabla14[[#This Row],[Pagado]]</f>
        <v>0</v>
      </c>
      <c r="H2181" s="37" t="s">
        <v>10</v>
      </c>
    </row>
    <row r="2182" spans="1:8" x14ac:dyDescent="0.25">
      <c r="A2182" s="31">
        <v>44640</v>
      </c>
      <c r="B2182" s="37" t="s">
        <v>9252</v>
      </c>
      <c r="C2182" s="51" t="s">
        <v>31</v>
      </c>
      <c r="D2182" s="52">
        <v>2997.2</v>
      </c>
      <c r="E2182" s="35">
        <v>44640</v>
      </c>
      <c r="F2182" s="52">
        <v>2997.2</v>
      </c>
      <c r="G2182" s="53">
        <f>Tabla14[[#This Row],[Importe]]-Tabla14[[#This Row],[Pagado]]</f>
        <v>0</v>
      </c>
      <c r="H2182" s="37" t="s">
        <v>10</v>
      </c>
    </row>
    <row r="2183" spans="1:8" x14ac:dyDescent="0.25">
      <c r="A2183" s="31">
        <v>44640</v>
      </c>
      <c r="B2183" s="37" t="s">
        <v>9253</v>
      </c>
      <c r="C2183" s="51" t="s">
        <v>31</v>
      </c>
      <c r="D2183" s="52">
        <v>130</v>
      </c>
      <c r="E2183" s="35">
        <v>44641</v>
      </c>
      <c r="F2183" s="52">
        <v>130</v>
      </c>
      <c r="G2183" s="53">
        <f>Tabla14[[#This Row],[Importe]]-Tabla14[[#This Row],[Pagado]]</f>
        <v>0</v>
      </c>
      <c r="H2183" s="37" t="s">
        <v>10</v>
      </c>
    </row>
    <row r="2184" spans="1:8" x14ac:dyDescent="0.25">
      <c r="A2184" s="31">
        <v>44640</v>
      </c>
      <c r="B2184" s="37" t="s">
        <v>9254</v>
      </c>
      <c r="C2184" s="51" t="s">
        <v>31</v>
      </c>
      <c r="D2184" s="52">
        <v>26</v>
      </c>
      <c r="E2184" s="35">
        <v>44641</v>
      </c>
      <c r="F2184" s="52">
        <v>26</v>
      </c>
      <c r="G2184" s="53">
        <f>Tabla14[[#This Row],[Importe]]-Tabla14[[#This Row],[Pagado]]</f>
        <v>0</v>
      </c>
      <c r="H2184" s="37" t="s">
        <v>10</v>
      </c>
    </row>
    <row r="2185" spans="1:8" x14ac:dyDescent="0.25">
      <c r="A2185" s="31">
        <v>44640</v>
      </c>
      <c r="B2185" s="37" t="s">
        <v>9255</v>
      </c>
      <c r="C2185" s="51" t="s">
        <v>31</v>
      </c>
      <c r="D2185" s="52">
        <v>93.6</v>
      </c>
      <c r="E2185" s="35">
        <v>44641</v>
      </c>
      <c r="F2185" s="52">
        <v>93.6</v>
      </c>
      <c r="G2185" s="53">
        <f>Tabla14[[#This Row],[Importe]]-Tabla14[[#This Row],[Pagado]]</f>
        <v>0</v>
      </c>
      <c r="H2185" s="37" t="s">
        <v>10</v>
      </c>
    </row>
    <row r="2186" spans="1:8" x14ac:dyDescent="0.25">
      <c r="A2186" s="31">
        <v>44641</v>
      </c>
      <c r="B2186" s="37" t="s">
        <v>9256</v>
      </c>
      <c r="C2186" s="51" t="s">
        <v>22</v>
      </c>
      <c r="D2186" s="52">
        <v>59547.8</v>
      </c>
      <c r="E2186" s="35">
        <v>44642</v>
      </c>
      <c r="F2186" s="52">
        <v>59547.8</v>
      </c>
      <c r="G2186" s="53">
        <f>Tabla14[[#This Row],[Importe]]-Tabla14[[#This Row],[Pagado]]</f>
        <v>0</v>
      </c>
      <c r="H2186" s="37" t="s">
        <v>10</v>
      </c>
    </row>
    <row r="2187" spans="1:8" x14ac:dyDescent="0.25">
      <c r="A2187" s="31">
        <v>44641</v>
      </c>
      <c r="B2187" s="37" t="s">
        <v>9257</v>
      </c>
      <c r="C2187" s="51" t="s">
        <v>481</v>
      </c>
      <c r="D2187" s="52">
        <v>1398.3</v>
      </c>
      <c r="E2187" s="35">
        <v>44641</v>
      </c>
      <c r="F2187" s="52">
        <v>1398.3</v>
      </c>
      <c r="G2187" s="53">
        <f>Tabla14[[#This Row],[Importe]]-Tabla14[[#This Row],[Pagado]]</f>
        <v>0</v>
      </c>
      <c r="H2187" s="37" t="s">
        <v>10</v>
      </c>
    </row>
    <row r="2188" spans="1:8" ht="31.5" x14ac:dyDescent="0.25">
      <c r="A2188" s="31">
        <v>44641</v>
      </c>
      <c r="B2188" s="37" t="s">
        <v>9258</v>
      </c>
      <c r="C2188" s="51" t="s">
        <v>475</v>
      </c>
      <c r="D2188" s="52">
        <v>98033.2</v>
      </c>
      <c r="E2188" s="35" t="s">
        <v>9259</v>
      </c>
      <c r="F2188" s="52">
        <f>50000+48033.2</f>
        <v>98033.2</v>
      </c>
      <c r="G2188" s="53">
        <f>Tabla14[[#This Row],[Importe]]-Tabla14[[#This Row],[Pagado]]</f>
        <v>0</v>
      </c>
      <c r="H2188" s="37" t="s">
        <v>10</v>
      </c>
    </row>
    <row r="2189" spans="1:8" x14ac:dyDescent="0.25">
      <c r="A2189" s="31">
        <v>44641</v>
      </c>
      <c r="B2189" s="37" t="s">
        <v>9260</v>
      </c>
      <c r="C2189" s="51" t="s">
        <v>12</v>
      </c>
      <c r="D2189" s="52">
        <v>54689.5</v>
      </c>
      <c r="E2189" s="35">
        <v>44642</v>
      </c>
      <c r="F2189" s="52">
        <v>54689.5</v>
      </c>
      <c r="G2189" s="53">
        <f>Tabla14[[#This Row],[Importe]]-Tabla14[[#This Row],[Pagado]]</f>
        <v>0</v>
      </c>
      <c r="H2189" s="37" t="s">
        <v>10</v>
      </c>
    </row>
    <row r="2190" spans="1:8" x14ac:dyDescent="0.25">
      <c r="A2190" s="31">
        <v>44641</v>
      </c>
      <c r="B2190" s="37" t="s">
        <v>9261</v>
      </c>
      <c r="C2190" s="51" t="s">
        <v>9</v>
      </c>
      <c r="D2190" s="52">
        <v>5495.2</v>
      </c>
      <c r="E2190" s="35">
        <v>44641</v>
      </c>
      <c r="F2190" s="52">
        <v>5495.2</v>
      </c>
      <c r="G2190" s="53">
        <f>Tabla14[[#This Row],[Importe]]-Tabla14[[#This Row],[Pagado]]</f>
        <v>0</v>
      </c>
      <c r="H2190" s="37" t="s">
        <v>10</v>
      </c>
    </row>
    <row r="2191" spans="1:8" x14ac:dyDescent="0.25">
      <c r="A2191" s="31">
        <v>44641</v>
      </c>
      <c r="B2191" s="37" t="s">
        <v>9262</v>
      </c>
      <c r="C2191" s="51" t="s">
        <v>83</v>
      </c>
      <c r="D2191" s="52">
        <v>8848</v>
      </c>
      <c r="E2191" s="35">
        <v>44641</v>
      </c>
      <c r="F2191" s="52">
        <v>8848</v>
      </c>
      <c r="G2191" s="53">
        <f>Tabla14[[#This Row],[Importe]]-Tabla14[[#This Row],[Pagado]]</f>
        <v>0</v>
      </c>
      <c r="H2191" s="37" t="s">
        <v>10</v>
      </c>
    </row>
    <row r="2192" spans="1:8" x14ac:dyDescent="0.25">
      <c r="A2192" s="31">
        <v>44641</v>
      </c>
      <c r="B2192" s="37" t="s">
        <v>9263</v>
      </c>
      <c r="C2192" s="51" t="s">
        <v>131</v>
      </c>
      <c r="D2192" s="52">
        <v>6678</v>
      </c>
      <c r="E2192" s="35">
        <v>44641</v>
      </c>
      <c r="F2192" s="52">
        <v>6678</v>
      </c>
      <c r="G2192" s="53">
        <f>Tabla14[[#This Row],[Importe]]-Tabla14[[#This Row],[Pagado]]</f>
        <v>0</v>
      </c>
      <c r="H2192" s="37" t="s">
        <v>10</v>
      </c>
    </row>
    <row r="2193" spans="1:8" x14ac:dyDescent="0.25">
      <c r="A2193" s="31">
        <v>44641</v>
      </c>
      <c r="B2193" s="37" t="s">
        <v>9264</v>
      </c>
      <c r="C2193" s="51" t="s">
        <v>75</v>
      </c>
      <c r="D2193" s="52">
        <v>6760.8</v>
      </c>
      <c r="E2193" s="35">
        <v>44641</v>
      </c>
      <c r="F2193" s="52">
        <v>6760.8</v>
      </c>
      <c r="G2193" s="53">
        <f>Tabla14[[#This Row],[Importe]]-Tabla14[[#This Row],[Pagado]]</f>
        <v>0</v>
      </c>
      <c r="H2193" s="37" t="s">
        <v>10</v>
      </c>
    </row>
    <row r="2194" spans="1:8" x14ac:dyDescent="0.25">
      <c r="A2194" s="31">
        <v>44641</v>
      </c>
      <c r="B2194" s="37" t="s">
        <v>9265</v>
      </c>
      <c r="C2194" s="51" t="s">
        <v>31</v>
      </c>
      <c r="D2194" s="52">
        <v>2466.1999999999998</v>
      </c>
      <c r="E2194" s="35">
        <v>44641</v>
      </c>
      <c r="F2194" s="52">
        <v>2466.1999999999998</v>
      </c>
      <c r="G2194" s="53">
        <f>Tabla14[[#This Row],[Importe]]-Tabla14[[#This Row],[Pagado]]</f>
        <v>0</v>
      </c>
      <c r="H2194" s="37" t="s">
        <v>10</v>
      </c>
    </row>
    <row r="2195" spans="1:8" x14ac:dyDescent="0.25">
      <c r="A2195" s="31">
        <v>44641</v>
      </c>
      <c r="B2195" s="37" t="s">
        <v>9266</v>
      </c>
      <c r="C2195" s="51" t="s">
        <v>64</v>
      </c>
      <c r="D2195" s="52">
        <v>3720</v>
      </c>
      <c r="E2195" s="35">
        <v>44643</v>
      </c>
      <c r="F2195" s="52">
        <v>3720</v>
      </c>
      <c r="G2195" s="53">
        <f>Tabla14[[#This Row],[Importe]]-Tabla14[[#This Row],[Pagado]]</f>
        <v>0</v>
      </c>
      <c r="H2195" s="37" t="s">
        <v>10</v>
      </c>
    </row>
    <row r="2196" spans="1:8" x14ac:dyDescent="0.25">
      <c r="A2196" s="31">
        <v>44641</v>
      </c>
      <c r="B2196" s="37" t="s">
        <v>9267</v>
      </c>
      <c r="C2196" s="51" t="s">
        <v>373</v>
      </c>
      <c r="D2196" s="52">
        <v>9684</v>
      </c>
      <c r="E2196" s="35">
        <v>44642</v>
      </c>
      <c r="F2196" s="52">
        <v>9684</v>
      </c>
      <c r="G2196" s="53">
        <f>Tabla14[[#This Row],[Importe]]-Tabla14[[#This Row],[Pagado]]</f>
        <v>0</v>
      </c>
      <c r="H2196" s="37" t="s">
        <v>10</v>
      </c>
    </row>
    <row r="2197" spans="1:8" x14ac:dyDescent="0.25">
      <c r="A2197" s="31">
        <v>44641</v>
      </c>
      <c r="B2197" s="37" t="s">
        <v>9268</v>
      </c>
      <c r="C2197" s="51" t="s">
        <v>348</v>
      </c>
      <c r="D2197" s="52">
        <v>2384</v>
      </c>
      <c r="E2197" s="35">
        <v>44641</v>
      </c>
      <c r="F2197" s="52">
        <v>2384</v>
      </c>
      <c r="G2197" s="53">
        <f>Tabla14[[#This Row],[Importe]]-Tabla14[[#This Row],[Pagado]]</f>
        <v>0</v>
      </c>
      <c r="H2197" s="37" t="s">
        <v>10</v>
      </c>
    </row>
    <row r="2198" spans="1:8" x14ac:dyDescent="0.25">
      <c r="A2198" s="31">
        <v>44641</v>
      </c>
      <c r="B2198" s="37" t="s">
        <v>9269</v>
      </c>
      <c r="C2198" s="51" t="s">
        <v>60</v>
      </c>
      <c r="D2198" s="52">
        <v>3720</v>
      </c>
      <c r="E2198" s="35">
        <v>44646</v>
      </c>
      <c r="F2198" s="52">
        <v>3720</v>
      </c>
      <c r="G2198" s="53">
        <f>Tabla14[[#This Row],[Importe]]-Tabla14[[#This Row],[Pagado]]</f>
        <v>0</v>
      </c>
      <c r="H2198" s="37" t="s">
        <v>10</v>
      </c>
    </row>
    <row r="2199" spans="1:8" x14ac:dyDescent="0.25">
      <c r="A2199" s="31">
        <v>44641</v>
      </c>
      <c r="B2199" s="37" t="s">
        <v>9270</v>
      </c>
      <c r="C2199" s="51" t="s">
        <v>114</v>
      </c>
      <c r="D2199" s="52">
        <v>4407.2</v>
      </c>
      <c r="E2199" s="35">
        <v>44642</v>
      </c>
      <c r="F2199" s="52">
        <v>4407.2</v>
      </c>
      <c r="G2199" s="53">
        <f>Tabla14[[#This Row],[Importe]]-Tabla14[[#This Row],[Pagado]]</f>
        <v>0</v>
      </c>
      <c r="H2199" s="37" t="s">
        <v>10</v>
      </c>
    </row>
    <row r="2200" spans="1:8" x14ac:dyDescent="0.25">
      <c r="A2200" s="31">
        <v>44641</v>
      </c>
      <c r="B2200" s="37" t="s">
        <v>9271</v>
      </c>
      <c r="C2200" s="51" t="s">
        <v>16</v>
      </c>
      <c r="D2200" s="52">
        <v>5449.7</v>
      </c>
      <c r="E2200" s="35">
        <v>44641</v>
      </c>
      <c r="F2200" s="52">
        <v>5449.7</v>
      </c>
      <c r="G2200" s="53">
        <f>Tabla14[[#This Row],[Importe]]-Tabla14[[#This Row],[Pagado]]</f>
        <v>0</v>
      </c>
      <c r="H2200" s="37" t="s">
        <v>10</v>
      </c>
    </row>
    <row r="2201" spans="1:8" x14ac:dyDescent="0.25">
      <c r="A2201" s="31">
        <v>44641</v>
      </c>
      <c r="B2201" s="37" t="s">
        <v>9272</v>
      </c>
      <c r="C2201" s="51" t="s">
        <v>87</v>
      </c>
      <c r="D2201" s="52">
        <v>2867</v>
      </c>
      <c r="E2201" s="35">
        <v>44641</v>
      </c>
      <c r="F2201" s="52">
        <v>2867</v>
      </c>
      <c r="G2201" s="53">
        <f>Tabla14[[#This Row],[Importe]]-Tabla14[[#This Row],[Pagado]]</f>
        <v>0</v>
      </c>
      <c r="H2201" s="37" t="s">
        <v>10</v>
      </c>
    </row>
    <row r="2202" spans="1:8" x14ac:dyDescent="0.25">
      <c r="A2202" s="31">
        <v>44641</v>
      </c>
      <c r="B2202" s="37" t="s">
        <v>9273</v>
      </c>
      <c r="C2202" s="51" t="s">
        <v>312</v>
      </c>
      <c r="D2202" s="52">
        <v>3556.2</v>
      </c>
      <c r="E2202" s="35">
        <v>44641</v>
      </c>
      <c r="F2202" s="52">
        <v>3556.2</v>
      </c>
      <c r="G2202" s="53">
        <f>Tabla14[[#This Row],[Importe]]-Tabla14[[#This Row],[Pagado]]</f>
        <v>0</v>
      </c>
      <c r="H2202" s="37" t="s">
        <v>10</v>
      </c>
    </row>
    <row r="2203" spans="1:8" x14ac:dyDescent="0.25">
      <c r="A2203" s="31">
        <v>44641</v>
      </c>
      <c r="B2203" s="37" t="s">
        <v>9274</v>
      </c>
      <c r="C2203" s="51" t="s">
        <v>198</v>
      </c>
      <c r="D2203" s="52">
        <v>3751.4</v>
      </c>
      <c r="E2203" s="35">
        <v>44641</v>
      </c>
      <c r="F2203" s="52">
        <v>3751.4</v>
      </c>
      <c r="G2203" s="53">
        <f>Tabla14[[#This Row],[Importe]]-Tabla14[[#This Row],[Pagado]]</f>
        <v>0</v>
      </c>
      <c r="H2203" s="37" t="s">
        <v>10</v>
      </c>
    </row>
    <row r="2204" spans="1:8" x14ac:dyDescent="0.25">
      <c r="A2204" s="31">
        <v>44641</v>
      </c>
      <c r="B2204" s="37" t="s">
        <v>9275</v>
      </c>
      <c r="C2204" s="51" t="s">
        <v>116</v>
      </c>
      <c r="D2204" s="52">
        <v>3630</v>
      </c>
      <c r="E2204" s="35">
        <v>44643</v>
      </c>
      <c r="F2204" s="52">
        <v>3630</v>
      </c>
      <c r="G2204" s="53">
        <f>Tabla14[[#This Row],[Importe]]-Tabla14[[#This Row],[Pagado]]</f>
        <v>0</v>
      </c>
      <c r="H2204" s="37" t="s">
        <v>10</v>
      </c>
    </row>
    <row r="2205" spans="1:8" x14ac:dyDescent="0.25">
      <c r="A2205" s="31">
        <v>44641</v>
      </c>
      <c r="B2205" s="37" t="s">
        <v>9276</v>
      </c>
      <c r="C2205" s="51" t="s">
        <v>326</v>
      </c>
      <c r="D2205" s="52">
        <v>3768</v>
      </c>
      <c r="E2205" s="35">
        <v>44642</v>
      </c>
      <c r="F2205" s="52">
        <v>3768</v>
      </c>
      <c r="G2205" s="53">
        <f>Tabla14[[#This Row],[Importe]]-Tabla14[[#This Row],[Pagado]]</f>
        <v>0</v>
      </c>
      <c r="H2205" s="37" t="s">
        <v>10</v>
      </c>
    </row>
    <row r="2206" spans="1:8" x14ac:dyDescent="0.25">
      <c r="A2206" s="31">
        <v>44641</v>
      </c>
      <c r="B2206" s="37" t="s">
        <v>9277</v>
      </c>
      <c r="C2206" s="51" t="s">
        <v>105</v>
      </c>
      <c r="D2206" s="52">
        <v>4118.3999999999996</v>
      </c>
      <c r="E2206" s="35">
        <v>44642</v>
      </c>
      <c r="F2206" s="52">
        <v>4118.3999999999996</v>
      </c>
      <c r="G2206" s="53">
        <f>Tabla14[[#This Row],[Importe]]-Tabla14[[#This Row],[Pagado]]</f>
        <v>0</v>
      </c>
      <c r="H2206" s="37" t="s">
        <v>10</v>
      </c>
    </row>
    <row r="2207" spans="1:8" x14ac:dyDescent="0.25">
      <c r="A2207" s="31">
        <v>44641</v>
      </c>
      <c r="B2207" s="37" t="s">
        <v>9278</v>
      </c>
      <c r="C2207" s="51" t="s">
        <v>97</v>
      </c>
      <c r="D2207" s="52">
        <v>8212.7999999999993</v>
      </c>
      <c r="E2207" s="35">
        <v>44642</v>
      </c>
      <c r="F2207" s="52">
        <v>8212.7999999999993</v>
      </c>
      <c r="G2207" s="53">
        <f>Tabla14[[#This Row],[Importe]]-Tabla14[[#This Row],[Pagado]]</f>
        <v>0</v>
      </c>
      <c r="H2207" s="37" t="s">
        <v>10</v>
      </c>
    </row>
    <row r="2208" spans="1:8" x14ac:dyDescent="0.25">
      <c r="A2208" s="31">
        <v>44641</v>
      </c>
      <c r="B2208" s="37" t="s">
        <v>9279</v>
      </c>
      <c r="C2208" s="51" t="s">
        <v>27</v>
      </c>
      <c r="D2208" s="52">
        <v>3220</v>
      </c>
      <c r="E2208" s="35">
        <v>44641</v>
      </c>
      <c r="F2208" s="52">
        <v>3220</v>
      </c>
      <c r="G2208" s="53">
        <f>Tabla14[[#This Row],[Importe]]-Tabla14[[#This Row],[Pagado]]</f>
        <v>0</v>
      </c>
      <c r="H2208" s="37" t="s">
        <v>10</v>
      </c>
    </row>
    <row r="2209" spans="1:8" x14ac:dyDescent="0.25">
      <c r="A2209" s="31">
        <v>44641</v>
      </c>
      <c r="B2209" s="37" t="s">
        <v>9280</v>
      </c>
      <c r="C2209" s="51" t="s">
        <v>109</v>
      </c>
      <c r="D2209" s="52">
        <v>3878.4</v>
      </c>
      <c r="E2209" s="35">
        <v>44642</v>
      </c>
      <c r="F2209" s="52">
        <v>3878.4</v>
      </c>
      <c r="G2209" s="53">
        <f>Tabla14[[#This Row],[Importe]]-Tabla14[[#This Row],[Pagado]]</f>
        <v>0</v>
      </c>
      <c r="H2209" s="37" t="s">
        <v>10</v>
      </c>
    </row>
    <row r="2210" spans="1:8" x14ac:dyDescent="0.25">
      <c r="A2210" s="31">
        <v>44641</v>
      </c>
      <c r="B2210" s="37" t="s">
        <v>9281</v>
      </c>
      <c r="C2210" s="51" t="s">
        <v>111</v>
      </c>
      <c r="D2210" s="52">
        <v>4075.2</v>
      </c>
      <c r="E2210" s="35">
        <v>44642</v>
      </c>
      <c r="F2210" s="52">
        <v>4075.2</v>
      </c>
      <c r="G2210" s="53">
        <f>Tabla14[[#This Row],[Importe]]-Tabla14[[#This Row],[Pagado]]</f>
        <v>0</v>
      </c>
      <c r="H2210" s="37" t="s">
        <v>10</v>
      </c>
    </row>
    <row r="2211" spans="1:8" x14ac:dyDescent="0.25">
      <c r="A2211" s="31">
        <v>44641</v>
      </c>
      <c r="B2211" s="37" t="s">
        <v>9282</v>
      </c>
      <c r="C2211" s="51" t="s">
        <v>196</v>
      </c>
      <c r="D2211" s="52">
        <v>99443</v>
      </c>
      <c r="E2211" s="35">
        <v>44647</v>
      </c>
      <c r="F2211" s="52">
        <v>99443</v>
      </c>
      <c r="G2211" s="53">
        <f>Tabla14[[#This Row],[Importe]]-Tabla14[[#This Row],[Pagado]]</f>
        <v>0</v>
      </c>
      <c r="H2211" s="37" t="s">
        <v>10</v>
      </c>
    </row>
    <row r="2212" spans="1:8" ht="31.5" x14ac:dyDescent="0.25">
      <c r="A2212" s="31">
        <v>44641</v>
      </c>
      <c r="B2212" s="37" t="s">
        <v>9283</v>
      </c>
      <c r="C2212" s="51" t="s">
        <v>93</v>
      </c>
      <c r="D2212" s="52">
        <v>6333.6</v>
      </c>
      <c r="E2212" s="35" t="s">
        <v>9091</v>
      </c>
      <c r="F2212" s="52">
        <f>2500+3833.6</f>
        <v>6333.6</v>
      </c>
      <c r="G2212" s="53">
        <f>Tabla14[[#This Row],[Importe]]-Tabla14[[#This Row],[Pagado]]</f>
        <v>0</v>
      </c>
      <c r="H2212" s="37" t="s">
        <v>10</v>
      </c>
    </row>
    <row r="2213" spans="1:8" x14ac:dyDescent="0.25">
      <c r="A2213" s="31">
        <v>44641</v>
      </c>
      <c r="B2213" s="37" t="s">
        <v>9284</v>
      </c>
      <c r="C2213" s="51" t="s">
        <v>99</v>
      </c>
      <c r="D2213" s="52">
        <v>4521.3</v>
      </c>
      <c r="E2213" s="35">
        <v>44642</v>
      </c>
      <c r="F2213" s="52">
        <v>4521.3</v>
      </c>
      <c r="G2213" s="53">
        <f>Tabla14[[#This Row],[Importe]]-Tabla14[[#This Row],[Pagado]]</f>
        <v>0</v>
      </c>
      <c r="H2213" s="37" t="s">
        <v>10</v>
      </c>
    </row>
    <row r="2214" spans="1:8" x14ac:dyDescent="0.25">
      <c r="A2214" s="31">
        <v>44641</v>
      </c>
      <c r="B2214" s="37" t="s">
        <v>9285</v>
      </c>
      <c r="C2214" s="51" t="s">
        <v>31</v>
      </c>
      <c r="D2214" s="52">
        <v>3920</v>
      </c>
      <c r="E2214" s="35">
        <v>44641</v>
      </c>
      <c r="F2214" s="52">
        <v>3920</v>
      </c>
      <c r="G2214" s="53">
        <f>Tabla14[[#This Row],[Importe]]-Tabla14[[#This Row],[Pagado]]</f>
        <v>0</v>
      </c>
      <c r="H2214" s="37" t="s">
        <v>10</v>
      </c>
    </row>
    <row r="2215" spans="1:8" x14ac:dyDescent="0.25">
      <c r="A2215" s="31">
        <v>44641</v>
      </c>
      <c r="B2215" s="37" t="s">
        <v>9286</v>
      </c>
      <c r="C2215" s="51" t="s">
        <v>142</v>
      </c>
      <c r="D2215" s="52">
        <v>129051.65</v>
      </c>
      <c r="E2215" s="35">
        <v>44670</v>
      </c>
      <c r="F2215" s="52">
        <v>129051.65</v>
      </c>
      <c r="G2215" s="53">
        <f>Tabla14[[#This Row],[Importe]]-Tabla14[[#This Row],[Pagado]]</f>
        <v>0</v>
      </c>
      <c r="H2215" s="37" t="s">
        <v>10</v>
      </c>
    </row>
    <row r="2216" spans="1:8" x14ac:dyDescent="0.25">
      <c r="A2216" s="31">
        <v>44641</v>
      </c>
      <c r="B2216" s="37" t="s">
        <v>9287</v>
      </c>
      <c r="C2216" s="51" t="s">
        <v>39</v>
      </c>
      <c r="D2216" s="52">
        <v>19350</v>
      </c>
      <c r="E2216" s="35">
        <v>44642</v>
      </c>
      <c r="F2216" s="52">
        <v>19350</v>
      </c>
      <c r="G2216" s="53">
        <f>Tabla14[[#This Row],[Importe]]-Tabla14[[#This Row],[Pagado]]</f>
        <v>0</v>
      </c>
      <c r="H2216" s="37" t="s">
        <v>10</v>
      </c>
    </row>
    <row r="2217" spans="1:8" x14ac:dyDescent="0.25">
      <c r="A2217" s="31">
        <v>44641</v>
      </c>
      <c r="B2217" s="37" t="s">
        <v>9288</v>
      </c>
      <c r="C2217" s="51" t="s">
        <v>924</v>
      </c>
      <c r="D2217" s="52">
        <v>7333.8</v>
      </c>
      <c r="E2217" s="35">
        <v>44641</v>
      </c>
      <c r="F2217" s="52">
        <v>7333.8</v>
      </c>
      <c r="G2217" s="53">
        <f>Tabla14[[#This Row],[Importe]]-Tabla14[[#This Row],[Pagado]]</f>
        <v>0</v>
      </c>
      <c r="H2217" s="37" t="s">
        <v>10</v>
      </c>
    </row>
    <row r="2218" spans="1:8" x14ac:dyDescent="0.25">
      <c r="A2218" s="31">
        <v>44641</v>
      </c>
      <c r="B2218" s="37" t="s">
        <v>9289</v>
      </c>
      <c r="C2218" s="51" t="s">
        <v>2151</v>
      </c>
      <c r="D2218" s="52">
        <v>15183.2</v>
      </c>
      <c r="E2218" s="35">
        <v>44641</v>
      </c>
      <c r="F2218" s="52">
        <v>15183.2</v>
      </c>
      <c r="G2218" s="53">
        <f>Tabla14[[#This Row],[Importe]]-Tabla14[[#This Row],[Pagado]]</f>
        <v>0</v>
      </c>
      <c r="H2218" s="37" t="s">
        <v>10</v>
      </c>
    </row>
    <row r="2219" spans="1:8" x14ac:dyDescent="0.25">
      <c r="A2219" s="31">
        <v>44641</v>
      </c>
      <c r="B2219" s="37" t="s">
        <v>9290</v>
      </c>
      <c r="C2219" s="51" t="s">
        <v>2151</v>
      </c>
      <c r="D2219" s="52">
        <v>23500.799999999999</v>
      </c>
      <c r="E2219" s="35">
        <v>44641</v>
      </c>
      <c r="F2219" s="52">
        <v>23500.799999999999</v>
      </c>
      <c r="G2219" s="53">
        <f>Tabla14[[#This Row],[Importe]]-Tabla14[[#This Row],[Pagado]]</f>
        <v>0</v>
      </c>
      <c r="H2219" s="37" t="s">
        <v>10</v>
      </c>
    </row>
    <row r="2220" spans="1:8" x14ac:dyDescent="0.25">
      <c r="A2220" s="31">
        <v>44641</v>
      </c>
      <c r="B2220" s="37" t="s">
        <v>9291</v>
      </c>
      <c r="C2220" s="51" t="s">
        <v>426</v>
      </c>
      <c r="D2220" s="52">
        <v>2902.8</v>
      </c>
      <c r="E2220" s="35">
        <v>44641</v>
      </c>
      <c r="F2220" s="52">
        <v>2902.8</v>
      </c>
      <c r="G2220" s="53">
        <f>Tabla14[[#This Row],[Importe]]-Tabla14[[#This Row],[Pagado]]</f>
        <v>0</v>
      </c>
      <c r="H2220" s="37" t="s">
        <v>10</v>
      </c>
    </row>
    <row r="2221" spans="1:8" x14ac:dyDescent="0.25">
      <c r="A2221" s="31">
        <v>44641</v>
      </c>
      <c r="B2221" s="37" t="s">
        <v>9292</v>
      </c>
      <c r="C2221" s="51" t="s">
        <v>200</v>
      </c>
      <c r="D2221" s="52">
        <v>1002.2</v>
      </c>
      <c r="E2221" s="35">
        <v>44641</v>
      </c>
      <c r="F2221" s="52">
        <v>1002.2</v>
      </c>
      <c r="G2221" s="53">
        <f>Tabla14[[#This Row],[Importe]]-Tabla14[[#This Row],[Pagado]]</f>
        <v>0</v>
      </c>
      <c r="H2221" s="37" t="s">
        <v>10</v>
      </c>
    </row>
    <row r="2222" spans="1:8" x14ac:dyDescent="0.25">
      <c r="A2222" s="31">
        <v>44641</v>
      </c>
      <c r="B2222" s="37" t="s">
        <v>9293</v>
      </c>
      <c r="C2222" s="51" t="s">
        <v>191</v>
      </c>
      <c r="D2222" s="52">
        <v>1421.9</v>
      </c>
      <c r="E2222" s="35">
        <v>44641</v>
      </c>
      <c r="F2222" s="52">
        <v>1421.9</v>
      </c>
      <c r="G2222" s="53">
        <f>Tabla14[[#This Row],[Importe]]-Tabla14[[#This Row],[Pagado]]</f>
        <v>0</v>
      </c>
      <c r="H2222" s="37" t="s">
        <v>10</v>
      </c>
    </row>
    <row r="2223" spans="1:8" x14ac:dyDescent="0.25">
      <c r="A2223" s="31">
        <v>44641</v>
      </c>
      <c r="B2223" s="37" t="s">
        <v>9294</v>
      </c>
      <c r="C2223" s="51" t="s">
        <v>142</v>
      </c>
      <c r="D2223" s="52">
        <v>9483.7999999999993</v>
      </c>
      <c r="E2223" s="35">
        <v>44670</v>
      </c>
      <c r="F2223" s="52">
        <v>9483.7999999999993</v>
      </c>
      <c r="G2223" s="53">
        <f>Tabla14[[#This Row],[Importe]]-Tabla14[[#This Row],[Pagado]]</f>
        <v>0</v>
      </c>
      <c r="H2223" s="37" t="s">
        <v>10</v>
      </c>
    </row>
    <row r="2224" spans="1:8" x14ac:dyDescent="0.25">
      <c r="A2224" s="31">
        <v>44641</v>
      </c>
      <c r="B2224" s="37" t="s">
        <v>9295</v>
      </c>
      <c r="C2224" s="51" t="s">
        <v>804</v>
      </c>
      <c r="D2224" s="52">
        <v>12070.4</v>
      </c>
      <c r="E2224" s="35">
        <v>44641</v>
      </c>
      <c r="F2224" s="52">
        <v>12070.4</v>
      </c>
      <c r="G2224" s="53">
        <f>Tabla14[[#This Row],[Importe]]-Tabla14[[#This Row],[Pagado]]</f>
        <v>0</v>
      </c>
      <c r="H2224" s="37" t="s">
        <v>10</v>
      </c>
    </row>
    <row r="2225" spans="1:8" x14ac:dyDescent="0.25">
      <c r="A2225" s="31">
        <v>44641</v>
      </c>
      <c r="B2225" s="37" t="s">
        <v>9296</v>
      </c>
      <c r="C2225" s="51" t="s">
        <v>777</v>
      </c>
      <c r="D2225" s="52">
        <v>1006.4</v>
      </c>
      <c r="E2225" s="35">
        <v>44641</v>
      </c>
      <c r="F2225" s="52">
        <v>1006.4</v>
      </c>
      <c r="G2225" s="53">
        <f>Tabla14[[#This Row],[Importe]]-Tabla14[[#This Row],[Pagado]]</f>
        <v>0</v>
      </c>
      <c r="H2225" s="37" t="s">
        <v>10</v>
      </c>
    </row>
    <row r="2226" spans="1:8" x14ac:dyDescent="0.25">
      <c r="A2226" s="31">
        <v>44641</v>
      </c>
      <c r="B2226" s="37" t="s">
        <v>9297</v>
      </c>
      <c r="C2226" s="51" t="s">
        <v>224</v>
      </c>
      <c r="D2226" s="52">
        <v>11347.3</v>
      </c>
      <c r="E2226" s="35">
        <v>44649</v>
      </c>
      <c r="F2226" s="52">
        <v>11347.3</v>
      </c>
      <c r="G2226" s="53">
        <f>Tabla14[[#This Row],[Importe]]-Tabla14[[#This Row],[Pagado]]</f>
        <v>0</v>
      </c>
      <c r="H2226" s="37" t="s">
        <v>10</v>
      </c>
    </row>
    <row r="2227" spans="1:8" x14ac:dyDescent="0.25">
      <c r="A2227" s="31">
        <v>44641</v>
      </c>
      <c r="B2227" s="37" t="s">
        <v>9298</v>
      </c>
      <c r="C2227" s="51" t="s">
        <v>212</v>
      </c>
      <c r="D2227" s="52">
        <v>17536.3</v>
      </c>
      <c r="E2227" s="35">
        <v>44646</v>
      </c>
      <c r="F2227" s="52">
        <v>17536.3</v>
      </c>
      <c r="G2227" s="53">
        <f>Tabla14[[#This Row],[Importe]]-Tabla14[[#This Row],[Pagado]]</f>
        <v>0</v>
      </c>
      <c r="H2227" s="37" t="s">
        <v>10</v>
      </c>
    </row>
    <row r="2228" spans="1:8" x14ac:dyDescent="0.25">
      <c r="A2228" s="31">
        <v>44641</v>
      </c>
      <c r="B2228" s="37" t="s">
        <v>9299</v>
      </c>
      <c r="C2228" s="51" t="s">
        <v>3971</v>
      </c>
      <c r="D2228" s="52">
        <v>965.2</v>
      </c>
      <c r="E2228" s="35">
        <v>44641</v>
      </c>
      <c r="F2228" s="52">
        <v>965.2</v>
      </c>
      <c r="G2228" s="53">
        <f>Tabla14[[#This Row],[Importe]]-Tabla14[[#This Row],[Pagado]]</f>
        <v>0</v>
      </c>
      <c r="H2228" s="37" t="s">
        <v>10</v>
      </c>
    </row>
    <row r="2229" spans="1:8" x14ac:dyDescent="0.25">
      <c r="A2229" s="31">
        <v>44641</v>
      </c>
      <c r="B2229" s="37" t="s">
        <v>9300</v>
      </c>
      <c r="C2229" s="51" t="s">
        <v>45</v>
      </c>
      <c r="D2229" s="52">
        <v>9586</v>
      </c>
      <c r="E2229" s="35">
        <v>44641</v>
      </c>
      <c r="F2229" s="52">
        <v>9586</v>
      </c>
      <c r="G2229" s="53">
        <f>Tabla14[[#This Row],[Importe]]-Tabla14[[#This Row],[Pagado]]</f>
        <v>0</v>
      </c>
      <c r="H2229" s="37" t="s">
        <v>10</v>
      </c>
    </row>
    <row r="2230" spans="1:8" x14ac:dyDescent="0.25">
      <c r="A2230" s="31">
        <v>44641</v>
      </c>
      <c r="B2230" s="37" t="s">
        <v>9301</v>
      </c>
      <c r="C2230" s="51" t="s">
        <v>14</v>
      </c>
      <c r="D2230" s="52">
        <v>18836.599999999999</v>
      </c>
      <c r="E2230" s="35">
        <v>44641</v>
      </c>
      <c r="F2230" s="52">
        <v>18836.599999999999</v>
      </c>
      <c r="G2230" s="53">
        <f>Tabla14[[#This Row],[Importe]]-Tabla14[[#This Row],[Pagado]]</f>
        <v>0</v>
      </c>
      <c r="H2230" s="37" t="s">
        <v>10</v>
      </c>
    </row>
    <row r="2231" spans="1:8" x14ac:dyDescent="0.25">
      <c r="A2231" s="31">
        <v>44641</v>
      </c>
      <c r="B2231" s="37" t="s">
        <v>9302</v>
      </c>
      <c r="C2231" s="51" t="s">
        <v>289</v>
      </c>
      <c r="D2231" s="52">
        <v>7551.2</v>
      </c>
      <c r="E2231" s="35">
        <v>44641</v>
      </c>
      <c r="F2231" s="52">
        <v>7551.2</v>
      </c>
      <c r="G2231" s="53">
        <f>Tabla14[[#This Row],[Importe]]-Tabla14[[#This Row],[Pagado]]</f>
        <v>0</v>
      </c>
      <c r="H2231" s="37" t="s">
        <v>10</v>
      </c>
    </row>
    <row r="2232" spans="1:8" x14ac:dyDescent="0.25">
      <c r="A2232" s="31">
        <v>44641</v>
      </c>
      <c r="B2232" s="37" t="s">
        <v>9303</v>
      </c>
      <c r="C2232" s="51" t="s">
        <v>154</v>
      </c>
      <c r="D2232" s="52">
        <v>38570.080000000002</v>
      </c>
      <c r="E2232" s="35">
        <v>44646</v>
      </c>
      <c r="F2232" s="52">
        <v>38570.080000000002</v>
      </c>
      <c r="G2232" s="53">
        <f>Tabla14[[#This Row],[Importe]]-Tabla14[[#This Row],[Pagado]]</f>
        <v>0</v>
      </c>
      <c r="H2232" s="37" t="s">
        <v>10</v>
      </c>
    </row>
    <row r="2233" spans="1:8" x14ac:dyDescent="0.25">
      <c r="A2233" s="31">
        <v>44641</v>
      </c>
      <c r="B2233" s="37" t="s">
        <v>9304</v>
      </c>
      <c r="C2233" s="51" t="s">
        <v>698</v>
      </c>
      <c r="D2233" s="52">
        <v>6521.8</v>
      </c>
      <c r="E2233" s="35">
        <v>44641</v>
      </c>
      <c r="F2233" s="52">
        <v>6521.8</v>
      </c>
      <c r="G2233" s="53">
        <f>Tabla14[[#This Row],[Importe]]-Tabla14[[#This Row],[Pagado]]</f>
        <v>0</v>
      </c>
      <c r="H2233" s="37" t="s">
        <v>10</v>
      </c>
    </row>
    <row r="2234" spans="1:8" x14ac:dyDescent="0.25">
      <c r="A2234" s="31">
        <v>44641</v>
      </c>
      <c r="B2234" s="37" t="s">
        <v>9305</v>
      </c>
      <c r="C2234" s="51" t="s">
        <v>49</v>
      </c>
      <c r="D2234" s="52">
        <v>1660.5</v>
      </c>
      <c r="E2234" s="35">
        <v>44641</v>
      </c>
      <c r="F2234" s="52">
        <v>1660.5</v>
      </c>
      <c r="G2234" s="53">
        <f>Tabla14[[#This Row],[Importe]]-Tabla14[[#This Row],[Pagado]]</f>
        <v>0</v>
      </c>
      <c r="H2234" s="37" t="s">
        <v>10</v>
      </c>
    </row>
    <row r="2235" spans="1:8" x14ac:dyDescent="0.25">
      <c r="A2235" s="31">
        <v>44641</v>
      </c>
      <c r="B2235" s="37" t="s">
        <v>9306</v>
      </c>
      <c r="C2235" s="51" t="s">
        <v>226</v>
      </c>
      <c r="D2235" s="52">
        <v>10499.2</v>
      </c>
      <c r="E2235" s="35">
        <v>44641</v>
      </c>
      <c r="F2235" s="52">
        <v>10499.2</v>
      </c>
      <c r="G2235" s="53">
        <f>Tabla14[[#This Row],[Importe]]-Tabla14[[#This Row],[Pagado]]</f>
        <v>0</v>
      </c>
      <c r="H2235" s="37" t="s">
        <v>10</v>
      </c>
    </row>
    <row r="2236" spans="1:8" x14ac:dyDescent="0.25">
      <c r="A2236" s="31">
        <v>44641</v>
      </c>
      <c r="B2236" s="37" t="s">
        <v>9307</v>
      </c>
      <c r="C2236" s="51" t="s">
        <v>107</v>
      </c>
      <c r="D2236" s="52">
        <v>12287.2</v>
      </c>
      <c r="E2236" s="35">
        <v>44641</v>
      </c>
      <c r="F2236" s="52">
        <v>12287.2</v>
      </c>
      <c r="G2236" s="53">
        <f>Tabla14[[#This Row],[Importe]]-Tabla14[[#This Row],[Pagado]]</f>
        <v>0</v>
      </c>
      <c r="H2236" s="37" t="s">
        <v>10</v>
      </c>
    </row>
    <row r="2237" spans="1:8" x14ac:dyDescent="0.25">
      <c r="A2237" s="31">
        <v>44641</v>
      </c>
      <c r="B2237" s="37" t="s">
        <v>9308</v>
      </c>
      <c r="C2237" s="51" t="s">
        <v>357</v>
      </c>
      <c r="D2237" s="52">
        <v>1034</v>
      </c>
      <c r="E2237" s="35">
        <v>44641</v>
      </c>
      <c r="F2237" s="52">
        <v>1034</v>
      </c>
      <c r="G2237" s="53">
        <f>Tabla14[[#This Row],[Importe]]-Tabla14[[#This Row],[Pagado]]</f>
        <v>0</v>
      </c>
      <c r="H2237" s="37" t="s">
        <v>10</v>
      </c>
    </row>
    <row r="2238" spans="1:8" x14ac:dyDescent="0.25">
      <c r="A2238" s="31">
        <v>44641</v>
      </c>
      <c r="B2238" s="37" t="s">
        <v>9309</v>
      </c>
      <c r="C2238" s="51" t="s">
        <v>24</v>
      </c>
      <c r="D2238" s="52">
        <v>3700.9</v>
      </c>
      <c r="E2238" s="35">
        <v>44641</v>
      </c>
      <c r="F2238" s="52">
        <v>3700.9</v>
      </c>
      <c r="G2238" s="53">
        <f>Tabla14[[#This Row],[Importe]]-Tabla14[[#This Row],[Pagado]]</f>
        <v>0</v>
      </c>
      <c r="H2238" s="37" t="s">
        <v>10</v>
      </c>
    </row>
    <row r="2239" spans="1:8" x14ac:dyDescent="0.25">
      <c r="A2239" s="31">
        <v>44641</v>
      </c>
      <c r="B2239" s="37" t="s">
        <v>9310</v>
      </c>
      <c r="C2239" s="51" t="s">
        <v>222</v>
      </c>
      <c r="D2239" s="52">
        <v>7486.2</v>
      </c>
      <c r="E2239" s="35">
        <v>44641</v>
      </c>
      <c r="F2239" s="52">
        <v>7486.2</v>
      </c>
      <c r="G2239" s="53">
        <f>Tabla14[[#This Row],[Importe]]-Tabla14[[#This Row],[Pagado]]</f>
        <v>0</v>
      </c>
      <c r="H2239" s="37" t="s">
        <v>10</v>
      </c>
    </row>
    <row r="2240" spans="1:8" x14ac:dyDescent="0.25">
      <c r="A2240" s="31">
        <v>44641</v>
      </c>
      <c r="B2240" s="37" t="s">
        <v>9311</v>
      </c>
      <c r="C2240" s="51" t="s">
        <v>140</v>
      </c>
      <c r="D2240" s="52">
        <v>3652.6</v>
      </c>
      <c r="E2240" s="35">
        <v>44641</v>
      </c>
      <c r="F2240" s="52">
        <v>3652.6</v>
      </c>
      <c r="G2240" s="53">
        <f>Tabla14[[#This Row],[Importe]]-Tabla14[[#This Row],[Pagado]]</f>
        <v>0</v>
      </c>
      <c r="H2240" s="37" t="s">
        <v>10</v>
      </c>
    </row>
    <row r="2241" spans="1:8" x14ac:dyDescent="0.25">
      <c r="A2241" s="31">
        <v>44641</v>
      </c>
      <c r="B2241" s="37" t="s">
        <v>9312</v>
      </c>
      <c r="C2241" s="51" t="s">
        <v>127</v>
      </c>
      <c r="D2241" s="52">
        <v>4980.8</v>
      </c>
      <c r="E2241" s="35">
        <v>44641</v>
      </c>
      <c r="F2241" s="52">
        <v>4980.8</v>
      </c>
      <c r="G2241" s="53">
        <f>Tabla14[[#This Row],[Importe]]-Tabla14[[#This Row],[Pagado]]</f>
        <v>0</v>
      </c>
      <c r="H2241" s="37" t="s">
        <v>10</v>
      </c>
    </row>
    <row r="2242" spans="1:8" x14ac:dyDescent="0.25">
      <c r="A2242" s="31">
        <v>44641</v>
      </c>
      <c r="B2242" s="37" t="s">
        <v>9313</v>
      </c>
      <c r="C2242" s="51" t="s">
        <v>129</v>
      </c>
      <c r="D2242" s="52">
        <v>3482.7</v>
      </c>
      <c r="E2242" s="35">
        <v>44641</v>
      </c>
      <c r="F2242" s="52">
        <v>3482.7</v>
      </c>
      <c r="G2242" s="53">
        <f>Tabla14[[#This Row],[Importe]]-Tabla14[[#This Row],[Pagado]]</f>
        <v>0</v>
      </c>
      <c r="H2242" s="37" t="s">
        <v>10</v>
      </c>
    </row>
    <row r="2243" spans="1:8" x14ac:dyDescent="0.25">
      <c r="A2243" s="31">
        <v>44641</v>
      </c>
      <c r="B2243" s="37" t="s">
        <v>9314</v>
      </c>
      <c r="C2243" s="51" t="s">
        <v>382</v>
      </c>
      <c r="D2243" s="52">
        <v>8326.7999999999993</v>
      </c>
      <c r="E2243" s="35">
        <v>44641</v>
      </c>
      <c r="F2243" s="52">
        <v>8326.7999999999993</v>
      </c>
      <c r="G2243" s="53">
        <f>Tabla14[[#This Row],[Importe]]-Tabla14[[#This Row],[Pagado]]</f>
        <v>0</v>
      </c>
      <c r="H2243" s="37" t="s">
        <v>10</v>
      </c>
    </row>
    <row r="2244" spans="1:8" x14ac:dyDescent="0.25">
      <c r="A2244" s="31">
        <v>44641</v>
      </c>
      <c r="B2244" s="37" t="s">
        <v>9315</v>
      </c>
      <c r="C2244" s="51" t="s">
        <v>218</v>
      </c>
      <c r="D2244" s="52">
        <v>14638.8</v>
      </c>
      <c r="E2244" s="35">
        <v>44644</v>
      </c>
      <c r="F2244" s="52">
        <v>14638.8</v>
      </c>
      <c r="G2244" s="53">
        <f>Tabla14[[#This Row],[Importe]]-Tabla14[[#This Row],[Pagado]]</f>
        <v>0</v>
      </c>
      <c r="H2244" s="37" t="s">
        <v>10</v>
      </c>
    </row>
    <row r="2245" spans="1:8" x14ac:dyDescent="0.25">
      <c r="A2245" s="31">
        <v>44641</v>
      </c>
      <c r="B2245" s="37" t="s">
        <v>9316</v>
      </c>
      <c r="C2245" s="51" t="s">
        <v>208</v>
      </c>
      <c r="D2245" s="52">
        <v>8089.8</v>
      </c>
      <c r="E2245" s="35">
        <v>44652</v>
      </c>
      <c r="F2245" s="52">
        <v>8089.8</v>
      </c>
      <c r="G2245" s="53">
        <f>Tabla14[[#This Row],[Importe]]-Tabla14[[#This Row],[Pagado]]</f>
        <v>0</v>
      </c>
      <c r="H2245" s="37" t="s">
        <v>10</v>
      </c>
    </row>
    <row r="2246" spans="1:8" x14ac:dyDescent="0.25">
      <c r="A2246" s="31">
        <v>44641</v>
      </c>
      <c r="B2246" s="37" t="s">
        <v>9317</v>
      </c>
      <c r="C2246" s="51" t="s">
        <v>263</v>
      </c>
      <c r="D2246" s="52">
        <v>137077.20000000001</v>
      </c>
      <c r="E2246" s="35">
        <v>44641</v>
      </c>
      <c r="F2246" s="52">
        <v>137077.20000000001</v>
      </c>
      <c r="G2246" s="53">
        <f>Tabla14[[#This Row],[Importe]]-Tabla14[[#This Row],[Pagado]]</f>
        <v>0</v>
      </c>
      <c r="H2246" s="37" t="s">
        <v>10</v>
      </c>
    </row>
    <row r="2247" spans="1:8" x14ac:dyDescent="0.25">
      <c r="A2247" s="31">
        <v>44641</v>
      </c>
      <c r="B2247" s="37" t="s">
        <v>9318</v>
      </c>
      <c r="C2247" s="51" t="s">
        <v>230</v>
      </c>
      <c r="D2247" s="52">
        <v>1116.8</v>
      </c>
      <c r="E2247" s="35">
        <v>44641</v>
      </c>
      <c r="F2247" s="52">
        <v>1116.8</v>
      </c>
      <c r="G2247" s="53">
        <f>Tabla14[[#This Row],[Importe]]-Tabla14[[#This Row],[Pagado]]</f>
        <v>0</v>
      </c>
      <c r="H2247" s="37" t="s">
        <v>10</v>
      </c>
    </row>
    <row r="2248" spans="1:8" x14ac:dyDescent="0.25">
      <c r="A2248" s="31">
        <v>44641</v>
      </c>
      <c r="B2248" s="37" t="s">
        <v>9319</v>
      </c>
      <c r="C2248" s="51" t="s">
        <v>240</v>
      </c>
      <c r="D2248" s="52">
        <v>13364</v>
      </c>
      <c r="E2248" s="35">
        <v>44641</v>
      </c>
      <c r="F2248" s="52">
        <v>13364</v>
      </c>
      <c r="G2248" s="53">
        <f>Tabla14[[#This Row],[Importe]]-Tabla14[[#This Row],[Pagado]]</f>
        <v>0</v>
      </c>
      <c r="H2248" s="37" t="s">
        <v>10</v>
      </c>
    </row>
    <row r="2249" spans="1:8" x14ac:dyDescent="0.25">
      <c r="A2249" s="31">
        <v>44641</v>
      </c>
      <c r="B2249" s="37" t="s">
        <v>9320</v>
      </c>
      <c r="C2249" s="51" t="s">
        <v>244</v>
      </c>
      <c r="D2249" s="52">
        <v>496.8</v>
      </c>
      <c r="E2249" s="35">
        <v>44641</v>
      </c>
      <c r="F2249" s="52">
        <v>496.8</v>
      </c>
      <c r="G2249" s="53">
        <f>Tabla14[[#This Row],[Importe]]-Tabla14[[#This Row],[Pagado]]</f>
        <v>0</v>
      </c>
      <c r="H2249" s="37" t="s">
        <v>10</v>
      </c>
    </row>
    <row r="2250" spans="1:8" x14ac:dyDescent="0.25">
      <c r="A2250" s="31">
        <v>44641</v>
      </c>
      <c r="B2250" s="37" t="s">
        <v>9321</v>
      </c>
      <c r="C2250" s="51" t="s">
        <v>261</v>
      </c>
      <c r="D2250" s="52">
        <v>35210.400000000001</v>
      </c>
      <c r="E2250" s="35">
        <v>44641</v>
      </c>
      <c r="F2250" s="52">
        <v>35210.400000000001</v>
      </c>
      <c r="G2250" s="53">
        <f>Tabla14[[#This Row],[Importe]]-Tabla14[[#This Row],[Pagado]]</f>
        <v>0</v>
      </c>
      <c r="H2250" s="37" t="s">
        <v>10</v>
      </c>
    </row>
    <row r="2251" spans="1:8" x14ac:dyDescent="0.25">
      <c r="A2251" s="31">
        <v>44641</v>
      </c>
      <c r="B2251" s="37" t="s">
        <v>9322</v>
      </c>
      <c r="C2251" s="51" t="s">
        <v>244</v>
      </c>
      <c r="D2251" s="52">
        <v>377.2</v>
      </c>
      <c r="E2251" s="35">
        <v>44641</v>
      </c>
      <c r="F2251" s="52">
        <v>377.2</v>
      </c>
      <c r="G2251" s="53">
        <f>Tabla14[[#This Row],[Importe]]-Tabla14[[#This Row],[Pagado]]</f>
        <v>0</v>
      </c>
      <c r="H2251" s="37" t="s">
        <v>10</v>
      </c>
    </row>
    <row r="2252" spans="1:8" x14ac:dyDescent="0.25">
      <c r="A2252" s="31">
        <v>44641</v>
      </c>
      <c r="B2252" s="37" t="s">
        <v>9323</v>
      </c>
      <c r="C2252" s="51" t="s">
        <v>58</v>
      </c>
      <c r="D2252" s="52">
        <v>2032</v>
      </c>
      <c r="E2252" s="35">
        <v>44641</v>
      </c>
      <c r="F2252" s="52">
        <v>2032</v>
      </c>
      <c r="G2252" s="53">
        <f>Tabla14[[#This Row],[Importe]]-Tabla14[[#This Row],[Pagado]]</f>
        <v>0</v>
      </c>
      <c r="H2252" s="37" t="s">
        <v>10</v>
      </c>
    </row>
    <row r="2253" spans="1:8" x14ac:dyDescent="0.25">
      <c r="A2253" s="31">
        <v>44641</v>
      </c>
      <c r="B2253" s="37" t="s">
        <v>9324</v>
      </c>
      <c r="C2253" s="51" t="s">
        <v>9325</v>
      </c>
      <c r="D2253" s="52">
        <v>0</v>
      </c>
      <c r="E2253" s="39" t="s">
        <v>189</v>
      </c>
      <c r="F2253" s="52">
        <v>0</v>
      </c>
      <c r="G2253" s="53">
        <f>Tabla14[[#This Row],[Importe]]-Tabla14[[#This Row],[Pagado]]</f>
        <v>0</v>
      </c>
      <c r="H2253" s="37" t="s">
        <v>189</v>
      </c>
    </row>
    <row r="2254" spans="1:8" x14ac:dyDescent="0.25">
      <c r="A2254" s="31">
        <v>44641</v>
      </c>
      <c r="B2254" s="37" t="s">
        <v>9326</v>
      </c>
      <c r="C2254" s="51" t="s">
        <v>206</v>
      </c>
      <c r="D2254" s="52">
        <v>21509.9</v>
      </c>
      <c r="E2254" s="35">
        <v>44644</v>
      </c>
      <c r="F2254" s="52">
        <v>21509.9</v>
      </c>
      <c r="G2254" s="53">
        <f>Tabla14[[#This Row],[Importe]]-Tabla14[[#This Row],[Pagado]]</f>
        <v>0</v>
      </c>
      <c r="H2254" s="37" t="s">
        <v>10</v>
      </c>
    </row>
    <row r="2255" spans="1:8" x14ac:dyDescent="0.25">
      <c r="A2255" s="31">
        <v>44641</v>
      </c>
      <c r="B2255" s="37" t="s">
        <v>9327</v>
      </c>
      <c r="C2255" s="51" t="s">
        <v>592</v>
      </c>
      <c r="D2255" s="52">
        <v>8013.2</v>
      </c>
      <c r="E2255" s="35">
        <v>44642</v>
      </c>
      <c r="F2255" s="52">
        <v>8013.2</v>
      </c>
      <c r="G2255" s="53">
        <f>Tabla14[[#This Row],[Importe]]-Tabla14[[#This Row],[Pagado]]</f>
        <v>0</v>
      </c>
      <c r="H2255" s="37" t="s">
        <v>10</v>
      </c>
    </row>
    <row r="2256" spans="1:8" x14ac:dyDescent="0.25">
      <c r="A2256" s="31">
        <v>44641</v>
      </c>
      <c r="B2256" s="37" t="s">
        <v>9328</v>
      </c>
      <c r="C2256" s="51" t="s">
        <v>2139</v>
      </c>
      <c r="D2256" s="52">
        <v>5151</v>
      </c>
      <c r="E2256" s="35">
        <v>44641</v>
      </c>
      <c r="F2256" s="52">
        <v>5151</v>
      </c>
      <c r="G2256" s="53">
        <f>Tabla14[[#This Row],[Importe]]-Tabla14[[#This Row],[Pagado]]</f>
        <v>0</v>
      </c>
      <c r="H2256" s="37" t="s">
        <v>10</v>
      </c>
    </row>
    <row r="2257" spans="1:8" x14ac:dyDescent="0.25">
      <c r="A2257" s="31">
        <v>44641</v>
      </c>
      <c r="B2257" s="37" t="s">
        <v>9329</v>
      </c>
      <c r="C2257" s="51" t="s">
        <v>392</v>
      </c>
      <c r="D2257" s="52">
        <v>9777.6</v>
      </c>
      <c r="E2257" s="35">
        <v>44644</v>
      </c>
      <c r="F2257" s="52">
        <v>9777.6</v>
      </c>
      <c r="G2257" s="53">
        <f>Tabla14[[#This Row],[Importe]]-Tabla14[[#This Row],[Pagado]]</f>
        <v>0</v>
      </c>
      <c r="H2257" s="37" t="s">
        <v>10</v>
      </c>
    </row>
    <row r="2258" spans="1:8" x14ac:dyDescent="0.25">
      <c r="A2258" s="31">
        <v>44641</v>
      </c>
      <c r="B2258" s="37" t="s">
        <v>9330</v>
      </c>
      <c r="C2258" s="51" t="s">
        <v>216</v>
      </c>
      <c r="D2258" s="52">
        <v>1674</v>
      </c>
      <c r="E2258" s="35">
        <v>44641</v>
      </c>
      <c r="F2258" s="52">
        <v>1674</v>
      </c>
      <c r="G2258" s="53">
        <f>Tabla14[[#This Row],[Importe]]-Tabla14[[#This Row],[Pagado]]</f>
        <v>0</v>
      </c>
      <c r="H2258" s="37" t="s">
        <v>10</v>
      </c>
    </row>
    <row r="2259" spans="1:8" x14ac:dyDescent="0.25">
      <c r="A2259" s="31">
        <v>44641</v>
      </c>
      <c r="B2259" s="37" t="s">
        <v>9331</v>
      </c>
      <c r="C2259" s="51" t="s">
        <v>173</v>
      </c>
      <c r="D2259" s="52">
        <v>31134.400000000001</v>
      </c>
      <c r="E2259" s="35">
        <v>44642</v>
      </c>
      <c r="F2259" s="52">
        <v>31134.400000000001</v>
      </c>
      <c r="G2259" s="53">
        <f>Tabla14[[#This Row],[Importe]]-Tabla14[[#This Row],[Pagado]]</f>
        <v>0</v>
      </c>
      <c r="H2259" s="37" t="s">
        <v>10</v>
      </c>
    </row>
    <row r="2260" spans="1:8" x14ac:dyDescent="0.25">
      <c r="A2260" s="31">
        <v>44641</v>
      </c>
      <c r="B2260" s="37" t="s">
        <v>9332</v>
      </c>
      <c r="C2260" s="51" t="s">
        <v>47</v>
      </c>
      <c r="D2260" s="52">
        <v>37065.800000000003</v>
      </c>
      <c r="E2260" s="35">
        <v>44641</v>
      </c>
      <c r="F2260" s="52">
        <v>37065.800000000003</v>
      </c>
      <c r="G2260" s="53">
        <f>Tabla14[[#This Row],[Importe]]-Tabla14[[#This Row],[Pagado]]</f>
        <v>0</v>
      </c>
      <c r="H2260" s="37" t="s">
        <v>10</v>
      </c>
    </row>
    <row r="2261" spans="1:8" x14ac:dyDescent="0.25">
      <c r="A2261" s="31">
        <v>44641</v>
      </c>
      <c r="B2261" s="37" t="s">
        <v>9333</v>
      </c>
      <c r="C2261" s="51" t="s">
        <v>419</v>
      </c>
      <c r="D2261" s="52">
        <v>4019.8</v>
      </c>
      <c r="E2261" s="35">
        <v>44641</v>
      </c>
      <c r="F2261" s="52">
        <v>4019.8</v>
      </c>
      <c r="G2261" s="53">
        <f>Tabla14[[#This Row],[Importe]]-Tabla14[[#This Row],[Pagado]]</f>
        <v>0</v>
      </c>
      <c r="H2261" s="37" t="s">
        <v>10</v>
      </c>
    </row>
    <row r="2262" spans="1:8" x14ac:dyDescent="0.25">
      <c r="A2262" s="31">
        <v>44641</v>
      </c>
      <c r="B2262" s="37" t="s">
        <v>9334</v>
      </c>
      <c r="C2262" s="51" t="s">
        <v>133</v>
      </c>
      <c r="D2262" s="52">
        <v>23706</v>
      </c>
      <c r="E2262" s="35">
        <v>44646</v>
      </c>
      <c r="F2262" s="52">
        <v>23706</v>
      </c>
      <c r="G2262" s="53">
        <f>Tabla14[[#This Row],[Importe]]-Tabla14[[#This Row],[Pagado]]</f>
        <v>0</v>
      </c>
      <c r="H2262" s="37" t="s">
        <v>10</v>
      </c>
    </row>
    <row r="2263" spans="1:8" x14ac:dyDescent="0.25">
      <c r="A2263" s="31">
        <v>44641</v>
      </c>
      <c r="B2263" s="37" t="s">
        <v>9335</v>
      </c>
      <c r="C2263" s="51" t="s">
        <v>62</v>
      </c>
      <c r="D2263" s="52">
        <v>2801.4</v>
      </c>
      <c r="E2263" s="35">
        <v>44641</v>
      </c>
      <c r="F2263" s="52">
        <v>2801.4</v>
      </c>
      <c r="G2263" s="53">
        <f>Tabla14[[#This Row],[Importe]]-Tabla14[[#This Row],[Pagado]]</f>
        <v>0</v>
      </c>
      <c r="H2263" s="37" t="s">
        <v>10</v>
      </c>
    </row>
    <row r="2264" spans="1:8" x14ac:dyDescent="0.25">
      <c r="A2264" s="31">
        <v>44641</v>
      </c>
      <c r="B2264" s="37" t="s">
        <v>9336</v>
      </c>
      <c r="C2264" s="51" t="s">
        <v>62</v>
      </c>
      <c r="D2264" s="52">
        <v>3348.4</v>
      </c>
      <c r="E2264" s="35">
        <v>44641</v>
      </c>
      <c r="F2264" s="52">
        <v>3348.4</v>
      </c>
      <c r="G2264" s="53">
        <f>Tabla14[[#This Row],[Importe]]-Tabla14[[#This Row],[Pagado]]</f>
        <v>0</v>
      </c>
      <c r="H2264" s="37" t="s">
        <v>10</v>
      </c>
    </row>
    <row r="2265" spans="1:8" x14ac:dyDescent="0.25">
      <c r="A2265" s="31">
        <v>44641</v>
      </c>
      <c r="B2265" s="37" t="s">
        <v>9337</v>
      </c>
      <c r="C2265" s="51" t="s">
        <v>4136</v>
      </c>
      <c r="D2265" s="52">
        <v>2612.9</v>
      </c>
      <c r="E2265" s="35">
        <v>44641</v>
      </c>
      <c r="F2265" s="52">
        <v>2612.9</v>
      </c>
      <c r="G2265" s="53">
        <f>Tabla14[[#This Row],[Importe]]-Tabla14[[#This Row],[Pagado]]</f>
        <v>0</v>
      </c>
      <c r="H2265" s="37" t="s">
        <v>10</v>
      </c>
    </row>
    <row r="2266" spans="1:8" x14ac:dyDescent="0.25">
      <c r="A2266" s="31">
        <v>44641</v>
      </c>
      <c r="B2266" s="37" t="s">
        <v>9338</v>
      </c>
      <c r="C2266" s="51" t="s">
        <v>414</v>
      </c>
      <c r="D2266" s="52">
        <v>15746.4</v>
      </c>
      <c r="E2266" s="35">
        <v>44672</v>
      </c>
      <c r="F2266" s="52">
        <v>15746.4</v>
      </c>
      <c r="G2266" s="53">
        <f>Tabla14[[#This Row],[Importe]]-Tabla14[[#This Row],[Pagado]]</f>
        <v>0</v>
      </c>
      <c r="H2266" s="37" t="s">
        <v>10</v>
      </c>
    </row>
    <row r="2267" spans="1:8" x14ac:dyDescent="0.25">
      <c r="A2267" s="31">
        <v>44641</v>
      </c>
      <c r="B2267" s="37" t="s">
        <v>9339</v>
      </c>
      <c r="C2267" s="51" t="s">
        <v>53</v>
      </c>
      <c r="D2267" s="52">
        <v>1336.5</v>
      </c>
      <c r="E2267" s="35">
        <v>44641</v>
      </c>
      <c r="F2267" s="52">
        <v>1336.5</v>
      </c>
      <c r="G2267" s="53">
        <f>Tabla14[[#This Row],[Importe]]-Tabla14[[#This Row],[Pagado]]</f>
        <v>0</v>
      </c>
      <c r="H2267" s="37" t="s">
        <v>10</v>
      </c>
    </row>
    <row r="2268" spans="1:8" x14ac:dyDescent="0.25">
      <c r="A2268" s="31">
        <v>44641</v>
      </c>
      <c r="B2268" s="37" t="s">
        <v>9340</v>
      </c>
      <c r="C2268" s="51" t="s">
        <v>31</v>
      </c>
      <c r="D2268" s="52">
        <v>1829.2</v>
      </c>
      <c r="E2268" s="35">
        <v>44641</v>
      </c>
      <c r="F2268" s="52">
        <v>1829.2</v>
      </c>
      <c r="G2268" s="53">
        <f>Tabla14[[#This Row],[Importe]]-Tabla14[[#This Row],[Pagado]]</f>
        <v>0</v>
      </c>
      <c r="H2268" s="37" t="s">
        <v>10</v>
      </c>
    </row>
    <row r="2269" spans="1:8" x14ac:dyDescent="0.25">
      <c r="A2269" s="31">
        <v>44641</v>
      </c>
      <c r="B2269" s="37" t="s">
        <v>9341</v>
      </c>
      <c r="C2269" s="51" t="s">
        <v>275</v>
      </c>
      <c r="D2269" s="52">
        <v>141334.26999999999</v>
      </c>
      <c r="E2269" s="35">
        <v>44652</v>
      </c>
      <c r="F2269" s="52">
        <v>141334.26999999999</v>
      </c>
      <c r="G2269" s="53">
        <f>Tabla14[[#This Row],[Importe]]-Tabla14[[#This Row],[Pagado]]</f>
        <v>0</v>
      </c>
      <c r="H2269" s="37" t="s">
        <v>10</v>
      </c>
    </row>
    <row r="2270" spans="1:8" x14ac:dyDescent="0.25">
      <c r="A2270" s="31">
        <v>44641</v>
      </c>
      <c r="B2270" s="37" t="s">
        <v>9342</v>
      </c>
      <c r="C2270" s="51" t="s">
        <v>402</v>
      </c>
      <c r="D2270" s="52">
        <v>16481.400000000001</v>
      </c>
      <c r="E2270" s="35">
        <v>44650</v>
      </c>
      <c r="F2270" s="52">
        <v>16481.400000000001</v>
      </c>
      <c r="G2270" s="53">
        <f>Tabla14[[#This Row],[Importe]]-Tabla14[[#This Row],[Pagado]]</f>
        <v>0</v>
      </c>
      <c r="H2270" s="37" t="s">
        <v>10</v>
      </c>
    </row>
    <row r="2271" spans="1:8" x14ac:dyDescent="0.25">
      <c r="A2271" s="31">
        <v>44641</v>
      </c>
      <c r="B2271" s="37" t="s">
        <v>9343</v>
      </c>
      <c r="C2271" s="51" t="s">
        <v>214</v>
      </c>
      <c r="D2271" s="52">
        <v>1317.6</v>
      </c>
      <c r="E2271" s="35">
        <v>44641</v>
      </c>
      <c r="F2271" s="52">
        <v>1317.6</v>
      </c>
      <c r="G2271" s="53">
        <f>Tabla14[[#This Row],[Importe]]-Tabla14[[#This Row],[Pagado]]</f>
        <v>0</v>
      </c>
      <c r="H2271" s="37" t="s">
        <v>10</v>
      </c>
    </row>
    <row r="2272" spans="1:8" x14ac:dyDescent="0.25">
      <c r="A2272" s="31">
        <v>44641</v>
      </c>
      <c r="B2272" s="37" t="s">
        <v>9344</v>
      </c>
      <c r="C2272" s="51" t="s">
        <v>71</v>
      </c>
      <c r="D2272" s="52">
        <v>3368.7</v>
      </c>
      <c r="E2272" s="35">
        <v>44641</v>
      </c>
      <c r="F2272" s="52">
        <v>3368.7</v>
      </c>
      <c r="G2272" s="53">
        <f>Tabla14[[#This Row],[Importe]]-Tabla14[[#This Row],[Pagado]]</f>
        <v>0</v>
      </c>
      <c r="H2272" s="37" t="s">
        <v>10</v>
      </c>
    </row>
    <row r="2273" spans="1:8" x14ac:dyDescent="0.25">
      <c r="A2273" s="31">
        <v>44641</v>
      </c>
      <c r="B2273" s="37" t="s">
        <v>9345</v>
      </c>
      <c r="C2273" s="51" t="s">
        <v>1265</v>
      </c>
      <c r="D2273" s="52">
        <v>448.8</v>
      </c>
      <c r="E2273" s="35">
        <v>44641</v>
      </c>
      <c r="F2273" s="52">
        <v>448.8</v>
      </c>
      <c r="G2273" s="53">
        <f>Tabla14[[#This Row],[Importe]]-Tabla14[[#This Row],[Pagado]]</f>
        <v>0</v>
      </c>
      <c r="H2273" s="37" t="s">
        <v>10</v>
      </c>
    </row>
    <row r="2274" spans="1:8" x14ac:dyDescent="0.25">
      <c r="A2274" s="31">
        <v>44641</v>
      </c>
      <c r="B2274" s="37" t="s">
        <v>9346</v>
      </c>
      <c r="C2274" s="51" t="s">
        <v>400</v>
      </c>
      <c r="D2274" s="52">
        <v>8420.2000000000007</v>
      </c>
      <c r="E2274" s="35">
        <v>44650</v>
      </c>
      <c r="F2274" s="52">
        <v>8420.2000000000007</v>
      </c>
      <c r="G2274" s="53">
        <f>Tabla14[[#This Row],[Importe]]-Tabla14[[#This Row],[Pagado]]</f>
        <v>0</v>
      </c>
      <c r="H2274" s="37" t="s">
        <v>10</v>
      </c>
    </row>
    <row r="2275" spans="1:8" x14ac:dyDescent="0.25">
      <c r="A2275" s="31">
        <v>44641</v>
      </c>
      <c r="B2275" s="37" t="s">
        <v>9347</v>
      </c>
      <c r="C2275" s="51" t="s">
        <v>1313</v>
      </c>
      <c r="D2275" s="52">
        <v>12697.2</v>
      </c>
      <c r="E2275" s="35">
        <v>44641</v>
      </c>
      <c r="F2275" s="52">
        <v>12697.2</v>
      </c>
      <c r="G2275" s="53">
        <f>Tabla14[[#This Row],[Importe]]-Tabla14[[#This Row],[Pagado]]</f>
        <v>0</v>
      </c>
      <c r="H2275" s="37" t="s">
        <v>10</v>
      </c>
    </row>
    <row r="2276" spans="1:8" x14ac:dyDescent="0.25">
      <c r="A2276" s="31">
        <v>44641</v>
      </c>
      <c r="B2276" s="37" t="s">
        <v>9348</v>
      </c>
      <c r="C2276" s="51" t="s">
        <v>67</v>
      </c>
      <c r="D2276" s="52">
        <v>453.6</v>
      </c>
      <c r="E2276" s="35">
        <v>44641</v>
      </c>
      <c r="F2276" s="52">
        <v>453.6</v>
      </c>
      <c r="G2276" s="53">
        <f>Tabla14[[#This Row],[Importe]]-Tabla14[[#This Row],[Pagado]]</f>
        <v>0</v>
      </c>
      <c r="H2276" s="37" t="s">
        <v>10</v>
      </c>
    </row>
    <row r="2277" spans="1:8" x14ac:dyDescent="0.25">
      <c r="A2277" s="31">
        <v>44641</v>
      </c>
      <c r="B2277" s="37" t="s">
        <v>9349</v>
      </c>
      <c r="C2277" s="51" t="s">
        <v>179</v>
      </c>
      <c r="D2277" s="52">
        <v>874.8</v>
      </c>
      <c r="E2277" s="35">
        <v>44641</v>
      </c>
      <c r="F2277" s="52">
        <v>874.8</v>
      </c>
      <c r="G2277" s="53">
        <f>Tabla14[[#This Row],[Importe]]-Tabla14[[#This Row],[Pagado]]</f>
        <v>0</v>
      </c>
      <c r="H2277" s="37" t="s">
        <v>10</v>
      </c>
    </row>
    <row r="2278" spans="1:8" x14ac:dyDescent="0.25">
      <c r="A2278" s="31">
        <v>44641</v>
      </c>
      <c r="B2278" s="37" t="s">
        <v>9350</v>
      </c>
      <c r="C2278" s="51" t="s">
        <v>135</v>
      </c>
      <c r="D2278" s="52">
        <v>2841.4</v>
      </c>
      <c r="E2278" s="35">
        <v>44641</v>
      </c>
      <c r="F2278" s="52">
        <v>2841.4</v>
      </c>
      <c r="G2278" s="53">
        <f>Tabla14[[#This Row],[Importe]]-Tabla14[[#This Row],[Pagado]]</f>
        <v>0</v>
      </c>
      <c r="H2278" s="37" t="s">
        <v>10</v>
      </c>
    </row>
    <row r="2279" spans="1:8" x14ac:dyDescent="0.25">
      <c r="A2279" s="31">
        <v>44641</v>
      </c>
      <c r="B2279" s="37" t="s">
        <v>9351</v>
      </c>
      <c r="C2279" s="51" t="s">
        <v>440</v>
      </c>
      <c r="D2279" s="52">
        <v>10953.88</v>
      </c>
      <c r="E2279" s="35">
        <v>44646</v>
      </c>
      <c r="F2279" s="52">
        <v>10953.88</v>
      </c>
      <c r="G2279" s="53">
        <f>Tabla14[[#This Row],[Importe]]-Tabla14[[#This Row],[Pagado]]</f>
        <v>0</v>
      </c>
      <c r="H2279" s="37" t="s">
        <v>10</v>
      </c>
    </row>
    <row r="2280" spans="1:8" x14ac:dyDescent="0.25">
      <c r="A2280" s="31">
        <v>44641</v>
      </c>
      <c r="B2280" s="37" t="s">
        <v>9352</v>
      </c>
      <c r="C2280" s="51" t="s">
        <v>365</v>
      </c>
      <c r="D2280" s="52">
        <v>1554.2</v>
      </c>
      <c r="E2280" s="35">
        <v>44641</v>
      </c>
      <c r="F2280" s="52">
        <v>1554.2</v>
      </c>
      <c r="G2280" s="53">
        <f>Tabla14[[#This Row],[Importe]]-Tabla14[[#This Row],[Pagado]]</f>
        <v>0</v>
      </c>
      <c r="H2280" s="37" t="s">
        <v>10</v>
      </c>
    </row>
    <row r="2281" spans="1:8" x14ac:dyDescent="0.25">
      <c r="A2281" s="31">
        <v>44641</v>
      </c>
      <c r="B2281" s="37" t="s">
        <v>9353</v>
      </c>
      <c r="C2281" s="51" t="s">
        <v>214</v>
      </c>
      <c r="D2281" s="52">
        <v>14421</v>
      </c>
      <c r="E2281" s="35">
        <v>44643</v>
      </c>
      <c r="F2281" s="52">
        <v>14421</v>
      </c>
      <c r="G2281" s="53">
        <f>Tabla14[[#This Row],[Importe]]-Tabla14[[#This Row],[Pagado]]</f>
        <v>0</v>
      </c>
      <c r="H2281" s="37" t="s">
        <v>10</v>
      </c>
    </row>
    <row r="2282" spans="1:8" x14ac:dyDescent="0.25">
      <c r="A2282" s="31">
        <v>44641</v>
      </c>
      <c r="B2282" s="37" t="s">
        <v>9354</v>
      </c>
      <c r="C2282" s="51" t="s">
        <v>31</v>
      </c>
      <c r="D2282" s="52">
        <v>474.4</v>
      </c>
      <c r="E2282" s="35">
        <v>44641</v>
      </c>
      <c r="F2282" s="52">
        <v>474.4</v>
      </c>
      <c r="G2282" s="53">
        <f>Tabla14[[#This Row],[Importe]]-Tabla14[[#This Row],[Pagado]]</f>
        <v>0</v>
      </c>
      <c r="H2282" s="37" t="s">
        <v>10</v>
      </c>
    </row>
    <row r="2283" spans="1:8" x14ac:dyDescent="0.25">
      <c r="A2283" s="31">
        <v>44641</v>
      </c>
      <c r="B2283" s="37" t="s">
        <v>9355</v>
      </c>
      <c r="C2283" s="51" t="s">
        <v>6112</v>
      </c>
      <c r="D2283" s="52">
        <v>4644.3999999999996</v>
      </c>
      <c r="E2283" s="35">
        <v>44641</v>
      </c>
      <c r="F2283" s="52">
        <v>4644.3999999999996</v>
      </c>
      <c r="G2283" s="53">
        <f>Tabla14[[#This Row],[Importe]]-Tabla14[[#This Row],[Pagado]]</f>
        <v>0</v>
      </c>
      <c r="H2283" s="37" t="s">
        <v>10</v>
      </c>
    </row>
    <row r="2284" spans="1:8" x14ac:dyDescent="0.25">
      <c r="A2284" s="31">
        <v>44641</v>
      </c>
      <c r="B2284" s="37" t="s">
        <v>9356</v>
      </c>
      <c r="C2284" s="51" t="s">
        <v>670</v>
      </c>
      <c r="D2284" s="52">
        <v>1846.8</v>
      </c>
      <c r="E2284" s="35">
        <v>44641</v>
      </c>
      <c r="F2284" s="52">
        <v>1846.8</v>
      </c>
      <c r="G2284" s="53">
        <f>Tabla14[[#This Row],[Importe]]-Tabla14[[#This Row],[Pagado]]</f>
        <v>0</v>
      </c>
      <c r="H2284" s="37" t="s">
        <v>10</v>
      </c>
    </row>
    <row r="2285" spans="1:8" x14ac:dyDescent="0.25">
      <c r="A2285" s="31">
        <v>44641</v>
      </c>
      <c r="B2285" s="37" t="s">
        <v>9357</v>
      </c>
      <c r="C2285" s="51" t="s">
        <v>56</v>
      </c>
      <c r="D2285" s="52">
        <v>3433.6</v>
      </c>
      <c r="E2285" s="35">
        <v>44641</v>
      </c>
      <c r="F2285" s="52">
        <v>3433.6</v>
      </c>
      <c r="G2285" s="53">
        <f>Tabla14[[#This Row],[Importe]]-Tabla14[[#This Row],[Pagado]]</f>
        <v>0</v>
      </c>
      <c r="H2285" s="37" t="s">
        <v>10</v>
      </c>
    </row>
    <row r="2286" spans="1:8" x14ac:dyDescent="0.25">
      <c r="A2286" s="31">
        <v>44641</v>
      </c>
      <c r="B2286" s="37" t="s">
        <v>9358</v>
      </c>
      <c r="C2286" s="51" t="s">
        <v>191</v>
      </c>
      <c r="D2286" s="52">
        <v>12240</v>
      </c>
      <c r="E2286" s="35">
        <v>44641</v>
      </c>
      <c r="F2286" s="52">
        <v>12240</v>
      </c>
      <c r="G2286" s="53">
        <f>Tabla14[[#This Row],[Importe]]-Tabla14[[#This Row],[Pagado]]</f>
        <v>0</v>
      </c>
      <c r="H2286" s="37" t="s">
        <v>10</v>
      </c>
    </row>
    <row r="2287" spans="1:8" x14ac:dyDescent="0.25">
      <c r="A2287" s="31">
        <v>44641</v>
      </c>
      <c r="B2287" s="37" t="s">
        <v>9359</v>
      </c>
      <c r="C2287" s="51" t="s">
        <v>5620</v>
      </c>
      <c r="D2287" s="52">
        <v>54061.2</v>
      </c>
      <c r="E2287" s="35">
        <v>44642</v>
      </c>
      <c r="F2287" s="52">
        <v>54061.2</v>
      </c>
      <c r="G2287" s="53">
        <f>Tabla14[[#This Row],[Importe]]-Tabla14[[#This Row],[Pagado]]</f>
        <v>0</v>
      </c>
      <c r="H2287" s="37" t="s">
        <v>10</v>
      </c>
    </row>
    <row r="2288" spans="1:8" x14ac:dyDescent="0.25">
      <c r="A2288" s="31">
        <v>44641</v>
      </c>
      <c r="B2288" s="37" t="s">
        <v>9360</v>
      </c>
      <c r="C2288" s="51" t="s">
        <v>9361</v>
      </c>
      <c r="D2288" s="52">
        <v>0</v>
      </c>
      <c r="E2288" s="39" t="s">
        <v>189</v>
      </c>
      <c r="F2288" s="52">
        <v>0</v>
      </c>
      <c r="G2288" s="53">
        <f>Tabla14[[#This Row],[Importe]]-Tabla14[[#This Row],[Pagado]]</f>
        <v>0</v>
      </c>
      <c r="H2288" s="37" t="s">
        <v>189</v>
      </c>
    </row>
    <row r="2289" spans="1:8" x14ac:dyDescent="0.25">
      <c r="A2289" s="31">
        <v>44641</v>
      </c>
      <c r="B2289" s="37" t="s">
        <v>9362</v>
      </c>
      <c r="C2289" s="51" t="s">
        <v>246</v>
      </c>
      <c r="D2289" s="52">
        <v>69314.399999999994</v>
      </c>
      <c r="E2289" s="35">
        <v>44641</v>
      </c>
      <c r="F2289" s="52">
        <v>69314.399999999994</v>
      </c>
      <c r="G2289" s="53">
        <f>Tabla14[[#This Row],[Importe]]-Tabla14[[#This Row],[Pagado]]</f>
        <v>0</v>
      </c>
      <c r="H2289" s="37" t="s">
        <v>10</v>
      </c>
    </row>
    <row r="2290" spans="1:8" x14ac:dyDescent="0.25">
      <c r="A2290" s="31">
        <v>44641</v>
      </c>
      <c r="B2290" s="37" t="s">
        <v>9363</v>
      </c>
      <c r="C2290" s="51" t="s">
        <v>7742</v>
      </c>
      <c r="D2290" s="52">
        <v>24304.400000000001</v>
      </c>
      <c r="E2290" s="35">
        <v>44648</v>
      </c>
      <c r="F2290" s="52">
        <v>24304.400000000001</v>
      </c>
      <c r="G2290" s="53">
        <f>Tabla14[[#This Row],[Importe]]-Tabla14[[#This Row],[Pagado]]</f>
        <v>0</v>
      </c>
      <c r="H2290" s="37" t="s">
        <v>10</v>
      </c>
    </row>
    <row r="2291" spans="1:8" x14ac:dyDescent="0.25">
      <c r="A2291" s="31">
        <v>44641</v>
      </c>
      <c r="B2291" s="37" t="s">
        <v>9364</v>
      </c>
      <c r="C2291" s="51" t="s">
        <v>9365</v>
      </c>
      <c r="D2291" s="52">
        <v>1190.5999999999999</v>
      </c>
      <c r="E2291" s="35">
        <v>44641</v>
      </c>
      <c r="F2291" s="52">
        <v>1190.5999999999999</v>
      </c>
      <c r="G2291" s="53">
        <f>Tabla14[[#This Row],[Importe]]-Tabla14[[#This Row],[Pagado]]</f>
        <v>0</v>
      </c>
      <c r="H2291" s="37" t="s">
        <v>10</v>
      </c>
    </row>
    <row r="2292" spans="1:8" x14ac:dyDescent="0.25">
      <c r="A2292" s="31">
        <v>44641</v>
      </c>
      <c r="B2292" s="37" t="s">
        <v>9366</v>
      </c>
      <c r="C2292" s="51" t="s">
        <v>1008</v>
      </c>
      <c r="D2292" s="52">
        <v>991.6</v>
      </c>
      <c r="E2292" s="35">
        <v>44641</v>
      </c>
      <c r="F2292" s="52">
        <v>991.6</v>
      </c>
      <c r="G2292" s="53">
        <f>Tabla14[[#This Row],[Importe]]-Tabla14[[#This Row],[Pagado]]</f>
        <v>0</v>
      </c>
      <c r="H2292" s="37" t="s">
        <v>10</v>
      </c>
    </row>
    <row r="2293" spans="1:8" x14ac:dyDescent="0.25">
      <c r="A2293" s="31">
        <v>44641</v>
      </c>
      <c r="B2293" s="37" t="s">
        <v>9367</v>
      </c>
      <c r="C2293" s="51" t="s">
        <v>246</v>
      </c>
      <c r="D2293" s="52">
        <v>1115.2</v>
      </c>
      <c r="E2293" s="35">
        <v>44641</v>
      </c>
      <c r="F2293" s="52">
        <v>1115.2</v>
      </c>
      <c r="G2293" s="53">
        <f>Tabla14[[#This Row],[Importe]]-Tabla14[[#This Row],[Pagado]]</f>
        <v>0</v>
      </c>
      <c r="H2293" s="37" t="s">
        <v>10</v>
      </c>
    </row>
    <row r="2294" spans="1:8" x14ac:dyDescent="0.25">
      <c r="A2294" s="31">
        <v>44641</v>
      </c>
      <c r="B2294" s="37" t="s">
        <v>9368</v>
      </c>
      <c r="C2294" s="51" t="s">
        <v>284</v>
      </c>
      <c r="D2294" s="52">
        <v>6534</v>
      </c>
      <c r="E2294" s="35">
        <v>44642</v>
      </c>
      <c r="F2294" s="52">
        <v>6534</v>
      </c>
      <c r="G2294" s="53">
        <f>Tabla14[[#This Row],[Importe]]-Tabla14[[#This Row],[Pagado]]</f>
        <v>0</v>
      </c>
      <c r="H2294" s="37" t="s">
        <v>10</v>
      </c>
    </row>
    <row r="2295" spans="1:8" x14ac:dyDescent="0.25">
      <c r="A2295" s="31">
        <v>44641</v>
      </c>
      <c r="B2295" s="37" t="s">
        <v>9369</v>
      </c>
      <c r="C2295" s="51" t="s">
        <v>431</v>
      </c>
      <c r="D2295" s="52">
        <v>556.20000000000005</v>
      </c>
      <c r="E2295" s="35">
        <v>44642</v>
      </c>
      <c r="F2295" s="52">
        <v>556.20000000000005</v>
      </c>
      <c r="G2295" s="53">
        <f>Tabla14[[#This Row],[Importe]]-Tabla14[[#This Row],[Pagado]]</f>
        <v>0</v>
      </c>
      <c r="H2295" s="37" t="s">
        <v>10</v>
      </c>
    </row>
    <row r="2296" spans="1:8" x14ac:dyDescent="0.25">
      <c r="A2296" s="31">
        <v>44641</v>
      </c>
      <c r="B2296" s="37" t="s">
        <v>9370</v>
      </c>
      <c r="C2296" s="51" t="s">
        <v>280</v>
      </c>
      <c r="D2296" s="52">
        <v>977.4</v>
      </c>
      <c r="E2296" s="35">
        <v>44642</v>
      </c>
      <c r="F2296" s="52">
        <v>977.4</v>
      </c>
      <c r="G2296" s="53">
        <f>Tabla14[[#This Row],[Importe]]-Tabla14[[#This Row],[Pagado]]</f>
        <v>0</v>
      </c>
      <c r="H2296" s="37" t="s">
        <v>10</v>
      </c>
    </row>
    <row r="2297" spans="1:8" x14ac:dyDescent="0.25">
      <c r="A2297" s="31">
        <v>44641</v>
      </c>
      <c r="B2297" s="37" t="s">
        <v>9371</v>
      </c>
      <c r="C2297" s="51" t="s">
        <v>282</v>
      </c>
      <c r="D2297" s="52">
        <v>2143.8000000000002</v>
      </c>
      <c r="E2297" s="35">
        <v>44642</v>
      </c>
      <c r="F2297" s="52">
        <v>2143.8000000000002</v>
      </c>
      <c r="G2297" s="53">
        <f>Tabla14[[#This Row],[Importe]]-Tabla14[[#This Row],[Pagado]]</f>
        <v>0</v>
      </c>
      <c r="H2297" s="37" t="s">
        <v>10</v>
      </c>
    </row>
    <row r="2298" spans="1:8" x14ac:dyDescent="0.25">
      <c r="A2298" s="31">
        <v>44641</v>
      </c>
      <c r="B2298" s="37" t="s">
        <v>9372</v>
      </c>
      <c r="C2298" s="51" t="s">
        <v>5345</v>
      </c>
      <c r="D2298" s="52">
        <v>1528.2</v>
      </c>
      <c r="E2298" s="35">
        <v>44642</v>
      </c>
      <c r="F2298" s="52">
        <v>1528.2</v>
      </c>
      <c r="G2298" s="53">
        <f>Tabla14[[#This Row],[Importe]]-Tabla14[[#This Row],[Pagado]]</f>
        <v>0</v>
      </c>
      <c r="H2298" s="37" t="s">
        <v>10</v>
      </c>
    </row>
    <row r="2299" spans="1:8" x14ac:dyDescent="0.25">
      <c r="A2299" s="31">
        <v>44641</v>
      </c>
      <c r="B2299" s="37" t="s">
        <v>9373</v>
      </c>
      <c r="C2299" s="51" t="s">
        <v>296</v>
      </c>
      <c r="D2299" s="52">
        <v>1605.2</v>
      </c>
      <c r="E2299" s="35">
        <v>44641</v>
      </c>
      <c r="F2299" s="52">
        <v>1605.2</v>
      </c>
      <c r="G2299" s="53">
        <f>Tabla14[[#This Row],[Importe]]-Tabla14[[#This Row],[Pagado]]</f>
        <v>0</v>
      </c>
      <c r="H2299" s="37" t="s">
        <v>10</v>
      </c>
    </row>
    <row r="2300" spans="1:8" x14ac:dyDescent="0.25">
      <c r="A2300" s="31">
        <v>44641</v>
      </c>
      <c r="B2300" s="37" t="s">
        <v>9374</v>
      </c>
      <c r="C2300" s="51" t="s">
        <v>373</v>
      </c>
      <c r="D2300" s="52">
        <v>475.2</v>
      </c>
      <c r="E2300" s="35">
        <v>44641</v>
      </c>
      <c r="F2300" s="52">
        <v>475.2</v>
      </c>
      <c r="G2300" s="53">
        <f>Tabla14[[#This Row],[Importe]]-Tabla14[[#This Row],[Pagado]]</f>
        <v>0</v>
      </c>
      <c r="H2300" s="37" t="s">
        <v>10</v>
      </c>
    </row>
    <row r="2301" spans="1:8" x14ac:dyDescent="0.25">
      <c r="A2301" s="31">
        <v>44641</v>
      </c>
      <c r="B2301" s="37" t="s">
        <v>9375</v>
      </c>
      <c r="C2301" s="51" t="s">
        <v>2961</v>
      </c>
      <c r="D2301" s="52">
        <v>51966</v>
      </c>
      <c r="E2301" s="35">
        <v>44643</v>
      </c>
      <c r="F2301" s="52">
        <v>51966</v>
      </c>
      <c r="G2301" s="53">
        <f>Tabla14[[#This Row],[Importe]]-Tabla14[[#This Row],[Pagado]]</f>
        <v>0</v>
      </c>
      <c r="H2301" s="37" t="s">
        <v>10</v>
      </c>
    </row>
    <row r="2302" spans="1:8" x14ac:dyDescent="0.25">
      <c r="A2302" s="31">
        <v>44641</v>
      </c>
      <c r="B2302" s="37" t="s">
        <v>9376</v>
      </c>
      <c r="C2302" s="51" t="s">
        <v>475</v>
      </c>
      <c r="D2302" s="52">
        <v>24130</v>
      </c>
      <c r="E2302" s="35">
        <v>44643</v>
      </c>
      <c r="F2302" s="52">
        <v>24130</v>
      </c>
      <c r="G2302" s="53">
        <f>Tabla14[[#This Row],[Importe]]-Tabla14[[#This Row],[Pagado]]</f>
        <v>0</v>
      </c>
      <c r="H2302" s="37" t="s">
        <v>10</v>
      </c>
    </row>
    <row r="2303" spans="1:8" x14ac:dyDescent="0.25">
      <c r="A2303" s="31">
        <v>44641</v>
      </c>
      <c r="B2303" s="37" t="s">
        <v>9377</v>
      </c>
      <c r="C2303" s="51" t="s">
        <v>179</v>
      </c>
      <c r="D2303" s="52">
        <v>1080</v>
      </c>
      <c r="E2303" s="35">
        <v>44642</v>
      </c>
      <c r="F2303" s="52">
        <v>1080</v>
      </c>
      <c r="G2303" s="53">
        <f>Tabla14[[#This Row],[Importe]]-Tabla14[[#This Row],[Pagado]]</f>
        <v>0</v>
      </c>
      <c r="H2303" s="37" t="s">
        <v>10</v>
      </c>
    </row>
    <row r="2304" spans="1:8" x14ac:dyDescent="0.25">
      <c r="A2304" s="31">
        <v>44641</v>
      </c>
      <c r="B2304" s="37" t="s">
        <v>9378</v>
      </c>
      <c r="C2304" s="51" t="s">
        <v>407</v>
      </c>
      <c r="D2304" s="52">
        <v>7200</v>
      </c>
      <c r="E2304" s="35">
        <v>44645</v>
      </c>
      <c r="F2304" s="52">
        <v>7200</v>
      </c>
      <c r="G2304" s="53">
        <f>Tabla14[[#This Row],[Importe]]-Tabla14[[#This Row],[Pagado]]</f>
        <v>0</v>
      </c>
      <c r="H2304" s="37" t="s">
        <v>10</v>
      </c>
    </row>
    <row r="2305" spans="1:8" x14ac:dyDescent="0.25">
      <c r="A2305" s="31">
        <v>44641</v>
      </c>
      <c r="B2305" s="37" t="s">
        <v>9379</v>
      </c>
      <c r="C2305" s="51" t="s">
        <v>454</v>
      </c>
      <c r="D2305" s="52">
        <v>3200</v>
      </c>
      <c r="E2305" s="35">
        <v>44641</v>
      </c>
      <c r="F2305" s="52">
        <v>3200</v>
      </c>
      <c r="G2305" s="53">
        <f>Tabla14[[#This Row],[Importe]]-Tabla14[[#This Row],[Pagado]]</f>
        <v>0</v>
      </c>
      <c r="H2305" s="37" t="s">
        <v>10</v>
      </c>
    </row>
    <row r="2306" spans="1:8" x14ac:dyDescent="0.25">
      <c r="A2306" s="31">
        <v>44641</v>
      </c>
      <c r="B2306" s="37" t="s">
        <v>9380</v>
      </c>
      <c r="C2306" s="51" t="s">
        <v>7745</v>
      </c>
      <c r="D2306" s="52">
        <v>20955.599999999999</v>
      </c>
      <c r="E2306" s="35">
        <v>44641</v>
      </c>
      <c r="F2306" s="52">
        <v>20955.599999999999</v>
      </c>
      <c r="G2306" s="53">
        <f>Tabla14[[#This Row],[Importe]]-Tabla14[[#This Row],[Pagado]]</f>
        <v>0</v>
      </c>
      <c r="H2306" s="37" t="s">
        <v>10</v>
      </c>
    </row>
    <row r="2307" spans="1:8" x14ac:dyDescent="0.25">
      <c r="A2307" s="31">
        <v>44641</v>
      </c>
      <c r="B2307" s="37" t="s">
        <v>9381</v>
      </c>
      <c r="C2307" s="51" t="s">
        <v>191</v>
      </c>
      <c r="D2307" s="52">
        <v>487.9</v>
      </c>
      <c r="E2307" s="35">
        <v>44641</v>
      </c>
      <c r="F2307" s="52">
        <v>487.9</v>
      </c>
      <c r="G2307" s="53">
        <f>Tabla14[[#This Row],[Importe]]-Tabla14[[#This Row],[Pagado]]</f>
        <v>0</v>
      </c>
      <c r="H2307" s="37" t="s">
        <v>10</v>
      </c>
    </row>
    <row r="2308" spans="1:8" x14ac:dyDescent="0.25">
      <c r="A2308" s="31">
        <v>44642</v>
      </c>
      <c r="B2308" s="37" t="s">
        <v>9382</v>
      </c>
      <c r="C2308" s="51" t="s">
        <v>75</v>
      </c>
      <c r="D2308" s="52">
        <v>5929.2</v>
      </c>
      <c r="E2308" s="35">
        <v>44642</v>
      </c>
      <c r="F2308" s="52">
        <v>5929.2</v>
      </c>
      <c r="G2308" s="53">
        <f>Tabla14[[#This Row],[Importe]]-Tabla14[[#This Row],[Pagado]]</f>
        <v>0</v>
      </c>
      <c r="H2308" s="37" t="s">
        <v>10</v>
      </c>
    </row>
    <row r="2309" spans="1:8" x14ac:dyDescent="0.25">
      <c r="A2309" s="31">
        <v>44642</v>
      </c>
      <c r="B2309" s="37" t="s">
        <v>9383</v>
      </c>
      <c r="C2309" s="51" t="s">
        <v>85</v>
      </c>
      <c r="D2309" s="52">
        <v>2575.8000000000002</v>
      </c>
      <c r="E2309" s="35">
        <v>44642</v>
      </c>
      <c r="F2309" s="52">
        <v>2575.8000000000002</v>
      </c>
      <c r="G2309" s="53">
        <f>Tabla14[[#This Row],[Importe]]-Tabla14[[#This Row],[Pagado]]</f>
        <v>0</v>
      </c>
      <c r="H2309" s="37" t="s">
        <v>10</v>
      </c>
    </row>
    <row r="2310" spans="1:8" x14ac:dyDescent="0.25">
      <c r="A2310" s="31">
        <v>44642</v>
      </c>
      <c r="B2310" s="37" t="s">
        <v>9384</v>
      </c>
      <c r="C2310" s="51" t="s">
        <v>109</v>
      </c>
      <c r="D2310" s="52">
        <v>3883.2</v>
      </c>
      <c r="E2310" s="35">
        <v>44643</v>
      </c>
      <c r="F2310" s="52">
        <v>3883.2</v>
      </c>
      <c r="G2310" s="53">
        <f>Tabla14[[#This Row],[Importe]]-Tabla14[[#This Row],[Pagado]]</f>
        <v>0</v>
      </c>
      <c r="H2310" s="37" t="s">
        <v>10</v>
      </c>
    </row>
    <row r="2311" spans="1:8" x14ac:dyDescent="0.25">
      <c r="A2311" s="31">
        <v>44642</v>
      </c>
      <c r="B2311" s="37" t="s">
        <v>9385</v>
      </c>
      <c r="C2311" s="51" t="s">
        <v>64</v>
      </c>
      <c r="D2311" s="52">
        <v>3660</v>
      </c>
      <c r="E2311" s="35">
        <v>44643</v>
      </c>
      <c r="F2311" s="52">
        <v>3660</v>
      </c>
      <c r="G2311" s="53">
        <f>Tabla14[[#This Row],[Importe]]-Tabla14[[#This Row],[Pagado]]</f>
        <v>0</v>
      </c>
      <c r="H2311" s="37" t="s">
        <v>10</v>
      </c>
    </row>
    <row r="2312" spans="1:8" x14ac:dyDescent="0.25">
      <c r="A2312" s="31">
        <v>44642</v>
      </c>
      <c r="B2312" s="37" t="s">
        <v>9386</v>
      </c>
      <c r="C2312" s="51" t="s">
        <v>181</v>
      </c>
      <c r="D2312" s="52">
        <v>11229.3</v>
      </c>
      <c r="E2312" s="35">
        <v>44642</v>
      </c>
      <c r="F2312" s="52">
        <v>11229.3</v>
      </c>
      <c r="G2312" s="53">
        <f>Tabla14[[#This Row],[Importe]]-Tabla14[[#This Row],[Pagado]]</f>
        <v>0</v>
      </c>
      <c r="H2312" s="37" t="s">
        <v>10</v>
      </c>
    </row>
    <row r="2313" spans="1:8" x14ac:dyDescent="0.25">
      <c r="A2313" s="31">
        <v>44642</v>
      </c>
      <c r="B2313" s="37" t="s">
        <v>9387</v>
      </c>
      <c r="C2313" s="51" t="s">
        <v>481</v>
      </c>
      <c r="D2313" s="52">
        <v>984</v>
      </c>
      <c r="E2313" s="35">
        <v>44642</v>
      </c>
      <c r="F2313" s="52">
        <v>984</v>
      </c>
      <c r="G2313" s="53">
        <f>Tabla14[[#This Row],[Importe]]-Tabla14[[#This Row],[Pagado]]</f>
        <v>0</v>
      </c>
      <c r="H2313" s="37" t="s">
        <v>10</v>
      </c>
    </row>
    <row r="2314" spans="1:8" x14ac:dyDescent="0.25">
      <c r="A2314" s="31">
        <v>44642</v>
      </c>
      <c r="B2314" s="37" t="s">
        <v>9388</v>
      </c>
      <c r="C2314" s="51" t="s">
        <v>314</v>
      </c>
      <c r="D2314" s="52">
        <v>4217.7</v>
      </c>
      <c r="E2314" s="35">
        <v>44642</v>
      </c>
      <c r="F2314" s="52">
        <v>4217.7</v>
      </c>
      <c r="G2314" s="53">
        <f>Tabla14[[#This Row],[Importe]]-Tabla14[[#This Row],[Pagado]]</f>
        <v>0</v>
      </c>
      <c r="H2314" s="37" t="s">
        <v>10</v>
      </c>
    </row>
    <row r="2315" spans="1:8" x14ac:dyDescent="0.25">
      <c r="A2315" s="31">
        <v>44642</v>
      </c>
      <c r="B2315" s="37" t="s">
        <v>9389</v>
      </c>
      <c r="C2315" s="51" t="s">
        <v>226</v>
      </c>
      <c r="D2315" s="52">
        <v>5497.2</v>
      </c>
      <c r="E2315" s="35">
        <v>44642</v>
      </c>
      <c r="F2315" s="52">
        <v>5497.2</v>
      </c>
      <c r="G2315" s="53">
        <f>Tabla14[[#This Row],[Importe]]-Tabla14[[#This Row],[Pagado]]</f>
        <v>0</v>
      </c>
      <c r="H2315" s="37" t="s">
        <v>10</v>
      </c>
    </row>
    <row r="2316" spans="1:8" x14ac:dyDescent="0.25">
      <c r="A2316" s="31">
        <v>44642</v>
      </c>
      <c r="B2316" s="37" t="s">
        <v>9390</v>
      </c>
      <c r="C2316" s="51" t="s">
        <v>1187</v>
      </c>
      <c r="D2316" s="52">
        <v>2310.3000000000002</v>
      </c>
      <c r="E2316" s="35">
        <v>44642</v>
      </c>
      <c r="F2316" s="52">
        <v>2310.3000000000002</v>
      </c>
      <c r="G2316" s="53">
        <f>Tabla14[[#This Row],[Importe]]-Tabla14[[#This Row],[Pagado]]</f>
        <v>0</v>
      </c>
      <c r="H2316" s="37" t="s">
        <v>10</v>
      </c>
    </row>
    <row r="2317" spans="1:8" x14ac:dyDescent="0.25">
      <c r="A2317" s="31">
        <v>44642</v>
      </c>
      <c r="B2317" s="37" t="s">
        <v>9391</v>
      </c>
      <c r="C2317" s="51" t="s">
        <v>20</v>
      </c>
      <c r="D2317" s="52">
        <v>1836.8</v>
      </c>
      <c r="E2317" s="35">
        <v>44642</v>
      </c>
      <c r="F2317" s="52">
        <v>1836.8</v>
      </c>
      <c r="G2317" s="53">
        <f>Tabla14[[#This Row],[Importe]]-Tabla14[[#This Row],[Pagado]]</f>
        <v>0</v>
      </c>
      <c r="H2317" s="37" t="s">
        <v>10</v>
      </c>
    </row>
    <row r="2318" spans="1:8" x14ac:dyDescent="0.25">
      <c r="A2318" s="31">
        <v>44642</v>
      </c>
      <c r="B2318" s="37" t="s">
        <v>9392</v>
      </c>
      <c r="C2318" s="51" t="s">
        <v>93</v>
      </c>
      <c r="D2318" s="52">
        <v>2694.6</v>
      </c>
      <c r="E2318" s="35">
        <v>44643</v>
      </c>
      <c r="F2318" s="52">
        <v>2694.6</v>
      </c>
      <c r="G2318" s="53">
        <f>Tabla14[[#This Row],[Importe]]-Tabla14[[#This Row],[Pagado]]</f>
        <v>0</v>
      </c>
      <c r="H2318" s="37" t="s">
        <v>10</v>
      </c>
    </row>
    <row r="2319" spans="1:8" ht="31.5" x14ac:dyDescent="0.25">
      <c r="A2319" s="31">
        <v>44642</v>
      </c>
      <c r="B2319" s="37" t="s">
        <v>9393</v>
      </c>
      <c r="C2319" s="51" t="s">
        <v>99</v>
      </c>
      <c r="D2319" s="52">
        <v>6334.2</v>
      </c>
      <c r="E2319" s="35" t="s">
        <v>9259</v>
      </c>
      <c r="F2319" s="52">
        <f>3500+2834.2</f>
        <v>6334.2</v>
      </c>
      <c r="G2319" s="53">
        <f>Tabla14[[#This Row],[Importe]]-Tabla14[[#This Row],[Pagado]]</f>
        <v>0</v>
      </c>
      <c r="H2319" s="37" t="s">
        <v>10</v>
      </c>
    </row>
    <row r="2320" spans="1:8" x14ac:dyDescent="0.25">
      <c r="A2320" s="31">
        <v>44642</v>
      </c>
      <c r="B2320" s="37" t="s">
        <v>9394</v>
      </c>
      <c r="C2320" s="51" t="s">
        <v>105</v>
      </c>
      <c r="D2320" s="52">
        <v>6289.6</v>
      </c>
      <c r="E2320" s="35">
        <v>44643</v>
      </c>
      <c r="F2320" s="52">
        <v>6289.6</v>
      </c>
      <c r="G2320" s="53">
        <f>Tabla14[[#This Row],[Importe]]-Tabla14[[#This Row],[Pagado]]</f>
        <v>0</v>
      </c>
      <c r="H2320" s="37" t="s">
        <v>10</v>
      </c>
    </row>
    <row r="2321" spans="1:8" x14ac:dyDescent="0.25">
      <c r="A2321" s="31">
        <v>44642</v>
      </c>
      <c r="B2321" s="37" t="s">
        <v>9395</v>
      </c>
      <c r="C2321" s="51" t="s">
        <v>9</v>
      </c>
      <c r="D2321" s="52">
        <v>3615.3</v>
      </c>
      <c r="E2321" s="35">
        <v>44642</v>
      </c>
      <c r="F2321" s="52">
        <v>3615.3</v>
      </c>
      <c r="G2321" s="53">
        <f>Tabla14[[#This Row],[Importe]]-Tabla14[[#This Row],[Pagado]]</f>
        <v>0</v>
      </c>
      <c r="H2321" s="37" t="s">
        <v>10</v>
      </c>
    </row>
    <row r="2322" spans="1:8" x14ac:dyDescent="0.25">
      <c r="A2322" s="31">
        <v>44642</v>
      </c>
      <c r="B2322" s="37" t="s">
        <v>9396</v>
      </c>
      <c r="C2322" s="51" t="s">
        <v>39</v>
      </c>
      <c r="D2322" s="52">
        <v>20704.3</v>
      </c>
      <c r="E2322" s="35">
        <v>44644</v>
      </c>
      <c r="F2322" s="52">
        <v>20704.3</v>
      </c>
      <c r="G2322" s="53">
        <f>Tabla14[[#This Row],[Importe]]-Tabla14[[#This Row],[Pagado]]</f>
        <v>0</v>
      </c>
      <c r="H2322" s="37" t="s">
        <v>10</v>
      </c>
    </row>
    <row r="2323" spans="1:8" x14ac:dyDescent="0.25">
      <c r="A2323" s="31">
        <v>44642</v>
      </c>
      <c r="B2323" s="37" t="s">
        <v>9397</v>
      </c>
      <c r="C2323" s="51" t="s">
        <v>6170</v>
      </c>
      <c r="D2323" s="52">
        <v>0</v>
      </c>
      <c r="E2323" s="39" t="s">
        <v>189</v>
      </c>
      <c r="F2323" s="52">
        <v>0</v>
      </c>
      <c r="G2323" s="53">
        <f>Tabla14[[#This Row],[Importe]]-Tabla14[[#This Row],[Pagado]]</f>
        <v>0</v>
      </c>
      <c r="H2323" s="54" t="s">
        <v>9398</v>
      </c>
    </row>
    <row r="2324" spans="1:8" x14ac:dyDescent="0.25">
      <c r="A2324" s="31">
        <v>44642</v>
      </c>
      <c r="B2324" s="37" t="s">
        <v>9399</v>
      </c>
      <c r="C2324" s="51" t="s">
        <v>426</v>
      </c>
      <c r="D2324" s="52">
        <v>8422.1</v>
      </c>
      <c r="E2324" s="35">
        <v>44642</v>
      </c>
      <c r="F2324" s="52">
        <v>8422.1</v>
      </c>
      <c r="G2324" s="53">
        <f>Tabla14[[#This Row],[Importe]]-Tabla14[[#This Row],[Pagado]]</f>
        <v>0</v>
      </c>
      <c r="H2324" s="37" t="s">
        <v>10</v>
      </c>
    </row>
    <row r="2325" spans="1:8" x14ac:dyDescent="0.25">
      <c r="A2325" s="31">
        <v>44642</v>
      </c>
      <c r="B2325" s="37" t="s">
        <v>9400</v>
      </c>
      <c r="C2325" s="51" t="s">
        <v>89</v>
      </c>
      <c r="D2325" s="52">
        <v>7152</v>
      </c>
      <c r="E2325" s="35">
        <v>44643</v>
      </c>
      <c r="F2325" s="52">
        <v>7152</v>
      </c>
      <c r="G2325" s="53">
        <f>Tabla14[[#This Row],[Importe]]-Tabla14[[#This Row],[Pagado]]</f>
        <v>0</v>
      </c>
      <c r="H2325" s="37" t="s">
        <v>10</v>
      </c>
    </row>
    <row r="2326" spans="1:8" x14ac:dyDescent="0.25">
      <c r="A2326" s="31">
        <v>44642</v>
      </c>
      <c r="B2326" s="37" t="s">
        <v>9401</v>
      </c>
      <c r="C2326" s="51" t="s">
        <v>97</v>
      </c>
      <c r="D2326" s="52">
        <v>5236.2</v>
      </c>
      <c r="E2326" s="35">
        <v>44643</v>
      </c>
      <c r="F2326" s="52">
        <v>5236.2</v>
      </c>
      <c r="G2326" s="53">
        <f>Tabla14[[#This Row],[Importe]]-Tabla14[[#This Row],[Pagado]]</f>
        <v>0</v>
      </c>
      <c r="H2326" s="37" t="s">
        <v>10</v>
      </c>
    </row>
    <row r="2327" spans="1:8" x14ac:dyDescent="0.25">
      <c r="A2327" s="31">
        <v>44642</v>
      </c>
      <c r="B2327" s="37" t="s">
        <v>9402</v>
      </c>
      <c r="C2327" s="51" t="s">
        <v>120</v>
      </c>
      <c r="D2327" s="52">
        <v>4620</v>
      </c>
      <c r="E2327" s="35">
        <v>44644</v>
      </c>
      <c r="F2327" s="52">
        <v>4620</v>
      </c>
      <c r="G2327" s="53">
        <f>Tabla14[[#This Row],[Importe]]-Tabla14[[#This Row],[Pagado]]</f>
        <v>0</v>
      </c>
      <c r="H2327" s="37" t="s">
        <v>10</v>
      </c>
    </row>
    <row r="2328" spans="1:8" x14ac:dyDescent="0.25">
      <c r="A2328" s="31">
        <v>44642</v>
      </c>
      <c r="B2328" s="37" t="s">
        <v>9403</v>
      </c>
      <c r="C2328" s="51" t="s">
        <v>114</v>
      </c>
      <c r="D2328" s="52">
        <v>7963.2</v>
      </c>
      <c r="E2328" s="35">
        <v>44644</v>
      </c>
      <c r="F2328" s="52">
        <v>7963.2</v>
      </c>
      <c r="G2328" s="53">
        <f>Tabla14[[#This Row],[Importe]]-Tabla14[[#This Row],[Pagado]]</f>
        <v>0</v>
      </c>
      <c r="H2328" s="37" t="s">
        <v>10</v>
      </c>
    </row>
    <row r="2329" spans="1:8" x14ac:dyDescent="0.25">
      <c r="A2329" s="31">
        <v>44642</v>
      </c>
      <c r="B2329" s="37" t="s">
        <v>9404</v>
      </c>
      <c r="C2329" s="51" t="s">
        <v>2563</v>
      </c>
      <c r="D2329" s="52">
        <v>4355</v>
      </c>
      <c r="E2329" s="35">
        <v>44643</v>
      </c>
      <c r="F2329" s="52">
        <v>4355</v>
      </c>
      <c r="G2329" s="53">
        <f>Tabla14[[#This Row],[Importe]]-Tabla14[[#This Row],[Pagado]]</f>
        <v>0</v>
      </c>
      <c r="H2329" s="37" t="s">
        <v>10</v>
      </c>
    </row>
    <row r="2330" spans="1:8" x14ac:dyDescent="0.25">
      <c r="A2330" s="31">
        <v>44642</v>
      </c>
      <c r="B2330" s="37" t="s">
        <v>9405</v>
      </c>
      <c r="C2330" s="51" t="s">
        <v>348</v>
      </c>
      <c r="D2330" s="52">
        <v>2384</v>
      </c>
      <c r="E2330" s="35">
        <v>44642</v>
      </c>
      <c r="F2330" s="52">
        <v>2384</v>
      </c>
      <c r="G2330" s="53">
        <f>Tabla14[[#This Row],[Importe]]-Tabla14[[#This Row],[Pagado]]</f>
        <v>0</v>
      </c>
      <c r="H2330" s="37" t="s">
        <v>10</v>
      </c>
    </row>
    <row r="2331" spans="1:8" x14ac:dyDescent="0.25">
      <c r="A2331" s="31">
        <v>44642</v>
      </c>
      <c r="B2331" s="37" t="s">
        <v>9406</v>
      </c>
      <c r="C2331" s="51" t="s">
        <v>9407</v>
      </c>
      <c r="D2331" s="52">
        <v>0</v>
      </c>
      <c r="E2331" s="39" t="s">
        <v>189</v>
      </c>
      <c r="F2331" s="52">
        <v>0</v>
      </c>
      <c r="G2331" s="53">
        <f>Tabla14[[#This Row],[Importe]]-Tabla14[[#This Row],[Pagado]]</f>
        <v>0</v>
      </c>
      <c r="H2331" s="37" t="s">
        <v>189</v>
      </c>
    </row>
    <row r="2332" spans="1:8" x14ac:dyDescent="0.25">
      <c r="A2332" s="31">
        <v>44642</v>
      </c>
      <c r="B2332" s="37" t="s">
        <v>9408</v>
      </c>
      <c r="C2332" s="51" t="s">
        <v>151</v>
      </c>
      <c r="D2332" s="52">
        <v>7560</v>
      </c>
      <c r="E2332" s="35">
        <v>44642</v>
      </c>
      <c r="F2332" s="52">
        <v>7560</v>
      </c>
      <c r="G2332" s="53">
        <f>Tabla14[[#This Row],[Importe]]-Tabla14[[#This Row],[Pagado]]</f>
        <v>0</v>
      </c>
      <c r="H2332" s="37" t="s">
        <v>10</v>
      </c>
    </row>
    <row r="2333" spans="1:8" x14ac:dyDescent="0.25">
      <c r="A2333" s="31">
        <v>44642</v>
      </c>
      <c r="B2333" s="37" t="s">
        <v>9409</v>
      </c>
      <c r="C2333" s="51" t="s">
        <v>2151</v>
      </c>
      <c r="D2333" s="52">
        <v>11344</v>
      </c>
      <c r="E2333" s="35">
        <v>44642</v>
      </c>
      <c r="F2333" s="52">
        <v>11344</v>
      </c>
      <c r="G2333" s="53">
        <f>Tabla14[[#This Row],[Importe]]-Tabla14[[#This Row],[Pagado]]</f>
        <v>0</v>
      </c>
      <c r="H2333" s="37" t="s">
        <v>10</v>
      </c>
    </row>
    <row r="2334" spans="1:8" x14ac:dyDescent="0.25">
      <c r="A2334" s="31">
        <v>44642</v>
      </c>
      <c r="B2334" s="37" t="s">
        <v>9410</v>
      </c>
      <c r="C2334" s="51" t="s">
        <v>157</v>
      </c>
      <c r="D2334" s="52">
        <v>4900.3999999999996</v>
      </c>
      <c r="E2334" s="35">
        <v>44642</v>
      </c>
      <c r="F2334" s="52">
        <v>4900.3999999999996</v>
      </c>
      <c r="G2334" s="53">
        <f>Tabla14[[#This Row],[Importe]]-Tabla14[[#This Row],[Pagado]]</f>
        <v>0</v>
      </c>
      <c r="H2334" s="37" t="s">
        <v>10</v>
      </c>
    </row>
    <row r="2335" spans="1:8" x14ac:dyDescent="0.25">
      <c r="A2335" s="31">
        <v>44642</v>
      </c>
      <c r="B2335" s="37" t="s">
        <v>9411</v>
      </c>
      <c r="C2335" s="51" t="s">
        <v>159</v>
      </c>
      <c r="D2335" s="52">
        <v>1652</v>
      </c>
      <c r="E2335" s="35">
        <v>44642</v>
      </c>
      <c r="F2335" s="52">
        <v>1652</v>
      </c>
      <c r="G2335" s="53">
        <f>Tabla14[[#This Row],[Importe]]-Tabla14[[#This Row],[Pagado]]</f>
        <v>0</v>
      </c>
      <c r="H2335" s="37" t="s">
        <v>10</v>
      </c>
    </row>
    <row r="2336" spans="1:8" x14ac:dyDescent="0.25">
      <c r="A2336" s="31">
        <v>44642</v>
      </c>
      <c r="B2336" s="37" t="s">
        <v>9412</v>
      </c>
      <c r="C2336" s="51" t="s">
        <v>12</v>
      </c>
      <c r="D2336" s="52">
        <v>31637.4</v>
      </c>
      <c r="E2336" s="35">
        <v>44643</v>
      </c>
      <c r="F2336" s="52">
        <v>31637.4</v>
      </c>
      <c r="G2336" s="53">
        <f>Tabla14[[#This Row],[Importe]]-Tabla14[[#This Row],[Pagado]]</f>
        <v>0</v>
      </c>
      <c r="H2336" s="37" t="s">
        <v>10</v>
      </c>
    </row>
    <row r="2337" spans="1:8" x14ac:dyDescent="0.25">
      <c r="A2337" s="31">
        <v>44642</v>
      </c>
      <c r="B2337" s="37" t="s">
        <v>9413</v>
      </c>
      <c r="C2337" s="51" t="s">
        <v>131</v>
      </c>
      <c r="D2337" s="52">
        <v>10854.4</v>
      </c>
      <c r="E2337" s="35">
        <v>44642</v>
      </c>
      <c r="F2337" s="52">
        <v>10854.4</v>
      </c>
      <c r="G2337" s="53">
        <f>Tabla14[[#This Row],[Importe]]-Tabla14[[#This Row],[Pagado]]</f>
        <v>0</v>
      </c>
      <c r="H2337" s="37" t="s">
        <v>10</v>
      </c>
    </row>
    <row r="2338" spans="1:8" x14ac:dyDescent="0.25">
      <c r="A2338" s="31">
        <v>44642</v>
      </c>
      <c r="B2338" s="37" t="s">
        <v>9414</v>
      </c>
      <c r="C2338" s="51" t="s">
        <v>9415</v>
      </c>
      <c r="D2338" s="52">
        <v>14828.8</v>
      </c>
      <c r="E2338" s="35">
        <v>44643</v>
      </c>
      <c r="F2338" s="52">
        <v>14828.8</v>
      </c>
      <c r="G2338" s="53">
        <f>Tabla14[[#This Row],[Importe]]-Tabla14[[#This Row],[Pagado]]</f>
        <v>0</v>
      </c>
      <c r="H2338" s="37" t="s">
        <v>10</v>
      </c>
    </row>
    <row r="2339" spans="1:8" x14ac:dyDescent="0.25">
      <c r="A2339" s="31">
        <v>44642</v>
      </c>
      <c r="B2339" s="37" t="s">
        <v>9416</v>
      </c>
      <c r="C2339" s="51" t="s">
        <v>127</v>
      </c>
      <c r="D2339" s="52">
        <v>4171.1000000000004</v>
      </c>
      <c r="E2339" s="35">
        <v>44642</v>
      </c>
      <c r="F2339" s="52">
        <v>4171.1000000000004</v>
      </c>
      <c r="G2339" s="53">
        <f>Tabla14[[#This Row],[Importe]]-Tabla14[[#This Row],[Pagado]]</f>
        <v>0</v>
      </c>
      <c r="H2339" s="37" t="s">
        <v>10</v>
      </c>
    </row>
    <row r="2340" spans="1:8" x14ac:dyDescent="0.25">
      <c r="A2340" s="31">
        <v>44642</v>
      </c>
      <c r="B2340" s="37" t="s">
        <v>9417</v>
      </c>
      <c r="C2340" s="51" t="s">
        <v>9418</v>
      </c>
      <c r="D2340" s="52">
        <v>0</v>
      </c>
      <c r="E2340" s="39" t="s">
        <v>189</v>
      </c>
      <c r="F2340" s="52">
        <v>0</v>
      </c>
      <c r="G2340" s="53">
        <f>Tabla14[[#This Row],[Importe]]-Tabla14[[#This Row],[Pagado]]</f>
        <v>0</v>
      </c>
      <c r="H2340" s="54" t="s">
        <v>9419</v>
      </c>
    </row>
    <row r="2341" spans="1:8" x14ac:dyDescent="0.25">
      <c r="A2341" s="31">
        <v>44642</v>
      </c>
      <c r="B2341" s="37" t="s">
        <v>9420</v>
      </c>
      <c r="C2341" s="51" t="s">
        <v>966</v>
      </c>
      <c r="D2341" s="52">
        <v>2968</v>
      </c>
      <c r="E2341" s="35">
        <v>44642</v>
      </c>
      <c r="F2341" s="52">
        <v>2968</v>
      </c>
      <c r="G2341" s="53">
        <f>Tabla14[[#This Row],[Importe]]-Tabla14[[#This Row],[Pagado]]</f>
        <v>0</v>
      </c>
      <c r="H2341" s="37" t="s">
        <v>10</v>
      </c>
    </row>
    <row r="2342" spans="1:8" x14ac:dyDescent="0.25">
      <c r="A2342" s="31">
        <v>44642</v>
      </c>
      <c r="B2342" s="37" t="s">
        <v>9421</v>
      </c>
      <c r="C2342" s="51" t="s">
        <v>484</v>
      </c>
      <c r="D2342" s="52">
        <v>3712</v>
      </c>
      <c r="E2342" s="35">
        <v>44642</v>
      </c>
      <c r="F2342" s="52">
        <v>3712</v>
      </c>
      <c r="G2342" s="53">
        <f>Tabla14[[#This Row],[Importe]]-Tabla14[[#This Row],[Pagado]]</f>
        <v>0</v>
      </c>
      <c r="H2342" s="37" t="s">
        <v>10</v>
      </c>
    </row>
    <row r="2343" spans="1:8" x14ac:dyDescent="0.25">
      <c r="A2343" s="31">
        <v>44642</v>
      </c>
      <c r="B2343" s="37" t="s">
        <v>9422</v>
      </c>
      <c r="C2343" s="51" t="s">
        <v>53</v>
      </c>
      <c r="D2343" s="52">
        <v>1617</v>
      </c>
      <c r="E2343" s="35">
        <v>44642</v>
      </c>
      <c r="F2343" s="52">
        <v>1617</v>
      </c>
      <c r="G2343" s="53">
        <f>Tabla14[[#This Row],[Importe]]-Tabla14[[#This Row],[Pagado]]</f>
        <v>0</v>
      </c>
      <c r="H2343" s="37" t="s">
        <v>10</v>
      </c>
    </row>
    <row r="2344" spans="1:8" x14ac:dyDescent="0.25">
      <c r="A2344" s="31">
        <v>44642</v>
      </c>
      <c r="B2344" s="37" t="s">
        <v>9423</v>
      </c>
      <c r="C2344" s="51" t="s">
        <v>1038</v>
      </c>
      <c r="D2344" s="52">
        <v>4685.8</v>
      </c>
      <c r="E2344" s="35">
        <v>44642</v>
      </c>
      <c r="F2344" s="52">
        <v>4685.8</v>
      </c>
      <c r="G2344" s="53">
        <f>Tabla14[[#This Row],[Importe]]-Tabla14[[#This Row],[Pagado]]</f>
        <v>0</v>
      </c>
      <c r="H2344" s="37" t="s">
        <v>10</v>
      </c>
    </row>
    <row r="2345" spans="1:8" x14ac:dyDescent="0.25">
      <c r="A2345" s="31">
        <v>44642</v>
      </c>
      <c r="B2345" s="37" t="s">
        <v>9424</v>
      </c>
      <c r="C2345" s="51" t="s">
        <v>16</v>
      </c>
      <c r="D2345" s="52">
        <v>5040</v>
      </c>
      <c r="E2345" s="35">
        <v>44642</v>
      </c>
      <c r="F2345" s="52">
        <v>5040</v>
      </c>
      <c r="G2345" s="53">
        <f>Tabla14[[#This Row],[Importe]]-Tabla14[[#This Row],[Pagado]]</f>
        <v>0</v>
      </c>
      <c r="H2345" s="37" t="s">
        <v>10</v>
      </c>
    </row>
    <row r="2346" spans="1:8" x14ac:dyDescent="0.25">
      <c r="A2346" s="31">
        <v>44642</v>
      </c>
      <c r="B2346" s="37" t="s">
        <v>9425</v>
      </c>
      <c r="C2346" s="51" t="s">
        <v>3971</v>
      </c>
      <c r="D2346" s="52">
        <v>4048</v>
      </c>
      <c r="E2346" s="35">
        <v>44642</v>
      </c>
      <c r="F2346" s="52">
        <v>4048</v>
      </c>
      <c r="G2346" s="53">
        <f>Tabla14[[#This Row],[Importe]]-Tabla14[[#This Row],[Pagado]]</f>
        <v>0</v>
      </c>
      <c r="H2346" s="37" t="s">
        <v>10</v>
      </c>
    </row>
    <row r="2347" spans="1:8" x14ac:dyDescent="0.25">
      <c r="A2347" s="31">
        <v>44642</v>
      </c>
      <c r="B2347" s="37" t="s">
        <v>9426</v>
      </c>
      <c r="C2347" s="51" t="s">
        <v>466</v>
      </c>
      <c r="D2347" s="52">
        <v>5367.6</v>
      </c>
      <c r="E2347" s="35">
        <v>44642</v>
      </c>
      <c r="F2347" s="52">
        <v>5367.6</v>
      </c>
      <c r="G2347" s="53">
        <f>Tabla14[[#This Row],[Importe]]-Tabla14[[#This Row],[Pagado]]</f>
        <v>0</v>
      </c>
      <c r="H2347" s="37" t="s">
        <v>10</v>
      </c>
    </row>
    <row r="2348" spans="1:8" ht="31.5" x14ac:dyDescent="0.25">
      <c r="A2348" s="31">
        <v>44642</v>
      </c>
      <c r="B2348" s="37" t="s">
        <v>9427</v>
      </c>
      <c r="C2348" s="51" t="s">
        <v>275</v>
      </c>
      <c r="D2348" s="52">
        <v>89534.5</v>
      </c>
      <c r="E2348" s="35" t="s">
        <v>10563</v>
      </c>
      <c r="F2348" s="52">
        <f>62693.96+26840.54</f>
        <v>89534.5</v>
      </c>
      <c r="G2348" s="53">
        <f>Tabla14[[#This Row],[Importe]]-Tabla14[[#This Row],[Pagado]]</f>
        <v>0</v>
      </c>
      <c r="H2348" s="37" t="s">
        <v>10</v>
      </c>
    </row>
    <row r="2349" spans="1:8" x14ac:dyDescent="0.25">
      <c r="A2349" s="31">
        <v>44642</v>
      </c>
      <c r="B2349" s="37" t="s">
        <v>9428</v>
      </c>
      <c r="C2349" s="51" t="s">
        <v>83</v>
      </c>
      <c r="D2349" s="52">
        <v>4401.6000000000004</v>
      </c>
      <c r="E2349" s="35">
        <v>44642</v>
      </c>
      <c r="F2349" s="52">
        <v>4401.6000000000004</v>
      </c>
      <c r="G2349" s="53">
        <f>Tabla14[[#This Row],[Importe]]-Tabla14[[#This Row],[Pagado]]</f>
        <v>0</v>
      </c>
      <c r="H2349" s="37" t="s">
        <v>10</v>
      </c>
    </row>
    <row r="2350" spans="1:8" x14ac:dyDescent="0.25">
      <c r="A2350" s="31">
        <v>44642</v>
      </c>
      <c r="B2350" s="37" t="s">
        <v>9429</v>
      </c>
      <c r="C2350" s="51" t="s">
        <v>146</v>
      </c>
      <c r="D2350" s="52">
        <v>2006.8</v>
      </c>
      <c r="E2350" s="35">
        <v>44642</v>
      </c>
      <c r="F2350" s="52">
        <v>2006.8</v>
      </c>
      <c r="G2350" s="53">
        <f>Tabla14[[#This Row],[Importe]]-Tabla14[[#This Row],[Pagado]]</f>
        <v>0</v>
      </c>
      <c r="H2350" s="37" t="s">
        <v>10</v>
      </c>
    </row>
    <row r="2351" spans="1:8" x14ac:dyDescent="0.25">
      <c r="A2351" s="31">
        <v>44642</v>
      </c>
      <c r="B2351" s="37" t="s">
        <v>9430</v>
      </c>
      <c r="C2351" s="51" t="s">
        <v>27</v>
      </c>
      <c r="D2351" s="52">
        <v>2160.1999999999998</v>
      </c>
      <c r="E2351" s="35">
        <v>44642</v>
      </c>
      <c r="F2351" s="52">
        <v>2160.1999999999998</v>
      </c>
      <c r="G2351" s="53">
        <f>Tabla14[[#This Row],[Importe]]-Tabla14[[#This Row],[Pagado]]</f>
        <v>0</v>
      </c>
      <c r="H2351" s="37" t="s">
        <v>10</v>
      </c>
    </row>
    <row r="2352" spans="1:8" x14ac:dyDescent="0.25">
      <c r="A2352" s="31">
        <v>44642</v>
      </c>
      <c r="B2352" s="37" t="s">
        <v>9431</v>
      </c>
      <c r="C2352" s="51" t="s">
        <v>802</v>
      </c>
      <c r="D2352" s="52">
        <v>8230</v>
      </c>
      <c r="E2352" s="35">
        <v>44642</v>
      </c>
      <c r="F2352" s="52">
        <v>8230</v>
      </c>
      <c r="G2352" s="53">
        <f>Tabla14[[#This Row],[Importe]]-Tabla14[[#This Row],[Pagado]]</f>
        <v>0</v>
      </c>
      <c r="H2352" s="37" t="s">
        <v>10</v>
      </c>
    </row>
    <row r="2353" spans="1:8" x14ac:dyDescent="0.25">
      <c r="A2353" s="31">
        <v>44642</v>
      </c>
      <c r="B2353" s="37" t="s">
        <v>9432</v>
      </c>
      <c r="C2353" s="51" t="s">
        <v>140</v>
      </c>
      <c r="D2353" s="52">
        <v>1113.5</v>
      </c>
      <c r="E2353" s="35">
        <v>44642</v>
      </c>
      <c r="F2353" s="52">
        <v>1113.5</v>
      </c>
      <c r="G2353" s="53">
        <f>Tabla14[[#This Row],[Importe]]-Tabla14[[#This Row],[Pagado]]</f>
        <v>0</v>
      </c>
      <c r="H2353" s="37" t="s">
        <v>10</v>
      </c>
    </row>
    <row r="2354" spans="1:8" x14ac:dyDescent="0.25">
      <c r="A2354" s="31">
        <v>44642</v>
      </c>
      <c r="B2354" s="37" t="s">
        <v>9433</v>
      </c>
      <c r="C2354" s="51" t="s">
        <v>125</v>
      </c>
      <c r="D2354" s="52">
        <v>4550.3999999999996</v>
      </c>
      <c r="E2354" s="35">
        <v>44642</v>
      </c>
      <c r="F2354" s="52">
        <v>4550.3999999999996</v>
      </c>
      <c r="G2354" s="53">
        <f>Tabla14[[#This Row],[Importe]]-Tabla14[[#This Row],[Pagado]]</f>
        <v>0</v>
      </c>
      <c r="H2354" s="37" t="s">
        <v>10</v>
      </c>
    </row>
    <row r="2355" spans="1:8" x14ac:dyDescent="0.25">
      <c r="A2355" s="31">
        <v>44642</v>
      </c>
      <c r="B2355" s="37" t="s">
        <v>9434</v>
      </c>
      <c r="C2355" s="51" t="s">
        <v>161</v>
      </c>
      <c r="D2355" s="52">
        <v>3365.6</v>
      </c>
      <c r="E2355" s="35">
        <v>44642</v>
      </c>
      <c r="F2355" s="52">
        <v>3365.6</v>
      </c>
      <c r="G2355" s="53">
        <f>Tabla14[[#This Row],[Importe]]-Tabla14[[#This Row],[Pagado]]</f>
        <v>0</v>
      </c>
      <c r="H2355" s="37" t="s">
        <v>10</v>
      </c>
    </row>
    <row r="2356" spans="1:8" x14ac:dyDescent="0.25">
      <c r="A2356" s="31">
        <v>44642</v>
      </c>
      <c r="B2356" s="37" t="s">
        <v>9435</v>
      </c>
      <c r="C2356" s="51" t="s">
        <v>22</v>
      </c>
      <c r="D2356" s="52">
        <v>45621.4</v>
      </c>
      <c r="E2356" s="35">
        <v>44643</v>
      </c>
      <c r="F2356" s="52">
        <v>45621.4</v>
      </c>
      <c r="G2356" s="53">
        <f>Tabla14[[#This Row],[Importe]]-Tabla14[[#This Row],[Pagado]]</f>
        <v>0</v>
      </c>
      <c r="H2356" s="37" t="s">
        <v>10</v>
      </c>
    </row>
    <row r="2357" spans="1:8" x14ac:dyDescent="0.25">
      <c r="A2357" s="31">
        <v>44642</v>
      </c>
      <c r="B2357" s="37" t="s">
        <v>9436</v>
      </c>
      <c r="C2357" s="51" t="s">
        <v>224</v>
      </c>
      <c r="D2357" s="52">
        <v>353.6</v>
      </c>
      <c r="E2357" s="35">
        <v>44642</v>
      </c>
      <c r="F2357" s="52">
        <v>353.6</v>
      </c>
      <c r="G2357" s="53">
        <f>Tabla14[[#This Row],[Importe]]-Tabla14[[#This Row],[Pagado]]</f>
        <v>0</v>
      </c>
      <c r="H2357" s="37" t="s">
        <v>10</v>
      </c>
    </row>
    <row r="2358" spans="1:8" x14ac:dyDescent="0.25">
      <c r="A2358" s="31">
        <v>44642</v>
      </c>
      <c r="B2358" s="37" t="s">
        <v>9437</v>
      </c>
      <c r="C2358" s="51" t="s">
        <v>191</v>
      </c>
      <c r="D2358" s="52">
        <v>1871</v>
      </c>
      <c r="E2358" s="35">
        <v>44642</v>
      </c>
      <c r="F2358" s="52">
        <v>1871</v>
      </c>
      <c r="G2358" s="53">
        <f>Tabla14[[#This Row],[Importe]]-Tabla14[[#This Row],[Pagado]]</f>
        <v>0</v>
      </c>
      <c r="H2358" s="37" t="s">
        <v>10</v>
      </c>
    </row>
    <row r="2359" spans="1:8" x14ac:dyDescent="0.25">
      <c r="A2359" s="31">
        <v>44642</v>
      </c>
      <c r="B2359" s="37" t="s">
        <v>9438</v>
      </c>
      <c r="C2359" s="51" t="s">
        <v>49</v>
      </c>
      <c r="D2359" s="52">
        <v>2876.6</v>
      </c>
      <c r="E2359" s="35">
        <v>44642</v>
      </c>
      <c r="F2359" s="52">
        <v>2876.6</v>
      </c>
      <c r="G2359" s="53">
        <f>Tabla14[[#This Row],[Importe]]-Tabla14[[#This Row],[Pagado]]</f>
        <v>0</v>
      </c>
      <c r="H2359" s="37" t="s">
        <v>10</v>
      </c>
    </row>
    <row r="2360" spans="1:8" x14ac:dyDescent="0.25">
      <c r="A2360" s="31">
        <v>44642</v>
      </c>
      <c r="B2360" s="37" t="s">
        <v>9439</v>
      </c>
      <c r="C2360" s="51" t="s">
        <v>45</v>
      </c>
      <c r="D2360" s="52">
        <v>8459.7999999999993</v>
      </c>
      <c r="E2360" s="35">
        <v>44642</v>
      </c>
      <c r="F2360" s="52">
        <v>8459.7999999999993</v>
      </c>
      <c r="G2360" s="53">
        <f>Tabla14[[#This Row],[Importe]]-Tabla14[[#This Row],[Pagado]]</f>
        <v>0</v>
      </c>
      <c r="H2360" s="37" t="s">
        <v>10</v>
      </c>
    </row>
    <row r="2361" spans="1:8" x14ac:dyDescent="0.25">
      <c r="A2361" s="31">
        <v>44642</v>
      </c>
      <c r="B2361" s="37" t="s">
        <v>9440</v>
      </c>
      <c r="C2361" s="51" t="s">
        <v>670</v>
      </c>
      <c r="D2361" s="52">
        <v>4146.6000000000004</v>
      </c>
      <c r="E2361" s="35">
        <v>44642</v>
      </c>
      <c r="F2361" s="52">
        <v>4146.6000000000004</v>
      </c>
      <c r="G2361" s="53">
        <f>Tabla14[[#This Row],[Importe]]-Tabla14[[#This Row],[Pagado]]</f>
        <v>0</v>
      </c>
      <c r="H2361" s="37" t="s">
        <v>10</v>
      </c>
    </row>
    <row r="2362" spans="1:8" x14ac:dyDescent="0.25">
      <c r="A2362" s="31">
        <v>44642</v>
      </c>
      <c r="B2362" s="37" t="s">
        <v>9441</v>
      </c>
      <c r="C2362" s="51" t="s">
        <v>79</v>
      </c>
      <c r="D2362" s="52">
        <v>8205</v>
      </c>
      <c r="E2362" s="35">
        <v>44642</v>
      </c>
      <c r="F2362" s="52">
        <v>8205</v>
      </c>
      <c r="G2362" s="53">
        <f>Tabla14[[#This Row],[Importe]]-Tabla14[[#This Row],[Pagado]]</f>
        <v>0</v>
      </c>
      <c r="H2362" s="37" t="s">
        <v>10</v>
      </c>
    </row>
    <row r="2363" spans="1:8" x14ac:dyDescent="0.25">
      <c r="A2363" s="31">
        <v>44642</v>
      </c>
      <c r="B2363" s="37" t="s">
        <v>9442</v>
      </c>
      <c r="C2363" s="51" t="s">
        <v>142</v>
      </c>
      <c r="D2363" s="52">
        <v>9623.1</v>
      </c>
      <c r="E2363" s="35">
        <v>44670</v>
      </c>
      <c r="F2363" s="52">
        <v>9623.1</v>
      </c>
      <c r="G2363" s="53">
        <f>Tabla14[[#This Row],[Importe]]-Tabla14[[#This Row],[Pagado]]</f>
        <v>0</v>
      </c>
      <c r="H2363" s="37" t="s">
        <v>10</v>
      </c>
    </row>
    <row r="2364" spans="1:8" x14ac:dyDescent="0.25">
      <c r="A2364" s="31">
        <v>44642</v>
      </c>
      <c r="B2364" s="37" t="s">
        <v>9443</v>
      </c>
      <c r="C2364" s="51" t="s">
        <v>9444</v>
      </c>
      <c r="D2364" s="52">
        <v>0</v>
      </c>
      <c r="E2364" s="39" t="s">
        <v>189</v>
      </c>
      <c r="F2364" s="52">
        <v>0</v>
      </c>
      <c r="G2364" s="53">
        <f>Tabla14[[#This Row],[Importe]]-Tabla14[[#This Row],[Pagado]]</f>
        <v>0</v>
      </c>
      <c r="H2364" s="37" t="s">
        <v>189</v>
      </c>
    </row>
    <row r="2365" spans="1:8" x14ac:dyDescent="0.25">
      <c r="A2365" s="31">
        <v>44642</v>
      </c>
      <c r="B2365" s="37" t="s">
        <v>9445</v>
      </c>
      <c r="C2365" s="51" t="s">
        <v>520</v>
      </c>
      <c r="D2365" s="52">
        <v>4760</v>
      </c>
      <c r="E2365" s="35">
        <v>44642</v>
      </c>
      <c r="F2365" s="52">
        <v>4760</v>
      </c>
      <c r="G2365" s="53">
        <f>Tabla14[[#This Row],[Importe]]-Tabla14[[#This Row],[Pagado]]</f>
        <v>0</v>
      </c>
      <c r="H2365" s="37" t="s">
        <v>10</v>
      </c>
    </row>
    <row r="2366" spans="1:8" x14ac:dyDescent="0.25">
      <c r="A2366" s="31">
        <v>44642</v>
      </c>
      <c r="B2366" s="37" t="s">
        <v>9446</v>
      </c>
      <c r="C2366" s="51" t="s">
        <v>414</v>
      </c>
      <c r="D2366" s="52">
        <v>14103.8</v>
      </c>
      <c r="E2366" s="35">
        <v>44642</v>
      </c>
      <c r="F2366" s="52">
        <v>14103.8</v>
      </c>
      <c r="G2366" s="53">
        <f>Tabla14[[#This Row],[Importe]]-Tabla14[[#This Row],[Pagado]]</f>
        <v>0</v>
      </c>
      <c r="H2366" s="37" t="s">
        <v>10</v>
      </c>
    </row>
    <row r="2367" spans="1:8" x14ac:dyDescent="0.25">
      <c r="A2367" s="31">
        <v>44642</v>
      </c>
      <c r="B2367" s="37" t="s">
        <v>9447</v>
      </c>
      <c r="C2367" s="51" t="s">
        <v>87</v>
      </c>
      <c r="D2367" s="52">
        <v>1031.4000000000001</v>
      </c>
      <c r="E2367" s="35">
        <v>44642</v>
      </c>
      <c r="F2367" s="52">
        <v>1031.4000000000001</v>
      </c>
      <c r="G2367" s="53">
        <f>Tabla14[[#This Row],[Importe]]-Tabla14[[#This Row],[Pagado]]</f>
        <v>0</v>
      </c>
      <c r="H2367" s="37" t="s">
        <v>10</v>
      </c>
    </row>
    <row r="2368" spans="1:8" x14ac:dyDescent="0.25">
      <c r="A2368" s="31">
        <v>44642</v>
      </c>
      <c r="B2368" s="37" t="s">
        <v>9448</v>
      </c>
      <c r="C2368" s="51" t="s">
        <v>518</v>
      </c>
      <c r="D2368" s="52">
        <v>2148.6</v>
      </c>
      <c r="E2368" s="35">
        <v>44642</v>
      </c>
      <c r="F2368" s="52">
        <v>2148.6</v>
      </c>
      <c r="G2368" s="53">
        <f>Tabla14[[#This Row],[Importe]]-Tabla14[[#This Row],[Pagado]]</f>
        <v>0</v>
      </c>
      <c r="H2368" s="37" t="s">
        <v>10</v>
      </c>
    </row>
    <row r="2369" spans="1:8" x14ac:dyDescent="0.25">
      <c r="A2369" s="31">
        <v>44642</v>
      </c>
      <c r="B2369" s="37" t="s">
        <v>9449</v>
      </c>
      <c r="C2369" s="51" t="s">
        <v>24</v>
      </c>
      <c r="D2369" s="52">
        <v>3487.3</v>
      </c>
      <c r="E2369" s="35">
        <v>44642</v>
      </c>
      <c r="F2369" s="52">
        <v>3487.3</v>
      </c>
      <c r="G2369" s="53">
        <f>Tabla14[[#This Row],[Importe]]-Tabla14[[#This Row],[Pagado]]</f>
        <v>0</v>
      </c>
      <c r="H2369" s="37" t="s">
        <v>10</v>
      </c>
    </row>
    <row r="2370" spans="1:8" x14ac:dyDescent="0.25">
      <c r="A2370" s="31">
        <v>44642</v>
      </c>
      <c r="B2370" s="37" t="s">
        <v>9450</v>
      </c>
      <c r="C2370" s="51" t="s">
        <v>79</v>
      </c>
      <c r="D2370" s="52">
        <v>12544.8</v>
      </c>
      <c r="E2370" s="35">
        <v>44642</v>
      </c>
      <c r="F2370" s="52">
        <v>12544.8</v>
      </c>
      <c r="G2370" s="53">
        <f>Tabla14[[#This Row],[Importe]]-Tabla14[[#This Row],[Pagado]]</f>
        <v>0</v>
      </c>
      <c r="H2370" s="37" t="s">
        <v>10</v>
      </c>
    </row>
    <row r="2371" spans="1:8" x14ac:dyDescent="0.25">
      <c r="A2371" s="31">
        <v>44642</v>
      </c>
      <c r="B2371" s="37" t="s">
        <v>9451</v>
      </c>
      <c r="C2371" s="51" t="s">
        <v>233</v>
      </c>
      <c r="D2371" s="52">
        <v>4779</v>
      </c>
      <c r="E2371" s="35">
        <v>44642</v>
      </c>
      <c r="F2371" s="52">
        <v>4779</v>
      </c>
      <c r="G2371" s="53">
        <f>Tabla14[[#This Row],[Importe]]-Tabla14[[#This Row],[Pagado]]</f>
        <v>0</v>
      </c>
      <c r="H2371" s="37" t="s">
        <v>10</v>
      </c>
    </row>
    <row r="2372" spans="1:8" x14ac:dyDescent="0.25">
      <c r="A2372" s="31">
        <v>44642</v>
      </c>
      <c r="B2372" s="37" t="s">
        <v>9452</v>
      </c>
      <c r="C2372" s="51" t="s">
        <v>216</v>
      </c>
      <c r="D2372" s="52">
        <v>1576.8</v>
      </c>
      <c r="E2372" s="35">
        <v>44642</v>
      </c>
      <c r="F2372" s="52">
        <v>1576.8</v>
      </c>
      <c r="G2372" s="53">
        <f>Tabla14[[#This Row],[Importe]]-Tabla14[[#This Row],[Pagado]]</f>
        <v>0</v>
      </c>
      <c r="H2372" s="37" t="s">
        <v>10</v>
      </c>
    </row>
    <row r="2373" spans="1:8" x14ac:dyDescent="0.25">
      <c r="A2373" s="31">
        <v>44642</v>
      </c>
      <c r="B2373" s="37" t="s">
        <v>9453</v>
      </c>
      <c r="C2373" s="51" t="s">
        <v>698</v>
      </c>
      <c r="D2373" s="52">
        <v>5875.4</v>
      </c>
      <c r="E2373" s="35">
        <v>44642</v>
      </c>
      <c r="F2373" s="52">
        <v>5875.4</v>
      </c>
      <c r="G2373" s="53">
        <f>Tabla14[[#This Row],[Importe]]-Tabla14[[#This Row],[Pagado]]</f>
        <v>0</v>
      </c>
      <c r="H2373" s="37" t="s">
        <v>10</v>
      </c>
    </row>
    <row r="2374" spans="1:8" x14ac:dyDescent="0.25">
      <c r="A2374" s="31">
        <v>44642</v>
      </c>
      <c r="B2374" s="37" t="s">
        <v>9454</v>
      </c>
      <c r="C2374" s="51" t="s">
        <v>4136</v>
      </c>
      <c r="D2374" s="52">
        <v>1539.3</v>
      </c>
      <c r="E2374" s="35">
        <v>44642</v>
      </c>
      <c r="F2374" s="52">
        <v>1539.3</v>
      </c>
      <c r="G2374" s="53">
        <f>Tabla14[[#This Row],[Importe]]-Tabla14[[#This Row],[Pagado]]</f>
        <v>0</v>
      </c>
      <c r="H2374" s="37" t="s">
        <v>10</v>
      </c>
    </row>
    <row r="2375" spans="1:8" x14ac:dyDescent="0.25">
      <c r="A2375" s="31">
        <v>44642</v>
      </c>
      <c r="B2375" s="37" t="s">
        <v>9455</v>
      </c>
      <c r="C2375" s="51" t="s">
        <v>24</v>
      </c>
      <c r="D2375" s="52">
        <v>133</v>
      </c>
      <c r="E2375" s="35">
        <v>44642</v>
      </c>
      <c r="F2375" s="52">
        <v>133</v>
      </c>
      <c r="G2375" s="53">
        <f>Tabla14[[#This Row],[Importe]]-Tabla14[[#This Row],[Pagado]]</f>
        <v>0</v>
      </c>
      <c r="H2375" s="37" t="s">
        <v>10</v>
      </c>
    </row>
    <row r="2376" spans="1:8" x14ac:dyDescent="0.25">
      <c r="A2376" s="31">
        <v>44642</v>
      </c>
      <c r="B2376" s="37" t="s">
        <v>9456</v>
      </c>
      <c r="C2376" s="51" t="s">
        <v>365</v>
      </c>
      <c r="D2376" s="52">
        <v>760</v>
      </c>
      <c r="E2376" s="35">
        <v>44642</v>
      </c>
      <c r="F2376" s="52">
        <v>760</v>
      </c>
      <c r="G2376" s="53">
        <f>Tabla14[[#This Row],[Importe]]-Tabla14[[#This Row],[Pagado]]</f>
        <v>0</v>
      </c>
      <c r="H2376" s="37" t="s">
        <v>10</v>
      </c>
    </row>
    <row r="2377" spans="1:8" x14ac:dyDescent="0.25">
      <c r="A2377" s="31">
        <v>44642</v>
      </c>
      <c r="B2377" s="37" t="s">
        <v>9457</v>
      </c>
      <c r="C2377" s="51" t="s">
        <v>58</v>
      </c>
      <c r="D2377" s="52">
        <v>2724</v>
      </c>
      <c r="E2377" s="35">
        <v>44642</v>
      </c>
      <c r="F2377" s="52">
        <v>2724</v>
      </c>
      <c r="G2377" s="53">
        <f>Tabla14[[#This Row],[Importe]]-Tabla14[[#This Row],[Pagado]]</f>
        <v>0</v>
      </c>
      <c r="H2377" s="37" t="s">
        <v>10</v>
      </c>
    </row>
    <row r="2378" spans="1:8" x14ac:dyDescent="0.25">
      <c r="A2378" s="31">
        <v>44642</v>
      </c>
      <c r="B2378" s="37" t="s">
        <v>9458</v>
      </c>
      <c r="C2378" s="51" t="s">
        <v>56</v>
      </c>
      <c r="D2378" s="52">
        <v>6861.4</v>
      </c>
      <c r="E2378" s="35">
        <v>44642</v>
      </c>
      <c r="F2378" s="52">
        <v>6861.4</v>
      </c>
      <c r="G2378" s="53">
        <f>Tabla14[[#This Row],[Importe]]-Tabla14[[#This Row],[Pagado]]</f>
        <v>0</v>
      </c>
      <c r="H2378" s="37" t="s">
        <v>10</v>
      </c>
    </row>
    <row r="2379" spans="1:8" x14ac:dyDescent="0.25">
      <c r="A2379" s="31">
        <v>44642</v>
      </c>
      <c r="B2379" s="37" t="s">
        <v>9459</v>
      </c>
      <c r="C2379" s="51" t="s">
        <v>67</v>
      </c>
      <c r="D2379" s="52">
        <v>1318.6</v>
      </c>
      <c r="E2379" s="35">
        <v>44642</v>
      </c>
      <c r="F2379" s="52">
        <v>1318.6</v>
      </c>
      <c r="G2379" s="53">
        <f>Tabla14[[#This Row],[Importe]]-Tabla14[[#This Row],[Pagado]]</f>
        <v>0</v>
      </c>
      <c r="H2379" s="37" t="s">
        <v>10</v>
      </c>
    </row>
    <row r="2380" spans="1:8" x14ac:dyDescent="0.25">
      <c r="A2380" s="31">
        <v>44642</v>
      </c>
      <c r="B2380" s="37" t="s">
        <v>9460</v>
      </c>
      <c r="C2380" s="51" t="s">
        <v>419</v>
      </c>
      <c r="D2380" s="52">
        <v>5746.5</v>
      </c>
      <c r="E2380" s="35">
        <v>44642</v>
      </c>
      <c r="F2380" s="52">
        <v>5746.5</v>
      </c>
      <c r="G2380" s="53">
        <f>Tabla14[[#This Row],[Importe]]-Tabla14[[#This Row],[Pagado]]</f>
        <v>0</v>
      </c>
      <c r="H2380" s="37" t="s">
        <v>10</v>
      </c>
    </row>
    <row r="2381" spans="1:8" x14ac:dyDescent="0.25">
      <c r="A2381" s="31">
        <v>44642</v>
      </c>
      <c r="B2381" s="37" t="s">
        <v>9461</v>
      </c>
      <c r="C2381" s="51" t="s">
        <v>67</v>
      </c>
      <c r="D2381" s="52">
        <v>599.4</v>
      </c>
      <c r="E2381" s="35">
        <v>44642</v>
      </c>
      <c r="F2381" s="52">
        <v>599.4</v>
      </c>
      <c r="G2381" s="53">
        <f>Tabla14[[#This Row],[Importe]]-Tabla14[[#This Row],[Pagado]]</f>
        <v>0</v>
      </c>
      <c r="H2381" s="37" t="s">
        <v>10</v>
      </c>
    </row>
    <row r="2382" spans="1:8" x14ac:dyDescent="0.25">
      <c r="A2382" s="31">
        <v>44642</v>
      </c>
      <c r="B2382" s="37" t="s">
        <v>9462</v>
      </c>
      <c r="C2382" s="51" t="s">
        <v>7862</v>
      </c>
      <c r="D2382" s="52">
        <v>15734.1</v>
      </c>
      <c r="E2382" s="35">
        <v>44642</v>
      </c>
      <c r="F2382" s="52">
        <v>15734.1</v>
      </c>
      <c r="G2382" s="53">
        <f>Tabla14[[#This Row],[Importe]]-Tabla14[[#This Row],[Pagado]]</f>
        <v>0</v>
      </c>
      <c r="H2382" s="37" t="s">
        <v>10</v>
      </c>
    </row>
    <row r="2383" spans="1:8" x14ac:dyDescent="0.25">
      <c r="A2383" s="31">
        <v>44642</v>
      </c>
      <c r="B2383" s="37" t="s">
        <v>9463</v>
      </c>
      <c r="C2383" s="51" t="s">
        <v>16</v>
      </c>
      <c r="D2383" s="52">
        <v>943</v>
      </c>
      <c r="E2383" s="35">
        <v>44642</v>
      </c>
      <c r="F2383" s="52">
        <v>943</v>
      </c>
      <c r="G2383" s="53">
        <f>Tabla14[[#This Row],[Importe]]-Tabla14[[#This Row],[Pagado]]</f>
        <v>0</v>
      </c>
      <c r="H2383" s="37" t="s">
        <v>10</v>
      </c>
    </row>
    <row r="2384" spans="1:8" x14ac:dyDescent="0.25">
      <c r="A2384" s="31">
        <v>44642</v>
      </c>
      <c r="B2384" s="37" t="s">
        <v>9464</v>
      </c>
      <c r="C2384" s="51" t="s">
        <v>107</v>
      </c>
      <c r="D2384" s="52">
        <v>12437.7</v>
      </c>
      <c r="E2384" s="35">
        <v>44642</v>
      </c>
      <c r="F2384" s="52">
        <v>12437.7</v>
      </c>
      <c r="G2384" s="53">
        <f>Tabla14[[#This Row],[Importe]]-Tabla14[[#This Row],[Pagado]]</f>
        <v>0</v>
      </c>
      <c r="H2384" s="37" t="s">
        <v>10</v>
      </c>
    </row>
    <row r="2385" spans="1:8" x14ac:dyDescent="0.25">
      <c r="A2385" s="31">
        <v>44642</v>
      </c>
      <c r="B2385" s="37" t="s">
        <v>9465</v>
      </c>
      <c r="C2385" s="51" t="s">
        <v>1350</v>
      </c>
      <c r="D2385" s="52">
        <v>808.3</v>
      </c>
      <c r="E2385" s="35">
        <v>44642</v>
      </c>
      <c r="F2385" s="52">
        <v>808.3</v>
      </c>
      <c r="G2385" s="53">
        <f>Tabla14[[#This Row],[Importe]]-Tabla14[[#This Row],[Pagado]]</f>
        <v>0</v>
      </c>
      <c r="H2385" s="37" t="s">
        <v>10</v>
      </c>
    </row>
    <row r="2386" spans="1:8" x14ac:dyDescent="0.25">
      <c r="A2386" s="31">
        <v>44642</v>
      </c>
      <c r="B2386" s="37" t="s">
        <v>9466</v>
      </c>
      <c r="C2386" s="51" t="s">
        <v>71</v>
      </c>
      <c r="D2386" s="52">
        <v>1776.9</v>
      </c>
      <c r="E2386" s="35">
        <v>44642</v>
      </c>
      <c r="F2386" s="52">
        <v>1776.9</v>
      </c>
      <c r="G2386" s="53">
        <f>Tabla14[[#This Row],[Importe]]-Tabla14[[#This Row],[Pagado]]</f>
        <v>0</v>
      </c>
      <c r="H2386" s="37" t="s">
        <v>10</v>
      </c>
    </row>
    <row r="2387" spans="1:8" x14ac:dyDescent="0.25">
      <c r="A2387" s="31">
        <v>44642</v>
      </c>
      <c r="B2387" s="37" t="s">
        <v>9467</v>
      </c>
      <c r="C2387" s="51" t="s">
        <v>31</v>
      </c>
      <c r="D2387" s="52">
        <v>1426.8</v>
      </c>
      <c r="E2387" s="35">
        <v>44642</v>
      </c>
      <c r="F2387" s="52">
        <v>1426.8</v>
      </c>
      <c r="G2387" s="53">
        <f>Tabla14[[#This Row],[Importe]]-Tabla14[[#This Row],[Pagado]]</f>
        <v>0</v>
      </c>
      <c r="H2387" s="37" t="s">
        <v>10</v>
      </c>
    </row>
    <row r="2388" spans="1:8" x14ac:dyDescent="0.25">
      <c r="A2388" s="31">
        <v>44642</v>
      </c>
      <c r="B2388" s="37" t="s">
        <v>9468</v>
      </c>
      <c r="C2388" s="51" t="s">
        <v>1339</v>
      </c>
      <c r="D2388" s="52">
        <v>5596.6</v>
      </c>
      <c r="E2388" s="35">
        <v>44650</v>
      </c>
      <c r="F2388" s="52">
        <v>5596.6</v>
      </c>
      <c r="G2388" s="53">
        <f>Tabla14[[#This Row],[Importe]]-Tabla14[[#This Row],[Pagado]]</f>
        <v>0</v>
      </c>
      <c r="H2388" s="37" t="s">
        <v>10</v>
      </c>
    </row>
    <row r="2389" spans="1:8" x14ac:dyDescent="0.25">
      <c r="A2389" s="31">
        <v>44642</v>
      </c>
      <c r="B2389" s="37" t="s">
        <v>9469</v>
      </c>
      <c r="C2389" s="51" t="s">
        <v>31</v>
      </c>
      <c r="D2389" s="52">
        <v>1016.4</v>
      </c>
      <c r="E2389" s="35">
        <v>44642</v>
      </c>
      <c r="F2389" s="52">
        <v>1016.4</v>
      </c>
      <c r="G2389" s="53">
        <f>Tabla14[[#This Row],[Importe]]-Tabla14[[#This Row],[Pagado]]</f>
        <v>0</v>
      </c>
      <c r="H2389" s="37" t="s">
        <v>10</v>
      </c>
    </row>
    <row r="2390" spans="1:8" x14ac:dyDescent="0.25">
      <c r="A2390" s="31">
        <v>44642</v>
      </c>
      <c r="B2390" s="37" t="s">
        <v>9470</v>
      </c>
      <c r="C2390" s="51" t="s">
        <v>857</v>
      </c>
      <c r="D2390" s="52">
        <v>319.60000000000002</v>
      </c>
      <c r="E2390" s="35">
        <v>44642</v>
      </c>
      <c r="F2390" s="52">
        <v>319.60000000000002</v>
      </c>
      <c r="G2390" s="53">
        <f>Tabla14[[#This Row],[Importe]]-Tabla14[[#This Row],[Pagado]]</f>
        <v>0</v>
      </c>
      <c r="H2390" s="37" t="s">
        <v>10</v>
      </c>
    </row>
    <row r="2391" spans="1:8" x14ac:dyDescent="0.25">
      <c r="A2391" s="31">
        <v>44642</v>
      </c>
      <c r="B2391" s="37" t="s">
        <v>9471</v>
      </c>
      <c r="C2391" s="51" t="s">
        <v>53</v>
      </c>
      <c r="D2391" s="52">
        <v>2633.4</v>
      </c>
      <c r="E2391" s="35">
        <v>44642</v>
      </c>
      <c r="F2391" s="52">
        <v>2633.4</v>
      </c>
      <c r="G2391" s="53">
        <f>Tabla14[[#This Row],[Importe]]-Tabla14[[#This Row],[Pagado]]</f>
        <v>0</v>
      </c>
      <c r="H2391" s="37" t="s">
        <v>10</v>
      </c>
    </row>
    <row r="2392" spans="1:8" x14ac:dyDescent="0.25">
      <c r="A2392" s="31">
        <v>44642</v>
      </c>
      <c r="B2392" s="37" t="s">
        <v>9472</v>
      </c>
      <c r="C2392" s="51" t="s">
        <v>27</v>
      </c>
      <c r="D2392" s="52">
        <v>972.8</v>
      </c>
      <c r="E2392" s="35">
        <v>44642</v>
      </c>
      <c r="F2392" s="52">
        <v>972.8</v>
      </c>
      <c r="G2392" s="53">
        <f>Tabla14[[#This Row],[Importe]]-Tabla14[[#This Row],[Pagado]]</f>
        <v>0</v>
      </c>
      <c r="H2392" s="37" t="s">
        <v>10</v>
      </c>
    </row>
    <row r="2393" spans="1:8" x14ac:dyDescent="0.25">
      <c r="A2393" s="31">
        <v>44642</v>
      </c>
      <c r="B2393" s="37" t="s">
        <v>9473</v>
      </c>
      <c r="C2393" s="51" t="s">
        <v>31</v>
      </c>
      <c r="D2393" s="52">
        <v>12765.6</v>
      </c>
      <c r="E2393" s="35">
        <v>44642</v>
      </c>
      <c r="F2393" s="52">
        <v>12765.6</v>
      </c>
      <c r="G2393" s="53">
        <f>Tabla14[[#This Row],[Importe]]-Tabla14[[#This Row],[Pagado]]</f>
        <v>0</v>
      </c>
      <c r="H2393" s="37" t="s">
        <v>10</v>
      </c>
    </row>
    <row r="2394" spans="1:8" x14ac:dyDescent="0.25">
      <c r="A2394" s="31">
        <v>44642</v>
      </c>
      <c r="B2394" s="37" t="s">
        <v>9474</v>
      </c>
      <c r="C2394" s="51" t="s">
        <v>1706</v>
      </c>
      <c r="D2394" s="52">
        <v>4896</v>
      </c>
      <c r="E2394" s="35">
        <v>44642</v>
      </c>
      <c r="F2394" s="52">
        <v>4896</v>
      </c>
      <c r="G2394" s="53">
        <f>Tabla14[[#This Row],[Importe]]-Tabla14[[#This Row],[Pagado]]</f>
        <v>0</v>
      </c>
      <c r="H2394" s="37" t="s">
        <v>10</v>
      </c>
    </row>
    <row r="2395" spans="1:8" x14ac:dyDescent="0.25">
      <c r="A2395" s="31">
        <v>44642</v>
      </c>
      <c r="B2395" s="37" t="s">
        <v>9475</v>
      </c>
      <c r="C2395" s="51" t="s">
        <v>142</v>
      </c>
      <c r="D2395" s="52">
        <v>869.4</v>
      </c>
      <c r="E2395" s="35">
        <v>44670</v>
      </c>
      <c r="F2395" s="52">
        <v>869.4</v>
      </c>
      <c r="G2395" s="53">
        <f>Tabla14[[#This Row],[Importe]]-Tabla14[[#This Row],[Pagado]]</f>
        <v>0</v>
      </c>
      <c r="H2395" s="37" t="s">
        <v>10</v>
      </c>
    </row>
    <row r="2396" spans="1:8" x14ac:dyDescent="0.25">
      <c r="A2396" s="31">
        <v>44642</v>
      </c>
      <c r="B2396" s="37" t="s">
        <v>9476</v>
      </c>
      <c r="C2396" s="51" t="s">
        <v>200</v>
      </c>
      <c r="D2396" s="52">
        <v>864</v>
      </c>
      <c r="E2396" s="35">
        <v>44643</v>
      </c>
      <c r="F2396" s="52">
        <v>864</v>
      </c>
      <c r="G2396" s="53">
        <f>Tabla14[[#This Row],[Importe]]-Tabla14[[#This Row],[Pagado]]</f>
        <v>0</v>
      </c>
      <c r="H2396" s="37" t="s">
        <v>10</v>
      </c>
    </row>
    <row r="2397" spans="1:8" x14ac:dyDescent="0.25">
      <c r="A2397" s="31">
        <v>44642</v>
      </c>
      <c r="B2397" s="37" t="s">
        <v>9477</v>
      </c>
      <c r="C2397" s="51" t="s">
        <v>291</v>
      </c>
      <c r="D2397" s="52">
        <v>3058.4</v>
      </c>
      <c r="E2397" s="35">
        <v>44643</v>
      </c>
      <c r="F2397" s="52">
        <v>3058.4</v>
      </c>
      <c r="G2397" s="53">
        <f>Tabla14[[#This Row],[Importe]]-Tabla14[[#This Row],[Pagado]]</f>
        <v>0</v>
      </c>
      <c r="H2397" s="37" t="s">
        <v>10</v>
      </c>
    </row>
    <row r="2398" spans="1:8" x14ac:dyDescent="0.25">
      <c r="A2398" s="31">
        <v>44642</v>
      </c>
      <c r="B2398" s="37" t="s">
        <v>9478</v>
      </c>
      <c r="C2398" s="51" t="s">
        <v>31</v>
      </c>
      <c r="D2398" s="52">
        <v>102</v>
      </c>
      <c r="E2398" s="35">
        <v>44642</v>
      </c>
      <c r="F2398" s="52">
        <v>102</v>
      </c>
      <c r="G2398" s="53">
        <f>Tabla14[[#This Row],[Importe]]-Tabla14[[#This Row],[Pagado]]</f>
        <v>0</v>
      </c>
      <c r="H2398" s="37" t="s">
        <v>10</v>
      </c>
    </row>
    <row r="2399" spans="1:8" x14ac:dyDescent="0.25">
      <c r="A2399" s="31">
        <v>44642</v>
      </c>
      <c r="B2399" s="37" t="s">
        <v>9479</v>
      </c>
      <c r="C2399" s="51" t="s">
        <v>31</v>
      </c>
      <c r="D2399" s="52">
        <v>51.5</v>
      </c>
      <c r="E2399" s="35">
        <v>44642</v>
      </c>
      <c r="F2399" s="52">
        <v>51.5</v>
      </c>
      <c r="G2399" s="53">
        <f>Tabla14[[#This Row],[Importe]]-Tabla14[[#This Row],[Pagado]]</f>
        <v>0</v>
      </c>
      <c r="H2399" s="37" t="s">
        <v>10</v>
      </c>
    </row>
    <row r="2400" spans="1:8" x14ac:dyDescent="0.25">
      <c r="A2400" s="31">
        <v>44642</v>
      </c>
      <c r="B2400" s="37" t="s">
        <v>9480</v>
      </c>
      <c r="C2400" s="51" t="s">
        <v>69</v>
      </c>
      <c r="D2400" s="52">
        <v>5140.8</v>
      </c>
      <c r="E2400" s="35">
        <v>44642</v>
      </c>
      <c r="F2400" s="52">
        <v>5140.8</v>
      </c>
      <c r="G2400" s="53">
        <f>Tabla14[[#This Row],[Importe]]-Tabla14[[#This Row],[Pagado]]</f>
        <v>0</v>
      </c>
      <c r="H2400" s="37" t="s">
        <v>10</v>
      </c>
    </row>
    <row r="2401" spans="1:8" x14ac:dyDescent="0.25">
      <c r="A2401" s="31">
        <v>44642</v>
      </c>
      <c r="B2401" s="37" t="s">
        <v>9481</v>
      </c>
      <c r="C2401" s="51" t="s">
        <v>284</v>
      </c>
      <c r="D2401" s="52">
        <v>8326.7999999999993</v>
      </c>
      <c r="E2401" s="35">
        <v>44643</v>
      </c>
      <c r="F2401" s="52">
        <v>8326.7999999999993</v>
      </c>
      <c r="G2401" s="53">
        <f>Tabla14[[#This Row],[Importe]]-Tabla14[[#This Row],[Pagado]]</f>
        <v>0</v>
      </c>
      <c r="H2401" s="37" t="s">
        <v>10</v>
      </c>
    </row>
    <row r="2402" spans="1:8" x14ac:dyDescent="0.25">
      <c r="A2402" s="31">
        <v>44642</v>
      </c>
      <c r="B2402" s="37" t="s">
        <v>9482</v>
      </c>
      <c r="C2402" s="51" t="s">
        <v>870</v>
      </c>
      <c r="D2402" s="52">
        <v>35201.4</v>
      </c>
      <c r="E2402" s="35">
        <v>44643</v>
      </c>
      <c r="F2402" s="52">
        <v>35201.4</v>
      </c>
      <c r="G2402" s="53">
        <f>Tabla14[[#This Row],[Importe]]-Tabla14[[#This Row],[Pagado]]</f>
        <v>0</v>
      </c>
      <c r="H2402" s="37" t="s">
        <v>10</v>
      </c>
    </row>
    <row r="2403" spans="1:8" x14ac:dyDescent="0.25">
      <c r="A2403" s="31">
        <v>44642</v>
      </c>
      <c r="B2403" s="37" t="s">
        <v>9483</v>
      </c>
      <c r="C2403" s="51" t="s">
        <v>5345</v>
      </c>
      <c r="D2403" s="52">
        <v>3607.2</v>
      </c>
      <c r="E2403" s="35">
        <v>44645</v>
      </c>
      <c r="F2403" s="52">
        <v>3607.2</v>
      </c>
      <c r="G2403" s="53">
        <f>Tabla14[[#This Row],[Importe]]-Tabla14[[#This Row],[Pagado]]</f>
        <v>0</v>
      </c>
      <c r="H2403" s="37" t="s">
        <v>10</v>
      </c>
    </row>
    <row r="2404" spans="1:8" x14ac:dyDescent="0.25">
      <c r="A2404" s="31">
        <v>44642</v>
      </c>
      <c r="B2404" s="37" t="s">
        <v>9484</v>
      </c>
      <c r="C2404" s="51" t="s">
        <v>282</v>
      </c>
      <c r="D2404" s="52">
        <v>1560.6</v>
      </c>
      <c r="E2404" s="35">
        <v>44643</v>
      </c>
      <c r="F2404" s="52">
        <v>1560.6</v>
      </c>
      <c r="G2404" s="53">
        <f>Tabla14[[#This Row],[Importe]]-Tabla14[[#This Row],[Pagado]]</f>
        <v>0</v>
      </c>
      <c r="H2404" s="37" t="s">
        <v>10</v>
      </c>
    </row>
    <row r="2405" spans="1:8" x14ac:dyDescent="0.25">
      <c r="A2405" s="31">
        <v>44642</v>
      </c>
      <c r="B2405" s="37" t="s">
        <v>9485</v>
      </c>
      <c r="C2405" s="51" t="s">
        <v>14</v>
      </c>
      <c r="D2405" s="52">
        <v>8476.7999999999993</v>
      </c>
      <c r="E2405" s="35">
        <v>44642</v>
      </c>
      <c r="F2405" s="52">
        <v>8476.7999999999993</v>
      </c>
      <c r="G2405" s="53">
        <f>Tabla14[[#This Row],[Importe]]-Tabla14[[#This Row],[Pagado]]</f>
        <v>0</v>
      </c>
      <c r="H2405" s="37" t="s">
        <v>10</v>
      </c>
    </row>
    <row r="2406" spans="1:8" x14ac:dyDescent="0.25">
      <c r="A2406" s="31">
        <v>44642</v>
      </c>
      <c r="B2406" s="37" t="s">
        <v>9486</v>
      </c>
      <c r="C2406" s="51" t="s">
        <v>31</v>
      </c>
      <c r="D2406" s="52">
        <v>304.18</v>
      </c>
      <c r="E2406" s="35">
        <v>44643</v>
      </c>
      <c r="F2406" s="52">
        <v>304.18</v>
      </c>
      <c r="G2406" s="53">
        <f>Tabla14[[#This Row],[Importe]]-Tabla14[[#This Row],[Pagado]]</f>
        <v>0</v>
      </c>
      <c r="H2406" s="37" t="s">
        <v>10</v>
      </c>
    </row>
    <row r="2407" spans="1:8" x14ac:dyDescent="0.25">
      <c r="A2407" s="31">
        <v>44642</v>
      </c>
      <c r="B2407" s="37" t="s">
        <v>9487</v>
      </c>
      <c r="C2407" s="51" t="s">
        <v>314</v>
      </c>
      <c r="D2407" s="52">
        <v>2133</v>
      </c>
      <c r="E2407" s="35">
        <v>44643</v>
      </c>
      <c r="F2407" s="52">
        <v>2133</v>
      </c>
      <c r="G2407" s="53">
        <f>Tabla14[[#This Row],[Importe]]-Tabla14[[#This Row],[Pagado]]</f>
        <v>0</v>
      </c>
      <c r="H2407" s="37" t="s">
        <v>10</v>
      </c>
    </row>
    <row r="2408" spans="1:8" x14ac:dyDescent="0.25">
      <c r="A2408" s="31">
        <v>44642</v>
      </c>
      <c r="B2408" s="37" t="s">
        <v>9488</v>
      </c>
      <c r="C2408" s="51" t="s">
        <v>409</v>
      </c>
      <c r="D2408" s="52">
        <v>5316</v>
      </c>
      <c r="E2408" s="35">
        <v>44644</v>
      </c>
      <c r="F2408" s="52">
        <v>5316</v>
      </c>
      <c r="G2408" s="53">
        <f>Tabla14[[#This Row],[Importe]]-Tabla14[[#This Row],[Pagado]]</f>
        <v>0</v>
      </c>
      <c r="H2408" s="37" t="s">
        <v>10</v>
      </c>
    </row>
    <row r="2409" spans="1:8" ht="31.5" x14ac:dyDescent="0.25">
      <c r="A2409" s="31">
        <v>44643</v>
      </c>
      <c r="B2409" s="37" t="s">
        <v>9489</v>
      </c>
      <c r="C2409" s="51" t="s">
        <v>475</v>
      </c>
      <c r="D2409" s="52">
        <v>103078</v>
      </c>
      <c r="E2409" s="35" t="s">
        <v>9490</v>
      </c>
      <c r="F2409" s="52">
        <f>80000+23078</f>
        <v>103078</v>
      </c>
      <c r="G2409" s="53">
        <f>Tabla14[[#This Row],[Importe]]-Tabla14[[#This Row],[Pagado]]</f>
        <v>0</v>
      </c>
      <c r="H2409" s="37" t="s">
        <v>10</v>
      </c>
    </row>
    <row r="2410" spans="1:8" x14ac:dyDescent="0.25">
      <c r="A2410" s="31">
        <v>44643</v>
      </c>
      <c r="B2410" s="37" t="s">
        <v>9491</v>
      </c>
      <c r="C2410" s="51" t="s">
        <v>481</v>
      </c>
      <c r="D2410" s="52">
        <v>2189.9</v>
      </c>
      <c r="E2410" s="35">
        <v>44643</v>
      </c>
      <c r="F2410" s="52">
        <v>2189.9</v>
      </c>
      <c r="G2410" s="53">
        <f>Tabla14[[#This Row],[Importe]]-Tabla14[[#This Row],[Pagado]]</f>
        <v>0</v>
      </c>
      <c r="H2410" s="37" t="s">
        <v>10</v>
      </c>
    </row>
    <row r="2411" spans="1:8" x14ac:dyDescent="0.25">
      <c r="A2411" s="31">
        <v>44643</v>
      </c>
      <c r="B2411" s="37" t="s">
        <v>9492</v>
      </c>
      <c r="C2411" s="51" t="s">
        <v>12</v>
      </c>
      <c r="D2411" s="52">
        <v>30858.05</v>
      </c>
      <c r="E2411" s="35">
        <v>44644</v>
      </c>
      <c r="F2411" s="52">
        <v>30858.05</v>
      </c>
      <c r="G2411" s="53">
        <f>Tabla14[[#This Row],[Importe]]-Tabla14[[#This Row],[Pagado]]</f>
        <v>0</v>
      </c>
      <c r="H2411" s="37" t="s">
        <v>10</v>
      </c>
    </row>
    <row r="2412" spans="1:8" x14ac:dyDescent="0.25">
      <c r="A2412" s="31">
        <v>44643</v>
      </c>
      <c r="B2412" s="37" t="s">
        <v>9493</v>
      </c>
      <c r="C2412" s="51" t="s">
        <v>9415</v>
      </c>
      <c r="D2412" s="52">
        <v>4512</v>
      </c>
      <c r="E2412" s="35">
        <v>44644</v>
      </c>
      <c r="F2412" s="52">
        <v>4512</v>
      </c>
      <c r="G2412" s="53">
        <f>Tabla14[[#This Row],[Importe]]-Tabla14[[#This Row],[Pagado]]</f>
        <v>0</v>
      </c>
      <c r="H2412" s="37" t="s">
        <v>10</v>
      </c>
    </row>
    <row r="2413" spans="1:8" x14ac:dyDescent="0.25">
      <c r="A2413" s="31">
        <v>44643</v>
      </c>
      <c r="B2413" s="37" t="s">
        <v>9494</v>
      </c>
      <c r="C2413" s="51" t="s">
        <v>9</v>
      </c>
      <c r="D2413" s="52">
        <v>5956.6</v>
      </c>
      <c r="E2413" s="35">
        <v>44643</v>
      </c>
      <c r="F2413" s="52">
        <v>5956.6</v>
      </c>
      <c r="G2413" s="53">
        <f>Tabla14[[#This Row],[Importe]]-Tabla14[[#This Row],[Pagado]]</f>
        <v>0</v>
      </c>
      <c r="H2413" s="37" t="s">
        <v>10</v>
      </c>
    </row>
    <row r="2414" spans="1:8" x14ac:dyDescent="0.25">
      <c r="A2414" s="31">
        <v>44643</v>
      </c>
      <c r="B2414" s="37" t="s">
        <v>9495</v>
      </c>
      <c r="C2414" s="51" t="s">
        <v>105</v>
      </c>
      <c r="D2414" s="52">
        <v>5524.8</v>
      </c>
      <c r="E2414" s="35">
        <v>44644</v>
      </c>
      <c r="F2414" s="52">
        <v>5524.8</v>
      </c>
      <c r="G2414" s="53">
        <f>Tabla14[[#This Row],[Importe]]-Tabla14[[#This Row],[Pagado]]</f>
        <v>0</v>
      </c>
      <c r="H2414" s="37" t="s">
        <v>10</v>
      </c>
    </row>
    <row r="2415" spans="1:8" x14ac:dyDescent="0.25">
      <c r="A2415" s="31">
        <v>44643</v>
      </c>
      <c r="B2415" s="37" t="s">
        <v>9496</v>
      </c>
      <c r="C2415" s="51" t="s">
        <v>93</v>
      </c>
      <c r="D2415" s="52">
        <v>5900.4</v>
      </c>
      <c r="E2415" s="35">
        <v>44644</v>
      </c>
      <c r="F2415" s="52">
        <v>5900.4</v>
      </c>
      <c r="G2415" s="53">
        <f>Tabla14[[#This Row],[Importe]]-Tabla14[[#This Row],[Pagado]]</f>
        <v>0</v>
      </c>
      <c r="H2415" s="37" t="s">
        <v>10</v>
      </c>
    </row>
    <row r="2416" spans="1:8" x14ac:dyDescent="0.25">
      <c r="A2416" s="31">
        <v>44643</v>
      </c>
      <c r="B2416" s="37" t="s">
        <v>9497</v>
      </c>
      <c r="C2416" s="51" t="s">
        <v>64</v>
      </c>
      <c r="D2416" s="52">
        <v>3940</v>
      </c>
      <c r="E2416" s="35">
        <v>44645</v>
      </c>
      <c r="F2416" s="52">
        <v>3940</v>
      </c>
      <c r="G2416" s="53">
        <f>Tabla14[[#This Row],[Importe]]-Tabla14[[#This Row],[Pagado]]</f>
        <v>0</v>
      </c>
      <c r="H2416" s="37" t="s">
        <v>10</v>
      </c>
    </row>
    <row r="2417" spans="1:8" x14ac:dyDescent="0.25">
      <c r="A2417" s="31">
        <v>44643</v>
      </c>
      <c r="B2417" s="37" t="s">
        <v>9498</v>
      </c>
      <c r="C2417" s="51" t="s">
        <v>97</v>
      </c>
      <c r="D2417" s="52">
        <v>10319.299999999999</v>
      </c>
      <c r="E2417" s="35">
        <v>44644</v>
      </c>
      <c r="F2417" s="52">
        <v>10319.299999999999</v>
      </c>
      <c r="G2417" s="53">
        <f>Tabla14[[#This Row],[Importe]]-Tabla14[[#This Row],[Pagado]]</f>
        <v>0</v>
      </c>
      <c r="H2417" s="37" t="s">
        <v>10</v>
      </c>
    </row>
    <row r="2418" spans="1:8" x14ac:dyDescent="0.25">
      <c r="A2418" s="31">
        <v>44643</v>
      </c>
      <c r="B2418" s="37" t="s">
        <v>9499</v>
      </c>
      <c r="C2418" s="51" t="s">
        <v>89</v>
      </c>
      <c r="D2418" s="52">
        <v>4372</v>
      </c>
      <c r="E2418" s="35">
        <v>44644</v>
      </c>
      <c r="F2418" s="52">
        <v>4372</v>
      </c>
      <c r="G2418" s="53">
        <f>Tabla14[[#This Row],[Importe]]-Tabla14[[#This Row],[Pagado]]</f>
        <v>0</v>
      </c>
      <c r="H2418" s="37" t="s">
        <v>10</v>
      </c>
    </row>
    <row r="2419" spans="1:8" x14ac:dyDescent="0.25">
      <c r="A2419" s="31">
        <v>44643</v>
      </c>
      <c r="B2419" s="37" t="s">
        <v>9500</v>
      </c>
      <c r="C2419" s="51" t="s">
        <v>99</v>
      </c>
      <c r="D2419" s="52">
        <v>1371.6</v>
      </c>
      <c r="E2419" s="35">
        <v>44646</v>
      </c>
      <c r="F2419" s="52">
        <v>1371.6</v>
      </c>
      <c r="G2419" s="53">
        <f>Tabla14[[#This Row],[Importe]]-Tabla14[[#This Row],[Pagado]]</f>
        <v>0</v>
      </c>
      <c r="H2419" s="37" t="s">
        <v>10</v>
      </c>
    </row>
    <row r="2420" spans="1:8" x14ac:dyDescent="0.25">
      <c r="A2420" s="31">
        <v>44643</v>
      </c>
      <c r="B2420" s="37" t="s">
        <v>9501</v>
      </c>
      <c r="C2420" s="51" t="s">
        <v>31</v>
      </c>
      <c r="D2420" s="52">
        <v>2781.6</v>
      </c>
      <c r="E2420" s="35">
        <v>44643</v>
      </c>
      <c r="F2420" s="52">
        <v>2781.6</v>
      </c>
      <c r="G2420" s="53">
        <f>Tabla14[[#This Row],[Importe]]-Tabla14[[#This Row],[Pagado]]</f>
        <v>0</v>
      </c>
      <c r="H2420" s="37" t="s">
        <v>10</v>
      </c>
    </row>
    <row r="2421" spans="1:8" x14ac:dyDescent="0.25">
      <c r="A2421" s="31">
        <v>44643</v>
      </c>
      <c r="B2421" s="37" t="s">
        <v>9502</v>
      </c>
      <c r="C2421" s="51" t="s">
        <v>24</v>
      </c>
      <c r="D2421" s="52">
        <v>4169.5</v>
      </c>
      <c r="E2421" s="35">
        <v>44643</v>
      </c>
      <c r="F2421" s="52">
        <v>4169.5</v>
      </c>
      <c r="G2421" s="53">
        <f>Tabla14[[#This Row],[Importe]]-Tabla14[[#This Row],[Pagado]]</f>
        <v>0</v>
      </c>
      <c r="H2421" s="37" t="s">
        <v>10</v>
      </c>
    </row>
    <row r="2422" spans="1:8" x14ac:dyDescent="0.25">
      <c r="A2422" s="31">
        <v>44643</v>
      </c>
      <c r="B2422" s="37" t="s">
        <v>9503</v>
      </c>
      <c r="C2422" s="51" t="s">
        <v>924</v>
      </c>
      <c r="D2422" s="52">
        <v>12328.1</v>
      </c>
      <c r="E2422" s="35">
        <v>44643</v>
      </c>
      <c r="F2422" s="52">
        <v>12328.1</v>
      </c>
      <c r="G2422" s="53">
        <f>Tabla14[[#This Row],[Importe]]-Tabla14[[#This Row],[Pagado]]</f>
        <v>0</v>
      </c>
      <c r="H2422" s="37" t="s">
        <v>10</v>
      </c>
    </row>
    <row r="2423" spans="1:8" x14ac:dyDescent="0.25">
      <c r="A2423" s="31">
        <v>44643</v>
      </c>
      <c r="B2423" s="37" t="s">
        <v>9504</v>
      </c>
      <c r="C2423" s="51" t="s">
        <v>2151</v>
      </c>
      <c r="D2423" s="52">
        <v>11371.2</v>
      </c>
      <c r="E2423" s="35">
        <v>44643</v>
      </c>
      <c r="F2423" s="52">
        <v>11371.2</v>
      </c>
      <c r="G2423" s="53">
        <f>Tabla14[[#This Row],[Importe]]-Tabla14[[#This Row],[Pagado]]</f>
        <v>0</v>
      </c>
      <c r="H2423" s="37" t="s">
        <v>10</v>
      </c>
    </row>
    <row r="2424" spans="1:8" x14ac:dyDescent="0.25">
      <c r="A2424" s="31">
        <v>44643</v>
      </c>
      <c r="B2424" s="37" t="s">
        <v>9505</v>
      </c>
      <c r="C2424" s="51" t="s">
        <v>114</v>
      </c>
      <c r="D2424" s="52">
        <v>8380.7999999999993</v>
      </c>
      <c r="E2424" s="35">
        <v>44644</v>
      </c>
      <c r="F2424" s="52">
        <v>8380.7999999999993</v>
      </c>
      <c r="G2424" s="53">
        <f>Tabla14[[#This Row],[Importe]]-Tabla14[[#This Row],[Pagado]]</f>
        <v>0</v>
      </c>
      <c r="H2424" s="37" t="s">
        <v>10</v>
      </c>
    </row>
    <row r="2425" spans="1:8" x14ac:dyDescent="0.25">
      <c r="A2425" s="31">
        <v>44643</v>
      </c>
      <c r="B2425" s="37" t="s">
        <v>9506</v>
      </c>
      <c r="C2425" s="51" t="s">
        <v>326</v>
      </c>
      <c r="D2425" s="52">
        <v>4353.6000000000004</v>
      </c>
      <c r="E2425" s="35">
        <v>44644</v>
      </c>
      <c r="F2425" s="52">
        <v>4353.6000000000004</v>
      </c>
      <c r="G2425" s="53">
        <f>Tabla14[[#This Row],[Importe]]-Tabla14[[#This Row],[Pagado]]</f>
        <v>0</v>
      </c>
      <c r="H2425" s="37" t="s">
        <v>10</v>
      </c>
    </row>
    <row r="2426" spans="1:8" x14ac:dyDescent="0.25">
      <c r="A2426" s="31">
        <v>44643</v>
      </c>
      <c r="B2426" s="37" t="s">
        <v>9507</v>
      </c>
      <c r="C2426" s="51" t="s">
        <v>109</v>
      </c>
      <c r="D2426" s="52">
        <v>4406.3999999999996</v>
      </c>
      <c r="E2426" s="35">
        <v>44644</v>
      </c>
      <c r="F2426" s="52">
        <v>4406.3999999999996</v>
      </c>
      <c r="G2426" s="53">
        <f>Tabla14[[#This Row],[Importe]]-Tabla14[[#This Row],[Pagado]]</f>
        <v>0</v>
      </c>
      <c r="H2426" s="37" t="s">
        <v>10</v>
      </c>
    </row>
    <row r="2427" spans="1:8" x14ac:dyDescent="0.25">
      <c r="A2427" s="31">
        <v>44643</v>
      </c>
      <c r="B2427" s="37" t="s">
        <v>9508</v>
      </c>
      <c r="C2427" s="51" t="s">
        <v>111</v>
      </c>
      <c r="D2427" s="52">
        <v>3979.2</v>
      </c>
      <c r="E2427" s="35">
        <v>44644</v>
      </c>
      <c r="F2427" s="52">
        <v>3979.2</v>
      </c>
      <c r="G2427" s="53">
        <f>Tabla14[[#This Row],[Importe]]-Tabla14[[#This Row],[Pagado]]</f>
        <v>0</v>
      </c>
      <c r="H2427" s="37" t="s">
        <v>10</v>
      </c>
    </row>
    <row r="2428" spans="1:8" x14ac:dyDescent="0.25">
      <c r="A2428" s="31">
        <v>44643</v>
      </c>
      <c r="B2428" s="37" t="s">
        <v>9509</v>
      </c>
      <c r="C2428" s="51" t="s">
        <v>39</v>
      </c>
      <c r="D2428" s="52">
        <v>21200.400000000001</v>
      </c>
      <c r="E2428" s="35">
        <v>44645</v>
      </c>
      <c r="F2428" s="52">
        <v>21200.400000000001</v>
      </c>
      <c r="G2428" s="53">
        <f>Tabla14[[#This Row],[Importe]]-Tabla14[[#This Row],[Pagado]]</f>
        <v>0</v>
      </c>
      <c r="H2428" s="37" t="s">
        <v>10</v>
      </c>
    </row>
    <row r="2429" spans="1:8" x14ac:dyDescent="0.25">
      <c r="A2429" s="31">
        <v>44643</v>
      </c>
      <c r="B2429" s="37" t="s">
        <v>9510</v>
      </c>
      <c r="C2429" s="51" t="s">
        <v>131</v>
      </c>
      <c r="D2429" s="52">
        <v>9190.2000000000007</v>
      </c>
      <c r="E2429" s="35">
        <v>44643</v>
      </c>
      <c r="F2429" s="52">
        <v>9190.2000000000007</v>
      </c>
      <c r="G2429" s="53">
        <f>Tabla14[[#This Row],[Importe]]-Tabla14[[#This Row],[Pagado]]</f>
        <v>0</v>
      </c>
      <c r="H2429" s="37" t="s">
        <v>10</v>
      </c>
    </row>
    <row r="2430" spans="1:8" x14ac:dyDescent="0.25">
      <c r="A2430" s="31">
        <v>44643</v>
      </c>
      <c r="B2430" s="37" t="s">
        <v>9511</v>
      </c>
      <c r="C2430" s="51" t="s">
        <v>9512</v>
      </c>
      <c r="D2430" s="52">
        <v>0</v>
      </c>
      <c r="E2430" s="39" t="s">
        <v>189</v>
      </c>
      <c r="F2430" s="52">
        <v>0</v>
      </c>
      <c r="G2430" s="53">
        <f>Tabla14[[#This Row],[Importe]]-Tabla14[[#This Row],[Pagado]]</f>
        <v>0</v>
      </c>
      <c r="H2430" s="54" t="s">
        <v>9513</v>
      </c>
    </row>
    <row r="2431" spans="1:8" x14ac:dyDescent="0.25">
      <c r="A2431" s="31">
        <v>44643</v>
      </c>
      <c r="B2431" s="37" t="s">
        <v>9514</v>
      </c>
      <c r="C2431" s="51" t="s">
        <v>22</v>
      </c>
      <c r="D2431" s="52">
        <v>40747.5</v>
      </c>
      <c r="E2431" s="35">
        <v>44644</v>
      </c>
      <c r="F2431" s="52">
        <v>40747.5</v>
      </c>
      <c r="G2431" s="53">
        <f>Tabla14[[#This Row],[Importe]]-Tabla14[[#This Row],[Pagado]]</f>
        <v>0</v>
      </c>
      <c r="H2431" s="37" t="s">
        <v>10</v>
      </c>
    </row>
    <row r="2432" spans="1:8" x14ac:dyDescent="0.25">
      <c r="A2432" s="31">
        <v>44643</v>
      </c>
      <c r="B2432" s="37" t="s">
        <v>9515</v>
      </c>
      <c r="C2432" s="51" t="s">
        <v>16</v>
      </c>
      <c r="D2432" s="52">
        <v>5259.3</v>
      </c>
      <c r="E2432" s="35">
        <v>44643</v>
      </c>
      <c r="F2432" s="52">
        <v>5259.3</v>
      </c>
      <c r="G2432" s="53">
        <f>Tabla14[[#This Row],[Importe]]-Tabla14[[#This Row],[Pagado]]</f>
        <v>0</v>
      </c>
      <c r="H2432" s="37" t="s">
        <v>10</v>
      </c>
    </row>
    <row r="2433" spans="1:8" x14ac:dyDescent="0.25">
      <c r="A2433" s="31">
        <v>44643</v>
      </c>
      <c r="B2433" s="37" t="s">
        <v>9516</v>
      </c>
      <c r="C2433" s="51" t="s">
        <v>79</v>
      </c>
      <c r="D2433" s="52">
        <v>5497.2</v>
      </c>
      <c r="E2433" s="35">
        <v>44643</v>
      </c>
      <c r="F2433" s="52">
        <v>5497.2</v>
      </c>
      <c r="G2433" s="53">
        <f>Tabla14[[#This Row],[Importe]]-Tabla14[[#This Row],[Pagado]]</f>
        <v>0</v>
      </c>
      <c r="H2433" s="37" t="s">
        <v>10</v>
      </c>
    </row>
    <row r="2434" spans="1:8" x14ac:dyDescent="0.25">
      <c r="A2434" s="31">
        <v>44643</v>
      </c>
      <c r="B2434" s="37" t="s">
        <v>9517</v>
      </c>
      <c r="C2434" s="51" t="s">
        <v>135</v>
      </c>
      <c r="D2434" s="52">
        <v>1614.6</v>
      </c>
      <c r="E2434" s="35">
        <v>44643</v>
      </c>
      <c r="F2434" s="52">
        <v>1614.6</v>
      </c>
      <c r="G2434" s="53">
        <f>Tabla14[[#This Row],[Importe]]-Tabla14[[#This Row],[Pagado]]</f>
        <v>0</v>
      </c>
      <c r="H2434" s="37" t="s">
        <v>10</v>
      </c>
    </row>
    <row r="2435" spans="1:8" x14ac:dyDescent="0.25">
      <c r="A2435" s="31">
        <v>44643</v>
      </c>
      <c r="B2435" s="37" t="s">
        <v>9518</v>
      </c>
      <c r="C2435" s="51" t="s">
        <v>179</v>
      </c>
      <c r="D2435" s="52">
        <v>858.6</v>
      </c>
      <c r="E2435" s="35">
        <v>44643</v>
      </c>
      <c r="F2435" s="52">
        <v>858.6</v>
      </c>
      <c r="G2435" s="53">
        <f>Tabla14[[#This Row],[Importe]]-Tabla14[[#This Row],[Pagado]]</f>
        <v>0</v>
      </c>
      <c r="H2435" s="37" t="s">
        <v>10</v>
      </c>
    </row>
    <row r="2436" spans="1:8" x14ac:dyDescent="0.25">
      <c r="A2436" s="31">
        <v>44643</v>
      </c>
      <c r="B2436" s="37" t="s">
        <v>9519</v>
      </c>
      <c r="C2436" s="51" t="s">
        <v>484</v>
      </c>
      <c r="D2436" s="52">
        <v>3878.4</v>
      </c>
      <c r="E2436" s="35">
        <v>44643</v>
      </c>
      <c r="F2436" s="52">
        <v>3878.4</v>
      </c>
      <c r="G2436" s="53">
        <f>Tabla14[[#This Row],[Importe]]-Tabla14[[#This Row],[Pagado]]</f>
        <v>0</v>
      </c>
      <c r="H2436" s="37" t="s">
        <v>10</v>
      </c>
    </row>
    <row r="2437" spans="1:8" x14ac:dyDescent="0.25">
      <c r="A2437" s="31">
        <v>44643</v>
      </c>
      <c r="B2437" s="37" t="s">
        <v>9520</v>
      </c>
      <c r="C2437" s="51" t="s">
        <v>357</v>
      </c>
      <c r="D2437" s="52">
        <v>3330.7</v>
      </c>
      <c r="E2437" s="35">
        <v>44643</v>
      </c>
      <c r="F2437" s="52">
        <v>3330.7</v>
      </c>
      <c r="G2437" s="53">
        <f>Tabla14[[#This Row],[Importe]]-Tabla14[[#This Row],[Pagado]]</f>
        <v>0</v>
      </c>
      <c r="H2437" s="37" t="s">
        <v>10</v>
      </c>
    </row>
    <row r="2438" spans="1:8" x14ac:dyDescent="0.25">
      <c r="A2438" s="31">
        <v>44643</v>
      </c>
      <c r="B2438" s="37" t="s">
        <v>9521</v>
      </c>
      <c r="C2438" s="51" t="s">
        <v>140</v>
      </c>
      <c r="D2438" s="52">
        <v>1310</v>
      </c>
      <c r="E2438" s="35">
        <v>44643</v>
      </c>
      <c r="F2438" s="52">
        <v>1310</v>
      </c>
      <c r="G2438" s="53">
        <f>Tabla14[[#This Row],[Importe]]-Tabla14[[#This Row],[Pagado]]</f>
        <v>0</v>
      </c>
      <c r="H2438" s="37" t="s">
        <v>10</v>
      </c>
    </row>
    <row r="2439" spans="1:8" x14ac:dyDescent="0.25">
      <c r="A2439" s="31">
        <v>44643</v>
      </c>
      <c r="B2439" s="37" t="s">
        <v>9522</v>
      </c>
      <c r="C2439" s="51" t="s">
        <v>129</v>
      </c>
      <c r="D2439" s="52">
        <v>4727.1000000000004</v>
      </c>
      <c r="E2439" s="35">
        <v>44643</v>
      </c>
      <c r="F2439" s="52">
        <v>4727.1000000000004</v>
      </c>
      <c r="G2439" s="53">
        <f>Tabla14[[#This Row],[Importe]]-Tabla14[[#This Row],[Pagado]]</f>
        <v>0</v>
      </c>
      <c r="H2439" s="37" t="s">
        <v>10</v>
      </c>
    </row>
    <row r="2440" spans="1:8" x14ac:dyDescent="0.25">
      <c r="A2440" s="31">
        <v>44643</v>
      </c>
      <c r="B2440" s="37" t="s">
        <v>9523</v>
      </c>
      <c r="C2440" s="51" t="s">
        <v>127</v>
      </c>
      <c r="D2440" s="52">
        <v>4415.2</v>
      </c>
      <c r="E2440" s="35">
        <v>44643</v>
      </c>
      <c r="F2440" s="52">
        <v>4415.2</v>
      </c>
      <c r="G2440" s="53">
        <f>Tabla14[[#This Row],[Importe]]-Tabla14[[#This Row],[Pagado]]</f>
        <v>0</v>
      </c>
      <c r="H2440" s="37" t="s">
        <v>10</v>
      </c>
    </row>
    <row r="2441" spans="1:8" x14ac:dyDescent="0.25">
      <c r="A2441" s="31">
        <v>44643</v>
      </c>
      <c r="B2441" s="37" t="s">
        <v>9524</v>
      </c>
      <c r="C2441" s="51" t="s">
        <v>339</v>
      </c>
      <c r="D2441" s="52">
        <v>606.79999999999995</v>
      </c>
      <c r="E2441" s="35">
        <v>44643</v>
      </c>
      <c r="F2441" s="52">
        <v>606.79999999999995</v>
      </c>
      <c r="G2441" s="53">
        <f>Tabla14[[#This Row],[Importe]]-Tabla14[[#This Row],[Pagado]]</f>
        <v>0</v>
      </c>
      <c r="H2441" s="37" t="s">
        <v>10</v>
      </c>
    </row>
    <row r="2442" spans="1:8" x14ac:dyDescent="0.25">
      <c r="A2442" s="31">
        <v>44643</v>
      </c>
      <c r="B2442" s="37" t="s">
        <v>9525</v>
      </c>
      <c r="C2442" s="51" t="s">
        <v>146</v>
      </c>
      <c r="D2442" s="52">
        <v>1861.8</v>
      </c>
      <c r="E2442" s="35">
        <v>44643</v>
      </c>
      <c r="F2442" s="52">
        <v>1861.8</v>
      </c>
      <c r="G2442" s="53">
        <f>Tabla14[[#This Row],[Importe]]-Tabla14[[#This Row],[Pagado]]</f>
        <v>0</v>
      </c>
      <c r="H2442" s="37" t="s">
        <v>10</v>
      </c>
    </row>
    <row r="2443" spans="1:8" x14ac:dyDescent="0.25">
      <c r="A2443" s="31">
        <v>44643</v>
      </c>
      <c r="B2443" s="37" t="s">
        <v>9526</v>
      </c>
      <c r="C2443" s="51" t="s">
        <v>83</v>
      </c>
      <c r="D2443" s="52">
        <v>6966.4</v>
      </c>
      <c r="E2443" s="35">
        <v>44643</v>
      </c>
      <c r="F2443" s="52">
        <v>6966.4</v>
      </c>
      <c r="G2443" s="53">
        <f>Tabla14[[#This Row],[Importe]]-Tabla14[[#This Row],[Pagado]]</f>
        <v>0</v>
      </c>
      <c r="H2443" s="37" t="s">
        <v>10</v>
      </c>
    </row>
    <row r="2444" spans="1:8" x14ac:dyDescent="0.25">
      <c r="A2444" s="31">
        <v>44643</v>
      </c>
      <c r="B2444" s="37" t="s">
        <v>9527</v>
      </c>
      <c r="C2444" s="51" t="s">
        <v>87</v>
      </c>
      <c r="D2444" s="52">
        <v>2308.4</v>
      </c>
      <c r="E2444" s="35">
        <v>44643</v>
      </c>
      <c r="F2444" s="52">
        <v>2308.4</v>
      </c>
      <c r="G2444" s="53">
        <f>Tabla14[[#This Row],[Importe]]-Tabla14[[#This Row],[Pagado]]</f>
        <v>0</v>
      </c>
      <c r="H2444" s="37" t="s">
        <v>10</v>
      </c>
    </row>
    <row r="2445" spans="1:8" x14ac:dyDescent="0.25">
      <c r="A2445" s="31">
        <v>44643</v>
      </c>
      <c r="B2445" s="37" t="s">
        <v>9528</v>
      </c>
      <c r="C2445" s="51" t="s">
        <v>27</v>
      </c>
      <c r="D2445" s="52">
        <v>2784</v>
      </c>
      <c r="E2445" s="35">
        <v>44643</v>
      </c>
      <c r="F2445" s="52">
        <v>2784</v>
      </c>
      <c r="G2445" s="53">
        <f>Tabla14[[#This Row],[Importe]]-Tabla14[[#This Row],[Pagado]]</f>
        <v>0</v>
      </c>
      <c r="H2445" s="37" t="s">
        <v>10</v>
      </c>
    </row>
    <row r="2446" spans="1:8" x14ac:dyDescent="0.25">
      <c r="A2446" s="31">
        <v>44643</v>
      </c>
      <c r="B2446" s="37" t="s">
        <v>9529</v>
      </c>
      <c r="C2446" s="51" t="s">
        <v>125</v>
      </c>
      <c r="D2446" s="52">
        <v>4020.8</v>
      </c>
      <c r="E2446" s="35">
        <v>44643</v>
      </c>
      <c r="F2446" s="52">
        <v>4020.8</v>
      </c>
      <c r="G2446" s="53">
        <f>Tabla14[[#This Row],[Importe]]-Tabla14[[#This Row],[Pagado]]</f>
        <v>0</v>
      </c>
      <c r="H2446" s="37" t="s">
        <v>10</v>
      </c>
    </row>
    <row r="2447" spans="1:8" x14ac:dyDescent="0.25">
      <c r="A2447" s="31">
        <v>44643</v>
      </c>
      <c r="B2447" s="37" t="s">
        <v>9530</v>
      </c>
      <c r="C2447" s="51" t="s">
        <v>53</v>
      </c>
      <c r="D2447" s="52">
        <v>1941.5</v>
      </c>
      <c r="E2447" s="35">
        <v>44643</v>
      </c>
      <c r="F2447" s="52">
        <v>1941.5</v>
      </c>
      <c r="G2447" s="53">
        <f>Tabla14[[#This Row],[Importe]]-Tabla14[[#This Row],[Pagado]]</f>
        <v>0</v>
      </c>
      <c r="H2447" s="37" t="s">
        <v>10</v>
      </c>
    </row>
    <row r="2448" spans="1:8" x14ac:dyDescent="0.25">
      <c r="A2448" s="31">
        <v>44643</v>
      </c>
      <c r="B2448" s="37" t="s">
        <v>9531</v>
      </c>
      <c r="C2448" s="51" t="s">
        <v>31</v>
      </c>
      <c r="D2448" s="52">
        <v>6483.2</v>
      </c>
      <c r="E2448" s="35">
        <v>44644</v>
      </c>
      <c r="F2448" s="52">
        <v>6483.2</v>
      </c>
      <c r="G2448" s="53">
        <f>Tabla14[[#This Row],[Importe]]-Tabla14[[#This Row],[Pagado]]</f>
        <v>0</v>
      </c>
      <c r="H2448" s="37" t="s">
        <v>10</v>
      </c>
    </row>
    <row r="2449" spans="1:8" x14ac:dyDescent="0.25">
      <c r="A2449" s="31">
        <v>44643</v>
      </c>
      <c r="B2449" s="37" t="s">
        <v>9532</v>
      </c>
      <c r="C2449" s="51" t="s">
        <v>154</v>
      </c>
      <c r="D2449" s="52">
        <v>23239.8</v>
      </c>
      <c r="E2449" s="35">
        <v>44646</v>
      </c>
      <c r="F2449" s="52">
        <v>23239.8</v>
      </c>
      <c r="G2449" s="53">
        <f>Tabla14[[#This Row],[Importe]]-Tabla14[[#This Row],[Pagado]]</f>
        <v>0</v>
      </c>
      <c r="H2449" s="37" t="s">
        <v>10</v>
      </c>
    </row>
    <row r="2450" spans="1:8" x14ac:dyDescent="0.25">
      <c r="A2450" s="31">
        <v>44643</v>
      </c>
      <c r="B2450" s="37" t="s">
        <v>9533</v>
      </c>
      <c r="C2450" s="51" t="s">
        <v>206</v>
      </c>
      <c r="D2450" s="52">
        <v>23689.200000000001</v>
      </c>
      <c r="E2450" s="35">
        <v>44646</v>
      </c>
      <c r="F2450" s="52">
        <v>23689.200000000001</v>
      </c>
      <c r="G2450" s="53">
        <f>Tabla14[[#This Row],[Importe]]-Tabla14[[#This Row],[Pagado]]</f>
        <v>0</v>
      </c>
      <c r="H2450" s="37" t="s">
        <v>10</v>
      </c>
    </row>
    <row r="2451" spans="1:8" x14ac:dyDescent="0.25">
      <c r="A2451" s="31">
        <v>44643</v>
      </c>
      <c r="B2451" s="37" t="s">
        <v>9534</v>
      </c>
      <c r="C2451" s="51" t="s">
        <v>273</v>
      </c>
      <c r="D2451" s="52">
        <v>1524.32</v>
      </c>
      <c r="E2451" s="35">
        <v>44643</v>
      </c>
      <c r="F2451" s="52">
        <v>1524.32</v>
      </c>
      <c r="G2451" s="53">
        <f>Tabla14[[#This Row],[Importe]]-Tabla14[[#This Row],[Pagado]]</f>
        <v>0</v>
      </c>
      <c r="H2451" s="37" t="s">
        <v>10</v>
      </c>
    </row>
    <row r="2452" spans="1:8" x14ac:dyDescent="0.25">
      <c r="A2452" s="31">
        <v>44643</v>
      </c>
      <c r="B2452" s="37" t="s">
        <v>9535</v>
      </c>
      <c r="C2452" s="51" t="s">
        <v>212</v>
      </c>
      <c r="D2452" s="52">
        <v>17836</v>
      </c>
      <c r="E2452" s="35">
        <v>44646</v>
      </c>
      <c r="F2452" s="52">
        <v>17836</v>
      </c>
      <c r="G2452" s="53">
        <f>Tabla14[[#This Row],[Importe]]-Tabla14[[#This Row],[Pagado]]</f>
        <v>0</v>
      </c>
      <c r="H2452" s="37" t="s">
        <v>10</v>
      </c>
    </row>
    <row r="2453" spans="1:8" x14ac:dyDescent="0.25">
      <c r="A2453" s="31">
        <v>44643</v>
      </c>
      <c r="B2453" s="37" t="s">
        <v>9536</v>
      </c>
      <c r="C2453" s="51" t="s">
        <v>208</v>
      </c>
      <c r="D2453" s="52">
        <v>13420.6</v>
      </c>
      <c r="E2453" s="35">
        <v>44649</v>
      </c>
      <c r="F2453" s="52">
        <v>13420.6</v>
      </c>
      <c r="G2453" s="53">
        <f>Tabla14[[#This Row],[Importe]]-Tabla14[[#This Row],[Pagado]]</f>
        <v>0</v>
      </c>
      <c r="H2453" s="37" t="s">
        <v>10</v>
      </c>
    </row>
    <row r="2454" spans="1:8" x14ac:dyDescent="0.25">
      <c r="A2454" s="31">
        <v>44643</v>
      </c>
      <c r="B2454" s="37" t="s">
        <v>9537</v>
      </c>
      <c r="C2454" s="51" t="s">
        <v>173</v>
      </c>
      <c r="D2454" s="52">
        <v>25847.599999999999</v>
      </c>
      <c r="E2454" s="35">
        <v>44644</v>
      </c>
      <c r="F2454" s="52">
        <v>25847.599999999999</v>
      </c>
      <c r="G2454" s="53">
        <f>Tabla14[[#This Row],[Importe]]-Tabla14[[#This Row],[Pagado]]</f>
        <v>0</v>
      </c>
      <c r="H2454" s="37" t="s">
        <v>10</v>
      </c>
    </row>
    <row r="2455" spans="1:8" x14ac:dyDescent="0.25">
      <c r="A2455" s="31">
        <v>44643</v>
      </c>
      <c r="B2455" s="37" t="s">
        <v>9538</v>
      </c>
      <c r="C2455" s="51" t="s">
        <v>196</v>
      </c>
      <c r="D2455" s="52">
        <v>117287.22</v>
      </c>
      <c r="E2455" s="35">
        <v>44647</v>
      </c>
      <c r="F2455" s="52">
        <v>117287.22</v>
      </c>
      <c r="G2455" s="53">
        <f>Tabla14[[#This Row],[Importe]]-Tabla14[[#This Row],[Pagado]]</f>
        <v>0</v>
      </c>
      <c r="H2455" s="37" t="s">
        <v>10</v>
      </c>
    </row>
    <row r="2456" spans="1:8" x14ac:dyDescent="0.25">
      <c r="A2456" s="31">
        <v>44643</v>
      </c>
      <c r="B2456" s="37" t="s">
        <v>9539</v>
      </c>
      <c r="C2456" s="51" t="s">
        <v>396</v>
      </c>
      <c r="D2456" s="52">
        <v>10246.200000000001</v>
      </c>
      <c r="E2456" s="35">
        <v>44650</v>
      </c>
      <c r="F2456" s="52">
        <v>10246.200000000001</v>
      </c>
      <c r="G2456" s="53">
        <f>Tabla14[[#This Row],[Importe]]-Tabla14[[#This Row],[Pagado]]</f>
        <v>0</v>
      </c>
      <c r="H2456" s="37" t="s">
        <v>10</v>
      </c>
    </row>
    <row r="2457" spans="1:8" x14ac:dyDescent="0.25">
      <c r="A2457" s="31">
        <v>44643</v>
      </c>
      <c r="B2457" s="37" t="s">
        <v>9540</v>
      </c>
      <c r="C2457" s="51" t="s">
        <v>193</v>
      </c>
      <c r="D2457" s="52">
        <v>5702.4</v>
      </c>
      <c r="E2457" s="35">
        <v>44643</v>
      </c>
      <c r="F2457" s="52">
        <v>5702.4</v>
      </c>
      <c r="G2457" s="53">
        <f>Tabla14[[#This Row],[Importe]]-Tabla14[[#This Row],[Pagado]]</f>
        <v>0</v>
      </c>
      <c r="H2457" s="37" t="s">
        <v>10</v>
      </c>
    </row>
    <row r="2458" spans="1:8" x14ac:dyDescent="0.25">
      <c r="A2458" s="31">
        <v>44643</v>
      </c>
      <c r="B2458" s="37" t="s">
        <v>9541</v>
      </c>
      <c r="C2458" s="51" t="s">
        <v>1630</v>
      </c>
      <c r="D2458" s="52">
        <v>3369.6</v>
      </c>
      <c r="E2458" s="35">
        <v>44644</v>
      </c>
      <c r="F2458" s="52">
        <v>3369.6</v>
      </c>
      <c r="G2458" s="53">
        <f>Tabla14[[#This Row],[Importe]]-Tabla14[[#This Row],[Pagado]]</f>
        <v>0</v>
      </c>
      <c r="H2458" s="37" t="s">
        <v>10</v>
      </c>
    </row>
    <row r="2459" spans="1:8" x14ac:dyDescent="0.25">
      <c r="A2459" s="31">
        <v>44643</v>
      </c>
      <c r="B2459" s="37" t="s">
        <v>9542</v>
      </c>
      <c r="C2459" s="51" t="s">
        <v>804</v>
      </c>
      <c r="D2459" s="52">
        <v>13642.6</v>
      </c>
      <c r="E2459" s="35">
        <v>44643</v>
      </c>
      <c r="F2459" s="52">
        <v>13642.6</v>
      </c>
      <c r="G2459" s="53">
        <f>Tabla14[[#This Row],[Importe]]-Tabla14[[#This Row],[Pagado]]</f>
        <v>0</v>
      </c>
      <c r="H2459" s="37" t="s">
        <v>10</v>
      </c>
    </row>
    <row r="2460" spans="1:8" x14ac:dyDescent="0.25">
      <c r="A2460" s="31">
        <v>44643</v>
      </c>
      <c r="B2460" s="37" t="s">
        <v>9543</v>
      </c>
      <c r="C2460" s="51" t="s">
        <v>218</v>
      </c>
      <c r="D2460" s="52">
        <v>10595.2</v>
      </c>
      <c r="E2460" s="35">
        <v>44646</v>
      </c>
      <c r="F2460" s="52">
        <v>10595.2</v>
      </c>
      <c r="G2460" s="53">
        <f>Tabla14[[#This Row],[Importe]]-Tabla14[[#This Row],[Pagado]]</f>
        <v>0</v>
      </c>
      <c r="H2460" s="37" t="s">
        <v>10</v>
      </c>
    </row>
    <row r="2461" spans="1:8" x14ac:dyDescent="0.25">
      <c r="A2461" s="31">
        <v>44643</v>
      </c>
      <c r="B2461" s="37" t="s">
        <v>9544</v>
      </c>
      <c r="C2461" s="51" t="s">
        <v>224</v>
      </c>
      <c r="D2461" s="52">
        <v>332.8</v>
      </c>
      <c r="E2461" s="35">
        <v>44643</v>
      </c>
      <c r="F2461" s="52">
        <v>332.8</v>
      </c>
      <c r="G2461" s="53">
        <f>Tabla14[[#This Row],[Importe]]-Tabla14[[#This Row],[Pagado]]</f>
        <v>0</v>
      </c>
      <c r="H2461" s="37" t="s">
        <v>10</v>
      </c>
    </row>
    <row r="2462" spans="1:8" x14ac:dyDescent="0.25">
      <c r="A2462" s="31">
        <v>44643</v>
      </c>
      <c r="B2462" s="37" t="s">
        <v>9545</v>
      </c>
      <c r="C2462" s="51" t="s">
        <v>49</v>
      </c>
      <c r="D2462" s="52">
        <v>3797.6</v>
      </c>
      <c r="E2462" s="35">
        <v>44643</v>
      </c>
      <c r="F2462" s="52">
        <v>3797.6</v>
      </c>
      <c r="G2462" s="53">
        <f>Tabla14[[#This Row],[Importe]]-Tabla14[[#This Row],[Pagado]]</f>
        <v>0</v>
      </c>
      <c r="H2462" s="37" t="s">
        <v>10</v>
      </c>
    </row>
    <row r="2463" spans="1:8" x14ac:dyDescent="0.25">
      <c r="A2463" s="31">
        <v>44643</v>
      </c>
      <c r="B2463" s="37" t="s">
        <v>9546</v>
      </c>
      <c r="C2463" s="51" t="s">
        <v>31</v>
      </c>
      <c r="D2463" s="52">
        <v>5958</v>
      </c>
      <c r="E2463" s="35">
        <v>44644</v>
      </c>
      <c r="F2463" s="52">
        <v>5958</v>
      </c>
      <c r="G2463" s="53">
        <f>Tabla14[[#This Row],[Importe]]-Tabla14[[#This Row],[Pagado]]</f>
        <v>0</v>
      </c>
      <c r="H2463" s="37" t="s">
        <v>10</v>
      </c>
    </row>
    <row r="2464" spans="1:8" x14ac:dyDescent="0.25">
      <c r="A2464" s="31">
        <v>44643</v>
      </c>
      <c r="B2464" s="37" t="s">
        <v>9547</v>
      </c>
      <c r="C2464" s="51" t="s">
        <v>373</v>
      </c>
      <c r="D2464" s="52">
        <v>1202.7</v>
      </c>
      <c r="E2464" s="35">
        <v>44643</v>
      </c>
      <c r="F2464" s="52">
        <v>1202.7</v>
      </c>
      <c r="G2464" s="53">
        <f>Tabla14[[#This Row],[Importe]]-Tabla14[[#This Row],[Pagado]]</f>
        <v>0</v>
      </c>
      <c r="H2464" s="37" t="s">
        <v>10</v>
      </c>
    </row>
    <row r="2465" spans="1:8" x14ac:dyDescent="0.25">
      <c r="A2465" s="31">
        <v>44643</v>
      </c>
      <c r="B2465" s="37" t="s">
        <v>9548</v>
      </c>
      <c r="C2465" s="51" t="s">
        <v>133</v>
      </c>
      <c r="D2465" s="52">
        <v>10724.4</v>
      </c>
      <c r="E2465" s="35">
        <v>44644</v>
      </c>
      <c r="F2465" s="52">
        <v>10724.4</v>
      </c>
      <c r="G2465" s="53">
        <f>Tabla14[[#This Row],[Importe]]-Tabla14[[#This Row],[Pagado]]</f>
        <v>0</v>
      </c>
      <c r="H2465" s="37" t="s">
        <v>10</v>
      </c>
    </row>
    <row r="2466" spans="1:8" x14ac:dyDescent="0.25">
      <c r="A2466" s="31">
        <v>44643</v>
      </c>
      <c r="B2466" s="37" t="s">
        <v>9549</v>
      </c>
      <c r="C2466" s="51" t="s">
        <v>45</v>
      </c>
      <c r="D2466" s="52">
        <v>12581.8</v>
      </c>
      <c r="E2466" s="35">
        <v>44643</v>
      </c>
      <c r="F2466" s="52">
        <v>12581.8</v>
      </c>
      <c r="G2466" s="53">
        <f>Tabla14[[#This Row],[Importe]]-Tabla14[[#This Row],[Pagado]]</f>
        <v>0</v>
      </c>
      <c r="H2466" s="37" t="s">
        <v>10</v>
      </c>
    </row>
    <row r="2467" spans="1:8" x14ac:dyDescent="0.25">
      <c r="A2467" s="31">
        <v>44643</v>
      </c>
      <c r="B2467" s="37" t="s">
        <v>9550</v>
      </c>
      <c r="C2467" s="51" t="s">
        <v>226</v>
      </c>
      <c r="D2467" s="52">
        <v>8482.6</v>
      </c>
      <c r="E2467" s="35">
        <v>44643</v>
      </c>
      <c r="F2467" s="52">
        <v>8482.6</v>
      </c>
      <c r="G2467" s="53">
        <f>Tabla14[[#This Row],[Importe]]-Tabla14[[#This Row],[Pagado]]</f>
        <v>0</v>
      </c>
      <c r="H2467" s="37" t="s">
        <v>10</v>
      </c>
    </row>
    <row r="2468" spans="1:8" x14ac:dyDescent="0.25">
      <c r="A2468" s="31">
        <v>44643</v>
      </c>
      <c r="B2468" s="37" t="s">
        <v>9551</v>
      </c>
      <c r="C2468" s="51" t="s">
        <v>47</v>
      </c>
      <c r="D2468" s="52">
        <v>45363</v>
      </c>
      <c r="E2468" s="35">
        <v>44643</v>
      </c>
      <c r="F2468" s="52">
        <v>45363</v>
      </c>
      <c r="G2468" s="53">
        <f>Tabla14[[#This Row],[Importe]]-Tabla14[[#This Row],[Pagado]]</f>
        <v>0</v>
      </c>
      <c r="H2468" s="37" t="s">
        <v>10</v>
      </c>
    </row>
    <row r="2469" spans="1:8" x14ac:dyDescent="0.25">
      <c r="A2469" s="31">
        <v>44643</v>
      </c>
      <c r="B2469" s="37" t="s">
        <v>9552</v>
      </c>
      <c r="C2469" s="51" t="s">
        <v>142</v>
      </c>
      <c r="D2469" s="52">
        <v>7771.4</v>
      </c>
      <c r="E2469" s="35">
        <v>44670</v>
      </c>
      <c r="F2469" s="52">
        <v>7771.4</v>
      </c>
      <c r="G2469" s="53">
        <f>Tabla14[[#This Row],[Importe]]-Tabla14[[#This Row],[Pagado]]</f>
        <v>0</v>
      </c>
      <c r="H2469" s="37" t="s">
        <v>10</v>
      </c>
    </row>
    <row r="2470" spans="1:8" x14ac:dyDescent="0.25">
      <c r="A2470" s="31">
        <v>44643</v>
      </c>
      <c r="B2470" s="37" t="s">
        <v>9553</v>
      </c>
      <c r="C2470" s="51" t="s">
        <v>47</v>
      </c>
      <c r="D2470" s="52">
        <v>2649.32</v>
      </c>
      <c r="E2470" s="35">
        <v>44643</v>
      </c>
      <c r="F2470" s="52">
        <v>2649.32</v>
      </c>
      <c r="G2470" s="53">
        <f>Tabla14[[#This Row],[Importe]]-Tabla14[[#This Row],[Pagado]]</f>
        <v>0</v>
      </c>
      <c r="H2470" s="37" t="s">
        <v>10</v>
      </c>
    </row>
    <row r="2471" spans="1:8" x14ac:dyDescent="0.25">
      <c r="A2471" s="31">
        <v>44643</v>
      </c>
      <c r="B2471" s="37" t="s">
        <v>9554</v>
      </c>
      <c r="C2471" s="51" t="s">
        <v>555</v>
      </c>
      <c r="D2471" s="52">
        <v>27739.32</v>
      </c>
      <c r="E2471" s="35">
        <v>44643</v>
      </c>
      <c r="F2471" s="52">
        <v>27739.32</v>
      </c>
      <c r="G2471" s="53">
        <f>Tabla14[[#This Row],[Importe]]-Tabla14[[#This Row],[Pagado]]</f>
        <v>0</v>
      </c>
      <c r="H2471" s="37" t="s">
        <v>10</v>
      </c>
    </row>
    <row r="2472" spans="1:8" x14ac:dyDescent="0.25">
      <c r="A2472" s="31">
        <v>44643</v>
      </c>
      <c r="B2472" s="37" t="s">
        <v>9555</v>
      </c>
      <c r="C2472" s="51" t="s">
        <v>216</v>
      </c>
      <c r="D2472" s="52">
        <v>1398.6</v>
      </c>
      <c r="E2472" s="35">
        <v>44643</v>
      </c>
      <c r="F2472" s="52">
        <v>1398.6</v>
      </c>
      <c r="G2472" s="53">
        <f>Tabla14[[#This Row],[Importe]]-Tabla14[[#This Row],[Pagado]]</f>
        <v>0</v>
      </c>
      <c r="H2472" s="37" t="s">
        <v>10</v>
      </c>
    </row>
    <row r="2473" spans="1:8" x14ac:dyDescent="0.25">
      <c r="A2473" s="31">
        <v>44643</v>
      </c>
      <c r="B2473" s="37" t="s">
        <v>9556</v>
      </c>
      <c r="C2473" s="51" t="s">
        <v>382</v>
      </c>
      <c r="D2473" s="52">
        <v>562.6</v>
      </c>
      <c r="E2473" s="35">
        <v>44643</v>
      </c>
      <c r="F2473" s="52">
        <v>562.6</v>
      </c>
      <c r="G2473" s="53">
        <f>Tabla14[[#This Row],[Importe]]-Tabla14[[#This Row],[Pagado]]</f>
        <v>0</v>
      </c>
      <c r="H2473" s="37" t="s">
        <v>10</v>
      </c>
    </row>
    <row r="2474" spans="1:8" x14ac:dyDescent="0.25">
      <c r="A2474" s="31">
        <v>44643</v>
      </c>
      <c r="B2474" s="37" t="s">
        <v>9557</v>
      </c>
      <c r="C2474" s="51" t="s">
        <v>230</v>
      </c>
      <c r="D2474" s="52">
        <v>2273.1</v>
      </c>
      <c r="E2474" s="35">
        <v>44643</v>
      </c>
      <c r="F2474" s="52">
        <v>2273.1</v>
      </c>
      <c r="G2474" s="53">
        <f>Tabla14[[#This Row],[Importe]]-Tabla14[[#This Row],[Pagado]]</f>
        <v>0</v>
      </c>
      <c r="H2474" s="37" t="s">
        <v>10</v>
      </c>
    </row>
    <row r="2475" spans="1:8" x14ac:dyDescent="0.25">
      <c r="A2475" s="31">
        <v>44643</v>
      </c>
      <c r="B2475" s="37" t="s">
        <v>9558</v>
      </c>
      <c r="C2475" s="51" t="s">
        <v>62</v>
      </c>
      <c r="D2475" s="52">
        <v>3491.6</v>
      </c>
      <c r="E2475" s="35">
        <v>44643</v>
      </c>
      <c r="F2475" s="52">
        <v>3491.6</v>
      </c>
      <c r="G2475" s="53">
        <f>Tabla14[[#This Row],[Importe]]-Tabla14[[#This Row],[Pagado]]</f>
        <v>0</v>
      </c>
      <c r="H2475" s="37" t="s">
        <v>10</v>
      </c>
    </row>
    <row r="2476" spans="1:8" x14ac:dyDescent="0.25">
      <c r="A2476" s="31">
        <v>44643</v>
      </c>
      <c r="B2476" s="37" t="s">
        <v>9559</v>
      </c>
      <c r="C2476" s="51" t="s">
        <v>359</v>
      </c>
      <c r="D2476" s="52">
        <v>2583.6</v>
      </c>
      <c r="E2476" s="35">
        <v>44643</v>
      </c>
      <c r="F2476" s="52">
        <v>2583.6</v>
      </c>
      <c r="G2476" s="53">
        <f>Tabla14[[#This Row],[Importe]]-Tabla14[[#This Row],[Pagado]]</f>
        <v>0</v>
      </c>
      <c r="H2476" s="37" t="s">
        <v>10</v>
      </c>
    </row>
    <row r="2477" spans="1:8" x14ac:dyDescent="0.25">
      <c r="A2477" s="31">
        <v>44643</v>
      </c>
      <c r="B2477" s="37" t="s">
        <v>9560</v>
      </c>
      <c r="C2477" s="51" t="s">
        <v>175</v>
      </c>
      <c r="D2477" s="52">
        <v>7320.2</v>
      </c>
      <c r="E2477" s="35">
        <v>44643</v>
      </c>
      <c r="F2477" s="52">
        <v>7320.2</v>
      </c>
      <c r="G2477" s="53">
        <f>Tabla14[[#This Row],[Importe]]-Tabla14[[#This Row],[Pagado]]</f>
        <v>0</v>
      </c>
      <c r="H2477" s="37" t="s">
        <v>10</v>
      </c>
    </row>
    <row r="2478" spans="1:8" x14ac:dyDescent="0.25">
      <c r="A2478" s="31">
        <v>44643</v>
      </c>
      <c r="B2478" s="37" t="s">
        <v>9561</v>
      </c>
      <c r="C2478" s="51" t="s">
        <v>312</v>
      </c>
      <c r="D2478" s="52">
        <v>1892.8</v>
      </c>
      <c r="E2478" s="35">
        <v>44643</v>
      </c>
      <c r="F2478" s="52">
        <v>1892.8</v>
      </c>
      <c r="G2478" s="53">
        <f>Tabla14[[#This Row],[Importe]]-Tabla14[[#This Row],[Pagado]]</f>
        <v>0</v>
      </c>
      <c r="H2478" s="37" t="s">
        <v>10</v>
      </c>
    </row>
    <row r="2479" spans="1:8" x14ac:dyDescent="0.25">
      <c r="A2479" s="31">
        <v>44643</v>
      </c>
      <c r="B2479" s="37" t="s">
        <v>9562</v>
      </c>
      <c r="C2479" s="51" t="s">
        <v>85</v>
      </c>
      <c r="D2479" s="52">
        <v>1440.4</v>
      </c>
      <c r="E2479" s="35">
        <v>44643</v>
      </c>
      <c r="F2479" s="52">
        <v>1440.4</v>
      </c>
      <c r="G2479" s="53">
        <f>Tabla14[[#This Row],[Importe]]-Tabla14[[#This Row],[Pagado]]</f>
        <v>0</v>
      </c>
      <c r="H2479" s="37" t="s">
        <v>10</v>
      </c>
    </row>
    <row r="2480" spans="1:8" x14ac:dyDescent="0.25">
      <c r="A2480" s="31">
        <v>44643</v>
      </c>
      <c r="B2480" s="37" t="s">
        <v>9563</v>
      </c>
      <c r="C2480" s="51" t="s">
        <v>200</v>
      </c>
      <c r="D2480" s="52">
        <v>977.4</v>
      </c>
      <c r="E2480" s="35">
        <v>44643</v>
      </c>
      <c r="F2480" s="52">
        <v>977.4</v>
      </c>
      <c r="G2480" s="53">
        <f>Tabla14[[#This Row],[Importe]]-Tabla14[[#This Row],[Pagado]]</f>
        <v>0</v>
      </c>
      <c r="H2480" s="37" t="s">
        <v>10</v>
      </c>
    </row>
    <row r="2481" spans="1:8" x14ac:dyDescent="0.25">
      <c r="A2481" s="31">
        <v>44643</v>
      </c>
      <c r="B2481" s="37" t="s">
        <v>9564</v>
      </c>
      <c r="C2481" s="51" t="s">
        <v>368</v>
      </c>
      <c r="D2481" s="52">
        <v>6915.6</v>
      </c>
      <c r="E2481" s="35">
        <v>44643</v>
      </c>
      <c r="F2481" s="52">
        <v>6915.6</v>
      </c>
      <c r="G2481" s="53">
        <f>Tabla14[[#This Row],[Importe]]-Tabla14[[#This Row],[Pagado]]</f>
        <v>0</v>
      </c>
      <c r="H2481" s="37" t="s">
        <v>10</v>
      </c>
    </row>
    <row r="2482" spans="1:8" x14ac:dyDescent="0.25">
      <c r="A2482" s="31">
        <v>44643</v>
      </c>
      <c r="B2482" s="37" t="s">
        <v>9565</v>
      </c>
      <c r="C2482" s="51" t="s">
        <v>9566</v>
      </c>
      <c r="D2482" s="52">
        <v>0</v>
      </c>
      <c r="E2482" s="39" t="s">
        <v>189</v>
      </c>
      <c r="F2482" s="52">
        <v>0</v>
      </c>
      <c r="G2482" s="53">
        <f>Tabla14[[#This Row],[Importe]]-Tabla14[[#This Row],[Pagado]]</f>
        <v>0</v>
      </c>
      <c r="H2482" s="54" t="s">
        <v>9567</v>
      </c>
    </row>
    <row r="2483" spans="1:8" x14ac:dyDescent="0.25">
      <c r="A2483" s="31">
        <v>44643</v>
      </c>
      <c r="B2483" s="37" t="s">
        <v>9568</v>
      </c>
      <c r="C2483" s="51" t="s">
        <v>2240</v>
      </c>
      <c r="D2483" s="52">
        <v>4572.96</v>
      </c>
      <c r="E2483" s="35">
        <v>44643</v>
      </c>
      <c r="F2483" s="52">
        <v>4572.96</v>
      </c>
      <c r="G2483" s="53">
        <f>Tabla14[[#This Row],[Importe]]-Tabla14[[#This Row],[Pagado]]</f>
        <v>0</v>
      </c>
      <c r="H2483" s="37" t="s">
        <v>10</v>
      </c>
    </row>
    <row r="2484" spans="1:8" x14ac:dyDescent="0.25">
      <c r="A2484" s="31">
        <v>44643</v>
      </c>
      <c r="B2484" s="37" t="s">
        <v>9569</v>
      </c>
      <c r="C2484" s="51" t="s">
        <v>414</v>
      </c>
      <c r="D2484" s="52">
        <v>2160</v>
      </c>
      <c r="E2484" s="35">
        <v>44643</v>
      </c>
      <c r="F2484" s="52">
        <v>2160</v>
      </c>
      <c r="G2484" s="53">
        <f>Tabla14[[#This Row],[Importe]]-Tabla14[[#This Row],[Pagado]]</f>
        <v>0</v>
      </c>
      <c r="H2484" s="37" t="s">
        <v>10</v>
      </c>
    </row>
    <row r="2485" spans="1:8" x14ac:dyDescent="0.25">
      <c r="A2485" s="31">
        <v>44643</v>
      </c>
      <c r="B2485" s="37" t="s">
        <v>9570</v>
      </c>
      <c r="C2485" s="51" t="s">
        <v>31</v>
      </c>
      <c r="D2485" s="52">
        <v>421.2</v>
      </c>
      <c r="E2485" s="35">
        <v>44643</v>
      </c>
      <c r="F2485" s="52">
        <v>421.2</v>
      </c>
      <c r="G2485" s="53">
        <f>Tabla14[[#This Row],[Importe]]-Tabla14[[#This Row],[Pagado]]</f>
        <v>0</v>
      </c>
      <c r="H2485" s="37" t="s">
        <v>10</v>
      </c>
    </row>
    <row r="2486" spans="1:8" x14ac:dyDescent="0.25">
      <c r="A2486" s="31">
        <v>44643</v>
      </c>
      <c r="B2486" s="37" t="s">
        <v>9571</v>
      </c>
      <c r="C2486" s="51" t="s">
        <v>592</v>
      </c>
      <c r="D2486" s="52">
        <v>8926.2000000000007</v>
      </c>
      <c r="E2486" s="35">
        <v>44644</v>
      </c>
      <c r="F2486" s="52">
        <v>8926.2000000000007</v>
      </c>
      <c r="G2486" s="53">
        <f>Tabla14[[#This Row],[Importe]]-Tabla14[[#This Row],[Pagado]]</f>
        <v>0</v>
      </c>
      <c r="H2486" s="37" t="s">
        <v>10</v>
      </c>
    </row>
    <row r="2487" spans="1:8" x14ac:dyDescent="0.25">
      <c r="A2487" s="31">
        <v>44643</v>
      </c>
      <c r="B2487" s="37" t="s">
        <v>9572</v>
      </c>
      <c r="C2487" s="51" t="s">
        <v>698</v>
      </c>
      <c r="D2487" s="52">
        <v>7294.6</v>
      </c>
      <c r="E2487" s="35">
        <v>44643</v>
      </c>
      <c r="F2487" s="52">
        <v>7294.6</v>
      </c>
      <c r="G2487" s="53">
        <f>Tabla14[[#This Row],[Importe]]-Tabla14[[#This Row],[Pagado]]</f>
        <v>0</v>
      </c>
      <c r="H2487" s="37" t="s">
        <v>10</v>
      </c>
    </row>
    <row r="2488" spans="1:8" x14ac:dyDescent="0.25">
      <c r="A2488" s="31">
        <v>44643</v>
      </c>
      <c r="B2488" s="37" t="s">
        <v>9573</v>
      </c>
      <c r="C2488" s="51" t="s">
        <v>107</v>
      </c>
      <c r="D2488" s="52">
        <v>7999.6</v>
      </c>
      <c r="E2488" s="35">
        <v>44643</v>
      </c>
      <c r="F2488" s="52">
        <v>7999.6</v>
      </c>
      <c r="G2488" s="53">
        <f>Tabla14[[#This Row],[Importe]]-Tabla14[[#This Row],[Pagado]]</f>
        <v>0</v>
      </c>
      <c r="H2488" s="37" t="s">
        <v>10</v>
      </c>
    </row>
    <row r="2489" spans="1:8" x14ac:dyDescent="0.25">
      <c r="A2489" s="31">
        <v>44643</v>
      </c>
      <c r="B2489" s="37" t="s">
        <v>9574</v>
      </c>
      <c r="C2489" s="51" t="s">
        <v>275</v>
      </c>
      <c r="D2489" s="52">
        <v>80330.600000000006</v>
      </c>
      <c r="E2489" s="35">
        <v>44659</v>
      </c>
      <c r="F2489" s="52">
        <v>80330.600000000006</v>
      </c>
      <c r="G2489" s="53">
        <f>Tabla14[[#This Row],[Importe]]-Tabla14[[#This Row],[Pagado]]</f>
        <v>0</v>
      </c>
      <c r="H2489" s="37" t="s">
        <v>10</v>
      </c>
    </row>
    <row r="2490" spans="1:8" x14ac:dyDescent="0.25">
      <c r="A2490" s="31">
        <v>44643</v>
      </c>
      <c r="B2490" s="37" t="s">
        <v>9575</v>
      </c>
      <c r="C2490" s="51" t="s">
        <v>1481</v>
      </c>
      <c r="D2490" s="52">
        <v>2205</v>
      </c>
      <c r="E2490" s="35">
        <v>44643</v>
      </c>
      <c r="F2490" s="52">
        <v>2205</v>
      </c>
      <c r="G2490" s="53">
        <f>Tabla14[[#This Row],[Importe]]-Tabla14[[#This Row],[Pagado]]</f>
        <v>0</v>
      </c>
      <c r="H2490" s="37" t="s">
        <v>10</v>
      </c>
    </row>
    <row r="2491" spans="1:8" x14ac:dyDescent="0.25">
      <c r="A2491" s="31">
        <v>44643</v>
      </c>
      <c r="B2491" s="37" t="s">
        <v>9576</v>
      </c>
      <c r="C2491" s="51" t="s">
        <v>9577</v>
      </c>
      <c r="D2491" s="52">
        <v>14814</v>
      </c>
      <c r="E2491" s="35">
        <v>44643</v>
      </c>
      <c r="F2491" s="52">
        <v>14814</v>
      </c>
      <c r="G2491" s="53">
        <f>Tabla14[[#This Row],[Importe]]-Tabla14[[#This Row],[Pagado]]</f>
        <v>0</v>
      </c>
      <c r="H2491" s="37" t="s">
        <v>10</v>
      </c>
    </row>
    <row r="2492" spans="1:8" x14ac:dyDescent="0.25">
      <c r="A2492" s="31">
        <v>44643</v>
      </c>
      <c r="B2492" s="37" t="s">
        <v>9578</v>
      </c>
      <c r="C2492" s="51" t="s">
        <v>9577</v>
      </c>
      <c r="D2492" s="52">
        <v>1600</v>
      </c>
      <c r="E2492" s="35">
        <v>44643</v>
      </c>
      <c r="F2492" s="52">
        <v>1600</v>
      </c>
      <c r="G2492" s="53">
        <f>Tabla14[[#This Row],[Importe]]-Tabla14[[#This Row],[Pagado]]</f>
        <v>0</v>
      </c>
      <c r="H2492" s="37" t="s">
        <v>10</v>
      </c>
    </row>
    <row r="2493" spans="1:8" x14ac:dyDescent="0.25">
      <c r="A2493" s="31">
        <v>44643</v>
      </c>
      <c r="B2493" s="37" t="s">
        <v>9579</v>
      </c>
      <c r="C2493" s="51" t="s">
        <v>58</v>
      </c>
      <c r="D2493" s="52">
        <v>4844</v>
      </c>
      <c r="E2493" s="35">
        <v>44643</v>
      </c>
      <c r="F2493" s="52">
        <v>4844</v>
      </c>
      <c r="G2493" s="53">
        <f>Tabla14[[#This Row],[Importe]]-Tabla14[[#This Row],[Pagado]]</f>
        <v>0</v>
      </c>
      <c r="H2493" s="37" t="s">
        <v>10</v>
      </c>
    </row>
    <row r="2494" spans="1:8" x14ac:dyDescent="0.25">
      <c r="A2494" s="31">
        <v>44643</v>
      </c>
      <c r="B2494" s="37" t="s">
        <v>9580</v>
      </c>
      <c r="C2494" s="51" t="s">
        <v>421</v>
      </c>
      <c r="D2494" s="52">
        <v>5897.5</v>
      </c>
      <c r="E2494" s="35">
        <v>44643</v>
      </c>
      <c r="F2494" s="52">
        <v>5897.5</v>
      </c>
      <c r="G2494" s="53">
        <f>Tabla14[[#This Row],[Importe]]-Tabla14[[#This Row],[Pagado]]</f>
        <v>0</v>
      </c>
      <c r="H2494" s="37" t="s">
        <v>10</v>
      </c>
    </row>
    <row r="2495" spans="1:8" x14ac:dyDescent="0.25">
      <c r="A2495" s="31">
        <v>44643</v>
      </c>
      <c r="B2495" s="37" t="s">
        <v>9581</v>
      </c>
      <c r="C2495" s="51" t="s">
        <v>994</v>
      </c>
      <c r="D2495" s="52">
        <v>3012.8</v>
      </c>
      <c r="E2495" s="35">
        <v>44643</v>
      </c>
      <c r="F2495" s="52">
        <v>3012.8</v>
      </c>
      <c r="G2495" s="53">
        <f>Tabla14[[#This Row],[Importe]]-Tabla14[[#This Row],[Pagado]]</f>
        <v>0</v>
      </c>
      <c r="H2495" s="37" t="s">
        <v>10</v>
      </c>
    </row>
    <row r="2496" spans="1:8" x14ac:dyDescent="0.25">
      <c r="A2496" s="31">
        <v>44643</v>
      </c>
      <c r="B2496" s="37" t="s">
        <v>9582</v>
      </c>
      <c r="C2496" s="51" t="s">
        <v>670</v>
      </c>
      <c r="D2496" s="52">
        <v>3287.2</v>
      </c>
      <c r="E2496" s="35">
        <v>44643</v>
      </c>
      <c r="F2496" s="52">
        <v>3287.2</v>
      </c>
      <c r="G2496" s="53">
        <f>Tabla14[[#This Row],[Importe]]-Tabla14[[#This Row],[Pagado]]</f>
        <v>0</v>
      </c>
      <c r="H2496" s="37" t="s">
        <v>10</v>
      </c>
    </row>
    <row r="2497" spans="1:8" x14ac:dyDescent="0.25">
      <c r="A2497" s="31">
        <v>44643</v>
      </c>
      <c r="B2497" s="37" t="s">
        <v>9583</v>
      </c>
      <c r="C2497" s="51" t="s">
        <v>454</v>
      </c>
      <c r="D2497" s="52">
        <v>3436.8</v>
      </c>
      <c r="E2497" s="35">
        <v>44643</v>
      </c>
      <c r="F2497" s="52">
        <v>3436.8</v>
      </c>
      <c r="G2497" s="53">
        <f>Tabla14[[#This Row],[Importe]]-Tabla14[[#This Row],[Pagado]]</f>
        <v>0</v>
      </c>
      <c r="H2497" s="37" t="s">
        <v>10</v>
      </c>
    </row>
    <row r="2498" spans="1:8" x14ac:dyDescent="0.25">
      <c r="A2498" s="31">
        <v>44643</v>
      </c>
      <c r="B2498" s="37" t="s">
        <v>9584</v>
      </c>
      <c r="C2498" s="51" t="s">
        <v>419</v>
      </c>
      <c r="D2498" s="52">
        <v>10095.799999999999</v>
      </c>
      <c r="E2498" s="35">
        <v>44643</v>
      </c>
      <c r="F2498" s="52">
        <v>10095.799999999999</v>
      </c>
      <c r="G2498" s="53">
        <f>Tabla14[[#This Row],[Importe]]-Tabla14[[#This Row],[Pagado]]</f>
        <v>0</v>
      </c>
      <c r="H2498" s="37" t="s">
        <v>10</v>
      </c>
    </row>
    <row r="2499" spans="1:8" x14ac:dyDescent="0.25">
      <c r="A2499" s="31">
        <v>44643</v>
      </c>
      <c r="B2499" s="37" t="s">
        <v>9585</v>
      </c>
      <c r="C2499" s="51" t="s">
        <v>214</v>
      </c>
      <c r="D2499" s="52">
        <v>1020.6</v>
      </c>
      <c r="E2499" s="35">
        <v>44643</v>
      </c>
      <c r="F2499" s="52">
        <v>1020.6</v>
      </c>
      <c r="G2499" s="53">
        <f>Tabla14[[#This Row],[Importe]]-Tabla14[[#This Row],[Pagado]]</f>
        <v>0</v>
      </c>
      <c r="H2499" s="37" t="s">
        <v>10</v>
      </c>
    </row>
    <row r="2500" spans="1:8" x14ac:dyDescent="0.25">
      <c r="A2500" s="31">
        <v>44643</v>
      </c>
      <c r="B2500" s="37" t="s">
        <v>9586</v>
      </c>
      <c r="C2500" s="51" t="s">
        <v>9587</v>
      </c>
      <c r="D2500" s="52">
        <v>66596.3</v>
      </c>
      <c r="E2500" s="35">
        <v>44643</v>
      </c>
      <c r="F2500" s="52">
        <v>66596.3</v>
      </c>
      <c r="G2500" s="53">
        <f>Tabla14[[#This Row],[Importe]]-Tabla14[[#This Row],[Pagado]]</f>
        <v>0</v>
      </c>
      <c r="H2500" s="37" t="s">
        <v>10</v>
      </c>
    </row>
    <row r="2501" spans="1:8" x14ac:dyDescent="0.25">
      <c r="A2501" s="31">
        <v>44643</v>
      </c>
      <c r="B2501" s="37" t="s">
        <v>9588</v>
      </c>
      <c r="C2501" s="51" t="s">
        <v>698</v>
      </c>
      <c r="D2501" s="52">
        <v>324</v>
      </c>
      <c r="E2501" s="35">
        <v>44643</v>
      </c>
      <c r="F2501" s="52">
        <v>324</v>
      </c>
      <c r="G2501" s="53">
        <f>Tabla14[[#This Row],[Importe]]-Tabla14[[#This Row],[Pagado]]</f>
        <v>0</v>
      </c>
      <c r="H2501" s="37" t="s">
        <v>10</v>
      </c>
    </row>
    <row r="2502" spans="1:8" x14ac:dyDescent="0.25">
      <c r="A2502" s="31">
        <v>44643</v>
      </c>
      <c r="B2502" s="37" t="s">
        <v>9589</v>
      </c>
      <c r="C2502" s="51" t="s">
        <v>263</v>
      </c>
      <c r="D2502" s="52">
        <v>26436.400000000001</v>
      </c>
      <c r="E2502" s="35">
        <v>44648</v>
      </c>
      <c r="F2502" s="52">
        <v>26436.400000000001</v>
      </c>
      <c r="G2502" s="53">
        <f>Tabla14[[#This Row],[Importe]]-Tabla14[[#This Row],[Pagado]]</f>
        <v>0</v>
      </c>
      <c r="H2502" s="37" t="s">
        <v>10</v>
      </c>
    </row>
    <row r="2503" spans="1:8" x14ac:dyDescent="0.25">
      <c r="A2503" s="31">
        <v>44643</v>
      </c>
      <c r="B2503" s="37" t="s">
        <v>9590</v>
      </c>
      <c r="C2503" s="51" t="s">
        <v>16</v>
      </c>
      <c r="D2503" s="52">
        <v>655.20000000000005</v>
      </c>
      <c r="E2503" s="35">
        <v>44643</v>
      </c>
      <c r="F2503" s="52">
        <v>655.20000000000005</v>
      </c>
      <c r="G2503" s="53">
        <f>Tabla14[[#This Row],[Importe]]-Tabla14[[#This Row],[Pagado]]</f>
        <v>0</v>
      </c>
      <c r="H2503" s="37" t="s">
        <v>10</v>
      </c>
    </row>
    <row r="2504" spans="1:8" x14ac:dyDescent="0.25">
      <c r="A2504" s="31">
        <v>44643</v>
      </c>
      <c r="B2504" s="37" t="s">
        <v>9591</v>
      </c>
      <c r="C2504" s="51" t="s">
        <v>235</v>
      </c>
      <c r="D2504" s="52">
        <v>6774.8</v>
      </c>
      <c r="E2504" s="35">
        <v>44643</v>
      </c>
      <c r="F2504" s="52">
        <v>6774.8</v>
      </c>
      <c r="G2504" s="53">
        <f>Tabla14[[#This Row],[Importe]]-Tabla14[[#This Row],[Pagado]]</f>
        <v>0</v>
      </c>
      <c r="H2504" s="37" t="s">
        <v>10</v>
      </c>
    </row>
    <row r="2505" spans="1:8" x14ac:dyDescent="0.25">
      <c r="A2505" s="31">
        <v>44643</v>
      </c>
      <c r="B2505" s="37" t="s">
        <v>9592</v>
      </c>
      <c r="C2505" s="51" t="s">
        <v>235</v>
      </c>
      <c r="D2505" s="52">
        <v>842.4</v>
      </c>
      <c r="E2505" s="35">
        <v>44643</v>
      </c>
      <c r="F2505" s="52">
        <v>842.4</v>
      </c>
      <c r="G2505" s="53">
        <f>Tabla14[[#This Row],[Importe]]-Tabla14[[#This Row],[Pagado]]</f>
        <v>0</v>
      </c>
      <c r="H2505" s="37" t="s">
        <v>10</v>
      </c>
    </row>
    <row r="2506" spans="1:8" x14ac:dyDescent="0.25">
      <c r="A2506" s="31">
        <v>44643</v>
      </c>
      <c r="B2506" s="37" t="s">
        <v>9593</v>
      </c>
      <c r="C2506" s="51" t="s">
        <v>454</v>
      </c>
      <c r="D2506" s="52">
        <v>1401.6</v>
      </c>
      <c r="E2506" s="35">
        <v>44643</v>
      </c>
      <c r="F2506" s="52">
        <v>1401.6</v>
      </c>
      <c r="G2506" s="53">
        <f>Tabla14[[#This Row],[Importe]]-Tabla14[[#This Row],[Pagado]]</f>
        <v>0</v>
      </c>
      <c r="H2506" s="37" t="s">
        <v>10</v>
      </c>
    </row>
    <row r="2507" spans="1:8" x14ac:dyDescent="0.25">
      <c r="A2507" s="31">
        <v>44643</v>
      </c>
      <c r="B2507" s="37" t="s">
        <v>9594</v>
      </c>
      <c r="C2507" s="51" t="s">
        <v>414</v>
      </c>
      <c r="D2507" s="52">
        <v>6285.6</v>
      </c>
      <c r="E2507" s="35">
        <v>44672</v>
      </c>
      <c r="F2507" s="52">
        <v>6285.6</v>
      </c>
      <c r="G2507" s="53">
        <f>Tabla14[[#This Row],[Importe]]-Tabla14[[#This Row],[Pagado]]</f>
        <v>0</v>
      </c>
      <c r="H2507" s="37" t="s">
        <v>10</v>
      </c>
    </row>
    <row r="2508" spans="1:8" x14ac:dyDescent="0.25">
      <c r="A2508" s="31">
        <v>44643</v>
      </c>
      <c r="B2508" s="37" t="s">
        <v>9595</v>
      </c>
      <c r="C2508" s="51" t="s">
        <v>2074</v>
      </c>
      <c r="D2508" s="52">
        <v>4616</v>
      </c>
      <c r="E2508" s="35">
        <v>44643</v>
      </c>
      <c r="F2508" s="52">
        <v>4616</v>
      </c>
      <c r="G2508" s="53">
        <f>Tabla14[[#This Row],[Importe]]-Tabla14[[#This Row],[Pagado]]</f>
        <v>0</v>
      </c>
      <c r="H2508" s="37" t="s">
        <v>10</v>
      </c>
    </row>
    <row r="2509" spans="1:8" x14ac:dyDescent="0.25">
      <c r="A2509" s="31">
        <v>44643</v>
      </c>
      <c r="B2509" s="37" t="s">
        <v>9596</v>
      </c>
      <c r="C2509" s="51" t="s">
        <v>414</v>
      </c>
      <c r="D2509" s="52">
        <v>1143</v>
      </c>
      <c r="E2509" s="35">
        <v>44643</v>
      </c>
      <c r="F2509" s="52">
        <v>1143</v>
      </c>
      <c r="G2509" s="53">
        <f>Tabla14[[#This Row],[Importe]]-Tabla14[[#This Row],[Pagado]]</f>
        <v>0</v>
      </c>
      <c r="H2509" s="37" t="s">
        <v>10</v>
      </c>
    </row>
    <row r="2510" spans="1:8" x14ac:dyDescent="0.25">
      <c r="A2510" s="31">
        <v>44643</v>
      </c>
      <c r="B2510" s="37" t="s">
        <v>9597</v>
      </c>
      <c r="C2510" s="51" t="s">
        <v>435</v>
      </c>
      <c r="D2510" s="52">
        <v>2237</v>
      </c>
      <c r="E2510" s="35">
        <v>44643</v>
      </c>
      <c r="F2510" s="52">
        <v>2237</v>
      </c>
      <c r="G2510" s="53">
        <f>Tabla14[[#This Row],[Importe]]-Tabla14[[#This Row],[Pagado]]</f>
        <v>0</v>
      </c>
      <c r="H2510" s="37" t="s">
        <v>10</v>
      </c>
    </row>
    <row r="2511" spans="1:8" x14ac:dyDescent="0.25">
      <c r="A2511" s="31">
        <v>44643</v>
      </c>
      <c r="B2511" s="37" t="s">
        <v>9598</v>
      </c>
      <c r="C2511" s="51" t="s">
        <v>31</v>
      </c>
      <c r="D2511" s="52">
        <v>3988.7</v>
      </c>
      <c r="E2511" s="35">
        <v>44643</v>
      </c>
      <c r="F2511" s="52">
        <v>3988.7</v>
      </c>
      <c r="G2511" s="53">
        <f>Tabla14[[#This Row],[Importe]]-Tabla14[[#This Row],[Pagado]]</f>
        <v>0</v>
      </c>
      <c r="H2511" s="37" t="s">
        <v>10</v>
      </c>
    </row>
    <row r="2512" spans="1:8" x14ac:dyDescent="0.25">
      <c r="A2512" s="31">
        <v>44643</v>
      </c>
      <c r="B2512" s="37" t="s">
        <v>9599</v>
      </c>
      <c r="C2512" s="51" t="s">
        <v>9587</v>
      </c>
      <c r="D2512" s="52">
        <v>69806.100000000006</v>
      </c>
      <c r="E2512" s="35">
        <v>44643</v>
      </c>
      <c r="F2512" s="52">
        <v>69806.100000000006</v>
      </c>
      <c r="G2512" s="53">
        <f>Tabla14[[#This Row],[Importe]]-Tabla14[[#This Row],[Pagado]]</f>
        <v>0</v>
      </c>
      <c r="H2512" s="37" t="s">
        <v>10</v>
      </c>
    </row>
    <row r="2513" spans="1:8" x14ac:dyDescent="0.25">
      <c r="A2513" s="31">
        <v>44643</v>
      </c>
      <c r="B2513" s="37" t="s">
        <v>9600</v>
      </c>
      <c r="C2513" s="51" t="s">
        <v>712</v>
      </c>
      <c r="D2513" s="52">
        <v>2.65</v>
      </c>
      <c r="E2513" s="35">
        <v>44648</v>
      </c>
      <c r="F2513" s="52">
        <v>2.65</v>
      </c>
      <c r="G2513" s="53">
        <f>Tabla14[[#This Row],[Importe]]-Tabla14[[#This Row],[Pagado]]</f>
        <v>0</v>
      </c>
      <c r="H2513" s="37" t="s">
        <v>10</v>
      </c>
    </row>
    <row r="2514" spans="1:8" x14ac:dyDescent="0.25">
      <c r="A2514" s="31">
        <v>44643</v>
      </c>
      <c r="B2514" s="37" t="s">
        <v>9601</v>
      </c>
      <c r="C2514" s="51" t="s">
        <v>261</v>
      </c>
      <c r="D2514" s="52">
        <v>38609.85</v>
      </c>
      <c r="E2514" s="35">
        <v>44644</v>
      </c>
      <c r="F2514" s="52">
        <v>38609.85</v>
      </c>
      <c r="G2514" s="53">
        <f>Tabla14[[#This Row],[Importe]]-Tabla14[[#This Row],[Pagado]]</f>
        <v>0</v>
      </c>
      <c r="H2514" s="37" t="s">
        <v>10</v>
      </c>
    </row>
    <row r="2515" spans="1:8" x14ac:dyDescent="0.25">
      <c r="A2515" s="31">
        <v>44643</v>
      </c>
      <c r="B2515" s="37" t="s">
        <v>9602</v>
      </c>
      <c r="C2515" s="51" t="s">
        <v>282</v>
      </c>
      <c r="D2515" s="52">
        <v>2214</v>
      </c>
      <c r="E2515" s="35">
        <v>44644</v>
      </c>
      <c r="F2515" s="52">
        <v>2214</v>
      </c>
      <c r="G2515" s="53">
        <f>Tabla14[[#This Row],[Importe]]-Tabla14[[#This Row],[Pagado]]</f>
        <v>0</v>
      </c>
      <c r="H2515" s="37" t="s">
        <v>10</v>
      </c>
    </row>
    <row r="2516" spans="1:8" x14ac:dyDescent="0.25">
      <c r="A2516" s="31">
        <v>44643</v>
      </c>
      <c r="B2516" s="37" t="s">
        <v>9603</v>
      </c>
      <c r="C2516" s="51" t="s">
        <v>280</v>
      </c>
      <c r="D2516" s="52">
        <v>534.6</v>
      </c>
      <c r="E2516" s="35">
        <v>44644</v>
      </c>
      <c r="F2516" s="52">
        <v>534.6</v>
      </c>
      <c r="G2516" s="53">
        <f>Tabla14[[#This Row],[Importe]]-Tabla14[[#This Row],[Pagado]]</f>
        <v>0</v>
      </c>
      <c r="H2516" s="37" t="s">
        <v>10</v>
      </c>
    </row>
    <row r="2517" spans="1:8" x14ac:dyDescent="0.25">
      <c r="A2517" s="31">
        <v>44643</v>
      </c>
      <c r="B2517" s="37" t="s">
        <v>9604</v>
      </c>
      <c r="C2517" s="51" t="s">
        <v>9587</v>
      </c>
      <c r="D2517" s="52">
        <v>33742.300000000003</v>
      </c>
      <c r="E2517" s="35">
        <v>44643</v>
      </c>
      <c r="F2517" s="52">
        <v>33742.300000000003</v>
      </c>
      <c r="G2517" s="53">
        <f>Tabla14[[#This Row],[Importe]]-Tabla14[[#This Row],[Pagado]]</f>
        <v>0</v>
      </c>
      <c r="H2517" s="37" t="s">
        <v>10</v>
      </c>
    </row>
    <row r="2518" spans="1:8" x14ac:dyDescent="0.25">
      <c r="A2518" s="31">
        <v>44643</v>
      </c>
      <c r="B2518" s="37" t="s">
        <v>9605</v>
      </c>
      <c r="C2518" s="51" t="s">
        <v>5345</v>
      </c>
      <c r="D2518" s="52">
        <v>1614.6</v>
      </c>
      <c r="E2518" s="35">
        <v>44644</v>
      </c>
      <c r="F2518" s="52">
        <v>1614.6</v>
      </c>
      <c r="G2518" s="53">
        <f>Tabla14[[#This Row],[Importe]]-Tabla14[[#This Row],[Pagado]]</f>
        <v>0</v>
      </c>
      <c r="H2518" s="37" t="s">
        <v>10</v>
      </c>
    </row>
    <row r="2519" spans="1:8" x14ac:dyDescent="0.25">
      <c r="A2519" s="31">
        <v>44643</v>
      </c>
      <c r="B2519" s="37" t="s">
        <v>9606</v>
      </c>
      <c r="C2519" s="51" t="s">
        <v>284</v>
      </c>
      <c r="D2519" s="52">
        <v>6523.2</v>
      </c>
      <c r="E2519" s="35">
        <v>44644</v>
      </c>
      <c r="F2519" s="52">
        <v>6523.2</v>
      </c>
      <c r="G2519" s="53">
        <f>Tabla14[[#This Row],[Importe]]-Tabla14[[#This Row],[Pagado]]</f>
        <v>0</v>
      </c>
      <c r="H2519" s="37" t="s">
        <v>10</v>
      </c>
    </row>
    <row r="2520" spans="1:8" x14ac:dyDescent="0.25">
      <c r="A2520" s="31">
        <v>44643</v>
      </c>
      <c r="B2520" s="37" t="s">
        <v>9607</v>
      </c>
      <c r="C2520" s="51" t="s">
        <v>1421</v>
      </c>
      <c r="D2520" s="52">
        <v>35931.599999999999</v>
      </c>
      <c r="E2520" s="35">
        <v>44643</v>
      </c>
      <c r="F2520" s="52">
        <v>35931.599999999999</v>
      </c>
      <c r="G2520" s="53">
        <f>Tabla14[[#This Row],[Importe]]-Tabla14[[#This Row],[Pagado]]</f>
        <v>0</v>
      </c>
      <c r="H2520" s="37" t="s">
        <v>10</v>
      </c>
    </row>
    <row r="2521" spans="1:8" x14ac:dyDescent="0.25">
      <c r="A2521" s="31">
        <v>44643</v>
      </c>
      <c r="B2521" s="37" t="s">
        <v>9608</v>
      </c>
      <c r="C2521" s="51" t="s">
        <v>263</v>
      </c>
      <c r="D2521" s="52">
        <v>71591.520000000004</v>
      </c>
      <c r="E2521" s="35">
        <v>44645</v>
      </c>
      <c r="F2521" s="52">
        <v>71591.520000000004</v>
      </c>
      <c r="G2521" s="53">
        <f>Tabla14[[#This Row],[Importe]]-Tabla14[[#This Row],[Pagado]]</f>
        <v>0</v>
      </c>
      <c r="H2521" s="37" t="s">
        <v>10</v>
      </c>
    </row>
    <row r="2522" spans="1:8" x14ac:dyDescent="0.25">
      <c r="A2522" s="31">
        <v>44643</v>
      </c>
      <c r="B2522" s="37" t="s">
        <v>9609</v>
      </c>
      <c r="C2522" s="51" t="s">
        <v>3177</v>
      </c>
      <c r="D2522" s="52">
        <v>3372</v>
      </c>
      <c r="E2522" s="35">
        <v>44643</v>
      </c>
      <c r="F2522" s="52">
        <v>3372</v>
      </c>
      <c r="G2522" s="53">
        <f>Tabla14[[#This Row],[Importe]]-Tabla14[[#This Row],[Pagado]]</f>
        <v>0</v>
      </c>
      <c r="H2522" s="37" t="s">
        <v>10</v>
      </c>
    </row>
    <row r="2523" spans="1:8" x14ac:dyDescent="0.25">
      <c r="A2523" s="31">
        <v>44643</v>
      </c>
      <c r="B2523" s="37" t="s">
        <v>9610</v>
      </c>
      <c r="C2523" s="51" t="s">
        <v>3900</v>
      </c>
      <c r="D2523" s="52">
        <v>3312</v>
      </c>
      <c r="E2523" s="35">
        <v>44643</v>
      </c>
      <c r="F2523" s="52">
        <v>3312</v>
      </c>
      <c r="G2523" s="53">
        <f>Tabla14[[#This Row],[Importe]]-Tabla14[[#This Row],[Pagado]]</f>
        <v>0</v>
      </c>
      <c r="H2523" s="37" t="s">
        <v>10</v>
      </c>
    </row>
    <row r="2524" spans="1:8" x14ac:dyDescent="0.25">
      <c r="A2524" s="31">
        <v>44643</v>
      </c>
      <c r="B2524" s="37" t="s">
        <v>9611</v>
      </c>
      <c r="C2524" s="51" t="s">
        <v>31</v>
      </c>
      <c r="D2524" s="52">
        <v>803.7</v>
      </c>
      <c r="E2524" s="35">
        <v>44643</v>
      </c>
      <c r="F2524" s="52">
        <v>803.7</v>
      </c>
      <c r="G2524" s="53">
        <f>Tabla14[[#This Row],[Importe]]-Tabla14[[#This Row],[Pagado]]</f>
        <v>0</v>
      </c>
      <c r="H2524" s="37" t="s">
        <v>10</v>
      </c>
    </row>
    <row r="2525" spans="1:8" x14ac:dyDescent="0.25">
      <c r="A2525" s="31">
        <v>44643</v>
      </c>
      <c r="B2525" s="37" t="s">
        <v>9612</v>
      </c>
      <c r="C2525" s="51" t="s">
        <v>1437</v>
      </c>
      <c r="D2525" s="52">
        <v>16878.400000000001</v>
      </c>
      <c r="E2525" s="35">
        <v>44643</v>
      </c>
      <c r="F2525" s="52">
        <v>16878.400000000001</v>
      </c>
      <c r="G2525" s="53">
        <f>Tabla14[[#This Row],[Importe]]-Tabla14[[#This Row],[Pagado]]</f>
        <v>0</v>
      </c>
      <c r="H2525" s="37" t="s">
        <v>10</v>
      </c>
    </row>
    <row r="2526" spans="1:8" x14ac:dyDescent="0.25">
      <c r="A2526" s="31">
        <v>44643</v>
      </c>
      <c r="B2526" s="37" t="s">
        <v>9613</v>
      </c>
      <c r="C2526" s="51" t="s">
        <v>31</v>
      </c>
      <c r="D2526" s="52">
        <v>1533.4</v>
      </c>
      <c r="E2526" s="35">
        <v>44643</v>
      </c>
      <c r="F2526" s="52">
        <v>1533.4</v>
      </c>
      <c r="G2526" s="53">
        <f>Tabla14[[#This Row],[Importe]]-Tabla14[[#This Row],[Pagado]]</f>
        <v>0</v>
      </c>
      <c r="H2526" s="37" t="s">
        <v>10</v>
      </c>
    </row>
    <row r="2527" spans="1:8" x14ac:dyDescent="0.25">
      <c r="A2527" s="31">
        <v>44643</v>
      </c>
      <c r="B2527" s="37" t="s">
        <v>9614</v>
      </c>
      <c r="C2527" s="51" t="s">
        <v>2139</v>
      </c>
      <c r="D2527" s="52">
        <v>1160.7</v>
      </c>
      <c r="E2527" s="35">
        <v>44644</v>
      </c>
      <c r="F2527" s="52">
        <v>1160.7</v>
      </c>
      <c r="G2527" s="53">
        <f>Tabla14[[#This Row],[Importe]]-Tabla14[[#This Row],[Pagado]]</f>
        <v>0</v>
      </c>
      <c r="H2527" s="37" t="s">
        <v>10</v>
      </c>
    </row>
    <row r="2528" spans="1:8" x14ac:dyDescent="0.25">
      <c r="A2528" s="31">
        <v>44643</v>
      </c>
      <c r="B2528" s="37" t="s">
        <v>9615</v>
      </c>
      <c r="C2528" s="51" t="s">
        <v>31</v>
      </c>
      <c r="D2528" s="52">
        <v>648</v>
      </c>
      <c r="E2528" s="35">
        <v>44644</v>
      </c>
      <c r="F2528" s="52">
        <v>648</v>
      </c>
      <c r="G2528" s="53">
        <f>Tabla14[[#This Row],[Importe]]-Tabla14[[#This Row],[Pagado]]</f>
        <v>0</v>
      </c>
      <c r="H2528" s="37" t="s">
        <v>10</v>
      </c>
    </row>
    <row r="2529" spans="1:8" x14ac:dyDescent="0.25">
      <c r="A2529" s="31">
        <v>44644</v>
      </c>
      <c r="B2529" s="37" t="s">
        <v>9616</v>
      </c>
      <c r="C2529" s="51" t="s">
        <v>20</v>
      </c>
      <c r="D2529" s="52">
        <v>1674.4</v>
      </c>
      <c r="E2529" s="35">
        <v>44644</v>
      </c>
      <c r="F2529" s="52">
        <v>1674.4</v>
      </c>
      <c r="G2529" s="53">
        <f>Tabla14[[#This Row],[Importe]]-Tabla14[[#This Row],[Pagado]]</f>
        <v>0</v>
      </c>
      <c r="H2529" s="37" t="s">
        <v>10</v>
      </c>
    </row>
    <row r="2530" spans="1:8" x14ac:dyDescent="0.25">
      <c r="A2530" s="31">
        <v>44644</v>
      </c>
      <c r="B2530" s="37" t="s">
        <v>9617</v>
      </c>
      <c r="C2530" s="51" t="s">
        <v>95</v>
      </c>
      <c r="D2530" s="52">
        <v>20740.8</v>
      </c>
      <c r="E2530" s="35">
        <v>44644</v>
      </c>
      <c r="F2530" s="52">
        <v>20740.8</v>
      </c>
      <c r="G2530" s="53">
        <f>Tabla14[[#This Row],[Importe]]-Tabla14[[#This Row],[Pagado]]</f>
        <v>0</v>
      </c>
      <c r="H2530" s="37" t="s">
        <v>10</v>
      </c>
    </row>
    <row r="2531" spans="1:8" x14ac:dyDescent="0.25">
      <c r="A2531" s="31">
        <v>44644</v>
      </c>
      <c r="B2531" s="37" t="s">
        <v>9618</v>
      </c>
      <c r="C2531" s="51" t="s">
        <v>484</v>
      </c>
      <c r="D2531" s="52">
        <v>4838.3999999999996</v>
      </c>
      <c r="E2531" s="35">
        <v>44644</v>
      </c>
      <c r="F2531" s="52">
        <v>4838.3999999999996</v>
      </c>
      <c r="G2531" s="53">
        <f>Tabla14[[#This Row],[Importe]]-Tabla14[[#This Row],[Pagado]]</f>
        <v>0</v>
      </c>
      <c r="H2531" s="37" t="s">
        <v>10</v>
      </c>
    </row>
    <row r="2532" spans="1:8" ht="31.5" x14ac:dyDescent="0.25">
      <c r="A2532" s="31">
        <v>44644</v>
      </c>
      <c r="B2532" s="37" t="s">
        <v>9619</v>
      </c>
      <c r="C2532" s="51" t="s">
        <v>475</v>
      </c>
      <c r="D2532" s="52">
        <v>60935</v>
      </c>
      <c r="E2532" s="35" t="s">
        <v>9620</v>
      </c>
      <c r="F2532" s="52">
        <f>32000+28935</f>
        <v>60935</v>
      </c>
      <c r="G2532" s="53">
        <f>Tabla14[[#This Row],[Importe]]-Tabla14[[#This Row],[Pagado]]</f>
        <v>0</v>
      </c>
      <c r="H2532" s="37" t="s">
        <v>10</v>
      </c>
    </row>
    <row r="2533" spans="1:8" x14ac:dyDescent="0.25">
      <c r="A2533" s="31">
        <v>44644</v>
      </c>
      <c r="B2533" s="37" t="s">
        <v>9621</v>
      </c>
      <c r="C2533" s="51" t="s">
        <v>481</v>
      </c>
      <c r="D2533" s="52">
        <v>1127.7</v>
      </c>
      <c r="E2533" s="35">
        <v>44644</v>
      </c>
      <c r="F2533" s="52">
        <v>1127.7</v>
      </c>
      <c r="G2533" s="53">
        <f>Tabla14[[#This Row],[Importe]]-Tabla14[[#This Row],[Pagado]]</f>
        <v>0</v>
      </c>
      <c r="H2533" s="37" t="s">
        <v>10</v>
      </c>
    </row>
    <row r="2534" spans="1:8" x14ac:dyDescent="0.25">
      <c r="A2534" s="31">
        <v>44644</v>
      </c>
      <c r="B2534" s="37" t="s">
        <v>9622</v>
      </c>
      <c r="C2534" s="51" t="s">
        <v>75</v>
      </c>
      <c r="D2534" s="52">
        <v>5599.8</v>
      </c>
      <c r="E2534" s="35">
        <v>44644</v>
      </c>
      <c r="F2534" s="52">
        <v>5599.8</v>
      </c>
      <c r="G2534" s="53">
        <f>Tabla14[[#This Row],[Importe]]-Tabla14[[#This Row],[Pagado]]</f>
        <v>0</v>
      </c>
      <c r="H2534" s="37" t="s">
        <v>10</v>
      </c>
    </row>
    <row r="2535" spans="1:8" x14ac:dyDescent="0.25">
      <c r="A2535" s="31">
        <v>44644</v>
      </c>
      <c r="B2535" s="37" t="s">
        <v>9623</v>
      </c>
      <c r="C2535" s="51" t="s">
        <v>85</v>
      </c>
      <c r="D2535" s="52">
        <v>1652.4</v>
      </c>
      <c r="E2535" s="35">
        <v>44644</v>
      </c>
      <c r="F2535" s="52">
        <v>1652.4</v>
      </c>
      <c r="G2535" s="53">
        <f>Tabla14[[#This Row],[Importe]]-Tabla14[[#This Row],[Pagado]]</f>
        <v>0</v>
      </c>
      <c r="H2535" s="37" t="s">
        <v>10</v>
      </c>
    </row>
    <row r="2536" spans="1:8" x14ac:dyDescent="0.25">
      <c r="A2536" s="31">
        <v>44644</v>
      </c>
      <c r="B2536" s="37" t="s">
        <v>9624</v>
      </c>
      <c r="C2536" s="51" t="s">
        <v>83</v>
      </c>
      <c r="D2536" s="52">
        <v>7112</v>
      </c>
      <c r="E2536" s="35">
        <v>44644</v>
      </c>
      <c r="F2536" s="52">
        <v>7112</v>
      </c>
      <c r="G2536" s="53">
        <f>Tabla14[[#This Row],[Importe]]-Tabla14[[#This Row],[Pagado]]</f>
        <v>0</v>
      </c>
      <c r="H2536" s="37" t="s">
        <v>10</v>
      </c>
    </row>
    <row r="2537" spans="1:8" x14ac:dyDescent="0.25">
      <c r="A2537" s="31">
        <v>44644</v>
      </c>
      <c r="B2537" s="37" t="s">
        <v>9625</v>
      </c>
      <c r="C2537" s="51" t="s">
        <v>1187</v>
      </c>
      <c r="D2537" s="52">
        <v>2381.6999999999998</v>
      </c>
      <c r="E2537" s="35">
        <v>44644</v>
      </c>
      <c r="F2537" s="52">
        <v>2381.6999999999998</v>
      </c>
      <c r="G2537" s="53">
        <f>Tabla14[[#This Row],[Importe]]-Tabla14[[#This Row],[Pagado]]</f>
        <v>0</v>
      </c>
      <c r="H2537" s="37" t="s">
        <v>10</v>
      </c>
    </row>
    <row r="2538" spans="1:8" x14ac:dyDescent="0.25">
      <c r="A2538" s="31">
        <v>44644</v>
      </c>
      <c r="B2538" s="37" t="s">
        <v>9626</v>
      </c>
      <c r="C2538" s="51" t="s">
        <v>618</v>
      </c>
      <c r="D2538" s="52">
        <v>8678.4</v>
      </c>
      <c r="E2538" s="35">
        <v>44644</v>
      </c>
      <c r="F2538" s="52">
        <v>8678.4</v>
      </c>
      <c r="G2538" s="53">
        <f>Tabla14[[#This Row],[Importe]]-Tabla14[[#This Row],[Pagado]]</f>
        <v>0</v>
      </c>
      <c r="H2538" s="37" t="s">
        <v>10</v>
      </c>
    </row>
    <row r="2539" spans="1:8" x14ac:dyDescent="0.25">
      <c r="A2539" s="31">
        <v>44644</v>
      </c>
      <c r="B2539" s="37" t="s">
        <v>9627</v>
      </c>
      <c r="C2539" s="51" t="s">
        <v>473</v>
      </c>
      <c r="D2539" s="52">
        <v>11205.6</v>
      </c>
      <c r="E2539" s="35">
        <v>44644</v>
      </c>
      <c r="F2539" s="52">
        <v>11205.6</v>
      </c>
      <c r="G2539" s="53">
        <f>Tabla14[[#This Row],[Importe]]-Tabla14[[#This Row],[Pagado]]</f>
        <v>0</v>
      </c>
      <c r="H2539" s="37" t="s">
        <v>10</v>
      </c>
    </row>
    <row r="2540" spans="1:8" x14ac:dyDescent="0.25">
      <c r="A2540" s="31">
        <v>44644</v>
      </c>
      <c r="B2540" s="37" t="s">
        <v>9628</v>
      </c>
      <c r="C2540" s="51" t="s">
        <v>87</v>
      </c>
      <c r="D2540" s="52">
        <v>1749.2</v>
      </c>
      <c r="E2540" s="35">
        <v>44644</v>
      </c>
      <c r="F2540" s="52">
        <v>1749.2</v>
      </c>
      <c r="G2540" s="53">
        <f>Tabla14[[#This Row],[Importe]]-Tabla14[[#This Row],[Pagado]]</f>
        <v>0</v>
      </c>
      <c r="H2540" s="37" t="s">
        <v>10</v>
      </c>
    </row>
    <row r="2541" spans="1:8" x14ac:dyDescent="0.25">
      <c r="A2541" s="31">
        <v>44644</v>
      </c>
      <c r="B2541" s="37" t="s">
        <v>9629</v>
      </c>
      <c r="C2541" s="51" t="s">
        <v>89</v>
      </c>
      <c r="D2541" s="52">
        <v>8448</v>
      </c>
      <c r="E2541" s="35">
        <v>44645</v>
      </c>
      <c r="F2541" s="52">
        <v>8448</v>
      </c>
      <c r="G2541" s="53">
        <f>Tabla14[[#This Row],[Importe]]-Tabla14[[#This Row],[Pagado]]</f>
        <v>0</v>
      </c>
      <c r="H2541" s="37" t="s">
        <v>10</v>
      </c>
    </row>
    <row r="2542" spans="1:8" x14ac:dyDescent="0.25">
      <c r="A2542" s="31">
        <v>44644</v>
      </c>
      <c r="B2542" s="37" t="s">
        <v>9630</v>
      </c>
      <c r="C2542" s="51" t="s">
        <v>18</v>
      </c>
      <c r="D2542" s="52">
        <v>1421</v>
      </c>
      <c r="E2542" s="35">
        <v>44644</v>
      </c>
      <c r="F2542" s="52">
        <v>1421</v>
      </c>
      <c r="G2542" s="53">
        <f>Tabla14[[#This Row],[Importe]]-Tabla14[[#This Row],[Pagado]]</f>
        <v>0</v>
      </c>
      <c r="H2542" s="37" t="s">
        <v>10</v>
      </c>
    </row>
    <row r="2543" spans="1:8" x14ac:dyDescent="0.25">
      <c r="A2543" s="31">
        <v>44644</v>
      </c>
      <c r="B2543" s="37" t="s">
        <v>9631</v>
      </c>
      <c r="C2543" s="51" t="s">
        <v>348</v>
      </c>
      <c r="D2543" s="52">
        <v>2664</v>
      </c>
      <c r="E2543" s="35">
        <v>44644</v>
      </c>
      <c r="F2543" s="52">
        <v>2664</v>
      </c>
      <c r="G2543" s="53">
        <f>Tabla14[[#This Row],[Importe]]-Tabla14[[#This Row],[Pagado]]</f>
        <v>0</v>
      </c>
      <c r="H2543" s="37" t="s">
        <v>10</v>
      </c>
    </row>
    <row r="2544" spans="1:8" x14ac:dyDescent="0.25">
      <c r="A2544" s="31">
        <v>44644</v>
      </c>
      <c r="B2544" s="37" t="s">
        <v>9632</v>
      </c>
      <c r="C2544" s="51" t="s">
        <v>12</v>
      </c>
      <c r="D2544" s="52">
        <v>37032.15</v>
      </c>
      <c r="E2544" s="35">
        <v>44645</v>
      </c>
      <c r="F2544" s="52">
        <v>37032.15</v>
      </c>
      <c r="G2544" s="53">
        <f>Tabla14[[#This Row],[Importe]]-Tabla14[[#This Row],[Pagado]]</f>
        <v>0</v>
      </c>
      <c r="H2544" s="37" t="s">
        <v>10</v>
      </c>
    </row>
    <row r="2545" spans="1:8" x14ac:dyDescent="0.25">
      <c r="A2545" s="31">
        <v>44644</v>
      </c>
      <c r="B2545" s="37" t="s">
        <v>9633</v>
      </c>
      <c r="C2545" s="51" t="s">
        <v>9</v>
      </c>
      <c r="D2545" s="52">
        <v>7952.3</v>
      </c>
      <c r="E2545" s="35">
        <v>44644</v>
      </c>
      <c r="F2545" s="52">
        <v>7952.3</v>
      </c>
      <c r="G2545" s="53">
        <f>Tabla14[[#This Row],[Importe]]-Tabla14[[#This Row],[Pagado]]</f>
        <v>0</v>
      </c>
      <c r="H2545" s="37" t="s">
        <v>10</v>
      </c>
    </row>
    <row r="2546" spans="1:8" x14ac:dyDescent="0.25">
      <c r="A2546" s="31">
        <v>44644</v>
      </c>
      <c r="B2546" s="37" t="s">
        <v>9634</v>
      </c>
      <c r="C2546" s="51" t="s">
        <v>131</v>
      </c>
      <c r="D2546" s="52">
        <v>14002.6</v>
      </c>
      <c r="E2546" s="35">
        <v>44644</v>
      </c>
      <c r="F2546" s="52">
        <v>14002.6</v>
      </c>
      <c r="G2546" s="53">
        <f>Tabla14[[#This Row],[Importe]]-Tabla14[[#This Row],[Pagado]]</f>
        <v>0</v>
      </c>
      <c r="H2546" s="37" t="s">
        <v>10</v>
      </c>
    </row>
    <row r="2547" spans="1:8" x14ac:dyDescent="0.25">
      <c r="A2547" s="31">
        <v>44644</v>
      </c>
      <c r="B2547" s="37" t="s">
        <v>9635</v>
      </c>
      <c r="C2547" s="51" t="s">
        <v>39</v>
      </c>
      <c r="D2547" s="52">
        <v>22565.4</v>
      </c>
      <c r="E2547" s="35">
        <v>44647</v>
      </c>
      <c r="F2547" s="52">
        <v>22565.4</v>
      </c>
      <c r="G2547" s="53">
        <f>Tabla14[[#This Row],[Importe]]-Tabla14[[#This Row],[Pagado]]</f>
        <v>0</v>
      </c>
      <c r="H2547" s="37" t="s">
        <v>10</v>
      </c>
    </row>
    <row r="2548" spans="1:8" x14ac:dyDescent="0.25">
      <c r="A2548" s="31">
        <v>44644</v>
      </c>
      <c r="B2548" s="37" t="s">
        <v>9636</v>
      </c>
      <c r="C2548" s="51" t="s">
        <v>64</v>
      </c>
      <c r="D2548" s="52">
        <v>4685.6000000000004</v>
      </c>
      <c r="E2548" s="35">
        <v>44646</v>
      </c>
      <c r="F2548" s="52">
        <v>4685.6000000000004</v>
      </c>
      <c r="G2548" s="53">
        <f>Tabla14[[#This Row],[Importe]]-Tabla14[[#This Row],[Pagado]]</f>
        <v>0</v>
      </c>
      <c r="H2548" s="37" t="s">
        <v>10</v>
      </c>
    </row>
    <row r="2549" spans="1:8" x14ac:dyDescent="0.25">
      <c r="A2549" s="31">
        <v>44644</v>
      </c>
      <c r="B2549" s="37" t="s">
        <v>9637</v>
      </c>
      <c r="C2549" s="51" t="s">
        <v>60</v>
      </c>
      <c r="D2549" s="52">
        <v>3870</v>
      </c>
      <c r="E2549" s="35">
        <v>44647</v>
      </c>
      <c r="F2549" s="52">
        <v>3870</v>
      </c>
      <c r="G2549" s="53">
        <f>Tabla14[[#This Row],[Importe]]-Tabla14[[#This Row],[Pagado]]</f>
        <v>0</v>
      </c>
      <c r="H2549" s="37" t="s">
        <v>10</v>
      </c>
    </row>
    <row r="2550" spans="1:8" x14ac:dyDescent="0.25">
      <c r="A2550" s="31">
        <v>44644</v>
      </c>
      <c r="B2550" s="37" t="s">
        <v>9638</v>
      </c>
      <c r="C2550" s="51" t="s">
        <v>93</v>
      </c>
      <c r="D2550" s="52">
        <v>4214.3999999999996</v>
      </c>
      <c r="E2550" s="35">
        <v>44645</v>
      </c>
      <c r="F2550" s="52">
        <v>4214.3999999999996</v>
      </c>
      <c r="G2550" s="53">
        <f>Tabla14[[#This Row],[Importe]]-Tabla14[[#This Row],[Pagado]]</f>
        <v>0</v>
      </c>
      <c r="H2550" s="37" t="s">
        <v>10</v>
      </c>
    </row>
    <row r="2551" spans="1:8" x14ac:dyDescent="0.25">
      <c r="A2551" s="31">
        <v>44644</v>
      </c>
      <c r="B2551" s="37" t="s">
        <v>9639</v>
      </c>
      <c r="C2551" s="51" t="s">
        <v>2151</v>
      </c>
      <c r="D2551" s="52">
        <v>14636.8</v>
      </c>
      <c r="E2551" s="35">
        <v>44644</v>
      </c>
      <c r="F2551" s="52">
        <v>14636.8</v>
      </c>
      <c r="G2551" s="53">
        <f>Tabla14[[#This Row],[Importe]]-Tabla14[[#This Row],[Pagado]]</f>
        <v>0</v>
      </c>
      <c r="H2551" s="37" t="s">
        <v>10</v>
      </c>
    </row>
    <row r="2552" spans="1:8" x14ac:dyDescent="0.25">
      <c r="A2552" s="31">
        <v>44644</v>
      </c>
      <c r="B2552" s="37" t="s">
        <v>9640</v>
      </c>
      <c r="C2552" s="51" t="s">
        <v>114</v>
      </c>
      <c r="D2552" s="52">
        <v>3859.2</v>
      </c>
      <c r="E2552" s="35">
        <v>44645</v>
      </c>
      <c r="F2552" s="52">
        <v>3859.2</v>
      </c>
      <c r="G2552" s="53">
        <f>Tabla14[[#This Row],[Importe]]-Tabla14[[#This Row],[Pagado]]</f>
        <v>0</v>
      </c>
      <c r="H2552" s="37" t="s">
        <v>10</v>
      </c>
    </row>
    <row r="2553" spans="1:8" x14ac:dyDescent="0.25">
      <c r="A2553" s="31">
        <v>44644</v>
      </c>
      <c r="B2553" s="37" t="s">
        <v>9641</v>
      </c>
      <c r="C2553" s="51" t="s">
        <v>97</v>
      </c>
      <c r="D2553" s="52">
        <v>6119.4</v>
      </c>
      <c r="E2553" s="35">
        <v>44645</v>
      </c>
      <c r="F2553" s="52">
        <v>6119.4</v>
      </c>
      <c r="G2553" s="53">
        <f>Tabla14[[#This Row],[Importe]]-Tabla14[[#This Row],[Pagado]]</f>
        <v>0</v>
      </c>
      <c r="H2553" s="37" t="s">
        <v>10</v>
      </c>
    </row>
    <row r="2554" spans="1:8" x14ac:dyDescent="0.25">
      <c r="A2554" s="31">
        <v>44644</v>
      </c>
      <c r="B2554" s="37" t="s">
        <v>9642</v>
      </c>
      <c r="C2554" s="51" t="s">
        <v>99</v>
      </c>
      <c r="D2554" s="52">
        <v>3772.8</v>
      </c>
      <c r="E2554" s="35">
        <v>44648</v>
      </c>
      <c r="F2554" s="52">
        <v>3772.8</v>
      </c>
      <c r="G2554" s="53">
        <f>Tabla14[[#This Row],[Importe]]-Tabla14[[#This Row],[Pagado]]</f>
        <v>0</v>
      </c>
      <c r="H2554" s="37" t="s">
        <v>10</v>
      </c>
    </row>
    <row r="2555" spans="1:8" x14ac:dyDescent="0.25">
      <c r="A2555" s="31">
        <v>44644</v>
      </c>
      <c r="B2555" s="37" t="s">
        <v>9643</v>
      </c>
      <c r="C2555" s="51" t="s">
        <v>116</v>
      </c>
      <c r="D2555" s="52">
        <v>3925</v>
      </c>
      <c r="E2555" s="35">
        <v>44646</v>
      </c>
      <c r="F2555" s="52">
        <v>3925</v>
      </c>
      <c r="G2555" s="53">
        <f>Tabla14[[#This Row],[Importe]]-Tabla14[[#This Row],[Pagado]]</f>
        <v>0</v>
      </c>
      <c r="H2555" s="37" t="s">
        <v>10</v>
      </c>
    </row>
    <row r="2556" spans="1:8" x14ac:dyDescent="0.25">
      <c r="A2556" s="31">
        <v>44644</v>
      </c>
      <c r="B2556" s="37" t="s">
        <v>9644</v>
      </c>
      <c r="C2556" s="51" t="s">
        <v>326</v>
      </c>
      <c r="D2556" s="52">
        <v>4310.3999999999996</v>
      </c>
      <c r="E2556" s="35">
        <v>44645</v>
      </c>
      <c r="F2556" s="52">
        <v>4310.3999999999996</v>
      </c>
      <c r="G2556" s="53">
        <f>Tabla14[[#This Row],[Importe]]-Tabla14[[#This Row],[Pagado]]</f>
        <v>0</v>
      </c>
      <c r="H2556" s="37" t="s">
        <v>10</v>
      </c>
    </row>
    <row r="2557" spans="1:8" x14ac:dyDescent="0.25">
      <c r="A2557" s="31">
        <v>44644</v>
      </c>
      <c r="B2557" s="37" t="s">
        <v>9645</v>
      </c>
      <c r="C2557" s="51" t="s">
        <v>105</v>
      </c>
      <c r="D2557" s="52">
        <v>4555.2</v>
      </c>
      <c r="E2557" s="35">
        <v>44645</v>
      </c>
      <c r="F2557" s="52">
        <v>4555.2</v>
      </c>
      <c r="G2557" s="53">
        <f>Tabla14[[#This Row],[Importe]]-Tabla14[[#This Row],[Pagado]]</f>
        <v>0</v>
      </c>
      <c r="H2557" s="37" t="s">
        <v>10</v>
      </c>
    </row>
    <row r="2558" spans="1:8" x14ac:dyDescent="0.25">
      <c r="A2558" s="31">
        <v>44644</v>
      </c>
      <c r="B2558" s="37" t="s">
        <v>9646</v>
      </c>
      <c r="C2558" s="51" t="s">
        <v>129</v>
      </c>
      <c r="D2558" s="52">
        <v>1441</v>
      </c>
      <c r="E2558" s="35">
        <v>44644</v>
      </c>
      <c r="F2558" s="52">
        <v>1441</v>
      </c>
      <c r="G2558" s="53">
        <f>Tabla14[[#This Row],[Importe]]-Tabla14[[#This Row],[Pagado]]</f>
        <v>0</v>
      </c>
      <c r="H2558" s="37" t="s">
        <v>10</v>
      </c>
    </row>
    <row r="2559" spans="1:8" x14ac:dyDescent="0.25">
      <c r="A2559" s="31">
        <v>44644</v>
      </c>
      <c r="B2559" s="37" t="s">
        <v>9647</v>
      </c>
      <c r="C2559" s="51" t="s">
        <v>127</v>
      </c>
      <c r="D2559" s="52">
        <v>1766.5</v>
      </c>
      <c r="E2559" s="35">
        <v>44644</v>
      </c>
      <c r="F2559" s="52">
        <v>1766.5</v>
      </c>
      <c r="G2559" s="53">
        <f>Tabla14[[#This Row],[Importe]]-Tabla14[[#This Row],[Pagado]]</f>
        <v>0</v>
      </c>
      <c r="H2559" s="37" t="s">
        <v>10</v>
      </c>
    </row>
    <row r="2560" spans="1:8" x14ac:dyDescent="0.25">
      <c r="A2560" s="31">
        <v>44644</v>
      </c>
      <c r="B2560" s="37" t="s">
        <v>9648</v>
      </c>
      <c r="C2560" s="51" t="s">
        <v>357</v>
      </c>
      <c r="D2560" s="52">
        <v>935</v>
      </c>
      <c r="E2560" s="35">
        <v>44644</v>
      </c>
      <c r="F2560" s="52">
        <v>935</v>
      </c>
      <c r="G2560" s="53">
        <f>Tabla14[[#This Row],[Importe]]-Tabla14[[#This Row],[Pagado]]</f>
        <v>0</v>
      </c>
      <c r="H2560" s="37" t="s">
        <v>10</v>
      </c>
    </row>
    <row r="2561" spans="1:8" x14ac:dyDescent="0.25">
      <c r="A2561" s="31">
        <v>44644</v>
      </c>
      <c r="B2561" s="37" t="s">
        <v>9649</v>
      </c>
      <c r="C2561" s="51" t="s">
        <v>140</v>
      </c>
      <c r="D2561" s="52">
        <v>951.5</v>
      </c>
      <c r="E2561" s="35">
        <v>44644</v>
      </c>
      <c r="F2561" s="52">
        <v>951.5</v>
      </c>
      <c r="G2561" s="53">
        <f>Tabla14[[#This Row],[Importe]]-Tabla14[[#This Row],[Pagado]]</f>
        <v>0</v>
      </c>
      <c r="H2561" s="37" t="s">
        <v>10</v>
      </c>
    </row>
    <row r="2562" spans="1:8" x14ac:dyDescent="0.25">
      <c r="A2562" s="31">
        <v>44644</v>
      </c>
      <c r="B2562" s="37" t="s">
        <v>9650</v>
      </c>
      <c r="C2562" s="51" t="s">
        <v>22</v>
      </c>
      <c r="D2562" s="52">
        <v>50191.8</v>
      </c>
      <c r="E2562" s="35">
        <v>44645</v>
      </c>
      <c r="F2562" s="52">
        <v>50191.8</v>
      </c>
      <c r="G2562" s="53">
        <f>Tabla14[[#This Row],[Importe]]-Tabla14[[#This Row],[Pagado]]</f>
        <v>0</v>
      </c>
      <c r="H2562" s="37" t="s">
        <v>10</v>
      </c>
    </row>
    <row r="2563" spans="1:8" x14ac:dyDescent="0.25">
      <c r="A2563" s="31">
        <v>44644</v>
      </c>
      <c r="B2563" s="37" t="s">
        <v>9651</v>
      </c>
      <c r="C2563" s="51" t="s">
        <v>125</v>
      </c>
      <c r="D2563" s="52">
        <v>4852</v>
      </c>
      <c r="E2563" s="35">
        <v>44644</v>
      </c>
      <c r="F2563" s="52">
        <v>4852</v>
      </c>
      <c r="G2563" s="53">
        <f>Tabla14[[#This Row],[Importe]]-Tabla14[[#This Row],[Pagado]]</f>
        <v>0</v>
      </c>
      <c r="H2563" s="37" t="s">
        <v>10</v>
      </c>
    </row>
    <row r="2564" spans="1:8" x14ac:dyDescent="0.25">
      <c r="A2564" s="31">
        <v>44644</v>
      </c>
      <c r="B2564" s="37" t="s">
        <v>9652</v>
      </c>
      <c r="C2564" s="51" t="s">
        <v>4136</v>
      </c>
      <c r="D2564" s="52">
        <v>771.6</v>
      </c>
      <c r="E2564" s="35">
        <v>44644</v>
      </c>
      <c r="F2564" s="52">
        <v>771.6</v>
      </c>
      <c r="G2564" s="53">
        <f>Tabla14[[#This Row],[Importe]]-Tabla14[[#This Row],[Pagado]]</f>
        <v>0</v>
      </c>
      <c r="H2564" s="37" t="s">
        <v>10</v>
      </c>
    </row>
    <row r="2565" spans="1:8" x14ac:dyDescent="0.25">
      <c r="A2565" s="31">
        <v>44644</v>
      </c>
      <c r="B2565" s="37" t="s">
        <v>9653</v>
      </c>
      <c r="C2565" s="51" t="s">
        <v>146</v>
      </c>
      <c r="D2565" s="52">
        <v>2389.6</v>
      </c>
      <c r="E2565" s="35">
        <v>44644</v>
      </c>
      <c r="F2565" s="52">
        <v>2389.6</v>
      </c>
      <c r="G2565" s="53">
        <f>Tabla14[[#This Row],[Importe]]-Tabla14[[#This Row],[Pagado]]</f>
        <v>0</v>
      </c>
      <c r="H2565" s="37" t="s">
        <v>10</v>
      </c>
    </row>
    <row r="2566" spans="1:8" x14ac:dyDescent="0.25">
      <c r="A2566" s="31">
        <v>44644</v>
      </c>
      <c r="B2566" s="37" t="s">
        <v>9654</v>
      </c>
      <c r="C2566" s="51" t="s">
        <v>27</v>
      </c>
      <c r="D2566" s="52">
        <v>3271.4</v>
      </c>
      <c r="E2566" s="35">
        <v>44644</v>
      </c>
      <c r="F2566" s="52">
        <v>3271.4</v>
      </c>
      <c r="G2566" s="53">
        <f>Tabla14[[#This Row],[Importe]]-Tabla14[[#This Row],[Pagado]]</f>
        <v>0</v>
      </c>
      <c r="H2566" s="37" t="s">
        <v>10</v>
      </c>
    </row>
    <row r="2567" spans="1:8" x14ac:dyDescent="0.25">
      <c r="A2567" s="31">
        <v>44644</v>
      </c>
      <c r="B2567" s="37" t="s">
        <v>9655</v>
      </c>
      <c r="C2567" s="51" t="s">
        <v>664</v>
      </c>
      <c r="D2567" s="52">
        <v>19334</v>
      </c>
      <c r="E2567" s="35">
        <v>44644</v>
      </c>
      <c r="F2567" s="52">
        <v>19334</v>
      </c>
      <c r="G2567" s="53">
        <f>Tabla14[[#This Row],[Importe]]-Tabla14[[#This Row],[Pagado]]</f>
        <v>0</v>
      </c>
      <c r="H2567" s="37" t="s">
        <v>10</v>
      </c>
    </row>
    <row r="2568" spans="1:8" x14ac:dyDescent="0.25">
      <c r="A2568" s="31">
        <v>44644</v>
      </c>
      <c r="B2568" s="37" t="s">
        <v>9656</v>
      </c>
      <c r="C2568" s="51" t="s">
        <v>8061</v>
      </c>
      <c r="D2568" s="52">
        <v>5900.8</v>
      </c>
      <c r="E2568" s="35">
        <v>44644</v>
      </c>
      <c r="F2568" s="52">
        <v>5900.8</v>
      </c>
      <c r="G2568" s="53">
        <f>Tabla14[[#This Row],[Importe]]-Tabla14[[#This Row],[Pagado]]</f>
        <v>0</v>
      </c>
      <c r="H2568" s="37" t="s">
        <v>10</v>
      </c>
    </row>
    <row r="2569" spans="1:8" x14ac:dyDescent="0.25">
      <c r="A2569" s="31">
        <v>44644</v>
      </c>
      <c r="B2569" s="37" t="s">
        <v>9657</v>
      </c>
      <c r="C2569" s="51" t="s">
        <v>31</v>
      </c>
      <c r="D2569" s="52">
        <v>401.5</v>
      </c>
      <c r="E2569" s="35">
        <v>44644</v>
      </c>
      <c r="F2569" s="52">
        <v>401.5</v>
      </c>
      <c r="G2569" s="53">
        <f>Tabla14[[#This Row],[Importe]]-Tabla14[[#This Row],[Pagado]]</f>
        <v>0</v>
      </c>
      <c r="H2569" s="37" t="s">
        <v>10</v>
      </c>
    </row>
    <row r="2570" spans="1:8" x14ac:dyDescent="0.25">
      <c r="A2570" s="31">
        <v>44644</v>
      </c>
      <c r="B2570" s="37" t="s">
        <v>9658</v>
      </c>
      <c r="C2570" s="51" t="s">
        <v>179</v>
      </c>
      <c r="D2570" s="52">
        <v>1004.4</v>
      </c>
      <c r="E2570" s="35">
        <v>44645</v>
      </c>
      <c r="F2570" s="52">
        <v>1004.4</v>
      </c>
      <c r="G2570" s="53">
        <f>Tabla14[[#This Row],[Importe]]-Tabla14[[#This Row],[Pagado]]</f>
        <v>0</v>
      </c>
      <c r="H2570" s="37" t="s">
        <v>10</v>
      </c>
    </row>
    <row r="2571" spans="1:8" x14ac:dyDescent="0.25">
      <c r="A2571" s="31">
        <v>44644</v>
      </c>
      <c r="B2571" s="37" t="s">
        <v>9659</v>
      </c>
      <c r="C2571" s="51" t="s">
        <v>37</v>
      </c>
      <c r="D2571" s="52">
        <v>3121.6</v>
      </c>
      <c r="E2571" s="35">
        <v>44644</v>
      </c>
      <c r="F2571" s="52">
        <v>3121.6</v>
      </c>
      <c r="G2571" s="53">
        <f>Tabla14[[#This Row],[Importe]]-Tabla14[[#This Row],[Pagado]]</f>
        <v>0</v>
      </c>
      <c r="H2571" s="37" t="s">
        <v>10</v>
      </c>
    </row>
    <row r="2572" spans="1:8" x14ac:dyDescent="0.25">
      <c r="A2572" s="31">
        <v>44644</v>
      </c>
      <c r="B2572" s="37" t="s">
        <v>9660</v>
      </c>
      <c r="C2572" s="51" t="s">
        <v>191</v>
      </c>
      <c r="D2572" s="52">
        <v>1668.8</v>
      </c>
      <c r="E2572" s="35">
        <v>44644</v>
      </c>
      <c r="F2572" s="52">
        <v>1668.8</v>
      </c>
      <c r="G2572" s="53">
        <f>Tabla14[[#This Row],[Importe]]-Tabla14[[#This Row],[Pagado]]</f>
        <v>0</v>
      </c>
      <c r="H2572" s="37" t="s">
        <v>10</v>
      </c>
    </row>
    <row r="2573" spans="1:8" x14ac:dyDescent="0.25">
      <c r="A2573" s="31">
        <v>44644</v>
      </c>
      <c r="B2573" s="37" t="s">
        <v>9661</v>
      </c>
      <c r="C2573" s="51" t="s">
        <v>230</v>
      </c>
      <c r="D2573" s="52">
        <v>5853.4</v>
      </c>
      <c r="E2573" s="35">
        <v>44644</v>
      </c>
      <c r="F2573" s="52">
        <v>5853.4</v>
      </c>
      <c r="G2573" s="53">
        <f>Tabla14[[#This Row],[Importe]]-Tabla14[[#This Row],[Pagado]]</f>
        <v>0</v>
      </c>
      <c r="H2573" s="37" t="s">
        <v>10</v>
      </c>
    </row>
    <row r="2574" spans="1:8" x14ac:dyDescent="0.25">
      <c r="A2574" s="31">
        <v>44644</v>
      </c>
      <c r="B2574" s="37" t="s">
        <v>9662</v>
      </c>
      <c r="C2574" s="51" t="s">
        <v>49</v>
      </c>
      <c r="D2574" s="52">
        <v>2878.6</v>
      </c>
      <c r="E2574" s="35">
        <v>44644</v>
      </c>
      <c r="F2574" s="52">
        <v>2878.6</v>
      </c>
      <c r="G2574" s="53">
        <f>Tabla14[[#This Row],[Importe]]-Tabla14[[#This Row],[Pagado]]</f>
        <v>0</v>
      </c>
      <c r="H2574" s="37" t="s">
        <v>10</v>
      </c>
    </row>
    <row r="2575" spans="1:8" x14ac:dyDescent="0.25">
      <c r="A2575" s="31">
        <v>44644</v>
      </c>
      <c r="B2575" s="37" t="s">
        <v>9663</v>
      </c>
      <c r="C2575" s="51" t="s">
        <v>224</v>
      </c>
      <c r="D2575" s="52">
        <v>2527.1999999999998</v>
      </c>
      <c r="E2575" s="35">
        <v>44644</v>
      </c>
      <c r="F2575" s="52">
        <v>2527.1999999999998</v>
      </c>
      <c r="G2575" s="53">
        <f>Tabla14[[#This Row],[Importe]]-Tabla14[[#This Row],[Pagado]]</f>
        <v>0</v>
      </c>
      <c r="H2575" s="37" t="s">
        <v>10</v>
      </c>
    </row>
    <row r="2576" spans="1:8" x14ac:dyDescent="0.25">
      <c r="A2576" s="31">
        <v>44644</v>
      </c>
      <c r="B2576" s="37" t="s">
        <v>9664</v>
      </c>
      <c r="C2576" s="51" t="s">
        <v>142</v>
      </c>
      <c r="D2576" s="52">
        <v>46801.67</v>
      </c>
      <c r="E2576" s="35">
        <v>44670</v>
      </c>
      <c r="F2576" s="52">
        <v>46801.67</v>
      </c>
      <c r="G2576" s="53">
        <f>Tabla14[[#This Row],[Importe]]-Tabla14[[#This Row],[Pagado]]</f>
        <v>0</v>
      </c>
      <c r="H2576" s="37" t="s">
        <v>10</v>
      </c>
    </row>
    <row r="2577" spans="1:8" x14ac:dyDescent="0.25">
      <c r="A2577" s="31">
        <v>44644</v>
      </c>
      <c r="B2577" s="37" t="s">
        <v>9665</v>
      </c>
      <c r="C2577" s="51" t="s">
        <v>9666</v>
      </c>
      <c r="D2577" s="52">
        <v>0</v>
      </c>
      <c r="E2577" s="39" t="s">
        <v>189</v>
      </c>
      <c r="F2577" s="52">
        <v>0</v>
      </c>
      <c r="G2577" s="53">
        <f>Tabla14[[#This Row],[Importe]]-Tabla14[[#This Row],[Pagado]]</f>
        <v>0</v>
      </c>
      <c r="H2577" s="37" t="s">
        <v>189</v>
      </c>
    </row>
    <row r="2578" spans="1:8" x14ac:dyDescent="0.25">
      <c r="A2578" s="31">
        <v>44644</v>
      </c>
      <c r="B2578" s="37" t="s">
        <v>9667</v>
      </c>
      <c r="C2578" s="51" t="s">
        <v>45</v>
      </c>
      <c r="D2578" s="52">
        <v>12103.4</v>
      </c>
      <c r="E2578" s="35">
        <v>44644</v>
      </c>
      <c r="F2578" s="52">
        <v>12103.4</v>
      </c>
      <c r="G2578" s="53">
        <f>Tabla14[[#This Row],[Importe]]-Tabla14[[#This Row],[Pagado]]</f>
        <v>0</v>
      </c>
      <c r="H2578" s="37" t="s">
        <v>10</v>
      </c>
    </row>
    <row r="2579" spans="1:8" x14ac:dyDescent="0.25">
      <c r="A2579" s="31">
        <v>44644</v>
      </c>
      <c r="B2579" s="37" t="s">
        <v>9668</v>
      </c>
      <c r="C2579" s="51" t="s">
        <v>228</v>
      </c>
      <c r="D2579" s="52">
        <v>4785</v>
      </c>
      <c r="E2579" s="35">
        <v>44644</v>
      </c>
      <c r="F2579" s="52">
        <v>4785</v>
      </c>
      <c r="G2579" s="53">
        <f>Tabla14[[#This Row],[Importe]]-Tabla14[[#This Row],[Pagado]]</f>
        <v>0</v>
      </c>
      <c r="H2579" s="37" t="s">
        <v>10</v>
      </c>
    </row>
    <row r="2580" spans="1:8" x14ac:dyDescent="0.25">
      <c r="A2580" s="31">
        <v>44644</v>
      </c>
      <c r="B2580" s="37" t="s">
        <v>9669</v>
      </c>
      <c r="C2580" s="51" t="s">
        <v>56</v>
      </c>
      <c r="D2580" s="52">
        <v>4724.2</v>
      </c>
      <c r="E2580" s="35">
        <v>44644</v>
      </c>
      <c r="F2580" s="52">
        <v>4724.2</v>
      </c>
      <c r="G2580" s="53">
        <f>Tabla14[[#This Row],[Importe]]-Tabla14[[#This Row],[Pagado]]</f>
        <v>0</v>
      </c>
      <c r="H2580" s="37" t="s">
        <v>10</v>
      </c>
    </row>
    <row r="2581" spans="1:8" x14ac:dyDescent="0.25">
      <c r="A2581" s="31">
        <v>44644</v>
      </c>
      <c r="B2581" s="37" t="s">
        <v>9670</v>
      </c>
      <c r="C2581" s="51" t="s">
        <v>244</v>
      </c>
      <c r="D2581" s="52">
        <v>5053.3999999999996</v>
      </c>
      <c r="E2581" s="35">
        <v>44644</v>
      </c>
      <c r="F2581" s="52">
        <v>5053.3999999999996</v>
      </c>
      <c r="G2581" s="53">
        <f>Tabla14[[#This Row],[Importe]]-Tabla14[[#This Row],[Pagado]]</f>
        <v>0</v>
      </c>
      <c r="H2581" s="37" t="s">
        <v>10</v>
      </c>
    </row>
    <row r="2582" spans="1:8" x14ac:dyDescent="0.25">
      <c r="A2582" s="31">
        <v>44644</v>
      </c>
      <c r="B2582" s="37" t="s">
        <v>9671</v>
      </c>
      <c r="C2582" s="51" t="s">
        <v>196</v>
      </c>
      <c r="D2582" s="52">
        <v>27776.2</v>
      </c>
      <c r="E2582" s="35">
        <v>44647</v>
      </c>
      <c r="F2582" s="52">
        <v>27776.2</v>
      </c>
      <c r="G2582" s="53">
        <f>Tabla14[[#This Row],[Importe]]-Tabla14[[#This Row],[Pagado]]</f>
        <v>0</v>
      </c>
      <c r="H2582" s="37" t="s">
        <v>10</v>
      </c>
    </row>
    <row r="2583" spans="1:8" x14ac:dyDescent="0.25">
      <c r="A2583" s="31">
        <v>44644</v>
      </c>
      <c r="B2583" s="37" t="s">
        <v>9672</v>
      </c>
      <c r="C2583" s="51" t="s">
        <v>9673</v>
      </c>
      <c r="D2583" s="52">
        <v>5011.3999999999996</v>
      </c>
      <c r="E2583" s="35">
        <v>44644</v>
      </c>
      <c r="F2583" s="52">
        <v>5011.3999999999996</v>
      </c>
      <c r="G2583" s="53">
        <f>Tabla14[[#This Row],[Importe]]-Tabla14[[#This Row],[Pagado]]</f>
        <v>0</v>
      </c>
      <c r="H2583" s="37" t="s">
        <v>10</v>
      </c>
    </row>
    <row r="2584" spans="1:8" x14ac:dyDescent="0.25">
      <c r="A2584" s="31">
        <v>44644</v>
      </c>
      <c r="B2584" s="37" t="s">
        <v>9674</v>
      </c>
      <c r="C2584" s="51" t="s">
        <v>222</v>
      </c>
      <c r="D2584" s="52">
        <v>9471.2000000000007</v>
      </c>
      <c r="E2584" s="35">
        <v>44644</v>
      </c>
      <c r="F2584" s="52">
        <v>9471.2000000000007</v>
      </c>
      <c r="G2584" s="53">
        <f>Tabla14[[#This Row],[Importe]]-Tabla14[[#This Row],[Pagado]]</f>
        <v>0</v>
      </c>
      <c r="H2584" s="37" t="s">
        <v>10</v>
      </c>
    </row>
    <row r="2585" spans="1:8" x14ac:dyDescent="0.25">
      <c r="A2585" s="31">
        <v>44644</v>
      </c>
      <c r="B2585" s="37" t="s">
        <v>9675</v>
      </c>
      <c r="C2585" s="51" t="s">
        <v>698</v>
      </c>
      <c r="D2585" s="52">
        <v>3991</v>
      </c>
      <c r="E2585" s="35">
        <v>44644</v>
      </c>
      <c r="F2585" s="52">
        <v>3991</v>
      </c>
      <c r="G2585" s="53">
        <f>Tabla14[[#This Row],[Importe]]-Tabla14[[#This Row],[Pagado]]</f>
        <v>0</v>
      </c>
      <c r="H2585" s="37" t="s">
        <v>10</v>
      </c>
    </row>
    <row r="2586" spans="1:8" x14ac:dyDescent="0.25">
      <c r="A2586" s="31">
        <v>44644</v>
      </c>
      <c r="B2586" s="37" t="s">
        <v>9676</v>
      </c>
      <c r="C2586" s="51" t="s">
        <v>392</v>
      </c>
      <c r="D2586" s="52">
        <v>13047.8</v>
      </c>
      <c r="E2586" s="35">
        <v>44650</v>
      </c>
      <c r="F2586" s="52">
        <v>13047.8</v>
      </c>
      <c r="G2586" s="53">
        <f>Tabla14[[#This Row],[Importe]]-Tabla14[[#This Row],[Pagado]]</f>
        <v>0</v>
      </c>
      <c r="H2586" s="37" t="s">
        <v>10</v>
      </c>
    </row>
    <row r="2587" spans="1:8" x14ac:dyDescent="0.25">
      <c r="A2587" s="31">
        <v>44644</v>
      </c>
      <c r="B2587" s="37" t="s">
        <v>9677</v>
      </c>
      <c r="C2587" s="51" t="s">
        <v>562</v>
      </c>
      <c r="D2587" s="52">
        <v>2746.8</v>
      </c>
      <c r="E2587" s="35">
        <v>44644</v>
      </c>
      <c r="F2587" s="52">
        <v>2746.8</v>
      </c>
      <c r="G2587" s="53">
        <f>Tabla14[[#This Row],[Importe]]-Tabla14[[#This Row],[Pagado]]</f>
        <v>0</v>
      </c>
      <c r="H2587" s="37" t="s">
        <v>10</v>
      </c>
    </row>
    <row r="2588" spans="1:8" x14ac:dyDescent="0.25">
      <c r="A2588" s="31">
        <v>44644</v>
      </c>
      <c r="B2588" s="37" t="s">
        <v>9678</v>
      </c>
      <c r="C2588" s="51" t="s">
        <v>216</v>
      </c>
      <c r="D2588" s="52">
        <v>1026</v>
      </c>
      <c r="E2588" s="35">
        <v>44644</v>
      </c>
      <c r="F2588" s="52">
        <v>1026</v>
      </c>
      <c r="G2588" s="53">
        <f>Tabla14[[#This Row],[Importe]]-Tabla14[[#This Row],[Pagado]]</f>
        <v>0</v>
      </c>
      <c r="H2588" s="37" t="s">
        <v>10</v>
      </c>
    </row>
    <row r="2589" spans="1:8" x14ac:dyDescent="0.25">
      <c r="A2589" s="31">
        <v>44644</v>
      </c>
      <c r="B2589" s="37" t="s">
        <v>9679</v>
      </c>
      <c r="C2589" s="51" t="s">
        <v>202</v>
      </c>
      <c r="D2589" s="52">
        <v>3009</v>
      </c>
      <c r="E2589" s="35">
        <v>44644</v>
      </c>
      <c r="F2589" s="52">
        <v>3009</v>
      </c>
      <c r="G2589" s="53">
        <f>Tabla14[[#This Row],[Importe]]-Tabla14[[#This Row],[Pagado]]</f>
        <v>0</v>
      </c>
      <c r="H2589" s="37" t="s">
        <v>10</v>
      </c>
    </row>
    <row r="2590" spans="1:8" x14ac:dyDescent="0.25">
      <c r="A2590" s="31">
        <v>44644</v>
      </c>
      <c r="B2590" s="37" t="s">
        <v>9680</v>
      </c>
      <c r="C2590" s="51" t="s">
        <v>12</v>
      </c>
      <c r="D2590" s="52">
        <v>2956.2</v>
      </c>
      <c r="E2590" s="35">
        <v>44645</v>
      </c>
      <c r="F2590" s="52">
        <v>2956.2</v>
      </c>
      <c r="G2590" s="53">
        <f>Tabla14[[#This Row],[Importe]]-Tabla14[[#This Row],[Pagado]]</f>
        <v>0</v>
      </c>
      <c r="H2590" s="37" t="s">
        <v>10</v>
      </c>
    </row>
    <row r="2591" spans="1:8" x14ac:dyDescent="0.25">
      <c r="A2591" s="31">
        <v>44644</v>
      </c>
      <c r="B2591" s="37" t="s">
        <v>9681</v>
      </c>
      <c r="C2591" s="51" t="s">
        <v>226</v>
      </c>
      <c r="D2591" s="52">
        <v>8079.4</v>
      </c>
      <c r="E2591" s="35">
        <v>44644</v>
      </c>
      <c r="F2591" s="52">
        <v>8079.4</v>
      </c>
      <c r="G2591" s="53">
        <f>Tabla14[[#This Row],[Importe]]-Tabla14[[#This Row],[Pagado]]</f>
        <v>0</v>
      </c>
      <c r="H2591" s="37" t="s">
        <v>10</v>
      </c>
    </row>
    <row r="2592" spans="1:8" x14ac:dyDescent="0.25">
      <c r="A2592" s="31">
        <v>44644</v>
      </c>
      <c r="B2592" s="37" t="s">
        <v>9682</v>
      </c>
      <c r="C2592" s="51" t="s">
        <v>2114</v>
      </c>
      <c r="D2592" s="52">
        <v>1151.4000000000001</v>
      </c>
      <c r="E2592" s="35">
        <v>44644</v>
      </c>
      <c r="F2592" s="52">
        <v>1151.4000000000001</v>
      </c>
      <c r="G2592" s="53">
        <f>Tabla14[[#This Row],[Importe]]-Tabla14[[#This Row],[Pagado]]</f>
        <v>0</v>
      </c>
      <c r="H2592" s="37" t="s">
        <v>10</v>
      </c>
    </row>
    <row r="2593" spans="1:8" x14ac:dyDescent="0.25">
      <c r="A2593" s="31">
        <v>44644</v>
      </c>
      <c r="B2593" s="37" t="s">
        <v>9683</v>
      </c>
      <c r="C2593" s="51" t="s">
        <v>312</v>
      </c>
      <c r="D2593" s="52">
        <v>4366.8999999999996</v>
      </c>
      <c r="E2593" s="35">
        <v>44644</v>
      </c>
      <c r="F2593" s="52">
        <v>4366.8999999999996</v>
      </c>
      <c r="G2593" s="53">
        <f>Tabla14[[#This Row],[Importe]]-Tabla14[[#This Row],[Pagado]]</f>
        <v>0</v>
      </c>
      <c r="H2593" s="37" t="s">
        <v>10</v>
      </c>
    </row>
    <row r="2594" spans="1:8" x14ac:dyDescent="0.25">
      <c r="A2594" s="31">
        <v>44644</v>
      </c>
      <c r="B2594" s="37" t="s">
        <v>9684</v>
      </c>
      <c r="C2594" s="51" t="s">
        <v>31</v>
      </c>
      <c r="D2594" s="52">
        <v>400</v>
      </c>
      <c r="E2594" s="35">
        <v>44644</v>
      </c>
      <c r="F2594" s="52">
        <v>400</v>
      </c>
      <c r="G2594" s="53">
        <f>Tabla14[[#This Row],[Importe]]-Tabla14[[#This Row],[Pagado]]</f>
        <v>0</v>
      </c>
      <c r="H2594" s="37" t="s">
        <v>10</v>
      </c>
    </row>
    <row r="2595" spans="1:8" x14ac:dyDescent="0.25">
      <c r="A2595" s="31">
        <v>44644</v>
      </c>
      <c r="B2595" s="37" t="s">
        <v>9685</v>
      </c>
      <c r="C2595" s="51" t="s">
        <v>371</v>
      </c>
      <c r="D2595" s="52">
        <v>34284.9</v>
      </c>
      <c r="E2595" s="35">
        <v>44645</v>
      </c>
      <c r="F2595" s="52">
        <v>34284.9</v>
      </c>
      <c r="G2595" s="53">
        <f>Tabla14[[#This Row],[Importe]]-Tabla14[[#This Row],[Pagado]]</f>
        <v>0</v>
      </c>
      <c r="H2595" s="37" t="s">
        <v>10</v>
      </c>
    </row>
    <row r="2596" spans="1:8" x14ac:dyDescent="0.25">
      <c r="A2596" s="31">
        <v>44644</v>
      </c>
      <c r="B2596" s="37" t="s">
        <v>9686</v>
      </c>
      <c r="C2596" s="51" t="s">
        <v>2383</v>
      </c>
      <c r="D2596" s="52">
        <v>4198.5200000000004</v>
      </c>
      <c r="E2596" s="35">
        <v>44644</v>
      </c>
      <c r="F2596" s="52">
        <v>4198.5200000000004</v>
      </c>
      <c r="G2596" s="53">
        <f>Tabla14[[#This Row],[Importe]]-Tabla14[[#This Row],[Pagado]]</f>
        <v>0</v>
      </c>
      <c r="H2596" s="37" t="s">
        <v>10</v>
      </c>
    </row>
    <row r="2597" spans="1:8" x14ac:dyDescent="0.25">
      <c r="A2597" s="31">
        <v>44644</v>
      </c>
      <c r="B2597" s="37" t="s">
        <v>9687</v>
      </c>
      <c r="C2597" s="51" t="s">
        <v>319</v>
      </c>
      <c r="D2597" s="52">
        <v>4697</v>
      </c>
      <c r="E2597" s="35">
        <v>44645</v>
      </c>
      <c r="F2597" s="52">
        <v>4697</v>
      </c>
      <c r="G2597" s="53">
        <f>Tabla14[[#This Row],[Importe]]-Tabla14[[#This Row],[Pagado]]</f>
        <v>0</v>
      </c>
      <c r="H2597" s="37" t="s">
        <v>10</v>
      </c>
    </row>
    <row r="2598" spans="1:8" x14ac:dyDescent="0.25">
      <c r="A2598" s="31">
        <v>44644</v>
      </c>
      <c r="B2598" s="37" t="s">
        <v>9688</v>
      </c>
      <c r="C2598" s="51" t="s">
        <v>520</v>
      </c>
      <c r="D2598" s="52">
        <v>8407</v>
      </c>
      <c r="E2598" s="35">
        <v>44645</v>
      </c>
      <c r="F2598" s="52">
        <v>8407</v>
      </c>
      <c r="G2598" s="53">
        <f>Tabla14[[#This Row],[Importe]]-Tabla14[[#This Row],[Pagado]]</f>
        <v>0</v>
      </c>
      <c r="H2598" s="37" t="s">
        <v>10</v>
      </c>
    </row>
    <row r="2599" spans="1:8" x14ac:dyDescent="0.25">
      <c r="A2599" s="31">
        <v>44644</v>
      </c>
      <c r="B2599" s="37" t="s">
        <v>9689</v>
      </c>
      <c r="C2599" s="51" t="s">
        <v>183</v>
      </c>
      <c r="D2599" s="52">
        <v>1314.6</v>
      </c>
      <c r="E2599" s="35">
        <v>44645</v>
      </c>
      <c r="F2599" s="52">
        <v>1314.6</v>
      </c>
      <c r="G2599" s="53">
        <f>Tabla14[[#This Row],[Importe]]-Tabla14[[#This Row],[Pagado]]</f>
        <v>0</v>
      </c>
      <c r="H2599" s="37" t="s">
        <v>10</v>
      </c>
    </row>
    <row r="2600" spans="1:8" ht="31.5" x14ac:dyDescent="0.25">
      <c r="A2600" s="31">
        <v>44644</v>
      </c>
      <c r="B2600" s="37" t="s">
        <v>9690</v>
      </c>
      <c r="C2600" s="51" t="s">
        <v>67</v>
      </c>
      <c r="D2600" s="52">
        <v>10234.5</v>
      </c>
      <c r="E2600" s="35" t="s">
        <v>9490</v>
      </c>
      <c r="F2600" s="52">
        <f>10000+234.5</f>
        <v>10234.5</v>
      </c>
      <c r="G2600" s="53">
        <f>Tabla14[[#This Row],[Importe]]-Tabla14[[#This Row],[Pagado]]</f>
        <v>0</v>
      </c>
      <c r="H2600" s="37" t="s">
        <v>10</v>
      </c>
    </row>
    <row r="2601" spans="1:8" x14ac:dyDescent="0.25">
      <c r="A2601" s="31">
        <v>44644</v>
      </c>
      <c r="B2601" s="37" t="s">
        <v>9691</v>
      </c>
      <c r="C2601" s="51" t="s">
        <v>275</v>
      </c>
      <c r="D2601" s="52">
        <v>8190</v>
      </c>
      <c r="E2601" s="35">
        <v>44659</v>
      </c>
      <c r="F2601" s="52">
        <v>8190</v>
      </c>
      <c r="G2601" s="53">
        <f>Tabla14[[#This Row],[Importe]]-Tabla14[[#This Row],[Pagado]]</f>
        <v>0</v>
      </c>
      <c r="H2601" s="37" t="s">
        <v>10</v>
      </c>
    </row>
    <row r="2602" spans="1:8" x14ac:dyDescent="0.25">
      <c r="A2602" s="31">
        <v>44644</v>
      </c>
      <c r="B2602" s="37" t="s">
        <v>9692</v>
      </c>
      <c r="C2602" s="51" t="s">
        <v>31</v>
      </c>
      <c r="D2602" s="52">
        <v>583.20000000000005</v>
      </c>
      <c r="E2602" s="35">
        <v>44644</v>
      </c>
      <c r="F2602" s="52">
        <v>583.20000000000005</v>
      </c>
      <c r="G2602" s="53">
        <f>Tabla14[[#This Row],[Importe]]-Tabla14[[#This Row],[Pagado]]</f>
        <v>0</v>
      </c>
      <c r="H2602" s="37" t="s">
        <v>10</v>
      </c>
    </row>
    <row r="2603" spans="1:8" x14ac:dyDescent="0.25">
      <c r="A2603" s="31">
        <v>44644</v>
      </c>
      <c r="B2603" s="37" t="s">
        <v>9693</v>
      </c>
      <c r="C2603" s="51" t="s">
        <v>71</v>
      </c>
      <c r="D2603" s="52">
        <v>6881.6</v>
      </c>
      <c r="E2603" s="35">
        <v>44644</v>
      </c>
      <c r="F2603" s="52">
        <v>6881.6</v>
      </c>
      <c r="G2603" s="53">
        <f>Tabla14[[#This Row],[Importe]]-Tabla14[[#This Row],[Pagado]]</f>
        <v>0</v>
      </c>
      <c r="H2603" s="37" t="s">
        <v>10</v>
      </c>
    </row>
    <row r="2604" spans="1:8" x14ac:dyDescent="0.25">
      <c r="A2604" s="31">
        <v>44644</v>
      </c>
      <c r="B2604" s="37" t="s">
        <v>9694</v>
      </c>
      <c r="C2604" s="51" t="s">
        <v>157</v>
      </c>
      <c r="D2604" s="52">
        <v>5218.2</v>
      </c>
      <c r="E2604" s="35">
        <v>44645</v>
      </c>
      <c r="F2604" s="52">
        <v>5218.2</v>
      </c>
      <c r="G2604" s="53">
        <f>Tabla14[[#This Row],[Importe]]-Tabla14[[#This Row],[Pagado]]</f>
        <v>0</v>
      </c>
      <c r="H2604" s="37" t="s">
        <v>10</v>
      </c>
    </row>
    <row r="2605" spans="1:8" x14ac:dyDescent="0.25">
      <c r="A2605" s="31">
        <v>44644</v>
      </c>
      <c r="B2605" s="37" t="s">
        <v>9695</v>
      </c>
      <c r="C2605" s="51" t="s">
        <v>518</v>
      </c>
      <c r="D2605" s="52">
        <v>1259.5999999999999</v>
      </c>
      <c r="E2605" s="35">
        <v>44645</v>
      </c>
      <c r="F2605" s="52">
        <v>1259.5999999999999</v>
      </c>
      <c r="G2605" s="53">
        <f>Tabla14[[#This Row],[Importe]]-Tabla14[[#This Row],[Pagado]]</f>
        <v>0</v>
      </c>
      <c r="H2605" s="37" t="s">
        <v>10</v>
      </c>
    </row>
    <row r="2606" spans="1:8" x14ac:dyDescent="0.25">
      <c r="A2606" s="31">
        <v>44644</v>
      </c>
      <c r="B2606" s="37" t="s">
        <v>9696</v>
      </c>
      <c r="C2606" s="51" t="s">
        <v>29</v>
      </c>
      <c r="D2606" s="52">
        <v>6004.8</v>
      </c>
      <c r="E2606" s="35">
        <v>44644</v>
      </c>
      <c r="F2606" s="52">
        <v>6004.8</v>
      </c>
      <c r="G2606" s="53">
        <f>Tabla14[[#This Row],[Importe]]-Tabla14[[#This Row],[Pagado]]</f>
        <v>0</v>
      </c>
      <c r="H2606" s="37" t="s">
        <v>10</v>
      </c>
    </row>
    <row r="2607" spans="1:8" x14ac:dyDescent="0.25">
      <c r="A2607" s="31">
        <v>44644</v>
      </c>
      <c r="B2607" s="37" t="s">
        <v>9697</v>
      </c>
      <c r="C2607" s="51" t="s">
        <v>159</v>
      </c>
      <c r="D2607" s="52">
        <v>3280</v>
      </c>
      <c r="E2607" s="35">
        <v>44645</v>
      </c>
      <c r="F2607" s="52">
        <v>3280</v>
      </c>
      <c r="G2607" s="53">
        <f>Tabla14[[#This Row],[Importe]]-Tabla14[[#This Row],[Pagado]]</f>
        <v>0</v>
      </c>
      <c r="H2607" s="37" t="s">
        <v>10</v>
      </c>
    </row>
    <row r="2608" spans="1:8" x14ac:dyDescent="0.25">
      <c r="A2608" s="31">
        <v>44644</v>
      </c>
      <c r="B2608" s="37" t="s">
        <v>9698</v>
      </c>
      <c r="C2608" s="51" t="s">
        <v>843</v>
      </c>
      <c r="D2608" s="52">
        <v>14652</v>
      </c>
      <c r="E2608" s="35">
        <v>44644</v>
      </c>
      <c r="F2608" s="52">
        <v>14652</v>
      </c>
      <c r="G2608" s="53">
        <f>Tabla14[[#This Row],[Importe]]-Tabla14[[#This Row],[Pagado]]</f>
        <v>0</v>
      </c>
      <c r="H2608" s="37" t="s">
        <v>10</v>
      </c>
    </row>
    <row r="2609" spans="1:8" x14ac:dyDescent="0.25">
      <c r="A2609" s="31">
        <v>44644</v>
      </c>
      <c r="B2609" s="37" t="s">
        <v>9699</v>
      </c>
      <c r="C2609" s="51" t="s">
        <v>151</v>
      </c>
      <c r="D2609" s="52">
        <v>7714.88</v>
      </c>
      <c r="E2609" s="35">
        <v>44645</v>
      </c>
      <c r="F2609" s="52">
        <v>7714.88</v>
      </c>
      <c r="G2609" s="53">
        <f>Tabla14[[#This Row],[Importe]]-Tabla14[[#This Row],[Pagado]]</f>
        <v>0</v>
      </c>
      <c r="H2609" s="37" t="s">
        <v>10</v>
      </c>
    </row>
    <row r="2610" spans="1:8" x14ac:dyDescent="0.25">
      <c r="A2610" s="31">
        <v>44644</v>
      </c>
      <c r="B2610" s="37" t="s">
        <v>9700</v>
      </c>
      <c r="C2610" s="51" t="s">
        <v>9701</v>
      </c>
      <c r="D2610" s="52">
        <v>0</v>
      </c>
      <c r="E2610" s="39" t="s">
        <v>189</v>
      </c>
      <c r="F2610" s="52">
        <v>0</v>
      </c>
      <c r="G2610" s="53">
        <f>Tabla14[[#This Row],[Importe]]-Tabla14[[#This Row],[Pagado]]</f>
        <v>0</v>
      </c>
      <c r="H2610" s="54" t="s">
        <v>9702</v>
      </c>
    </row>
    <row r="2611" spans="1:8" x14ac:dyDescent="0.25">
      <c r="A2611" s="31">
        <v>44644</v>
      </c>
      <c r="B2611" s="37" t="s">
        <v>9703</v>
      </c>
      <c r="C2611" s="51" t="s">
        <v>2139</v>
      </c>
      <c r="D2611" s="52">
        <v>2069.3000000000002</v>
      </c>
      <c r="E2611" s="35">
        <v>44644</v>
      </c>
      <c r="F2611" s="52">
        <v>2069.3000000000002</v>
      </c>
      <c r="G2611" s="53">
        <f>Tabla14[[#This Row],[Importe]]-Tabla14[[#This Row],[Pagado]]</f>
        <v>0</v>
      </c>
      <c r="H2611" s="37" t="s">
        <v>10</v>
      </c>
    </row>
    <row r="2612" spans="1:8" x14ac:dyDescent="0.25">
      <c r="A2612" s="31">
        <v>44644</v>
      </c>
      <c r="B2612" s="37" t="s">
        <v>9704</v>
      </c>
      <c r="C2612" s="51" t="s">
        <v>2139</v>
      </c>
      <c r="D2612" s="52">
        <v>4314.8999999999996</v>
      </c>
      <c r="E2612" s="35">
        <v>44644</v>
      </c>
      <c r="F2612" s="52">
        <v>4314.8999999999996</v>
      </c>
      <c r="G2612" s="53">
        <f>Tabla14[[#This Row],[Importe]]-Tabla14[[#This Row],[Pagado]]</f>
        <v>0</v>
      </c>
      <c r="H2612" s="37" t="s">
        <v>10</v>
      </c>
    </row>
    <row r="2613" spans="1:8" x14ac:dyDescent="0.25">
      <c r="A2613" s="31">
        <v>44644</v>
      </c>
      <c r="B2613" s="37" t="s">
        <v>9705</v>
      </c>
      <c r="C2613" s="51" t="s">
        <v>291</v>
      </c>
      <c r="D2613" s="52">
        <v>3457.5</v>
      </c>
      <c r="E2613" s="35">
        <v>44644</v>
      </c>
      <c r="F2613" s="52">
        <v>3457.5</v>
      </c>
      <c r="G2613" s="53">
        <f>Tabla14[[#This Row],[Importe]]-Tabla14[[#This Row],[Pagado]]</f>
        <v>0</v>
      </c>
      <c r="H2613" s="37" t="s">
        <v>10</v>
      </c>
    </row>
    <row r="2614" spans="1:8" x14ac:dyDescent="0.25">
      <c r="A2614" s="31">
        <v>44644</v>
      </c>
      <c r="B2614" s="37" t="s">
        <v>9706</v>
      </c>
      <c r="C2614" s="51" t="s">
        <v>339</v>
      </c>
      <c r="D2614" s="52">
        <v>1115.0999999999999</v>
      </c>
      <c r="E2614" s="35">
        <v>44644</v>
      </c>
      <c r="F2614" s="52">
        <v>1115.0999999999999</v>
      </c>
      <c r="G2614" s="53">
        <f>Tabla14[[#This Row],[Importe]]-Tabla14[[#This Row],[Pagado]]</f>
        <v>0</v>
      </c>
      <c r="H2614" s="37" t="s">
        <v>10</v>
      </c>
    </row>
    <row r="2615" spans="1:8" x14ac:dyDescent="0.25">
      <c r="A2615" s="31">
        <v>44644</v>
      </c>
      <c r="B2615" s="37" t="s">
        <v>9707</v>
      </c>
      <c r="C2615" s="51" t="s">
        <v>1558</v>
      </c>
      <c r="D2615" s="52">
        <v>3096.8</v>
      </c>
      <c r="E2615" s="35">
        <v>44644</v>
      </c>
      <c r="F2615" s="52">
        <v>3096.8</v>
      </c>
      <c r="G2615" s="53">
        <f>Tabla14[[#This Row],[Importe]]-Tabla14[[#This Row],[Pagado]]</f>
        <v>0</v>
      </c>
      <c r="H2615" s="37" t="s">
        <v>10</v>
      </c>
    </row>
    <row r="2616" spans="1:8" x14ac:dyDescent="0.25">
      <c r="A2616" s="31">
        <v>44644</v>
      </c>
      <c r="B2616" s="37" t="s">
        <v>9708</v>
      </c>
      <c r="C2616" s="51" t="s">
        <v>359</v>
      </c>
      <c r="D2616" s="52">
        <v>1575</v>
      </c>
      <c r="E2616" s="35">
        <v>44645</v>
      </c>
      <c r="F2616" s="52">
        <v>1575</v>
      </c>
      <c r="G2616" s="53">
        <f>Tabla14[[#This Row],[Importe]]-Tabla14[[#This Row],[Pagado]]</f>
        <v>0</v>
      </c>
      <c r="H2616" s="37" t="s">
        <v>10</v>
      </c>
    </row>
    <row r="2617" spans="1:8" x14ac:dyDescent="0.25">
      <c r="A2617" s="31">
        <v>44644</v>
      </c>
      <c r="B2617" s="37" t="s">
        <v>9709</v>
      </c>
      <c r="C2617" s="51" t="s">
        <v>729</v>
      </c>
      <c r="D2617" s="52">
        <v>20177.599999999999</v>
      </c>
      <c r="E2617" s="35">
        <v>44645</v>
      </c>
      <c r="F2617" s="52">
        <v>20177.599999999999</v>
      </c>
      <c r="G2617" s="53">
        <f>Tabla14[[#This Row],[Importe]]-Tabla14[[#This Row],[Pagado]]</f>
        <v>0</v>
      </c>
      <c r="H2617" s="37" t="s">
        <v>10</v>
      </c>
    </row>
    <row r="2618" spans="1:8" x14ac:dyDescent="0.25">
      <c r="A2618" s="31">
        <v>44644</v>
      </c>
      <c r="B2618" s="37" t="s">
        <v>9710</v>
      </c>
      <c r="C2618" s="51" t="s">
        <v>934</v>
      </c>
      <c r="D2618" s="52">
        <v>696.6</v>
      </c>
      <c r="E2618" s="35">
        <v>44644</v>
      </c>
      <c r="F2618" s="52">
        <v>696.6</v>
      </c>
      <c r="G2618" s="53">
        <f>Tabla14[[#This Row],[Importe]]-Tabla14[[#This Row],[Pagado]]</f>
        <v>0</v>
      </c>
      <c r="H2618" s="37" t="s">
        <v>10</v>
      </c>
    </row>
    <row r="2619" spans="1:8" x14ac:dyDescent="0.25">
      <c r="A2619" s="31">
        <v>44644</v>
      </c>
      <c r="B2619" s="37" t="s">
        <v>9711</v>
      </c>
      <c r="C2619" s="51" t="s">
        <v>200</v>
      </c>
      <c r="D2619" s="52">
        <v>832</v>
      </c>
      <c r="E2619" s="35">
        <v>44645</v>
      </c>
      <c r="F2619" s="52">
        <v>832</v>
      </c>
      <c r="G2619" s="53">
        <f>Tabla14[[#This Row],[Importe]]-Tabla14[[#This Row],[Pagado]]</f>
        <v>0</v>
      </c>
      <c r="H2619" s="37" t="s">
        <v>10</v>
      </c>
    </row>
    <row r="2620" spans="1:8" x14ac:dyDescent="0.25">
      <c r="A2620" s="31">
        <v>44644</v>
      </c>
      <c r="B2620" s="37" t="s">
        <v>9712</v>
      </c>
      <c r="C2620" s="51" t="s">
        <v>181</v>
      </c>
      <c r="D2620" s="52">
        <v>8970.9</v>
      </c>
      <c r="E2620" s="35">
        <v>44645</v>
      </c>
      <c r="F2620" s="52">
        <v>8970.9</v>
      </c>
      <c r="G2620" s="53">
        <f>Tabla14[[#This Row],[Importe]]-Tabla14[[#This Row],[Pagado]]</f>
        <v>0</v>
      </c>
      <c r="H2620" s="37" t="s">
        <v>10</v>
      </c>
    </row>
    <row r="2621" spans="1:8" x14ac:dyDescent="0.25">
      <c r="A2621" s="31">
        <v>44644</v>
      </c>
      <c r="B2621" s="37" t="s">
        <v>9713</v>
      </c>
      <c r="C2621" s="51" t="s">
        <v>419</v>
      </c>
      <c r="D2621" s="52">
        <v>5422.6</v>
      </c>
      <c r="E2621" s="35">
        <v>44644</v>
      </c>
      <c r="F2621" s="52">
        <v>5422.6</v>
      </c>
      <c r="G2621" s="53">
        <f>Tabla14[[#This Row],[Importe]]-Tabla14[[#This Row],[Pagado]]</f>
        <v>0</v>
      </c>
      <c r="H2621" s="37" t="s">
        <v>10</v>
      </c>
    </row>
    <row r="2622" spans="1:8" x14ac:dyDescent="0.25">
      <c r="A2622" s="31">
        <v>44644</v>
      </c>
      <c r="B2622" s="37" t="s">
        <v>9714</v>
      </c>
      <c r="C2622" s="51" t="s">
        <v>53</v>
      </c>
      <c r="D2622" s="52">
        <v>896.5</v>
      </c>
      <c r="E2622" s="35">
        <v>44644</v>
      </c>
      <c r="F2622" s="52">
        <v>896.5</v>
      </c>
      <c r="G2622" s="53">
        <f>Tabla14[[#This Row],[Importe]]-Tabla14[[#This Row],[Pagado]]</f>
        <v>0</v>
      </c>
      <c r="H2622" s="37" t="s">
        <v>10</v>
      </c>
    </row>
    <row r="2623" spans="1:8" x14ac:dyDescent="0.25">
      <c r="A2623" s="31">
        <v>44644</v>
      </c>
      <c r="B2623" s="37" t="s">
        <v>9715</v>
      </c>
      <c r="C2623" s="51" t="s">
        <v>175</v>
      </c>
      <c r="D2623" s="52">
        <v>42757.4</v>
      </c>
      <c r="E2623" s="35">
        <v>44645</v>
      </c>
      <c r="F2623" s="52">
        <v>42757.4</v>
      </c>
      <c r="G2623" s="53">
        <f>Tabla14[[#This Row],[Importe]]-Tabla14[[#This Row],[Pagado]]</f>
        <v>0</v>
      </c>
      <c r="H2623" s="37" t="s">
        <v>10</v>
      </c>
    </row>
    <row r="2624" spans="1:8" x14ac:dyDescent="0.25">
      <c r="A2624" s="31">
        <v>44644</v>
      </c>
      <c r="B2624" s="37" t="s">
        <v>9716</v>
      </c>
      <c r="C2624" s="51" t="s">
        <v>31</v>
      </c>
      <c r="D2624" s="52">
        <v>561.6</v>
      </c>
      <c r="E2624" s="35">
        <v>44644</v>
      </c>
      <c r="F2624" s="52">
        <v>561.6</v>
      </c>
      <c r="G2624" s="53">
        <f>Tabla14[[#This Row],[Importe]]-Tabla14[[#This Row],[Pagado]]</f>
        <v>0</v>
      </c>
      <c r="H2624" s="37" t="s">
        <v>10</v>
      </c>
    </row>
    <row r="2625" spans="1:8" x14ac:dyDescent="0.25">
      <c r="A2625" s="31">
        <v>44644</v>
      </c>
      <c r="B2625" s="37" t="s">
        <v>9717</v>
      </c>
      <c r="C2625" s="51" t="s">
        <v>31</v>
      </c>
      <c r="D2625" s="52">
        <v>464.4</v>
      </c>
      <c r="E2625" s="35">
        <v>44644</v>
      </c>
      <c r="F2625" s="52">
        <v>464.4</v>
      </c>
      <c r="G2625" s="53">
        <f>Tabla14[[#This Row],[Importe]]-Tabla14[[#This Row],[Pagado]]</f>
        <v>0</v>
      </c>
      <c r="H2625" s="37" t="s">
        <v>10</v>
      </c>
    </row>
    <row r="2626" spans="1:8" x14ac:dyDescent="0.25">
      <c r="A2626" s="31">
        <v>44644</v>
      </c>
      <c r="B2626" s="37" t="s">
        <v>9718</v>
      </c>
      <c r="C2626" s="51" t="s">
        <v>58</v>
      </c>
      <c r="D2626" s="52">
        <v>3016</v>
      </c>
      <c r="E2626" s="35">
        <v>44644</v>
      </c>
      <c r="F2626" s="52">
        <v>3016</v>
      </c>
      <c r="G2626" s="53">
        <f>Tabla14[[#This Row],[Importe]]-Tabla14[[#This Row],[Pagado]]</f>
        <v>0</v>
      </c>
      <c r="H2626" s="37" t="s">
        <v>10</v>
      </c>
    </row>
    <row r="2627" spans="1:8" x14ac:dyDescent="0.25">
      <c r="A2627" s="31">
        <v>44644</v>
      </c>
      <c r="B2627" s="37" t="s">
        <v>9719</v>
      </c>
      <c r="C2627" s="51" t="s">
        <v>6528</v>
      </c>
      <c r="D2627" s="52">
        <v>16000</v>
      </c>
      <c r="E2627" s="35">
        <v>44644</v>
      </c>
      <c r="F2627" s="52">
        <v>16000</v>
      </c>
      <c r="G2627" s="53">
        <f>Tabla14[[#This Row],[Importe]]-Tabla14[[#This Row],[Pagado]]</f>
        <v>0</v>
      </c>
      <c r="H2627" s="37" t="s">
        <v>10</v>
      </c>
    </row>
    <row r="2628" spans="1:8" x14ac:dyDescent="0.25">
      <c r="A2628" s="31">
        <v>44644</v>
      </c>
      <c r="B2628" s="37" t="s">
        <v>9720</v>
      </c>
      <c r="C2628" s="51" t="s">
        <v>107</v>
      </c>
      <c r="D2628" s="52">
        <v>12894.1</v>
      </c>
      <c r="E2628" s="35">
        <v>44644</v>
      </c>
      <c r="F2628" s="52">
        <v>12894.1</v>
      </c>
      <c r="G2628" s="53">
        <f>Tabla14[[#This Row],[Importe]]-Tabla14[[#This Row],[Pagado]]</f>
        <v>0</v>
      </c>
      <c r="H2628" s="37" t="s">
        <v>10</v>
      </c>
    </row>
    <row r="2629" spans="1:8" x14ac:dyDescent="0.25">
      <c r="A2629" s="31">
        <v>44644</v>
      </c>
      <c r="B2629" s="37" t="s">
        <v>9721</v>
      </c>
      <c r="C2629" s="51" t="s">
        <v>275</v>
      </c>
      <c r="D2629" s="52">
        <v>3800</v>
      </c>
      <c r="E2629" s="35">
        <v>44659</v>
      </c>
      <c r="F2629" s="52">
        <v>3800</v>
      </c>
      <c r="G2629" s="53">
        <f>Tabla14[[#This Row],[Importe]]-Tabla14[[#This Row],[Pagado]]</f>
        <v>0</v>
      </c>
      <c r="H2629" s="37" t="s">
        <v>10</v>
      </c>
    </row>
    <row r="2630" spans="1:8" x14ac:dyDescent="0.25">
      <c r="A2630" s="31">
        <v>44644</v>
      </c>
      <c r="B2630" s="37" t="s">
        <v>9722</v>
      </c>
      <c r="C2630" s="51" t="s">
        <v>715</v>
      </c>
      <c r="D2630" s="52">
        <v>5437.6</v>
      </c>
      <c r="E2630" s="35">
        <v>44644</v>
      </c>
      <c r="F2630" s="52">
        <v>5437.6</v>
      </c>
      <c r="G2630" s="53">
        <f>Tabla14[[#This Row],[Importe]]-Tabla14[[#This Row],[Pagado]]</f>
        <v>0</v>
      </c>
      <c r="H2630" s="37" t="s">
        <v>10</v>
      </c>
    </row>
    <row r="2631" spans="1:8" x14ac:dyDescent="0.25">
      <c r="A2631" s="31">
        <v>44644</v>
      </c>
      <c r="B2631" s="37" t="s">
        <v>9723</v>
      </c>
      <c r="C2631" s="51" t="s">
        <v>31</v>
      </c>
      <c r="D2631" s="52">
        <v>3570</v>
      </c>
      <c r="E2631" s="35">
        <v>44644</v>
      </c>
      <c r="F2631" s="52">
        <v>3570</v>
      </c>
      <c r="G2631" s="53">
        <f>Tabla14[[#This Row],[Importe]]-Tabla14[[#This Row],[Pagado]]</f>
        <v>0</v>
      </c>
      <c r="H2631" s="37" t="s">
        <v>10</v>
      </c>
    </row>
    <row r="2632" spans="1:8" x14ac:dyDescent="0.25">
      <c r="A2632" s="31">
        <v>44644</v>
      </c>
      <c r="B2632" s="37" t="s">
        <v>9724</v>
      </c>
      <c r="C2632" s="51" t="s">
        <v>269</v>
      </c>
      <c r="D2632" s="52">
        <v>3567.6</v>
      </c>
      <c r="E2632" s="35">
        <v>44644</v>
      </c>
      <c r="F2632" s="52">
        <v>3567.6</v>
      </c>
      <c r="G2632" s="53">
        <f>Tabla14[[#This Row],[Importe]]-Tabla14[[#This Row],[Pagado]]</f>
        <v>0</v>
      </c>
      <c r="H2632" s="37" t="s">
        <v>10</v>
      </c>
    </row>
    <row r="2633" spans="1:8" x14ac:dyDescent="0.25">
      <c r="A2633" s="31">
        <v>44644</v>
      </c>
      <c r="B2633" s="37" t="s">
        <v>9725</v>
      </c>
      <c r="C2633" s="51" t="s">
        <v>31</v>
      </c>
      <c r="D2633" s="52">
        <v>97.2</v>
      </c>
      <c r="E2633" s="35">
        <v>44644</v>
      </c>
      <c r="F2633" s="52">
        <v>97.2</v>
      </c>
      <c r="G2633" s="53">
        <f>Tabla14[[#This Row],[Importe]]-Tabla14[[#This Row],[Pagado]]</f>
        <v>0</v>
      </c>
      <c r="H2633" s="37" t="s">
        <v>10</v>
      </c>
    </row>
    <row r="2634" spans="1:8" x14ac:dyDescent="0.25">
      <c r="A2634" s="31">
        <v>44644</v>
      </c>
      <c r="B2634" s="37" t="s">
        <v>9726</v>
      </c>
      <c r="C2634" s="51" t="s">
        <v>452</v>
      </c>
      <c r="D2634" s="52">
        <v>6922.4</v>
      </c>
      <c r="E2634" s="35">
        <v>44644</v>
      </c>
      <c r="F2634" s="52">
        <v>6922.4</v>
      </c>
      <c r="G2634" s="53">
        <f>Tabla14[[#This Row],[Importe]]-Tabla14[[#This Row],[Pagado]]</f>
        <v>0</v>
      </c>
      <c r="H2634" s="37" t="s">
        <v>10</v>
      </c>
    </row>
    <row r="2635" spans="1:8" x14ac:dyDescent="0.25">
      <c r="A2635" s="31">
        <v>44644</v>
      </c>
      <c r="B2635" s="37" t="s">
        <v>9727</v>
      </c>
      <c r="C2635" s="51" t="s">
        <v>214</v>
      </c>
      <c r="D2635" s="52">
        <v>1042.2</v>
      </c>
      <c r="E2635" s="35">
        <v>44644</v>
      </c>
      <c r="F2635" s="52">
        <v>1042.2</v>
      </c>
      <c r="G2635" s="53">
        <f>Tabla14[[#This Row],[Importe]]-Tabla14[[#This Row],[Pagado]]</f>
        <v>0</v>
      </c>
      <c r="H2635" s="37" t="s">
        <v>10</v>
      </c>
    </row>
    <row r="2636" spans="1:8" x14ac:dyDescent="0.25">
      <c r="A2636" s="31">
        <v>44644</v>
      </c>
      <c r="B2636" s="37" t="s">
        <v>9728</v>
      </c>
      <c r="C2636" s="51" t="s">
        <v>31</v>
      </c>
      <c r="D2636" s="52">
        <v>1784</v>
      </c>
      <c r="E2636" s="35">
        <v>44644</v>
      </c>
      <c r="F2636" s="52">
        <v>1784</v>
      </c>
      <c r="G2636" s="53">
        <f>Tabla14[[#This Row],[Importe]]-Tabla14[[#This Row],[Pagado]]</f>
        <v>0</v>
      </c>
      <c r="H2636" s="37" t="s">
        <v>10</v>
      </c>
    </row>
    <row r="2637" spans="1:8" x14ac:dyDescent="0.25">
      <c r="A2637" s="31">
        <v>44644</v>
      </c>
      <c r="B2637" s="37" t="s">
        <v>9729</v>
      </c>
      <c r="C2637" s="51" t="s">
        <v>14</v>
      </c>
      <c r="D2637" s="52">
        <v>11435.5</v>
      </c>
      <c r="E2637" s="35">
        <v>44644</v>
      </c>
      <c r="F2637" s="52">
        <v>11435.5</v>
      </c>
      <c r="G2637" s="53">
        <f>Tabla14[[#This Row],[Importe]]-Tabla14[[#This Row],[Pagado]]</f>
        <v>0</v>
      </c>
      <c r="H2637" s="37" t="s">
        <v>10</v>
      </c>
    </row>
    <row r="2638" spans="1:8" x14ac:dyDescent="0.25">
      <c r="A2638" s="31">
        <v>44644</v>
      </c>
      <c r="B2638" s="37" t="s">
        <v>9730</v>
      </c>
      <c r="C2638" s="51" t="s">
        <v>282</v>
      </c>
      <c r="D2638" s="52">
        <v>1701</v>
      </c>
      <c r="E2638" s="35">
        <v>44645</v>
      </c>
      <c r="F2638" s="52">
        <v>1701</v>
      </c>
      <c r="G2638" s="53">
        <f>Tabla14[[#This Row],[Importe]]-Tabla14[[#This Row],[Pagado]]</f>
        <v>0</v>
      </c>
      <c r="H2638" s="37" t="s">
        <v>10</v>
      </c>
    </row>
    <row r="2639" spans="1:8" x14ac:dyDescent="0.25">
      <c r="A2639" s="31">
        <v>44644</v>
      </c>
      <c r="B2639" s="37" t="s">
        <v>9731</v>
      </c>
      <c r="C2639" s="51" t="s">
        <v>284</v>
      </c>
      <c r="D2639" s="52">
        <v>6685.2</v>
      </c>
      <c r="E2639" s="35">
        <v>44645</v>
      </c>
      <c r="F2639" s="52">
        <v>6685.2</v>
      </c>
      <c r="G2639" s="53">
        <f>Tabla14[[#This Row],[Importe]]-Tabla14[[#This Row],[Pagado]]</f>
        <v>0</v>
      </c>
      <c r="H2639" s="37" t="s">
        <v>10</v>
      </c>
    </row>
    <row r="2640" spans="1:8" x14ac:dyDescent="0.25">
      <c r="A2640" s="31">
        <v>44644</v>
      </c>
      <c r="B2640" s="37" t="s">
        <v>9732</v>
      </c>
      <c r="C2640" s="51" t="s">
        <v>282</v>
      </c>
      <c r="D2640" s="52">
        <v>5292</v>
      </c>
      <c r="E2640" s="35">
        <v>44645</v>
      </c>
      <c r="F2640" s="52">
        <v>5292</v>
      </c>
      <c r="G2640" s="53">
        <f>Tabla14[[#This Row],[Importe]]-Tabla14[[#This Row],[Pagado]]</f>
        <v>0</v>
      </c>
      <c r="H2640" s="37" t="s">
        <v>10</v>
      </c>
    </row>
    <row r="2641" spans="1:8" x14ac:dyDescent="0.25">
      <c r="A2641" s="31">
        <v>44644</v>
      </c>
      <c r="B2641" s="37" t="s">
        <v>9733</v>
      </c>
      <c r="C2641" s="51" t="s">
        <v>179</v>
      </c>
      <c r="D2641" s="52">
        <v>1031.4000000000001</v>
      </c>
      <c r="E2641" s="35">
        <v>44645</v>
      </c>
      <c r="F2641" s="52">
        <v>1031.4000000000001</v>
      </c>
      <c r="G2641" s="53">
        <f>Tabla14[[#This Row],[Importe]]-Tabla14[[#This Row],[Pagado]]</f>
        <v>0</v>
      </c>
      <c r="H2641" s="37" t="s">
        <v>10</v>
      </c>
    </row>
    <row r="2642" spans="1:8" x14ac:dyDescent="0.25">
      <c r="A2642" s="31">
        <v>44644</v>
      </c>
      <c r="B2642" s="37" t="s">
        <v>9734</v>
      </c>
      <c r="C2642" s="51" t="s">
        <v>16</v>
      </c>
      <c r="D2642" s="52">
        <v>2796.3</v>
      </c>
      <c r="E2642" s="35">
        <v>44644</v>
      </c>
      <c r="F2642" s="52">
        <v>2796.3</v>
      </c>
      <c r="G2642" s="53">
        <f>Tabla14[[#This Row],[Importe]]-Tabla14[[#This Row],[Pagado]]</f>
        <v>0</v>
      </c>
      <c r="H2642" s="37" t="s">
        <v>10</v>
      </c>
    </row>
    <row r="2643" spans="1:8" x14ac:dyDescent="0.25">
      <c r="A2643" s="31">
        <v>44644</v>
      </c>
      <c r="B2643" s="37" t="s">
        <v>9735</v>
      </c>
      <c r="C2643" s="51" t="s">
        <v>3747</v>
      </c>
      <c r="D2643" s="52">
        <v>19000</v>
      </c>
      <c r="E2643" s="35">
        <v>44644</v>
      </c>
      <c r="F2643" s="52">
        <v>19000</v>
      </c>
      <c r="G2643" s="53">
        <f>Tabla14[[#This Row],[Importe]]-Tabla14[[#This Row],[Pagado]]</f>
        <v>0</v>
      </c>
      <c r="H2643" s="37" t="s">
        <v>10</v>
      </c>
    </row>
    <row r="2644" spans="1:8" x14ac:dyDescent="0.25">
      <c r="A2644" s="31">
        <v>44644</v>
      </c>
      <c r="B2644" s="37" t="s">
        <v>9736</v>
      </c>
      <c r="C2644" s="51" t="s">
        <v>409</v>
      </c>
      <c r="D2644" s="52">
        <v>6660.6</v>
      </c>
      <c r="E2644" s="35">
        <v>44649</v>
      </c>
      <c r="F2644" s="52">
        <v>6660.6</v>
      </c>
      <c r="G2644" s="53">
        <f>Tabla14[[#This Row],[Importe]]-Tabla14[[#This Row],[Pagado]]</f>
        <v>0</v>
      </c>
      <c r="H2644" s="37" t="s">
        <v>10</v>
      </c>
    </row>
    <row r="2645" spans="1:8" x14ac:dyDescent="0.25">
      <c r="A2645" s="31">
        <v>44644</v>
      </c>
      <c r="B2645" s="37" t="s">
        <v>9737</v>
      </c>
      <c r="C2645" s="51" t="s">
        <v>3747</v>
      </c>
      <c r="D2645" s="52">
        <v>2439.6</v>
      </c>
      <c r="E2645" s="35">
        <v>44645</v>
      </c>
      <c r="F2645" s="52">
        <v>2439.6</v>
      </c>
      <c r="G2645" s="53">
        <f>Tabla14[[#This Row],[Importe]]-Tabla14[[#This Row],[Pagado]]</f>
        <v>0</v>
      </c>
      <c r="H2645" s="37" t="s">
        <v>10</v>
      </c>
    </row>
    <row r="2646" spans="1:8" x14ac:dyDescent="0.25">
      <c r="A2646" s="31">
        <v>44644</v>
      </c>
      <c r="B2646" s="37" t="s">
        <v>9738</v>
      </c>
      <c r="C2646" s="51" t="s">
        <v>12</v>
      </c>
      <c r="D2646" s="52">
        <v>137.5</v>
      </c>
      <c r="E2646" s="35">
        <v>44645</v>
      </c>
      <c r="F2646" s="52">
        <v>137.5</v>
      </c>
      <c r="G2646" s="53">
        <f>Tabla14[[#This Row],[Importe]]-Tabla14[[#This Row],[Pagado]]</f>
        <v>0</v>
      </c>
      <c r="H2646" s="37" t="s">
        <v>10</v>
      </c>
    </row>
    <row r="2647" spans="1:8" ht="31.5" x14ac:dyDescent="0.25">
      <c r="A2647" s="31">
        <v>44645</v>
      </c>
      <c r="B2647" s="37" t="s">
        <v>9739</v>
      </c>
      <c r="C2647" s="51" t="s">
        <v>475</v>
      </c>
      <c r="D2647" s="52">
        <v>39523.199999999997</v>
      </c>
      <c r="E2647" s="35" t="s">
        <v>9740</v>
      </c>
      <c r="F2647" s="52">
        <f>12000+27523.2</f>
        <v>39523.199999999997</v>
      </c>
      <c r="G2647" s="53">
        <f>Tabla14[[#This Row],[Importe]]-Tabla14[[#This Row],[Pagado]]</f>
        <v>0</v>
      </c>
      <c r="H2647" s="37" t="s">
        <v>10</v>
      </c>
    </row>
    <row r="2648" spans="1:8" x14ac:dyDescent="0.25">
      <c r="A2648" s="31">
        <v>44645</v>
      </c>
      <c r="B2648" s="37" t="s">
        <v>9741</v>
      </c>
      <c r="C2648" s="51" t="s">
        <v>87</v>
      </c>
      <c r="D2648" s="52">
        <v>3820.8</v>
      </c>
      <c r="E2648" s="35">
        <v>44645</v>
      </c>
      <c r="F2648" s="52">
        <v>3820.8</v>
      </c>
      <c r="G2648" s="53">
        <f>Tabla14[[#This Row],[Importe]]-Tabla14[[#This Row],[Pagado]]</f>
        <v>0</v>
      </c>
      <c r="H2648" s="37" t="s">
        <v>10</v>
      </c>
    </row>
    <row r="2649" spans="1:8" x14ac:dyDescent="0.25">
      <c r="A2649" s="31">
        <v>44645</v>
      </c>
      <c r="B2649" s="37" t="s">
        <v>9742</v>
      </c>
      <c r="C2649" s="51" t="s">
        <v>314</v>
      </c>
      <c r="D2649" s="52">
        <v>1098.9000000000001</v>
      </c>
      <c r="E2649" s="35">
        <v>44645</v>
      </c>
      <c r="F2649" s="52">
        <v>1098.9000000000001</v>
      </c>
      <c r="G2649" s="53">
        <f>Tabla14[[#This Row],[Importe]]-Tabla14[[#This Row],[Pagado]]</f>
        <v>0</v>
      </c>
      <c r="H2649" s="37" t="s">
        <v>10</v>
      </c>
    </row>
    <row r="2650" spans="1:8" x14ac:dyDescent="0.25">
      <c r="A2650" s="31">
        <v>44645</v>
      </c>
      <c r="B2650" s="37" t="s">
        <v>9743</v>
      </c>
      <c r="C2650" s="51" t="s">
        <v>127</v>
      </c>
      <c r="D2650" s="52">
        <v>228</v>
      </c>
      <c r="E2650" s="35">
        <v>44645</v>
      </c>
      <c r="F2650" s="52">
        <v>228</v>
      </c>
      <c r="G2650" s="53">
        <f>Tabla14[[#This Row],[Importe]]-Tabla14[[#This Row],[Pagado]]</f>
        <v>0</v>
      </c>
      <c r="H2650" s="37" t="s">
        <v>10</v>
      </c>
    </row>
    <row r="2651" spans="1:8" x14ac:dyDescent="0.25">
      <c r="A2651" s="31">
        <v>44645</v>
      </c>
      <c r="B2651" s="37" t="s">
        <v>9744</v>
      </c>
      <c r="C2651" s="51" t="s">
        <v>339</v>
      </c>
      <c r="D2651" s="52">
        <v>434.5</v>
      </c>
      <c r="E2651" s="35">
        <v>44645</v>
      </c>
      <c r="F2651" s="52">
        <v>434.5</v>
      </c>
      <c r="G2651" s="53">
        <f>Tabla14[[#This Row],[Importe]]-Tabla14[[#This Row],[Pagado]]</f>
        <v>0</v>
      </c>
      <c r="H2651" s="37" t="s">
        <v>10</v>
      </c>
    </row>
    <row r="2652" spans="1:8" x14ac:dyDescent="0.25">
      <c r="A2652" s="31">
        <v>44645</v>
      </c>
      <c r="B2652" s="37" t="s">
        <v>9745</v>
      </c>
      <c r="C2652" s="51" t="s">
        <v>129</v>
      </c>
      <c r="D2652" s="52">
        <v>3254.7</v>
      </c>
      <c r="E2652" s="35">
        <v>44645</v>
      </c>
      <c r="F2652" s="52">
        <v>3254.7</v>
      </c>
      <c r="G2652" s="53">
        <f>Tabla14[[#This Row],[Importe]]-Tabla14[[#This Row],[Pagado]]</f>
        <v>0</v>
      </c>
      <c r="H2652" s="37" t="s">
        <v>10</v>
      </c>
    </row>
    <row r="2653" spans="1:8" x14ac:dyDescent="0.25">
      <c r="A2653" s="31">
        <v>44645</v>
      </c>
      <c r="B2653" s="37" t="s">
        <v>9746</v>
      </c>
      <c r="C2653" s="51" t="s">
        <v>357</v>
      </c>
      <c r="D2653" s="52">
        <v>1079.7</v>
      </c>
      <c r="E2653" s="35">
        <v>44645</v>
      </c>
      <c r="F2653" s="52">
        <v>1079.7</v>
      </c>
      <c r="G2653" s="53">
        <f>Tabla14[[#This Row],[Importe]]-Tabla14[[#This Row],[Pagado]]</f>
        <v>0</v>
      </c>
      <c r="H2653" s="37" t="s">
        <v>10</v>
      </c>
    </row>
    <row r="2654" spans="1:8" x14ac:dyDescent="0.25">
      <c r="A2654" s="31">
        <v>44645</v>
      </c>
      <c r="B2654" s="37" t="s">
        <v>9747</v>
      </c>
      <c r="C2654" s="51" t="s">
        <v>481</v>
      </c>
      <c r="D2654" s="52">
        <v>406.9</v>
      </c>
      <c r="E2654" s="35">
        <v>44645</v>
      </c>
      <c r="F2654" s="52">
        <v>406.9</v>
      </c>
      <c r="G2654" s="53">
        <f>Tabla14[[#This Row],[Importe]]-Tabla14[[#This Row],[Pagado]]</f>
        <v>0</v>
      </c>
      <c r="H2654" s="37" t="s">
        <v>10</v>
      </c>
    </row>
    <row r="2655" spans="1:8" ht="31.5" x14ac:dyDescent="0.25">
      <c r="A2655" s="31">
        <v>44645</v>
      </c>
      <c r="B2655" s="37" t="s">
        <v>9748</v>
      </c>
      <c r="C2655" s="51" t="s">
        <v>22</v>
      </c>
      <c r="D2655" s="52">
        <v>19635.2</v>
      </c>
      <c r="E2655" s="35" t="s">
        <v>9740</v>
      </c>
      <c r="F2655" s="52">
        <f>10000+9635.2</f>
        <v>19635.2</v>
      </c>
      <c r="G2655" s="53">
        <f>Tabla14[[#This Row],[Importe]]-Tabla14[[#This Row],[Pagado]]</f>
        <v>0</v>
      </c>
      <c r="H2655" s="37" t="s">
        <v>10</v>
      </c>
    </row>
    <row r="2656" spans="1:8" x14ac:dyDescent="0.25">
      <c r="A2656" s="31">
        <v>44645</v>
      </c>
      <c r="B2656" s="37" t="s">
        <v>9749</v>
      </c>
      <c r="C2656" s="51" t="s">
        <v>111</v>
      </c>
      <c r="D2656" s="52">
        <v>3840</v>
      </c>
      <c r="E2656" s="35">
        <v>44646</v>
      </c>
      <c r="F2656" s="52">
        <v>3840</v>
      </c>
      <c r="G2656" s="53">
        <f>Tabla14[[#This Row],[Importe]]-Tabla14[[#This Row],[Pagado]]</f>
        <v>0</v>
      </c>
      <c r="H2656" s="37" t="s">
        <v>10</v>
      </c>
    </row>
    <row r="2657" spans="1:8" x14ac:dyDescent="0.25">
      <c r="A2657" s="31">
        <v>44645</v>
      </c>
      <c r="B2657" s="37" t="s">
        <v>9750</v>
      </c>
      <c r="C2657" s="51" t="s">
        <v>97</v>
      </c>
      <c r="D2657" s="52">
        <v>5990.7</v>
      </c>
      <c r="E2657" s="35">
        <v>44646</v>
      </c>
      <c r="F2657" s="52">
        <v>5990.7</v>
      </c>
      <c r="G2657" s="53">
        <f>Tabla14[[#This Row],[Importe]]-Tabla14[[#This Row],[Pagado]]</f>
        <v>0</v>
      </c>
      <c r="H2657" s="37" t="s">
        <v>10</v>
      </c>
    </row>
    <row r="2658" spans="1:8" x14ac:dyDescent="0.25">
      <c r="A2658" s="31">
        <v>44645</v>
      </c>
      <c r="B2658" s="37" t="s">
        <v>9751</v>
      </c>
      <c r="C2658" s="51" t="s">
        <v>114</v>
      </c>
      <c r="D2658" s="52">
        <v>3902.4</v>
      </c>
      <c r="E2658" s="35">
        <v>44646</v>
      </c>
      <c r="F2658" s="52">
        <v>3902.4</v>
      </c>
      <c r="G2658" s="53">
        <f>Tabla14[[#This Row],[Importe]]-Tabla14[[#This Row],[Pagado]]</f>
        <v>0</v>
      </c>
      <c r="H2658" s="37" t="s">
        <v>10</v>
      </c>
    </row>
    <row r="2659" spans="1:8" x14ac:dyDescent="0.25">
      <c r="A2659" s="31">
        <v>44645</v>
      </c>
      <c r="B2659" s="37" t="s">
        <v>9752</v>
      </c>
      <c r="C2659" s="51" t="s">
        <v>85</v>
      </c>
      <c r="D2659" s="52">
        <v>3250.8</v>
      </c>
      <c r="E2659" s="35">
        <v>44645</v>
      </c>
      <c r="F2659" s="52">
        <v>3250.8</v>
      </c>
      <c r="G2659" s="53">
        <f>Tabla14[[#This Row],[Importe]]-Tabla14[[#This Row],[Pagado]]</f>
        <v>0</v>
      </c>
      <c r="H2659" s="37" t="s">
        <v>10</v>
      </c>
    </row>
    <row r="2660" spans="1:8" x14ac:dyDescent="0.25">
      <c r="A2660" s="31">
        <v>44645</v>
      </c>
      <c r="B2660" s="37" t="s">
        <v>9753</v>
      </c>
      <c r="C2660" s="51" t="s">
        <v>140</v>
      </c>
      <c r="D2660" s="52">
        <v>1954.6</v>
      </c>
      <c r="E2660" s="35">
        <v>44645</v>
      </c>
      <c r="F2660" s="52">
        <v>1954.6</v>
      </c>
      <c r="G2660" s="53">
        <f>Tabla14[[#This Row],[Importe]]-Tabla14[[#This Row],[Pagado]]</f>
        <v>0</v>
      </c>
      <c r="H2660" s="37" t="s">
        <v>10</v>
      </c>
    </row>
    <row r="2661" spans="1:8" x14ac:dyDescent="0.25">
      <c r="A2661" s="31">
        <v>44645</v>
      </c>
      <c r="B2661" s="37" t="s">
        <v>9754</v>
      </c>
      <c r="C2661" s="51" t="s">
        <v>75</v>
      </c>
      <c r="D2661" s="52">
        <v>6564.4</v>
      </c>
      <c r="E2661" s="35">
        <v>44645</v>
      </c>
      <c r="F2661" s="52">
        <v>6564.4</v>
      </c>
      <c r="G2661" s="53">
        <f>Tabla14[[#This Row],[Importe]]-Tabla14[[#This Row],[Pagado]]</f>
        <v>0</v>
      </c>
      <c r="H2661" s="37" t="s">
        <v>10</v>
      </c>
    </row>
    <row r="2662" spans="1:8" x14ac:dyDescent="0.25">
      <c r="A2662" s="31">
        <v>44645</v>
      </c>
      <c r="B2662" s="37" t="s">
        <v>9755</v>
      </c>
      <c r="C2662" s="51" t="s">
        <v>89</v>
      </c>
      <c r="D2662" s="52">
        <v>7825.8</v>
      </c>
      <c r="E2662" s="35">
        <v>44646</v>
      </c>
      <c r="F2662" s="52">
        <v>7825.8</v>
      </c>
      <c r="G2662" s="53">
        <f>Tabla14[[#This Row],[Importe]]-Tabla14[[#This Row],[Pagado]]</f>
        <v>0</v>
      </c>
      <c r="H2662" s="37" t="s">
        <v>10</v>
      </c>
    </row>
    <row r="2663" spans="1:8" x14ac:dyDescent="0.25">
      <c r="A2663" s="31">
        <v>44645</v>
      </c>
      <c r="B2663" s="37" t="s">
        <v>9756</v>
      </c>
      <c r="C2663" s="51" t="s">
        <v>31</v>
      </c>
      <c r="D2663" s="52">
        <v>329.4</v>
      </c>
      <c r="E2663" s="35">
        <v>44645</v>
      </c>
      <c r="F2663" s="52">
        <v>329.4</v>
      </c>
      <c r="G2663" s="53">
        <f>Tabla14[[#This Row],[Importe]]-Tabla14[[#This Row],[Pagado]]</f>
        <v>0</v>
      </c>
      <c r="H2663" s="37" t="s">
        <v>10</v>
      </c>
    </row>
    <row r="2664" spans="1:8" x14ac:dyDescent="0.25">
      <c r="A2664" s="31">
        <v>44645</v>
      </c>
      <c r="B2664" s="37" t="s">
        <v>9757</v>
      </c>
      <c r="C2664" s="51" t="s">
        <v>64</v>
      </c>
      <c r="D2664" s="52">
        <v>8086.8</v>
      </c>
      <c r="E2664" s="35">
        <v>44646</v>
      </c>
      <c r="F2664" s="52">
        <v>8086.8</v>
      </c>
      <c r="G2664" s="53">
        <f>Tabla14[[#This Row],[Importe]]-Tabla14[[#This Row],[Pagado]]</f>
        <v>0</v>
      </c>
      <c r="H2664" s="37" t="s">
        <v>10</v>
      </c>
    </row>
    <row r="2665" spans="1:8" x14ac:dyDescent="0.25">
      <c r="A2665" s="31">
        <v>44645</v>
      </c>
      <c r="B2665" s="37" t="s">
        <v>9758</v>
      </c>
      <c r="C2665" s="51" t="s">
        <v>348</v>
      </c>
      <c r="D2665" s="52">
        <v>1696</v>
      </c>
      <c r="E2665" s="35">
        <v>44645</v>
      </c>
      <c r="F2665" s="52">
        <v>1696</v>
      </c>
      <c r="G2665" s="53">
        <f>Tabla14[[#This Row],[Importe]]-Tabla14[[#This Row],[Pagado]]</f>
        <v>0</v>
      </c>
      <c r="H2665" s="37" t="s">
        <v>10</v>
      </c>
    </row>
    <row r="2666" spans="1:8" ht="31.5" x14ac:dyDescent="0.25">
      <c r="A2666" s="31">
        <v>44645</v>
      </c>
      <c r="B2666" s="37" t="s">
        <v>9759</v>
      </c>
      <c r="C2666" s="51" t="s">
        <v>39</v>
      </c>
      <c r="D2666" s="52">
        <v>15100.5</v>
      </c>
      <c r="E2666" s="35" t="s">
        <v>9620</v>
      </c>
      <c r="F2666" s="52">
        <f>5000+10100.5</f>
        <v>15100.5</v>
      </c>
      <c r="G2666" s="53">
        <f>Tabla14[[#This Row],[Importe]]-Tabla14[[#This Row],[Pagado]]</f>
        <v>0</v>
      </c>
      <c r="H2666" s="37" t="s">
        <v>10</v>
      </c>
    </row>
    <row r="2667" spans="1:8" x14ac:dyDescent="0.25">
      <c r="A2667" s="31">
        <v>44645</v>
      </c>
      <c r="B2667" s="37" t="s">
        <v>9760</v>
      </c>
      <c r="C2667" s="51" t="s">
        <v>131</v>
      </c>
      <c r="D2667" s="52">
        <v>16000.7</v>
      </c>
      <c r="E2667" s="35">
        <v>44645</v>
      </c>
      <c r="F2667" s="52">
        <v>16000.7</v>
      </c>
      <c r="G2667" s="53">
        <f>Tabla14[[#This Row],[Importe]]-Tabla14[[#This Row],[Pagado]]</f>
        <v>0</v>
      </c>
      <c r="H2667" s="37" t="s">
        <v>10</v>
      </c>
    </row>
    <row r="2668" spans="1:8" x14ac:dyDescent="0.25">
      <c r="A2668" s="31">
        <v>44645</v>
      </c>
      <c r="B2668" s="37" t="s">
        <v>9761</v>
      </c>
      <c r="C2668" s="51" t="s">
        <v>9</v>
      </c>
      <c r="D2668" s="52">
        <v>6292</v>
      </c>
      <c r="E2668" s="35">
        <v>44645</v>
      </c>
      <c r="F2668" s="52">
        <v>6292</v>
      </c>
      <c r="G2668" s="53">
        <f>Tabla14[[#This Row],[Importe]]-Tabla14[[#This Row],[Pagado]]</f>
        <v>0</v>
      </c>
      <c r="H2668" s="37" t="s">
        <v>10</v>
      </c>
    </row>
    <row r="2669" spans="1:8" x14ac:dyDescent="0.25">
      <c r="A2669" s="31">
        <v>44645</v>
      </c>
      <c r="B2669" s="37" t="s">
        <v>9762</v>
      </c>
      <c r="C2669" s="51" t="s">
        <v>125</v>
      </c>
      <c r="D2669" s="52">
        <v>6749.4</v>
      </c>
      <c r="E2669" s="35">
        <v>44645</v>
      </c>
      <c r="F2669" s="52">
        <v>6749.4</v>
      </c>
      <c r="G2669" s="53">
        <f>Tabla14[[#This Row],[Importe]]-Tabla14[[#This Row],[Pagado]]</f>
        <v>0</v>
      </c>
      <c r="H2669" s="37" t="s">
        <v>10</v>
      </c>
    </row>
    <row r="2670" spans="1:8" x14ac:dyDescent="0.25">
      <c r="A2670" s="31">
        <v>44645</v>
      </c>
      <c r="B2670" s="37" t="s">
        <v>9763</v>
      </c>
      <c r="C2670" s="51" t="s">
        <v>484</v>
      </c>
      <c r="D2670" s="52">
        <v>6470.4</v>
      </c>
      <c r="E2670" s="35">
        <v>44645</v>
      </c>
      <c r="F2670" s="52">
        <v>6470.4</v>
      </c>
      <c r="G2670" s="53">
        <f>Tabla14[[#This Row],[Importe]]-Tabla14[[#This Row],[Pagado]]</f>
        <v>0</v>
      </c>
      <c r="H2670" s="37" t="s">
        <v>10</v>
      </c>
    </row>
    <row r="2671" spans="1:8" x14ac:dyDescent="0.25">
      <c r="A2671" s="31">
        <v>44645</v>
      </c>
      <c r="B2671" s="37" t="s">
        <v>9764</v>
      </c>
      <c r="C2671" s="51" t="s">
        <v>16</v>
      </c>
      <c r="D2671" s="52">
        <v>2447.6999999999998</v>
      </c>
      <c r="E2671" s="35">
        <v>44645</v>
      </c>
      <c r="F2671" s="52">
        <v>2447.6999999999998</v>
      </c>
      <c r="G2671" s="53">
        <f>Tabla14[[#This Row],[Importe]]-Tabla14[[#This Row],[Pagado]]</f>
        <v>0</v>
      </c>
      <c r="H2671" s="37" t="s">
        <v>10</v>
      </c>
    </row>
    <row r="2672" spans="1:8" x14ac:dyDescent="0.25">
      <c r="A2672" s="31">
        <v>44645</v>
      </c>
      <c r="B2672" s="37" t="s">
        <v>9765</v>
      </c>
      <c r="C2672" s="51" t="s">
        <v>12</v>
      </c>
      <c r="D2672" s="52">
        <v>28328.05</v>
      </c>
      <c r="E2672" s="35">
        <v>44646</v>
      </c>
      <c r="F2672" s="52">
        <v>28328.05</v>
      </c>
      <c r="G2672" s="53">
        <f>Tabla14[[#This Row],[Importe]]-Tabla14[[#This Row],[Pagado]]</f>
        <v>0</v>
      </c>
      <c r="H2672" s="37" t="s">
        <v>10</v>
      </c>
    </row>
    <row r="2673" spans="1:8" x14ac:dyDescent="0.25">
      <c r="A2673" s="31">
        <v>44645</v>
      </c>
      <c r="B2673" s="37" t="s">
        <v>9766</v>
      </c>
      <c r="C2673" s="51" t="s">
        <v>2151</v>
      </c>
      <c r="D2673" s="52">
        <v>24686.6</v>
      </c>
      <c r="E2673" s="35">
        <v>44645</v>
      </c>
      <c r="F2673" s="52">
        <v>24686.6</v>
      </c>
      <c r="G2673" s="53">
        <f>Tabla14[[#This Row],[Importe]]-Tabla14[[#This Row],[Pagado]]</f>
        <v>0</v>
      </c>
      <c r="H2673" s="37" t="s">
        <v>10</v>
      </c>
    </row>
    <row r="2674" spans="1:8" x14ac:dyDescent="0.25">
      <c r="A2674" s="31">
        <v>44645</v>
      </c>
      <c r="B2674" s="37" t="s">
        <v>9767</v>
      </c>
      <c r="C2674" s="51" t="s">
        <v>105</v>
      </c>
      <c r="D2674" s="52">
        <v>6008</v>
      </c>
      <c r="E2674" s="35">
        <v>44646</v>
      </c>
      <c r="F2674" s="52">
        <v>6008</v>
      </c>
      <c r="G2674" s="53">
        <f>Tabla14[[#This Row],[Importe]]-Tabla14[[#This Row],[Pagado]]</f>
        <v>0</v>
      </c>
      <c r="H2674" s="37" t="s">
        <v>10</v>
      </c>
    </row>
    <row r="2675" spans="1:8" x14ac:dyDescent="0.25">
      <c r="A2675" s="31">
        <v>44645</v>
      </c>
      <c r="B2675" s="37" t="s">
        <v>9768</v>
      </c>
      <c r="C2675" s="51" t="s">
        <v>99</v>
      </c>
      <c r="D2675" s="52">
        <v>1425.6</v>
      </c>
      <c r="E2675" s="35">
        <v>44646</v>
      </c>
      <c r="F2675" s="52">
        <v>1425.6</v>
      </c>
      <c r="G2675" s="53">
        <f>Tabla14[[#This Row],[Importe]]-Tabla14[[#This Row],[Pagado]]</f>
        <v>0</v>
      </c>
      <c r="H2675" s="37" t="s">
        <v>10</v>
      </c>
    </row>
    <row r="2676" spans="1:8" x14ac:dyDescent="0.25">
      <c r="A2676" s="31">
        <v>44645</v>
      </c>
      <c r="B2676" s="37" t="s">
        <v>9769</v>
      </c>
      <c r="C2676" s="51" t="s">
        <v>93</v>
      </c>
      <c r="D2676" s="52">
        <v>1898.1</v>
      </c>
      <c r="E2676" s="35">
        <v>44646</v>
      </c>
      <c r="F2676" s="52">
        <v>1898.1</v>
      </c>
      <c r="G2676" s="53">
        <f>Tabla14[[#This Row],[Importe]]-Tabla14[[#This Row],[Pagado]]</f>
        <v>0</v>
      </c>
      <c r="H2676" s="37" t="s">
        <v>10</v>
      </c>
    </row>
    <row r="2677" spans="1:8" x14ac:dyDescent="0.25">
      <c r="A2677" s="31">
        <v>44645</v>
      </c>
      <c r="B2677" s="37" t="s">
        <v>9770</v>
      </c>
      <c r="C2677" s="51" t="s">
        <v>345</v>
      </c>
      <c r="D2677" s="52">
        <v>1090.8</v>
      </c>
      <c r="E2677" s="35">
        <v>44645</v>
      </c>
      <c r="F2677" s="52">
        <v>1090.8</v>
      </c>
      <c r="G2677" s="53">
        <f>Tabla14[[#This Row],[Importe]]-Tabla14[[#This Row],[Pagado]]</f>
        <v>0</v>
      </c>
      <c r="H2677" s="37" t="s">
        <v>10</v>
      </c>
    </row>
    <row r="2678" spans="1:8" x14ac:dyDescent="0.25">
      <c r="A2678" s="31">
        <v>44645</v>
      </c>
      <c r="B2678" s="37" t="s">
        <v>9771</v>
      </c>
      <c r="C2678" s="51" t="s">
        <v>326</v>
      </c>
      <c r="D2678" s="52">
        <v>4252.8</v>
      </c>
      <c r="E2678" s="35">
        <v>44646</v>
      </c>
      <c r="F2678" s="52">
        <v>4252.8</v>
      </c>
      <c r="G2678" s="53">
        <f>Tabla14[[#This Row],[Importe]]-Tabla14[[#This Row],[Pagado]]</f>
        <v>0</v>
      </c>
      <c r="H2678" s="37" t="s">
        <v>10</v>
      </c>
    </row>
    <row r="2679" spans="1:8" x14ac:dyDescent="0.25">
      <c r="A2679" s="31">
        <v>44645</v>
      </c>
      <c r="B2679" s="37" t="s">
        <v>9772</v>
      </c>
      <c r="C2679" s="51" t="s">
        <v>31</v>
      </c>
      <c r="D2679" s="52">
        <v>1854</v>
      </c>
      <c r="E2679" s="35">
        <v>44645</v>
      </c>
      <c r="F2679" s="52">
        <v>1854</v>
      </c>
      <c r="G2679" s="53">
        <f>Tabla14[[#This Row],[Importe]]-Tabla14[[#This Row],[Pagado]]</f>
        <v>0</v>
      </c>
      <c r="H2679" s="37" t="s">
        <v>10</v>
      </c>
    </row>
    <row r="2680" spans="1:8" x14ac:dyDescent="0.25">
      <c r="A2680" s="31">
        <v>44645</v>
      </c>
      <c r="B2680" s="37" t="s">
        <v>9773</v>
      </c>
      <c r="C2680" s="51" t="s">
        <v>135</v>
      </c>
      <c r="D2680" s="52">
        <v>2444.5</v>
      </c>
      <c r="E2680" s="35">
        <v>44645</v>
      </c>
      <c r="F2680" s="52">
        <v>2444.5</v>
      </c>
      <c r="G2680" s="53">
        <f>Tabla14[[#This Row],[Importe]]-Tabla14[[#This Row],[Pagado]]</f>
        <v>0</v>
      </c>
      <c r="H2680" s="37" t="s">
        <v>10</v>
      </c>
    </row>
    <row r="2681" spans="1:8" x14ac:dyDescent="0.25">
      <c r="A2681" s="31">
        <v>44645</v>
      </c>
      <c r="B2681" s="37" t="s">
        <v>9774</v>
      </c>
      <c r="C2681" s="51" t="s">
        <v>196</v>
      </c>
      <c r="D2681" s="52">
        <v>100979.1</v>
      </c>
      <c r="E2681" s="35">
        <v>44647</v>
      </c>
      <c r="F2681" s="52">
        <v>100979.1</v>
      </c>
      <c r="G2681" s="53">
        <f>Tabla14[[#This Row],[Importe]]-Tabla14[[#This Row],[Pagado]]</f>
        <v>0</v>
      </c>
      <c r="H2681" s="37" t="s">
        <v>10</v>
      </c>
    </row>
    <row r="2682" spans="1:8" x14ac:dyDescent="0.25">
      <c r="A2682" s="31">
        <v>44645</v>
      </c>
      <c r="B2682" s="37" t="s">
        <v>9775</v>
      </c>
      <c r="C2682" s="51" t="s">
        <v>212</v>
      </c>
      <c r="D2682" s="52">
        <v>29672.799999999999</v>
      </c>
      <c r="E2682" s="35">
        <v>44649</v>
      </c>
      <c r="F2682" s="52">
        <v>29672.799999999999</v>
      </c>
      <c r="G2682" s="53">
        <f>Tabla14[[#This Row],[Importe]]-Tabla14[[#This Row],[Pagado]]</f>
        <v>0</v>
      </c>
      <c r="H2682" s="37" t="s">
        <v>10</v>
      </c>
    </row>
    <row r="2683" spans="1:8" x14ac:dyDescent="0.25">
      <c r="A2683" s="31">
        <v>44645</v>
      </c>
      <c r="B2683" s="37" t="s">
        <v>9776</v>
      </c>
      <c r="C2683" s="51" t="s">
        <v>49</v>
      </c>
      <c r="D2683" s="52">
        <v>2555</v>
      </c>
      <c r="E2683" s="35">
        <v>44645</v>
      </c>
      <c r="F2683" s="52">
        <v>2555</v>
      </c>
      <c r="G2683" s="53">
        <f>Tabla14[[#This Row],[Importe]]-Tabla14[[#This Row],[Pagado]]</f>
        <v>0</v>
      </c>
      <c r="H2683" s="37" t="s">
        <v>10</v>
      </c>
    </row>
    <row r="2684" spans="1:8" x14ac:dyDescent="0.25">
      <c r="A2684" s="31">
        <v>44645</v>
      </c>
      <c r="B2684" s="37" t="s">
        <v>9777</v>
      </c>
      <c r="C2684" s="51" t="s">
        <v>555</v>
      </c>
      <c r="D2684" s="52">
        <v>22578.5</v>
      </c>
      <c r="E2684" s="35">
        <v>44645</v>
      </c>
      <c r="F2684" s="52">
        <v>22578.5</v>
      </c>
      <c r="G2684" s="53">
        <f>Tabla14[[#This Row],[Importe]]-Tabla14[[#This Row],[Pagado]]</f>
        <v>0</v>
      </c>
      <c r="H2684" s="37" t="s">
        <v>10</v>
      </c>
    </row>
    <row r="2685" spans="1:8" x14ac:dyDescent="0.25">
      <c r="A2685" s="31">
        <v>44645</v>
      </c>
      <c r="B2685" s="37" t="s">
        <v>9778</v>
      </c>
      <c r="C2685" s="51" t="s">
        <v>35</v>
      </c>
      <c r="D2685" s="52">
        <v>2404.9</v>
      </c>
      <c r="E2685" s="35">
        <v>44645</v>
      </c>
      <c r="F2685" s="52">
        <v>2404.9</v>
      </c>
      <c r="G2685" s="53">
        <f>Tabla14[[#This Row],[Importe]]-Tabla14[[#This Row],[Pagado]]</f>
        <v>0</v>
      </c>
      <c r="H2685" s="37" t="s">
        <v>10</v>
      </c>
    </row>
    <row r="2686" spans="1:8" x14ac:dyDescent="0.25">
      <c r="A2686" s="31">
        <v>44645</v>
      </c>
      <c r="B2686" s="37" t="s">
        <v>9779</v>
      </c>
      <c r="C2686" s="51" t="s">
        <v>9780</v>
      </c>
      <c r="D2686" s="52">
        <v>36954.449999999997</v>
      </c>
      <c r="E2686" s="35">
        <v>44660</v>
      </c>
      <c r="F2686" s="52">
        <v>36954.449999999997</v>
      </c>
      <c r="G2686" s="53">
        <f>Tabla14[[#This Row],[Importe]]-Tabla14[[#This Row],[Pagado]]</f>
        <v>0</v>
      </c>
      <c r="H2686" s="37" t="s">
        <v>10</v>
      </c>
    </row>
    <row r="2687" spans="1:8" x14ac:dyDescent="0.25">
      <c r="A2687" s="31">
        <v>44645</v>
      </c>
      <c r="B2687" s="37" t="s">
        <v>9781</v>
      </c>
      <c r="C2687" s="51" t="s">
        <v>154</v>
      </c>
      <c r="D2687" s="52">
        <v>45473.2</v>
      </c>
      <c r="E2687" s="35">
        <v>44649</v>
      </c>
      <c r="F2687" s="52">
        <v>45473.2</v>
      </c>
      <c r="G2687" s="53">
        <f>Tabla14[[#This Row],[Importe]]-Tabla14[[#This Row],[Pagado]]</f>
        <v>0</v>
      </c>
      <c r="H2687" s="37" t="s">
        <v>10</v>
      </c>
    </row>
    <row r="2688" spans="1:8" x14ac:dyDescent="0.25">
      <c r="A2688" s="31">
        <v>44645</v>
      </c>
      <c r="B2688" s="37" t="s">
        <v>9782</v>
      </c>
      <c r="C2688" s="51" t="s">
        <v>224</v>
      </c>
      <c r="D2688" s="52">
        <v>3188.6</v>
      </c>
      <c r="E2688" s="35">
        <v>44645</v>
      </c>
      <c r="F2688" s="52">
        <v>3188.6</v>
      </c>
      <c r="G2688" s="53">
        <f>Tabla14[[#This Row],[Importe]]-Tabla14[[#This Row],[Pagado]]</f>
        <v>0</v>
      </c>
      <c r="H2688" s="37" t="s">
        <v>10</v>
      </c>
    </row>
    <row r="2689" spans="1:8" x14ac:dyDescent="0.25">
      <c r="A2689" s="31">
        <v>44645</v>
      </c>
      <c r="B2689" s="37" t="s">
        <v>9783</v>
      </c>
      <c r="C2689" s="51" t="s">
        <v>27</v>
      </c>
      <c r="D2689" s="52">
        <v>3560</v>
      </c>
      <c r="E2689" s="35">
        <v>44645</v>
      </c>
      <c r="F2689" s="52">
        <v>3560</v>
      </c>
      <c r="G2689" s="53">
        <f>Tabla14[[#This Row],[Importe]]-Tabla14[[#This Row],[Pagado]]</f>
        <v>0</v>
      </c>
      <c r="H2689" s="37" t="s">
        <v>10</v>
      </c>
    </row>
    <row r="2690" spans="1:8" x14ac:dyDescent="0.25">
      <c r="A2690" s="31">
        <v>44645</v>
      </c>
      <c r="B2690" s="37" t="s">
        <v>9784</v>
      </c>
      <c r="C2690" s="51" t="s">
        <v>142</v>
      </c>
      <c r="D2690" s="52">
        <v>106305.33</v>
      </c>
      <c r="E2690" s="35">
        <v>44670</v>
      </c>
      <c r="F2690" s="52">
        <v>106305.33</v>
      </c>
      <c r="G2690" s="53">
        <f>Tabla14[[#This Row],[Importe]]-Tabla14[[#This Row],[Pagado]]</f>
        <v>0</v>
      </c>
      <c r="H2690" s="37" t="s">
        <v>10</v>
      </c>
    </row>
    <row r="2691" spans="1:8" x14ac:dyDescent="0.25">
      <c r="A2691" s="31">
        <v>44645</v>
      </c>
      <c r="B2691" s="37" t="s">
        <v>9785</v>
      </c>
      <c r="C2691" s="51" t="s">
        <v>198</v>
      </c>
      <c r="D2691" s="52">
        <v>3602.4</v>
      </c>
      <c r="E2691" s="35">
        <v>44645</v>
      </c>
      <c r="F2691" s="52">
        <v>3602.4</v>
      </c>
      <c r="G2691" s="53">
        <f>Tabla14[[#This Row],[Importe]]-Tabla14[[#This Row],[Pagado]]</f>
        <v>0</v>
      </c>
      <c r="H2691" s="37" t="s">
        <v>10</v>
      </c>
    </row>
    <row r="2692" spans="1:8" x14ac:dyDescent="0.25">
      <c r="A2692" s="31">
        <v>44645</v>
      </c>
      <c r="B2692" s="37" t="s">
        <v>9786</v>
      </c>
      <c r="C2692" s="51" t="s">
        <v>151</v>
      </c>
      <c r="D2692" s="52">
        <v>9028</v>
      </c>
      <c r="E2692" s="35">
        <v>44645</v>
      </c>
      <c r="F2692" s="52">
        <v>9028</v>
      </c>
      <c r="G2692" s="53">
        <f>Tabla14[[#This Row],[Importe]]-Tabla14[[#This Row],[Pagado]]</f>
        <v>0</v>
      </c>
      <c r="H2692" s="37" t="s">
        <v>10</v>
      </c>
    </row>
    <row r="2693" spans="1:8" x14ac:dyDescent="0.25">
      <c r="A2693" s="31">
        <v>44645</v>
      </c>
      <c r="B2693" s="37" t="s">
        <v>9787</v>
      </c>
      <c r="C2693" s="51" t="s">
        <v>45</v>
      </c>
      <c r="D2693" s="52">
        <v>11288</v>
      </c>
      <c r="E2693" s="35">
        <v>44645</v>
      </c>
      <c r="F2693" s="52">
        <v>11288</v>
      </c>
      <c r="G2693" s="53">
        <f>Tabla14[[#This Row],[Importe]]-Tabla14[[#This Row],[Pagado]]</f>
        <v>0</v>
      </c>
      <c r="H2693" s="37" t="s">
        <v>10</v>
      </c>
    </row>
    <row r="2694" spans="1:8" x14ac:dyDescent="0.25">
      <c r="A2694" s="31">
        <v>44645</v>
      </c>
      <c r="B2694" s="37" t="s">
        <v>9788</v>
      </c>
      <c r="C2694" s="51" t="s">
        <v>183</v>
      </c>
      <c r="D2694" s="52">
        <v>1484.8</v>
      </c>
      <c r="E2694" s="35">
        <v>44645</v>
      </c>
      <c r="F2694" s="52">
        <v>1484.8</v>
      </c>
      <c r="G2694" s="53">
        <f>Tabla14[[#This Row],[Importe]]-Tabla14[[#This Row],[Pagado]]</f>
        <v>0</v>
      </c>
      <c r="H2694" s="37" t="s">
        <v>10</v>
      </c>
    </row>
    <row r="2695" spans="1:8" x14ac:dyDescent="0.25">
      <c r="A2695" s="31">
        <v>44645</v>
      </c>
      <c r="B2695" s="37" t="s">
        <v>9789</v>
      </c>
      <c r="C2695" s="51" t="s">
        <v>426</v>
      </c>
      <c r="D2695" s="52">
        <v>2552.8000000000002</v>
      </c>
      <c r="E2695" s="35">
        <v>44645</v>
      </c>
      <c r="F2695" s="52">
        <v>2552.8000000000002</v>
      </c>
      <c r="G2695" s="53">
        <f>Tabla14[[#This Row],[Importe]]-Tabla14[[#This Row],[Pagado]]</f>
        <v>0</v>
      </c>
      <c r="H2695" s="37" t="s">
        <v>10</v>
      </c>
    </row>
    <row r="2696" spans="1:8" x14ac:dyDescent="0.25">
      <c r="A2696" s="31">
        <v>44645</v>
      </c>
      <c r="B2696" s="37" t="s">
        <v>9790</v>
      </c>
      <c r="C2696" s="51" t="s">
        <v>157</v>
      </c>
      <c r="D2696" s="52">
        <v>1500</v>
      </c>
      <c r="E2696" s="35">
        <v>44645</v>
      </c>
      <c r="F2696" s="52">
        <v>1500</v>
      </c>
      <c r="G2696" s="53">
        <f>Tabla14[[#This Row],[Importe]]-Tabla14[[#This Row],[Pagado]]</f>
        <v>0</v>
      </c>
      <c r="H2696" s="37" t="s">
        <v>10</v>
      </c>
    </row>
    <row r="2697" spans="1:8" x14ac:dyDescent="0.25">
      <c r="A2697" s="31">
        <v>44645</v>
      </c>
      <c r="B2697" s="37" t="s">
        <v>9791</v>
      </c>
      <c r="C2697" s="51" t="s">
        <v>1537</v>
      </c>
      <c r="D2697" s="52">
        <v>1663.8</v>
      </c>
      <c r="E2697" s="35">
        <v>44645</v>
      </c>
      <c r="F2697" s="52">
        <v>1663.8</v>
      </c>
      <c r="G2697" s="53">
        <f>Tabla14[[#This Row],[Importe]]-Tabla14[[#This Row],[Pagado]]</f>
        <v>0</v>
      </c>
      <c r="H2697" s="37" t="s">
        <v>10</v>
      </c>
    </row>
    <row r="2698" spans="1:8" x14ac:dyDescent="0.25">
      <c r="A2698" s="31">
        <v>44645</v>
      </c>
      <c r="B2698" s="37" t="s">
        <v>9792</v>
      </c>
      <c r="C2698" s="51" t="s">
        <v>520</v>
      </c>
      <c r="D2698" s="52">
        <v>4716</v>
      </c>
      <c r="E2698" s="35">
        <v>44645</v>
      </c>
      <c r="F2698" s="52">
        <v>4716</v>
      </c>
      <c r="G2698" s="53">
        <f>Tabla14[[#This Row],[Importe]]-Tabla14[[#This Row],[Pagado]]</f>
        <v>0</v>
      </c>
      <c r="H2698" s="37" t="s">
        <v>10</v>
      </c>
    </row>
    <row r="2699" spans="1:8" x14ac:dyDescent="0.25">
      <c r="A2699" s="31">
        <v>44645</v>
      </c>
      <c r="B2699" s="37" t="s">
        <v>9793</v>
      </c>
      <c r="C2699" s="51" t="s">
        <v>79</v>
      </c>
      <c r="D2699" s="52">
        <v>8796.6</v>
      </c>
      <c r="E2699" s="35">
        <v>44645</v>
      </c>
      <c r="F2699" s="52">
        <v>8796.6</v>
      </c>
      <c r="G2699" s="53">
        <f>Tabla14[[#This Row],[Importe]]-Tabla14[[#This Row],[Pagado]]</f>
        <v>0</v>
      </c>
      <c r="H2699" s="37" t="s">
        <v>10</v>
      </c>
    </row>
    <row r="2700" spans="1:8" x14ac:dyDescent="0.25">
      <c r="A2700" s="31">
        <v>44645</v>
      </c>
      <c r="B2700" s="37" t="s">
        <v>9794</v>
      </c>
      <c r="C2700" s="51" t="s">
        <v>373</v>
      </c>
      <c r="D2700" s="52">
        <v>1293.9000000000001</v>
      </c>
      <c r="E2700" s="35">
        <v>44645</v>
      </c>
      <c r="F2700" s="52">
        <v>1293.9000000000001</v>
      </c>
      <c r="G2700" s="53">
        <f>Tabla14[[#This Row],[Importe]]-Tabla14[[#This Row],[Pagado]]</f>
        <v>0</v>
      </c>
      <c r="H2700" s="37" t="s">
        <v>10</v>
      </c>
    </row>
    <row r="2701" spans="1:8" x14ac:dyDescent="0.25">
      <c r="A2701" s="31">
        <v>44645</v>
      </c>
      <c r="B2701" s="37" t="s">
        <v>9795</v>
      </c>
      <c r="C2701" s="51" t="s">
        <v>218</v>
      </c>
      <c r="D2701" s="52">
        <v>21639.200000000001</v>
      </c>
      <c r="E2701" s="35">
        <v>44651</v>
      </c>
      <c r="F2701" s="52">
        <v>21639.200000000001</v>
      </c>
      <c r="G2701" s="53">
        <f>Tabla14[[#This Row],[Importe]]-Tabla14[[#This Row],[Pagado]]</f>
        <v>0</v>
      </c>
      <c r="H2701" s="37" t="s">
        <v>10</v>
      </c>
    </row>
    <row r="2702" spans="1:8" x14ac:dyDescent="0.25">
      <c r="A2702" s="31">
        <v>44645</v>
      </c>
      <c r="B2702" s="37" t="s">
        <v>9796</v>
      </c>
      <c r="C2702" s="51" t="s">
        <v>520</v>
      </c>
      <c r="D2702" s="52">
        <v>375</v>
      </c>
      <c r="E2702" s="35">
        <v>44645</v>
      </c>
      <c r="F2702" s="52">
        <v>375</v>
      </c>
      <c r="G2702" s="53">
        <f>Tabla14[[#This Row],[Importe]]-Tabla14[[#This Row],[Pagado]]</f>
        <v>0</v>
      </c>
      <c r="H2702" s="37" t="s">
        <v>10</v>
      </c>
    </row>
    <row r="2703" spans="1:8" x14ac:dyDescent="0.25">
      <c r="A2703" s="31">
        <v>44645</v>
      </c>
      <c r="B2703" s="37" t="s">
        <v>9797</v>
      </c>
      <c r="C2703" s="51" t="s">
        <v>878</v>
      </c>
      <c r="D2703" s="52">
        <v>3137.6</v>
      </c>
      <c r="E2703" s="35">
        <v>44645</v>
      </c>
      <c r="F2703" s="52">
        <v>3137.6</v>
      </c>
      <c r="G2703" s="53">
        <f>Tabla14[[#This Row],[Importe]]-Tabla14[[#This Row],[Pagado]]</f>
        <v>0</v>
      </c>
      <c r="H2703" s="37" t="s">
        <v>10</v>
      </c>
    </row>
    <row r="2704" spans="1:8" x14ac:dyDescent="0.25">
      <c r="A2704" s="31">
        <v>44645</v>
      </c>
      <c r="B2704" s="37" t="s">
        <v>9798</v>
      </c>
      <c r="C2704" s="51" t="s">
        <v>703</v>
      </c>
      <c r="D2704" s="52">
        <v>5273.5</v>
      </c>
      <c r="E2704" s="35">
        <v>44645</v>
      </c>
      <c r="F2704" s="52">
        <v>5273.5</v>
      </c>
      <c r="G2704" s="53">
        <f>Tabla14[[#This Row],[Importe]]-Tabla14[[#This Row],[Pagado]]</f>
        <v>0</v>
      </c>
      <c r="H2704" s="37" t="s">
        <v>10</v>
      </c>
    </row>
    <row r="2705" spans="1:8" x14ac:dyDescent="0.25">
      <c r="A2705" s="31">
        <v>44645</v>
      </c>
      <c r="B2705" s="37" t="s">
        <v>9799</v>
      </c>
      <c r="C2705" s="51" t="s">
        <v>206</v>
      </c>
      <c r="D2705" s="52">
        <v>36985</v>
      </c>
      <c r="E2705" s="35">
        <v>44651</v>
      </c>
      <c r="F2705" s="52">
        <v>36985</v>
      </c>
      <c r="G2705" s="53">
        <f>Tabla14[[#This Row],[Importe]]-Tabla14[[#This Row],[Pagado]]</f>
        <v>0</v>
      </c>
      <c r="H2705" s="37" t="s">
        <v>10</v>
      </c>
    </row>
    <row r="2706" spans="1:8" x14ac:dyDescent="0.25">
      <c r="A2706" s="31">
        <v>44645</v>
      </c>
      <c r="B2706" s="37" t="s">
        <v>9800</v>
      </c>
      <c r="C2706" s="51" t="s">
        <v>382</v>
      </c>
      <c r="D2706" s="52">
        <v>8019</v>
      </c>
      <c r="E2706" s="35">
        <v>44645</v>
      </c>
      <c r="F2706" s="52">
        <v>8019</v>
      </c>
      <c r="G2706" s="53">
        <f>Tabla14[[#This Row],[Importe]]-Tabla14[[#This Row],[Pagado]]</f>
        <v>0</v>
      </c>
      <c r="H2706" s="37" t="s">
        <v>10</v>
      </c>
    </row>
    <row r="2707" spans="1:8" x14ac:dyDescent="0.25">
      <c r="A2707" s="31">
        <v>44645</v>
      </c>
      <c r="B2707" s="37" t="s">
        <v>9801</v>
      </c>
      <c r="C2707" s="51" t="s">
        <v>173</v>
      </c>
      <c r="D2707" s="52">
        <v>32446</v>
      </c>
      <c r="E2707" s="35">
        <v>44646</v>
      </c>
      <c r="F2707" s="52">
        <v>32446</v>
      </c>
      <c r="G2707" s="53">
        <f>Tabla14[[#This Row],[Importe]]-Tabla14[[#This Row],[Pagado]]</f>
        <v>0</v>
      </c>
      <c r="H2707" s="37" t="s">
        <v>10</v>
      </c>
    </row>
    <row r="2708" spans="1:8" x14ac:dyDescent="0.25">
      <c r="A2708" s="31">
        <v>44645</v>
      </c>
      <c r="B2708" s="37" t="s">
        <v>9802</v>
      </c>
      <c r="C2708" s="51" t="s">
        <v>191</v>
      </c>
      <c r="D2708" s="52">
        <v>2481.6999999999998</v>
      </c>
      <c r="E2708" s="35">
        <v>44645</v>
      </c>
      <c r="F2708" s="52">
        <v>2481.6999999999998</v>
      </c>
      <c r="G2708" s="53">
        <f>Tabla14[[#This Row],[Importe]]-Tabla14[[#This Row],[Pagado]]</f>
        <v>0</v>
      </c>
      <c r="H2708" s="37" t="s">
        <v>10</v>
      </c>
    </row>
    <row r="2709" spans="1:8" x14ac:dyDescent="0.25">
      <c r="A2709" s="31">
        <v>44645</v>
      </c>
      <c r="B2709" s="37" t="s">
        <v>9803</v>
      </c>
      <c r="C2709" s="51" t="s">
        <v>3971</v>
      </c>
      <c r="D2709" s="52">
        <v>560</v>
      </c>
      <c r="E2709" s="35">
        <v>44645</v>
      </c>
      <c r="F2709" s="52">
        <v>560</v>
      </c>
      <c r="G2709" s="53">
        <f>Tabla14[[#This Row],[Importe]]-Tabla14[[#This Row],[Pagado]]</f>
        <v>0</v>
      </c>
      <c r="H2709" s="37" t="s">
        <v>10</v>
      </c>
    </row>
    <row r="2710" spans="1:8" x14ac:dyDescent="0.25">
      <c r="A2710" s="31">
        <v>44645</v>
      </c>
      <c r="B2710" s="37" t="s">
        <v>9804</v>
      </c>
      <c r="C2710" s="51" t="s">
        <v>24</v>
      </c>
      <c r="D2710" s="52">
        <v>364</v>
      </c>
      <c r="E2710" s="35">
        <v>44645</v>
      </c>
      <c r="F2710" s="52">
        <v>364</v>
      </c>
      <c r="G2710" s="53">
        <f>Tabla14[[#This Row],[Importe]]-Tabla14[[#This Row],[Pagado]]</f>
        <v>0</v>
      </c>
      <c r="H2710" s="37" t="s">
        <v>10</v>
      </c>
    </row>
    <row r="2711" spans="1:8" x14ac:dyDescent="0.25">
      <c r="A2711" s="31">
        <v>44645</v>
      </c>
      <c r="B2711" s="37" t="s">
        <v>9805</v>
      </c>
      <c r="C2711" s="51" t="s">
        <v>263</v>
      </c>
      <c r="D2711" s="52">
        <v>113898.3</v>
      </c>
      <c r="E2711" s="35">
        <v>44645</v>
      </c>
      <c r="F2711" s="52">
        <v>113898.3</v>
      </c>
      <c r="G2711" s="53">
        <f>Tabla14[[#This Row],[Importe]]-Tabla14[[#This Row],[Pagado]]</f>
        <v>0</v>
      </c>
      <c r="H2711" s="37" t="s">
        <v>10</v>
      </c>
    </row>
    <row r="2712" spans="1:8" x14ac:dyDescent="0.25">
      <c r="A2712" s="31">
        <v>44645</v>
      </c>
      <c r="B2712" s="37" t="s">
        <v>9806</v>
      </c>
      <c r="C2712" s="51" t="s">
        <v>216</v>
      </c>
      <c r="D2712" s="52">
        <v>1512</v>
      </c>
      <c r="E2712" s="35">
        <v>44645</v>
      </c>
      <c r="F2712" s="52">
        <v>1512</v>
      </c>
      <c r="G2712" s="53">
        <f>Tabla14[[#This Row],[Importe]]-Tabla14[[#This Row],[Pagado]]</f>
        <v>0</v>
      </c>
      <c r="H2712" s="37" t="s">
        <v>10</v>
      </c>
    </row>
    <row r="2713" spans="1:8" x14ac:dyDescent="0.25">
      <c r="A2713" s="31">
        <v>44645</v>
      </c>
      <c r="B2713" s="37" t="s">
        <v>9807</v>
      </c>
      <c r="C2713" s="51" t="s">
        <v>56</v>
      </c>
      <c r="D2713" s="52">
        <v>6298.8</v>
      </c>
      <c r="E2713" s="35">
        <v>44645</v>
      </c>
      <c r="F2713" s="52">
        <v>6298.8</v>
      </c>
      <c r="G2713" s="53">
        <f>Tabla14[[#This Row],[Importe]]-Tabla14[[#This Row],[Pagado]]</f>
        <v>0</v>
      </c>
      <c r="H2713" s="37" t="s">
        <v>10</v>
      </c>
    </row>
    <row r="2714" spans="1:8" x14ac:dyDescent="0.25">
      <c r="A2714" s="31">
        <v>44645</v>
      </c>
      <c r="B2714" s="37" t="s">
        <v>9808</v>
      </c>
      <c r="C2714" s="51" t="s">
        <v>56</v>
      </c>
      <c r="D2714" s="52">
        <v>1641.4</v>
      </c>
      <c r="E2714" s="35">
        <v>44645</v>
      </c>
      <c r="F2714" s="52">
        <v>1641.4</v>
      </c>
      <c r="G2714" s="53">
        <f>Tabla14[[#This Row],[Importe]]-Tabla14[[#This Row],[Pagado]]</f>
        <v>0</v>
      </c>
      <c r="H2714" s="37" t="s">
        <v>10</v>
      </c>
    </row>
    <row r="2715" spans="1:8" x14ac:dyDescent="0.25">
      <c r="A2715" s="31">
        <v>44645</v>
      </c>
      <c r="B2715" s="37" t="s">
        <v>9809</v>
      </c>
      <c r="C2715" s="51" t="s">
        <v>592</v>
      </c>
      <c r="D2715" s="52">
        <v>28095.599999999999</v>
      </c>
      <c r="E2715" s="35">
        <v>44653</v>
      </c>
      <c r="F2715" s="52">
        <v>28095.599999999999</v>
      </c>
      <c r="G2715" s="53">
        <f>Tabla14[[#This Row],[Importe]]-Tabla14[[#This Row],[Pagado]]</f>
        <v>0</v>
      </c>
      <c r="H2715" s="37" t="s">
        <v>10</v>
      </c>
    </row>
    <row r="2716" spans="1:8" x14ac:dyDescent="0.25">
      <c r="A2716" s="31">
        <v>44645</v>
      </c>
      <c r="B2716" s="37" t="s">
        <v>9810</v>
      </c>
      <c r="C2716" s="51" t="s">
        <v>31</v>
      </c>
      <c r="D2716" s="52">
        <v>626.52</v>
      </c>
      <c r="E2716" s="35">
        <v>44645</v>
      </c>
      <c r="F2716" s="52">
        <v>626.52</v>
      </c>
      <c r="G2716" s="53">
        <f>Tabla14[[#This Row],[Importe]]-Tabla14[[#This Row],[Pagado]]</f>
        <v>0</v>
      </c>
      <c r="H2716" s="37" t="s">
        <v>10</v>
      </c>
    </row>
    <row r="2717" spans="1:8" x14ac:dyDescent="0.25">
      <c r="A2717" s="31">
        <v>44645</v>
      </c>
      <c r="B2717" s="37" t="s">
        <v>9811</v>
      </c>
      <c r="C2717" s="51" t="s">
        <v>51</v>
      </c>
      <c r="D2717" s="52">
        <v>3781.8</v>
      </c>
      <c r="E2717" s="35">
        <v>44645</v>
      </c>
      <c r="F2717" s="52">
        <v>3781.8</v>
      </c>
      <c r="G2717" s="53">
        <f>Tabla14[[#This Row],[Importe]]-Tabla14[[#This Row],[Pagado]]</f>
        <v>0</v>
      </c>
      <c r="H2717" s="37" t="s">
        <v>10</v>
      </c>
    </row>
    <row r="2718" spans="1:8" ht="47.25" x14ac:dyDescent="0.25">
      <c r="A2718" s="31">
        <v>44645</v>
      </c>
      <c r="B2718" s="37" t="s">
        <v>9812</v>
      </c>
      <c r="C2718" s="51" t="s">
        <v>133</v>
      </c>
      <c r="D2718" s="52">
        <v>24796.799999999999</v>
      </c>
      <c r="E2718" s="35" t="s">
        <v>10566</v>
      </c>
      <c r="F2718" s="52">
        <f>1700+1500+21596.8</f>
        <v>24796.799999999999</v>
      </c>
      <c r="G2718" s="53">
        <f>Tabla14[[#This Row],[Importe]]-Tabla14[[#This Row],[Pagado]]</f>
        <v>0</v>
      </c>
      <c r="H2718" s="37" t="s">
        <v>10</v>
      </c>
    </row>
    <row r="2719" spans="1:8" x14ac:dyDescent="0.25">
      <c r="A2719" s="31">
        <v>44645</v>
      </c>
      <c r="B2719" s="37" t="s">
        <v>9813</v>
      </c>
      <c r="C2719" s="51" t="s">
        <v>191</v>
      </c>
      <c r="D2719" s="52">
        <v>41</v>
      </c>
      <c r="E2719" s="35">
        <v>44645</v>
      </c>
      <c r="F2719" s="52">
        <v>41</v>
      </c>
      <c r="G2719" s="53">
        <f>Tabla14[[#This Row],[Importe]]-Tabla14[[#This Row],[Pagado]]</f>
        <v>0</v>
      </c>
      <c r="H2719" s="37" t="s">
        <v>10</v>
      </c>
    </row>
    <row r="2720" spans="1:8" x14ac:dyDescent="0.25">
      <c r="A2720" s="31">
        <v>44645</v>
      </c>
      <c r="B2720" s="37" t="s">
        <v>9814</v>
      </c>
      <c r="C2720" s="51" t="s">
        <v>541</v>
      </c>
      <c r="D2720" s="52">
        <v>11663.6</v>
      </c>
      <c r="E2720" s="35">
        <v>44646</v>
      </c>
      <c r="F2720" s="52">
        <v>11663.6</v>
      </c>
      <c r="G2720" s="53">
        <f>Tabla14[[#This Row],[Importe]]-Tabla14[[#This Row],[Pagado]]</f>
        <v>0</v>
      </c>
      <c r="H2720" s="37" t="s">
        <v>10</v>
      </c>
    </row>
    <row r="2721" spans="1:8" x14ac:dyDescent="0.25">
      <c r="A2721" s="31">
        <v>44645</v>
      </c>
      <c r="B2721" s="37" t="s">
        <v>9815</v>
      </c>
      <c r="C2721" s="51" t="s">
        <v>5816</v>
      </c>
      <c r="D2721" s="52">
        <v>3198</v>
      </c>
      <c r="E2721" s="35">
        <v>44646</v>
      </c>
      <c r="F2721" s="52">
        <v>3198</v>
      </c>
      <c r="G2721" s="53">
        <f>Tabla14[[#This Row],[Importe]]-Tabla14[[#This Row],[Pagado]]</f>
        <v>0</v>
      </c>
      <c r="H2721" s="37" t="s">
        <v>10</v>
      </c>
    </row>
    <row r="2722" spans="1:8" x14ac:dyDescent="0.25">
      <c r="A2722" s="31">
        <v>44645</v>
      </c>
      <c r="B2722" s="37" t="s">
        <v>9816</v>
      </c>
      <c r="C2722" s="51" t="s">
        <v>71</v>
      </c>
      <c r="D2722" s="52">
        <v>3993.8</v>
      </c>
      <c r="E2722" s="35">
        <v>44645</v>
      </c>
      <c r="F2722" s="52">
        <v>3993.8</v>
      </c>
      <c r="G2722" s="53">
        <f>Tabla14[[#This Row],[Importe]]-Tabla14[[#This Row],[Pagado]]</f>
        <v>0</v>
      </c>
      <c r="H2722" s="37" t="s">
        <v>10</v>
      </c>
    </row>
    <row r="2723" spans="1:8" x14ac:dyDescent="0.25">
      <c r="A2723" s="31">
        <v>44645</v>
      </c>
      <c r="B2723" s="37" t="s">
        <v>9817</v>
      </c>
      <c r="C2723" s="51" t="s">
        <v>214</v>
      </c>
      <c r="D2723" s="52">
        <v>1101.5999999999999</v>
      </c>
      <c r="E2723" s="35">
        <v>44645</v>
      </c>
      <c r="F2723" s="52">
        <v>1101.5999999999999</v>
      </c>
      <c r="G2723" s="53">
        <f>Tabla14[[#This Row],[Importe]]-Tabla14[[#This Row],[Pagado]]</f>
        <v>0</v>
      </c>
      <c r="H2723" s="37" t="s">
        <v>10</v>
      </c>
    </row>
    <row r="2724" spans="1:8" x14ac:dyDescent="0.25">
      <c r="A2724" s="31">
        <v>44645</v>
      </c>
      <c r="B2724" s="37" t="s">
        <v>9818</v>
      </c>
      <c r="C2724" s="51" t="s">
        <v>31</v>
      </c>
      <c r="D2724" s="52">
        <v>4787.2</v>
      </c>
      <c r="E2724" s="35">
        <v>44645</v>
      </c>
      <c r="F2724" s="52">
        <v>4787.2</v>
      </c>
      <c r="G2724" s="53">
        <f>Tabla14[[#This Row],[Importe]]-Tabla14[[#This Row],[Pagado]]</f>
        <v>0</v>
      </c>
      <c r="H2724" s="37" t="s">
        <v>10</v>
      </c>
    </row>
    <row r="2725" spans="1:8" x14ac:dyDescent="0.25">
      <c r="A2725" s="31">
        <v>44645</v>
      </c>
      <c r="B2725" s="37" t="s">
        <v>9819</v>
      </c>
      <c r="C2725" s="51" t="s">
        <v>67</v>
      </c>
      <c r="D2725" s="52">
        <v>1628</v>
      </c>
      <c r="E2725" s="35">
        <v>44645</v>
      </c>
      <c r="F2725" s="52">
        <v>1628</v>
      </c>
      <c r="G2725" s="53">
        <f>Tabla14[[#This Row],[Importe]]-Tabla14[[#This Row],[Pagado]]</f>
        <v>0</v>
      </c>
      <c r="H2725" s="37" t="s">
        <v>10</v>
      </c>
    </row>
    <row r="2726" spans="1:8" x14ac:dyDescent="0.25">
      <c r="A2726" s="31">
        <v>44645</v>
      </c>
      <c r="B2726" s="37" t="s">
        <v>9820</v>
      </c>
      <c r="C2726" s="51" t="s">
        <v>275</v>
      </c>
      <c r="D2726" s="52">
        <v>25562.7</v>
      </c>
      <c r="E2726" s="35">
        <v>44659</v>
      </c>
      <c r="F2726" s="52">
        <v>25562.7</v>
      </c>
      <c r="G2726" s="53">
        <f>Tabla14[[#This Row],[Importe]]-Tabla14[[#This Row],[Pagado]]</f>
        <v>0</v>
      </c>
      <c r="H2726" s="37" t="s">
        <v>10</v>
      </c>
    </row>
    <row r="2727" spans="1:8" x14ac:dyDescent="0.25">
      <c r="A2727" s="31">
        <v>44645</v>
      </c>
      <c r="B2727" s="37" t="s">
        <v>9821</v>
      </c>
      <c r="C2727" s="51" t="s">
        <v>2139</v>
      </c>
      <c r="D2727" s="52">
        <v>1414.5</v>
      </c>
      <c r="E2727" s="35">
        <v>44645</v>
      </c>
      <c r="F2727" s="52">
        <v>1414.5</v>
      </c>
      <c r="G2727" s="53">
        <f>Tabla14[[#This Row],[Importe]]-Tabla14[[#This Row],[Pagado]]</f>
        <v>0</v>
      </c>
      <c r="H2727" s="37" t="s">
        <v>10</v>
      </c>
    </row>
    <row r="2728" spans="1:8" x14ac:dyDescent="0.25">
      <c r="A2728" s="31">
        <v>44645</v>
      </c>
      <c r="B2728" s="37" t="s">
        <v>9822</v>
      </c>
      <c r="C2728" s="51" t="s">
        <v>840</v>
      </c>
      <c r="D2728" s="52">
        <v>6944</v>
      </c>
      <c r="E2728" s="35">
        <v>44645</v>
      </c>
      <c r="F2728" s="52">
        <v>6944</v>
      </c>
      <c r="G2728" s="53">
        <f>Tabla14[[#This Row],[Importe]]-Tabla14[[#This Row],[Pagado]]</f>
        <v>0</v>
      </c>
      <c r="H2728" s="37" t="s">
        <v>10</v>
      </c>
    </row>
    <row r="2729" spans="1:8" x14ac:dyDescent="0.25">
      <c r="A2729" s="31">
        <v>44645</v>
      </c>
      <c r="B2729" s="37" t="s">
        <v>9823</v>
      </c>
      <c r="C2729" s="51" t="s">
        <v>9</v>
      </c>
      <c r="D2729" s="52">
        <v>4353.6000000000004</v>
      </c>
      <c r="E2729" s="35">
        <v>44645</v>
      </c>
      <c r="F2729" s="52">
        <v>4353.6000000000004</v>
      </c>
      <c r="G2729" s="53">
        <f>Tabla14[[#This Row],[Importe]]-Tabla14[[#This Row],[Pagado]]</f>
        <v>0</v>
      </c>
      <c r="H2729" s="37" t="s">
        <v>10</v>
      </c>
    </row>
    <row r="2730" spans="1:8" x14ac:dyDescent="0.25">
      <c r="A2730" s="31">
        <v>44645</v>
      </c>
      <c r="B2730" s="37" t="s">
        <v>9824</v>
      </c>
      <c r="C2730" s="51" t="s">
        <v>289</v>
      </c>
      <c r="D2730" s="52">
        <v>10178</v>
      </c>
      <c r="E2730" s="35">
        <v>44645</v>
      </c>
      <c r="F2730" s="52">
        <v>10178</v>
      </c>
      <c r="G2730" s="53">
        <f>Tabla14[[#This Row],[Importe]]-Tabla14[[#This Row],[Pagado]]</f>
        <v>0</v>
      </c>
      <c r="H2730" s="37" t="s">
        <v>10</v>
      </c>
    </row>
    <row r="2731" spans="1:8" x14ac:dyDescent="0.25">
      <c r="A2731" s="31">
        <v>44645</v>
      </c>
      <c r="B2731" s="37" t="s">
        <v>9825</v>
      </c>
      <c r="C2731" s="51" t="s">
        <v>414</v>
      </c>
      <c r="D2731" s="52">
        <v>17299.2</v>
      </c>
      <c r="E2731" s="35">
        <v>44645</v>
      </c>
      <c r="F2731" s="52">
        <v>17299.2</v>
      </c>
      <c r="G2731" s="53">
        <f>Tabla14[[#This Row],[Importe]]-Tabla14[[#This Row],[Pagado]]</f>
        <v>0</v>
      </c>
      <c r="H2731" s="37" t="s">
        <v>10</v>
      </c>
    </row>
    <row r="2732" spans="1:8" x14ac:dyDescent="0.25">
      <c r="A2732" s="31">
        <v>44645</v>
      </c>
      <c r="B2732" s="37" t="s">
        <v>9826</v>
      </c>
      <c r="C2732" s="51" t="s">
        <v>9827</v>
      </c>
      <c r="D2732" s="52">
        <v>556.20000000000005</v>
      </c>
      <c r="E2732" s="35">
        <v>44645</v>
      </c>
      <c r="F2732" s="52">
        <v>556.20000000000005</v>
      </c>
      <c r="G2732" s="53">
        <f>Tabla14[[#This Row],[Importe]]-Tabla14[[#This Row],[Pagado]]</f>
        <v>0</v>
      </c>
      <c r="H2732" s="37" t="s">
        <v>10</v>
      </c>
    </row>
    <row r="2733" spans="1:8" x14ac:dyDescent="0.25">
      <c r="A2733" s="31">
        <v>44645</v>
      </c>
      <c r="B2733" s="37" t="s">
        <v>9828</v>
      </c>
      <c r="C2733" s="51" t="s">
        <v>414</v>
      </c>
      <c r="D2733" s="52">
        <v>89.83</v>
      </c>
      <c r="E2733" s="71">
        <v>44691</v>
      </c>
      <c r="F2733" s="83">
        <v>89.83</v>
      </c>
      <c r="G2733" s="84">
        <f>Tabla14[[#This Row],[Importe]]-Tabla14[[#This Row],[Pagado]]</f>
        <v>0</v>
      </c>
      <c r="H2733" s="68" t="s">
        <v>10</v>
      </c>
    </row>
    <row r="2734" spans="1:8" x14ac:dyDescent="0.25">
      <c r="A2734" s="31">
        <v>44645</v>
      </c>
      <c r="B2734" s="37" t="s">
        <v>9829</v>
      </c>
      <c r="C2734" s="51" t="s">
        <v>291</v>
      </c>
      <c r="D2734" s="52">
        <v>1456</v>
      </c>
      <c r="E2734" s="35">
        <v>44645</v>
      </c>
      <c r="F2734" s="52">
        <v>1456</v>
      </c>
      <c r="G2734" s="53">
        <f>Tabla14[[#This Row],[Importe]]-Tabla14[[#This Row],[Pagado]]</f>
        <v>0</v>
      </c>
      <c r="H2734" s="37" t="s">
        <v>10</v>
      </c>
    </row>
    <row r="2735" spans="1:8" x14ac:dyDescent="0.25">
      <c r="A2735" s="31">
        <v>44645</v>
      </c>
      <c r="B2735" s="37" t="s">
        <v>9830</v>
      </c>
      <c r="C2735" s="51" t="s">
        <v>849</v>
      </c>
      <c r="D2735" s="52">
        <v>3946.8</v>
      </c>
      <c r="E2735" s="35">
        <v>44645</v>
      </c>
      <c r="F2735" s="52">
        <v>3946.8</v>
      </c>
      <c r="G2735" s="53">
        <f>Tabla14[[#This Row],[Importe]]-Tabla14[[#This Row],[Pagado]]</f>
        <v>0</v>
      </c>
      <c r="H2735" s="37" t="s">
        <v>10</v>
      </c>
    </row>
    <row r="2736" spans="1:8" x14ac:dyDescent="0.25">
      <c r="A2736" s="31">
        <v>44645</v>
      </c>
      <c r="B2736" s="37" t="s">
        <v>9831</v>
      </c>
      <c r="C2736" s="51" t="s">
        <v>1362</v>
      </c>
      <c r="D2736" s="52">
        <v>7199.1</v>
      </c>
      <c r="E2736" s="35">
        <v>44645</v>
      </c>
      <c r="F2736" s="52">
        <v>7199.1</v>
      </c>
      <c r="G2736" s="53">
        <f>Tabla14[[#This Row],[Importe]]-Tabla14[[#This Row],[Pagado]]</f>
        <v>0</v>
      </c>
      <c r="H2736" s="37" t="s">
        <v>10</v>
      </c>
    </row>
    <row r="2737" spans="1:8" x14ac:dyDescent="0.25">
      <c r="A2737" s="31">
        <v>44645</v>
      </c>
      <c r="B2737" s="37" t="s">
        <v>9832</v>
      </c>
      <c r="C2737" s="51" t="s">
        <v>9833</v>
      </c>
      <c r="D2737" s="52">
        <v>0</v>
      </c>
      <c r="E2737" s="39" t="s">
        <v>189</v>
      </c>
      <c r="F2737" s="52">
        <v>0</v>
      </c>
      <c r="G2737" s="53">
        <f>Tabla14[[#This Row],[Importe]]-Tabla14[[#This Row],[Pagado]]</f>
        <v>0</v>
      </c>
      <c r="H2737" s="54" t="s">
        <v>9702</v>
      </c>
    </row>
    <row r="2738" spans="1:8" x14ac:dyDescent="0.25">
      <c r="A2738" s="31">
        <v>44645</v>
      </c>
      <c r="B2738" s="37" t="s">
        <v>9834</v>
      </c>
      <c r="C2738" s="51" t="s">
        <v>1313</v>
      </c>
      <c r="D2738" s="52">
        <v>4750</v>
      </c>
      <c r="E2738" s="35">
        <v>44645</v>
      </c>
      <c r="F2738" s="52">
        <v>4750</v>
      </c>
      <c r="G2738" s="53">
        <f>Tabla14[[#This Row],[Importe]]-Tabla14[[#This Row],[Pagado]]</f>
        <v>0</v>
      </c>
      <c r="H2738" s="37" t="s">
        <v>10</v>
      </c>
    </row>
    <row r="2739" spans="1:8" x14ac:dyDescent="0.25">
      <c r="A2739" s="31">
        <v>44645</v>
      </c>
      <c r="B2739" s="37" t="s">
        <v>9835</v>
      </c>
      <c r="C2739" s="51" t="s">
        <v>365</v>
      </c>
      <c r="D2739" s="52">
        <v>294</v>
      </c>
      <c r="E2739" s="35">
        <v>44645</v>
      </c>
      <c r="F2739" s="52">
        <v>294</v>
      </c>
      <c r="G2739" s="53">
        <f>Tabla14[[#This Row],[Importe]]-Tabla14[[#This Row],[Pagado]]</f>
        <v>0</v>
      </c>
      <c r="H2739" s="37" t="s">
        <v>10</v>
      </c>
    </row>
    <row r="2740" spans="1:8" x14ac:dyDescent="0.25">
      <c r="A2740" s="31">
        <v>44645</v>
      </c>
      <c r="B2740" s="37" t="s">
        <v>9836</v>
      </c>
      <c r="C2740" s="51" t="s">
        <v>146</v>
      </c>
      <c r="D2740" s="52">
        <v>11553.6</v>
      </c>
      <c r="E2740" s="35">
        <v>44645</v>
      </c>
      <c r="F2740" s="52">
        <v>11553.6</v>
      </c>
      <c r="G2740" s="53">
        <f>Tabla14[[#This Row],[Importe]]-Tabla14[[#This Row],[Pagado]]</f>
        <v>0</v>
      </c>
      <c r="H2740" s="37" t="s">
        <v>10</v>
      </c>
    </row>
    <row r="2741" spans="1:8" x14ac:dyDescent="0.25">
      <c r="A2741" s="31">
        <v>44645</v>
      </c>
      <c r="B2741" s="37" t="s">
        <v>9837</v>
      </c>
      <c r="C2741" s="51" t="s">
        <v>107</v>
      </c>
      <c r="D2741" s="52">
        <v>7913.6</v>
      </c>
      <c r="E2741" s="35">
        <v>44645</v>
      </c>
      <c r="F2741" s="52">
        <v>7913.6</v>
      </c>
      <c r="G2741" s="53">
        <f>Tabla14[[#This Row],[Importe]]-Tabla14[[#This Row],[Pagado]]</f>
        <v>0</v>
      </c>
      <c r="H2741" s="37" t="s">
        <v>10</v>
      </c>
    </row>
    <row r="2742" spans="1:8" x14ac:dyDescent="0.25">
      <c r="A2742" s="31">
        <v>44645</v>
      </c>
      <c r="B2742" s="37" t="s">
        <v>9838</v>
      </c>
      <c r="C2742" s="51" t="s">
        <v>433</v>
      </c>
      <c r="D2742" s="52">
        <v>27000</v>
      </c>
      <c r="E2742" s="35">
        <v>44645</v>
      </c>
      <c r="F2742" s="52">
        <v>27000</v>
      </c>
      <c r="G2742" s="53">
        <f>Tabla14[[#This Row],[Importe]]-Tabla14[[#This Row],[Pagado]]</f>
        <v>0</v>
      </c>
      <c r="H2742" s="37" t="s">
        <v>10</v>
      </c>
    </row>
    <row r="2743" spans="1:8" x14ac:dyDescent="0.25">
      <c r="A2743" s="31">
        <v>44645</v>
      </c>
      <c r="B2743" s="37" t="s">
        <v>9839</v>
      </c>
      <c r="C2743" s="51" t="s">
        <v>414</v>
      </c>
      <c r="D2743" s="52">
        <v>1800</v>
      </c>
      <c r="E2743" s="35">
        <v>44645</v>
      </c>
      <c r="F2743" s="52">
        <v>1800</v>
      </c>
      <c r="G2743" s="53">
        <f>Tabla14[[#This Row],[Importe]]-Tabla14[[#This Row],[Pagado]]</f>
        <v>0</v>
      </c>
      <c r="H2743" s="37" t="s">
        <v>10</v>
      </c>
    </row>
    <row r="2744" spans="1:8" x14ac:dyDescent="0.25">
      <c r="A2744" s="31">
        <v>44645</v>
      </c>
      <c r="B2744" s="37" t="s">
        <v>9840</v>
      </c>
      <c r="C2744" s="51" t="s">
        <v>58</v>
      </c>
      <c r="D2744" s="52">
        <v>3256</v>
      </c>
      <c r="E2744" s="35">
        <v>44645</v>
      </c>
      <c r="F2744" s="52">
        <v>3256</v>
      </c>
      <c r="G2744" s="53">
        <f>Tabla14[[#This Row],[Importe]]-Tabla14[[#This Row],[Pagado]]</f>
        <v>0</v>
      </c>
      <c r="H2744" s="37" t="s">
        <v>10</v>
      </c>
    </row>
    <row r="2745" spans="1:8" x14ac:dyDescent="0.25">
      <c r="A2745" s="31">
        <v>44645</v>
      </c>
      <c r="B2745" s="37" t="s">
        <v>9841</v>
      </c>
      <c r="C2745" s="51" t="s">
        <v>918</v>
      </c>
      <c r="D2745" s="52">
        <v>3955.6</v>
      </c>
      <c r="E2745" s="35">
        <v>44645</v>
      </c>
      <c r="F2745" s="52">
        <v>3955.6</v>
      </c>
      <c r="G2745" s="53">
        <f>Tabla14[[#This Row],[Importe]]-Tabla14[[#This Row],[Pagado]]</f>
        <v>0</v>
      </c>
      <c r="H2745" s="37" t="s">
        <v>10</v>
      </c>
    </row>
    <row r="2746" spans="1:8" x14ac:dyDescent="0.25">
      <c r="A2746" s="31">
        <v>44645</v>
      </c>
      <c r="B2746" s="37" t="s">
        <v>9842</v>
      </c>
      <c r="C2746" s="51" t="s">
        <v>284</v>
      </c>
      <c r="D2746" s="52">
        <v>10854</v>
      </c>
      <c r="E2746" s="35">
        <v>44645</v>
      </c>
      <c r="F2746" s="52">
        <v>10854</v>
      </c>
      <c r="G2746" s="53">
        <f>Tabla14[[#This Row],[Importe]]-Tabla14[[#This Row],[Pagado]]</f>
        <v>0</v>
      </c>
      <c r="H2746" s="37" t="s">
        <v>10</v>
      </c>
    </row>
    <row r="2747" spans="1:8" x14ac:dyDescent="0.25">
      <c r="A2747" s="31">
        <v>44645</v>
      </c>
      <c r="B2747" s="37" t="s">
        <v>9843</v>
      </c>
      <c r="C2747" s="51" t="s">
        <v>5345</v>
      </c>
      <c r="D2747" s="52">
        <v>977.4</v>
      </c>
      <c r="E2747" s="35">
        <v>44645</v>
      </c>
      <c r="F2747" s="52">
        <v>977.4</v>
      </c>
      <c r="G2747" s="53">
        <f>Tabla14[[#This Row],[Importe]]-Tabla14[[#This Row],[Pagado]]</f>
        <v>0</v>
      </c>
      <c r="H2747" s="37" t="s">
        <v>10</v>
      </c>
    </row>
    <row r="2748" spans="1:8" x14ac:dyDescent="0.25">
      <c r="A2748" s="31">
        <v>44645</v>
      </c>
      <c r="B2748" s="37" t="s">
        <v>9844</v>
      </c>
      <c r="C2748" s="51" t="s">
        <v>282</v>
      </c>
      <c r="D2748" s="52">
        <v>3056.6</v>
      </c>
      <c r="E2748" s="35">
        <v>44646</v>
      </c>
      <c r="F2748" s="52">
        <v>3056.6</v>
      </c>
      <c r="G2748" s="53">
        <f>Tabla14[[#This Row],[Importe]]-Tabla14[[#This Row],[Pagado]]</f>
        <v>0</v>
      </c>
      <c r="H2748" s="37" t="s">
        <v>10</v>
      </c>
    </row>
    <row r="2749" spans="1:8" x14ac:dyDescent="0.25">
      <c r="A2749" s="31">
        <v>44645</v>
      </c>
      <c r="B2749" s="37" t="s">
        <v>9845</v>
      </c>
      <c r="C2749" s="51" t="s">
        <v>273</v>
      </c>
      <c r="D2749" s="52">
        <v>4736</v>
      </c>
      <c r="E2749" s="35">
        <v>44645</v>
      </c>
      <c r="F2749" s="52">
        <v>4736</v>
      </c>
      <c r="G2749" s="53">
        <f>Tabla14[[#This Row],[Importe]]-Tabla14[[#This Row],[Pagado]]</f>
        <v>0</v>
      </c>
      <c r="H2749" s="37" t="s">
        <v>10</v>
      </c>
    </row>
    <row r="2750" spans="1:8" x14ac:dyDescent="0.25">
      <c r="A2750" s="31">
        <v>44645</v>
      </c>
      <c r="B2750" s="37" t="s">
        <v>9846</v>
      </c>
      <c r="C2750" s="51" t="s">
        <v>31</v>
      </c>
      <c r="D2750" s="52">
        <v>1022</v>
      </c>
      <c r="E2750" s="35">
        <v>44645</v>
      </c>
      <c r="F2750" s="52">
        <v>1022</v>
      </c>
      <c r="G2750" s="53">
        <f>Tabla14[[#This Row],[Importe]]-Tabla14[[#This Row],[Pagado]]</f>
        <v>0</v>
      </c>
      <c r="H2750" s="37" t="s">
        <v>10</v>
      </c>
    </row>
    <row r="2751" spans="1:8" x14ac:dyDescent="0.25">
      <c r="A2751" s="31">
        <v>44645</v>
      </c>
      <c r="B2751" s="37" t="s">
        <v>9847</v>
      </c>
      <c r="C2751" s="51" t="s">
        <v>365</v>
      </c>
      <c r="D2751" s="52">
        <v>2017.6</v>
      </c>
      <c r="E2751" s="35">
        <v>44645</v>
      </c>
      <c r="F2751" s="52">
        <v>2017.6</v>
      </c>
      <c r="G2751" s="53">
        <f>Tabla14[[#This Row],[Importe]]-Tabla14[[#This Row],[Pagado]]</f>
        <v>0</v>
      </c>
      <c r="H2751" s="37" t="s">
        <v>10</v>
      </c>
    </row>
    <row r="2752" spans="1:8" x14ac:dyDescent="0.25">
      <c r="A2752" s="31">
        <v>44645</v>
      </c>
      <c r="B2752" s="37" t="s">
        <v>9848</v>
      </c>
      <c r="C2752" s="51" t="s">
        <v>31</v>
      </c>
      <c r="D2752" s="52">
        <v>885.6</v>
      </c>
      <c r="E2752" s="35">
        <v>44645</v>
      </c>
      <c r="F2752" s="52">
        <v>885.6</v>
      </c>
      <c r="G2752" s="53">
        <f>Tabla14[[#This Row],[Importe]]-Tabla14[[#This Row],[Pagado]]</f>
        <v>0</v>
      </c>
      <c r="H2752" s="37" t="s">
        <v>10</v>
      </c>
    </row>
    <row r="2753" spans="1:8" x14ac:dyDescent="0.25">
      <c r="A2753" s="31">
        <v>44645</v>
      </c>
      <c r="B2753" s="37" t="s">
        <v>9849</v>
      </c>
      <c r="C2753" s="51" t="s">
        <v>4136</v>
      </c>
      <c r="D2753" s="52">
        <v>947.1</v>
      </c>
      <c r="E2753" s="35">
        <v>44645</v>
      </c>
      <c r="F2753" s="52">
        <v>947.1</v>
      </c>
      <c r="G2753" s="53">
        <f>Tabla14[[#This Row],[Importe]]-Tabla14[[#This Row],[Pagado]]</f>
        <v>0</v>
      </c>
      <c r="H2753" s="37" t="s">
        <v>10</v>
      </c>
    </row>
    <row r="2754" spans="1:8" x14ac:dyDescent="0.25">
      <c r="A2754" s="31">
        <v>44645</v>
      </c>
      <c r="B2754" s="37" t="s">
        <v>9850</v>
      </c>
      <c r="C2754" s="51" t="s">
        <v>196</v>
      </c>
      <c r="D2754" s="52">
        <v>2400</v>
      </c>
      <c r="E2754" s="35">
        <v>44652</v>
      </c>
      <c r="F2754" s="52">
        <v>2400</v>
      </c>
      <c r="G2754" s="53">
        <f>Tabla14[[#This Row],[Importe]]-Tabla14[[#This Row],[Pagado]]</f>
        <v>0</v>
      </c>
      <c r="H2754" s="37" t="s">
        <v>10</v>
      </c>
    </row>
    <row r="2755" spans="1:8" x14ac:dyDescent="0.25">
      <c r="A2755" s="31">
        <v>44645</v>
      </c>
      <c r="B2755" s="37" t="s">
        <v>9851</v>
      </c>
      <c r="C2755" s="51" t="s">
        <v>31</v>
      </c>
      <c r="D2755" s="52">
        <v>2859</v>
      </c>
      <c r="E2755" s="35">
        <v>44645</v>
      </c>
      <c r="F2755" s="52">
        <v>2859</v>
      </c>
      <c r="G2755" s="53">
        <f>Tabla14[[#This Row],[Importe]]-Tabla14[[#This Row],[Pagado]]</f>
        <v>0</v>
      </c>
      <c r="H2755" s="37" t="s">
        <v>10</v>
      </c>
    </row>
    <row r="2756" spans="1:8" x14ac:dyDescent="0.25">
      <c r="A2756" s="31">
        <v>44645</v>
      </c>
      <c r="B2756" s="37" t="s">
        <v>9852</v>
      </c>
      <c r="C2756" s="51" t="s">
        <v>69</v>
      </c>
      <c r="D2756" s="52">
        <v>2586.6</v>
      </c>
      <c r="E2756" s="35">
        <v>44645</v>
      </c>
      <c r="F2756" s="52">
        <v>2586.6</v>
      </c>
      <c r="G2756" s="53">
        <f>Tabla14[[#This Row],[Importe]]-Tabla14[[#This Row],[Pagado]]</f>
        <v>0</v>
      </c>
      <c r="H2756" s="37" t="s">
        <v>10</v>
      </c>
    </row>
    <row r="2757" spans="1:8" x14ac:dyDescent="0.25">
      <c r="A2757" s="31">
        <v>44645</v>
      </c>
      <c r="B2757" s="37" t="s">
        <v>9853</v>
      </c>
      <c r="C2757" s="51" t="s">
        <v>9854</v>
      </c>
      <c r="D2757" s="52">
        <v>2274.4</v>
      </c>
      <c r="E2757" s="35">
        <v>44645</v>
      </c>
      <c r="F2757" s="52">
        <v>2274.4</v>
      </c>
      <c r="G2757" s="53">
        <f>Tabla14[[#This Row],[Importe]]-Tabla14[[#This Row],[Pagado]]</f>
        <v>0</v>
      </c>
      <c r="H2757" s="37" t="s">
        <v>10</v>
      </c>
    </row>
    <row r="2758" spans="1:8" x14ac:dyDescent="0.25">
      <c r="A2758" s="31">
        <v>44645</v>
      </c>
      <c r="B2758" s="37" t="s">
        <v>9855</v>
      </c>
      <c r="C2758" s="51" t="s">
        <v>179</v>
      </c>
      <c r="D2758" s="52">
        <v>928.8</v>
      </c>
      <c r="E2758" s="35">
        <v>44646</v>
      </c>
      <c r="F2758" s="52">
        <v>928.8</v>
      </c>
      <c r="G2758" s="53">
        <f>Tabla14[[#This Row],[Importe]]-Tabla14[[#This Row],[Pagado]]</f>
        <v>0</v>
      </c>
      <c r="H2758" s="37" t="s">
        <v>10</v>
      </c>
    </row>
    <row r="2759" spans="1:8" x14ac:dyDescent="0.25">
      <c r="A2759" s="31">
        <v>44645</v>
      </c>
      <c r="B2759" s="37" t="s">
        <v>9856</v>
      </c>
      <c r="C2759" s="51" t="s">
        <v>246</v>
      </c>
      <c r="D2759" s="52">
        <v>30434.9</v>
      </c>
      <c r="E2759" s="35">
        <v>44645</v>
      </c>
      <c r="F2759" s="52">
        <v>30434.9</v>
      </c>
      <c r="G2759" s="53">
        <f>Tabla14[[#This Row],[Importe]]-Tabla14[[#This Row],[Pagado]]</f>
        <v>0</v>
      </c>
      <c r="H2759" s="37" t="s">
        <v>10</v>
      </c>
    </row>
    <row r="2760" spans="1:8" x14ac:dyDescent="0.25">
      <c r="A2760" s="31">
        <v>44645</v>
      </c>
      <c r="B2760" s="37" t="s">
        <v>9857</v>
      </c>
      <c r="C2760" s="51" t="s">
        <v>857</v>
      </c>
      <c r="D2760" s="52">
        <v>835.4</v>
      </c>
      <c r="E2760" s="35">
        <v>44645</v>
      </c>
      <c r="F2760" s="52">
        <v>835.4</v>
      </c>
      <c r="G2760" s="53">
        <f>Tabla14[[#This Row],[Importe]]-Tabla14[[#This Row],[Pagado]]</f>
        <v>0</v>
      </c>
      <c r="H2760" s="37" t="s">
        <v>10</v>
      </c>
    </row>
    <row r="2761" spans="1:8" x14ac:dyDescent="0.25">
      <c r="A2761" s="31">
        <v>44645</v>
      </c>
      <c r="B2761" s="37" t="s">
        <v>9858</v>
      </c>
      <c r="C2761" s="51" t="s">
        <v>857</v>
      </c>
      <c r="D2761" s="52">
        <v>552.84</v>
      </c>
      <c r="E2761" s="35">
        <v>44645</v>
      </c>
      <c r="F2761" s="52">
        <v>552.84</v>
      </c>
      <c r="G2761" s="53">
        <f>Tabla14[[#This Row],[Importe]]-Tabla14[[#This Row],[Pagado]]</f>
        <v>0</v>
      </c>
      <c r="H2761" s="37" t="s">
        <v>10</v>
      </c>
    </row>
    <row r="2762" spans="1:8" x14ac:dyDescent="0.25">
      <c r="A2762" s="31">
        <v>44645</v>
      </c>
      <c r="B2762" s="37" t="s">
        <v>9859</v>
      </c>
      <c r="C2762" s="51" t="s">
        <v>857</v>
      </c>
      <c r="D2762" s="52">
        <v>483.8</v>
      </c>
      <c r="E2762" s="35">
        <v>44645</v>
      </c>
      <c r="F2762" s="52">
        <v>483.8</v>
      </c>
      <c r="G2762" s="53">
        <f>Tabla14[[#This Row],[Importe]]-Tabla14[[#This Row],[Pagado]]</f>
        <v>0</v>
      </c>
      <c r="H2762" s="37" t="s">
        <v>10</v>
      </c>
    </row>
    <row r="2763" spans="1:8" x14ac:dyDescent="0.25">
      <c r="A2763" s="31">
        <v>44645</v>
      </c>
      <c r="B2763" s="37" t="s">
        <v>9860</v>
      </c>
      <c r="C2763" s="51" t="s">
        <v>872</v>
      </c>
      <c r="D2763" s="52">
        <v>3633.4</v>
      </c>
      <c r="E2763" s="35">
        <v>44645</v>
      </c>
      <c r="F2763" s="52">
        <v>3633.4</v>
      </c>
      <c r="G2763" s="53">
        <f>Tabla14[[#This Row],[Importe]]-Tabla14[[#This Row],[Pagado]]</f>
        <v>0</v>
      </c>
      <c r="H2763" s="37" t="s">
        <v>10</v>
      </c>
    </row>
    <row r="2764" spans="1:8" x14ac:dyDescent="0.25">
      <c r="A2764" s="31">
        <v>44645</v>
      </c>
      <c r="B2764" s="37" t="s">
        <v>9861</v>
      </c>
      <c r="C2764" s="51" t="s">
        <v>407</v>
      </c>
      <c r="D2764" s="52">
        <v>7200</v>
      </c>
      <c r="E2764" s="35">
        <v>44649</v>
      </c>
      <c r="F2764" s="52">
        <v>7200</v>
      </c>
      <c r="G2764" s="53">
        <f>Tabla14[[#This Row],[Importe]]-Tabla14[[#This Row],[Pagado]]</f>
        <v>0</v>
      </c>
      <c r="H2764" s="37" t="s">
        <v>10</v>
      </c>
    </row>
    <row r="2765" spans="1:8" x14ac:dyDescent="0.25">
      <c r="A2765" s="31">
        <v>44645</v>
      </c>
      <c r="B2765" s="37" t="s">
        <v>9862</v>
      </c>
      <c r="C2765" s="51" t="s">
        <v>454</v>
      </c>
      <c r="D2765" s="52">
        <v>3699.2</v>
      </c>
      <c r="E2765" s="35">
        <v>44645</v>
      </c>
      <c r="F2765" s="52">
        <v>3699.2</v>
      </c>
      <c r="G2765" s="53">
        <f>Tabla14[[#This Row],[Importe]]-Tabla14[[#This Row],[Pagado]]</f>
        <v>0</v>
      </c>
      <c r="H2765" s="37" t="s">
        <v>10</v>
      </c>
    </row>
    <row r="2766" spans="1:8" x14ac:dyDescent="0.25">
      <c r="A2766" s="31">
        <v>44645</v>
      </c>
      <c r="B2766" s="37" t="s">
        <v>9863</v>
      </c>
      <c r="C2766" s="51" t="s">
        <v>442</v>
      </c>
      <c r="D2766" s="52">
        <v>5000</v>
      </c>
      <c r="E2766" s="35">
        <v>44645</v>
      </c>
      <c r="F2766" s="52">
        <v>5000</v>
      </c>
      <c r="G2766" s="53">
        <f>Tabla14[[#This Row],[Importe]]-Tabla14[[#This Row],[Pagado]]</f>
        <v>0</v>
      </c>
      <c r="H2766" s="37" t="s">
        <v>10</v>
      </c>
    </row>
    <row r="2767" spans="1:8" x14ac:dyDescent="0.25">
      <c r="A2767" s="31">
        <v>44645</v>
      </c>
      <c r="B2767" s="37" t="s">
        <v>9864</v>
      </c>
      <c r="C2767" s="51" t="s">
        <v>7313</v>
      </c>
      <c r="D2767" s="52">
        <v>1525.2</v>
      </c>
      <c r="E2767" s="35">
        <v>44645</v>
      </c>
      <c r="F2767" s="52">
        <v>1525.2</v>
      </c>
      <c r="G2767" s="53">
        <f>Tabla14[[#This Row],[Importe]]-Tabla14[[#This Row],[Pagado]]</f>
        <v>0</v>
      </c>
      <c r="H2767" s="37" t="s">
        <v>10</v>
      </c>
    </row>
    <row r="2768" spans="1:8" x14ac:dyDescent="0.25">
      <c r="A2768" s="31">
        <v>44645</v>
      </c>
      <c r="B2768" s="37" t="s">
        <v>9865</v>
      </c>
      <c r="C2768" s="51" t="s">
        <v>612</v>
      </c>
      <c r="D2768" s="52">
        <v>367.8</v>
      </c>
      <c r="E2768" s="35">
        <v>44645</v>
      </c>
      <c r="F2768" s="52">
        <v>367.8</v>
      </c>
      <c r="G2768" s="53">
        <f>Tabla14[[#This Row],[Importe]]-Tabla14[[#This Row],[Pagado]]</f>
        <v>0</v>
      </c>
      <c r="H2768" s="37" t="s">
        <v>10</v>
      </c>
    </row>
    <row r="2769" spans="1:8" x14ac:dyDescent="0.25">
      <c r="A2769" s="31">
        <v>44645</v>
      </c>
      <c r="B2769" s="37" t="s">
        <v>9866</v>
      </c>
      <c r="C2769" s="51" t="s">
        <v>56</v>
      </c>
      <c r="D2769" s="52">
        <v>1154.4000000000001</v>
      </c>
      <c r="E2769" s="35">
        <v>44645</v>
      </c>
      <c r="F2769" s="52">
        <v>1154.4000000000001</v>
      </c>
      <c r="G2769" s="53">
        <f>Tabla14[[#This Row],[Importe]]-Tabla14[[#This Row],[Pagado]]</f>
        <v>0</v>
      </c>
      <c r="H2769" s="37" t="s">
        <v>10</v>
      </c>
    </row>
    <row r="2770" spans="1:8" x14ac:dyDescent="0.25">
      <c r="A2770" s="31">
        <v>44645</v>
      </c>
      <c r="B2770" s="37" t="s">
        <v>9867</v>
      </c>
      <c r="C2770" s="51" t="s">
        <v>31</v>
      </c>
      <c r="D2770" s="52">
        <v>442</v>
      </c>
      <c r="E2770" s="35">
        <v>44645</v>
      </c>
      <c r="F2770" s="52">
        <v>442</v>
      </c>
      <c r="G2770" s="53">
        <f>Tabla14[[#This Row],[Importe]]-Tabla14[[#This Row],[Pagado]]</f>
        <v>0</v>
      </c>
      <c r="H2770" s="37" t="s">
        <v>10</v>
      </c>
    </row>
    <row r="2771" spans="1:8" x14ac:dyDescent="0.25">
      <c r="A2771" s="31">
        <v>44645</v>
      </c>
      <c r="B2771" s="37" t="s">
        <v>9868</v>
      </c>
      <c r="C2771" s="51" t="s">
        <v>31</v>
      </c>
      <c r="D2771" s="52">
        <v>32.299999999999997</v>
      </c>
      <c r="E2771" s="35">
        <v>44645</v>
      </c>
      <c r="F2771" s="52">
        <v>32.299999999999997</v>
      </c>
      <c r="G2771" s="53">
        <f>Tabla14[[#This Row],[Importe]]-Tabla14[[#This Row],[Pagado]]</f>
        <v>0</v>
      </c>
      <c r="H2771" s="37" t="s">
        <v>10</v>
      </c>
    </row>
    <row r="2772" spans="1:8" x14ac:dyDescent="0.25">
      <c r="A2772" s="31">
        <v>44645</v>
      </c>
      <c r="B2772" s="37" t="s">
        <v>9869</v>
      </c>
      <c r="C2772" s="51" t="s">
        <v>31</v>
      </c>
      <c r="D2772" s="52">
        <v>157</v>
      </c>
      <c r="E2772" s="35">
        <v>44645</v>
      </c>
      <c r="F2772" s="52">
        <v>157</v>
      </c>
      <c r="G2772" s="53">
        <f>Tabla14[[#This Row],[Importe]]-Tabla14[[#This Row],[Pagado]]</f>
        <v>0</v>
      </c>
      <c r="H2772" s="37" t="s">
        <v>10</v>
      </c>
    </row>
    <row r="2773" spans="1:8" x14ac:dyDescent="0.25">
      <c r="A2773" s="31">
        <v>44645</v>
      </c>
      <c r="B2773" s="37" t="s">
        <v>9870</v>
      </c>
      <c r="C2773" s="51" t="s">
        <v>31</v>
      </c>
      <c r="D2773" s="52">
        <v>80</v>
      </c>
      <c r="E2773" s="35">
        <v>44645</v>
      </c>
      <c r="F2773" s="52">
        <v>80</v>
      </c>
      <c r="G2773" s="53">
        <f>Tabla14[[#This Row],[Importe]]-Tabla14[[#This Row],[Pagado]]</f>
        <v>0</v>
      </c>
      <c r="H2773" s="37" t="s">
        <v>10</v>
      </c>
    </row>
    <row r="2774" spans="1:8" ht="31.5" x14ac:dyDescent="0.25">
      <c r="A2774" s="31">
        <v>44646</v>
      </c>
      <c r="B2774" s="37" t="s">
        <v>9871</v>
      </c>
      <c r="C2774" s="51" t="s">
        <v>475</v>
      </c>
      <c r="D2774" s="52">
        <v>46736.2</v>
      </c>
      <c r="E2774" s="35" t="s">
        <v>9872</v>
      </c>
      <c r="F2774" s="52">
        <f>26000+20736.2</f>
        <v>46736.2</v>
      </c>
      <c r="G2774" s="53">
        <f>Tabla14[[#This Row],[Importe]]-Tabla14[[#This Row],[Pagado]]</f>
        <v>0</v>
      </c>
      <c r="H2774" s="37" t="s">
        <v>10</v>
      </c>
    </row>
    <row r="2775" spans="1:8" x14ac:dyDescent="0.25">
      <c r="A2775" s="31">
        <v>44646</v>
      </c>
      <c r="B2775" s="37" t="s">
        <v>9873</v>
      </c>
      <c r="C2775" s="51" t="s">
        <v>12</v>
      </c>
      <c r="D2775" s="52">
        <v>57953.85</v>
      </c>
      <c r="E2775" s="35">
        <v>44647</v>
      </c>
      <c r="F2775" s="52">
        <v>57953.85</v>
      </c>
      <c r="G2775" s="53">
        <f>Tabla14[[#This Row],[Importe]]-Tabla14[[#This Row],[Pagado]]</f>
        <v>0</v>
      </c>
      <c r="H2775" s="37" t="s">
        <v>10</v>
      </c>
    </row>
    <row r="2776" spans="1:8" x14ac:dyDescent="0.25">
      <c r="A2776" s="31">
        <v>44646</v>
      </c>
      <c r="B2776" s="37" t="s">
        <v>9874</v>
      </c>
      <c r="C2776" s="51" t="s">
        <v>481</v>
      </c>
      <c r="D2776" s="52">
        <v>1395.1</v>
      </c>
      <c r="E2776" s="35">
        <v>44646</v>
      </c>
      <c r="F2776" s="52">
        <v>1395.1</v>
      </c>
      <c r="G2776" s="53">
        <f>Tabla14[[#This Row],[Importe]]-Tabla14[[#This Row],[Pagado]]</f>
        <v>0</v>
      </c>
      <c r="H2776" s="37" t="s">
        <v>10</v>
      </c>
    </row>
    <row r="2777" spans="1:8" ht="31.5" x14ac:dyDescent="0.25">
      <c r="A2777" s="31">
        <v>44646</v>
      </c>
      <c r="B2777" s="37" t="s">
        <v>9875</v>
      </c>
      <c r="C2777" s="51" t="s">
        <v>22</v>
      </c>
      <c r="D2777" s="52">
        <v>64167.1</v>
      </c>
      <c r="E2777" s="35" t="s">
        <v>9872</v>
      </c>
      <c r="F2777" s="52">
        <f>45000+19167.1</f>
        <v>64167.1</v>
      </c>
      <c r="G2777" s="53">
        <f>Tabla14[[#This Row],[Importe]]-Tabla14[[#This Row],[Pagado]]</f>
        <v>0</v>
      </c>
      <c r="H2777" s="37" t="s">
        <v>10</v>
      </c>
    </row>
    <row r="2778" spans="1:8" x14ac:dyDescent="0.25">
      <c r="A2778" s="31">
        <v>44646</v>
      </c>
      <c r="B2778" s="37" t="s">
        <v>9876</v>
      </c>
      <c r="C2778" s="51" t="s">
        <v>22</v>
      </c>
      <c r="D2778" s="52">
        <v>3208</v>
      </c>
      <c r="E2778" s="35">
        <v>44647</v>
      </c>
      <c r="F2778" s="52">
        <v>3208</v>
      </c>
      <c r="G2778" s="53">
        <f>Tabla14[[#This Row],[Importe]]-Tabla14[[#This Row],[Pagado]]</f>
        <v>0</v>
      </c>
      <c r="H2778" s="37" t="s">
        <v>10</v>
      </c>
    </row>
    <row r="2779" spans="1:8" x14ac:dyDescent="0.25">
      <c r="A2779" s="31">
        <v>44646</v>
      </c>
      <c r="B2779" s="37" t="s">
        <v>9877</v>
      </c>
      <c r="C2779" s="51" t="s">
        <v>664</v>
      </c>
      <c r="D2779" s="52">
        <v>3671.4</v>
      </c>
      <c r="E2779" s="35">
        <v>44646</v>
      </c>
      <c r="F2779" s="52">
        <v>3671.4</v>
      </c>
      <c r="G2779" s="53">
        <f>Tabla14[[#This Row],[Importe]]-Tabla14[[#This Row],[Pagado]]</f>
        <v>0</v>
      </c>
      <c r="H2779" s="37" t="s">
        <v>10</v>
      </c>
    </row>
    <row r="2780" spans="1:8" x14ac:dyDescent="0.25">
      <c r="A2780" s="31">
        <v>44646</v>
      </c>
      <c r="B2780" s="37" t="s">
        <v>9878</v>
      </c>
      <c r="C2780" s="51" t="s">
        <v>9415</v>
      </c>
      <c r="D2780" s="52">
        <v>14694.4</v>
      </c>
      <c r="E2780" s="35">
        <v>44646</v>
      </c>
      <c r="F2780" s="52">
        <v>14694.4</v>
      </c>
      <c r="G2780" s="53">
        <f>Tabla14[[#This Row],[Importe]]-Tabla14[[#This Row],[Pagado]]</f>
        <v>0</v>
      </c>
      <c r="H2780" s="37" t="s">
        <v>10</v>
      </c>
    </row>
    <row r="2781" spans="1:8" x14ac:dyDescent="0.25">
      <c r="A2781" s="31">
        <v>44646</v>
      </c>
      <c r="B2781" s="37" t="s">
        <v>9879</v>
      </c>
      <c r="C2781" s="51" t="s">
        <v>135</v>
      </c>
      <c r="D2781" s="52">
        <v>956.6</v>
      </c>
      <c r="E2781" s="35">
        <v>44646</v>
      </c>
      <c r="F2781" s="52">
        <v>956.6</v>
      </c>
      <c r="G2781" s="53">
        <f>Tabla14[[#This Row],[Importe]]-Tabla14[[#This Row],[Pagado]]</f>
        <v>0</v>
      </c>
      <c r="H2781" s="37" t="s">
        <v>10</v>
      </c>
    </row>
    <row r="2782" spans="1:8" ht="31.5" x14ac:dyDescent="0.25">
      <c r="A2782" s="31">
        <v>44646</v>
      </c>
      <c r="B2782" s="37" t="s">
        <v>9880</v>
      </c>
      <c r="C2782" s="51" t="s">
        <v>75</v>
      </c>
      <c r="D2782" s="52">
        <v>18311.400000000001</v>
      </c>
      <c r="E2782" s="35" t="s">
        <v>9740</v>
      </c>
      <c r="F2782" s="52">
        <f>8256.6+10054.8</f>
        <v>18311.400000000001</v>
      </c>
      <c r="G2782" s="53">
        <f>Tabla14[[#This Row],[Importe]]-Tabla14[[#This Row],[Pagado]]</f>
        <v>0</v>
      </c>
      <c r="H2782" s="37" t="s">
        <v>10</v>
      </c>
    </row>
    <row r="2783" spans="1:8" x14ac:dyDescent="0.25">
      <c r="A2783" s="31">
        <v>44646</v>
      </c>
      <c r="B2783" s="37" t="s">
        <v>9881</v>
      </c>
      <c r="C2783" s="51" t="s">
        <v>85</v>
      </c>
      <c r="D2783" s="52">
        <v>5596</v>
      </c>
      <c r="E2783" s="35">
        <v>44646</v>
      </c>
      <c r="F2783" s="52">
        <v>5596</v>
      </c>
      <c r="G2783" s="53">
        <f>Tabla14[[#This Row],[Importe]]-Tabla14[[#This Row],[Pagado]]</f>
        <v>0</v>
      </c>
      <c r="H2783" s="37" t="s">
        <v>10</v>
      </c>
    </row>
    <row r="2784" spans="1:8" x14ac:dyDescent="0.25">
      <c r="A2784" s="31">
        <v>44646</v>
      </c>
      <c r="B2784" s="37" t="s">
        <v>9882</v>
      </c>
      <c r="C2784" s="51" t="s">
        <v>314</v>
      </c>
      <c r="D2784" s="52">
        <v>3758.4</v>
      </c>
      <c r="E2784" s="35">
        <v>44646</v>
      </c>
      <c r="F2784" s="52">
        <v>3758.4</v>
      </c>
      <c r="G2784" s="53">
        <f>Tabla14[[#This Row],[Importe]]-Tabla14[[#This Row],[Pagado]]</f>
        <v>0</v>
      </c>
      <c r="H2784" s="37" t="s">
        <v>10</v>
      </c>
    </row>
    <row r="2785" spans="1:8" x14ac:dyDescent="0.25">
      <c r="A2785" s="31">
        <v>44646</v>
      </c>
      <c r="B2785" s="37" t="s">
        <v>9883</v>
      </c>
      <c r="C2785" s="51" t="s">
        <v>9</v>
      </c>
      <c r="D2785" s="52">
        <v>6350.4</v>
      </c>
      <c r="E2785" s="35">
        <v>44646</v>
      </c>
      <c r="F2785" s="52">
        <v>6350.4</v>
      </c>
      <c r="G2785" s="53">
        <f>Tabla14[[#This Row],[Importe]]-Tabla14[[#This Row],[Pagado]]</f>
        <v>0</v>
      </c>
      <c r="H2785" s="37" t="s">
        <v>10</v>
      </c>
    </row>
    <row r="2786" spans="1:8" x14ac:dyDescent="0.25">
      <c r="A2786" s="31">
        <v>44646</v>
      </c>
      <c r="B2786" s="37" t="s">
        <v>9884</v>
      </c>
      <c r="C2786" s="51" t="s">
        <v>109</v>
      </c>
      <c r="D2786" s="52">
        <v>3998.4</v>
      </c>
      <c r="E2786" s="35">
        <v>44645</v>
      </c>
      <c r="F2786" s="52">
        <v>3998.4</v>
      </c>
      <c r="G2786" s="53">
        <f>Tabla14[[#This Row],[Importe]]-Tabla14[[#This Row],[Pagado]]</f>
        <v>0</v>
      </c>
      <c r="H2786" s="37" t="s">
        <v>10</v>
      </c>
    </row>
    <row r="2787" spans="1:8" x14ac:dyDescent="0.25">
      <c r="A2787" s="31">
        <v>44646</v>
      </c>
      <c r="B2787" s="37" t="s">
        <v>9885</v>
      </c>
      <c r="C2787" s="51" t="s">
        <v>111</v>
      </c>
      <c r="D2787" s="52">
        <v>3640.7</v>
      </c>
      <c r="E2787" s="35">
        <v>44648</v>
      </c>
      <c r="F2787" s="52">
        <v>3640.7</v>
      </c>
      <c r="G2787" s="53">
        <f>Tabla14[[#This Row],[Importe]]-Tabla14[[#This Row],[Pagado]]</f>
        <v>0</v>
      </c>
      <c r="H2787" s="37" t="s">
        <v>10</v>
      </c>
    </row>
    <row r="2788" spans="1:8" x14ac:dyDescent="0.25">
      <c r="A2788" s="31">
        <v>44646</v>
      </c>
      <c r="B2788" s="37" t="s">
        <v>9886</v>
      </c>
      <c r="C2788" s="51" t="s">
        <v>120</v>
      </c>
      <c r="D2788" s="52">
        <v>3656.7</v>
      </c>
      <c r="E2788" s="35">
        <v>44649</v>
      </c>
      <c r="F2788" s="52">
        <v>3656.7</v>
      </c>
      <c r="G2788" s="53">
        <f>Tabla14[[#This Row],[Importe]]-Tabla14[[#This Row],[Pagado]]</f>
        <v>0</v>
      </c>
      <c r="H2788" s="37" t="s">
        <v>10</v>
      </c>
    </row>
    <row r="2789" spans="1:8" x14ac:dyDescent="0.25">
      <c r="A2789" s="31">
        <v>44646</v>
      </c>
      <c r="B2789" s="37" t="s">
        <v>9887</v>
      </c>
      <c r="C2789" s="51" t="s">
        <v>131</v>
      </c>
      <c r="D2789" s="52">
        <v>14553.8</v>
      </c>
      <c r="E2789" s="35">
        <v>44646</v>
      </c>
      <c r="F2789" s="52">
        <v>14553.8</v>
      </c>
      <c r="G2789" s="53">
        <f>Tabla14[[#This Row],[Importe]]-Tabla14[[#This Row],[Pagado]]</f>
        <v>0</v>
      </c>
      <c r="H2789" s="37" t="s">
        <v>10</v>
      </c>
    </row>
    <row r="2790" spans="1:8" x14ac:dyDescent="0.25">
      <c r="A2790" s="31">
        <v>44646</v>
      </c>
      <c r="B2790" s="37" t="s">
        <v>9888</v>
      </c>
      <c r="C2790" s="51" t="s">
        <v>87</v>
      </c>
      <c r="D2790" s="52">
        <v>3202.2</v>
      </c>
      <c r="E2790" s="35">
        <v>44646</v>
      </c>
      <c r="F2790" s="52">
        <v>3202.2</v>
      </c>
      <c r="G2790" s="53">
        <f>Tabla14[[#This Row],[Importe]]-Tabla14[[#This Row],[Pagado]]</f>
        <v>0</v>
      </c>
      <c r="H2790" s="37" t="s">
        <v>10</v>
      </c>
    </row>
    <row r="2791" spans="1:8" x14ac:dyDescent="0.25">
      <c r="A2791" s="31">
        <v>44646</v>
      </c>
      <c r="B2791" s="37" t="s">
        <v>9889</v>
      </c>
      <c r="C2791" s="51" t="s">
        <v>87</v>
      </c>
      <c r="D2791" s="52">
        <v>270</v>
      </c>
      <c r="E2791" s="35">
        <v>44646</v>
      </c>
      <c r="F2791" s="52">
        <v>270</v>
      </c>
      <c r="G2791" s="53">
        <f>Tabla14[[#This Row],[Importe]]-Tabla14[[#This Row],[Pagado]]</f>
        <v>0</v>
      </c>
      <c r="H2791" s="37" t="s">
        <v>10</v>
      </c>
    </row>
    <row r="2792" spans="1:8" x14ac:dyDescent="0.25">
      <c r="A2792" s="31">
        <v>44646</v>
      </c>
      <c r="B2792" s="37" t="s">
        <v>9890</v>
      </c>
      <c r="C2792" s="51" t="s">
        <v>97</v>
      </c>
      <c r="D2792" s="52">
        <v>18984.599999999999</v>
      </c>
      <c r="E2792" s="35">
        <v>44649</v>
      </c>
      <c r="F2792" s="52">
        <v>18984.599999999999</v>
      </c>
      <c r="G2792" s="53">
        <f>Tabla14[[#This Row],[Importe]]-Tabla14[[#This Row],[Pagado]]</f>
        <v>0</v>
      </c>
      <c r="H2792" s="37" t="s">
        <v>10</v>
      </c>
    </row>
    <row r="2793" spans="1:8" x14ac:dyDescent="0.25">
      <c r="A2793" s="31">
        <v>44646</v>
      </c>
      <c r="B2793" s="37" t="s">
        <v>9891</v>
      </c>
      <c r="C2793" s="51" t="s">
        <v>39</v>
      </c>
      <c r="D2793" s="52">
        <v>30258.3</v>
      </c>
      <c r="E2793" s="35">
        <v>44649</v>
      </c>
      <c r="F2793" s="52">
        <v>30258.3</v>
      </c>
      <c r="G2793" s="53">
        <f>Tabla14[[#This Row],[Importe]]-Tabla14[[#This Row],[Pagado]]</f>
        <v>0</v>
      </c>
      <c r="H2793" s="37" t="s">
        <v>10</v>
      </c>
    </row>
    <row r="2794" spans="1:8" x14ac:dyDescent="0.25">
      <c r="A2794" s="31">
        <v>44646</v>
      </c>
      <c r="B2794" s="37" t="s">
        <v>9892</v>
      </c>
      <c r="C2794" s="51" t="s">
        <v>114</v>
      </c>
      <c r="D2794" s="52">
        <v>12766.4</v>
      </c>
      <c r="E2794" s="35">
        <v>44648</v>
      </c>
      <c r="F2794" s="52">
        <v>12766.4</v>
      </c>
      <c r="G2794" s="53">
        <f>Tabla14[[#This Row],[Importe]]-Tabla14[[#This Row],[Pagado]]</f>
        <v>0</v>
      </c>
      <c r="H2794" s="37" t="s">
        <v>10</v>
      </c>
    </row>
    <row r="2795" spans="1:8" x14ac:dyDescent="0.25">
      <c r="A2795" s="31">
        <v>44646</v>
      </c>
      <c r="B2795" s="37" t="s">
        <v>9893</v>
      </c>
      <c r="C2795" s="51" t="s">
        <v>87</v>
      </c>
      <c r="D2795" s="52">
        <v>140</v>
      </c>
      <c r="E2795" s="35">
        <v>44646</v>
      </c>
      <c r="F2795" s="52">
        <v>140</v>
      </c>
      <c r="G2795" s="53">
        <f>Tabla14[[#This Row],[Importe]]-Tabla14[[#This Row],[Pagado]]</f>
        <v>0</v>
      </c>
      <c r="H2795" s="37" t="s">
        <v>10</v>
      </c>
    </row>
    <row r="2796" spans="1:8" x14ac:dyDescent="0.25">
      <c r="A2796" s="31">
        <v>44646</v>
      </c>
      <c r="B2796" s="37" t="s">
        <v>9894</v>
      </c>
      <c r="C2796" s="51" t="s">
        <v>179</v>
      </c>
      <c r="D2796" s="52">
        <v>270</v>
      </c>
      <c r="E2796" s="35">
        <v>44646</v>
      </c>
      <c r="F2796" s="52">
        <v>270</v>
      </c>
      <c r="G2796" s="53">
        <f>Tabla14[[#This Row],[Importe]]-Tabla14[[#This Row],[Pagado]]</f>
        <v>0</v>
      </c>
      <c r="H2796" s="37" t="s">
        <v>10</v>
      </c>
    </row>
    <row r="2797" spans="1:8" x14ac:dyDescent="0.25">
      <c r="A2797" s="31">
        <v>44646</v>
      </c>
      <c r="B2797" s="37" t="s">
        <v>9895</v>
      </c>
      <c r="C2797" s="51" t="s">
        <v>39</v>
      </c>
      <c r="D2797" s="52">
        <v>4854.2</v>
      </c>
      <c r="E2797" s="35">
        <v>44647</v>
      </c>
      <c r="F2797" s="52">
        <v>4854.2</v>
      </c>
      <c r="G2797" s="53">
        <f>Tabla14[[#This Row],[Importe]]-Tabla14[[#This Row],[Pagado]]</f>
        <v>0</v>
      </c>
      <c r="H2797" s="37" t="s">
        <v>10</v>
      </c>
    </row>
    <row r="2798" spans="1:8" x14ac:dyDescent="0.25">
      <c r="A2798" s="31">
        <v>44646</v>
      </c>
      <c r="B2798" s="37" t="s">
        <v>9896</v>
      </c>
      <c r="C2798" s="51" t="s">
        <v>326</v>
      </c>
      <c r="D2798" s="52">
        <v>8026.2</v>
      </c>
      <c r="E2798" s="35">
        <v>44648</v>
      </c>
      <c r="F2798" s="52">
        <v>8026.2</v>
      </c>
      <c r="G2798" s="53">
        <f>Tabla14[[#This Row],[Importe]]-Tabla14[[#This Row],[Pagado]]</f>
        <v>0</v>
      </c>
      <c r="H2798" s="37" t="s">
        <v>10</v>
      </c>
    </row>
    <row r="2799" spans="1:8" x14ac:dyDescent="0.25">
      <c r="A2799" s="31">
        <v>44646</v>
      </c>
      <c r="B2799" s="37" t="s">
        <v>9897</v>
      </c>
      <c r="C2799" s="51" t="s">
        <v>89</v>
      </c>
      <c r="D2799" s="52">
        <v>10488</v>
      </c>
      <c r="E2799" s="35">
        <v>44648</v>
      </c>
      <c r="F2799" s="52">
        <v>10488</v>
      </c>
      <c r="G2799" s="53">
        <f>Tabla14[[#This Row],[Importe]]-Tabla14[[#This Row],[Pagado]]</f>
        <v>0</v>
      </c>
      <c r="H2799" s="37" t="s">
        <v>10</v>
      </c>
    </row>
    <row r="2800" spans="1:8" x14ac:dyDescent="0.25">
      <c r="A2800" s="31">
        <v>44646</v>
      </c>
      <c r="B2800" s="37" t="s">
        <v>9898</v>
      </c>
      <c r="C2800" s="51" t="s">
        <v>47</v>
      </c>
      <c r="D2800" s="52">
        <v>45105.599999999999</v>
      </c>
      <c r="E2800" s="35">
        <v>44646</v>
      </c>
      <c r="F2800" s="52">
        <v>45105.599999999999</v>
      </c>
      <c r="G2800" s="53">
        <f>Tabla14[[#This Row],[Importe]]-Tabla14[[#This Row],[Pagado]]</f>
        <v>0</v>
      </c>
      <c r="H2800" s="37" t="s">
        <v>10</v>
      </c>
    </row>
    <row r="2801" spans="1:8" x14ac:dyDescent="0.25">
      <c r="A2801" s="31">
        <v>44646</v>
      </c>
      <c r="B2801" s="37" t="s">
        <v>9899</v>
      </c>
      <c r="C2801" s="51" t="s">
        <v>202</v>
      </c>
      <c r="D2801" s="52">
        <v>1837.6</v>
      </c>
      <c r="E2801" s="35">
        <v>44646</v>
      </c>
      <c r="F2801" s="52">
        <v>1837.6</v>
      </c>
      <c r="G2801" s="53">
        <f>Tabla14[[#This Row],[Importe]]-Tabla14[[#This Row],[Pagado]]</f>
        <v>0</v>
      </c>
      <c r="H2801" s="37" t="s">
        <v>10</v>
      </c>
    </row>
    <row r="2802" spans="1:8" x14ac:dyDescent="0.25">
      <c r="A2802" s="31">
        <v>44646</v>
      </c>
      <c r="B2802" s="37" t="s">
        <v>9900</v>
      </c>
      <c r="C2802" s="51" t="s">
        <v>60</v>
      </c>
      <c r="D2802" s="52">
        <v>7497</v>
      </c>
      <c r="E2802" s="35">
        <v>44651</v>
      </c>
      <c r="F2802" s="52">
        <v>7497</v>
      </c>
      <c r="G2802" s="53">
        <f>Tabla14[[#This Row],[Importe]]-Tabla14[[#This Row],[Pagado]]</f>
        <v>0</v>
      </c>
      <c r="H2802" s="37" t="s">
        <v>10</v>
      </c>
    </row>
    <row r="2803" spans="1:8" x14ac:dyDescent="0.25">
      <c r="A2803" s="31">
        <v>44646</v>
      </c>
      <c r="B2803" s="37" t="s">
        <v>9901</v>
      </c>
      <c r="C2803" s="51" t="s">
        <v>116</v>
      </c>
      <c r="D2803" s="52">
        <v>3915.1</v>
      </c>
      <c r="E2803" s="35">
        <v>44648</v>
      </c>
      <c r="F2803" s="52">
        <v>3915.1</v>
      </c>
      <c r="G2803" s="53">
        <f>Tabla14[[#This Row],[Importe]]-Tabla14[[#This Row],[Pagado]]</f>
        <v>0</v>
      </c>
      <c r="H2803" s="37" t="s">
        <v>10</v>
      </c>
    </row>
    <row r="2804" spans="1:8" ht="31.5" x14ac:dyDescent="0.25">
      <c r="A2804" s="31">
        <v>44646</v>
      </c>
      <c r="B2804" s="37" t="s">
        <v>9902</v>
      </c>
      <c r="C2804" s="55" t="s">
        <v>9180</v>
      </c>
      <c r="D2804" s="52">
        <v>0</v>
      </c>
      <c r="E2804" s="39" t="s">
        <v>189</v>
      </c>
      <c r="F2804" s="52">
        <v>0</v>
      </c>
      <c r="G2804" s="53">
        <f>Tabla14[[#This Row],[Importe]]-Tabla14[[#This Row],[Pagado]]</f>
        <v>0</v>
      </c>
      <c r="H2804" s="37" t="s">
        <v>189</v>
      </c>
    </row>
    <row r="2805" spans="1:8" x14ac:dyDescent="0.25">
      <c r="A2805" s="31">
        <v>44646</v>
      </c>
      <c r="B2805" s="37" t="s">
        <v>9903</v>
      </c>
      <c r="C2805" s="51" t="s">
        <v>924</v>
      </c>
      <c r="D2805" s="52">
        <v>10346.6</v>
      </c>
      <c r="E2805" s="35">
        <v>44646</v>
      </c>
      <c r="F2805" s="52">
        <v>10346.6</v>
      </c>
      <c r="G2805" s="53">
        <f>Tabla14[[#This Row],[Importe]]-Tabla14[[#This Row],[Pagado]]</f>
        <v>0</v>
      </c>
      <c r="H2805" s="37" t="s">
        <v>10</v>
      </c>
    </row>
    <row r="2806" spans="1:8" x14ac:dyDescent="0.25">
      <c r="A2806" s="31">
        <v>44646</v>
      </c>
      <c r="B2806" s="37" t="s">
        <v>9904</v>
      </c>
      <c r="C2806" s="51" t="s">
        <v>31</v>
      </c>
      <c r="D2806" s="52">
        <v>439</v>
      </c>
      <c r="E2806" s="35">
        <v>44646</v>
      </c>
      <c r="F2806" s="52">
        <v>439</v>
      </c>
      <c r="G2806" s="53">
        <f>Tabla14[[#This Row],[Importe]]-Tabla14[[#This Row],[Pagado]]</f>
        <v>0</v>
      </c>
      <c r="H2806" s="37" t="s">
        <v>10</v>
      </c>
    </row>
    <row r="2807" spans="1:8" x14ac:dyDescent="0.25">
      <c r="A2807" s="31">
        <v>44646</v>
      </c>
      <c r="B2807" s="37" t="s">
        <v>9905</v>
      </c>
      <c r="C2807" s="51" t="s">
        <v>93</v>
      </c>
      <c r="D2807" s="52">
        <v>11396.7</v>
      </c>
      <c r="E2807" s="35">
        <v>44648</v>
      </c>
      <c r="F2807" s="52">
        <v>11396.7</v>
      </c>
      <c r="G2807" s="53">
        <f>Tabla14[[#This Row],[Importe]]-Tabla14[[#This Row],[Pagado]]</f>
        <v>0</v>
      </c>
      <c r="H2807" s="37" t="s">
        <v>10</v>
      </c>
    </row>
    <row r="2808" spans="1:8" x14ac:dyDescent="0.25">
      <c r="A2808" s="31">
        <v>44646</v>
      </c>
      <c r="B2808" s="37" t="s">
        <v>9906</v>
      </c>
      <c r="C2808" s="51" t="s">
        <v>93</v>
      </c>
      <c r="D2808" s="52">
        <v>761.8</v>
      </c>
      <c r="E2808" s="35">
        <v>44648</v>
      </c>
      <c r="F2808" s="52">
        <v>761.8</v>
      </c>
      <c r="G2808" s="53">
        <f>Tabla14[[#This Row],[Importe]]-Tabla14[[#This Row],[Pagado]]</f>
        <v>0</v>
      </c>
      <c r="H2808" s="37" t="s">
        <v>10</v>
      </c>
    </row>
    <row r="2809" spans="1:8" x14ac:dyDescent="0.25">
      <c r="A2809" s="31">
        <v>44646</v>
      </c>
      <c r="B2809" s="37" t="s">
        <v>9907</v>
      </c>
      <c r="C2809" s="51" t="s">
        <v>105</v>
      </c>
      <c r="D2809" s="52">
        <v>15800.1</v>
      </c>
      <c r="E2809" s="35">
        <v>44649</v>
      </c>
      <c r="F2809" s="52">
        <v>15800.1</v>
      </c>
      <c r="G2809" s="53">
        <f>Tabla14[[#This Row],[Importe]]-Tabla14[[#This Row],[Pagado]]</f>
        <v>0</v>
      </c>
      <c r="H2809" s="37" t="s">
        <v>10</v>
      </c>
    </row>
    <row r="2810" spans="1:8" x14ac:dyDescent="0.25">
      <c r="A2810" s="31">
        <v>44646</v>
      </c>
      <c r="B2810" s="37" t="s">
        <v>9908</v>
      </c>
      <c r="C2810" s="51" t="s">
        <v>16</v>
      </c>
      <c r="D2810" s="52">
        <v>4905.1000000000004</v>
      </c>
      <c r="E2810" s="35">
        <v>44646</v>
      </c>
      <c r="F2810" s="52">
        <v>4905.1000000000004</v>
      </c>
      <c r="G2810" s="53">
        <f>Tabla14[[#This Row],[Importe]]-Tabla14[[#This Row],[Pagado]]</f>
        <v>0</v>
      </c>
      <c r="H2810" s="37" t="s">
        <v>10</v>
      </c>
    </row>
    <row r="2811" spans="1:8" x14ac:dyDescent="0.25">
      <c r="A2811" s="31">
        <v>44646</v>
      </c>
      <c r="B2811" s="37" t="s">
        <v>9909</v>
      </c>
      <c r="C2811" s="51" t="s">
        <v>29</v>
      </c>
      <c r="D2811" s="52">
        <v>7344</v>
      </c>
      <c r="E2811" s="35">
        <v>44646</v>
      </c>
      <c r="F2811" s="52">
        <v>7344</v>
      </c>
      <c r="G2811" s="53">
        <f>Tabla14[[#This Row],[Importe]]-Tabla14[[#This Row],[Pagado]]</f>
        <v>0</v>
      </c>
      <c r="H2811" s="37" t="s">
        <v>10</v>
      </c>
    </row>
    <row r="2812" spans="1:8" x14ac:dyDescent="0.25">
      <c r="A2812" s="31">
        <v>44646</v>
      </c>
      <c r="B2812" s="37" t="s">
        <v>9910</v>
      </c>
      <c r="C2812" s="51" t="s">
        <v>348</v>
      </c>
      <c r="D2812" s="52">
        <v>3596</v>
      </c>
      <c r="E2812" s="35">
        <v>44646</v>
      </c>
      <c r="F2812" s="52">
        <v>3596</v>
      </c>
      <c r="G2812" s="53">
        <f>Tabla14[[#This Row],[Importe]]-Tabla14[[#This Row],[Pagado]]</f>
        <v>0</v>
      </c>
      <c r="H2812" s="37" t="s">
        <v>10</v>
      </c>
    </row>
    <row r="2813" spans="1:8" x14ac:dyDescent="0.25">
      <c r="A2813" s="31">
        <v>44646</v>
      </c>
      <c r="B2813" s="37" t="s">
        <v>9911</v>
      </c>
      <c r="C2813" s="51" t="s">
        <v>2563</v>
      </c>
      <c r="D2813" s="52">
        <v>3738.3</v>
      </c>
      <c r="E2813" s="35">
        <v>44646</v>
      </c>
      <c r="F2813" s="52">
        <v>3738.3</v>
      </c>
      <c r="G2813" s="53">
        <f>Tabla14[[#This Row],[Importe]]-Tabla14[[#This Row],[Pagado]]</f>
        <v>0</v>
      </c>
      <c r="H2813" s="37" t="s">
        <v>10</v>
      </c>
    </row>
    <row r="2814" spans="1:8" x14ac:dyDescent="0.25">
      <c r="A2814" s="31">
        <v>44646</v>
      </c>
      <c r="B2814" s="37" t="s">
        <v>9912</v>
      </c>
      <c r="C2814" s="51" t="s">
        <v>2151</v>
      </c>
      <c r="D2814" s="52">
        <v>33239.199999999997</v>
      </c>
      <c r="E2814" s="35">
        <v>44646</v>
      </c>
      <c r="F2814" s="52">
        <v>33239.199999999997</v>
      </c>
      <c r="G2814" s="53">
        <f>Tabla14[[#This Row],[Importe]]-Tabla14[[#This Row],[Pagado]]</f>
        <v>0</v>
      </c>
      <c r="H2814" s="37" t="s">
        <v>10</v>
      </c>
    </row>
    <row r="2815" spans="1:8" x14ac:dyDescent="0.25">
      <c r="A2815" s="31">
        <v>44646</v>
      </c>
      <c r="B2815" s="37" t="s">
        <v>9913</v>
      </c>
      <c r="C2815" s="51" t="s">
        <v>64</v>
      </c>
      <c r="D2815" s="52">
        <v>7809.7</v>
      </c>
      <c r="E2815" s="35">
        <v>44649</v>
      </c>
      <c r="F2815" s="52">
        <v>7809.7</v>
      </c>
      <c r="G2815" s="53">
        <f>Tabla14[[#This Row],[Importe]]-Tabla14[[#This Row],[Pagado]]</f>
        <v>0</v>
      </c>
      <c r="H2815" s="37" t="s">
        <v>10</v>
      </c>
    </row>
    <row r="2816" spans="1:8" x14ac:dyDescent="0.25">
      <c r="A2816" s="31">
        <v>44646</v>
      </c>
      <c r="B2816" s="37" t="s">
        <v>9914</v>
      </c>
      <c r="C2816" s="51" t="s">
        <v>135</v>
      </c>
      <c r="D2816" s="52">
        <v>1518</v>
      </c>
      <c r="E2816" s="35">
        <v>44646</v>
      </c>
      <c r="F2816" s="52">
        <v>1518</v>
      </c>
      <c r="G2816" s="53">
        <f>Tabla14[[#This Row],[Importe]]-Tabla14[[#This Row],[Pagado]]</f>
        <v>0</v>
      </c>
      <c r="H2816" s="37" t="s">
        <v>10</v>
      </c>
    </row>
    <row r="2817" spans="1:8" x14ac:dyDescent="0.25">
      <c r="A2817" s="31">
        <v>44646</v>
      </c>
      <c r="B2817" s="37" t="s">
        <v>9915</v>
      </c>
      <c r="C2817" s="51" t="s">
        <v>161</v>
      </c>
      <c r="D2817" s="52">
        <v>3611.9</v>
      </c>
      <c r="E2817" s="35">
        <v>44646</v>
      </c>
      <c r="F2817" s="52">
        <v>3611.9</v>
      </c>
      <c r="G2817" s="53">
        <f>Tabla14[[#This Row],[Importe]]-Tabla14[[#This Row],[Pagado]]</f>
        <v>0</v>
      </c>
      <c r="H2817" s="37" t="s">
        <v>10</v>
      </c>
    </row>
    <row r="2818" spans="1:8" x14ac:dyDescent="0.25">
      <c r="A2818" s="31">
        <v>44646</v>
      </c>
      <c r="B2818" s="37" t="s">
        <v>9916</v>
      </c>
      <c r="C2818" s="51" t="s">
        <v>1239</v>
      </c>
      <c r="D2818" s="52">
        <v>11300.4</v>
      </c>
      <c r="E2818" s="35">
        <v>44646</v>
      </c>
      <c r="F2818" s="52">
        <v>11300.4</v>
      </c>
      <c r="G2818" s="53">
        <f>Tabla14[[#This Row],[Importe]]-Tabla14[[#This Row],[Pagado]]</f>
        <v>0</v>
      </c>
      <c r="H2818" s="37" t="s">
        <v>10</v>
      </c>
    </row>
    <row r="2819" spans="1:8" x14ac:dyDescent="0.25">
      <c r="A2819" s="31">
        <v>44646</v>
      </c>
      <c r="B2819" s="37" t="s">
        <v>9917</v>
      </c>
      <c r="C2819" s="51" t="s">
        <v>33</v>
      </c>
      <c r="D2819" s="52">
        <v>9873.4</v>
      </c>
      <c r="E2819" s="35">
        <v>44646</v>
      </c>
      <c r="F2819" s="52">
        <v>9873.4</v>
      </c>
      <c r="G2819" s="53">
        <f>Tabla14[[#This Row],[Importe]]-Tabla14[[#This Row],[Pagado]]</f>
        <v>0</v>
      </c>
      <c r="H2819" s="37" t="s">
        <v>10</v>
      </c>
    </row>
    <row r="2820" spans="1:8" x14ac:dyDescent="0.25">
      <c r="A2820" s="31">
        <v>44646</v>
      </c>
      <c r="B2820" s="37" t="s">
        <v>9918</v>
      </c>
      <c r="C2820" s="51" t="s">
        <v>62</v>
      </c>
      <c r="D2820" s="52">
        <v>3655.3</v>
      </c>
      <c r="E2820" s="35">
        <v>44646</v>
      </c>
      <c r="F2820" s="52">
        <v>3655.3</v>
      </c>
      <c r="G2820" s="53">
        <f>Tabla14[[#This Row],[Importe]]-Tabla14[[#This Row],[Pagado]]</f>
        <v>0</v>
      </c>
      <c r="H2820" s="37" t="s">
        <v>10</v>
      </c>
    </row>
    <row r="2821" spans="1:8" x14ac:dyDescent="0.25">
      <c r="A2821" s="31">
        <v>44646</v>
      </c>
      <c r="B2821" s="37" t="s">
        <v>9919</v>
      </c>
      <c r="C2821" s="51" t="s">
        <v>181</v>
      </c>
      <c r="D2821" s="52">
        <v>15430.2</v>
      </c>
      <c r="E2821" s="35">
        <v>44646</v>
      </c>
      <c r="F2821" s="52">
        <v>15430.2</v>
      </c>
      <c r="G2821" s="53">
        <f>Tabla14[[#This Row],[Importe]]-Tabla14[[#This Row],[Pagado]]</f>
        <v>0</v>
      </c>
      <c r="H2821" s="37" t="s">
        <v>10</v>
      </c>
    </row>
    <row r="2822" spans="1:8" x14ac:dyDescent="0.25">
      <c r="A2822" s="31">
        <v>44646</v>
      </c>
      <c r="B2822" s="37" t="s">
        <v>9920</v>
      </c>
      <c r="C2822" s="51" t="s">
        <v>175</v>
      </c>
      <c r="D2822" s="52">
        <v>4976.8</v>
      </c>
      <c r="E2822" s="35">
        <v>44646</v>
      </c>
      <c r="F2822" s="52">
        <v>4976.8</v>
      </c>
      <c r="G2822" s="53">
        <f>Tabla14[[#This Row],[Importe]]-Tabla14[[#This Row],[Pagado]]</f>
        <v>0</v>
      </c>
      <c r="H2822" s="37" t="s">
        <v>10</v>
      </c>
    </row>
    <row r="2823" spans="1:8" x14ac:dyDescent="0.25">
      <c r="A2823" s="31">
        <v>44646</v>
      </c>
      <c r="B2823" s="37" t="s">
        <v>9921</v>
      </c>
      <c r="C2823" s="51" t="s">
        <v>49</v>
      </c>
      <c r="D2823" s="52">
        <v>2978.1</v>
      </c>
      <c r="E2823" s="35">
        <v>44646</v>
      </c>
      <c r="F2823" s="52">
        <v>2978.1</v>
      </c>
      <c r="G2823" s="53">
        <f>Tabla14[[#This Row],[Importe]]-Tabla14[[#This Row],[Pagado]]</f>
        <v>0</v>
      </c>
      <c r="H2823" s="37" t="s">
        <v>10</v>
      </c>
    </row>
    <row r="2824" spans="1:8" x14ac:dyDescent="0.25">
      <c r="A2824" s="31">
        <v>44646</v>
      </c>
      <c r="B2824" s="37" t="s">
        <v>9922</v>
      </c>
      <c r="C2824" s="51" t="s">
        <v>2114</v>
      </c>
      <c r="D2824" s="52">
        <v>400.4</v>
      </c>
      <c r="E2824" s="35">
        <v>44646</v>
      </c>
      <c r="F2824" s="52">
        <v>400.4</v>
      </c>
      <c r="G2824" s="53">
        <f>Tabla14[[#This Row],[Importe]]-Tabla14[[#This Row],[Pagado]]</f>
        <v>0</v>
      </c>
      <c r="H2824" s="37" t="s">
        <v>10</v>
      </c>
    </row>
    <row r="2825" spans="1:8" x14ac:dyDescent="0.25">
      <c r="A2825" s="31">
        <v>44646</v>
      </c>
      <c r="B2825" s="37" t="s">
        <v>9923</v>
      </c>
      <c r="C2825" s="51" t="s">
        <v>45</v>
      </c>
      <c r="D2825" s="52">
        <v>11083.9</v>
      </c>
      <c r="E2825" s="35">
        <v>44646</v>
      </c>
      <c r="F2825" s="52">
        <v>11083.9</v>
      </c>
      <c r="G2825" s="53">
        <f>Tabla14[[#This Row],[Importe]]-Tabla14[[#This Row],[Pagado]]</f>
        <v>0</v>
      </c>
      <c r="H2825" s="37" t="s">
        <v>10</v>
      </c>
    </row>
    <row r="2826" spans="1:8" x14ac:dyDescent="0.25">
      <c r="A2826" s="31">
        <v>44646</v>
      </c>
      <c r="B2826" s="37" t="s">
        <v>9924</v>
      </c>
      <c r="C2826" s="51" t="s">
        <v>230</v>
      </c>
      <c r="D2826" s="52">
        <v>6163.4</v>
      </c>
      <c r="E2826" s="35">
        <v>44646</v>
      </c>
      <c r="F2826" s="52">
        <v>6163.4</v>
      </c>
      <c r="G2826" s="53">
        <f>Tabla14[[#This Row],[Importe]]-Tabla14[[#This Row],[Pagado]]</f>
        <v>0</v>
      </c>
      <c r="H2826" s="37" t="s">
        <v>10</v>
      </c>
    </row>
    <row r="2827" spans="1:8" x14ac:dyDescent="0.25">
      <c r="A2827" s="31">
        <v>44646</v>
      </c>
      <c r="B2827" s="37" t="s">
        <v>9925</v>
      </c>
      <c r="C2827" s="51" t="s">
        <v>426</v>
      </c>
      <c r="D2827" s="52">
        <v>3429.8</v>
      </c>
      <c r="E2827" s="35">
        <v>44646</v>
      </c>
      <c r="F2827" s="52">
        <v>3429.8</v>
      </c>
      <c r="G2827" s="53">
        <f>Tabla14[[#This Row],[Importe]]-Tabla14[[#This Row],[Pagado]]</f>
        <v>0</v>
      </c>
      <c r="H2827" s="37" t="s">
        <v>10</v>
      </c>
    </row>
    <row r="2828" spans="1:8" x14ac:dyDescent="0.25">
      <c r="A2828" s="31">
        <v>44646</v>
      </c>
      <c r="B2828" s="37" t="s">
        <v>9926</v>
      </c>
      <c r="C2828" s="51" t="s">
        <v>359</v>
      </c>
      <c r="D2828" s="52">
        <v>1439.2</v>
      </c>
      <c r="E2828" s="35">
        <v>44646</v>
      </c>
      <c r="F2828" s="52">
        <v>1439.2</v>
      </c>
      <c r="G2828" s="53">
        <f>Tabla14[[#This Row],[Importe]]-Tabla14[[#This Row],[Pagado]]</f>
        <v>0</v>
      </c>
      <c r="H2828" s="37" t="s">
        <v>10</v>
      </c>
    </row>
    <row r="2829" spans="1:8" x14ac:dyDescent="0.25">
      <c r="A2829" s="31">
        <v>44646</v>
      </c>
      <c r="B2829" s="37" t="s">
        <v>9927</v>
      </c>
      <c r="C2829" s="51" t="s">
        <v>226</v>
      </c>
      <c r="D2829" s="52">
        <v>11109.7</v>
      </c>
      <c r="E2829" s="35">
        <v>44646</v>
      </c>
      <c r="F2829" s="52">
        <v>11109.7</v>
      </c>
      <c r="G2829" s="53">
        <f>Tabla14[[#This Row],[Importe]]-Tabla14[[#This Row],[Pagado]]</f>
        <v>0</v>
      </c>
      <c r="H2829" s="37" t="s">
        <v>10</v>
      </c>
    </row>
    <row r="2830" spans="1:8" x14ac:dyDescent="0.25">
      <c r="A2830" s="31">
        <v>44646</v>
      </c>
      <c r="B2830" s="37" t="s">
        <v>9928</v>
      </c>
      <c r="C2830" s="51" t="s">
        <v>275</v>
      </c>
      <c r="D2830" s="52">
        <v>143079.06</v>
      </c>
      <c r="E2830" s="35">
        <v>44659</v>
      </c>
      <c r="F2830" s="52">
        <v>143079.06</v>
      </c>
      <c r="G2830" s="53">
        <f>Tabla14[[#This Row],[Importe]]-Tabla14[[#This Row],[Pagado]]</f>
        <v>0</v>
      </c>
      <c r="H2830" s="37" t="s">
        <v>10</v>
      </c>
    </row>
    <row r="2831" spans="1:8" x14ac:dyDescent="0.25">
      <c r="A2831" s="31">
        <v>44646</v>
      </c>
      <c r="B2831" s="37" t="s">
        <v>9929</v>
      </c>
      <c r="C2831" s="51" t="s">
        <v>200</v>
      </c>
      <c r="D2831" s="52">
        <v>2569.1999999999998</v>
      </c>
      <c r="E2831" s="35">
        <v>44646</v>
      </c>
      <c r="F2831" s="52">
        <v>2569.1999999999998</v>
      </c>
      <c r="G2831" s="53">
        <f>Tabla14[[#This Row],[Importe]]-Tabla14[[#This Row],[Pagado]]</f>
        <v>0</v>
      </c>
      <c r="H2831" s="37" t="s">
        <v>10</v>
      </c>
    </row>
    <row r="2832" spans="1:8" x14ac:dyDescent="0.25">
      <c r="A2832" s="31">
        <v>44646</v>
      </c>
      <c r="B2832" s="37" t="s">
        <v>9930</v>
      </c>
      <c r="C2832" s="51" t="s">
        <v>196</v>
      </c>
      <c r="D2832" s="52">
        <v>100244.2</v>
      </c>
      <c r="E2832" s="35">
        <v>44652</v>
      </c>
      <c r="F2832" s="52">
        <v>100244.2</v>
      </c>
      <c r="G2832" s="53">
        <f>Tabla14[[#This Row],[Importe]]-Tabla14[[#This Row],[Pagado]]</f>
        <v>0</v>
      </c>
      <c r="H2832" s="37" t="s">
        <v>10</v>
      </c>
    </row>
    <row r="2833" spans="1:8" x14ac:dyDescent="0.25">
      <c r="A2833" s="31">
        <v>44646</v>
      </c>
      <c r="B2833" s="37" t="s">
        <v>9931</v>
      </c>
      <c r="C2833" s="51" t="s">
        <v>183</v>
      </c>
      <c r="D2833" s="52">
        <v>1865.6</v>
      </c>
      <c r="E2833" s="35">
        <v>44646</v>
      </c>
      <c r="F2833" s="52">
        <v>1865.6</v>
      </c>
      <c r="G2833" s="53">
        <f>Tabla14[[#This Row],[Importe]]-Tabla14[[#This Row],[Pagado]]</f>
        <v>0</v>
      </c>
      <c r="H2833" s="37" t="s">
        <v>10</v>
      </c>
    </row>
    <row r="2834" spans="1:8" x14ac:dyDescent="0.25">
      <c r="A2834" s="31">
        <v>44646</v>
      </c>
      <c r="B2834" s="37" t="s">
        <v>9932</v>
      </c>
      <c r="C2834" s="51" t="s">
        <v>196</v>
      </c>
      <c r="D2834" s="52">
        <v>400</v>
      </c>
      <c r="E2834" s="35">
        <v>44652</v>
      </c>
      <c r="F2834" s="52">
        <v>400</v>
      </c>
      <c r="G2834" s="53">
        <f>Tabla14[[#This Row],[Importe]]-Tabla14[[#This Row],[Pagado]]</f>
        <v>0</v>
      </c>
      <c r="H2834" s="37" t="s">
        <v>10</v>
      </c>
    </row>
    <row r="2835" spans="1:8" x14ac:dyDescent="0.25">
      <c r="A2835" s="31">
        <v>44646</v>
      </c>
      <c r="B2835" s="37" t="s">
        <v>9933</v>
      </c>
      <c r="C2835" s="51" t="s">
        <v>157</v>
      </c>
      <c r="D2835" s="52">
        <v>3271</v>
      </c>
      <c r="E2835" s="35">
        <v>44646</v>
      </c>
      <c r="F2835" s="52">
        <v>3271</v>
      </c>
      <c r="G2835" s="53">
        <f>Tabla14[[#This Row],[Importe]]-Tabla14[[#This Row],[Pagado]]</f>
        <v>0</v>
      </c>
      <c r="H2835" s="37" t="s">
        <v>10</v>
      </c>
    </row>
    <row r="2836" spans="1:8" x14ac:dyDescent="0.25">
      <c r="A2836" s="31">
        <v>44646</v>
      </c>
      <c r="B2836" s="37" t="s">
        <v>9934</v>
      </c>
      <c r="C2836" s="51" t="s">
        <v>79</v>
      </c>
      <c r="D2836" s="52">
        <v>17604</v>
      </c>
      <c r="E2836" s="35">
        <v>44646</v>
      </c>
      <c r="F2836" s="52">
        <v>17604</v>
      </c>
      <c r="G2836" s="53">
        <f>Tabla14[[#This Row],[Importe]]-Tabla14[[#This Row],[Pagado]]</f>
        <v>0</v>
      </c>
      <c r="H2836" s="37" t="s">
        <v>10</v>
      </c>
    </row>
    <row r="2837" spans="1:8" x14ac:dyDescent="0.25">
      <c r="A2837" s="31">
        <v>44646</v>
      </c>
      <c r="B2837" s="37" t="s">
        <v>9935</v>
      </c>
      <c r="C2837" s="51" t="s">
        <v>520</v>
      </c>
      <c r="D2837" s="52">
        <v>12564.5</v>
      </c>
      <c r="E2837" s="35">
        <v>44646</v>
      </c>
      <c r="F2837" s="52">
        <v>12564.5</v>
      </c>
      <c r="G2837" s="53">
        <f>Tabla14[[#This Row],[Importe]]-Tabla14[[#This Row],[Pagado]]</f>
        <v>0</v>
      </c>
      <c r="H2837" s="37" t="s">
        <v>10</v>
      </c>
    </row>
    <row r="2838" spans="1:8" x14ac:dyDescent="0.25">
      <c r="A2838" s="31">
        <v>44646</v>
      </c>
      <c r="B2838" s="37" t="s">
        <v>9936</v>
      </c>
      <c r="C2838" s="51" t="s">
        <v>9937</v>
      </c>
      <c r="D2838" s="52">
        <v>0</v>
      </c>
      <c r="E2838" s="39" t="s">
        <v>189</v>
      </c>
      <c r="F2838" s="52">
        <v>0</v>
      </c>
      <c r="G2838" s="53">
        <f>Tabla14[[#This Row],[Importe]]-Tabla14[[#This Row],[Pagado]]</f>
        <v>0</v>
      </c>
      <c r="H2838" s="37" t="s">
        <v>189</v>
      </c>
    </row>
    <row r="2839" spans="1:8" x14ac:dyDescent="0.25">
      <c r="A2839" s="31">
        <v>44646</v>
      </c>
      <c r="B2839" s="37" t="s">
        <v>9938</v>
      </c>
      <c r="C2839" s="51" t="s">
        <v>24</v>
      </c>
      <c r="D2839" s="52">
        <v>691.2</v>
      </c>
      <c r="E2839" s="35">
        <v>44646</v>
      </c>
      <c r="F2839" s="52">
        <v>691.2</v>
      </c>
      <c r="G2839" s="53">
        <f>Tabla14[[#This Row],[Importe]]-Tabla14[[#This Row],[Pagado]]</f>
        <v>0</v>
      </c>
      <c r="H2839" s="37" t="s">
        <v>10</v>
      </c>
    </row>
    <row r="2840" spans="1:8" x14ac:dyDescent="0.25">
      <c r="A2840" s="31">
        <v>44646</v>
      </c>
      <c r="B2840" s="37" t="s">
        <v>9939</v>
      </c>
      <c r="C2840" s="51" t="s">
        <v>79</v>
      </c>
      <c r="D2840" s="52">
        <v>4546.8</v>
      </c>
      <c r="E2840" s="35">
        <v>44646</v>
      </c>
      <c r="F2840" s="52">
        <v>4546.8</v>
      </c>
      <c r="G2840" s="53">
        <f>Tabla14[[#This Row],[Importe]]-Tabla14[[#This Row],[Pagado]]</f>
        <v>0</v>
      </c>
      <c r="H2840" s="37" t="s">
        <v>10</v>
      </c>
    </row>
    <row r="2841" spans="1:8" x14ac:dyDescent="0.25">
      <c r="A2841" s="31">
        <v>44646</v>
      </c>
      <c r="B2841" s="37" t="s">
        <v>9940</v>
      </c>
      <c r="C2841" s="51" t="s">
        <v>319</v>
      </c>
      <c r="D2841" s="52">
        <v>7781.3</v>
      </c>
      <c r="E2841" s="35">
        <v>44646</v>
      </c>
      <c r="F2841" s="52">
        <v>7781.3</v>
      </c>
      <c r="G2841" s="53">
        <f>Tabla14[[#This Row],[Importe]]-Tabla14[[#This Row],[Pagado]]</f>
        <v>0</v>
      </c>
      <c r="H2841" s="37" t="s">
        <v>10</v>
      </c>
    </row>
    <row r="2842" spans="1:8" x14ac:dyDescent="0.25">
      <c r="A2842" s="31">
        <v>44646</v>
      </c>
      <c r="B2842" s="37" t="s">
        <v>9941</v>
      </c>
      <c r="C2842" s="51" t="s">
        <v>4136</v>
      </c>
      <c r="D2842" s="52">
        <v>3308.4</v>
      </c>
      <c r="E2842" s="35">
        <v>44646</v>
      </c>
      <c r="F2842" s="52">
        <v>3308.4</v>
      </c>
      <c r="G2842" s="53">
        <f>Tabla14[[#This Row],[Importe]]-Tabla14[[#This Row],[Pagado]]</f>
        <v>0</v>
      </c>
      <c r="H2842" s="37" t="s">
        <v>10</v>
      </c>
    </row>
    <row r="2843" spans="1:8" x14ac:dyDescent="0.25">
      <c r="A2843" s="31">
        <v>44646</v>
      </c>
      <c r="B2843" s="37" t="s">
        <v>9942</v>
      </c>
      <c r="C2843" s="51" t="s">
        <v>326</v>
      </c>
      <c r="D2843" s="52">
        <v>810</v>
      </c>
      <c r="E2843" s="35">
        <v>44646</v>
      </c>
      <c r="F2843" s="52">
        <v>810</v>
      </c>
      <c r="G2843" s="53">
        <f>Tabla14[[#This Row],[Importe]]-Tabla14[[#This Row],[Pagado]]</f>
        <v>0</v>
      </c>
      <c r="H2843" s="37" t="s">
        <v>10</v>
      </c>
    </row>
    <row r="2844" spans="1:8" x14ac:dyDescent="0.25">
      <c r="A2844" s="31">
        <v>44646</v>
      </c>
      <c r="B2844" s="37" t="s">
        <v>9943</v>
      </c>
      <c r="C2844" s="51" t="s">
        <v>555</v>
      </c>
      <c r="D2844" s="52">
        <v>29384.6</v>
      </c>
      <c r="E2844" s="35">
        <v>44646</v>
      </c>
      <c r="F2844" s="52">
        <v>29384.6</v>
      </c>
      <c r="G2844" s="53">
        <f>Tabla14[[#This Row],[Importe]]-Tabla14[[#This Row],[Pagado]]</f>
        <v>0</v>
      </c>
      <c r="H2844" s="37" t="s">
        <v>10</v>
      </c>
    </row>
    <row r="2845" spans="1:8" x14ac:dyDescent="0.25">
      <c r="A2845" s="31">
        <v>44646</v>
      </c>
      <c r="B2845" s="37" t="s">
        <v>9944</v>
      </c>
      <c r="C2845" s="51" t="s">
        <v>216</v>
      </c>
      <c r="D2845" s="52">
        <v>1782</v>
      </c>
      <c r="E2845" s="35">
        <v>44646</v>
      </c>
      <c r="F2845" s="52">
        <v>1782</v>
      </c>
      <c r="G2845" s="53">
        <f>Tabla14[[#This Row],[Importe]]-Tabla14[[#This Row],[Pagado]]</f>
        <v>0</v>
      </c>
      <c r="H2845" s="37" t="s">
        <v>10</v>
      </c>
    </row>
    <row r="2846" spans="1:8" x14ac:dyDescent="0.25">
      <c r="A2846" s="31">
        <v>44646</v>
      </c>
      <c r="B2846" s="37" t="s">
        <v>9945</v>
      </c>
      <c r="C2846" s="51" t="s">
        <v>216</v>
      </c>
      <c r="D2846" s="52">
        <v>112</v>
      </c>
      <c r="E2846" s="35">
        <v>44646</v>
      </c>
      <c r="F2846" s="52">
        <v>112</v>
      </c>
      <c r="G2846" s="53">
        <f>Tabla14[[#This Row],[Importe]]-Tabla14[[#This Row],[Pagado]]</f>
        <v>0</v>
      </c>
      <c r="H2846" s="37" t="s">
        <v>10</v>
      </c>
    </row>
    <row r="2847" spans="1:8" x14ac:dyDescent="0.25">
      <c r="A2847" s="31">
        <v>44646</v>
      </c>
      <c r="B2847" s="37" t="s">
        <v>9946</v>
      </c>
      <c r="C2847" s="51" t="s">
        <v>31</v>
      </c>
      <c r="D2847" s="52">
        <v>684</v>
      </c>
      <c r="E2847" s="35">
        <v>44646</v>
      </c>
      <c r="F2847" s="52">
        <v>684</v>
      </c>
      <c r="G2847" s="53">
        <f>Tabla14[[#This Row],[Importe]]-Tabla14[[#This Row],[Pagado]]</f>
        <v>0</v>
      </c>
      <c r="H2847" s="37" t="s">
        <v>10</v>
      </c>
    </row>
    <row r="2848" spans="1:8" x14ac:dyDescent="0.25">
      <c r="A2848" s="31">
        <v>44646</v>
      </c>
      <c r="B2848" s="37" t="s">
        <v>9947</v>
      </c>
      <c r="C2848" s="51" t="s">
        <v>698</v>
      </c>
      <c r="D2848" s="52">
        <v>4649.7</v>
      </c>
      <c r="E2848" s="35">
        <v>44646</v>
      </c>
      <c r="F2848" s="52">
        <v>4649.7</v>
      </c>
      <c r="G2848" s="53">
        <f>Tabla14[[#This Row],[Importe]]-Tabla14[[#This Row],[Pagado]]</f>
        <v>0</v>
      </c>
      <c r="H2848" s="37" t="s">
        <v>10</v>
      </c>
    </row>
    <row r="2849" spans="1:8" x14ac:dyDescent="0.25">
      <c r="A2849" s="31">
        <v>44646</v>
      </c>
      <c r="B2849" s="37" t="s">
        <v>9948</v>
      </c>
      <c r="C2849" s="51" t="s">
        <v>273</v>
      </c>
      <c r="D2849" s="52">
        <v>37361.22</v>
      </c>
      <c r="E2849" s="35">
        <v>44646</v>
      </c>
      <c r="F2849" s="52">
        <v>37361.22</v>
      </c>
      <c r="G2849" s="53">
        <f>Tabla14[[#This Row],[Importe]]-Tabla14[[#This Row],[Pagado]]</f>
        <v>0</v>
      </c>
      <c r="H2849" s="37" t="s">
        <v>10</v>
      </c>
    </row>
    <row r="2850" spans="1:8" x14ac:dyDescent="0.25">
      <c r="A2850" s="31">
        <v>44646</v>
      </c>
      <c r="B2850" s="37" t="s">
        <v>9949</v>
      </c>
      <c r="C2850" s="51" t="s">
        <v>33</v>
      </c>
      <c r="D2850" s="52">
        <v>4777.2</v>
      </c>
      <c r="E2850" s="35">
        <v>44646</v>
      </c>
      <c r="F2850" s="52">
        <v>4777.2</v>
      </c>
      <c r="G2850" s="53">
        <f>Tabla14[[#This Row],[Importe]]-Tabla14[[#This Row],[Pagado]]</f>
        <v>0</v>
      </c>
      <c r="H2850" s="37" t="s">
        <v>10</v>
      </c>
    </row>
    <row r="2851" spans="1:8" x14ac:dyDescent="0.25">
      <c r="A2851" s="31">
        <v>44646</v>
      </c>
      <c r="B2851" s="37" t="s">
        <v>9950</v>
      </c>
      <c r="C2851" s="51" t="s">
        <v>142</v>
      </c>
      <c r="D2851" s="52">
        <v>49908.18</v>
      </c>
      <c r="E2851" s="35">
        <v>44670</v>
      </c>
      <c r="F2851" s="52">
        <v>49908.18</v>
      </c>
      <c r="G2851" s="53">
        <f>Tabla14[[#This Row],[Importe]]-Tabla14[[#This Row],[Pagado]]</f>
        <v>0</v>
      </c>
      <c r="H2851" s="37" t="s">
        <v>10</v>
      </c>
    </row>
    <row r="2852" spans="1:8" x14ac:dyDescent="0.25">
      <c r="A2852" s="31">
        <v>44646</v>
      </c>
      <c r="B2852" s="37" t="s">
        <v>9951</v>
      </c>
      <c r="C2852" s="51" t="s">
        <v>804</v>
      </c>
      <c r="D2852" s="52">
        <v>10508.1</v>
      </c>
      <c r="E2852" s="35">
        <v>44646</v>
      </c>
      <c r="F2852" s="52">
        <v>10508.1</v>
      </c>
      <c r="G2852" s="53">
        <f>Tabla14[[#This Row],[Importe]]-Tabla14[[#This Row],[Pagado]]</f>
        <v>0</v>
      </c>
      <c r="H2852" s="37" t="s">
        <v>10</v>
      </c>
    </row>
    <row r="2853" spans="1:8" x14ac:dyDescent="0.25">
      <c r="A2853" s="31">
        <v>44646</v>
      </c>
      <c r="B2853" s="37" t="s">
        <v>9952</v>
      </c>
      <c r="C2853" s="51" t="s">
        <v>14</v>
      </c>
      <c r="D2853" s="52">
        <v>4364.8</v>
      </c>
      <c r="E2853" s="35">
        <v>44646</v>
      </c>
      <c r="F2853" s="52">
        <v>4364.8</v>
      </c>
      <c r="G2853" s="53">
        <f>Tabla14[[#This Row],[Importe]]-Tabla14[[#This Row],[Pagado]]</f>
        <v>0</v>
      </c>
      <c r="H2853" s="37" t="s">
        <v>10</v>
      </c>
    </row>
    <row r="2854" spans="1:8" x14ac:dyDescent="0.25">
      <c r="A2854" s="31">
        <v>44646</v>
      </c>
      <c r="B2854" s="37" t="s">
        <v>9953</v>
      </c>
      <c r="C2854" s="51" t="s">
        <v>31</v>
      </c>
      <c r="D2854" s="52">
        <v>5998.6</v>
      </c>
      <c r="E2854" s="35">
        <v>44646</v>
      </c>
      <c r="F2854" s="52">
        <v>5998.6</v>
      </c>
      <c r="G2854" s="53">
        <f>Tabla14[[#This Row],[Importe]]-Tabla14[[#This Row],[Pagado]]</f>
        <v>0</v>
      </c>
      <c r="H2854" s="37" t="s">
        <v>10</v>
      </c>
    </row>
    <row r="2855" spans="1:8" x14ac:dyDescent="0.25">
      <c r="A2855" s="31">
        <v>44646</v>
      </c>
      <c r="B2855" s="37" t="s">
        <v>9954</v>
      </c>
      <c r="C2855" s="51" t="s">
        <v>414</v>
      </c>
      <c r="D2855" s="52">
        <v>15741</v>
      </c>
      <c r="E2855" s="35">
        <v>44646</v>
      </c>
      <c r="F2855" s="52">
        <v>15741</v>
      </c>
      <c r="G2855" s="53">
        <f>Tabla14[[#This Row],[Importe]]-Tabla14[[#This Row],[Pagado]]</f>
        <v>0</v>
      </c>
      <c r="H2855" s="37" t="s">
        <v>10</v>
      </c>
    </row>
    <row r="2856" spans="1:8" x14ac:dyDescent="0.25">
      <c r="A2856" s="31">
        <v>44646</v>
      </c>
      <c r="B2856" s="37" t="s">
        <v>9955</v>
      </c>
      <c r="C2856" s="51" t="s">
        <v>233</v>
      </c>
      <c r="D2856" s="52">
        <v>5081.3999999999996</v>
      </c>
      <c r="E2856" s="35">
        <v>44646</v>
      </c>
      <c r="F2856" s="52">
        <v>5081.3999999999996</v>
      </c>
      <c r="G2856" s="53">
        <f>Tabla14[[#This Row],[Importe]]-Tabla14[[#This Row],[Pagado]]</f>
        <v>0</v>
      </c>
      <c r="H2856" s="37" t="s">
        <v>10</v>
      </c>
    </row>
    <row r="2857" spans="1:8" x14ac:dyDescent="0.25">
      <c r="A2857" s="31">
        <v>44646</v>
      </c>
      <c r="B2857" s="37" t="s">
        <v>9956</v>
      </c>
      <c r="C2857" s="51" t="s">
        <v>670</v>
      </c>
      <c r="D2857" s="52">
        <v>3858.4</v>
      </c>
      <c r="E2857" s="35">
        <v>44646</v>
      </c>
      <c r="F2857" s="52">
        <v>3858.4</v>
      </c>
      <c r="G2857" s="53">
        <f>Tabla14[[#This Row],[Importe]]-Tabla14[[#This Row],[Pagado]]</f>
        <v>0</v>
      </c>
      <c r="H2857" s="37" t="s">
        <v>10</v>
      </c>
    </row>
    <row r="2858" spans="1:8" x14ac:dyDescent="0.25">
      <c r="A2858" s="31">
        <v>44646</v>
      </c>
      <c r="B2858" s="37" t="s">
        <v>9957</v>
      </c>
      <c r="C2858" s="51" t="s">
        <v>9827</v>
      </c>
      <c r="D2858" s="52">
        <v>437.4</v>
      </c>
      <c r="E2858" s="35">
        <v>44646</v>
      </c>
      <c r="F2858" s="52">
        <v>437.4</v>
      </c>
      <c r="G2858" s="53">
        <f>Tabla14[[#This Row],[Importe]]-Tabla14[[#This Row],[Pagado]]</f>
        <v>0</v>
      </c>
      <c r="H2858" s="37" t="s">
        <v>10</v>
      </c>
    </row>
    <row r="2859" spans="1:8" x14ac:dyDescent="0.25">
      <c r="A2859" s="31">
        <v>44646</v>
      </c>
      <c r="B2859" s="37" t="s">
        <v>9958</v>
      </c>
      <c r="C2859" s="51" t="s">
        <v>214</v>
      </c>
      <c r="D2859" s="52">
        <v>1431</v>
      </c>
      <c r="E2859" s="35">
        <v>44646</v>
      </c>
      <c r="F2859" s="52">
        <v>1431</v>
      </c>
      <c r="G2859" s="53">
        <f>Tabla14[[#This Row],[Importe]]-Tabla14[[#This Row],[Pagado]]</f>
        <v>0</v>
      </c>
      <c r="H2859" s="37" t="s">
        <v>10</v>
      </c>
    </row>
    <row r="2860" spans="1:8" x14ac:dyDescent="0.25">
      <c r="A2860" s="31">
        <v>44646</v>
      </c>
      <c r="B2860" s="37" t="s">
        <v>9959</v>
      </c>
      <c r="C2860" s="51" t="s">
        <v>53</v>
      </c>
      <c r="D2860" s="52">
        <v>1864.5</v>
      </c>
      <c r="E2860" s="35">
        <v>44646</v>
      </c>
      <c r="F2860" s="52">
        <v>1864.5</v>
      </c>
      <c r="G2860" s="53">
        <f>Tabla14[[#This Row],[Importe]]-Tabla14[[#This Row],[Pagado]]</f>
        <v>0</v>
      </c>
      <c r="H2860" s="37" t="s">
        <v>10</v>
      </c>
    </row>
    <row r="2861" spans="1:8" x14ac:dyDescent="0.25">
      <c r="A2861" s="31">
        <v>44646</v>
      </c>
      <c r="B2861" s="37" t="s">
        <v>9960</v>
      </c>
      <c r="C2861" s="51" t="s">
        <v>67</v>
      </c>
      <c r="D2861" s="52">
        <v>1759.2</v>
      </c>
      <c r="E2861" s="35">
        <v>44646</v>
      </c>
      <c r="F2861" s="52">
        <v>1759.2</v>
      </c>
      <c r="G2861" s="53">
        <f>Tabla14[[#This Row],[Importe]]-Tabla14[[#This Row],[Pagado]]</f>
        <v>0</v>
      </c>
      <c r="H2861" s="37" t="s">
        <v>10</v>
      </c>
    </row>
    <row r="2862" spans="1:8" x14ac:dyDescent="0.25">
      <c r="A2862" s="31">
        <v>44646</v>
      </c>
      <c r="B2862" s="37" t="s">
        <v>9961</v>
      </c>
      <c r="C2862" s="51" t="s">
        <v>107</v>
      </c>
      <c r="D2862" s="52">
        <v>24482.58</v>
      </c>
      <c r="E2862" s="35">
        <v>44646</v>
      </c>
      <c r="F2862" s="52">
        <v>24482.58</v>
      </c>
      <c r="G2862" s="53">
        <f>Tabla14[[#This Row],[Importe]]-Tabla14[[#This Row],[Pagado]]</f>
        <v>0</v>
      </c>
      <c r="H2862" s="37" t="s">
        <v>10</v>
      </c>
    </row>
    <row r="2863" spans="1:8" x14ac:dyDescent="0.25">
      <c r="A2863" s="31">
        <v>44646</v>
      </c>
      <c r="B2863" s="37" t="s">
        <v>9962</v>
      </c>
      <c r="C2863" s="51" t="s">
        <v>140</v>
      </c>
      <c r="D2863" s="52">
        <v>995.5</v>
      </c>
      <c r="E2863" s="35">
        <v>44646</v>
      </c>
      <c r="F2863" s="52">
        <v>995.5</v>
      </c>
      <c r="G2863" s="53">
        <f>Tabla14[[#This Row],[Importe]]-Tabla14[[#This Row],[Pagado]]</f>
        <v>0</v>
      </c>
      <c r="H2863" s="37" t="s">
        <v>10</v>
      </c>
    </row>
    <row r="2864" spans="1:8" x14ac:dyDescent="0.25">
      <c r="A2864" s="31">
        <v>44646</v>
      </c>
      <c r="B2864" s="37" t="s">
        <v>9963</v>
      </c>
      <c r="C2864" s="51" t="s">
        <v>129</v>
      </c>
      <c r="D2864" s="52">
        <v>495</v>
      </c>
      <c r="E2864" s="35">
        <v>44646</v>
      </c>
      <c r="F2864" s="52">
        <v>495</v>
      </c>
      <c r="G2864" s="53">
        <f>Tabla14[[#This Row],[Importe]]-Tabla14[[#This Row],[Pagado]]</f>
        <v>0</v>
      </c>
      <c r="H2864" s="37" t="s">
        <v>10</v>
      </c>
    </row>
    <row r="2865" spans="1:8" x14ac:dyDescent="0.25">
      <c r="A2865" s="31">
        <v>44646</v>
      </c>
      <c r="B2865" s="37" t="s">
        <v>9964</v>
      </c>
      <c r="C2865" s="51" t="s">
        <v>127</v>
      </c>
      <c r="D2865" s="52">
        <v>5672.7</v>
      </c>
      <c r="E2865" s="35">
        <v>44646</v>
      </c>
      <c r="F2865" s="52">
        <v>5672.7</v>
      </c>
      <c r="G2865" s="53">
        <f>Tabla14[[#This Row],[Importe]]-Tabla14[[#This Row],[Pagado]]</f>
        <v>0</v>
      </c>
      <c r="H2865" s="37" t="s">
        <v>10</v>
      </c>
    </row>
    <row r="2866" spans="1:8" x14ac:dyDescent="0.25">
      <c r="A2866" s="31">
        <v>44646</v>
      </c>
      <c r="B2866" s="37" t="s">
        <v>9965</v>
      </c>
      <c r="C2866" s="51" t="s">
        <v>58</v>
      </c>
      <c r="D2866" s="52">
        <v>5982.2</v>
      </c>
      <c r="E2866" s="35">
        <v>44646</v>
      </c>
      <c r="F2866" s="52">
        <v>5982.2</v>
      </c>
      <c r="G2866" s="53">
        <f>Tabla14[[#This Row],[Importe]]-Tabla14[[#This Row],[Pagado]]</f>
        <v>0</v>
      </c>
      <c r="H2866" s="37" t="s">
        <v>10</v>
      </c>
    </row>
    <row r="2867" spans="1:8" x14ac:dyDescent="0.25">
      <c r="A2867" s="31">
        <v>44646</v>
      </c>
      <c r="B2867" s="37" t="s">
        <v>9966</v>
      </c>
      <c r="C2867" s="51" t="s">
        <v>339</v>
      </c>
      <c r="D2867" s="52">
        <v>1618.2</v>
      </c>
      <c r="E2867" s="35">
        <v>44646</v>
      </c>
      <c r="F2867" s="52">
        <v>1618.2</v>
      </c>
      <c r="G2867" s="53">
        <f>Tabla14[[#This Row],[Importe]]-Tabla14[[#This Row],[Pagado]]</f>
        <v>0</v>
      </c>
      <c r="H2867" s="37" t="s">
        <v>10</v>
      </c>
    </row>
    <row r="2868" spans="1:8" x14ac:dyDescent="0.25">
      <c r="A2868" s="31">
        <v>44646</v>
      </c>
      <c r="B2868" s="37" t="s">
        <v>9967</v>
      </c>
      <c r="C2868" s="51" t="s">
        <v>129</v>
      </c>
      <c r="D2868" s="52">
        <v>3462.6</v>
      </c>
      <c r="E2868" s="35">
        <v>44646</v>
      </c>
      <c r="F2868" s="52">
        <v>3462.6</v>
      </c>
      <c r="G2868" s="53">
        <f>Tabla14[[#This Row],[Importe]]-Tabla14[[#This Row],[Pagado]]</f>
        <v>0</v>
      </c>
      <c r="H2868" s="37" t="s">
        <v>10</v>
      </c>
    </row>
    <row r="2869" spans="1:8" x14ac:dyDescent="0.25">
      <c r="A2869" s="31">
        <v>44646</v>
      </c>
      <c r="B2869" s="37" t="s">
        <v>9968</v>
      </c>
      <c r="C2869" s="51" t="s">
        <v>71</v>
      </c>
      <c r="D2869" s="52">
        <v>1004</v>
      </c>
      <c r="E2869" s="35">
        <v>44646</v>
      </c>
      <c r="F2869" s="52">
        <v>1004</v>
      </c>
      <c r="G2869" s="53">
        <f>Tabla14[[#This Row],[Importe]]-Tabla14[[#This Row],[Pagado]]</f>
        <v>0</v>
      </c>
      <c r="H2869" s="37" t="s">
        <v>10</v>
      </c>
    </row>
    <row r="2870" spans="1:8" x14ac:dyDescent="0.25">
      <c r="A2870" s="31">
        <v>44646</v>
      </c>
      <c r="B2870" s="37" t="s">
        <v>9969</v>
      </c>
      <c r="C2870" s="51" t="s">
        <v>244</v>
      </c>
      <c r="D2870" s="52">
        <v>1326.2</v>
      </c>
      <c r="E2870" s="35">
        <v>44646</v>
      </c>
      <c r="F2870" s="52">
        <v>1326.2</v>
      </c>
      <c r="G2870" s="53">
        <f>Tabla14[[#This Row],[Importe]]-Tabla14[[#This Row],[Pagado]]</f>
        <v>0</v>
      </c>
      <c r="H2870" s="37" t="s">
        <v>10</v>
      </c>
    </row>
    <row r="2871" spans="1:8" x14ac:dyDescent="0.25">
      <c r="A2871" s="31">
        <v>44646</v>
      </c>
      <c r="B2871" s="37" t="s">
        <v>9970</v>
      </c>
      <c r="C2871" s="51" t="s">
        <v>371</v>
      </c>
      <c r="D2871" s="52">
        <v>7340.2</v>
      </c>
      <c r="E2871" s="35">
        <v>44646</v>
      </c>
      <c r="F2871" s="52">
        <v>7340.2</v>
      </c>
      <c r="G2871" s="53">
        <f>Tabla14[[#This Row],[Importe]]-Tabla14[[#This Row],[Pagado]]</f>
        <v>0</v>
      </c>
      <c r="H2871" s="37" t="s">
        <v>10</v>
      </c>
    </row>
    <row r="2872" spans="1:8" x14ac:dyDescent="0.25">
      <c r="A2872" s="31">
        <v>44646</v>
      </c>
      <c r="B2872" s="37" t="s">
        <v>9971</v>
      </c>
      <c r="C2872" s="51" t="s">
        <v>9</v>
      </c>
      <c r="D2872" s="52">
        <v>2388.8000000000002</v>
      </c>
      <c r="E2872" s="35">
        <v>44646</v>
      </c>
      <c r="F2872" s="52">
        <v>2388.8000000000002</v>
      </c>
      <c r="G2872" s="53">
        <f>Tabla14[[#This Row],[Importe]]-Tabla14[[#This Row],[Pagado]]</f>
        <v>0</v>
      </c>
      <c r="H2872" s="37" t="s">
        <v>10</v>
      </c>
    </row>
    <row r="2873" spans="1:8" x14ac:dyDescent="0.25">
      <c r="A2873" s="31">
        <v>44646</v>
      </c>
      <c r="B2873" s="37" t="s">
        <v>9972</v>
      </c>
      <c r="C2873" s="51" t="s">
        <v>16</v>
      </c>
      <c r="D2873" s="52">
        <v>934.8</v>
      </c>
      <c r="E2873" s="35" t="s">
        <v>9973</v>
      </c>
      <c r="F2873" s="52">
        <v>934.8</v>
      </c>
      <c r="G2873" s="53">
        <f>Tabla14[[#This Row],[Importe]]-Tabla14[[#This Row],[Pagado]]</f>
        <v>0</v>
      </c>
      <c r="H2873" s="37" t="s">
        <v>10</v>
      </c>
    </row>
    <row r="2874" spans="1:8" x14ac:dyDescent="0.25">
      <c r="A2874" s="31">
        <v>44646</v>
      </c>
      <c r="B2874" s="37" t="s">
        <v>9974</v>
      </c>
      <c r="C2874" s="51" t="s">
        <v>284</v>
      </c>
      <c r="D2874" s="52">
        <v>13597.2</v>
      </c>
      <c r="E2874" s="35">
        <v>44647</v>
      </c>
      <c r="F2874" s="52">
        <v>13597.2</v>
      </c>
      <c r="G2874" s="53">
        <f>Tabla14[[#This Row],[Importe]]-Tabla14[[#This Row],[Pagado]]</f>
        <v>0</v>
      </c>
      <c r="H2874" s="37" t="s">
        <v>10</v>
      </c>
    </row>
    <row r="2875" spans="1:8" x14ac:dyDescent="0.25">
      <c r="A2875" s="31">
        <v>44646</v>
      </c>
      <c r="B2875" s="37" t="s">
        <v>9975</v>
      </c>
      <c r="C2875" s="51" t="s">
        <v>282</v>
      </c>
      <c r="D2875" s="52">
        <v>5572.8</v>
      </c>
      <c r="E2875" s="35">
        <v>44647</v>
      </c>
      <c r="F2875" s="52">
        <v>5572.8</v>
      </c>
      <c r="G2875" s="53">
        <f>Tabla14[[#This Row],[Importe]]-Tabla14[[#This Row],[Pagado]]</f>
        <v>0</v>
      </c>
      <c r="H2875" s="37" t="s">
        <v>10</v>
      </c>
    </row>
    <row r="2876" spans="1:8" x14ac:dyDescent="0.25">
      <c r="A2876" s="31">
        <v>44646</v>
      </c>
      <c r="B2876" s="37" t="s">
        <v>9976</v>
      </c>
      <c r="C2876" s="51" t="s">
        <v>1174</v>
      </c>
      <c r="D2876" s="52">
        <v>41587.199999999997</v>
      </c>
      <c r="E2876" s="35">
        <v>44646</v>
      </c>
      <c r="F2876" s="52">
        <v>41587.199999999997</v>
      </c>
      <c r="G2876" s="53">
        <f>Tabla14[[#This Row],[Importe]]-Tabla14[[#This Row],[Pagado]]</f>
        <v>0</v>
      </c>
      <c r="H2876" s="37" t="s">
        <v>10</v>
      </c>
    </row>
    <row r="2877" spans="1:8" x14ac:dyDescent="0.25">
      <c r="A2877" s="31">
        <v>44646</v>
      </c>
      <c r="B2877" s="37" t="s">
        <v>9977</v>
      </c>
      <c r="C2877" s="51" t="s">
        <v>431</v>
      </c>
      <c r="D2877" s="52">
        <v>604.79999999999995</v>
      </c>
      <c r="E2877" s="35">
        <v>44647</v>
      </c>
      <c r="F2877" s="52">
        <v>604.79999999999995</v>
      </c>
      <c r="G2877" s="53">
        <f>Tabla14[[#This Row],[Importe]]-Tabla14[[#This Row],[Pagado]]</f>
        <v>0</v>
      </c>
      <c r="H2877" s="37" t="s">
        <v>10</v>
      </c>
    </row>
    <row r="2878" spans="1:8" x14ac:dyDescent="0.25">
      <c r="A2878" s="31">
        <v>44646</v>
      </c>
      <c r="B2878" s="37" t="s">
        <v>9978</v>
      </c>
      <c r="C2878" s="51" t="s">
        <v>5345</v>
      </c>
      <c r="D2878" s="52">
        <v>1846.8</v>
      </c>
      <c r="E2878" s="35">
        <v>44647</v>
      </c>
      <c r="F2878" s="52">
        <v>1846.8</v>
      </c>
      <c r="G2878" s="53">
        <f>Tabla14[[#This Row],[Importe]]-Tabla14[[#This Row],[Pagado]]</f>
        <v>0</v>
      </c>
      <c r="H2878" s="37" t="s">
        <v>10</v>
      </c>
    </row>
    <row r="2879" spans="1:8" x14ac:dyDescent="0.25">
      <c r="A2879" s="31">
        <v>44646</v>
      </c>
      <c r="B2879" s="37" t="s">
        <v>9979</v>
      </c>
      <c r="C2879" s="51" t="s">
        <v>280</v>
      </c>
      <c r="D2879" s="52">
        <v>1841.4</v>
      </c>
      <c r="E2879" s="35">
        <v>44647</v>
      </c>
      <c r="F2879" s="52">
        <v>1841.4</v>
      </c>
      <c r="G2879" s="53">
        <f>Tabla14[[#This Row],[Importe]]-Tabla14[[#This Row],[Pagado]]</f>
        <v>0</v>
      </c>
      <c r="H2879" s="37" t="s">
        <v>10</v>
      </c>
    </row>
    <row r="2880" spans="1:8" x14ac:dyDescent="0.25">
      <c r="A2880" s="31">
        <v>44646</v>
      </c>
      <c r="B2880" s="37" t="s">
        <v>9980</v>
      </c>
      <c r="C2880" s="51" t="s">
        <v>51</v>
      </c>
      <c r="D2880" s="52">
        <v>3359.2</v>
      </c>
      <c r="E2880" s="35">
        <v>44646</v>
      </c>
      <c r="F2880" s="52">
        <v>3359.2</v>
      </c>
      <c r="G2880" s="53">
        <f>Tabla14[[#This Row],[Importe]]-Tabla14[[#This Row],[Pagado]]</f>
        <v>0</v>
      </c>
      <c r="H2880" s="37" t="s">
        <v>10</v>
      </c>
    </row>
    <row r="2881" spans="1:8" x14ac:dyDescent="0.25">
      <c r="A2881" s="31">
        <v>44646</v>
      </c>
      <c r="B2881" s="37" t="s">
        <v>9981</v>
      </c>
      <c r="C2881" s="51" t="s">
        <v>1174</v>
      </c>
      <c r="D2881" s="52">
        <v>2400</v>
      </c>
      <c r="E2881" s="35">
        <v>44646</v>
      </c>
      <c r="F2881" s="52">
        <v>2400</v>
      </c>
      <c r="G2881" s="53">
        <f>Tabla14[[#This Row],[Importe]]-Tabla14[[#This Row],[Pagado]]</f>
        <v>0</v>
      </c>
      <c r="H2881" s="37" t="s">
        <v>10</v>
      </c>
    </row>
    <row r="2882" spans="1:8" x14ac:dyDescent="0.25">
      <c r="A2882" s="31">
        <v>44646</v>
      </c>
      <c r="B2882" s="37" t="s">
        <v>9982</v>
      </c>
      <c r="C2882" s="51" t="s">
        <v>27</v>
      </c>
      <c r="D2882" s="52">
        <v>1094.4000000000001</v>
      </c>
      <c r="E2882" s="35">
        <v>44646</v>
      </c>
      <c r="F2882" s="52">
        <v>1094.4000000000001</v>
      </c>
      <c r="G2882" s="53">
        <f>Tabla14[[#This Row],[Importe]]-Tabla14[[#This Row],[Pagado]]</f>
        <v>0</v>
      </c>
      <c r="H2882" s="37" t="s">
        <v>10</v>
      </c>
    </row>
    <row r="2883" spans="1:8" x14ac:dyDescent="0.25">
      <c r="A2883" s="31">
        <v>44646</v>
      </c>
      <c r="B2883" s="37" t="s">
        <v>9983</v>
      </c>
      <c r="C2883" s="51" t="s">
        <v>291</v>
      </c>
      <c r="D2883" s="52">
        <v>1609.96</v>
      </c>
      <c r="E2883" s="35">
        <v>44647</v>
      </c>
      <c r="F2883" s="52">
        <v>1609.96</v>
      </c>
      <c r="G2883" s="53">
        <f>Tabla14[[#This Row],[Importe]]-Tabla14[[#This Row],[Pagado]]</f>
        <v>0</v>
      </c>
      <c r="H2883" s="37" t="s">
        <v>10</v>
      </c>
    </row>
    <row r="2884" spans="1:8" x14ac:dyDescent="0.25">
      <c r="A2884" s="31">
        <v>44646</v>
      </c>
      <c r="B2884" s="37" t="s">
        <v>9984</v>
      </c>
      <c r="C2884" s="51" t="s">
        <v>214</v>
      </c>
      <c r="D2884" s="52">
        <v>655</v>
      </c>
      <c r="E2884" s="35">
        <v>44647</v>
      </c>
      <c r="F2884" s="52">
        <v>655</v>
      </c>
      <c r="G2884" s="53">
        <f>Tabla14[[#This Row],[Importe]]-Tabla14[[#This Row],[Pagado]]</f>
        <v>0</v>
      </c>
      <c r="H2884" s="37" t="s">
        <v>10</v>
      </c>
    </row>
    <row r="2885" spans="1:8" x14ac:dyDescent="0.25">
      <c r="A2885" s="31">
        <v>44646</v>
      </c>
      <c r="B2885" s="37" t="s">
        <v>9985</v>
      </c>
      <c r="C2885" s="51" t="s">
        <v>681</v>
      </c>
      <c r="D2885" s="52">
        <v>5.47</v>
      </c>
      <c r="E2885" s="35">
        <v>44652</v>
      </c>
      <c r="F2885" s="52">
        <v>5.47</v>
      </c>
      <c r="G2885" s="53">
        <f>Tabla14[[#This Row],[Importe]]-Tabla14[[#This Row],[Pagado]]</f>
        <v>0</v>
      </c>
      <c r="H2885" s="37" t="s">
        <v>10</v>
      </c>
    </row>
    <row r="2886" spans="1:8" x14ac:dyDescent="0.25">
      <c r="A2886" s="31">
        <v>44646</v>
      </c>
      <c r="B2886" s="37" t="s">
        <v>9986</v>
      </c>
      <c r="C2886" s="51" t="s">
        <v>1421</v>
      </c>
      <c r="D2886" s="52">
        <v>32371.200000000001</v>
      </c>
      <c r="E2886" s="35">
        <v>44646</v>
      </c>
      <c r="F2886" s="52">
        <v>32371.200000000001</v>
      </c>
      <c r="G2886" s="53">
        <f>Tabla14[[#This Row],[Importe]]-Tabla14[[#This Row],[Pagado]]</f>
        <v>0</v>
      </c>
      <c r="H2886" s="37" t="s">
        <v>10</v>
      </c>
    </row>
    <row r="2887" spans="1:8" x14ac:dyDescent="0.25">
      <c r="A2887" s="31">
        <v>44646</v>
      </c>
      <c r="B2887" s="37" t="s">
        <v>9987</v>
      </c>
      <c r="C2887" s="51" t="s">
        <v>56</v>
      </c>
      <c r="D2887" s="52">
        <v>6041.6</v>
      </c>
      <c r="E2887" s="35">
        <v>44646</v>
      </c>
      <c r="F2887" s="52">
        <v>6041.6</v>
      </c>
      <c r="G2887" s="53">
        <f>Tabla14[[#This Row],[Importe]]-Tabla14[[#This Row],[Pagado]]</f>
        <v>0</v>
      </c>
      <c r="H2887" s="37" t="s">
        <v>10</v>
      </c>
    </row>
    <row r="2888" spans="1:8" x14ac:dyDescent="0.25">
      <c r="A2888" s="31">
        <v>44646</v>
      </c>
      <c r="B2888" s="37" t="s">
        <v>9988</v>
      </c>
      <c r="C2888" s="51" t="s">
        <v>56</v>
      </c>
      <c r="D2888" s="52">
        <v>1392</v>
      </c>
      <c r="E2888" s="35">
        <v>44646</v>
      </c>
      <c r="F2888" s="52">
        <v>1392</v>
      </c>
      <c r="G2888" s="53">
        <f>Tabla14[[#This Row],[Importe]]-Tabla14[[#This Row],[Pagado]]</f>
        <v>0</v>
      </c>
      <c r="H2888" s="37" t="s">
        <v>10</v>
      </c>
    </row>
    <row r="2889" spans="1:8" x14ac:dyDescent="0.25">
      <c r="A2889" s="31">
        <v>44646</v>
      </c>
      <c r="B2889" s="37" t="s">
        <v>9989</v>
      </c>
      <c r="C2889" s="51" t="s">
        <v>275</v>
      </c>
      <c r="D2889" s="52">
        <v>56492.44</v>
      </c>
      <c r="E2889" s="35">
        <v>44659</v>
      </c>
      <c r="F2889" s="52">
        <v>56492.44</v>
      </c>
      <c r="G2889" s="53">
        <f>Tabla14[[#This Row],[Importe]]-Tabla14[[#This Row],[Pagado]]</f>
        <v>0</v>
      </c>
      <c r="H2889" s="37" t="s">
        <v>10</v>
      </c>
    </row>
    <row r="2890" spans="1:8" x14ac:dyDescent="0.25">
      <c r="A2890" s="31">
        <v>44646</v>
      </c>
      <c r="B2890" s="37" t="s">
        <v>9990</v>
      </c>
      <c r="C2890" s="51" t="s">
        <v>610</v>
      </c>
      <c r="D2890" s="52">
        <v>12496</v>
      </c>
      <c r="E2890" s="35">
        <v>44646</v>
      </c>
      <c r="F2890" s="52">
        <v>12496</v>
      </c>
      <c r="G2890" s="53">
        <f>Tabla14[[#This Row],[Importe]]-Tabla14[[#This Row],[Pagado]]</f>
        <v>0</v>
      </c>
      <c r="H2890" s="37" t="s">
        <v>10</v>
      </c>
    </row>
    <row r="2891" spans="1:8" x14ac:dyDescent="0.25">
      <c r="A2891" s="31">
        <v>44646</v>
      </c>
      <c r="B2891" s="37" t="s">
        <v>9991</v>
      </c>
      <c r="C2891" s="51" t="s">
        <v>31</v>
      </c>
      <c r="D2891" s="52">
        <v>327.2</v>
      </c>
      <c r="E2891" s="35">
        <v>44646</v>
      </c>
      <c r="F2891" s="52">
        <v>327.2</v>
      </c>
      <c r="G2891" s="53">
        <f>Tabla14[[#This Row],[Importe]]-Tabla14[[#This Row],[Pagado]]</f>
        <v>0</v>
      </c>
      <c r="H2891" s="37" t="s">
        <v>10</v>
      </c>
    </row>
    <row r="2892" spans="1:8" x14ac:dyDescent="0.25">
      <c r="A2892" s="31">
        <v>44646</v>
      </c>
      <c r="B2892" s="37" t="s">
        <v>9992</v>
      </c>
      <c r="C2892" s="51" t="s">
        <v>9993</v>
      </c>
      <c r="D2892" s="52">
        <v>35166.300000000003</v>
      </c>
      <c r="E2892" s="35">
        <v>44646</v>
      </c>
      <c r="F2892" s="52">
        <v>35166.300000000003</v>
      </c>
      <c r="G2892" s="53">
        <f>Tabla14[[#This Row],[Importe]]-Tabla14[[#This Row],[Pagado]]</f>
        <v>0</v>
      </c>
      <c r="H2892" s="37" t="s">
        <v>10</v>
      </c>
    </row>
    <row r="2893" spans="1:8" x14ac:dyDescent="0.25">
      <c r="A2893" s="31">
        <v>44646</v>
      </c>
      <c r="B2893" s="37" t="s">
        <v>9994</v>
      </c>
      <c r="C2893" s="51" t="s">
        <v>9993</v>
      </c>
      <c r="D2893" s="52">
        <v>27833.52</v>
      </c>
      <c r="E2893" s="35">
        <v>44646</v>
      </c>
      <c r="F2893" s="52">
        <v>27833.52</v>
      </c>
      <c r="G2893" s="53">
        <f>Tabla14[[#This Row],[Importe]]-Tabla14[[#This Row],[Pagado]]</f>
        <v>0</v>
      </c>
      <c r="H2893" s="37" t="s">
        <v>10</v>
      </c>
    </row>
    <row r="2894" spans="1:8" x14ac:dyDescent="0.25">
      <c r="A2894" s="31">
        <v>44646</v>
      </c>
      <c r="B2894" s="37" t="s">
        <v>9995</v>
      </c>
      <c r="C2894" s="51" t="s">
        <v>421</v>
      </c>
      <c r="D2894" s="52">
        <v>4323.8</v>
      </c>
      <c r="E2894" s="35">
        <v>44646</v>
      </c>
      <c r="F2894" s="52">
        <v>4323.8</v>
      </c>
      <c r="G2894" s="53">
        <f>Tabla14[[#This Row],[Importe]]-Tabla14[[#This Row],[Pagado]]</f>
        <v>0</v>
      </c>
      <c r="H2894" s="37" t="s">
        <v>10</v>
      </c>
    </row>
    <row r="2895" spans="1:8" x14ac:dyDescent="0.25">
      <c r="A2895" s="31">
        <v>44646</v>
      </c>
      <c r="B2895" s="37" t="s">
        <v>9996</v>
      </c>
      <c r="C2895" s="51" t="s">
        <v>35</v>
      </c>
      <c r="D2895" s="52">
        <v>2966</v>
      </c>
      <c r="E2895" s="35">
        <v>44646</v>
      </c>
      <c r="F2895" s="52">
        <v>2966</v>
      </c>
      <c r="G2895" s="53">
        <f>Tabla14[[#This Row],[Importe]]-Tabla14[[#This Row],[Pagado]]</f>
        <v>0</v>
      </c>
      <c r="H2895" s="37" t="s">
        <v>10</v>
      </c>
    </row>
    <row r="2896" spans="1:8" x14ac:dyDescent="0.25">
      <c r="A2896" s="31">
        <v>44646</v>
      </c>
      <c r="B2896" s="37" t="s">
        <v>9997</v>
      </c>
      <c r="C2896" s="51" t="s">
        <v>7313</v>
      </c>
      <c r="D2896" s="52">
        <v>158.6</v>
      </c>
      <c r="E2896" s="35">
        <v>44646</v>
      </c>
      <c r="F2896" s="52">
        <v>158.6</v>
      </c>
      <c r="G2896" s="53">
        <f>Tabla14[[#This Row],[Importe]]-Tabla14[[#This Row],[Pagado]]</f>
        <v>0</v>
      </c>
      <c r="H2896" s="37" t="s">
        <v>10</v>
      </c>
    </row>
    <row r="2897" spans="1:8" x14ac:dyDescent="0.25">
      <c r="A2897" s="31">
        <v>44646</v>
      </c>
      <c r="B2897" s="37" t="s">
        <v>9998</v>
      </c>
      <c r="C2897" s="51" t="s">
        <v>2020</v>
      </c>
      <c r="D2897" s="52">
        <v>3312.5</v>
      </c>
      <c r="E2897" s="35">
        <v>44646</v>
      </c>
      <c r="F2897" s="52">
        <v>3312.5</v>
      </c>
      <c r="G2897" s="53">
        <f>Tabla14[[#This Row],[Importe]]-Tabla14[[#This Row],[Pagado]]</f>
        <v>0</v>
      </c>
      <c r="H2897" s="37" t="s">
        <v>10</v>
      </c>
    </row>
    <row r="2898" spans="1:8" x14ac:dyDescent="0.25">
      <c r="A2898" s="31">
        <v>44646</v>
      </c>
      <c r="B2898" s="37" t="s">
        <v>9999</v>
      </c>
      <c r="C2898" s="51" t="s">
        <v>31</v>
      </c>
      <c r="D2898" s="52">
        <v>594</v>
      </c>
      <c r="E2898" s="35">
        <v>44646</v>
      </c>
      <c r="F2898" s="52">
        <v>594</v>
      </c>
      <c r="G2898" s="53">
        <f>Tabla14[[#This Row],[Importe]]-Tabla14[[#This Row],[Pagado]]</f>
        <v>0</v>
      </c>
      <c r="H2898" s="37" t="s">
        <v>10</v>
      </c>
    </row>
    <row r="2899" spans="1:8" x14ac:dyDescent="0.25">
      <c r="A2899" s="31">
        <v>44646</v>
      </c>
      <c r="B2899" s="37" t="s">
        <v>10000</v>
      </c>
      <c r="C2899" s="51" t="s">
        <v>53</v>
      </c>
      <c r="D2899" s="52">
        <v>1798.5</v>
      </c>
      <c r="E2899" s="35">
        <v>44646</v>
      </c>
      <c r="F2899" s="52">
        <v>1798.5</v>
      </c>
      <c r="G2899" s="53">
        <f>Tabla14[[#This Row],[Importe]]-Tabla14[[#This Row],[Pagado]]</f>
        <v>0</v>
      </c>
      <c r="H2899" s="37" t="s">
        <v>10</v>
      </c>
    </row>
    <row r="2900" spans="1:8" x14ac:dyDescent="0.25">
      <c r="A2900" s="31">
        <v>44646</v>
      </c>
      <c r="B2900" s="37" t="s">
        <v>10001</v>
      </c>
      <c r="C2900" s="51" t="s">
        <v>31</v>
      </c>
      <c r="D2900" s="52">
        <v>115.2</v>
      </c>
      <c r="E2900" s="35">
        <v>44646</v>
      </c>
      <c r="F2900" s="52">
        <v>115.2</v>
      </c>
      <c r="G2900" s="53">
        <f>Tabla14[[#This Row],[Importe]]-Tabla14[[#This Row],[Pagado]]</f>
        <v>0</v>
      </c>
      <c r="H2900" s="37" t="s">
        <v>10</v>
      </c>
    </row>
    <row r="2901" spans="1:8" x14ac:dyDescent="0.25">
      <c r="A2901" s="31">
        <v>44646</v>
      </c>
      <c r="B2901" s="37" t="s">
        <v>10002</v>
      </c>
      <c r="C2901" s="51" t="s">
        <v>365</v>
      </c>
      <c r="D2901" s="52">
        <v>382</v>
      </c>
      <c r="E2901" s="35">
        <v>44646</v>
      </c>
      <c r="F2901" s="52">
        <v>382</v>
      </c>
      <c r="G2901" s="53">
        <f>Tabla14[[#This Row],[Importe]]-Tabla14[[#This Row],[Pagado]]</f>
        <v>0</v>
      </c>
      <c r="H2901" s="37" t="s">
        <v>10</v>
      </c>
    </row>
    <row r="2902" spans="1:8" x14ac:dyDescent="0.25">
      <c r="A2902" s="31">
        <v>44646</v>
      </c>
      <c r="B2902" s="37" t="s">
        <v>10003</v>
      </c>
      <c r="C2902" s="51" t="s">
        <v>31</v>
      </c>
      <c r="D2902" s="52">
        <v>571.20000000000005</v>
      </c>
      <c r="E2902" s="35">
        <v>44646</v>
      </c>
      <c r="F2902" s="52">
        <v>571.20000000000005</v>
      </c>
      <c r="G2902" s="53">
        <f>Tabla14[[#This Row],[Importe]]-Tabla14[[#This Row],[Pagado]]</f>
        <v>0</v>
      </c>
      <c r="H2902" s="37" t="s">
        <v>10</v>
      </c>
    </row>
    <row r="2903" spans="1:8" x14ac:dyDescent="0.25">
      <c r="A2903" s="31">
        <v>44646</v>
      </c>
      <c r="B2903" s="37" t="s">
        <v>10004</v>
      </c>
      <c r="C2903" s="51" t="s">
        <v>31</v>
      </c>
      <c r="D2903" s="52">
        <v>136</v>
      </c>
      <c r="E2903" s="35">
        <v>44647</v>
      </c>
      <c r="F2903" s="52">
        <v>136</v>
      </c>
      <c r="G2903" s="53">
        <f>Tabla14[[#This Row],[Importe]]-Tabla14[[#This Row],[Pagado]]</f>
        <v>0</v>
      </c>
      <c r="H2903" s="37" t="s">
        <v>10</v>
      </c>
    </row>
    <row r="2904" spans="1:8" x14ac:dyDescent="0.25">
      <c r="A2904" s="31">
        <v>44646</v>
      </c>
      <c r="B2904" s="37" t="s">
        <v>10005</v>
      </c>
      <c r="C2904" s="51" t="s">
        <v>31</v>
      </c>
      <c r="D2904" s="52">
        <v>268.8</v>
      </c>
      <c r="E2904" s="35">
        <v>44646</v>
      </c>
      <c r="F2904" s="52">
        <v>268.8</v>
      </c>
      <c r="G2904" s="53">
        <f>Tabla14[[#This Row],[Importe]]-Tabla14[[#This Row],[Pagado]]</f>
        <v>0</v>
      </c>
      <c r="H2904" s="37" t="s">
        <v>10</v>
      </c>
    </row>
    <row r="2905" spans="1:8" x14ac:dyDescent="0.25">
      <c r="A2905" s="31">
        <v>44646</v>
      </c>
      <c r="B2905" s="37" t="s">
        <v>10006</v>
      </c>
      <c r="C2905" s="51" t="s">
        <v>31</v>
      </c>
      <c r="D2905" s="52">
        <v>41</v>
      </c>
      <c r="E2905" s="35">
        <v>44646</v>
      </c>
      <c r="F2905" s="52">
        <v>41</v>
      </c>
      <c r="G2905" s="53">
        <f>Tabla14[[#This Row],[Importe]]-Tabla14[[#This Row],[Pagado]]</f>
        <v>0</v>
      </c>
      <c r="H2905" s="37" t="s">
        <v>10</v>
      </c>
    </row>
    <row r="2906" spans="1:8" x14ac:dyDescent="0.25">
      <c r="A2906" s="31">
        <v>44646</v>
      </c>
      <c r="B2906" s="37" t="s">
        <v>10007</v>
      </c>
      <c r="C2906" s="51" t="s">
        <v>31</v>
      </c>
      <c r="D2906" s="52">
        <v>80</v>
      </c>
      <c r="E2906" s="35">
        <v>44646</v>
      </c>
      <c r="F2906" s="52">
        <v>80</v>
      </c>
      <c r="G2906" s="53">
        <f>Tabla14[[#This Row],[Importe]]-Tabla14[[#This Row],[Pagado]]</f>
        <v>0</v>
      </c>
      <c r="H2906" s="37" t="s">
        <v>10</v>
      </c>
    </row>
    <row r="2907" spans="1:8" x14ac:dyDescent="0.25">
      <c r="A2907" s="31">
        <v>44646</v>
      </c>
      <c r="B2907" s="37" t="s">
        <v>10008</v>
      </c>
      <c r="C2907" s="51" t="s">
        <v>459</v>
      </c>
      <c r="D2907" s="52">
        <v>213</v>
      </c>
      <c r="E2907" s="35">
        <v>44647</v>
      </c>
      <c r="F2907" s="52">
        <v>213</v>
      </c>
      <c r="G2907" s="53">
        <f>Tabla14[[#This Row],[Importe]]-Tabla14[[#This Row],[Pagado]]</f>
        <v>0</v>
      </c>
      <c r="H2907" s="37" t="s">
        <v>10</v>
      </c>
    </row>
    <row r="2908" spans="1:8" x14ac:dyDescent="0.25">
      <c r="A2908" s="31">
        <v>44646</v>
      </c>
      <c r="B2908" s="37" t="s">
        <v>10009</v>
      </c>
      <c r="C2908" s="51" t="s">
        <v>457</v>
      </c>
      <c r="D2908" s="52">
        <v>198</v>
      </c>
      <c r="E2908" s="35">
        <v>44647</v>
      </c>
      <c r="F2908" s="52">
        <v>198</v>
      </c>
      <c r="G2908" s="53">
        <f>Tabla14[[#This Row],[Importe]]-Tabla14[[#This Row],[Pagado]]</f>
        <v>0</v>
      </c>
      <c r="H2908" s="37" t="s">
        <v>10</v>
      </c>
    </row>
    <row r="2909" spans="1:8" x14ac:dyDescent="0.25">
      <c r="A2909" s="31">
        <v>44646</v>
      </c>
      <c r="B2909" s="37" t="s">
        <v>10010</v>
      </c>
      <c r="C2909" s="51" t="s">
        <v>461</v>
      </c>
      <c r="D2909" s="52">
        <v>394</v>
      </c>
      <c r="E2909" s="35">
        <v>44647</v>
      </c>
      <c r="F2909" s="52">
        <v>394</v>
      </c>
      <c r="G2909" s="53">
        <f>Tabla14[[#This Row],[Importe]]-Tabla14[[#This Row],[Pagado]]</f>
        <v>0</v>
      </c>
      <c r="H2909" s="37" t="s">
        <v>10</v>
      </c>
    </row>
    <row r="2910" spans="1:8" x14ac:dyDescent="0.25">
      <c r="A2910" s="31">
        <v>44646</v>
      </c>
      <c r="B2910" s="37" t="s">
        <v>10011</v>
      </c>
      <c r="C2910" s="51" t="s">
        <v>463</v>
      </c>
      <c r="D2910" s="52">
        <v>550</v>
      </c>
      <c r="E2910" s="35">
        <v>44650</v>
      </c>
      <c r="F2910" s="52">
        <v>550</v>
      </c>
      <c r="G2910" s="53">
        <f>Tabla14[[#This Row],[Importe]]-Tabla14[[#This Row],[Pagado]]</f>
        <v>0</v>
      </c>
      <c r="H2910" s="37" t="s">
        <v>10</v>
      </c>
    </row>
    <row r="2911" spans="1:8" x14ac:dyDescent="0.25">
      <c r="A2911" s="31">
        <v>44646</v>
      </c>
      <c r="B2911" s="37" t="s">
        <v>10012</v>
      </c>
      <c r="C2911" s="51" t="s">
        <v>31</v>
      </c>
      <c r="D2911" s="52">
        <v>258</v>
      </c>
      <c r="E2911" s="35">
        <v>44647</v>
      </c>
      <c r="F2911" s="52">
        <v>258</v>
      </c>
      <c r="G2911" s="53">
        <f>Tabla14[[#This Row],[Importe]]-Tabla14[[#This Row],[Pagado]]</f>
        <v>0</v>
      </c>
      <c r="H2911" s="37" t="s">
        <v>10</v>
      </c>
    </row>
    <row r="2912" spans="1:8" x14ac:dyDescent="0.25">
      <c r="A2912" s="31">
        <v>44646</v>
      </c>
      <c r="B2912" s="37" t="s">
        <v>10013</v>
      </c>
      <c r="C2912" s="51" t="s">
        <v>3823</v>
      </c>
      <c r="D2912" s="52">
        <v>0</v>
      </c>
      <c r="E2912" s="39" t="s">
        <v>189</v>
      </c>
      <c r="F2912" s="52">
        <v>0</v>
      </c>
      <c r="G2912" s="53">
        <f>Tabla14[[#This Row],[Importe]]-Tabla14[[#This Row],[Pagado]]</f>
        <v>0</v>
      </c>
      <c r="H2912" s="54" t="s">
        <v>10014</v>
      </c>
    </row>
    <row r="2913" spans="1:8" x14ac:dyDescent="0.25">
      <c r="A2913" s="31">
        <v>44646</v>
      </c>
      <c r="B2913" s="37" t="s">
        <v>10015</v>
      </c>
      <c r="C2913" s="51" t="s">
        <v>414</v>
      </c>
      <c r="D2913" s="52">
        <v>7878</v>
      </c>
      <c r="E2913" s="35">
        <v>44648</v>
      </c>
      <c r="F2913" s="52">
        <v>7878</v>
      </c>
      <c r="G2913" s="53">
        <f>Tabla14[[#This Row],[Importe]]-Tabla14[[#This Row],[Pagado]]</f>
        <v>0</v>
      </c>
      <c r="H2913" s="37" t="s">
        <v>10</v>
      </c>
    </row>
    <row r="2914" spans="1:8" x14ac:dyDescent="0.25">
      <c r="A2914" s="31">
        <v>44647</v>
      </c>
      <c r="B2914" s="37" t="s">
        <v>10016</v>
      </c>
      <c r="C2914" s="51" t="s">
        <v>857</v>
      </c>
      <c r="D2914" s="52">
        <v>931.6</v>
      </c>
      <c r="E2914" s="35">
        <v>44647</v>
      </c>
      <c r="F2914" s="52">
        <v>931.6</v>
      </c>
      <c r="G2914" s="53">
        <f>Tabla14[[#This Row],[Importe]]-Tabla14[[#This Row],[Pagado]]</f>
        <v>0</v>
      </c>
      <c r="H2914" s="37" t="s">
        <v>10</v>
      </c>
    </row>
    <row r="2915" spans="1:8" x14ac:dyDescent="0.25">
      <c r="A2915" s="31">
        <v>44647</v>
      </c>
      <c r="B2915" s="37" t="s">
        <v>10017</v>
      </c>
      <c r="C2915" s="51" t="s">
        <v>31</v>
      </c>
      <c r="D2915" s="52">
        <v>1467.8</v>
      </c>
      <c r="E2915" s="35">
        <v>44647</v>
      </c>
      <c r="F2915" s="52">
        <v>1467.8</v>
      </c>
      <c r="G2915" s="53">
        <f>Tabla14[[#This Row],[Importe]]-Tabla14[[#This Row],[Pagado]]</f>
        <v>0</v>
      </c>
      <c r="H2915" s="37" t="s">
        <v>10</v>
      </c>
    </row>
    <row r="2916" spans="1:8" x14ac:dyDescent="0.25">
      <c r="A2916" s="31">
        <v>44647</v>
      </c>
      <c r="B2916" s="37" t="s">
        <v>10018</v>
      </c>
      <c r="C2916" s="51" t="s">
        <v>31</v>
      </c>
      <c r="D2916" s="52">
        <v>5066</v>
      </c>
      <c r="E2916" s="35">
        <v>44647</v>
      </c>
      <c r="F2916" s="52">
        <v>5066</v>
      </c>
      <c r="G2916" s="53">
        <f>Tabla14[[#This Row],[Importe]]-Tabla14[[#This Row],[Pagado]]</f>
        <v>0</v>
      </c>
      <c r="H2916" s="37" t="s">
        <v>10</v>
      </c>
    </row>
    <row r="2917" spans="1:8" x14ac:dyDescent="0.25">
      <c r="A2917" s="31">
        <v>44647</v>
      </c>
      <c r="B2917" s="37" t="s">
        <v>10019</v>
      </c>
      <c r="C2917" s="51" t="s">
        <v>1187</v>
      </c>
      <c r="D2917" s="52">
        <v>2004.3</v>
      </c>
      <c r="E2917" s="35">
        <v>44647</v>
      </c>
      <c r="F2917" s="52">
        <v>2004.3</v>
      </c>
      <c r="G2917" s="53">
        <f>Tabla14[[#This Row],[Importe]]-Tabla14[[#This Row],[Pagado]]</f>
        <v>0</v>
      </c>
      <c r="H2917" s="37" t="s">
        <v>10</v>
      </c>
    </row>
    <row r="2918" spans="1:8" x14ac:dyDescent="0.25">
      <c r="A2918" s="31">
        <v>44647</v>
      </c>
      <c r="B2918" s="37" t="s">
        <v>10020</v>
      </c>
      <c r="C2918" s="51" t="s">
        <v>9</v>
      </c>
      <c r="D2918" s="52">
        <v>6995.3</v>
      </c>
      <c r="E2918" s="35">
        <v>44647</v>
      </c>
      <c r="F2918" s="52">
        <v>6995.3</v>
      </c>
      <c r="G2918" s="53">
        <f>Tabla14[[#This Row],[Importe]]-Tabla14[[#This Row],[Pagado]]</f>
        <v>0</v>
      </c>
      <c r="H2918" s="37" t="s">
        <v>10</v>
      </c>
    </row>
    <row r="2919" spans="1:8" x14ac:dyDescent="0.25">
      <c r="A2919" s="31">
        <v>44647</v>
      </c>
      <c r="B2919" s="37" t="s">
        <v>10021</v>
      </c>
      <c r="C2919" s="51" t="s">
        <v>12</v>
      </c>
      <c r="D2919" s="52">
        <v>56750.05</v>
      </c>
      <c r="E2919" s="35">
        <v>44647</v>
      </c>
      <c r="F2919" s="52">
        <v>56750.05</v>
      </c>
      <c r="G2919" s="53">
        <f>Tabla14[[#This Row],[Importe]]-Tabla14[[#This Row],[Pagado]]</f>
        <v>0</v>
      </c>
      <c r="H2919" s="37" t="s">
        <v>10</v>
      </c>
    </row>
    <row r="2920" spans="1:8" x14ac:dyDescent="0.25">
      <c r="A2920" s="31">
        <v>44647</v>
      </c>
      <c r="B2920" s="37" t="s">
        <v>10022</v>
      </c>
      <c r="C2920" s="51" t="s">
        <v>31</v>
      </c>
      <c r="D2920" s="52">
        <v>2454</v>
      </c>
      <c r="E2920" s="35">
        <v>44647</v>
      </c>
      <c r="F2920" s="52">
        <v>2454</v>
      </c>
      <c r="G2920" s="53">
        <f>Tabla14[[#This Row],[Importe]]-Tabla14[[#This Row],[Pagado]]</f>
        <v>0</v>
      </c>
      <c r="H2920" s="37" t="s">
        <v>10</v>
      </c>
    </row>
    <row r="2921" spans="1:8" ht="31.5" x14ac:dyDescent="0.25">
      <c r="A2921" s="31">
        <v>44647</v>
      </c>
      <c r="B2921" s="37" t="s">
        <v>10023</v>
      </c>
      <c r="C2921" s="51" t="s">
        <v>475</v>
      </c>
      <c r="D2921" s="52">
        <v>49632.1</v>
      </c>
      <c r="E2921" s="35" t="s">
        <v>10024</v>
      </c>
      <c r="F2921" s="52">
        <f>13500+36132.1</f>
        <v>49632.1</v>
      </c>
      <c r="G2921" s="53">
        <f>Tabla14[[#This Row],[Importe]]-Tabla14[[#This Row],[Pagado]]</f>
        <v>0</v>
      </c>
      <c r="H2921" s="37" t="s">
        <v>10</v>
      </c>
    </row>
    <row r="2922" spans="1:8" x14ac:dyDescent="0.25">
      <c r="A2922" s="31">
        <v>44647</v>
      </c>
      <c r="B2922" s="37" t="s">
        <v>10025</v>
      </c>
      <c r="C2922" s="51" t="s">
        <v>31</v>
      </c>
      <c r="D2922" s="52">
        <v>1884</v>
      </c>
      <c r="E2922" s="35">
        <v>44647</v>
      </c>
      <c r="F2922" s="52">
        <v>1884</v>
      </c>
      <c r="G2922" s="53">
        <f>Tabla14[[#This Row],[Importe]]-Tabla14[[#This Row],[Pagado]]</f>
        <v>0</v>
      </c>
      <c r="H2922" s="37" t="s">
        <v>10</v>
      </c>
    </row>
    <row r="2923" spans="1:8" x14ac:dyDescent="0.25">
      <c r="A2923" s="31">
        <v>44647</v>
      </c>
      <c r="B2923" s="37" t="s">
        <v>10026</v>
      </c>
      <c r="C2923" s="51" t="s">
        <v>16</v>
      </c>
      <c r="D2923" s="52">
        <v>9604</v>
      </c>
      <c r="E2923" s="35">
        <v>44647</v>
      </c>
      <c r="F2923" s="52">
        <v>9604</v>
      </c>
      <c r="G2923" s="53">
        <f>Tabla14[[#This Row],[Importe]]-Tabla14[[#This Row],[Pagado]]</f>
        <v>0</v>
      </c>
      <c r="H2923" s="37" t="s">
        <v>10</v>
      </c>
    </row>
    <row r="2924" spans="1:8" x14ac:dyDescent="0.25">
      <c r="A2924" s="31">
        <v>44647</v>
      </c>
      <c r="B2924" s="37" t="s">
        <v>10027</v>
      </c>
      <c r="C2924" s="51" t="s">
        <v>22</v>
      </c>
      <c r="D2924" s="52">
        <v>47844.3</v>
      </c>
      <c r="E2924" s="35">
        <v>44648</v>
      </c>
      <c r="F2924" s="52">
        <v>47844.3</v>
      </c>
      <c r="G2924" s="53">
        <f>Tabla14[[#This Row],[Importe]]-Tabla14[[#This Row],[Pagado]]</f>
        <v>0</v>
      </c>
      <c r="H2924" s="37" t="s">
        <v>10</v>
      </c>
    </row>
    <row r="2925" spans="1:8" x14ac:dyDescent="0.25">
      <c r="A2925" s="31">
        <v>44647</v>
      </c>
      <c r="B2925" s="37" t="s">
        <v>10028</v>
      </c>
      <c r="C2925" s="51" t="s">
        <v>27</v>
      </c>
      <c r="D2925" s="52">
        <v>3036.2</v>
      </c>
      <c r="E2925" s="35">
        <v>44647</v>
      </c>
      <c r="F2925" s="52">
        <v>3036.2</v>
      </c>
      <c r="G2925" s="53">
        <f>Tabla14[[#This Row],[Importe]]-Tabla14[[#This Row],[Pagado]]</f>
        <v>0</v>
      </c>
      <c r="H2925" s="37" t="s">
        <v>10</v>
      </c>
    </row>
    <row r="2926" spans="1:8" x14ac:dyDescent="0.25">
      <c r="A2926" s="31">
        <v>44647</v>
      </c>
      <c r="B2926" s="37" t="s">
        <v>10029</v>
      </c>
      <c r="C2926" s="51" t="s">
        <v>20</v>
      </c>
      <c r="D2926" s="52">
        <v>6305.6</v>
      </c>
      <c r="E2926" s="35">
        <v>44647</v>
      </c>
      <c r="F2926" s="52">
        <v>6305.6</v>
      </c>
      <c r="G2926" s="53">
        <f>Tabla14[[#This Row],[Importe]]-Tabla14[[#This Row],[Pagado]]</f>
        <v>0</v>
      </c>
      <c r="H2926" s="37" t="s">
        <v>10</v>
      </c>
    </row>
    <row r="2927" spans="1:8" x14ac:dyDescent="0.25">
      <c r="A2927" s="31">
        <v>44647</v>
      </c>
      <c r="B2927" s="37" t="s">
        <v>10030</v>
      </c>
      <c r="C2927" s="51" t="s">
        <v>47</v>
      </c>
      <c r="D2927" s="52">
        <v>49274.6</v>
      </c>
      <c r="E2927" s="35">
        <v>44647</v>
      </c>
      <c r="F2927" s="52">
        <v>49274.6</v>
      </c>
      <c r="G2927" s="53">
        <f>Tabla14[[#This Row],[Importe]]-Tabla14[[#This Row],[Pagado]]</f>
        <v>0</v>
      </c>
      <c r="H2927" s="37" t="s">
        <v>10</v>
      </c>
    </row>
    <row r="2928" spans="1:8" x14ac:dyDescent="0.25">
      <c r="A2928" s="31">
        <v>44647</v>
      </c>
      <c r="B2928" s="37" t="s">
        <v>10031</v>
      </c>
      <c r="C2928" s="51" t="s">
        <v>226</v>
      </c>
      <c r="D2928" s="52">
        <v>8964</v>
      </c>
      <c r="E2928" s="35">
        <v>44647</v>
      </c>
      <c r="F2928" s="52">
        <v>8964</v>
      </c>
      <c r="G2928" s="53">
        <f>Tabla14[[#This Row],[Importe]]-Tabla14[[#This Row],[Pagado]]</f>
        <v>0</v>
      </c>
      <c r="H2928" s="37" t="s">
        <v>10</v>
      </c>
    </row>
    <row r="2929" spans="1:8" x14ac:dyDescent="0.25">
      <c r="A2929" s="31">
        <v>44647</v>
      </c>
      <c r="B2929" s="37" t="s">
        <v>10032</v>
      </c>
      <c r="C2929" s="51" t="s">
        <v>45</v>
      </c>
      <c r="D2929" s="52">
        <v>3552</v>
      </c>
      <c r="E2929" s="35">
        <v>44647</v>
      </c>
      <c r="F2929" s="52">
        <v>3552</v>
      </c>
      <c r="G2929" s="53">
        <f>Tabla14[[#This Row],[Importe]]-Tabla14[[#This Row],[Pagado]]</f>
        <v>0</v>
      </c>
      <c r="H2929" s="37" t="s">
        <v>10</v>
      </c>
    </row>
    <row r="2930" spans="1:8" x14ac:dyDescent="0.25">
      <c r="A2930" s="31">
        <v>44647</v>
      </c>
      <c r="B2930" s="37" t="s">
        <v>10033</v>
      </c>
      <c r="C2930" s="51" t="s">
        <v>49</v>
      </c>
      <c r="D2930" s="52">
        <v>4283.2</v>
      </c>
      <c r="E2930" s="35">
        <v>44647</v>
      </c>
      <c r="F2930" s="52">
        <v>4283.2</v>
      </c>
      <c r="G2930" s="53">
        <f>Tabla14[[#This Row],[Importe]]-Tabla14[[#This Row],[Pagado]]</f>
        <v>0</v>
      </c>
      <c r="H2930" s="37" t="s">
        <v>10</v>
      </c>
    </row>
    <row r="2931" spans="1:8" x14ac:dyDescent="0.25">
      <c r="A2931" s="31">
        <v>44647</v>
      </c>
      <c r="B2931" s="37" t="s">
        <v>10034</v>
      </c>
      <c r="C2931" s="51" t="s">
        <v>29</v>
      </c>
      <c r="D2931" s="52">
        <v>6307.2</v>
      </c>
      <c r="E2931" s="35">
        <v>44647</v>
      </c>
      <c r="F2931" s="52">
        <v>6307.2</v>
      </c>
      <c r="G2931" s="53">
        <f>Tabla14[[#This Row],[Importe]]-Tabla14[[#This Row],[Pagado]]</f>
        <v>0</v>
      </c>
      <c r="H2931" s="37" t="s">
        <v>10</v>
      </c>
    </row>
    <row r="2932" spans="1:8" x14ac:dyDescent="0.25">
      <c r="A2932" s="31">
        <v>44647</v>
      </c>
      <c r="B2932" s="37" t="s">
        <v>10035</v>
      </c>
      <c r="C2932" s="51" t="s">
        <v>481</v>
      </c>
      <c r="D2932" s="52">
        <v>1172.5</v>
      </c>
      <c r="E2932" s="35">
        <v>44647</v>
      </c>
      <c r="F2932" s="52">
        <v>1172.5</v>
      </c>
      <c r="G2932" s="53">
        <f>Tabla14[[#This Row],[Importe]]-Tabla14[[#This Row],[Pagado]]</f>
        <v>0</v>
      </c>
      <c r="H2932" s="37" t="s">
        <v>10</v>
      </c>
    </row>
    <row r="2933" spans="1:8" x14ac:dyDescent="0.25">
      <c r="A2933" s="31">
        <v>44647</v>
      </c>
      <c r="B2933" s="37" t="s">
        <v>10036</v>
      </c>
      <c r="C2933" s="51" t="s">
        <v>33</v>
      </c>
      <c r="D2933" s="52">
        <v>9018</v>
      </c>
      <c r="E2933" s="35">
        <v>44647</v>
      </c>
      <c r="F2933" s="52">
        <v>9018</v>
      </c>
      <c r="G2933" s="53">
        <f>Tabla14[[#This Row],[Importe]]-Tabla14[[#This Row],[Pagado]]</f>
        <v>0</v>
      </c>
      <c r="H2933" s="37" t="s">
        <v>10</v>
      </c>
    </row>
    <row r="2934" spans="1:8" x14ac:dyDescent="0.25">
      <c r="A2934" s="31">
        <v>44647</v>
      </c>
      <c r="B2934" s="37" t="s">
        <v>10037</v>
      </c>
      <c r="C2934" s="51" t="s">
        <v>840</v>
      </c>
      <c r="D2934" s="52">
        <v>1524.32</v>
      </c>
      <c r="E2934" s="35">
        <v>44647</v>
      </c>
      <c r="F2934" s="52">
        <v>1524.32</v>
      </c>
      <c r="G2934" s="53">
        <f>Tabla14[[#This Row],[Importe]]-Tabla14[[#This Row],[Pagado]]</f>
        <v>0</v>
      </c>
      <c r="H2934" s="37" t="s">
        <v>10</v>
      </c>
    </row>
    <row r="2935" spans="1:8" x14ac:dyDescent="0.25">
      <c r="A2935" s="31">
        <v>44647</v>
      </c>
      <c r="B2935" s="37" t="s">
        <v>10038</v>
      </c>
      <c r="C2935" s="51" t="s">
        <v>419</v>
      </c>
      <c r="D2935" s="52">
        <v>6310</v>
      </c>
      <c r="E2935" s="35">
        <v>44647</v>
      </c>
      <c r="F2935" s="52">
        <v>6310</v>
      </c>
      <c r="G2935" s="53">
        <f>Tabla14[[#This Row],[Importe]]-Tabla14[[#This Row],[Pagado]]</f>
        <v>0</v>
      </c>
      <c r="H2935" s="37" t="s">
        <v>10</v>
      </c>
    </row>
    <row r="2936" spans="1:8" x14ac:dyDescent="0.25">
      <c r="A2936" s="31">
        <v>44647</v>
      </c>
      <c r="B2936" s="37" t="s">
        <v>10039</v>
      </c>
      <c r="C2936" s="51" t="s">
        <v>31</v>
      </c>
      <c r="D2936" s="52">
        <v>2037.3</v>
      </c>
      <c r="E2936" s="35">
        <v>44647</v>
      </c>
      <c r="F2936" s="52">
        <v>2037.3</v>
      </c>
      <c r="G2936" s="53">
        <f>Tabla14[[#This Row],[Importe]]-Tabla14[[#This Row],[Pagado]]</f>
        <v>0</v>
      </c>
      <c r="H2936" s="37" t="s">
        <v>10</v>
      </c>
    </row>
    <row r="2937" spans="1:8" x14ac:dyDescent="0.25">
      <c r="A2937" s="31">
        <v>44647</v>
      </c>
      <c r="B2937" s="37" t="s">
        <v>10040</v>
      </c>
      <c r="C2937" s="51" t="s">
        <v>37</v>
      </c>
      <c r="D2937" s="52">
        <v>2674.6</v>
      </c>
      <c r="E2937" s="35">
        <v>44647</v>
      </c>
      <c r="F2937" s="52">
        <v>2674.6</v>
      </c>
      <c r="G2937" s="53">
        <f>Tabla14[[#This Row],[Importe]]-Tabla14[[#This Row],[Pagado]]</f>
        <v>0</v>
      </c>
      <c r="H2937" s="37" t="s">
        <v>10</v>
      </c>
    </row>
    <row r="2938" spans="1:8" x14ac:dyDescent="0.25">
      <c r="A2938" s="31">
        <v>44647</v>
      </c>
      <c r="B2938" s="37" t="s">
        <v>10041</v>
      </c>
      <c r="C2938" s="51" t="s">
        <v>373</v>
      </c>
      <c r="D2938" s="52">
        <v>1311</v>
      </c>
      <c r="E2938" s="35">
        <v>44647</v>
      </c>
      <c r="F2938" s="52">
        <v>1311</v>
      </c>
      <c r="G2938" s="53">
        <f>Tabla14[[#This Row],[Importe]]-Tabla14[[#This Row],[Pagado]]</f>
        <v>0</v>
      </c>
      <c r="H2938" s="37" t="s">
        <v>10</v>
      </c>
    </row>
    <row r="2939" spans="1:8" x14ac:dyDescent="0.25">
      <c r="A2939" s="31">
        <v>44647</v>
      </c>
      <c r="B2939" s="37" t="s">
        <v>10042</v>
      </c>
      <c r="C2939" s="51" t="s">
        <v>3971</v>
      </c>
      <c r="D2939" s="52">
        <v>700</v>
      </c>
      <c r="E2939" s="35">
        <v>44647</v>
      </c>
      <c r="F2939" s="52">
        <v>700</v>
      </c>
      <c r="G2939" s="53">
        <f>Tabla14[[#This Row],[Importe]]-Tabla14[[#This Row],[Pagado]]</f>
        <v>0</v>
      </c>
      <c r="H2939" s="37" t="s">
        <v>10</v>
      </c>
    </row>
    <row r="2940" spans="1:8" x14ac:dyDescent="0.25">
      <c r="A2940" s="31">
        <v>44647</v>
      </c>
      <c r="B2940" s="37" t="s">
        <v>10043</v>
      </c>
      <c r="C2940" s="51" t="s">
        <v>24</v>
      </c>
      <c r="D2940" s="52">
        <v>1541.6</v>
      </c>
      <c r="E2940" s="35">
        <v>44647</v>
      </c>
      <c r="F2940" s="52">
        <v>1541.6</v>
      </c>
      <c r="G2940" s="53">
        <f>Tabla14[[#This Row],[Importe]]-Tabla14[[#This Row],[Pagado]]</f>
        <v>0</v>
      </c>
      <c r="H2940" s="37" t="s">
        <v>10</v>
      </c>
    </row>
    <row r="2941" spans="1:8" x14ac:dyDescent="0.25">
      <c r="A2941" s="31">
        <v>44647</v>
      </c>
      <c r="B2941" s="37" t="s">
        <v>10044</v>
      </c>
      <c r="C2941" s="51" t="s">
        <v>18</v>
      </c>
      <c r="D2941" s="52">
        <v>1516.3</v>
      </c>
      <c r="E2941" s="35">
        <v>44647</v>
      </c>
      <c r="F2941" s="52">
        <v>1516.3</v>
      </c>
      <c r="G2941" s="53">
        <f>Tabla14[[#This Row],[Importe]]-Tabla14[[#This Row],[Pagado]]</f>
        <v>0</v>
      </c>
      <c r="H2941" s="37" t="s">
        <v>10</v>
      </c>
    </row>
    <row r="2942" spans="1:8" x14ac:dyDescent="0.25">
      <c r="A2942" s="31">
        <v>44647</v>
      </c>
      <c r="B2942" s="37" t="s">
        <v>10045</v>
      </c>
      <c r="C2942" s="51" t="s">
        <v>56</v>
      </c>
      <c r="D2942" s="52">
        <v>7162.6</v>
      </c>
      <c r="E2942" s="35">
        <v>44647</v>
      </c>
      <c r="F2942" s="52">
        <v>7162.6</v>
      </c>
      <c r="G2942" s="53">
        <f>Tabla14[[#This Row],[Importe]]-Tabla14[[#This Row],[Pagado]]</f>
        <v>0</v>
      </c>
      <c r="H2942" s="37" t="s">
        <v>10</v>
      </c>
    </row>
    <row r="2943" spans="1:8" x14ac:dyDescent="0.25">
      <c r="A2943" s="31">
        <v>44647</v>
      </c>
      <c r="B2943" s="37" t="s">
        <v>10046</v>
      </c>
      <c r="C2943" s="51" t="s">
        <v>24</v>
      </c>
      <c r="D2943" s="52">
        <v>2850</v>
      </c>
      <c r="E2943" s="35">
        <v>44647</v>
      </c>
      <c r="F2943" s="52">
        <v>2850</v>
      </c>
      <c r="G2943" s="53">
        <f>Tabla14[[#This Row],[Importe]]-Tabla14[[#This Row],[Pagado]]</f>
        <v>0</v>
      </c>
      <c r="H2943" s="37" t="s">
        <v>10</v>
      </c>
    </row>
    <row r="2944" spans="1:8" x14ac:dyDescent="0.25">
      <c r="A2944" s="31">
        <v>44647</v>
      </c>
      <c r="B2944" s="37" t="s">
        <v>10047</v>
      </c>
      <c r="C2944" s="51" t="s">
        <v>216</v>
      </c>
      <c r="D2944" s="52">
        <v>2062.8000000000002</v>
      </c>
      <c r="E2944" s="35">
        <v>44647</v>
      </c>
      <c r="F2944" s="52">
        <v>2062.8000000000002</v>
      </c>
      <c r="G2944" s="53">
        <f>Tabla14[[#This Row],[Importe]]-Tabla14[[#This Row],[Pagado]]</f>
        <v>0</v>
      </c>
      <c r="H2944" s="37" t="s">
        <v>10</v>
      </c>
    </row>
    <row r="2945" spans="1:8" x14ac:dyDescent="0.25">
      <c r="A2945" s="31">
        <v>44647</v>
      </c>
      <c r="B2945" s="37" t="s">
        <v>10048</v>
      </c>
      <c r="C2945" s="51" t="s">
        <v>382</v>
      </c>
      <c r="D2945" s="52">
        <v>6696</v>
      </c>
      <c r="E2945" s="35">
        <v>44647</v>
      </c>
      <c r="F2945" s="52">
        <v>6696</v>
      </c>
      <c r="G2945" s="53">
        <f>Tabla14[[#This Row],[Importe]]-Tabla14[[#This Row],[Pagado]]</f>
        <v>0</v>
      </c>
      <c r="H2945" s="37" t="s">
        <v>10</v>
      </c>
    </row>
    <row r="2946" spans="1:8" x14ac:dyDescent="0.25">
      <c r="A2946" s="31">
        <v>44647</v>
      </c>
      <c r="B2946" s="37" t="s">
        <v>10049</v>
      </c>
      <c r="C2946" s="51" t="s">
        <v>31</v>
      </c>
      <c r="D2946" s="52">
        <v>523.79999999999995</v>
      </c>
      <c r="E2946" s="35">
        <v>44647</v>
      </c>
      <c r="F2946" s="52">
        <v>523.79999999999995</v>
      </c>
      <c r="G2946" s="53">
        <f>Tabla14[[#This Row],[Importe]]-Tabla14[[#This Row],[Pagado]]</f>
        <v>0</v>
      </c>
      <c r="H2946" s="37" t="s">
        <v>10</v>
      </c>
    </row>
    <row r="2947" spans="1:8" x14ac:dyDescent="0.25">
      <c r="A2947" s="31">
        <v>44647</v>
      </c>
      <c r="B2947" s="37" t="s">
        <v>10050</v>
      </c>
      <c r="C2947" s="51" t="s">
        <v>289</v>
      </c>
      <c r="D2947" s="52">
        <v>8737.2000000000007</v>
      </c>
      <c r="E2947" s="35">
        <v>44647</v>
      </c>
      <c r="F2947" s="52">
        <v>8737.2000000000007</v>
      </c>
      <c r="G2947" s="53">
        <f>Tabla14[[#This Row],[Importe]]-Tabla14[[#This Row],[Pagado]]</f>
        <v>0</v>
      </c>
      <c r="H2947" s="37" t="s">
        <v>10</v>
      </c>
    </row>
    <row r="2948" spans="1:8" x14ac:dyDescent="0.25">
      <c r="A2948" s="31">
        <v>44647</v>
      </c>
      <c r="B2948" s="37" t="s">
        <v>10051</v>
      </c>
      <c r="C2948" s="51" t="s">
        <v>58</v>
      </c>
      <c r="D2948" s="52">
        <v>4164</v>
      </c>
      <c r="E2948" s="35">
        <v>44647</v>
      </c>
      <c r="F2948" s="52">
        <v>4164</v>
      </c>
      <c r="G2948" s="53">
        <f>Tabla14[[#This Row],[Importe]]-Tabla14[[#This Row],[Pagado]]</f>
        <v>0</v>
      </c>
      <c r="H2948" s="37" t="s">
        <v>10</v>
      </c>
    </row>
    <row r="2949" spans="1:8" x14ac:dyDescent="0.25">
      <c r="A2949" s="31">
        <v>44647</v>
      </c>
      <c r="B2949" s="37" t="s">
        <v>10052</v>
      </c>
      <c r="C2949" s="51" t="s">
        <v>2139</v>
      </c>
      <c r="D2949" s="52">
        <v>660</v>
      </c>
      <c r="E2949" s="35">
        <v>44647</v>
      </c>
      <c r="F2949" s="52">
        <v>660</v>
      </c>
      <c r="G2949" s="53">
        <f>Tabla14[[#This Row],[Importe]]-Tabla14[[#This Row],[Pagado]]</f>
        <v>0</v>
      </c>
      <c r="H2949" s="37" t="s">
        <v>10</v>
      </c>
    </row>
    <row r="2950" spans="1:8" x14ac:dyDescent="0.25">
      <c r="A2950" s="31">
        <v>44647</v>
      </c>
      <c r="B2950" s="37" t="s">
        <v>10053</v>
      </c>
      <c r="C2950" s="51" t="s">
        <v>214</v>
      </c>
      <c r="D2950" s="52">
        <v>1015.2</v>
      </c>
      <c r="E2950" s="35">
        <v>44647</v>
      </c>
      <c r="F2950" s="52">
        <v>1015.2</v>
      </c>
      <c r="G2950" s="53">
        <f>Tabla14[[#This Row],[Importe]]-Tabla14[[#This Row],[Pagado]]</f>
        <v>0</v>
      </c>
      <c r="H2950" s="37" t="s">
        <v>10</v>
      </c>
    </row>
    <row r="2951" spans="1:8" x14ac:dyDescent="0.25">
      <c r="A2951" s="31">
        <v>44647</v>
      </c>
      <c r="B2951" s="37" t="s">
        <v>10054</v>
      </c>
      <c r="C2951" s="51" t="s">
        <v>1339</v>
      </c>
      <c r="D2951" s="52">
        <v>293.8</v>
      </c>
      <c r="E2951" s="35">
        <v>44647</v>
      </c>
      <c r="F2951" s="52">
        <v>293.8</v>
      </c>
      <c r="G2951" s="53">
        <f>Tabla14[[#This Row],[Importe]]-Tabla14[[#This Row],[Pagado]]</f>
        <v>0</v>
      </c>
      <c r="H2951" s="37" t="s">
        <v>10</v>
      </c>
    </row>
    <row r="2952" spans="1:8" x14ac:dyDescent="0.25">
      <c r="A2952" s="31">
        <v>44647</v>
      </c>
      <c r="B2952" s="37" t="s">
        <v>10055</v>
      </c>
      <c r="C2952" s="51" t="s">
        <v>670</v>
      </c>
      <c r="D2952" s="52">
        <v>3448.5</v>
      </c>
      <c r="E2952" s="35">
        <v>44647</v>
      </c>
      <c r="F2952" s="52">
        <v>3448.5</v>
      </c>
      <c r="G2952" s="53">
        <f>Tabla14[[#This Row],[Importe]]-Tabla14[[#This Row],[Pagado]]</f>
        <v>0</v>
      </c>
      <c r="H2952" s="37" t="s">
        <v>10</v>
      </c>
    </row>
    <row r="2953" spans="1:8" x14ac:dyDescent="0.25">
      <c r="A2953" s="31">
        <v>44647</v>
      </c>
      <c r="B2953" s="37" t="s">
        <v>10056</v>
      </c>
      <c r="C2953" s="51" t="s">
        <v>244</v>
      </c>
      <c r="D2953" s="52">
        <v>1724.8</v>
      </c>
      <c r="E2953" s="35">
        <v>44647</v>
      </c>
      <c r="F2953" s="52">
        <v>1724.8</v>
      </c>
      <c r="G2953" s="53">
        <f>Tabla14[[#This Row],[Importe]]-Tabla14[[#This Row],[Pagado]]</f>
        <v>0</v>
      </c>
      <c r="H2953" s="37" t="s">
        <v>10</v>
      </c>
    </row>
    <row r="2954" spans="1:8" x14ac:dyDescent="0.25">
      <c r="A2954" s="31">
        <v>44647</v>
      </c>
      <c r="B2954" s="37" t="s">
        <v>10057</v>
      </c>
      <c r="C2954" s="51" t="s">
        <v>67</v>
      </c>
      <c r="D2954" s="52">
        <v>2633.6</v>
      </c>
      <c r="E2954" s="35">
        <v>44647</v>
      </c>
      <c r="F2954" s="52">
        <v>2633.6</v>
      </c>
      <c r="G2954" s="53">
        <f>Tabla14[[#This Row],[Importe]]-Tabla14[[#This Row],[Pagado]]</f>
        <v>0</v>
      </c>
      <c r="H2954" s="37" t="s">
        <v>10</v>
      </c>
    </row>
    <row r="2955" spans="1:8" x14ac:dyDescent="0.25">
      <c r="A2955" s="31">
        <v>44647</v>
      </c>
      <c r="B2955" s="37" t="s">
        <v>10058</v>
      </c>
      <c r="C2955" s="51" t="s">
        <v>53</v>
      </c>
      <c r="D2955" s="52">
        <v>918.5</v>
      </c>
      <c r="E2955" s="35">
        <v>44647</v>
      </c>
      <c r="F2955" s="52">
        <v>918.5</v>
      </c>
      <c r="G2955" s="53">
        <f>Tabla14[[#This Row],[Importe]]-Tabla14[[#This Row],[Pagado]]</f>
        <v>0</v>
      </c>
      <c r="H2955" s="37" t="s">
        <v>10</v>
      </c>
    </row>
    <row r="2956" spans="1:8" x14ac:dyDescent="0.25">
      <c r="A2956" s="31">
        <v>44647</v>
      </c>
      <c r="B2956" s="37" t="s">
        <v>10059</v>
      </c>
      <c r="C2956" s="51" t="s">
        <v>71</v>
      </c>
      <c r="D2956" s="52">
        <v>1676.9</v>
      </c>
      <c r="E2956" s="35">
        <v>44647</v>
      </c>
      <c r="F2956" s="52">
        <v>1676.9</v>
      </c>
      <c r="G2956" s="53">
        <f>Tabla14[[#This Row],[Importe]]-Tabla14[[#This Row],[Pagado]]</f>
        <v>0</v>
      </c>
      <c r="H2956" s="37" t="s">
        <v>10</v>
      </c>
    </row>
    <row r="2957" spans="1:8" x14ac:dyDescent="0.25">
      <c r="A2957" s="31">
        <v>44647</v>
      </c>
      <c r="B2957" s="37" t="s">
        <v>10060</v>
      </c>
      <c r="C2957" s="51" t="s">
        <v>71</v>
      </c>
      <c r="D2957" s="52">
        <v>348.4</v>
      </c>
      <c r="E2957" s="35">
        <v>44647</v>
      </c>
      <c r="F2957" s="52">
        <v>348.4</v>
      </c>
      <c r="G2957" s="53">
        <f>Tabla14[[#This Row],[Importe]]-Tabla14[[#This Row],[Pagado]]</f>
        <v>0</v>
      </c>
      <c r="H2957" s="37" t="s">
        <v>10</v>
      </c>
    </row>
    <row r="2958" spans="1:8" x14ac:dyDescent="0.25">
      <c r="A2958" s="31">
        <v>44647</v>
      </c>
      <c r="B2958" s="37" t="s">
        <v>10061</v>
      </c>
      <c r="C2958" s="51" t="s">
        <v>56</v>
      </c>
      <c r="D2958" s="52">
        <v>3716.9</v>
      </c>
      <c r="E2958" s="35">
        <v>44647</v>
      </c>
      <c r="F2958" s="52">
        <v>3716.9</v>
      </c>
      <c r="G2958" s="53">
        <f>Tabla14[[#This Row],[Importe]]-Tabla14[[#This Row],[Pagado]]</f>
        <v>0</v>
      </c>
      <c r="H2958" s="37" t="s">
        <v>10</v>
      </c>
    </row>
    <row r="2959" spans="1:8" x14ac:dyDescent="0.25">
      <c r="A2959" s="31">
        <v>44647</v>
      </c>
      <c r="B2959" s="37" t="s">
        <v>10062</v>
      </c>
      <c r="C2959" s="51" t="s">
        <v>475</v>
      </c>
      <c r="D2959" s="52">
        <v>23470.2</v>
      </c>
      <c r="E2959" s="35">
        <v>44648</v>
      </c>
      <c r="F2959" s="52">
        <v>23470.2</v>
      </c>
      <c r="G2959" s="53">
        <f>Tabla14[[#This Row],[Importe]]-Tabla14[[#This Row],[Pagado]]</f>
        <v>0</v>
      </c>
      <c r="H2959" s="37" t="s">
        <v>10</v>
      </c>
    </row>
    <row r="2960" spans="1:8" x14ac:dyDescent="0.25">
      <c r="A2960" s="31">
        <v>44647</v>
      </c>
      <c r="B2960" s="37" t="s">
        <v>10063</v>
      </c>
      <c r="C2960" s="51" t="s">
        <v>196</v>
      </c>
      <c r="D2960" s="52">
        <v>2696.4</v>
      </c>
      <c r="E2960" s="35">
        <v>44652</v>
      </c>
      <c r="F2960" s="52">
        <v>2696.4</v>
      </c>
      <c r="G2960" s="53">
        <f>Tabla14[[#This Row],[Importe]]-Tabla14[[#This Row],[Pagado]]</f>
        <v>0</v>
      </c>
      <c r="H2960" s="37" t="s">
        <v>10</v>
      </c>
    </row>
    <row r="2961" spans="1:8" x14ac:dyDescent="0.25">
      <c r="A2961" s="31">
        <v>44647</v>
      </c>
      <c r="B2961" s="37" t="s">
        <v>10064</v>
      </c>
      <c r="C2961" s="51" t="s">
        <v>16</v>
      </c>
      <c r="D2961" s="52">
        <v>1908.7</v>
      </c>
      <c r="E2961" s="35">
        <v>44647</v>
      </c>
      <c r="F2961" s="52">
        <v>1908.7</v>
      </c>
      <c r="G2961" s="53">
        <f>Tabla14[[#This Row],[Importe]]-Tabla14[[#This Row],[Pagado]]</f>
        <v>0</v>
      </c>
      <c r="H2961" s="37" t="s">
        <v>10</v>
      </c>
    </row>
    <row r="2962" spans="1:8" x14ac:dyDescent="0.25">
      <c r="A2962" s="31">
        <v>44647</v>
      </c>
      <c r="B2962" s="37" t="s">
        <v>10065</v>
      </c>
      <c r="C2962" s="51" t="s">
        <v>196</v>
      </c>
      <c r="D2962" s="52">
        <v>7911.2</v>
      </c>
      <c r="E2962" s="35">
        <v>44652</v>
      </c>
      <c r="F2962" s="52">
        <v>7911.2</v>
      </c>
      <c r="G2962" s="53">
        <f>Tabla14[[#This Row],[Importe]]-Tabla14[[#This Row],[Pagado]]</f>
        <v>0</v>
      </c>
      <c r="H2962" s="37" t="s">
        <v>10</v>
      </c>
    </row>
    <row r="2963" spans="1:8" x14ac:dyDescent="0.25">
      <c r="A2963" s="31">
        <v>44647</v>
      </c>
      <c r="B2963" s="37" t="s">
        <v>10066</v>
      </c>
      <c r="C2963" s="51" t="s">
        <v>31</v>
      </c>
      <c r="D2963" s="52">
        <v>2259.9</v>
      </c>
      <c r="E2963" s="35">
        <v>44647</v>
      </c>
      <c r="F2963" s="52">
        <v>2259.9</v>
      </c>
      <c r="G2963" s="53">
        <f>Tabla14[[#This Row],[Importe]]-Tabla14[[#This Row],[Pagado]]</f>
        <v>0</v>
      </c>
      <c r="H2963" s="37" t="s">
        <v>10</v>
      </c>
    </row>
    <row r="2964" spans="1:8" x14ac:dyDescent="0.25">
      <c r="A2964" s="31">
        <v>44647</v>
      </c>
      <c r="B2964" s="37" t="s">
        <v>10067</v>
      </c>
      <c r="C2964" s="51" t="s">
        <v>2139</v>
      </c>
      <c r="D2964" s="52">
        <v>5314.4</v>
      </c>
      <c r="E2964" s="35">
        <v>44647</v>
      </c>
      <c r="F2964" s="52">
        <v>5314.4</v>
      </c>
      <c r="G2964" s="53">
        <f>Tabla14[[#This Row],[Importe]]-Tabla14[[#This Row],[Pagado]]</f>
        <v>0</v>
      </c>
      <c r="H2964" s="37" t="s">
        <v>10</v>
      </c>
    </row>
    <row r="2965" spans="1:8" x14ac:dyDescent="0.25">
      <c r="A2965" s="31">
        <v>44647</v>
      </c>
      <c r="B2965" s="37" t="s">
        <v>10068</v>
      </c>
      <c r="C2965" s="51" t="s">
        <v>31</v>
      </c>
      <c r="D2965" s="52">
        <v>80</v>
      </c>
      <c r="E2965" s="35">
        <v>44647</v>
      </c>
      <c r="F2965" s="52">
        <v>80</v>
      </c>
      <c r="G2965" s="53">
        <f>Tabla14[[#This Row],[Importe]]-Tabla14[[#This Row],[Pagado]]</f>
        <v>0</v>
      </c>
      <c r="H2965" s="37" t="s">
        <v>10</v>
      </c>
    </row>
    <row r="2966" spans="1:8" x14ac:dyDescent="0.25">
      <c r="A2966" s="31">
        <v>44647</v>
      </c>
      <c r="B2966" s="37" t="s">
        <v>10069</v>
      </c>
      <c r="C2966" s="51" t="s">
        <v>12</v>
      </c>
      <c r="D2966" s="52">
        <v>418</v>
      </c>
      <c r="E2966" s="35">
        <v>44647</v>
      </c>
      <c r="F2966" s="52">
        <v>418</v>
      </c>
      <c r="G2966" s="53">
        <f>Tabla14[[#This Row],[Importe]]-Tabla14[[#This Row],[Pagado]]</f>
        <v>0</v>
      </c>
      <c r="H2966" s="37" t="s">
        <v>10</v>
      </c>
    </row>
    <row r="2967" spans="1:8" x14ac:dyDescent="0.25">
      <c r="A2967" s="31">
        <v>44648</v>
      </c>
      <c r="B2967" s="37" t="s">
        <v>10070</v>
      </c>
      <c r="C2967" s="51" t="s">
        <v>481</v>
      </c>
      <c r="D2967" s="52">
        <v>914.5</v>
      </c>
      <c r="E2967" s="35">
        <v>44648</v>
      </c>
      <c r="F2967" s="52">
        <v>914.5</v>
      </c>
      <c r="G2967" s="53">
        <f>Tabla14[[#This Row],[Importe]]-Tabla14[[#This Row],[Pagado]]</f>
        <v>0</v>
      </c>
      <c r="H2967" s="37" t="s">
        <v>10</v>
      </c>
    </row>
    <row r="2968" spans="1:8" ht="31.5" x14ac:dyDescent="0.25">
      <c r="A2968" s="31">
        <v>44648</v>
      </c>
      <c r="B2968" s="37" t="s">
        <v>10071</v>
      </c>
      <c r="C2968" s="51" t="s">
        <v>475</v>
      </c>
      <c r="D2968" s="52">
        <v>76210.899999999994</v>
      </c>
      <c r="E2968" s="35" t="s">
        <v>10072</v>
      </c>
      <c r="F2968" s="52">
        <f>64000+12210.9</f>
        <v>76210.899999999994</v>
      </c>
      <c r="G2968" s="53">
        <f>Tabla14[[#This Row],[Importe]]-Tabla14[[#This Row],[Pagado]]</f>
        <v>0</v>
      </c>
      <c r="H2968" s="37" t="s">
        <v>10</v>
      </c>
    </row>
    <row r="2969" spans="1:8" x14ac:dyDescent="0.25">
      <c r="A2969" s="31">
        <v>44648</v>
      </c>
      <c r="B2969" s="37" t="s">
        <v>10073</v>
      </c>
      <c r="C2969" s="51" t="s">
        <v>131</v>
      </c>
      <c r="D2969" s="52">
        <v>7992.4</v>
      </c>
      <c r="E2969" s="35">
        <v>44648</v>
      </c>
      <c r="F2969" s="52">
        <v>7992.4</v>
      </c>
      <c r="G2969" s="53">
        <f>Tabla14[[#This Row],[Importe]]-Tabla14[[#This Row],[Pagado]]</f>
        <v>0</v>
      </c>
      <c r="H2969" s="37" t="s">
        <v>10</v>
      </c>
    </row>
    <row r="2970" spans="1:8" x14ac:dyDescent="0.25">
      <c r="A2970" s="31">
        <v>44648</v>
      </c>
      <c r="B2970" s="37" t="s">
        <v>10074</v>
      </c>
      <c r="C2970" s="51" t="s">
        <v>275</v>
      </c>
      <c r="D2970" s="52">
        <v>44298.6</v>
      </c>
      <c r="E2970" s="35">
        <v>44659</v>
      </c>
      <c r="F2970" s="52">
        <v>44298.6</v>
      </c>
      <c r="G2970" s="53">
        <f>Tabla14[[#This Row],[Importe]]-Tabla14[[#This Row],[Pagado]]</f>
        <v>0</v>
      </c>
      <c r="H2970" s="37" t="s">
        <v>10</v>
      </c>
    </row>
    <row r="2971" spans="1:8" x14ac:dyDescent="0.25">
      <c r="A2971" s="31">
        <v>44648</v>
      </c>
      <c r="B2971" s="37" t="s">
        <v>10075</v>
      </c>
      <c r="C2971" s="51" t="s">
        <v>75</v>
      </c>
      <c r="D2971" s="52">
        <v>5659.2</v>
      </c>
      <c r="E2971" s="35">
        <v>44648</v>
      </c>
      <c r="F2971" s="52">
        <v>5659.2</v>
      </c>
      <c r="G2971" s="53">
        <f>Tabla14[[#This Row],[Importe]]-Tabla14[[#This Row],[Pagado]]</f>
        <v>0</v>
      </c>
      <c r="H2971" s="37" t="s">
        <v>10</v>
      </c>
    </row>
    <row r="2972" spans="1:8" x14ac:dyDescent="0.25">
      <c r="A2972" s="31">
        <v>44648</v>
      </c>
      <c r="B2972" s="37" t="s">
        <v>10076</v>
      </c>
      <c r="C2972" s="51" t="s">
        <v>83</v>
      </c>
      <c r="D2972" s="52">
        <v>6680.8</v>
      </c>
      <c r="E2972" s="35">
        <v>44648</v>
      </c>
      <c r="F2972" s="52">
        <v>6680.8</v>
      </c>
      <c r="G2972" s="53">
        <f>Tabla14[[#This Row],[Importe]]-Tabla14[[#This Row],[Pagado]]</f>
        <v>0</v>
      </c>
      <c r="H2972" s="37" t="s">
        <v>10</v>
      </c>
    </row>
    <row r="2973" spans="1:8" x14ac:dyDescent="0.25">
      <c r="A2973" s="31">
        <v>44648</v>
      </c>
      <c r="B2973" s="37" t="s">
        <v>10077</v>
      </c>
      <c r="C2973" s="51" t="s">
        <v>9</v>
      </c>
      <c r="D2973" s="52">
        <v>7099.7</v>
      </c>
      <c r="E2973" s="35">
        <v>44648</v>
      </c>
      <c r="F2973" s="52">
        <v>7099.7</v>
      </c>
      <c r="G2973" s="53">
        <f>Tabla14[[#This Row],[Importe]]-Tabla14[[#This Row],[Pagado]]</f>
        <v>0</v>
      </c>
      <c r="H2973" s="37" t="s">
        <v>10</v>
      </c>
    </row>
    <row r="2974" spans="1:8" x14ac:dyDescent="0.25">
      <c r="A2974" s="31">
        <v>44648</v>
      </c>
      <c r="B2974" s="37" t="s">
        <v>10078</v>
      </c>
      <c r="C2974" s="51" t="s">
        <v>12</v>
      </c>
      <c r="D2974" s="52">
        <v>51194.5</v>
      </c>
      <c r="E2974" s="35">
        <v>44649</v>
      </c>
      <c r="F2974" s="52">
        <v>51194.5</v>
      </c>
      <c r="G2974" s="53">
        <f>Tabla14[[#This Row],[Importe]]-Tabla14[[#This Row],[Pagado]]</f>
        <v>0</v>
      </c>
      <c r="H2974" s="37" t="s">
        <v>10</v>
      </c>
    </row>
    <row r="2975" spans="1:8" x14ac:dyDescent="0.25">
      <c r="A2975" s="31">
        <v>44648</v>
      </c>
      <c r="B2975" s="37" t="s">
        <v>10079</v>
      </c>
      <c r="C2975" s="51" t="s">
        <v>144</v>
      </c>
      <c r="D2975" s="52">
        <v>2388</v>
      </c>
      <c r="E2975" s="35">
        <v>44648</v>
      </c>
      <c r="F2975" s="52">
        <v>2388</v>
      </c>
      <c r="G2975" s="53">
        <f>Tabla14[[#This Row],[Importe]]-Tabla14[[#This Row],[Pagado]]</f>
        <v>0</v>
      </c>
      <c r="H2975" s="37" t="s">
        <v>10</v>
      </c>
    </row>
    <row r="2976" spans="1:8" x14ac:dyDescent="0.25">
      <c r="A2976" s="31">
        <v>44648</v>
      </c>
      <c r="B2976" s="37" t="s">
        <v>10080</v>
      </c>
      <c r="C2976" s="51" t="s">
        <v>198</v>
      </c>
      <c r="D2976" s="52">
        <v>935</v>
      </c>
      <c r="E2976" s="35">
        <v>44648</v>
      </c>
      <c r="F2976" s="52">
        <v>935</v>
      </c>
      <c r="G2976" s="53">
        <f>Tabla14[[#This Row],[Importe]]-Tabla14[[#This Row],[Pagado]]</f>
        <v>0</v>
      </c>
      <c r="H2976" s="37" t="s">
        <v>10</v>
      </c>
    </row>
    <row r="2977" spans="1:8" x14ac:dyDescent="0.25">
      <c r="A2977" s="31">
        <v>44648</v>
      </c>
      <c r="B2977" s="37" t="s">
        <v>10081</v>
      </c>
      <c r="C2977" s="51" t="s">
        <v>473</v>
      </c>
      <c r="D2977" s="52">
        <v>10172.4</v>
      </c>
      <c r="E2977" s="35">
        <v>44648</v>
      </c>
      <c r="F2977" s="52">
        <v>10172.4</v>
      </c>
      <c r="G2977" s="53">
        <f>Tabla14[[#This Row],[Importe]]-Tabla14[[#This Row],[Pagado]]</f>
        <v>0</v>
      </c>
      <c r="H2977" s="37" t="s">
        <v>10</v>
      </c>
    </row>
    <row r="2978" spans="1:8" x14ac:dyDescent="0.25">
      <c r="A2978" s="31">
        <v>44648</v>
      </c>
      <c r="B2978" s="37" t="s">
        <v>10082</v>
      </c>
      <c r="C2978" s="51" t="s">
        <v>142</v>
      </c>
      <c r="D2978" s="52">
        <v>10026.200000000001</v>
      </c>
      <c r="E2978" s="35">
        <v>44670</v>
      </c>
      <c r="F2978" s="52">
        <v>10026.200000000001</v>
      </c>
      <c r="G2978" s="53">
        <f>Tabla14[[#This Row],[Importe]]-Tabla14[[#This Row],[Pagado]]</f>
        <v>0</v>
      </c>
      <c r="H2978" s="37" t="s">
        <v>10</v>
      </c>
    </row>
    <row r="2979" spans="1:8" x14ac:dyDescent="0.25">
      <c r="A2979" s="31">
        <v>44648</v>
      </c>
      <c r="B2979" s="37" t="s">
        <v>10083</v>
      </c>
      <c r="C2979" s="51" t="s">
        <v>87</v>
      </c>
      <c r="D2979" s="52">
        <v>2618.6</v>
      </c>
      <c r="E2979" s="35">
        <v>44648</v>
      </c>
      <c r="F2979" s="52">
        <v>2618.6</v>
      </c>
      <c r="G2979" s="53">
        <f>Tabla14[[#This Row],[Importe]]-Tabla14[[#This Row],[Pagado]]</f>
        <v>0</v>
      </c>
      <c r="H2979" s="37" t="s">
        <v>10</v>
      </c>
    </row>
    <row r="2980" spans="1:8" x14ac:dyDescent="0.25">
      <c r="A2980" s="31">
        <v>44648</v>
      </c>
      <c r="B2980" s="37" t="s">
        <v>10084</v>
      </c>
      <c r="C2980" s="51" t="s">
        <v>109</v>
      </c>
      <c r="D2980" s="52">
        <v>3841.6</v>
      </c>
      <c r="E2980" s="35">
        <v>44649</v>
      </c>
      <c r="F2980" s="52">
        <v>3841.6</v>
      </c>
      <c r="G2980" s="53">
        <f>Tabla14[[#This Row],[Importe]]-Tabla14[[#This Row],[Pagado]]</f>
        <v>0</v>
      </c>
      <c r="H2980" s="37" t="s">
        <v>10</v>
      </c>
    </row>
    <row r="2981" spans="1:8" x14ac:dyDescent="0.25">
      <c r="A2981" s="31">
        <v>44648</v>
      </c>
      <c r="B2981" s="37" t="s">
        <v>10085</v>
      </c>
      <c r="C2981" s="51" t="s">
        <v>116</v>
      </c>
      <c r="D2981" s="52">
        <v>3830.1</v>
      </c>
      <c r="E2981" s="35">
        <v>44650</v>
      </c>
      <c r="F2981" s="52">
        <v>3830.1</v>
      </c>
      <c r="G2981" s="53">
        <f>Tabla14[[#This Row],[Importe]]-Tabla14[[#This Row],[Pagado]]</f>
        <v>0</v>
      </c>
      <c r="H2981" s="37" t="s">
        <v>10</v>
      </c>
    </row>
    <row r="2982" spans="1:8" x14ac:dyDescent="0.25">
      <c r="A2982" s="31">
        <v>44648</v>
      </c>
      <c r="B2982" s="37" t="s">
        <v>10086</v>
      </c>
      <c r="C2982" s="51" t="s">
        <v>3971</v>
      </c>
      <c r="D2982" s="52">
        <v>5034.7</v>
      </c>
      <c r="E2982" s="35">
        <v>44648</v>
      </c>
      <c r="F2982" s="52">
        <v>5034.7</v>
      </c>
      <c r="G2982" s="53">
        <f>Tabla14[[#This Row],[Importe]]-Tabla14[[#This Row],[Pagado]]</f>
        <v>0</v>
      </c>
      <c r="H2982" s="37" t="s">
        <v>10</v>
      </c>
    </row>
    <row r="2983" spans="1:8" x14ac:dyDescent="0.25">
      <c r="A2983" s="31">
        <v>44648</v>
      </c>
      <c r="B2983" s="37" t="s">
        <v>10087</v>
      </c>
      <c r="C2983" s="51" t="s">
        <v>89</v>
      </c>
      <c r="D2983" s="52">
        <v>7948</v>
      </c>
      <c r="E2983" s="35">
        <v>44649</v>
      </c>
      <c r="F2983" s="52">
        <v>7948</v>
      </c>
      <c r="G2983" s="53">
        <f>Tabla14[[#This Row],[Importe]]-Tabla14[[#This Row],[Pagado]]</f>
        <v>0</v>
      </c>
      <c r="H2983" s="37" t="s">
        <v>10</v>
      </c>
    </row>
    <row r="2984" spans="1:8" x14ac:dyDescent="0.25">
      <c r="A2984" s="31">
        <v>44648</v>
      </c>
      <c r="B2984" s="37" t="s">
        <v>10088</v>
      </c>
      <c r="C2984" s="51" t="s">
        <v>348</v>
      </c>
      <c r="D2984" s="52">
        <v>2508</v>
      </c>
      <c r="E2984" s="35">
        <v>44648</v>
      </c>
      <c r="F2984" s="52">
        <v>2508</v>
      </c>
      <c r="G2984" s="53">
        <f>Tabla14[[#This Row],[Importe]]-Tabla14[[#This Row],[Pagado]]</f>
        <v>0</v>
      </c>
      <c r="H2984" s="37" t="s">
        <v>10</v>
      </c>
    </row>
    <row r="2985" spans="1:8" x14ac:dyDescent="0.25">
      <c r="A2985" s="31">
        <v>44648</v>
      </c>
      <c r="B2985" s="37" t="s">
        <v>10089</v>
      </c>
      <c r="C2985" s="51" t="s">
        <v>111</v>
      </c>
      <c r="D2985" s="52">
        <v>3846.5</v>
      </c>
      <c r="E2985" s="35">
        <v>44649</v>
      </c>
      <c r="F2985" s="52">
        <v>3846.5</v>
      </c>
      <c r="G2985" s="53">
        <f>Tabla14[[#This Row],[Importe]]-Tabla14[[#This Row],[Pagado]]</f>
        <v>0</v>
      </c>
      <c r="H2985" s="37" t="s">
        <v>10</v>
      </c>
    </row>
    <row r="2986" spans="1:8" x14ac:dyDescent="0.25">
      <c r="A2986" s="31">
        <v>44648</v>
      </c>
      <c r="B2986" s="37" t="s">
        <v>10090</v>
      </c>
      <c r="C2986" s="51" t="s">
        <v>105</v>
      </c>
      <c r="D2986" s="52">
        <v>4907.1000000000004</v>
      </c>
      <c r="E2986" s="35">
        <v>44648</v>
      </c>
      <c r="F2986" s="52">
        <v>4907.1000000000004</v>
      </c>
      <c r="G2986" s="53">
        <f>Tabla14[[#This Row],[Importe]]-Tabla14[[#This Row],[Pagado]]</f>
        <v>0</v>
      </c>
      <c r="H2986" s="37" t="s">
        <v>10</v>
      </c>
    </row>
    <row r="2987" spans="1:8" x14ac:dyDescent="0.25">
      <c r="A2987" s="31">
        <v>44648</v>
      </c>
      <c r="B2987" s="37" t="s">
        <v>10091</v>
      </c>
      <c r="C2987" s="51" t="s">
        <v>114</v>
      </c>
      <c r="D2987" s="52">
        <v>4478.3</v>
      </c>
      <c r="E2987" s="35">
        <v>44651</v>
      </c>
      <c r="F2987" s="52">
        <v>4478.3</v>
      </c>
      <c r="G2987" s="53">
        <f>Tabla14[[#This Row],[Importe]]-Tabla14[[#This Row],[Pagado]]</f>
        <v>0</v>
      </c>
      <c r="H2987" s="37" t="s">
        <v>10</v>
      </c>
    </row>
    <row r="2988" spans="1:8" x14ac:dyDescent="0.25">
      <c r="A2988" s="31">
        <v>44648</v>
      </c>
      <c r="B2988" s="37" t="s">
        <v>10092</v>
      </c>
      <c r="C2988" s="51" t="s">
        <v>312</v>
      </c>
      <c r="D2988" s="52">
        <v>3230.6</v>
      </c>
      <c r="E2988" s="35">
        <v>44648</v>
      </c>
      <c r="F2988" s="52">
        <v>3230.6</v>
      </c>
      <c r="G2988" s="53">
        <f>Tabla14[[#This Row],[Importe]]-Tabla14[[#This Row],[Pagado]]</f>
        <v>0</v>
      </c>
      <c r="H2988" s="37" t="s">
        <v>10</v>
      </c>
    </row>
    <row r="2989" spans="1:8" x14ac:dyDescent="0.25">
      <c r="A2989" s="31">
        <v>44648</v>
      </c>
      <c r="B2989" s="37" t="s">
        <v>10093</v>
      </c>
      <c r="C2989" s="51" t="s">
        <v>64</v>
      </c>
      <c r="D2989" s="52">
        <v>3929.8</v>
      </c>
      <c r="E2989" s="35">
        <v>44649</v>
      </c>
      <c r="F2989" s="52">
        <v>3929.8</v>
      </c>
      <c r="G2989" s="53">
        <f>Tabla14[[#This Row],[Importe]]-Tabla14[[#This Row],[Pagado]]</f>
        <v>0</v>
      </c>
      <c r="H2989" s="37" t="s">
        <v>10</v>
      </c>
    </row>
    <row r="2990" spans="1:8" x14ac:dyDescent="0.25">
      <c r="A2990" s="31">
        <v>44648</v>
      </c>
      <c r="B2990" s="37" t="s">
        <v>10094</v>
      </c>
      <c r="C2990" s="51" t="s">
        <v>39</v>
      </c>
      <c r="D2990" s="52">
        <v>23532.9</v>
      </c>
      <c r="E2990" s="35">
        <v>44650</v>
      </c>
      <c r="F2990" s="52">
        <v>23532.9</v>
      </c>
      <c r="G2990" s="53">
        <f>Tabla14[[#This Row],[Importe]]-Tabla14[[#This Row],[Pagado]]</f>
        <v>0</v>
      </c>
      <c r="H2990" s="37" t="s">
        <v>10</v>
      </c>
    </row>
    <row r="2991" spans="1:8" x14ac:dyDescent="0.25">
      <c r="A2991" s="31">
        <v>44648</v>
      </c>
      <c r="B2991" s="37" t="s">
        <v>10095</v>
      </c>
      <c r="C2991" s="51" t="s">
        <v>22</v>
      </c>
      <c r="D2991" s="52">
        <v>48963.6</v>
      </c>
      <c r="E2991" s="35">
        <v>44649</v>
      </c>
      <c r="F2991" s="52">
        <v>48963.6</v>
      </c>
      <c r="G2991" s="53">
        <f>Tabla14[[#This Row],[Importe]]-Tabla14[[#This Row],[Pagado]]</f>
        <v>0</v>
      </c>
      <c r="H2991" s="37" t="s">
        <v>10</v>
      </c>
    </row>
    <row r="2992" spans="1:8" x14ac:dyDescent="0.25">
      <c r="A2992" s="31">
        <v>44648</v>
      </c>
      <c r="B2992" s="37" t="s">
        <v>10096</v>
      </c>
      <c r="C2992" s="51" t="s">
        <v>135</v>
      </c>
      <c r="D2992" s="52">
        <v>830.5</v>
      </c>
      <c r="E2992" s="35">
        <v>44648</v>
      </c>
      <c r="F2992" s="52">
        <v>830.5</v>
      </c>
      <c r="G2992" s="53">
        <f>Tabla14[[#This Row],[Importe]]-Tabla14[[#This Row],[Pagado]]</f>
        <v>0</v>
      </c>
      <c r="H2992" s="37" t="s">
        <v>10</v>
      </c>
    </row>
    <row r="2993" spans="1:8" x14ac:dyDescent="0.25">
      <c r="A2993" s="31">
        <v>44648</v>
      </c>
      <c r="B2993" s="37" t="s">
        <v>10097</v>
      </c>
      <c r="C2993" s="51" t="s">
        <v>146</v>
      </c>
      <c r="D2993" s="52">
        <v>1798</v>
      </c>
      <c r="E2993" s="35">
        <v>44648</v>
      </c>
      <c r="F2993" s="52">
        <v>1798</v>
      </c>
      <c r="G2993" s="53">
        <f>Tabla14[[#This Row],[Importe]]-Tabla14[[#This Row],[Pagado]]</f>
        <v>0</v>
      </c>
      <c r="H2993" s="37" t="s">
        <v>10</v>
      </c>
    </row>
    <row r="2994" spans="1:8" x14ac:dyDescent="0.25">
      <c r="A2994" s="31">
        <v>44648</v>
      </c>
      <c r="B2994" s="37" t="s">
        <v>10098</v>
      </c>
      <c r="C2994" s="51" t="s">
        <v>214</v>
      </c>
      <c r="D2994" s="52">
        <v>11738.5</v>
      </c>
      <c r="E2994" s="35">
        <v>44649</v>
      </c>
      <c r="F2994" s="52">
        <v>11738.5</v>
      </c>
      <c r="G2994" s="53">
        <f>Tabla14[[#This Row],[Importe]]-Tabla14[[#This Row],[Pagado]]</f>
        <v>0</v>
      </c>
      <c r="H2994" s="37" t="s">
        <v>10</v>
      </c>
    </row>
    <row r="2995" spans="1:8" x14ac:dyDescent="0.25">
      <c r="A2995" s="31">
        <v>44648</v>
      </c>
      <c r="B2995" s="37" t="s">
        <v>10099</v>
      </c>
      <c r="C2995" s="51" t="s">
        <v>93</v>
      </c>
      <c r="D2995" s="52">
        <v>6661.8</v>
      </c>
      <c r="E2995" s="35">
        <v>44649</v>
      </c>
      <c r="F2995" s="52">
        <v>6661.8</v>
      </c>
      <c r="G2995" s="53">
        <f>Tabla14[[#This Row],[Importe]]-Tabla14[[#This Row],[Pagado]]</f>
        <v>0</v>
      </c>
      <c r="H2995" s="37" t="s">
        <v>10</v>
      </c>
    </row>
    <row r="2996" spans="1:8" x14ac:dyDescent="0.25">
      <c r="A2996" s="31">
        <v>44648</v>
      </c>
      <c r="B2996" s="37" t="s">
        <v>10100</v>
      </c>
      <c r="C2996" s="51" t="s">
        <v>27</v>
      </c>
      <c r="D2996" s="52">
        <v>4039.4</v>
      </c>
      <c r="E2996" s="35">
        <v>44648</v>
      </c>
      <c r="F2996" s="52">
        <v>4039.4</v>
      </c>
      <c r="G2996" s="53">
        <f>Tabla14[[#This Row],[Importe]]-Tabla14[[#This Row],[Pagado]]</f>
        <v>0</v>
      </c>
      <c r="H2996" s="37" t="s">
        <v>10</v>
      </c>
    </row>
    <row r="2997" spans="1:8" ht="31.5" x14ac:dyDescent="0.25">
      <c r="A2997" s="31">
        <v>44648</v>
      </c>
      <c r="B2997" s="37" t="s">
        <v>10101</v>
      </c>
      <c r="C2997" s="51" t="s">
        <v>99</v>
      </c>
      <c r="D2997" s="52">
        <v>4963.8</v>
      </c>
      <c r="E2997" s="35" t="s">
        <v>10102</v>
      </c>
      <c r="F2997" s="52">
        <f>2100+2863.8</f>
        <v>4963.8</v>
      </c>
      <c r="G2997" s="53">
        <f>Tabla14[[#This Row],[Importe]]-Tabla14[[#This Row],[Pagado]]</f>
        <v>0</v>
      </c>
      <c r="H2997" s="37" t="s">
        <v>10</v>
      </c>
    </row>
    <row r="2998" spans="1:8" x14ac:dyDescent="0.25">
      <c r="A2998" s="31">
        <v>44648</v>
      </c>
      <c r="B2998" s="37" t="s">
        <v>10103</v>
      </c>
      <c r="C2998" s="51" t="s">
        <v>326</v>
      </c>
      <c r="D2998" s="52">
        <v>4341.3999999999996</v>
      </c>
      <c r="E2998" s="35">
        <v>44650</v>
      </c>
      <c r="F2998" s="52">
        <v>4341.3999999999996</v>
      </c>
      <c r="G2998" s="53">
        <f>Tabla14[[#This Row],[Importe]]-Tabla14[[#This Row],[Pagado]]</f>
        <v>0</v>
      </c>
      <c r="H2998" s="37" t="s">
        <v>10</v>
      </c>
    </row>
    <row r="2999" spans="1:8" x14ac:dyDescent="0.25">
      <c r="A2999" s="31">
        <v>44648</v>
      </c>
      <c r="B2999" s="37" t="s">
        <v>10104</v>
      </c>
      <c r="C2999" s="51" t="s">
        <v>9780</v>
      </c>
      <c r="D2999" s="52">
        <v>33296.300000000003</v>
      </c>
      <c r="E2999" s="35">
        <v>44677</v>
      </c>
      <c r="F2999" s="52">
        <v>33296.300000000003</v>
      </c>
      <c r="G2999" s="53">
        <f>Tabla14[[#This Row],[Importe]]-Tabla14[[#This Row],[Pagado]]</f>
        <v>0</v>
      </c>
      <c r="H2999" s="37" t="s">
        <v>10</v>
      </c>
    </row>
    <row r="3000" spans="1:8" x14ac:dyDescent="0.25">
      <c r="A3000" s="31">
        <v>44648</v>
      </c>
      <c r="B3000" s="37" t="s">
        <v>10105</v>
      </c>
      <c r="C3000" s="51" t="s">
        <v>2151</v>
      </c>
      <c r="D3000" s="52">
        <v>24654.9</v>
      </c>
      <c r="E3000" s="35">
        <v>44648</v>
      </c>
      <c r="F3000" s="52">
        <v>24654.9</v>
      </c>
      <c r="G3000" s="53">
        <f>Tabla14[[#This Row],[Importe]]-Tabla14[[#This Row],[Pagado]]</f>
        <v>0</v>
      </c>
      <c r="H3000" s="37" t="s">
        <v>10</v>
      </c>
    </row>
    <row r="3001" spans="1:8" x14ac:dyDescent="0.25">
      <c r="A3001" s="31">
        <v>44648</v>
      </c>
      <c r="B3001" s="37" t="s">
        <v>10106</v>
      </c>
      <c r="C3001" s="51" t="s">
        <v>49</v>
      </c>
      <c r="D3001" s="52">
        <v>3316.8</v>
      </c>
      <c r="E3001" s="35">
        <v>44648</v>
      </c>
      <c r="F3001" s="52">
        <v>3316.8</v>
      </c>
      <c r="G3001" s="53">
        <f>Tabla14[[#This Row],[Importe]]-Tabla14[[#This Row],[Pagado]]</f>
        <v>0</v>
      </c>
      <c r="H3001" s="37" t="s">
        <v>10</v>
      </c>
    </row>
    <row r="3002" spans="1:8" x14ac:dyDescent="0.25">
      <c r="A3002" s="31">
        <v>44648</v>
      </c>
      <c r="B3002" s="37" t="s">
        <v>10107</v>
      </c>
      <c r="C3002" s="51" t="s">
        <v>31</v>
      </c>
      <c r="D3002" s="52">
        <v>968</v>
      </c>
      <c r="E3002" s="35">
        <v>44648</v>
      </c>
      <c r="F3002" s="52">
        <v>968</v>
      </c>
      <c r="G3002" s="53">
        <f>Tabla14[[#This Row],[Importe]]-Tabla14[[#This Row],[Pagado]]</f>
        <v>0</v>
      </c>
      <c r="H3002" s="37" t="s">
        <v>10</v>
      </c>
    </row>
    <row r="3003" spans="1:8" x14ac:dyDescent="0.25">
      <c r="A3003" s="31">
        <v>44648</v>
      </c>
      <c r="B3003" s="37" t="s">
        <v>10108</v>
      </c>
      <c r="C3003" s="51" t="s">
        <v>2961</v>
      </c>
      <c r="D3003" s="52">
        <v>53053.2</v>
      </c>
      <c r="E3003" s="35">
        <v>44649</v>
      </c>
      <c r="F3003" s="52">
        <v>53053.2</v>
      </c>
      <c r="G3003" s="53">
        <f>Tabla14[[#This Row],[Importe]]-Tabla14[[#This Row],[Pagado]]</f>
        <v>0</v>
      </c>
      <c r="H3003" s="37" t="s">
        <v>10</v>
      </c>
    </row>
    <row r="3004" spans="1:8" x14ac:dyDescent="0.25">
      <c r="A3004" s="31">
        <v>44648</v>
      </c>
      <c r="B3004" s="37" t="s">
        <v>10109</v>
      </c>
      <c r="C3004" s="51" t="s">
        <v>53</v>
      </c>
      <c r="D3004" s="52">
        <v>1402.5</v>
      </c>
      <c r="E3004" s="35">
        <v>44648</v>
      </c>
      <c r="F3004" s="52">
        <v>1402.5</v>
      </c>
      <c r="G3004" s="53">
        <f>Tabla14[[#This Row],[Importe]]-Tabla14[[#This Row],[Pagado]]</f>
        <v>0</v>
      </c>
      <c r="H3004" s="37" t="s">
        <v>10</v>
      </c>
    </row>
    <row r="3005" spans="1:8" x14ac:dyDescent="0.25">
      <c r="A3005" s="31">
        <v>44648</v>
      </c>
      <c r="B3005" s="37" t="s">
        <v>10110</v>
      </c>
      <c r="C3005" s="51" t="s">
        <v>357</v>
      </c>
      <c r="D3005" s="52">
        <v>3365.4</v>
      </c>
      <c r="E3005" s="35">
        <v>44648</v>
      </c>
      <c r="F3005" s="52">
        <v>3365.4</v>
      </c>
      <c r="G3005" s="53">
        <f>Tabla14[[#This Row],[Importe]]-Tabla14[[#This Row],[Pagado]]</f>
        <v>0</v>
      </c>
      <c r="H3005" s="37" t="s">
        <v>10</v>
      </c>
    </row>
    <row r="3006" spans="1:8" x14ac:dyDescent="0.25">
      <c r="A3006" s="31">
        <v>44648</v>
      </c>
      <c r="B3006" s="37" t="s">
        <v>10111</v>
      </c>
      <c r="C3006" s="51" t="s">
        <v>140</v>
      </c>
      <c r="D3006" s="52">
        <v>3253.8</v>
      </c>
      <c r="E3006" s="35">
        <v>44648</v>
      </c>
      <c r="F3006" s="52">
        <v>3253.8</v>
      </c>
      <c r="G3006" s="53">
        <f>Tabla14[[#This Row],[Importe]]-Tabla14[[#This Row],[Pagado]]</f>
        <v>0</v>
      </c>
      <c r="H3006" s="37" t="s">
        <v>10</v>
      </c>
    </row>
    <row r="3007" spans="1:8" x14ac:dyDescent="0.25">
      <c r="A3007" s="31">
        <v>44648</v>
      </c>
      <c r="B3007" s="37" t="s">
        <v>10112</v>
      </c>
      <c r="C3007" s="51" t="s">
        <v>129</v>
      </c>
      <c r="D3007" s="52">
        <v>423.5</v>
      </c>
      <c r="E3007" s="35">
        <v>44648</v>
      </c>
      <c r="F3007" s="52">
        <v>423.5</v>
      </c>
      <c r="G3007" s="53">
        <f>Tabla14[[#This Row],[Importe]]-Tabla14[[#This Row],[Pagado]]</f>
        <v>0</v>
      </c>
      <c r="H3007" s="37" t="s">
        <v>10</v>
      </c>
    </row>
    <row r="3008" spans="1:8" x14ac:dyDescent="0.25">
      <c r="A3008" s="31">
        <v>44648</v>
      </c>
      <c r="B3008" s="37" t="s">
        <v>10113</v>
      </c>
      <c r="C3008" s="51" t="s">
        <v>339</v>
      </c>
      <c r="D3008" s="52">
        <v>442.5</v>
      </c>
      <c r="E3008" s="35">
        <v>44648</v>
      </c>
      <c r="F3008" s="52">
        <v>442.5</v>
      </c>
      <c r="G3008" s="53">
        <f>Tabla14[[#This Row],[Importe]]-Tabla14[[#This Row],[Pagado]]</f>
        <v>0</v>
      </c>
      <c r="H3008" s="37" t="s">
        <v>10</v>
      </c>
    </row>
    <row r="3009" spans="1:8" x14ac:dyDescent="0.25">
      <c r="A3009" s="31">
        <v>44648</v>
      </c>
      <c r="B3009" s="37" t="s">
        <v>10114</v>
      </c>
      <c r="C3009" s="51" t="s">
        <v>127</v>
      </c>
      <c r="D3009" s="52">
        <v>3538.4</v>
      </c>
      <c r="E3009" s="35">
        <v>44648</v>
      </c>
      <c r="F3009" s="52">
        <v>3538.4</v>
      </c>
      <c r="G3009" s="53">
        <f>Tabla14[[#This Row],[Importe]]-Tabla14[[#This Row],[Pagado]]</f>
        <v>0</v>
      </c>
      <c r="H3009" s="37" t="s">
        <v>10</v>
      </c>
    </row>
    <row r="3010" spans="1:8" x14ac:dyDescent="0.25">
      <c r="A3010" s="31">
        <v>44648</v>
      </c>
      <c r="B3010" s="37" t="s">
        <v>10115</v>
      </c>
      <c r="C3010" s="51" t="s">
        <v>31</v>
      </c>
      <c r="D3010" s="52">
        <v>1817.4</v>
      </c>
      <c r="E3010" s="35">
        <v>44648</v>
      </c>
      <c r="F3010" s="52">
        <v>1817.4</v>
      </c>
      <c r="G3010" s="53">
        <f>Tabla14[[#This Row],[Importe]]-Tabla14[[#This Row],[Pagado]]</f>
        <v>0</v>
      </c>
      <c r="H3010" s="37" t="s">
        <v>10</v>
      </c>
    </row>
    <row r="3011" spans="1:8" x14ac:dyDescent="0.25">
      <c r="A3011" s="31">
        <v>44648</v>
      </c>
      <c r="B3011" s="37" t="s">
        <v>10116</v>
      </c>
      <c r="C3011" s="51" t="s">
        <v>137</v>
      </c>
      <c r="D3011" s="52">
        <v>4444</v>
      </c>
      <c r="E3011" s="35">
        <v>44648</v>
      </c>
      <c r="F3011" s="52">
        <v>4444</v>
      </c>
      <c r="G3011" s="53">
        <f>Tabla14[[#This Row],[Importe]]-Tabla14[[#This Row],[Pagado]]</f>
        <v>0</v>
      </c>
      <c r="H3011" s="37" t="s">
        <v>10</v>
      </c>
    </row>
    <row r="3012" spans="1:8" x14ac:dyDescent="0.25">
      <c r="A3012" s="31">
        <v>44648</v>
      </c>
      <c r="B3012" s="37" t="s">
        <v>10117</v>
      </c>
      <c r="C3012" s="51" t="s">
        <v>240</v>
      </c>
      <c r="D3012" s="52">
        <v>12097.2</v>
      </c>
      <c r="E3012" s="35">
        <v>44648</v>
      </c>
      <c r="F3012" s="52">
        <v>12097.2</v>
      </c>
      <c r="G3012" s="53">
        <f>Tabla14[[#This Row],[Importe]]-Tabla14[[#This Row],[Pagado]]</f>
        <v>0</v>
      </c>
      <c r="H3012" s="37" t="s">
        <v>10</v>
      </c>
    </row>
    <row r="3013" spans="1:8" x14ac:dyDescent="0.25">
      <c r="A3013" s="31">
        <v>44648</v>
      </c>
      <c r="B3013" s="37" t="s">
        <v>10118</v>
      </c>
      <c r="C3013" s="51" t="s">
        <v>45</v>
      </c>
      <c r="D3013" s="52">
        <v>9397.7999999999993</v>
      </c>
      <c r="E3013" s="35">
        <v>44648</v>
      </c>
      <c r="F3013" s="52">
        <v>9397.7999999999993</v>
      </c>
      <c r="G3013" s="53">
        <f>Tabla14[[#This Row],[Importe]]-Tabla14[[#This Row],[Pagado]]</f>
        <v>0</v>
      </c>
      <c r="H3013" s="37" t="s">
        <v>10</v>
      </c>
    </row>
    <row r="3014" spans="1:8" x14ac:dyDescent="0.25">
      <c r="A3014" s="31">
        <v>44648</v>
      </c>
      <c r="B3014" s="37" t="s">
        <v>10119</v>
      </c>
      <c r="C3014" s="51" t="s">
        <v>16</v>
      </c>
      <c r="D3014" s="52">
        <v>5205.5</v>
      </c>
      <c r="E3014" s="35">
        <v>44648</v>
      </c>
      <c r="F3014" s="52">
        <v>5205.5</v>
      </c>
      <c r="G3014" s="53">
        <f>Tabla14[[#This Row],[Importe]]-Tabla14[[#This Row],[Pagado]]</f>
        <v>0</v>
      </c>
      <c r="H3014" s="37" t="s">
        <v>10</v>
      </c>
    </row>
    <row r="3015" spans="1:8" x14ac:dyDescent="0.25">
      <c r="A3015" s="31">
        <v>44648</v>
      </c>
      <c r="B3015" s="37" t="s">
        <v>10120</v>
      </c>
      <c r="C3015" s="51" t="s">
        <v>196</v>
      </c>
      <c r="D3015" s="52">
        <v>38714.910000000003</v>
      </c>
      <c r="E3015" s="35">
        <v>44652</v>
      </c>
      <c r="F3015" s="52">
        <v>38714.910000000003</v>
      </c>
      <c r="G3015" s="53">
        <f>Tabla14[[#This Row],[Importe]]-Tabla14[[#This Row],[Pagado]]</f>
        <v>0</v>
      </c>
      <c r="H3015" s="37" t="s">
        <v>10</v>
      </c>
    </row>
    <row r="3016" spans="1:8" x14ac:dyDescent="0.25">
      <c r="A3016" s="31">
        <v>44648</v>
      </c>
      <c r="B3016" s="37" t="s">
        <v>10121</v>
      </c>
      <c r="C3016" s="51" t="s">
        <v>14</v>
      </c>
      <c r="D3016" s="52">
        <v>9165</v>
      </c>
      <c r="E3016" s="35">
        <v>44648</v>
      </c>
      <c r="F3016" s="52">
        <v>9165</v>
      </c>
      <c r="G3016" s="53">
        <f>Tabla14[[#This Row],[Importe]]-Tabla14[[#This Row],[Pagado]]</f>
        <v>0</v>
      </c>
      <c r="H3016" s="37" t="s">
        <v>10</v>
      </c>
    </row>
    <row r="3017" spans="1:8" x14ac:dyDescent="0.25">
      <c r="A3017" s="31">
        <v>44648</v>
      </c>
      <c r="B3017" s="37" t="s">
        <v>10122</v>
      </c>
      <c r="C3017" s="51" t="s">
        <v>97</v>
      </c>
      <c r="D3017" s="52">
        <v>1817.4</v>
      </c>
      <c r="E3017" s="35">
        <v>44648</v>
      </c>
      <c r="F3017" s="52">
        <v>1817.4</v>
      </c>
      <c r="G3017" s="53">
        <f>Tabla14[[#This Row],[Importe]]-Tabla14[[#This Row],[Pagado]]</f>
        <v>0</v>
      </c>
      <c r="H3017" s="37" t="s">
        <v>10</v>
      </c>
    </row>
    <row r="3018" spans="1:8" x14ac:dyDescent="0.25">
      <c r="A3018" s="31">
        <v>44648</v>
      </c>
      <c r="B3018" s="37" t="s">
        <v>10123</v>
      </c>
      <c r="C3018" s="51" t="s">
        <v>5345</v>
      </c>
      <c r="D3018" s="52">
        <v>1620</v>
      </c>
      <c r="E3018" s="35">
        <v>44648</v>
      </c>
      <c r="F3018" s="52">
        <v>1620</v>
      </c>
      <c r="G3018" s="53">
        <f>Tabla14[[#This Row],[Importe]]-Tabla14[[#This Row],[Pagado]]</f>
        <v>0</v>
      </c>
      <c r="H3018" s="37" t="s">
        <v>10</v>
      </c>
    </row>
    <row r="3019" spans="1:8" x14ac:dyDescent="0.25">
      <c r="A3019" s="31">
        <v>44648</v>
      </c>
      <c r="B3019" s="37" t="s">
        <v>10124</v>
      </c>
      <c r="C3019" s="51" t="s">
        <v>280</v>
      </c>
      <c r="D3019" s="52">
        <v>540</v>
      </c>
      <c r="E3019" s="35">
        <v>44648</v>
      </c>
      <c r="F3019" s="52">
        <v>540</v>
      </c>
      <c r="G3019" s="53">
        <f>Tabla14[[#This Row],[Importe]]-Tabla14[[#This Row],[Pagado]]</f>
        <v>0</v>
      </c>
      <c r="H3019" s="37" t="s">
        <v>10</v>
      </c>
    </row>
    <row r="3020" spans="1:8" x14ac:dyDescent="0.25">
      <c r="A3020" s="31">
        <v>44648</v>
      </c>
      <c r="B3020" s="37" t="s">
        <v>10125</v>
      </c>
      <c r="C3020" s="51" t="s">
        <v>282</v>
      </c>
      <c r="D3020" s="52">
        <v>2365.1999999999998</v>
      </c>
      <c r="E3020" s="35">
        <v>44648</v>
      </c>
      <c r="F3020" s="52">
        <v>2365.1999999999998</v>
      </c>
      <c r="G3020" s="53">
        <f>Tabla14[[#This Row],[Importe]]-Tabla14[[#This Row],[Pagado]]</f>
        <v>0</v>
      </c>
      <c r="H3020" s="37" t="s">
        <v>10</v>
      </c>
    </row>
    <row r="3021" spans="1:8" x14ac:dyDescent="0.25">
      <c r="A3021" s="31">
        <v>44648</v>
      </c>
      <c r="B3021" s="37" t="s">
        <v>10126</v>
      </c>
      <c r="C3021" s="51" t="s">
        <v>175</v>
      </c>
      <c r="D3021" s="52">
        <v>7925.3</v>
      </c>
      <c r="E3021" s="35">
        <v>44648</v>
      </c>
      <c r="F3021" s="52">
        <v>7925.3</v>
      </c>
      <c r="G3021" s="53">
        <f>Tabla14[[#This Row],[Importe]]-Tabla14[[#This Row],[Pagado]]</f>
        <v>0</v>
      </c>
      <c r="H3021" s="37" t="s">
        <v>10</v>
      </c>
    </row>
    <row r="3022" spans="1:8" x14ac:dyDescent="0.25">
      <c r="A3022" s="31">
        <v>44648</v>
      </c>
      <c r="B3022" s="37" t="s">
        <v>10127</v>
      </c>
      <c r="C3022" s="51" t="s">
        <v>181</v>
      </c>
      <c r="D3022" s="52">
        <v>9224.7999999999993</v>
      </c>
      <c r="E3022" s="35">
        <v>44648</v>
      </c>
      <c r="F3022" s="52">
        <v>9224.7999999999993</v>
      </c>
      <c r="G3022" s="53">
        <f>Tabla14[[#This Row],[Importe]]-Tabla14[[#This Row],[Pagado]]</f>
        <v>0</v>
      </c>
      <c r="H3022" s="37" t="s">
        <v>10</v>
      </c>
    </row>
    <row r="3023" spans="1:8" x14ac:dyDescent="0.25">
      <c r="A3023" s="31">
        <v>44648</v>
      </c>
      <c r="B3023" s="37" t="s">
        <v>10128</v>
      </c>
      <c r="C3023" s="51" t="s">
        <v>698</v>
      </c>
      <c r="D3023" s="52">
        <v>7460.3</v>
      </c>
      <c r="E3023" s="35">
        <v>44648</v>
      </c>
      <c r="F3023" s="52">
        <v>7460.3</v>
      </c>
      <c r="G3023" s="53">
        <f>Tabla14[[#This Row],[Importe]]-Tabla14[[#This Row],[Pagado]]</f>
        <v>0</v>
      </c>
      <c r="H3023" s="37" t="s">
        <v>10</v>
      </c>
    </row>
    <row r="3024" spans="1:8" x14ac:dyDescent="0.25">
      <c r="A3024" s="31">
        <v>44648</v>
      </c>
      <c r="B3024" s="37" t="s">
        <v>10129</v>
      </c>
      <c r="C3024" s="51" t="s">
        <v>226</v>
      </c>
      <c r="D3024" s="52">
        <v>11658.6</v>
      </c>
      <c r="E3024" s="35">
        <v>44648</v>
      </c>
      <c r="F3024" s="52">
        <v>11658.6</v>
      </c>
      <c r="G3024" s="53">
        <f>Tabla14[[#This Row],[Importe]]-Tabla14[[#This Row],[Pagado]]</f>
        <v>0</v>
      </c>
      <c r="H3024" s="37" t="s">
        <v>10</v>
      </c>
    </row>
    <row r="3025" spans="1:8" x14ac:dyDescent="0.25">
      <c r="A3025" s="31">
        <v>44648</v>
      </c>
      <c r="B3025" s="37" t="s">
        <v>10130</v>
      </c>
      <c r="C3025" s="51" t="s">
        <v>56</v>
      </c>
      <c r="D3025" s="52">
        <v>3292.2</v>
      </c>
      <c r="E3025" s="35">
        <v>44648</v>
      </c>
      <c r="F3025" s="52">
        <v>3292.2</v>
      </c>
      <c r="G3025" s="53">
        <f>Tabla14[[#This Row],[Importe]]-Tabla14[[#This Row],[Pagado]]</f>
        <v>0</v>
      </c>
      <c r="H3025" s="37" t="s">
        <v>10</v>
      </c>
    </row>
    <row r="3026" spans="1:8" x14ac:dyDescent="0.25">
      <c r="A3026" s="31">
        <v>44648</v>
      </c>
      <c r="B3026" s="37" t="s">
        <v>10131</v>
      </c>
      <c r="C3026" s="51" t="s">
        <v>426</v>
      </c>
      <c r="D3026" s="52">
        <v>3189.8</v>
      </c>
      <c r="E3026" s="35">
        <v>44648</v>
      </c>
      <c r="F3026" s="52">
        <v>3189.8</v>
      </c>
      <c r="G3026" s="53">
        <f>Tabla14[[#This Row],[Importe]]-Tabla14[[#This Row],[Pagado]]</f>
        <v>0</v>
      </c>
      <c r="H3026" s="37" t="s">
        <v>10</v>
      </c>
    </row>
    <row r="3027" spans="1:8" x14ac:dyDescent="0.25">
      <c r="A3027" s="31">
        <v>44648</v>
      </c>
      <c r="B3027" s="37" t="s">
        <v>10132</v>
      </c>
      <c r="C3027" s="51" t="s">
        <v>240</v>
      </c>
      <c r="D3027" s="52">
        <v>492.8</v>
      </c>
      <c r="E3027" s="35">
        <v>44648</v>
      </c>
      <c r="F3027" s="52">
        <v>492.8</v>
      </c>
      <c r="G3027" s="53">
        <f>Tabla14[[#This Row],[Importe]]-Tabla14[[#This Row],[Pagado]]</f>
        <v>0</v>
      </c>
      <c r="H3027" s="37" t="s">
        <v>10</v>
      </c>
    </row>
    <row r="3028" spans="1:8" x14ac:dyDescent="0.25">
      <c r="A3028" s="31">
        <v>44648</v>
      </c>
      <c r="B3028" s="37" t="s">
        <v>10133</v>
      </c>
      <c r="C3028" s="51" t="s">
        <v>222</v>
      </c>
      <c r="D3028" s="52">
        <v>7666.3</v>
      </c>
      <c r="E3028" s="35">
        <v>44648</v>
      </c>
      <c r="F3028" s="52">
        <v>7666.3</v>
      </c>
      <c r="G3028" s="53">
        <f>Tabla14[[#This Row],[Importe]]-Tabla14[[#This Row],[Pagado]]</f>
        <v>0</v>
      </c>
      <c r="H3028" s="37" t="s">
        <v>10</v>
      </c>
    </row>
    <row r="3029" spans="1:8" x14ac:dyDescent="0.25">
      <c r="A3029" s="31">
        <v>44648</v>
      </c>
      <c r="B3029" s="37" t="s">
        <v>10134</v>
      </c>
      <c r="C3029" s="51" t="s">
        <v>175</v>
      </c>
      <c r="D3029" s="52">
        <v>8128.6</v>
      </c>
      <c r="E3029" s="35">
        <v>44648</v>
      </c>
      <c r="F3029" s="52">
        <v>8128.6</v>
      </c>
      <c r="G3029" s="53">
        <f>Tabla14[[#This Row],[Importe]]-Tabla14[[#This Row],[Pagado]]</f>
        <v>0</v>
      </c>
      <c r="H3029" s="37" t="s">
        <v>10</v>
      </c>
    </row>
    <row r="3030" spans="1:8" x14ac:dyDescent="0.25">
      <c r="A3030" s="31">
        <v>44648</v>
      </c>
      <c r="B3030" s="37" t="s">
        <v>10135</v>
      </c>
      <c r="C3030" s="51" t="s">
        <v>291</v>
      </c>
      <c r="D3030" s="52">
        <v>4062.4</v>
      </c>
      <c r="E3030" s="35">
        <v>44648</v>
      </c>
      <c r="F3030" s="52">
        <v>4062.4</v>
      </c>
      <c r="G3030" s="53">
        <f>Tabla14[[#This Row],[Importe]]-Tabla14[[#This Row],[Pagado]]</f>
        <v>0</v>
      </c>
      <c r="H3030" s="37" t="s">
        <v>10</v>
      </c>
    </row>
    <row r="3031" spans="1:8" x14ac:dyDescent="0.25">
      <c r="A3031" s="31">
        <v>44648</v>
      </c>
      <c r="B3031" s="37" t="s">
        <v>10136</v>
      </c>
      <c r="C3031" s="51" t="s">
        <v>373</v>
      </c>
      <c r="D3031" s="52">
        <v>895.7</v>
      </c>
      <c r="E3031" s="35">
        <v>44648</v>
      </c>
      <c r="F3031" s="52">
        <v>895.7</v>
      </c>
      <c r="G3031" s="53">
        <f>Tabla14[[#This Row],[Importe]]-Tabla14[[#This Row],[Pagado]]</f>
        <v>0</v>
      </c>
      <c r="H3031" s="37" t="s">
        <v>10</v>
      </c>
    </row>
    <row r="3032" spans="1:8" x14ac:dyDescent="0.25">
      <c r="A3032" s="31">
        <v>44648</v>
      </c>
      <c r="B3032" s="37" t="s">
        <v>10137</v>
      </c>
      <c r="C3032" s="51" t="s">
        <v>284</v>
      </c>
      <c r="D3032" s="52">
        <v>999</v>
      </c>
      <c r="E3032" s="35">
        <v>44648</v>
      </c>
      <c r="F3032" s="52">
        <v>999</v>
      </c>
      <c r="G3032" s="53">
        <f>Tabla14[[#This Row],[Importe]]-Tabla14[[#This Row],[Pagado]]</f>
        <v>0</v>
      </c>
      <c r="H3032" s="37" t="s">
        <v>10</v>
      </c>
    </row>
    <row r="3033" spans="1:8" x14ac:dyDescent="0.25">
      <c r="A3033" s="31">
        <v>44648</v>
      </c>
      <c r="B3033" s="37" t="s">
        <v>10138</v>
      </c>
      <c r="C3033" s="51" t="s">
        <v>200</v>
      </c>
      <c r="D3033" s="52">
        <v>496.8</v>
      </c>
      <c r="E3033" s="35">
        <v>44648</v>
      </c>
      <c r="F3033" s="52">
        <v>496.8</v>
      </c>
      <c r="G3033" s="53">
        <f>Tabla14[[#This Row],[Importe]]-Tabla14[[#This Row],[Pagado]]</f>
        <v>0</v>
      </c>
      <c r="H3033" s="37" t="s">
        <v>10</v>
      </c>
    </row>
    <row r="3034" spans="1:8" x14ac:dyDescent="0.25">
      <c r="A3034" s="31">
        <v>44648</v>
      </c>
      <c r="B3034" s="37" t="s">
        <v>10139</v>
      </c>
      <c r="C3034" s="51" t="s">
        <v>202</v>
      </c>
      <c r="D3034" s="52">
        <v>3078</v>
      </c>
      <c r="E3034" s="35">
        <v>44648</v>
      </c>
      <c r="F3034" s="52">
        <v>3078</v>
      </c>
      <c r="G3034" s="53">
        <f>Tabla14[[#This Row],[Importe]]-Tabla14[[#This Row],[Pagado]]</f>
        <v>0</v>
      </c>
      <c r="H3034" s="37" t="s">
        <v>10</v>
      </c>
    </row>
    <row r="3035" spans="1:8" x14ac:dyDescent="0.25">
      <c r="A3035" s="31">
        <v>44648</v>
      </c>
      <c r="B3035" s="37" t="s">
        <v>10140</v>
      </c>
      <c r="C3035" s="51" t="s">
        <v>24</v>
      </c>
      <c r="D3035" s="52">
        <v>706.8</v>
      </c>
      <c r="E3035" s="35">
        <v>44648</v>
      </c>
      <c r="F3035" s="52">
        <v>706.8</v>
      </c>
      <c r="G3035" s="53">
        <f>Tabla14[[#This Row],[Importe]]-Tabla14[[#This Row],[Pagado]]</f>
        <v>0</v>
      </c>
      <c r="H3035" s="37" t="s">
        <v>10</v>
      </c>
    </row>
    <row r="3036" spans="1:8" x14ac:dyDescent="0.25">
      <c r="A3036" s="31">
        <v>44648</v>
      </c>
      <c r="B3036" s="37" t="s">
        <v>10141</v>
      </c>
      <c r="C3036" s="51" t="s">
        <v>216</v>
      </c>
      <c r="D3036" s="52">
        <v>1857.6</v>
      </c>
      <c r="E3036" s="35">
        <v>44648</v>
      </c>
      <c r="F3036" s="52">
        <v>1857.6</v>
      </c>
      <c r="G3036" s="53">
        <f>Tabla14[[#This Row],[Importe]]-Tabla14[[#This Row],[Pagado]]</f>
        <v>0</v>
      </c>
      <c r="H3036" s="37" t="s">
        <v>10</v>
      </c>
    </row>
    <row r="3037" spans="1:8" x14ac:dyDescent="0.25">
      <c r="A3037" s="31">
        <v>44648</v>
      </c>
      <c r="B3037" s="37" t="s">
        <v>10142</v>
      </c>
      <c r="C3037" s="51" t="s">
        <v>212</v>
      </c>
      <c r="D3037" s="52">
        <v>26415.599999999999</v>
      </c>
      <c r="E3037" s="35">
        <v>44651</v>
      </c>
      <c r="F3037" s="52">
        <v>26415.599999999999</v>
      </c>
      <c r="G3037" s="53">
        <f>Tabla14[[#This Row],[Importe]]-Tabla14[[#This Row],[Pagado]]</f>
        <v>0</v>
      </c>
      <c r="H3037" s="37" t="s">
        <v>10</v>
      </c>
    </row>
    <row r="3038" spans="1:8" x14ac:dyDescent="0.25">
      <c r="A3038" s="31">
        <v>44648</v>
      </c>
      <c r="B3038" s="37" t="s">
        <v>10143</v>
      </c>
      <c r="C3038" s="51" t="s">
        <v>857</v>
      </c>
      <c r="D3038" s="52">
        <v>210.8</v>
      </c>
      <c r="E3038" s="35">
        <v>44648</v>
      </c>
      <c r="F3038" s="52">
        <v>210.8</v>
      </c>
      <c r="G3038" s="53">
        <f>Tabla14[[#This Row],[Importe]]-Tabla14[[#This Row],[Pagado]]</f>
        <v>0</v>
      </c>
      <c r="H3038" s="37" t="s">
        <v>10</v>
      </c>
    </row>
    <row r="3039" spans="1:8" x14ac:dyDescent="0.25">
      <c r="A3039" s="31">
        <v>44648</v>
      </c>
      <c r="B3039" s="37" t="s">
        <v>10144</v>
      </c>
      <c r="C3039" s="51" t="s">
        <v>3823</v>
      </c>
      <c r="D3039" s="52">
        <v>0</v>
      </c>
      <c r="E3039" s="39" t="s">
        <v>189</v>
      </c>
      <c r="F3039" s="52">
        <v>0</v>
      </c>
      <c r="G3039" s="53">
        <f>Tabla14[[#This Row],[Importe]]-Tabla14[[#This Row],[Pagado]]</f>
        <v>0</v>
      </c>
      <c r="H3039" s="37" t="s">
        <v>189</v>
      </c>
    </row>
    <row r="3040" spans="1:8" x14ac:dyDescent="0.25">
      <c r="A3040" s="31">
        <v>44648</v>
      </c>
      <c r="B3040" s="37" t="s">
        <v>10145</v>
      </c>
      <c r="C3040" s="51" t="s">
        <v>31</v>
      </c>
      <c r="D3040" s="52">
        <v>25483</v>
      </c>
      <c r="E3040" s="35">
        <v>44648</v>
      </c>
      <c r="F3040" s="52">
        <v>25483</v>
      </c>
      <c r="G3040" s="53">
        <f>Tabla14[[#This Row],[Importe]]-Tabla14[[#This Row],[Pagado]]</f>
        <v>0</v>
      </c>
      <c r="H3040" s="37" t="s">
        <v>10</v>
      </c>
    </row>
    <row r="3041" spans="1:8" x14ac:dyDescent="0.25">
      <c r="A3041" s="31">
        <v>44648</v>
      </c>
      <c r="B3041" s="37" t="s">
        <v>10146</v>
      </c>
      <c r="C3041" s="51" t="s">
        <v>804</v>
      </c>
      <c r="D3041" s="52">
        <v>16831.599999999999</v>
      </c>
      <c r="E3041" s="35">
        <v>44648</v>
      </c>
      <c r="F3041" s="52">
        <v>16831.599999999999</v>
      </c>
      <c r="G3041" s="53">
        <f>Tabla14[[#This Row],[Importe]]-Tabla14[[#This Row],[Pagado]]</f>
        <v>0</v>
      </c>
      <c r="H3041" s="37" t="s">
        <v>10</v>
      </c>
    </row>
    <row r="3042" spans="1:8" x14ac:dyDescent="0.25">
      <c r="A3042" s="31">
        <v>44648</v>
      </c>
      <c r="B3042" s="37" t="s">
        <v>10147</v>
      </c>
      <c r="C3042" s="51" t="s">
        <v>154</v>
      </c>
      <c r="D3042" s="52">
        <v>28105.200000000001</v>
      </c>
      <c r="E3042" s="35">
        <v>44652</v>
      </c>
      <c r="F3042" s="52">
        <v>28105.200000000001</v>
      </c>
      <c r="G3042" s="53">
        <f>Tabla14[[#This Row],[Importe]]-Tabla14[[#This Row],[Pagado]]</f>
        <v>0</v>
      </c>
      <c r="H3042" s="37" t="s">
        <v>10</v>
      </c>
    </row>
    <row r="3043" spans="1:8" x14ac:dyDescent="0.25">
      <c r="A3043" s="31">
        <v>44648</v>
      </c>
      <c r="B3043" s="37" t="s">
        <v>10148</v>
      </c>
      <c r="C3043" s="51" t="s">
        <v>62</v>
      </c>
      <c r="D3043" s="52">
        <v>2920.5</v>
      </c>
      <c r="E3043" s="35">
        <v>44648</v>
      </c>
      <c r="F3043" s="52">
        <v>2920.5</v>
      </c>
      <c r="G3043" s="53">
        <f>Tabla14[[#This Row],[Importe]]-Tabla14[[#This Row],[Pagado]]</f>
        <v>0</v>
      </c>
      <c r="H3043" s="37" t="s">
        <v>10</v>
      </c>
    </row>
    <row r="3044" spans="1:8" x14ac:dyDescent="0.25">
      <c r="A3044" s="31">
        <v>44648</v>
      </c>
      <c r="B3044" s="37" t="s">
        <v>10149</v>
      </c>
      <c r="C3044" s="51" t="s">
        <v>1313</v>
      </c>
      <c r="D3044" s="52">
        <v>10800</v>
      </c>
      <c r="E3044" s="35">
        <v>44648</v>
      </c>
      <c r="F3044" s="52">
        <v>10800</v>
      </c>
      <c r="G3044" s="53">
        <f>Tabla14[[#This Row],[Importe]]-Tabla14[[#This Row],[Pagado]]</f>
        <v>0</v>
      </c>
      <c r="H3044" s="37" t="s">
        <v>10</v>
      </c>
    </row>
    <row r="3045" spans="1:8" x14ac:dyDescent="0.25">
      <c r="A3045" s="31">
        <v>44648</v>
      </c>
      <c r="B3045" s="37" t="s">
        <v>10150</v>
      </c>
      <c r="C3045" s="51" t="s">
        <v>843</v>
      </c>
      <c r="D3045" s="52">
        <v>18324</v>
      </c>
      <c r="E3045" s="35">
        <v>44648</v>
      </c>
      <c r="F3045" s="52">
        <v>18324</v>
      </c>
      <c r="G3045" s="53">
        <f>Tabla14[[#This Row],[Importe]]-Tabla14[[#This Row],[Pagado]]</f>
        <v>0</v>
      </c>
      <c r="H3045" s="37" t="s">
        <v>10</v>
      </c>
    </row>
    <row r="3046" spans="1:8" x14ac:dyDescent="0.25">
      <c r="A3046" s="31">
        <v>44648</v>
      </c>
      <c r="B3046" s="37" t="s">
        <v>10151</v>
      </c>
      <c r="C3046" s="51" t="s">
        <v>5816</v>
      </c>
      <c r="D3046" s="52">
        <v>3191.2</v>
      </c>
      <c r="E3046" s="35">
        <v>44649</v>
      </c>
      <c r="F3046" s="52">
        <v>3191.2</v>
      </c>
      <c r="G3046" s="53">
        <f>Tabla14[[#This Row],[Importe]]-Tabla14[[#This Row],[Pagado]]</f>
        <v>0</v>
      </c>
      <c r="H3046" s="37" t="s">
        <v>10</v>
      </c>
    </row>
    <row r="3047" spans="1:8" x14ac:dyDescent="0.25">
      <c r="A3047" s="31">
        <v>44648</v>
      </c>
      <c r="B3047" s="37" t="s">
        <v>10152</v>
      </c>
      <c r="C3047" s="51" t="s">
        <v>218</v>
      </c>
      <c r="D3047" s="52">
        <v>18908.400000000001</v>
      </c>
      <c r="E3047" s="35">
        <v>44651</v>
      </c>
      <c r="F3047" s="52">
        <v>18908.400000000001</v>
      </c>
      <c r="G3047" s="53">
        <f>Tabla14[[#This Row],[Importe]]-Tabla14[[#This Row],[Pagado]]</f>
        <v>0</v>
      </c>
      <c r="H3047" s="37" t="s">
        <v>10</v>
      </c>
    </row>
    <row r="3048" spans="1:8" x14ac:dyDescent="0.25">
      <c r="A3048" s="31">
        <v>44648</v>
      </c>
      <c r="B3048" s="37" t="s">
        <v>10153</v>
      </c>
      <c r="C3048" s="51" t="s">
        <v>133</v>
      </c>
      <c r="D3048" s="52">
        <v>9385.2000000000007</v>
      </c>
      <c r="E3048" s="35">
        <v>44649</v>
      </c>
      <c r="F3048" s="52">
        <v>9385.2000000000007</v>
      </c>
      <c r="G3048" s="53">
        <f>Tabla14[[#This Row],[Importe]]-Tabla14[[#This Row],[Pagado]]</f>
        <v>0</v>
      </c>
      <c r="H3048" s="37" t="s">
        <v>10</v>
      </c>
    </row>
    <row r="3049" spans="1:8" x14ac:dyDescent="0.25">
      <c r="A3049" s="31">
        <v>44648</v>
      </c>
      <c r="B3049" s="37" t="s">
        <v>10154</v>
      </c>
      <c r="C3049" s="51" t="s">
        <v>670</v>
      </c>
      <c r="D3049" s="52">
        <v>4388.7</v>
      </c>
      <c r="E3049" s="35">
        <v>44648</v>
      </c>
      <c r="F3049" s="52">
        <v>4388.7</v>
      </c>
      <c r="G3049" s="53">
        <f>Tabla14[[#This Row],[Importe]]-Tabla14[[#This Row],[Pagado]]</f>
        <v>0</v>
      </c>
      <c r="H3049" s="37" t="s">
        <v>10</v>
      </c>
    </row>
    <row r="3050" spans="1:8" x14ac:dyDescent="0.25">
      <c r="A3050" s="31">
        <v>44648</v>
      </c>
      <c r="B3050" s="37" t="s">
        <v>10155</v>
      </c>
      <c r="C3050" s="51" t="s">
        <v>31</v>
      </c>
      <c r="D3050" s="52">
        <v>1271.8</v>
      </c>
      <c r="E3050" s="35">
        <v>44648</v>
      </c>
      <c r="F3050" s="52">
        <v>1271.8</v>
      </c>
      <c r="G3050" s="53">
        <f>Tabla14[[#This Row],[Importe]]-Tabla14[[#This Row],[Pagado]]</f>
        <v>0</v>
      </c>
      <c r="H3050" s="37" t="s">
        <v>10</v>
      </c>
    </row>
    <row r="3051" spans="1:8" x14ac:dyDescent="0.25">
      <c r="A3051" s="31">
        <v>44648</v>
      </c>
      <c r="B3051" s="37" t="s">
        <v>10156</v>
      </c>
      <c r="C3051" s="51" t="s">
        <v>10157</v>
      </c>
      <c r="D3051" s="52">
        <v>29225.52</v>
      </c>
      <c r="E3051" s="35">
        <v>44649</v>
      </c>
      <c r="F3051" s="52">
        <v>29225.52</v>
      </c>
      <c r="G3051" s="53">
        <f>Tabla14[[#This Row],[Importe]]-Tabla14[[#This Row],[Pagado]]</f>
        <v>0</v>
      </c>
      <c r="H3051" s="37" t="s">
        <v>10</v>
      </c>
    </row>
    <row r="3052" spans="1:8" x14ac:dyDescent="0.25">
      <c r="A3052" s="31">
        <v>44648</v>
      </c>
      <c r="B3052" s="37" t="s">
        <v>10158</v>
      </c>
      <c r="C3052" s="51" t="s">
        <v>5620</v>
      </c>
      <c r="D3052" s="52">
        <v>36338.400000000001</v>
      </c>
      <c r="E3052" s="35">
        <v>44648</v>
      </c>
      <c r="F3052" s="52">
        <v>36338.400000000001</v>
      </c>
      <c r="G3052" s="53">
        <f>Tabla14[[#This Row],[Importe]]-Tabla14[[#This Row],[Pagado]]</f>
        <v>0</v>
      </c>
      <c r="H3052" s="37" t="s">
        <v>10</v>
      </c>
    </row>
    <row r="3053" spans="1:8" x14ac:dyDescent="0.25">
      <c r="A3053" s="31">
        <v>44648</v>
      </c>
      <c r="B3053" s="37" t="s">
        <v>10159</v>
      </c>
      <c r="C3053" s="51" t="s">
        <v>31</v>
      </c>
      <c r="D3053" s="52">
        <v>3923.6</v>
      </c>
      <c r="E3053" s="35">
        <v>44649</v>
      </c>
      <c r="F3053" s="52">
        <v>3923.6</v>
      </c>
      <c r="G3053" s="53">
        <f>Tabla14[[#This Row],[Importe]]-Tabla14[[#This Row],[Pagado]]</f>
        <v>0</v>
      </c>
      <c r="H3053" s="37" t="s">
        <v>10</v>
      </c>
    </row>
    <row r="3054" spans="1:8" x14ac:dyDescent="0.25">
      <c r="A3054" s="31">
        <v>44648</v>
      </c>
      <c r="B3054" s="37" t="s">
        <v>10160</v>
      </c>
      <c r="C3054" s="51" t="s">
        <v>1965</v>
      </c>
      <c r="D3054" s="52">
        <v>11030</v>
      </c>
      <c r="E3054" s="35">
        <v>44648</v>
      </c>
      <c r="F3054" s="52">
        <v>11030</v>
      </c>
      <c r="G3054" s="53">
        <f>Tabla14[[#This Row],[Importe]]-Tabla14[[#This Row],[Pagado]]</f>
        <v>0</v>
      </c>
      <c r="H3054" s="37" t="s">
        <v>10</v>
      </c>
    </row>
    <row r="3055" spans="1:8" x14ac:dyDescent="0.25">
      <c r="A3055" s="31">
        <v>44648</v>
      </c>
      <c r="B3055" s="37" t="s">
        <v>10161</v>
      </c>
      <c r="C3055" s="51" t="s">
        <v>58</v>
      </c>
      <c r="D3055" s="52">
        <v>2624</v>
      </c>
      <c r="E3055" s="35">
        <v>44648</v>
      </c>
      <c r="F3055" s="52">
        <v>2624</v>
      </c>
      <c r="G3055" s="53">
        <f>Tabla14[[#This Row],[Importe]]-Tabla14[[#This Row],[Pagado]]</f>
        <v>0</v>
      </c>
      <c r="H3055" s="37" t="s">
        <v>10</v>
      </c>
    </row>
    <row r="3056" spans="1:8" x14ac:dyDescent="0.25">
      <c r="A3056" s="31">
        <v>44648</v>
      </c>
      <c r="B3056" s="37" t="s">
        <v>10162</v>
      </c>
      <c r="C3056" s="51" t="s">
        <v>196</v>
      </c>
      <c r="D3056" s="52">
        <v>7324.6</v>
      </c>
      <c r="E3056" s="35">
        <v>44652</v>
      </c>
      <c r="F3056" s="52">
        <v>7324.6</v>
      </c>
      <c r="G3056" s="53">
        <f>Tabla14[[#This Row],[Importe]]-Tabla14[[#This Row],[Pagado]]</f>
        <v>0</v>
      </c>
      <c r="H3056" s="37" t="s">
        <v>10</v>
      </c>
    </row>
    <row r="3057" spans="1:8" x14ac:dyDescent="0.25">
      <c r="A3057" s="31">
        <v>44648</v>
      </c>
      <c r="B3057" s="37" t="s">
        <v>10163</v>
      </c>
      <c r="C3057" s="51" t="s">
        <v>4136</v>
      </c>
      <c r="D3057" s="52">
        <v>2340.5</v>
      </c>
      <c r="E3057" s="35">
        <v>44648</v>
      </c>
      <c r="F3057" s="52">
        <v>2340.5</v>
      </c>
      <c r="G3057" s="53">
        <f>Tabla14[[#This Row],[Importe]]-Tabla14[[#This Row],[Pagado]]</f>
        <v>0</v>
      </c>
      <c r="H3057" s="37" t="s">
        <v>10</v>
      </c>
    </row>
    <row r="3058" spans="1:8" x14ac:dyDescent="0.25">
      <c r="A3058" s="31">
        <v>44648</v>
      </c>
      <c r="B3058" s="37" t="s">
        <v>10164</v>
      </c>
      <c r="C3058" s="51" t="s">
        <v>206</v>
      </c>
      <c r="D3058" s="52">
        <v>21547.72</v>
      </c>
      <c r="E3058" s="35">
        <v>44651</v>
      </c>
      <c r="F3058" s="52">
        <v>21547.72</v>
      </c>
      <c r="G3058" s="53">
        <f>Tabla14[[#This Row],[Importe]]-Tabla14[[#This Row],[Pagado]]</f>
        <v>0</v>
      </c>
      <c r="H3058" s="37" t="s">
        <v>10</v>
      </c>
    </row>
    <row r="3059" spans="1:8" x14ac:dyDescent="0.25">
      <c r="A3059" s="31">
        <v>44648</v>
      </c>
      <c r="B3059" s="37" t="s">
        <v>10165</v>
      </c>
      <c r="C3059" s="51" t="s">
        <v>208</v>
      </c>
      <c r="D3059" s="52">
        <v>15274.74</v>
      </c>
      <c r="E3059" s="35">
        <v>44652</v>
      </c>
      <c r="F3059" s="52">
        <v>15274.74</v>
      </c>
      <c r="G3059" s="53">
        <f>Tabla14[[#This Row],[Importe]]-Tabla14[[#This Row],[Pagado]]</f>
        <v>0</v>
      </c>
      <c r="H3059" s="37" t="s">
        <v>10</v>
      </c>
    </row>
    <row r="3060" spans="1:8" x14ac:dyDescent="0.25">
      <c r="A3060" s="31">
        <v>44648</v>
      </c>
      <c r="B3060" s="37" t="s">
        <v>10166</v>
      </c>
      <c r="C3060" s="51" t="s">
        <v>230</v>
      </c>
      <c r="D3060" s="52">
        <v>4249.3999999999996</v>
      </c>
      <c r="E3060" s="35">
        <v>44648</v>
      </c>
      <c r="F3060" s="52">
        <v>4249.3999999999996</v>
      </c>
      <c r="G3060" s="53">
        <f>Tabla14[[#This Row],[Importe]]-Tabla14[[#This Row],[Pagado]]</f>
        <v>0</v>
      </c>
      <c r="H3060" s="37" t="s">
        <v>10</v>
      </c>
    </row>
    <row r="3061" spans="1:8" x14ac:dyDescent="0.25">
      <c r="A3061" s="31">
        <v>44648</v>
      </c>
      <c r="B3061" s="37" t="s">
        <v>10167</v>
      </c>
      <c r="C3061" s="51" t="s">
        <v>4273</v>
      </c>
      <c r="D3061" s="52">
        <v>26500</v>
      </c>
      <c r="E3061" s="35">
        <v>44648</v>
      </c>
      <c r="F3061" s="52">
        <v>26500</v>
      </c>
      <c r="G3061" s="53">
        <f>Tabla14[[#This Row],[Importe]]-Tabla14[[#This Row],[Pagado]]</f>
        <v>0</v>
      </c>
      <c r="H3061" s="37" t="s">
        <v>10</v>
      </c>
    </row>
    <row r="3062" spans="1:8" x14ac:dyDescent="0.25">
      <c r="A3062" s="31">
        <v>44648</v>
      </c>
      <c r="B3062" s="37" t="s">
        <v>10168</v>
      </c>
      <c r="C3062" s="51" t="s">
        <v>173</v>
      </c>
      <c r="D3062" s="52">
        <v>34776</v>
      </c>
      <c r="E3062" s="35">
        <v>44649</v>
      </c>
      <c r="F3062" s="52">
        <v>34776</v>
      </c>
      <c r="G3062" s="53">
        <f>Tabla14[[#This Row],[Importe]]-Tabla14[[#This Row],[Pagado]]</f>
        <v>0</v>
      </c>
      <c r="H3062" s="37" t="s">
        <v>10</v>
      </c>
    </row>
    <row r="3063" spans="1:8" x14ac:dyDescent="0.25">
      <c r="A3063" s="31">
        <v>44648</v>
      </c>
      <c r="B3063" s="37" t="s">
        <v>10169</v>
      </c>
      <c r="C3063" s="51" t="s">
        <v>214</v>
      </c>
      <c r="D3063" s="52">
        <v>5103</v>
      </c>
      <c r="E3063" s="35">
        <v>44649</v>
      </c>
      <c r="F3063" s="52">
        <v>5103</v>
      </c>
      <c r="G3063" s="53">
        <f>Tabla14[[#This Row],[Importe]]-Tabla14[[#This Row],[Pagado]]</f>
        <v>0</v>
      </c>
      <c r="H3063" s="37" t="s">
        <v>10</v>
      </c>
    </row>
    <row r="3064" spans="1:8" x14ac:dyDescent="0.25">
      <c r="A3064" s="31">
        <v>44648</v>
      </c>
      <c r="B3064" s="37" t="s">
        <v>10170</v>
      </c>
      <c r="C3064" s="51" t="s">
        <v>71</v>
      </c>
      <c r="D3064" s="52">
        <v>2964</v>
      </c>
      <c r="E3064" s="35">
        <v>44648</v>
      </c>
      <c r="F3064" s="52">
        <v>2964</v>
      </c>
      <c r="G3064" s="53">
        <f>Tabla14[[#This Row],[Importe]]-Tabla14[[#This Row],[Pagado]]</f>
        <v>0</v>
      </c>
      <c r="H3064" s="37" t="s">
        <v>10</v>
      </c>
    </row>
    <row r="3065" spans="1:8" x14ac:dyDescent="0.25">
      <c r="A3065" s="31">
        <v>44648</v>
      </c>
      <c r="B3065" s="37" t="s">
        <v>10171</v>
      </c>
      <c r="C3065" s="51" t="s">
        <v>71</v>
      </c>
      <c r="D3065" s="52">
        <v>6903.1</v>
      </c>
      <c r="E3065" s="35">
        <v>44648</v>
      </c>
      <c r="F3065" s="52">
        <v>6903.1</v>
      </c>
      <c r="G3065" s="53">
        <f>Tabla14[[#This Row],[Importe]]-Tabla14[[#This Row],[Pagado]]</f>
        <v>0</v>
      </c>
      <c r="H3065" s="37" t="s">
        <v>10</v>
      </c>
    </row>
    <row r="3066" spans="1:8" x14ac:dyDescent="0.25">
      <c r="A3066" s="31">
        <v>44648</v>
      </c>
      <c r="B3066" s="37" t="s">
        <v>10172</v>
      </c>
      <c r="C3066" s="51" t="s">
        <v>107</v>
      </c>
      <c r="D3066" s="52">
        <v>11575.2</v>
      </c>
      <c r="E3066" s="35">
        <v>44648</v>
      </c>
      <c r="F3066" s="52">
        <v>11575.2</v>
      </c>
      <c r="G3066" s="53">
        <f>Tabla14[[#This Row],[Importe]]-Tabla14[[#This Row],[Pagado]]</f>
        <v>0</v>
      </c>
      <c r="H3066" s="37" t="s">
        <v>10</v>
      </c>
    </row>
    <row r="3067" spans="1:8" x14ac:dyDescent="0.25">
      <c r="A3067" s="31">
        <v>44648</v>
      </c>
      <c r="B3067" s="37" t="s">
        <v>10173</v>
      </c>
      <c r="C3067" s="51" t="s">
        <v>4493</v>
      </c>
      <c r="D3067" s="52">
        <v>3575</v>
      </c>
      <c r="E3067" s="35">
        <v>44648</v>
      </c>
      <c r="F3067" s="52">
        <v>3575</v>
      </c>
      <c r="G3067" s="53">
        <f>Tabla14[[#This Row],[Importe]]-Tabla14[[#This Row],[Pagado]]</f>
        <v>0</v>
      </c>
      <c r="H3067" s="37" t="s">
        <v>10</v>
      </c>
    </row>
    <row r="3068" spans="1:8" x14ac:dyDescent="0.25">
      <c r="A3068" s="31">
        <v>44648</v>
      </c>
      <c r="B3068" s="37" t="s">
        <v>10174</v>
      </c>
      <c r="C3068" s="51" t="s">
        <v>1265</v>
      </c>
      <c r="D3068" s="52">
        <v>616</v>
      </c>
      <c r="E3068" s="35">
        <v>44648</v>
      </c>
      <c r="F3068" s="52">
        <v>616</v>
      </c>
      <c r="G3068" s="53">
        <f>Tabla14[[#This Row],[Importe]]-Tabla14[[#This Row],[Pagado]]</f>
        <v>0</v>
      </c>
      <c r="H3068" s="37" t="s">
        <v>10</v>
      </c>
    </row>
    <row r="3069" spans="1:8" x14ac:dyDescent="0.25">
      <c r="A3069" s="31">
        <v>44648</v>
      </c>
      <c r="B3069" s="37" t="s">
        <v>10175</v>
      </c>
      <c r="C3069" s="51" t="s">
        <v>440</v>
      </c>
      <c r="D3069" s="52">
        <v>11582.4</v>
      </c>
      <c r="E3069" s="35">
        <v>44662</v>
      </c>
      <c r="F3069" s="52">
        <v>11582.4</v>
      </c>
      <c r="G3069" s="53">
        <f>Tabla14[[#This Row],[Importe]]-Tabla14[[#This Row],[Pagado]]</f>
        <v>0</v>
      </c>
      <c r="H3069" s="37" t="s">
        <v>10</v>
      </c>
    </row>
    <row r="3070" spans="1:8" x14ac:dyDescent="0.25">
      <c r="A3070" s="31">
        <v>44648</v>
      </c>
      <c r="B3070" s="37" t="s">
        <v>10176</v>
      </c>
      <c r="C3070" s="51" t="s">
        <v>269</v>
      </c>
      <c r="D3070" s="52">
        <v>2328.1999999999998</v>
      </c>
      <c r="E3070" s="35">
        <v>44648</v>
      </c>
      <c r="F3070" s="52">
        <v>2328.1999999999998</v>
      </c>
      <c r="G3070" s="53">
        <f>Tabla14[[#This Row],[Importe]]-Tabla14[[#This Row],[Pagado]]</f>
        <v>0</v>
      </c>
      <c r="H3070" s="37" t="s">
        <v>10</v>
      </c>
    </row>
    <row r="3071" spans="1:8" x14ac:dyDescent="0.25">
      <c r="A3071" s="31">
        <v>44648</v>
      </c>
      <c r="B3071" s="37" t="s">
        <v>10177</v>
      </c>
      <c r="C3071" s="51" t="s">
        <v>31</v>
      </c>
      <c r="D3071" s="52">
        <v>27079.200000000001</v>
      </c>
      <c r="E3071" s="35">
        <v>44648</v>
      </c>
      <c r="F3071" s="52">
        <v>27079.200000000001</v>
      </c>
      <c r="G3071" s="53">
        <f>Tabla14[[#This Row],[Importe]]-Tabla14[[#This Row],[Pagado]]</f>
        <v>0</v>
      </c>
      <c r="H3071" s="37" t="s">
        <v>10</v>
      </c>
    </row>
    <row r="3072" spans="1:8" x14ac:dyDescent="0.25">
      <c r="A3072" s="31">
        <v>44648</v>
      </c>
      <c r="B3072" s="37" t="s">
        <v>10178</v>
      </c>
      <c r="C3072" s="51" t="s">
        <v>263</v>
      </c>
      <c r="D3072" s="52">
        <v>16416</v>
      </c>
      <c r="E3072" s="35">
        <v>44652</v>
      </c>
      <c r="F3072" s="52">
        <v>16416</v>
      </c>
      <c r="G3072" s="53">
        <f>Tabla14[[#This Row],[Importe]]-Tabla14[[#This Row],[Pagado]]</f>
        <v>0</v>
      </c>
      <c r="H3072" s="37" t="s">
        <v>10</v>
      </c>
    </row>
    <row r="3073" spans="1:8" x14ac:dyDescent="0.25">
      <c r="A3073" s="31">
        <v>44648</v>
      </c>
      <c r="B3073" s="37" t="s">
        <v>10179</v>
      </c>
      <c r="C3073" s="51" t="s">
        <v>31</v>
      </c>
      <c r="D3073" s="52">
        <v>5659.8</v>
      </c>
      <c r="E3073" s="35">
        <v>44648</v>
      </c>
      <c r="F3073" s="52">
        <v>5659.8</v>
      </c>
      <c r="G3073" s="53">
        <f>Tabla14[[#This Row],[Importe]]-Tabla14[[#This Row],[Pagado]]</f>
        <v>0</v>
      </c>
      <c r="H3073" s="37" t="s">
        <v>10</v>
      </c>
    </row>
    <row r="3074" spans="1:8" x14ac:dyDescent="0.25">
      <c r="A3074" s="31">
        <v>44648</v>
      </c>
      <c r="B3074" s="37" t="s">
        <v>10180</v>
      </c>
      <c r="C3074" s="51" t="s">
        <v>16</v>
      </c>
      <c r="D3074" s="52">
        <v>1074.2</v>
      </c>
      <c r="E3074" s="35">
        <v>44648</v>
      </c>
      <c r="F3074" s="52">
        <v>1074.2</v>
      </c>
      <c r="G3074" s="53">
        <f>Tabla14[[#This Row],[Importe]]-Tabla14[[#This Row],[Pagado]]</f>
        <v>0</v>
      </c>
      <c r="H3074" s="37" t="s">
        <v>10</v>
      </c>
    </row>
    <row r="3075" spans="1:8" x14ac:dyDescent="0.25">
      <c r="A3075" s="31">
        <v>44648</v>
      </c>
      <c r="B3075" s="37" t="s">
        <v>10181</v>
      </c>
      <c r="C3075" s="51" t="s">
        <v>296</v>
      </c>
      <c r="D3075" s="52">
        <v>2366.1</v>
      </c>
      <c r="E3075" s="35">
        <v>44648</v>
      </c>
      <c r="F3075" s="52">
        <v>2366.1</v>
      </c>
      <c r="G3075" s="53">
        <f>Tabla14[[#This Row],[Importe]]-Tabla14[[#This Row],[Pagado]]</f>
        <v>0</v>
      </c>
      <c r="H3075" s="37" t="s">
        <v>10</v>
      </c>
    </row>
    <row r="3076" spans="1:8" x14ac:dyDescent="0.25">
      <c r="A3076" s="31">
        <v>44648</v>
      </c>
      <c r="B3076" s="37" t="s">
        <v>10182</v>
      </c>
      <c r="C3076" s="51" t="s">
        <v>1008</v>
      </c>
      <c r="D3076" s="52">
        <v>4413.5</v>
      </c>
      <c r="E3076" s="35">
        <v>44648</v>
      </c>
      <c r="F3076" s="52">
        <v>4413.5</v>
      </c>
      <c r="G3076" s="53">
        <f>Tabla14[[#This Row],[Importe]]-Tabla14[[#This Row],[Pagado]]</f>
        <v>0</v>
      </c>
      <c r="H3076" s="37" t="s">
        <v>10</v>
      </c>
    </row>
    <row r="3077" spans="1:8" x14ac:dyDescent="0.25">
      <c r="A3077" s="31">
        <v>44648</v>
      </c>
      <c r="B3077" s="37" t="s">
        <v>10183</v>
      </c>
      <c r="C3077" s="51" t="s">
        <v>475</v>
      </c>
      <c r="D3077" s="52">
        <v>20440.8</v>
      </c>
      <c r="E3077" s="35">
        <v>44649</v>
      </c>
      <c r="F3077" s="52">
        <v>20440.8</v>
      </c>
      <c r="G3077" s="53">
        <f>Tabla14[[#This Row],[Importe]]-Tabla14[[#This Row],[Pagado]]</f>
        <v>0</v>
      </c>
      <c r="H3077" s="37" t="s">
        <v>10</v>
      </c>
    </row>
    <row r="3078" spans="1:8" x14ac:dyDescent="0.25">
      <c r="A3078" s="31">
        <v>44648</v>
      </c>
      <c r="B3078" s="37" t="s">
        <v>10184</v>
      </c>
      <c r="C3078" s="51" t="s">
        <v>31</v>
      </c>
      <c r="D3078" s="52">
        <v>1252.0999999999999</v>
      </c>
      <c r="E3078" s="35">
        <v>44648</v>
      </c>
      <c r="F3078" s="52">
        <v>1252.0999999999999</v>
      </c>
      <c r="G3078" s="53">
        <f>Tabla14[[#This Row],[Importe]]-Tabla14[[#This Row],[Pagado]]</f>
        <v>0</v>
      </c>
      <c r="H3078" s="37" t="s">
        <v>10</v>
      </c>
    </row>
    <row r="3079" spans="1:8" x14ac:dyDescent="0.25">
      <c r="A3079" s="31">
        <v>44648</v>
      </c>
      <c r="B3079" s="37" t="s">
        <v>10185</v>
      </c>
      <c r="C3079" s="51" t="s">
        <v>7742</v>
      </c>
      <c r="D3079" s="52">
        <v>40529.599999999999</v>
      </c>
      <c r="E3079" s="35">
        <v>44655</v>
      </c>
      <c r="F3079" s="52">
        <v>40529.599999999999</v>
      </c>
      <c r="G3079" s="53">
        <f>Tabla14[[#This Row],[Importe]]-Tabla14[[#This Row],[Pagado]]</f>
        <v>0</v>
      </c>
      <c r="H3079" s="37" t="s">
        <v>10</v>
      </c>
    </row>
    <row r="3080" spans="1:8" x14ac:dyDescent="0.25">
      <c r="A3080" s="31">
        <v>44648</v>
      </c>
      <c r="B3080" s="37" t="s">
        <v>10186</v>
      </c>
      <c r="C3080" s="51" t="s">
        <v>246</v>
      </c>
      <c r="D3080" s="52">
        <v>41605.800000000003</v>
      </c>
      <c r="E3080" s="35">
        <v>44648</v>
      </c>
      <c r="F3080" s="52">
        <v>41605.800000000003</v>
      </c>
      <c r="G3080" s="53">
        <f>Tabla14[[#This Row],[Importe]]-Tabla14[[#This Row],[Pagado]]</f>
        <v>0</v>
      </c>
      <c r="H3080" s="37" t="s">
        <v>10</v>
      </c>
    </row>
    <row r="3081" spans="1:8" x14ac:dyDescent="0.25">
      <c r="A3081" s="31">
        <v>44648</v>
      </c>
      <c r="B3081" s="37" t="s">
        <v>10187</v>
      </c>
      <c r="C3081" s="51" t="s">
        <v>31</v>
      </c>
      <c r="D3081" s="52">
        <v>3567.2</v>
      </c>
      <c r="E3081" s="35">
        <v>44648</v>
      </c>
      <c r="F3081" s="52">
        <v>3567.2</v>
      </c>
      <c r="G3081" s="53">
        <f>Tabla14[[#This Row],[Importe]]-Tabla14[[#This Row],[Pagado]]</f>
        <v>0</v>
      </c>
      <c r="H3081" s="37" t="s">
        <v>10</v>
      </c>
    </row>
    <row r="3082" spans="1:8" x14ac:dyDescent="0.25">
      <c r="A3082" s="31">
        <v>44648</v>
      </c>
      <c r="B3082" s="37" t="s">
        <v>10188</v>
      </c>
      <c r="C3082" s="51" t="s">
        <v>179</v>
      </c>
      <c r="D3082" s="52">
        <v>540</v>
      </c>
      <c r="E3082" s="35">
        <v>44648</v>
      </c>
      <c r="F3082" s="52">
        <v>540</v>
      </c>
      <c r="G3082" s="53">
        <f>Tabla14[[#This Row],[Importe]]-Tabla14[[#This Row],[Pagado]]</f>
        <v>0</v>
      </c>
      <c r="H3082" s="37" t="s">
        <v>10</v>
      </c>
    </row>
    <row r="3083" spans="1:8" x14ac:dyDescent="0.25">
      <c r="A3083" s="31">
        <v>44648</v>
      </c>
      <c r="B3083" s="37" t="s">
        <v>10189</v>
      </c>
      <c r="C3083" s="51" t="s">
        <v>10190</v>
      </c>
      <c r="D3083" s="52">
        <v>8983</v>
      </c>
      <c r="E3083" s="35">
        <v>44649</v>
      </c>
      <c r="F3083" s="52">
        <v>8983</v>
      </c>
      <c r="G3083" s="53">
        <f>Tabla14[[#This Row],[Importe]]-Tabla14[[#This Row],[Pagado]]</f>
        <v>0</v>
      </c>
      <c r="H3083" s="37" t="s">
        <v>10</v>
      </c>
    </row>
    <row r="3084" spans="1:8" x14ac:dyDescent="0.25">
      <c r="A3084" s="31">
        <v>44648</v>
      </c>
      <c r="B3084" s="37" t="s">
        <v>10191</v>
      </c>
      <c r="C3084" s="51" t="s">
        <v>56</v>
      </c>
      <c r="D3084" s="52">
        <v>6537.2</v>
      </c>
      <c r="E3084" s="35">
        <v>44648</v>
      </c>
      <c r="F3084" s="52">
        <v>6537.2</v>
      </c>
      <c r="G3084" s="53">
        <f>Tabla14[[#This Row],[Importe]]-Tabla14[[#This Row],[Pagado]]</f>
        <v>0</v>
      </c>
      <c r="H3084" s="37" t="s">
        <v>10</v>
      </c>
    </row>
    <row r="3085" spans="1:8" x14ac:dyDescent="0.25">
      <c r="A3085" s="31">
        <v>44648</v>
      </c>
      <c r="B3085" s="37" t="s">
        <v>10192</v>
      </c>
      <c r="C3085" s="51" t="s">
        <v>612</v>
      </c>
      <c r="D3085" s="52">
        <v>237.6</v>
      </c>
      <c r="E3085" s="35">
        <v>44649</v>
      </c>
      <c r="F3085" s="52">
        <v>237.6</v>
      </c>
      <c r="G3085" s="53">
        <f>Tabla14[[#This Row],[Importe]]-Tabla14[[#This Row],[Pagado]]</f>
        <v>0</v>
      </c>
      <c r="H3085" s="37" t="s">
        <v>10</v>
      </c>
    </row>
    <row r="3086" spans="1:8" x14ac:dyDescent="0.25">
      <c r="A3086" s="31">
        <v>44649</v>
      </c>
      <c r="B3086" s="37" t="s">
        <v>10193</v>
      </c>
      <c r="C3086" s="51" t="s">
        <v>353</v>
      </c>
      <c r="D3086" s="52">
        <v>1885.1</v>
      </c>
      <c r="E3086" s="35">
        <v>44649</v>
      </c>
      <c r="F3086" s="52">
        <v>1885.1</v>
      </c>
      <c r="G3086" s="53">
        <f>Tabla14[[#This Row],[Importe]]-Tabla14[[#This Row],[Pagado]]</f>
        <v>0</v>
      </c>
      <c r="H3086" s="37" t="s">
        <v>10</v>
      </c>
    </row>
    <row r="3087" spans="1:8" x14ac:dyDescent="0.25">
      <c r="A3087" s="31">
        <v>44649</v>
      </c>
      <c r="B3087" s="37" t="s">
        <v>10194</v>
      </c>
      <c r="C3087" s="51" t="s">
        <v>20</v>
      </c>
      <c r="D3087" s="52">
        <v>1842.4</v>
      </c>
      <c r="E3087" s="35">
        <v>44649</v>
      </c>
      <c r="F3087" s="52">
        <v>1842.4</v>
      </c>
      <c r="G3087" s="53">
        <f>Tabla14[[#This Row],[Importe]]-Tabla14[[#This Row],[Pagado]]</f>
        <v>0</v>
      </c>
      <c r="H3087" s="37" t="s">
        <v>10</v>
      </c>
    </row>
    <row r="3088" spans="1:8" x14ac:dyDescent="0.25">
      <c r="A3088" s="31">
        <v>44649</v>
      </c>
      <c r="B3088" s="37" t="s">
        <v>10195</v>
      </c>
      <c r="C3088" s="51" t="s">
        <v>83</v>
      </c>
      <c r="D3088" s="52">
        <v>4244.8</v>
      </c>
      <c r="E3088" s="35">
        <v>44649</v>
      </c>
      <c r="F3088" s="52">
        <v>4244.8</v>
      </c>
      <c r="G3088" s="53">
        <f>Tabla14[[#This Row],[Importe]]-Tabla14[[#This Row],[Pagado]]</f>
        <v>0</v>
      </c>
      <c r="H3088" s="37" t="s">
        <v>10</v>
      </c>
    </row>
    <row r="3089" spans="1:8" x14ac:dyDescent="0.25">
      <c r="A3089" s="31">
        <v>44649</v>
      </c>
      <c r="B3089" s="37" t="s">
        <v>10196</v>
      </c>
      <c r="C3089" s="51" t="s">
        <v>95</v>
      </c>
      <c r="D3089" s="52">
        <v>15486</v>
      </c>
      <c r="E3089" s="35">
        <v>44649</v>
      </c>
      <c r="F3089" s="52">
        <v>15486</v>
      </c>
      <c r="G3089" s="53">
        <f>Tabla14[[#This Row],[Importe]]-Tabla14[[#This Row],[Pagado]]</f>
        <v>0</v>
      </c>
      <c r="H3089" s="37" t="s">
        <v>10</v>
      </c>
    </row>
    <row r="3090" spans="1:8" x14ac:dyDescent="0.25">
      <c r="A3090" s="31">
        <v>44649</v>
      </c>
      <c r="B3090" s="37" t="s">
        <v>10197</v>
      </c>
      <c r="C3090" s="51" t="s">
        <v>12</v>
      </c>
      <c r="D3090" s="52">
        <v>30433.35</v>
      </c>
      <c r="E3090" s="35">
        <v>44650</v>
      </c>
      <c r="F3090" s="52">
        <v>30433.35</v>
      </c>
      <c r="G3090" s="53">
        <f>Tabla14[[#This Row],[Importe]]-Tabla14[[#This Row],[Pagado]]</f>
        <v>0</v>
      </c>
      <c r="H3090" s="37" t="s">
        <v>10</v>
      </c>
    </row>
    <row r="3091" spans="1:8" x14ac:dyDescent="0.25">
      <c r="A3091" s="31">
        <v>44649</v>
      </c>
      <c r="B3091" s="37" t="s">
        <v>10198</v>
      </c>
      <c r="C3091" s="51" t="s">
        <v>9415</v>
      </c>
      <c r="D3091" s="52">
        <v>14550.3</v>
      </c>
      <c r="E3091" s="35">
        <v>44650</v>
      </c>
      <c r="F3091" s="52">
        <v>14550.3</v>
      </c>
      <c r="G3091" s="53">
        <f>Tabla14[[#This Row],[Importe]]-Tabla14[[#This Row],[Pagado]]</f>
        <v>0</v>
      </c>
      <c r="H3091" s="37" t="s">
        <v>10</v>
      </c>
    </row>
    <row r="3092" spans="1:8" x14ac:dyDescent="0.25">
      <c r="A3092" s="31">
        <v>44649</v>
      </c>
      <c r="B3092" s="37" t="s">
        <v>10199</v>
      </c>
      <c r="C3092" s="51" t="s">
        <v>31</v>
      </c>
      <c r="D3092" s="52">
        <v>1744.2</v>
      </c>
      <c r="E3092" s="35">
        <v>44649</v>
      </c>
      <c r="F3092" s="52">
        <v>1744.2</v>
      </c>
      <c r="G3092" s="53">
        <f>Tabla14[[#This Row],[Importe]]-Tabla14[[#This Row],[Pagado]]</f>
        <v>0</v>
      </c>
      <c r="H3092" s="37" t="s">
        <v>10</v>
      </c>
    </row>
    <row r="3093" spans="1:8" x14ac:dyDescent="0.25">
      <c r="A3093" s="31">
        <v>44649</v>
      </c>
      <c r="B3093" s="37" t="s">
        <v>10200</v>
      </c>
      <c r="C3093" s="51" t="s">
        <v>9</v>
      </c>
      <c r="D3093" s="52">
        <v>4068.8</v>
      </c>
      <c r="E3093" s="35">
        <v>44649</v>
      </c>
      <c r="F3093" s="52">
        <v>4068.8</v>
      </c>
      <c r="G3093" s="53">
        <f>Tabla14[[#This Row],[Importe]]-Tabla14[[#This Row],[Pagado]]</f>
        <v>0</v>
      </c>
      <c r="H3093" s="37" t="s">
        <v>10</v>
      </c>
    </row>
    <row r="3094" spans="1:8" x14ac:dyDescent="0.25">
      <c r="A3094" s="31">
        <v>44649</v>
      </c>
      <c r="B3094" s="37" t="s">
        <v>10201</v>
      </c>
      <c r="C3094" s="51" t="s">
        <v>2139</v>
      </c>
      <c r="D3094" s="52">
        <v>5117.2</v>
      </c>
      <c r="E3094" s="35">
        <v>44649</v>
      </c>
      <c r="F3094" s="52">
        <v>5117.2</v>
      </c>
      <c r="G3094" s="53">
        <f>Tabla14[[#This Row],[Importe]]-Tabla14[[#This Row],[Pagado]]</f>
        <v>0</v>
      </c>
      <c r="H3094" s="37" t="s">
        <v>10</v>
      </c>
    </row>
    <row r="3095" spans="1:8" x14ac:dyDescent="0.25">
      <c r="A3095" s="31">
        <v>44649</v>
      </c>
      <c r="B3095" s="37" t="s">
        <v>10202</v>
      </c>
      <c r="C3095" s="51" t="s">
        <v>47</v>
      </c>
      <c r="D3095" s="52">
        <v>52842.3</v>
      </c>
      <c r="E3095" s="35">
        <v>44649</v>
      </c>
      <c r="F3095" s="52">
        <v>52842.3</v>
      </c>
      <c r="G3095" s="53">
        <f>Tabla14[[#This Row],[Importe]]-Tabla14[[#This Row],[Pagado]]</f>
        <v>0</v>
      </c>
      <c r="H3095" s="37" t="s">
        <v>10</v>
      </c>
    </row>
    <row r="3096" spans="1:8" x14ac:dyDescent="0.25">
      <c r="A3096" s="31">
        <v>44649</v>
      </c>
      <c r="B3096" s="37" t="s">
        <v>10203</v>
      </c>
      <c r="C3096" s="51" t="s">
        <v>18</v>
      </c>
      <c r="D3096" s="52">
        <v>1498.6</v>
      </c>
      <c r="E3096" s="35">
        <v>44649</v>
      </c>
      <c r="F3096" s="52">
        <v>1498.6</v>
      </c>
      <c r="G3096" s="53">
        <f>Tabla14[[#This Row],[Importe]]-Tabla14[[#This Row],[Pagado]]</f>
        <v>0</v>
      </c>
      <c r="H3096" s="37" t="s">
        <v>10</v>
      </c>
    </row>
    <row r="3097" spans="1:8" x14ac:dyDescent="0.25">
      <c r="A3097" s="31">
        <v>44649</v>
      </c>
      <c r="B3097" s="37" t="s">
        <v>10204</v>
      </c>
      <c r="C3097" s="51" t="s">
        <v>31</v>
      </c>
      <c r="D3097" s="52">
        <v>3228</v>
      </c>
      <c r="E3097" s="35">
        <v>44649</v>
      </c>
      <c r="F3097" s="52">
        <v>3228</v>
      </c>
      <c r="G3097" s="53">
        <f>Tabla14[[#This Row],[Importe]]-Tabla14[[#This Row],[Pagado]]</f>
        <v>0</v>
      </c>
      <c r="H3097" s="37" t="s">
        <v>10</v>
      </c>
    </row>
    <row r="3098" spans="1:8" x14ac:dyDescent="0.25">
      <c r="A3098" s="31">
        <v>44649</v>
      </c>
      <c r="B3098" s="37" t="s">
        <v>10205</v>
      </c>
      <c r="C3098" s="51" t="s">
        <v>2563</v>
      </c>
      <c r="D3098" s="52">
        <v>3804.6</v>
      </c>
      <c r="E3098" s="35">
        <v>44649</v>
      </c>
      <c r="F3098" s="52">
        <v>3804.6</v>
      </c>
      <c r="G3098" s="53">
        <f>Tabla14[[#This Row],[Importe]]-Tabla14[[#This Row],[Pagado]]</f>
        <v>0</v>
      </c>
      <c r="H3098" s="37" t="s">
        <v>10</v>
      </c>
    </row>
    <row r="3099" spans="1:8" x14ac:dyDescent="0.25">
      <c r="A3099" s="31">
        <v>44649</v>
      </c>
      <c r="B3099" s="37" t="s">
        <v>10206</v>
      </c>
      <c r="C3099" s="51" t="s">
        <v>105</v>
      </c>
      <c r="D3099" s="52">
        <v>3851.4</v>
      </c>
      <c r="E3099" s="35">
        <v>44650</v>
      </c>
      <c r="F3099" s="52">
        <v>3851.4</v>
      </c>
      <c r="G3099" s="53">
        <f>Tabla14[[#This Row],[Importe]]-Tabla14[[#This Row],[Pagado]]</f>
        <v>0</v>
      </c>
      <c r="H3099" s="37" t="s">
        <v>10</v>
      </c>
    </row>
    <row r="3100" spans="1:8" x14ac:dyDescent="0.25">
      <c r="A3100" s="31">
        <v>44649</v>
      </c>
      <c r="B3100" s="37" t="s">
        <v>10207</v>
      </c>
      <c r="C3100" s="51" t="s">
        <v>64</v>
      </c>
      <c r="D3100" s="52">
        <v>3615.9</v>
      </c>
      <c r="E3100" s="35">
        <v>44650</v>
      </c>
      <c r="F3100" s="52">
        <v>3615.9</v>
      </c>
      <c r="G3100" s="53">
        <f>Tabla14[[#This Row],[Importe]]-Tabla14[[#This Row],[Pagado]]</f>
        <v>0</v>
      </c>
      <c r="H3100" s="37" t="s">
        <v>10</v>
      </c>
    </row>
    <row r="3101" spans="1:8" x14ac:dyDescent="0.25">
      <c r="A3101" s="31">
        <v>44649</v>
      </c>
      <c r="B3101" s="37" t="s">
        <v>10208</v>
      </c>
      <c r="C3101" s="51" t="s">
        <v>60</v>
      </c>
      <c r="D3101" s="52">
        <v>3748.5</v>
      </c>
      <c r="E3101" s="35">
        <v>44653</v>
      </c>
      <c r="F3101" s="52">
        <v>3748.5</v>
      </c>
      <c r="G3101" s="53">
        <f>Tabla14[[#This Row],[Importe]]-Tabla14[[#This Row],[Pagado]]</f>
        <v>0</v>
      </c>
      <c r="H3101" s="37" t="s">
        <v>10</v>
      </c>
    </row>
    <row r="3102" spans="1:8" x14ac:dyDescent="0.25">
      <c r="A3102" s="31">
        <v>44649</v>
      </c>
      <c r="B3102" s="37" t="s">
        <v>10209</v>
      </c>
      <c r="C3102" s="51" t="s">
        <v>89</v>
      </c>
      <c r="D3102" s="52">
        <v>9948</v>
      </c>
      <c r="E3102" s="35">
        <v>44650</v>
      </c>
      <c r="F3102" s="52">
        <v>9948</v>
      </c>
      <c r="G3102" s="53">
        <f>Tabla14[[#This Row],[Importe]]-Tabla14[[#This Row],[Pagado]]</f>
        <v>0</v>
      </c>
      <c r="H3102" s="37" t="s">
        <v>10</v>
      </c>
    </row>
    <row r="3103" spans="1:8" x14ac:dyDescent="0.25">
      <c r="A3103" s="31">
        <v>44649</v>
      </c>
      <c r="B3103" s="37" t="s">
        <v>10210</v>
      </c>
      <c r="C3103" s="51" t="s">
        <v>111</v>
      </c>
      <c r="D3103" s="52">
        <v>3807.3</v>
      </c>
      <c r="E3103" s="35">
        <v>44650</v>
      </c>
      <c r="F3103" s="52">
        <v>3807.3</v>
      </c>
      <c r="G3103" s="53">
        <f>Tabla14[[#This Row],[Importe]]-Tabla14[[#This Row],[Pagado]]</f>
        <v>0</v>
      </c>
      <c r="H3103" s="37" t="s">
        <v>10</v>
      </c>
    </row>
    <row r="3104" spans="1:8" x14ac:dyDescent="0.25">
      <c r="A3104" s="31">
        <v>44649</v>
      </c>
      <c r="B3104" s="37" t="s">
        <v>10211</v>
      </c>
      <c r="C3104" s="51" t="s">
        <v>114</v>
      </c>
      <c r="D3104" s="52">
        <v>4042.5</v>
      </c>
      <c r="E3104" s="35">
        <v>44651</v>
      </c>
      <c r="F3104" s="52">
        <v>4042.5</v>
      </c>
      <c r="G3104" s="53">
        <f>Tabla14[[#This Row],[Importe]]-Tabla14[[#This Row],[Pagado]]</f>
        <v>0</v>
      </c>
      <c r="H3104" s="37" t="s">
        <v>10</v>
      </c>
    </row>
    <row r="3105" spans="1:8" x14ac:dyDescent="0.25">
      <c r="A3105" s="31">
        <v>44649</v>
      </c>
      <c r="B3105" s="37" t="s">
        <v>10212</v>
      </c>
      <c r="C3105" s="51" t="s">
        <v>348</v>
      </c>
      <c r="D3105" s="52">
        <v>904</v>
      </c>
      <c r="E3105" s="35">
        <v>44649</v>
      </c>
      <c r="F3105" s="52">
        <v>904</v>
      </c>
      <c r="G3105" s="53">
        <f>Tabla14[[#This Row],[Importe]]-Tabla14[[#This Row],[Pagado]]</f>
        <v>0</v>
      </c>
      <c r="H3105" s="37" t="s">
        <v>10</v>
      </c>
    </row>
    <row r="3106" spans="1:8" x14ac:dyDescent="0.25">
      <c r="A3106" s="31">
        <v>44649</v>
      </c>
      <c r="B3106" s="37" t="s">
        <v>10213</v>
      </c>
      <c r="C3106" s="51" t="s">
        <v>99</v>
      </c>
      <c r="D3106" s="52">
        <v>4346.3</v>
      </c>
      <c r="E3106" s="35">
        <v>44653</v>
      </c>
      <c r="F3106" s="52">
        <v>4346.3</v>
      </c>
      <c r="G3106" s="53">
        <f>Tabla14[[#This Row],[Importe]]-Tabla14[[#This Row],[Pagado]]</f>
        <v>0</v>
      </c>
      <c r="H3106" s="37" t="s">
        <v>10</v>
      </c>
    </row>
    <row r="3107" spans="1:8" x14ac:dyDescent="0.25">
      <c r="A3107" s="31">
        <v>44649</v>
      </c>
      <c r="B3107" s="37" t="s">
        <v>10214</v>
      </c>
      <c r="C3107" s="51" t="s">
        <v>314</v>
      </c>
      <c r="D3107" s="52">
        <v>1593</v>
      </c>
      <c r="E3107" s="35">
        <v>44649</v>
      </c>
      <c r="F3107" s="52">
        <v>1593</v>
      </c>
      <c r="G3107" s="53">
        <f>Tabla14[[#This Row],[Importe]]-Tabla14[[#This Row],[Pagado]]</f>
        <v>0</v>
      </c>
      <c r="H3107" s="37" t="s">
        <v>10</v>
      </c>
    </row>
    <row r="3108" spans="1:8" x14ac:dyDescent="0.25">
      <c r="A3108" s="31">
        <v>44649</v>
      </c>
      <c r="B3108" s="37" t="s">
        <v>10215</v>
      </c>
      <c r="C3108" s="51" t="s">
        <v>97</v>
      </c>
      <c r="D3108" s="52">
        <v>5617.4</v>
      </c>
      <c r="E3108" s="35">
        <v>44650</v>
      </c>
      <c r="F3108" s="52">
        <v>5617.4</v>
      </c>
      <c r="G3108" s="53">
        <f>Tabla14[[#This Row],[Importe]]-Tabla14[[#This Row],[Pagado]]</f>
        <v>0</v>
      </c>
      <c r="H3108" s="37" t="s">
        <v>10</v>
      </c>
    </row>
    <row r="3109" spans="1:8" x14ac:dyDescent="0.25">
      <c r="A3109" s="31">
        <v>44649</v>
      </c>
      <c r="B3109" s="37" t="s">
        <v>10216</v>
      </c>
      <c r="C3109" s="51" t="s">
        <v>93</v>
      </c>
      <c r="D3109" s="52">
        <v>4944.8</v>
      </c>
      <c r="E3109" s="35">
        <v>44650</v>
      </c>
      <c r="F3109" s="52">
        <v>4944.8</v>
      </c>
      <c r="G3109" s="53">
        <f>Tabla14[[#This Row],[Importe]]-Tabla14[[#This Row],[Pagado]]</f>
        <v>0</v>
      </c>
      <c r="H3109" s="37" t="s">
        <v>10</v>
      </c>
    </row>
    <row r="3110" spans="1:8" x14ac:dyDescent="0.25">
      <c r="A3110" s="31">
        <v>44649</v>
      </c>
      <c r="B3110" s="37" t="s">
        <v>10217</v>
      </c>
      <c r="C3110" s="51" t="s">
        <v>93</v>
      </c>
      <c r="D3110" s="52">
        <v>1416</v>
      </c>
      <c r="E3110" s="35">
        <v>44650</v>
      </c>
      <c r="F3110" s="52">
        <v>1416</v>
      </c>
      <c r="G3110" s="53">
        <f>Tabla14[[#This Row],[Importe]]-Tabla14[[#This Row],[Pagado]]</f>
        <v>0</v>
      </c>
      <c r="H3110" s="37" t="s">
        <v>10</v>
      </c>
    </row>
    <row r="3111" spans="1:8" x14ac:dyDescent="0.25">
      <c r="A3111" s="31">
        <v>44649</v>
      </c>
      <c r="B3111" s="37" t="s">
        <v>10218</v>
      </c>
      <c r="C3111" s="51" t="s">
        <v>39</v>
      </c>
      <c r="D3111" s="52">
        <v>22034.9</v>
      </c>
      <c r="E3111" s="35">
        <v>44652</v>
      </c>
      <c r="F3111" s="52">
        <v>22034.9</v>
      </c>
      <c r="G3111" s="53">
        <f>Tabla14[[#This Row],[Importe]]-Tabla14[[#This Row],[Pagado]]</f>
        <v>0</v>
      </c>
      <c r="H3111" s="37" t="s">
        <v>10</v>
      </c>
    </row>
    <row r="3112" spans="1:8" x14ac:dyDescent="0.25">
      <c r="A3112" s="31">
        <v>44649</v>
      </c>
      <c r="B3112" s="37" t="s">
        <v>10219</v>
      </c>
      <c r="C3112" s="51" t="s">
        <v>345</v>
      </c>
      <c r="D3112" s="52">
        <v>459</v>
      </c>
      <c r="E3112" s="35">
        <v>44649</v>
      </c>
      <c r="F3112" s="52">
        <v>459</v>
      </c>
      <c r="G3112" s="53">
        <f>Tabla14[[#This Row],[Importe]]-Tabla14[[#This Row],[Pagado]]</f>
        <v>0</v>
      </c>
      <c r="H3112" s="37" t="s">
        <v>10</v>
      </c>
    </row>
    <row r="3113" spans="1:8" x14ac:dyDescent="0.25">
      <c r="A3113" s="31">
        <v>44649</v>
      </c>
      <c r="B3113" s="37" t="s">
        <v>10220</v>
      </c>
      <c r="C3113" s="51" t="s">
        <v>27</v>
      </c>
      <c r="D3113" s="52">
        <v>1042.4000000000001</v>
      </c>
      <c r="E3113" s="35">
        <v>44649</v>
      </c>
      <c r="F3113" s="52">
        <v>1042.4000000000001</v>
      </c>
      <c r="G3113" s="53">
        <f>Tabla14[[#This Row],[Importe]]-Tabla14[[#This Row],[Pagado]]</f>
        <v>0</v>
      </c>
      <c r="H3113" s="37" t="s">
        <v>10</v>
      </c>
    </row>
    <row r="3114" spans="1:8" x14ac:dyDescent="0.25">
      <c r="A3114" s="31">
        <v>44649</v>
      </c>
      <c r="B3114" s="37" t="s">
        <v>10221</v>
      </c>
      <c r="C3114" s="51" t="s">
        <v>2151</v>
      </c>
      <c r="D3114" s="52">
        <v>14681.8</v>
      </c>
      <c r="E3114" s="35">
        <v>44649</v>
      </c>
      <c r="F3114" s="52">
        <v>14681.8</v>
      </c>
      <c r="G3114" s="53">
        <f>Tabla14[[#This Row],[Importe]]-Tabla14[[#This Row],[Pagado]]</f>
        <v>0</v>
      </c>
      <c r="H3114" s="37" t="s">
        <v>10</v>
      </c>
    </row>
    <row r="3115" spans="1:8" x14ac:dyDescent="0.25">
      <c r="A3115" s="31">
        <v>44649</v>
      </c>
      <c r="B3115" s="37" t="s">
        <v>10222</v>
      </c>
      <c r="C3115" s="51" t="s">
        <v>22</v>
      </c>
      <c r="D3115" s="52">
        <v>46211</v>
      </c>
      <c r="E3115" s="35">
        <v>44650</v>
      </c>
      <c r="F3115" s="52">
        <v>46211</v>
      </c>
      <c r="G3115" s="53">
        <f>Tabla14[[#This Row],[Importe]]-Tabla14[[#This Row],[Pagado]]</f>
        <v>0</v>
      </c>
      <c r="H3115" s="37" t="s">
        <v>10</v>
      </c>
    </row>
    <row r="3116" spans="1:8" x14ac:dyDescent="0.25">
      <c r="A3116" s="31">
        <v>44649</v>
      </c>
      <c r="B3116" s="37" t="s">
        <v>10223</v>
      </c>
      <c r="C3116" s="51" t="s">
        <v>87</v>
      </c>
      <c r="D3116" s="52">
        <v>1339.2</v>
      </c>
      <c r="E3116" s="35">
        <v>44649</v>
      </c>
      <c r="F3116" s="52">
        <v>1339.2</v>
      </c>
      <c r="G3116" s="53">
        <f>Tabla14[[#This Row],[Importe]]-Tabla14[[#This Row],[Pagado]]</f>
        <v>0</v>
      </c>
      <c r="H3116" s="37" t="s">
        <v>10</v>
      </c>
    </row>
    <row r="3117" spans="1:8" x14ac:dyDescent="0.25">
      <c r="A3117" s="31">
        <v>44649</v>
      </c>
      <c r="B3117" s="37" t="s">
        <v>10224</v>
      </c>
      <c r="C3117" s="51" t="s">
        <v>87</v>
      </c>
      <c r="D3117" s="52">
        <v>84</v>
      </c>
      <c r="E3117" s="35">
        <v>44649</v>
      </c>
      <c r="F3117" s="52">
        <v>84</v>
      </c>
      <c r="G3117" s="53">
        <f>Tabla14[[#This Row],[Importe]]-Tabla14[[#This Row],[Pagado]]</f>
        <v>0</v>
      </c>
      <c r="H3117" s="37" t="s">
        <v>10</v>
      </c>
    </row>
    <row r="3118" spans="1:8" x14ac:dyDescent="0.25">
      <c r="A3118" s="31">
        <v>44649</v>
      </c>
      <c r="B3118" s="37" t="s">
        <v>10225</v>
      </c>
      <c r="C3118" s="51" t="s">
        <v>131</v>
      </c>
      <c r="D3118" s="52">
        <v>6328.2</v>
      </c>
      <c r="E3118" s="35">
        <v>44649</v>
      </c>
      <c r="F3118" s="52">
        <v>6328.2</v>
      </c>
      <c r="G3118" s="53">
        <f>Tabla14[[#This Row],[Importe]]-Tabla14[[#This Row],[Pagado]]</f>
        <v>0</v>
      </c>
      <c r="H3118" s="37" t="s">
        <v>10</v>
      </c>
    </row>
    <row r="3119" spans="1:8" x14ac:dyDescent="0.25">
      <c r="A3119" s="31">
        <v>44649</v>
      </c>
      <c r="B3119" s="37" t="s">
        <v>10226</v>
      </c>
      <c r="C3119" s="51" t="s">
        <v>135</v>
      </c>
      <c r="D3119" s="52">
        <v>1725.5</v>
      </c>
      <c r="E3119" s="35">
        <v>44649</v>
      </c>
      <c r="F3119" s="52">
        <v>1725.5</v>
      </c>
      <c r="G3119" s="53">
        <f>Tabla14[[#This Row],[Importe]]-Tabla14[[#This Row],[Pagado]]</f>
        <v>0</v>
      </c>
      <c r="H3119" s="37" t="s">
        <v>10</v>
      </c>
    </row>
    <row r="3120" spans="1:8" x14ac:dyDescent="0.25">
      <c r="A3120" s="31">
        <v>44649</v>
      </c>
      <c r="B3120" s="37" t="s">
        <v>10227</v>
      </c>
      <c r="C3120" s="51" t="s">
        <v>10228</v>
      </c>
      <c r="D3120" s="52">
        <v>0</v>
      </c>
      <c r="E3120" s="35" t="s">
        <v>4813</v>
      </c>
      <c r="F3120" s="52">
        <v>0</v>
      </c>
      <c r="G3120" s="53">
        <f>Tabla14[[#This Row],[Importe]]-Tabla14[[#This Row],[Pagado]]</f>
        <v>0</v>
      </c>
      <c r="H3120" s="37" t="s">
        <v>189</v>
      </c>
    </row>
    <row r="3121" spans="1:8" x14ac:dyDescent="0.25">
      <c r="A3121" s="31">
        <v>44649</v>
      </c>
      <c r="B3121" s="37" t="s">
        <v>10229</v>
      </c>
      <c r="C3121" s="51" t="s">
        <v>146</v>
      </c>
      <c r="D3121" s="52">
        <v>3524.2</v>
      </c>
      <c r="E3121" s="35">
        <v>44649</v>
      </c>
      <c r="F3121" s="52">
        <v>3524.2</v>
      </c>
      <c r="G3121" s="53">
        <f>Tabla14[[#This Row],[Importe]]-Tabla14[[#This Row],[Pagado]]</f>
        <v>0</v>
      </c>
      <c r="H3121" s="37" t="s">
        <v>10</v>
      </c>
    </row>
    <row r="3122" spans="1:8" x14ac:dyDescent="0.25">
      <c r="A3122" s="31">
        <v>44649</v>
      </c>
      <c r="B3122" s="37" t="s">
        <v>10230</v>
      </c>
      <c r="C3122" s="51" t="s">
        <v>53</v>
      </c>
      <c r="D3122" s="52">
        <v>1853.6</v>
      </c>
      <c r="E3122" s="35">
        <v>44649</v>
      </c>
      <c r="F3122" s="52">
        <v>1853.6</v>
      </c>
      <c r="G3122" s="53">
        <f>Tabla14[[#This Row],[Importe]]-Tabla14[[#This Row],[Pagado]]</f>
        <v>0</v>
      </c>
      <c r="H3122" s="37" t="s">
        <v>10</v>
      </c>
    </row>
    <row r="3123" spans="1:8" x14ac:dyDescent="0.25">
      <c r="A3123" s="31">
        <v>44649</v>
      </c>
      <c r="B3123" s="37" t="s">
        <v>10231</v>
      </c>
      <c r="C3123" s="51" t="s">
        <v>16</v>
      </c>
      <c r="D3123" s="52">
        <v>5975</v>
      </c>
      <c r="E3123" s="35">
        <v>44649</v>
      </c>
      <c r="F3123" s="52">
        <v>5975</v>
      </c>
      <c r="G3123" s="53">
        <f>Tabla14[[#This Row],[Importe]]-Tabla14[[#This Row],[Pagado]]</f>
        <v>0</v>
      </c>
      <c r="H3123" s="37" t="s">
        <v>10</v>
      </c>
    </row>
    <row r="3124" spans="1:8" x14ac:dyDescent="0.25">
      <c r="A3124" s="31">
        <v>44649</v>
      </c>
      <c r="B3124" s="37" t="s">
        <v>10232</v>
      </c>
      <c r="C3124" s="51" t="s">
        <v>275</v>
      </c>
      <c r="D3124" s="52">
        <v>51054.8</v>
      </c>
      <c r="E3124" s="35">
        <v>44659</v>
      </c>
      <c r="F3124" s="52">
        <v>51054.8</v>
      </c>
      <c r="G3124" s="53">
        <f>Tabla14[[#This Row],[Importe]]-Tabla14[[#This Row],[Pagado]]</f>
        <v>0</v>
      </c>
      <c r="H3124" s="37" t="s">
        <v>10</v>
      </c>
    </row>
    <row r="3125" spans="1:8" x14ac:dyDescent="0.25">
      <c r="A3125" s="31">
        <v>44649</v>
      </c>
      <c r="B3125" s="37" t="s">
        <v>10233</v>
      </c>
      <c r="C3125" s="51" t="s">
        <v>53</v>
      </c>
      <c r="D3125" s="52">
        <v>145.6</v>
      </c>
      <c r="E3125" s="35">
        <v>44649</v>
      </c>
      <c r="F3125" s="52">
        <v>145.6</v>
      </c>
      <c r="G3125" s="53">
        <f>Tabla14[[#This Row],[Importe]]-Tabla14[[#This Row],[Pagado]]</f>
        <v>0</v>
      </c>
      <c r="H3125" s="37" t="s">
        <v>10</v>
      </c>
    </row>
    <row r="3126" spans="1:8" x14ac:dyDescent="0.25">
      <c r="A3126" s="31">
        <v>44649</v>
      </c>
      <c r="B3126" s="37" t="s">
        <v>10234</v>
      </c>
      <c r="C3126" s="51" t="s">
        <v>840</v>
      </c>
      <c r="D3126" s="52">
        <v>16316.2</v>
      </c>
      <c r="E3126" s="35">
        <v>44649</v>
      </c>
      <c r="F3126" s="52">
        <v>16316.2</v>
      </c>
      <c r="G3126" s="53">
        <f>Tabla14[[#This Row],[Importe]]-Tabla14[[#This Row],[Pagado]]</f>
        <v>0</v>
      </c>
      <c r="H3126" s="37" t="s">
        <v>10</v>
      </c>
    </row>
    <row r="3127" spans="1:8" x14ac:dyDescent="0.25">
      <c r="A3127" s="31">
        <v>44649</v>
      </c>
      <c r="B3127" s="37" t="s">
        <v>10235</v>
      </c>
      <c r="C3127" s="51" t="s">
        <v>475</v>
      </c>
      <c r="D3127" s="52">
        <v>3401.7</v>
      </c>
      <c r="E3127" s="35">
        <v>44651</v>
      </c>
      <c r="F3127" s="52">
        <v>3401.7</v>
      </c>
      <c r="G3127" s="53">
        <f>Tabla14[[#This Row],[Importe]]-Tabla14[[#This Row],[Pagado]]</f>
        <v>0</v>
      </c>
      <c r="H3127" s="37" t="s">
        <v>10</v>
      </c>
    </row>
    <row r="3128" spans="1:8" x14ac:dyDescent="0.25">
      <c r="A3128" s="31">
        <v>44649</v>
      </c>
      <c r="B3128" s="37" t="s">
        <v>10236</v>
      </c>
      <c r="C3128" s="51" t="s">
        <v>224</v>
      </c>
      <c r="D3128" s="52">
        <v>13558.7</v>
      </c>
      <c r="E3128" s="35">
        <v>44656</v>
      </c>
      <c r="F3128" s="52">
        <v>13558.7</v>
      </c>
      <c r="G3128" s="53">
        <f>Tabla14[[#This Row],[Importe]]-Tabla14[[#This Row],[Pagado]]</f>
        <v>0</v>
      </c>
      <c r="H3128" s="37" t="s">
        <v>10</v>
      </c>
    </row>
    <row r="3129" spans="1:8" x14ac:dyDescent="0.25">
      <c r="A3129" s="31">
        <v>44649</v>
      </c>
      <c r="B3129" s="37" t="s">
        <v>10237</v>
      </c>
      <c r="C3129" s="51" t="s">
        <v>107</v>
      </c>
      <c r="D3129" s="52">
        <v>9158.5</v>
      </c>
      <c r="E3129" s="35">
        <v>44649</v>
      </c>
      <c r="F3129" s="52">
        <v>9158.5</v>
      </c>
      <c r="G3129" s="53">
        <f>Tabla14[[#This Row],[Importe]]-Tabla14[[#This Row],[Pagado]]</f>
        <v>0</v>
      </c>
      <c r="H3129" s="37" t="s">
        <v>10</v>
      </c>
    </row>
    <row r="3130" spans="1:8" x14ac:dyDescent="0.25">
      <c r="A3130" s="31">
        <v>44649</v>
      </c>
      <c r="B3130" s="37" t="s">
        <v>10238</v>
      </c>
      <c r="C3130" s="51" t="s">
        <v>129</v>
      </c>
      <c r="D3130" s="52">
        <v>4261</v>
      </c>
      <c r="E3130" s="35">
        <v>44649</v>
      </c>
      <c r="F3130" s="52">
        <v>4261</v>
      </c>
      <c r="G3130" s="53">
        <f>Tabla14[[#This Row],[Importe]]-Tabla14[[#This Row],[Pagado]]</f>
        <v>0</v>
      </c>
      <c r="H3130" s="37" t="s">
        <v>10</v>
      </c>
    </row>
    <row r="3131" spans="1:8" x14ac:dyDescent="0.25">
      <c r="A3131" s="31">
        <v>44649</v>
      </c>
      <c r="B3131" s="37" t="s">
        <v>10239</v>
      </c>
      <c r="C3131" s="51" t="s">
        <v>127</v>
      </c>
      <c r="D3131" s="52">
        <v>5134</v>
      </c>
      <c r="E3131" s="35">
        <v>44649</v>
      </c>
      <c r="F3131" s="52">
        <v>5134</v>
      </c>
      <c r="G3131" s="53">
        <f>Tabla14[[#This Row],[Importe]]-Tabla14[[#This Row],[Pagado]]</f>
        <v>0</v>
      </c>
      <c r="H3131" s="37" t="s">
        <v>10</v>
      </c>
    </row>
    <row r="3132" spans="1:8" x14ac:dyDescent="0.25">
      <c r="A3132" s="31">
        <v>44649</v>
      </c>
      <c r="B3132" s="37" t="s">
        <v>10240</v>
      </c>
      <c r="C3132" s="51" t="s">
        <v>140</v>
      </c>
      <c r="D3132" s="52">
        <v>1237.5</v>
      </c>
      <c r="E3132" s="35">
        <v>44649</v>
      </c>
      <c r="F3132" s="52">
        <v>1237.5</v>
      </c>
      <c r="G3132" s="53">
        <f>Tabla14[[#This Row],[Importe]]-Tabla14[[#This Row],[Pagado]]</f>
        <v>0</v>
      </c>
      <c r="H3132" s="37" t="s">
        <v>10</v>
      </c>
    </row>
    <row r="3133" spans="1:8" x14ac:dyDescent="0.25">
      <c r="A3133" s="31">
        <v>44649</v>
      </c>
      <c r="B3133" s="37" t="s">
        <v>10241</v>
      </c>
      <c r="C3133" s="51" t="s">
        <v>161</v>
      </c>
      <c r="D3133" s="52">
        <v>3433.6</v>
      </c>
      <c r="E3133" s="35">
        <v>44649</v>
      </c>
      <c r="F3133" s="52">
        <v>3433.6</v>
      </c>
      <c r="G3133" s="53">
        <f>Tabla14[[#This Row],[Importe]]-Tabla14[[#This Row],[Pagado]]</f>
        <v>0</v>
      </c>
      <c r="H3133" s="37" t="s">
        <v>10</v>
      </c>
    </row>
    <row r="3134" spans="1:8" x14ac:dyDescent="0.25">
      <c r="A3134" s="31">
        <v>44649</v>
      </c>
      <c r="B3134" s="37" t="s">
        <v>10242</v>
      </c>
      <c r="C3134" s="51" t="s">
        <v>14</v>
      </c>
      <c r="D3134" s="52">
        <v>14398</v>
      </c>
      <c r="E3134" s="35">
        <v>44649</v>
      </c>
      <c r="F3134" s="52">
        <v>14398</v>
      </c>
      <c r="G3134" s="53">
        <f>Tabla14[[#This Row],[Importe]]-Tabla14[[#This Row],[Pagado]]</f>
        <v>0</v>
      </c>
      <c r="H3134" s="37" t="s">
        <v>10</v>
      </c>
    </row>
    <row r="3135" spans="1:8" x14ac:dyDescent="0.25">
      <c r="A3135" s="31">
        <v>44649</v>
      </c>
      <c r="B3135" s="37" t="s">
        <v>10243</v>
      </c>
      <c r="C3135" s="51" t="s">
        <v>125</v>
      </c>
      <c r="D3135" s="52">
        <v>4197</v>
      </c>
      <c r="E3135" s="35">
        <v>44649</v>
      </c>
      <c r="F3135" s="52">
        <v>4197</v>
      </c>
      <c r="G3135" s="53">
        <f>Tabla14[[#This Row],[Importe]]-Tabla14[[#This Row],[Pagado]]</f>
        <v>0</v>
      </c>
      <c r="H3135" s="37" t="s">
        <v>10</v>
      </c>
    </row>
    <row r="3136" spans="1:8" x14ac:dyDescent="0.25">
      <c r="A3136" s="31">
        <v>44649</v>
      </c>
      <c r="B3136" s="37" t="s">
        <v>10244</v>
      </c>
      <c r="C3136" s="51" t="s">
        <v>49</v>
      </c>
      <c r="D3136" s="52">
        <v>3193.3</v>
      </c>
      <c r="E3136" s="35">
        <v>44649</v>
      </c>
      <c r="F3136" s="52">
        <v>3193.3</v>
      </c>
      <c r="G3136" s="53">
        <f>Tabla14[[#This Row],[Importe]]-Tabla14[[#This Row],[Pagado]]</f>
        <v>0</v>
      </c>
      <c r="H3136" s="37" t="s">
        <v>10</v>
      </c>
    </row>
    <row r="3137" spans="1:8" x14ac:dyDescent="0.25">
      <c r="A3137" s="31">
        <v>44649</v>
      </c>
      <c r="B3137" s="37" t="s">
        <v>10245</v>
      </c>
      <c r="C3137" s="51" t="s">
        <v>373</v>
      </c>
      <c r="D3137" s="52">
        <v>1339.5</v>
      </c>
      <c r="E3137" s="35">
        <v>44649</v>
      </c>
      <c r="F3137" s="52">
        <v>1339.5</v>
      </c>
      <c r="G3137" s="53">
        <f>Tabla14[[#This Row],[Importe]]-Tabla14[[#This Row],[Pagado]]</f>
        <v>0</v>
      </c>
      <c r="H3137" s="37" t="s">
        <v>10</v>
      </c>
    </row>
    <row r="3138" spans="1:8" x14ac:dyDescent="0.25">
      <c r="A3138" s="31">
        <v>44649</v>
      </c>
      <c r="B3138" s="37" t="s">
        <v>10246</v>
      </c>
      <c r="C3138" s="51" t="s">
        <v>191</v>
      </c>
      <c r="D3138" s="52">
        <v>1309.8</v>
      </c>
      <c r="E3138" s="35">
        <v>44649</v>
      </c>
      <c r="F3138" s="52">
        <v>1309.8</v>
      </c>
      <c r="G3138" s="53">
        <f>Tabla14[[#This Row],[Importe]]-Tabla14[[#This Row],[Pagado]]</f>
        <v>0</v>
      </c>
      <c r="H3138" s="37" t="s">
        <v>10</v>
      </c>
    </row>
    <row r="3139" spans="1:8" x14ac:dyDescent="0.25">
      <c r="A3139" s="31">
        <v>44649</v>
      </c>
      <c r="B3139" s="37" t="s">
        <v>10247</v>
      </c>
      <c r="C3139" s="51" t="s">
        <v>75</v>
      </c>
      <c r="D3139" s="52">
        <v>4876.2</v>
      </c>
      <c r="E3139" s="35">
        <v>44649</v>
      </c>
      <c r="F3139" s="52">
        <v>4876.2</v>
      </c>
      <c r="G3139" s="53">
        <f>Tabla14[[#This Row],[Importe]]-Tabla14[[#This Row],[Pagado]]</f>
        <v>0</v>
      </c>
      <c r="H3139" s="37" t="s">
        <v>10</v>
      </c>
    </row>
    <row r="3140" spans="1:8" x14ac:dyDescent="0.25">
      <c r="A3140" s="31">
        <v>44649</v>
      </c>
      <c r="B3140" s="37" t="s">
        <v>10248</v>
      </c>
      <c r="C3140" s="51" t="s">
        <v>45</v>
      </c>
      <c r="D3140" s="52">
        <v>4592</v>
      </c>
      <c r="E3140" s="35">
        <v>44649</v>
      </c>
      <c r="F3140" s="52">
        <v>4592</v>
      </c>
      <c r="G3140" s="53">
        <f>Tabla14[[#This Row],[Importe]]-Tabla14[[#This Row],[Pagado]]</f>
        <v>0</v>
      </c>
      <c r="H3140" s="37" t="s">
        <v>10</v>
      </c>
    </row>
    <row r="3141" spans="1:8" x14ac:dyDescent="0.25">
      <c r="A3141" s="31">
        <v>44649</v>
      </c>
      <c r="B3141" s="37" t="s">
        <v>10249</v>
      </c>
      <c r="C3141" s="51" t="s">
        <v>45</v>
      </c>
      <c r="D3141" s="52">
        <v>4265.7</v>
      </c>
      <c r="E3141" s="35">
        <v>44649</v>
      </c>
      <c r="F3141" s="52">
        <v>4265.7</v>
      </c>
      <c r="G3141" s="53">
        <f>Tabla14[[#This Row],[Importe]]-Tabla14[[#This Row],[Pagado]]</f>
        <v>0</v>
      </c>
      <c r="H3141" s="37" t="s">
        <v>10</v>
      </c>
    </row>
    <row r="3142" spans="1:8" x14ac:dyDescent="0.25">
      <c r="A3142" s="31">
        <v>44649</v>
      </c>
      <c r="B3142" s="37" t="s">
        <v>10250</v>
      </c>
      <c r="C3142" s="51" t="s">
        <v>562</v>
      </c>
      <c r="D3142" s="52">
        <v>2772.1</v>
      </c>
      <c r="E3142" s="35">
        <v>44649</v>
      </c>
      <c r="F3142" s="52">
        <v>2772.1</v>
      </c>
      <c r="G3142" s="53">
        <f>Tabla14[[#This Row],[Importe]]-Tabla14[[#This Row],[Pagado]]</f>
        <v>0</v>
      </c>
      <c r="H3142" s="37" t="s">
        <v>10</v>
      </c>
    </row>
    <row r="3143" spans="1:8" x14ac:dyDescent="0.25">
      <c r="A3143" s="31">
        <v>44649</v>
      </c>
      <c r="B3143" s="37" t="s">
        <v>10251</v>
      </c>
      <c r="C3143" s="51" t="s">
        <v>2961</v>
      </c>
      <c r="D3143" s="52">
        <v>53895.6</v>
      </c>
      <c r="E3143" s="35">
        <v>44652</v>
      </c>
      <c r="F3143" s="52">
        <v>53895.6</v>
      </c>
      <c r="G3143" s="53">
        <f>Tabla14[[#This Row],[Importe]]-Tabla14[[#This Row],[Pagado]]</f>
        <v>0</v>
      </c>
      <c r="H3143" s="37" t="s">
        <v>10</v>
      </c>
    </row>
    <row r="3144" spans="1:8" x14ac:dyDescent="0.25">
      <c r="A3144" s="31">
        <v>44649</v>
      </c>
      <c r="B3144" s="37" t="s">
        <v>10252</v>
      </c>
      <c r="C3144" s="51" t="s">
        <v>214</v>
      </c>
      <c r="D3144" s="52">
        <v>1344.6</v>
      </c>
      <c r="E3144" s="35">
        <v>44649</v>
      </c>
      <c r="F3144" s="52">
        <v>1344.6</v>
      </c>
      <c r="G3144" s="53">
        <f>Tabla14[[#This Row],[Importe]]-Tabla14[[#This Row],[Pagado]]</f>
        <v>0</v>
      </c>
      <c r="H3144" s="37" t="s">
        <v>10</v>
      </c>
    </row>
    <row r="3145" spans="1:8" x14ac:dyDescent="0.25">
      <c r="A3145" s="31">
        <v>44649</v>
      </c>
      <c r="B3145" s="37" t="s">
        <v>10253</v>
      </c>
      <c r="C3145" s="51" t="s">
        <v>296</v>
      </c>
      <c r="D3145" s="52">
        <v>3916</v>
      </c>
      <c r="E3145" s="35">
        <v>44649</v>
      </c>
      <c r="F3145" s="52">
        <v>3916</v>
      </c>
      <c r="G3145" s="53">
        <f>Tabla14[[#This Row],[Importe]]-Tabla14[[#This Row],[Pagado]]</f>
        <v>0</v>
      </c>
      <c r="H3145" s="37" t="s">
        <v>10</v>
      </c>
    </row>
    <row r="3146" spans="1:8" x14ac:dyDescent="0.25">
      <c r="A3146" s="31">
        <v>44649</v>
      </c>
      <c r="B3146" s="37" t="s">
        <v>10254</v>
      </c>
      <c r="C3146" s="51" t="s">
        <v>244</v>
      </c>
      <c r="D3146" s="52">
        <v>742.5</v>
      </c>
      <c r="E3146" s="35">
        <v>44649</v>
      </c>
      <c r="F3146" s="52">
        <v>742.5</v>
      </c>
      <c r="G3146" s="53">
        <f>Tabla14[[#This Row],[Importe]]-Tabla14[[#This Row],[Pagado]]</f>
        <v>0</v>
      </c>
      <c r="H3146" s="37" t="s">
        <v>10</v>
      </c>
    </row>
    <row r="3147" spans="1:8" x14ac:dyDescent="0.25">
      <c r="A3147" s="31">
        <v>44649</v>
      </c>
      <c r="B3147" s="37" t="s">
        <v>10255</v>
      </c>
      <c r="C3147" s="51" t="s">
        <v>51</v>
      </c>
      <c r="D3147" s="52">
        <v>836</v>
      </c>
      <c r="E3147" s="35">
        <v>44649</v>
      </c>
      <c r="F3147" s="52">
        <v>836</v>
      </c>
      <c r="G3147" s="53">
        <f>Tabla14[[#This Row],[Importe]]-Tabla14[[#This Row],[Pagado]]</f>
        <v>0</v>
      </c>
      <c r="H3147" s="37" t="s">
        <v>10</v>
      </c>
    </row>
    <row r="3148" spans="1:8" x14ac:dyDescent="0.25">
      <c r="A3148" s="31">
        <v>44649</v>
      </c>
      <c r="B3148" s="37" t="s">
        <v>10256</v>
      </c>
      <c r="C3148" s="51" t="s">
        <v>216</v>
      </c>
      <c r="D3148" s="52">
        <v>1404</v>
      </c>
      <c r="E3148" s="35">
        <v>44649</v>
      </c>
      <c r="F3148" s="52">
        <v>1404</v>
      </c>
      <c r="G3148" s="53">
        <f>Tabla14[[#This Row],[Importe]]-Tabla14[[#This Row],[Pagado]]</f>
        <v>0</v>
      </c>
      <c r="H3148" s="37" t="s">
        <v>10</v>
      </c>
    </row>
    <row r="3149" spans="1:8" x14ac:dyDescent="0.25">
      <c r="A3149" s="31">
        <v>44649</v>
      </c>
      <c r="B3149" s="37" t="s">
        <v>10257</v>
      </c>
      <c r="C3149" s="51" t="s">
        <v>518</v>
      </c>
      <c r="D3149" s="52">
        <v>2360.6</v>
      </c>
      <c r="E3149" s="35">
        <v>44649</v>
      </c>
      <c r="F3149" s="52">
        <v>2360.6</v>
      </c>
      <c r="G3149" s="53">
        <f>Tabla14[[#This Row],[Importe]]-Tabla14[[#This Row],[Pagado]]</f>
        <v>0</v>
      </c>
      <c r="H3149" s="37" t="s">
        <v>10</v>
      </c>
    </row>
    <row r="3150" spans="1:8" x14ac:dyDescent="0.25">
      <c r="A3150" s="31">
        <v>44649</v>
      </c>
      <c r="B3150" s="37" t="s">
        <v>10258</v>
      </c>
      <c r="C3150" s="51" t="s">
        <v>157</v>
      </c>
      <c r="D3150" s="52">
        <v>5070.8</v>
      </c>
      <c r="E3150" s="35">
        <v>44649</v>
      </c>
      <c r="F3150" s="52">
        <v>5070.8</v>
      </c>
      <c r="G3150" s="53">
        <f>Tabla14[[#This Row],[Importe]]-Tabla14[[#This Row],[Pagado]]</f>
        <v>0</v>
      </c>
      <c r="H3150" s="37" t="s">
        <v>10</v>
      </c>
    </row>
    <row r="3151" spans="1:8" x14ac:dyDescent="0.25">
      <c r="A3151" s="31">
        <v>44649</v>
      </c>
      <c r="B3151" s="37" t="s">
        <v>10259</v>
      </c>
      <c r="C3151" s="51" t="s">
        <v>1987</v>
      </c>
      <c r="D3151" s="52">
        <v>16204.4</v>
      </c>
      <c r="E3151" s="35">
        <v>44649</v>
      </c>
      <c r="F3151" s="52">
        <v>16204.4</v>
      </c>
      <c r="G3151" s="53">
        <f>Tabla14[[#This Row],[Importe]]-Tabla14[[#This Row],[Pagado]]</f>
        <v>0</v>
      </c>
      <c r="H3151" s="37" t="s">
        <v>10</v>
      </c>
    </row>
    <row r="3152" spans="1:8" x14ac:dyDescent="0.25">
      <c r="A3152" s="31">
        <v>44649</v>
      </c>
      <c r="B3152" s="37" t="s">
        <v>10260</v>
      </c>
      <c r="C3152" s="51" t="s">
        <v>79</v>
      </c>
      <c r="D3152" s="52">
        <v>2770.2</v>
      </c>
      <c r="E3152" s="35">
        <v>44649</v>
      </c>
      <c r="F3152" s="52">
        <v>2770.2</v>
      </c>
      <c r="G3152" s="53">
        <f>Tabla14[[#This Row],[Importe]]-Tabla14[[#This Row],[Pagado]]</f>
        <v>0</v>
      </c>
      <c r="H3152" s="37" t="s">
        <v>10</v>
      </c>
    </row>
    <row r="3153" spans="1:8" x14ac:dyDescent="0.25">
      <c r="A3153" s="31">
        <v>44649</v>
      </c>
      <c r="B3153" s="37" t="s">
        <v>10261</v>
      </c>
      <c r="C3153" s="51" t="s">
        <v>698</v>
      </c>
      <c r="D3153" s="52">
        <v>3701.1</v>
      </c>
      <c r="E3153" s="35">
        <v>44649</v>
      </c>
      <c r="F3153" s="52">
        <v>3701.1</v>
      </c>
      <c r="G3153" s="53">
        <f>Tabla14[[#This Row],[Importe]]-Tabla14[[#This Row],[Pagado]]</f>
        <v>0</v>
      </c>
      <c r="H3153" s="37" t="s">
        <v>10</v>
      </c>
    </row>
    <row r="3154" spans="1:8" x14ac:dyDescent="0.25">
      <c r="A3154" s="31">
        <v>44649</v>
      </c>
      <c r="B3154" s="37" t="s">
        <v>10262</v>
      </c>
      <c r="C3154" s="51" t="s">
        <v>31</v>
      </c>
      <c r="D3154" s="52">
        <v>4821.2</v>
      </c>
      <c r="E3154" s="35">
        <v>44649</v>
      </c>
      <c r="F3154" s="52">
        <v>4821.2</v>
      </c>
      <c r="G3154" s="53">
        <f>Tabla14[[#This Row],[Importe]]-Tabla14[[#This Row],[Pagado]]</f>
        <v>0</v>
      </c>
      <c r="H3154" s="37" t="s">
        <v>10</v>
      </c>
    </row>
    <row r="3155" spans="1:8" x14ac:dyDescent="0.25">
      <c r="A3155" s="31">
        <v>44649</v>
      </c>
      <c r="B3155" s="37" t="s">
        <v>10263</v>
      </c>
      <c r="C3155" s="51" t="s">
        <v>233</v>
      </c>
      <c r="D3155" s="52">
        <v>3716</v>
      </c>
      <c r="E3155" s="35">
        <v>44649</v>
      </c>
      <c r="F3155" s="52">
        <v>3716</v>
      </c>
      <c r="G3155" s="53">
        <f>Tabla14[[#This Row],[Importe]]-Tabla14[[#This Row],[Pagado]]</f>
        <v>0</v>
      </c>
      <c r="H3155" s="37" t="s">
        <v>10</v>
      </c>
    </row>
    <row r="3156" spans="1:8" x14ac:dyDescent="0.25">
      <c r="A3156" s="31">
        <v>44649</v>
      </c>
      <c r="B3156" s="37" t="s">
        <v>10264</v>
      </c>
      <c r="C3156" s="51" t="s">
        <v>79</v>
      </c>
      <c r="D3156" s="52">
        <v>2354.8000000000002</v>
      </c>
      <c r="E3156" s="35">
        <v>44649</v>
      </c>
      <c r="F3156" s="52">
        <v>2354.8000000000002</v>
      </c>
      <c r="G3156" s="53">
        <f>Tabla14[[#This Row],[Importe]]-Tabla14[[#This Row],[Pagado]]</f>
        <v>0</v>
      </c>
      <c r="H3156" s="37" t="s">
        <v>10</v>
      </c>
    </row>
    <row r="3157" spans="1:8" x14ac:dyDescent="0.25">
      <c r="A3157" s="31">
        <v>44649</v>
      </c>
      <c r="B3157" s="37" t="s">
        <v>10265</v>
      </c>
      <c r="C3157" s="51" t="s">
        <v>79</v>
      </c>
      <c r="D3157" s="52">
        <v>4195.8</v>
      </c>
      <c r="E3157" s="35">
        <v>44649</v>
      </c>
      <c r="F3157" s="52">
        <v>4195.8</v>
      </c>
      <c r="G3157" s="53">
        <f>Tabla14[[#This Row],[Importe]]-Tabla14[[#This Row],[Pagado]]</f>
        <v>0</v>
      </c>
      <c r="H3157" s="37" t="s">
        <v>10</v>
      </c>
    </row>
    <row r="3158" spans="1:8" x14ac:dyDescent="0.25">
      <c r="A3158" s="31">
        <v>44649</v>
      </c>
      <c r="B3158" s="37" t="s">
        <v>10266</v>
      </c>
      <c r="C3158" s="51" t="s">
        <v>520</v>
      </c>
      <c r="D3158" s="52">
        <v>10369.6</v>
      </c>
      <c r="E3158" s="35">
        <v>44649</v>
      </c>
      <c r="F3158" s="52">
        <v>10369.6</v>
      </c>
      <c r="G3158" s="53">
        <f>Tabla14[[#This Row],[Importe]]-Tabla14[[#This Row],[Pagado]]</f>
        <v>0</v>
      </c>
      <c r="H3158" s="37" t="s">
        <v>10</v>
      </c>
    </row>
    <row r="3159" spans="1:8" x14ac:dyDescent="0.25">
      <c r="A3159" s="31">
        <v>44649</v>
      </c>
      <c r="B3159" s="37" t="s">
        <v>10267</v>
      </c>
      <c r="C3159" s="51" t="s">
        <v>159</v>
      </c>
      <c r="D3159" s="52">
        <v>1484</v>
      </c>
      <c r="E3159" s="35">
        <v>44649</v>
      </c>
      <c r="F3159" s="52">
        <v>1484</v>
      </c>
      <c r="G3159" s="53">
        <f>Tabla14[[#This Row],[Importe]]-Tabla14[[#This Row],[Pagado]]</f>
        <v>0</v>
      </c>
      <c r="H3159" s="37" t="s">
        <v>10</v>
      </c>
    </row>
    <row r="3160" spans="1:8" x14ac:dyDescent="0.25">
      <c r="A3160" s="31">
        <v>44649</v>
      </c>
      <c r="B3160" s="37" t="s">
        <v>10268</v>
      </c>
      <c r="C3160" s="51" t="s">
        <v>157</v>
      </c>
      <c r="D3160" s="52">
        <v>338</v>
      </c>
      <c r="E3160" s="35">
        <v>44649</v>
      </c>
      <c r="F3160" s="52">
        <v>338</v>
      </c>
      <c r="G3160" s="53">
        <f>Tabla14[[#This Row],[Importe]]-Tabla14[[#This Row],[Pagado]]</f>
        <v>0</v>
      </c>
      <c r="H3160" s="37" t="s">
        <v>10</v>
      </c>
    </row>
    <row r="3161" spans="1:8" x14ac:dyDescent="0.25">
      <c r="A3161" s="31">
        <v>44649</v>
      </c>
      <c r="B3161" s="37" t="s">
        <v>10269</v>
      </c>
      <c r="C3161" s="51" t="s">
        <v>151</v>
      </c>
      <c r="D3161" s="52">
        <v>5404</v>
      </c>
      <c r="E3161" s="35">
        <v>44649</v>
      </c>
      <c r="F3161" s="52">
        <v>5404</v>
      </c>
      <c r="G3161" s="53">
        <f>Tabla14[[#This Row],[Importe]]-Tabla14[[#This Row],[Pagado]]</f>
        <v>0</v>
      </c>
      <c r="H3161" s="37" t="s">
        <v>10</v>
      </c>
    </row>
    <row r="3162" spans="1:8" x14ac:dyDescent="0.25">
      <c r="A3162" s="31">
        <v>44649</v>
      </c>
      <c r="B3162" s="37" t="s">
        <v>10270</v>
      </c>
      <c r="C3162" s="51" t="s">
        <v>419</v>
      </c>
      <c r="D3162" s="52">
        <v>6815.8</v>
      </c>
      <c r="E3162" s="35">
        <v>44649</v>
      </c>
      <c r="F3162" s="52">
        <v>6815.8</v>
      </c>
      <c r="G3162" s="53">
        <f>Tabla14[[#This Row],[Importe]]-Tabla14[[#This Row],[Pagado]]</f>
        <v>0</v>
      </c>
      <c r="H3162" s="37" t="s">
        <v>10</v>
      </c>
    </row>
    <row r="3163" spans="1:8" x14ac:dyDescent="0.25">
      <c r="A3163" s="31">
        <v>44649</v>
      </c>
      <c r="B3163" s="37" t="s">
        <v>10271</v>
      </c>
      <c r="C3163" s="51" t="s">
        <v>31</v>
      </c>
      <c r="D3163" s="52">
        <v>313.26</v>
      </c>
      <c r="E3163" s="35">
        <v>44649</v>
      </c>
      <c r="F3163" s="52">
        <v>313.26</v>
      </c>
      <c r="G3163" s="53">
        <f>Tabla14[[#This Row],[Importe]]-Tabla14[[#This Row],[Pagado]]</f>
        <v>0</v>
      </c>
      <c r="H3163" s="37" t="s">
        <v>10</v>
      </c>
    </row>
    <row r="3164" spans="1:8" x14ac:dyDescent="0.25">
      <c r="A3164" s="31">
        <v>44649</v>
      </c>
      <c r="B3164" s="37" t="s">
        <v>10272</v>
      </c>
      <c r="C3164" s="51" t="s">
        <v>10273</v>
      </c>
      <c r="D3164" s="52">
        <v>313.26</v>
      </c>
      <c r="E3164" s="35" t="s">
        <v>10274</v>
      </c>
      <c r="F3164" s="52">
        <v>313.26</v>
      </c>
      <c r="G3164" s="53">
        <f>Tabla14[[#This Row],[Importe]]-Tabla14[[#This Row],[Pagado]]</f>
        <v>0</v>
      </c>
      <c r="H3164" s="37" t="s">
        <v>10</v>
      </c>
    </row>
    <row r="3165" spans="1:8" x14ac:dyDescent="0.25">
      <c r="A3165" s="31">
        <v>44649</v>
      </c>
      <c r="B3165" s="37" t="s">
        <v>10275</v>
      </c>
      <c r="C3165" s="51" t="s">
        <v>9827</v>
      </c>
      <c r="D3165" s="52">
        <v>448.2</v>
      </c>
      <c r="E3165" s="35" t="s">
        <v>10274</v>
      </c>
      <c r="F3165" s="52">
        <v>448.2</v>
      </c>
      <c r="G3165" s="53">
        <f>Tabla14[[#This Row],[Importe]]-Tabla14[[#This Row],[Pagado]]</f>
        <v>0</v>
      </c>
      <c r="H3165" s="37" t="s">
        <v>10</v>
      </c>
    </row>
    <row r="3166" spans="1:8" x14ac:dyDescent="0.25">
      <c r="A3166" s="31">
        <v>44649</v>
      </c>
      <c r="B3166" s="37" t="s">
        <v>10276</v>
      </c>
      <c r="C3166" s="51" t="s">
        <v>319</v>
      </c>
      <c r="D3166" s="52">
        <v>1647</v>
      </c>
      <c r="E3166" s="35" t="s">
        <v>10274</v>
      </c>
      <c r="F3166" s="52">
        <v>1647</v>
      </c>
      <c r="G3166" s="53">
        <f>Tabla14[[#This Row],[Importe]]-Tabla14[[#This Row],[Pagado]]</f>
        <v>0</v>
      </c>
      <c r="H3166" s="37" t="s">
        <v>10</v>
      </c>
    </row>
    <row r="3167" spans="1:8" x14ac:dyDescent="0.25">
      <c r="A3167" s="31">
        <v>44649</v>
      </c>
      <c r="B3167" s="37" t="s">
        <v>10277</v>
      </c>
      <c r="C3167" s="51" t="s">
        <v>319</v>
      </c>
      <c r="D3167" s="52">
        <v>5426.2</v>
      </c>
      <c r="E3167" s="35" t="s">
        <v>10274</v>
      </c>
      <c r="F3167" s="52">
        <v>5426.2</v>
      </c>
      <c r="G3167" s="53">
        <f>Tabla14[[#This Row],[Importe]]-Tabla14[[#This Row],[Pagado]]</f>
        <v>0</v>
      </c>
      <c r="H3167" s="37" t="s">
        <v>10</v>
      </c>
    </row>
    <row r="3168" spans="1:8" x14ac:dyDescent="0.25">
      <c r="A3168" s="31">
        <v>44649</v>
      </c>
      <c r="B3168" s="37" t="s">
        <v>10278</v>
      </c>
      <c r="C3168" s="51" t="s">
        <v>994</v>
      </c>
      <c r="D3168" s="52">
        <v>3203.4</v>
      </c>
      <c r="E3168" s="35" t="s">
        <v>10274</v>
      </c>
      <c r="F3168" s="52">
        <v>3203.4</v>
      </c>
      <c r="G3168" s="53">
        <f>Tabla14[[#This Row],[Importe]]-Tabla14[[#This Row],[Pagado]]</f>
        <v>0</v>
      </c>
      <c r="H3168" s="37" t="s">
        <v>10</v>
      </c>
    </row>
    <row r="3169" spans="1:8" x14ac:dyDescent="0.25">
      <c r="A3169" s="31">
        <v>44649</v>
      </c>
      <c r="B3169" s="37" t="s">
        <v>10279</v>
      </c>
      <c r="C3169" s="51" t="s">
        <v>10280</v>
      </c>
      <c r="D3169" s="52">
        <v>0</v>
      </c>
      <c r="E3169" s="39" t="s">
        <v>189</v>
      </c>
      <c r="F3169" s="52">
        <v>0</v>
      </c>
      <c r="G3169" s="53">
        <f>Tabla14[[#This Row],[Importe]]-Tabla14[[#This Row],[Pagado]]</f>
        <v>0</v>
      </c>
      <c r="H3169" s="37" t="s">
        <v>189</v>
      </c>
    </row>
    <row r="3170" spans="1:8" x14ac:dyDescent="0.25">
      <c r="A3170" s="31">
        <v>44649</v>
      </c>
      <c r="B3170" s="37" t="s">
        <v>10281</v>
      </c>
      <c r="C3170" s="51" t="s">
        <v>4273</v>
      </c>
      <c r="D3170" s="52">
        <v>53000</v>
      </c>
      <c r="E3170" s="35">
        <v>44649</v>
      </c>
      <c r="F3170" s="52">
        <v>53000</v>
      </c>
      <c r="G3170" s="53">
        <f>Tabla14[[#This Row],[Importe]]-Tabla14[[#This Row],[Pagado]]</f>
        <v>0</v>
      </c>
      <c r="H3170" s="37" t="s">
        <v>10</v>
      </c>
    </row>
    <row r="3171" spans="1:8" x14ac:dyDescent="0.25">
      <c r="A3171" s="31">
        <v>44649</v>
      </c>
      <c r="B3171" s="37" t="s">
        <v>10282</v>
      </c>
      <c r="C3171" s="51" t="s">
        <v>670</v>
      </c>
      <c r="D3171" s="52">
        <v>4371.8999999999996</v>
      </c>
      <c r="E3171" s="35">
        <v>44649</v>
      </c>
      <c r="F3171" s="52">
        <v>4371.8999999999996</v>
      </c>
      <c r="G3171" s="53">
        <f>Tabla14[[#This Row],[Importe]]-Tabla14[[#This Row],[Pagado]]</f>
        <v>0</v>
      </c>
      <c r="H3171" s="37" t="s">
        <v>10</v>
      </c>
    </row>
    <row r="3172" spans="1:8" x14ac:dyDescent="0.25">
      <c r="A3172" s="31">
        <v>44649</v>
      </c>
      <c r="B3172" s="37" t="s">
        <v>10283</v>
      </c>
      <c r="C3172" s="51" t="s">
        <v>142</v>
      </c>
      <c r="D3172" s="52">
        <v>94987.44</v>
      </c>
      <c r="E3172" s="35">
        <v>44670</v>
      </c>
      <c r="F3172" s="52">
        <v>94987.44</v>
      </c>
      <c r="G3172" s="53">
        <f>Tabla14[[#This Row],[Importe]]-Tabla14[[#This Row],[Pagado]]</f>
        <v>0</v>
      </c>
      <c r="H3172" s="37" t="s">
        <v>10</v>
      </c>
    </row>
    <row r="3173" spans="1:8" x14ac:dyDescent="0.25">
      <c r="A3173" s="31">
        <v>44649</v>
      </c>
      <c r="B3173" s="37" t="s">
        <v>10284</v>
      </c>
      <c r="C3173" s="51" t="s">
        <v>31</v>
      </c>
      <c r="D3173" s="52">
        <v>2088</v>
      </c>
      <c r="E3173" s="35">
        <v>44649</v>
      </c>
      <c r="F3173" s="52">
        <v>2088</v>
      </c>
      <c r="G3173" s="53">
        <f>Tabla14[[#This Row],[Importe]]-Tabla14[[#This Row],[Pagado]]</f>
        <v>0</v>
      </c>
      <c r="H3173" s="37" t="s">
        <v>10</v>
      </c>
    </row>
    <row r="3174" spans="1:8" x14ac:dyDescent="0.25">
      <c r="A3174" s="31">
        <v>44649</v>
      </c>
      <c r="B3174" s="37" t="s">
        <v>10285</v>
      </c>
      <c r="C3174" s="51" t="s">
        <v>58</v>
      </c>
      <c r="D3174" s="52">
        <v>2714</v>
      </c>
      <c r="E3174" s="35">
        <v>44649</v>
      </c>
      <c r="F3174" s="52">
        <v>2714</v>
      </c>
      <c r="G3174" s="53">
        <f>Tabla14[[#This Row],[Importe]]-Tabla14[[#This Row],[Pagado]]</f>
        <v>0</v>
      </c>
      <c r="H3174" s="37" t="s">
        <v>10</v>
      </c>
    </row>
    <row r="3175" spans="1:8" x14ac:dyDescent="0.25">
      <c r="A3175" s="31">
        <v>44649</v>
      </c>
      <c r="B3175" s="37" t="s">
        <v>10286</v>
      </c>
      <c r="C3175" s="51" t="s">
        <v>58</v>
      </c>
      <c r="D3175" s="52">
        <v>2588</v>
      </c>
      <c r="E3175" s="35">
        <v>44649</v>
      </c>
      <c r="F3175" s="52">
        <v>2588</v>
      </c>
      <c r="G3175" s="53">
        <f>Tabla14[[#This Row],[Importe]]-Tabla14[[#This Row],[Pagado]]</f>
        <v>0</v>
      </c>
      <c r="H3175" s="37" t="s">
        <v>10</v>
      </c>
    </row>
    <row r="3176" spans="1:8" x14ac:dyDescent="0.25">
      <c r="A3176" s="31">
        <v>44649</v>
      </c>
      <c r="B3176" s="37" t="s">
        <v>10287</v>
      </c>
      <c r="C3176" s="51" t="s">
        <v>10288</v>
      </c>
      <c r="D3176" s="52">
        <v>0</v>
      </c>
      <c r="E3176" s="39" t="s">
        <v>189</v>
      </c>
      <c r="F3176" s="52">
        <v>0</v>
      </c>
      <c r="G3176" s="53">
        <f>Tabla14[[#This Row],[Importe]]-Tabla14[[#This Row],[Pagado]]</f>
        <v>0</v>
      </c>
      <c r="H3176" s="37" t="s">
        <v>189</v>
      </c>
    </row>
    <row r="3177" spans="1:8" x14ac:dyDescent="0.25">
      <c r="A3177" s="31">
        <v>44649</v>
      </c>
      <c r="B3177" s="37" t="s">
        <v>10289</v>
      </c>
      <c r="C3177" s="51" t="s">
        <v>7295</v>
      </c>
      <c r="D3177" s="52">
        <v>18659.400000000001</v>
      </c>
      <c r="E3177" s="35">
        <v>44649</v>
      </c>
      <c r="F3177" s="52">
        <v>18659.400000000001</v>
      </c>
      <c r="G3177" s="53">
        <f>Tabla14[[#This Row],[Importe]]-Tabla14[[#This Row],[Pagado]]</f>
        <v>0</v>
      </c>
      <c r="H3177" s="37" t="s">
        <v>10</v>
      </c>
    </row>
    <row r="3178" spans="1:8" x14ac:dyDescent="0.25">
      <c r="A3178" s="31">
        <v>44649</v>
      </c>
      <c r="B3178" s="37" t="s">
        <v>10290</v>
      </c>
      <c r="C3178" s="51" t="s">
        <v>407</v>
      </c>
      <c r="D3178" s="52">
        <v>13705.8</v>
      </c>
      <c r="E3178" s="35">
        <v>44652</v>
      </c>
      <c r="F3178" s="52">
        <v>13705.8</v>
      </c>
      <c r="G3178" s="53">
        <f>Tabla14[[#This Row],[Importe]]-Tabla14[[#This Row],[Pagado]]</f>
        <v>0</v>
      </c>
      <c r="H3178" s="37" t="s">
        <v>10</v>
      </c>
    </row>
    <row r="3179" spans="1:8" x14ac:dyDescent="0.25">
      <c r="A3179" s="31">
        <v>44649</v>
      </c>
      <c r="B3179" s="37" t="s">
        <v>10291</v>
      </c>
      <c r="C3179" s="51" t="s">
        <v>466</v>
      </c>
      <c r="D3179" s="52">
        <v>16640</v>
      </c>
      <c r="E3179" s="35">
        <v>44649</v>
      </c>
      <c r="F3179" s="52">
        <v>16640</v>
      </c>
      <c r="G3179" s="53">
        <f>Tabla14[[#This Row],[Importe]]-Tabla14[[#This Row],[Pagado]]</f>
        <v>0</v>
      </c>
      <c r="H3179" s="37" t="s">
        <v>10</v>
      </c>
    </row>
    <row r="3180" spans="1:8" x14ac:dyDescent="0.25">
      <c r="A3180" s="31">
        <v>44649</v>
      </c>
      <c r="B3180" s="37" t="s">
        <v>10292</v>
      </c>
      <c r="C3180" s="51" t="s">
        <v>10293</v>
      </c>
      <c r="D3180" s="52">
        <v>0</v>
      </c>
      <c r="E3180" s="39" t="s">
        <v>189</v>
      </c>
      <c r="F3180" s="52">
        <v>0</v>
      </c>
      <c r="G3180" s="53">
        <f>Tabla14[[#This Row],[Importe]]-Tabla14[[#This Row],[Pagado]]</f>
        <v>0</v>
      </c>
      <c r="H3180" s="37" t="s">
        <v>189</v>
      </c>
    </row>
    <row r="3181" spans="1:8" x14ac:dyDescent="0.25">
      <c r="A3181" s="31">
        <v>44649</v>
      </c>
      <c r="B3181" s="37" t="s">
        <v>10294</v>
      </c>
      <c r="C3181" s="51" t="s">
        <v>870</v>
      </c>
      <c r="D3181" s="52">
        <v>34320</v>
      </c>
      <c r="E3181" s="35">
        <v>44649</v>
      </c>
      <c r="F3181" s="52">
        <v>34320</v>
      </c>
      <c r="G3181" s="53">
        <f>Tabla14[[#This Row],[Importe]]-Tabla14[[#This Row],[Pagado]]</f>
        <v>0</v>
      </c>
      <c r="H3181" s="37" t="s">
        <v>10</v>
      </c>
    </row>
    <row r="3182" spans="1:8" x14ac:dyDescent="0.25">
      <c r="A3182" s="31">
        <v>44649</v>
      </c>
      <c r="B3182" s="37" t="s">
        <v>10295</v>
      </c>
      <c r="C3182" s="51" t="s">
        <v>275</v>
      </c>
      <c r="D3182" s="52">
        <v>34507.800000000003</v>
      </c>
      <c r="E3182" s="35">
        <v>44659</v>
      </c>
      <c r="F3182" s="52">
        <v>34507.800000000003</v>
      </c>
      <c r="G3182" s="53">
        <f>Tabla14[[#This Row],[Importe]]-Tabla14[[#This Row],[Pagado]]</f>
        <v>0</v>
      </c>
      <c r="H3182" s="37" t="s">
        <v>10</v>
      </c>
    </row>
    <row r="3183" spans="1:8" x14ac:dyDescent="0.25">
      <c r="A3183" s="31">
        <v>44649</v>
      </c>
      <c r="B3183" s="37" t="s">
        <v>10296</v>
      </c>
      <c r="C3183" s="51" t="s">
        <v>67</v>
      </c>
      <c r="D3183" s="52">
        <v>1410.4</v>
      </c>
      <c r="E3183" s="35">
        <v>44649</v>
      </c>
      <c r="F3183" s="52">
        <v>1410.4</v>
      </c>
      <c r="G3183" s="53">
        <f>Tabla14[[#This Row],[Importe]]-Tabla14[[#This Row],[Pagado]]</f>
        <v>0</v>
      </c>
      <c r="H3183" s="37" t="s">
        <v>10</v>
      </c>
    </row>
    <row r="3184" spans="1:8" x14ac:dyDescent="0.25">
      <c r="A3184" s="31">
        <v>44649</v>
      </c>
      <c r="B3184" s="37" t="s">
        <v>10297</v>
      </c>
      <c r="C3184" s="51" t="s">
        <v>421</v>
      </c>
      <c r="D3184" s="52">
        <v>4658.8999999999996</v>
      </c>
      <c r="E3184" s="35">
        <v>44649</v>
      </c>
      <c r="F3184" s="52">
        <v>4658.8999999999996</v>
      </c>
      <c r="G3184" s="53">
        <f>Tabla14[[#This Row],[Importe]]-Tabla14[[#This Row],[Pagado]]</f>
        <v>0</v>
      </c>
      <c r="H3184" s="37" t="s">
        <v>10</v>
      </c>
    </row>
    <row r="3185" spans="1:8" x14ac:dyDescent="0.25">
      <c r="A3185" s="31">
        <v>44649</v>
      </c>
      <c r="B3185" s="37" t="s">
        <v>10298</v>
      </c>
      <c r="C3185" s="51" t="s">
        <v>275</v>
      </c>
      <c r="D3185" s="52">
        <v>40982.199999999997</v>
      </c>
      <c r="E3185" s="35">
        <v>44659</v>
      </c>
      <c r="F3185" s="52">
        <v>40982.199999999997</v>
      </c>
      <c r="G3185" s="53">
        <f>Tabla14[[#This Row],[Importe]]-Tabla14[[#This Row],[Pagado]]</f>
        <v>0</v>
      </c>
      <c r="H3185" s="37" t="s">
        <v>10</v>
      </c>
    </row>
    <row r="3186" spans="1:8" x14ac:dyDescent="0.25">
      <c r="A3186" s="31">
        <v>44649</v>
      </c>
      <c r="B3186" s="37" t="s">
        <v>10299</v>
      </c>
      <c r="C3186" s="51" t="s">
        <v>433</v>
      </c>
      <c r="D3186" s="52">
        <v>27000</v>
      </c>
      <c r="E3186" s="35">
        <v>44649</v>
      </c>
      <c r="F3186" s="52">
        <v>27000</v>
      </c>
      <c r="G3186" s="53">
        <f>Tabla14[[#This Row],[Importe]]-Tabla14[[#This Row],[Pagado]]</f>
        <v>0</v>
      </c>
      <c r="H3186" s="37" t="s">
        <v>10</v>
      </c>
    </row>
    <row r="3187" spans="1:8" x14ac:dyDescent="0.25">
      <c r="A3187" s="31">
        <v>44649</v>
      </c>
      <c r="B3187" s="37" t="s">
        <v>10300</v>
      </c>
      <c r="C3187" s="51" t="s">
        <v>2961</v>
      </c>
      <c r="D3187" s="52">
        <v>52153.2</v>
      </c>
      <c r="E3187" s="35">
        <v>44652</v>
      </c>
      <c r="F3187" s="52">
        <v>52153.2</v>
      </c>
      <c r="G3187" s="53">
        <f>Tabla14[[#This Row],[Importe]]-Tabla14[[#This Row],[Pagado]]</f>
        <v>0</v>
      </c>
      <c r="H3187" s="37" t="s">
        <v>10</v>
      </c>
    </row>
    <row r="3188" spans="1:8" x14ac:dyDescent="0.25">
      <c r="A3188" s="31">
        <v>44649</v>
      </c>
      <c r="B3188" s="37" t="s">
        <v>10301</v>
      </c>
      <c r="C3188" s="51" t="s">
        <v>135</v>
      </c>
      <c r="D3188" s="52">
        <v>690.2</v>
      </c>
      <c r="E3188" s="35">
        <v>44649</v>
      </c>
      <c r="F3188" s="52">
        <v>690.2</v>
      </c>
      <c r="G3188" s="53">
        <f>Tabla14[[#This Row],[Importe]]-Tabla14[[#This Row],[Pagado]]</f>
        <v>0</v>
      </c>
      <c r="H3188" s="37" t="s">
        <v>10</v>
      </c>
    </row>
    <row r="3189" spans="1:8" x14ac:dyDescent="0.25">
      <c r="A3189" s="31">
        <v>44649</v>
      </c>
      <c r="B3189" s="37" t="s">
        <v>10302</v>
      </c>
      <c r="C3189" s="51" t="s">
        <v>2020</v>
      </c>
      <c r="D3189" s="52">
        <v>17034</v>
      </c>
      <c r="E3189" s="35">
        <v>44649</v>
      </c>
      <c r="F3189" s="52">
        <v>17034</v>
      </c>
      <c r="G3189" s="53">
        <f>Tabla14[[#This Row],[Importe]]-Tabla14[[#This Row],[Pagado]]</f>
        <v>0</v>
      </c>
      <c r="H3189" s="37" t="s">
        <v>10</v>
      </c>
    </row>
    <row r="3190" spans="1:8" x14ac:dyDescent="0.25">
      <c r="A3190" s="31">
        <v>44649</v>
      </c>
      <c r="B3190" s="37" t="s">
        <v>10303</v>
      </c>
      <c r="C3190" s="51" t="s">
        <v>2240</v>
      </c>
      <c r="D3190" s="52">
        <v>7300.8</v>
      </c>
      <c r="E3190" s="35">
        <v>44650</v>
      </c>
      <c r="F3190" s="52">
        <v>7300.8</v>
      </c>
      <c r="G3190" s="53">
        <f>Tabla14[[#This Row],[Importe]]-Tabla14[[#This Row],[Pagado]]</f>
        <v>0</v>
      </c>
      <c r="H3190" s="37" t="s">
        <v>10</v>
      </c>
    </row>
    <row r="3191" spans="1:8" x14ac:dyDescent="0.25">
      <c r="A3191" s="31">
        <v>44649</v>
      </c>
      <c r="B3191" s="37" t="s">
        <v>10304</v>
      </c>
      <c r="C3191" s="51" t="s">
        <v>5345</v>
      </c>
      <c r="D3191" s="52">
        <v>1825.2</v>
      </c>
      <c r="E3191" s="35">
        <v>44650</v>
      </c>
      <c r="F3191" s="52">
        <v>1825.2</v>
      </c>
      <c r="G3191" s="53">
        <f>Tabla14[[#This Row],[Importe]]-Tabla14[[#This Row],[Pagado]]</f>
        <v>0</v>
      </c>
      <c r="H3191" s="37" t="s">
        <v>10</v>
      </c>
    </row>
    <row r="3192" spans="1:8" x14ac:dyDescent="0.25">
      <c r="A3192" s="31">
        <v>44649</v>
      </c>
      <c r="B3192" s="37" t="s">
        <v>10305</v>
      </c>
      <c r="C3192" s="51" t="s">
        <v>282</v>
      </c>
      <c r="D3192" s="52">
        <v>2300.4</v>
      </c>
      <c r="E3192" s="35">
        <v>44650</v>
      </c>
      <c r="F3192" s="52">
        <v>2300.4</v>
      </c>
      <c r="G3192" s="53">
        <f>Tabla14[[#This Row],[Importe]]-Tabla14[[#This Row],[Pagado]]</f>
        <v>0</v>
      </c>
      <c r="H3192" s="37" t="s">
        <v>10</v>
      </c>
    </row>
    <row r="3193" spans="1:8" x14ac:dyDescent="0.25">
      <c r="A3193" s="31">
        <v>44649</v>
      </c>
      <c r="B3193" s="37" t="s">
        <v>10306</v>
      </c>
      <c r="C3193" s="51" t="s">
        <v>284</v>
      </c>
      <c r="D3193" s="52">
        <v>2737.8</v>
      </c>
      <c r="E3193" s="35">
        <v>44650</v>
      </c>
      <c r="F3193" s="52">
        <v>2737.8</v>
      </c>
      <c r="G3193" s="53">
        <f>Tabla14[[#This Row],[Importe]]-Tabla14[[#This Row],[Pagado]]</f>
        <v>0</v>
      </c>
      <c r="H3193" s="37" t="s">
        <v>10</v>
      </c>
    </row>
    <row r="3194" spans="1:8" x14ac:dyDescent="0.25">
      <c r="A3194" s="31">
        <v>44649</v>
      </c>
      <c r="B3194" s="37" t="s">
        <v>10307</v>
      </c>
      <c r="C3194" s="51" t="s">
        <v>71</v>
      </c>
      <c r="D3194" s="52">
        <v>3961.4</v>
      </c>
      <c r="E3194" s="35">
        <v>44649</v>
      </c>
      <c r="F3194" s="52">
        <v>3961.4</v>
      </c>
      <c r="G3194" s="53">
        <f>Tabla14[[#This Row],[Importe]]-Tabla14[[#This Row],[Pagado]]</f>
        <v>0</v>
      </c>
      <c r="H3194" s="37" t="s">
        <v>10</v>
      </c>
    </row>
    <row r="3195" spans="1:8" x14ac:dyDescent="0.25">
      <c r="A3195" s="31">
        <v>44649</v>
      </c>
      <c r="B3195" s="37" t="s">
        <v>10308</v>
      </c>
      <c r="C3195" s="51" t="s">
        <v>31</v>
      </c>
      <c r="D3195" s="52">
        <v>9485.02</v>
      </c>
      <c r="E3195" s="35">
        <v>44649</v>
      </c>
      <c r="F3195" s="52">
        <v>9485.02</v>
      </c>
      <c r="G3195" s="53">
        <f>Tabla14[[#This Row],[Importe]]-Tabla14[[#This Row],[Pagado]]</f>
        <v>0</v>
      </c>
      <c r="H3195" s="37" t="s">
        <v>10</v>
      </c>
    </row>
    <row r="3196" spans="1:8" x14ac:dyDescent="0.25">
      <c r="A3196" s="31">
        <v>44649</v>
      </c>
      <c r="B3196" s="37" t="s">
        <v>10309</v>
      </c>
      <c r="C3196" s="51" t="s">
        <v>43</v>
      </c>
      <c r="D3196" s="52">
        <v>7820</v>
      </c>
      <c r="E3196" s="35">
        <v>44649</v>
      </c>
      <c r="F3196" s="52">
        <v>7820</v>
      </c>
      <c r="G3196" s="53">
        <f>Tabla14[[#This Row],[Importe]]-Tabla14[[#This Row],[Pagado]]</f>
        <v>0</v>
      </c>
      <c r="H3196" s="37" t="s">
        <v>10</v>
      </c>
    </row>
    <row r="3197" spans="1:8" x14ac:dyDescent="0.25">
      <c r="A3197" s="31">
        <v>44649</v>
      </c>
      <c r="B3197" s="37" t="s">
        <v>10310</v>
      </c>
      <c r="C3197" s="51" t="s">
        <v>1706</v>
      </c>
      <c r="D3197" s="52">
        <v>12067.2</v>
      </c>
      <c r="E3197" s="35">
        <v>44649</v>
      </c>
      <c r="F3197" s="52">
        <v>12067.2</v>
      </c>
      <c r="G3197" s="53">
        <f>Tabla14[[#This Row],[Importe]]-Tabla14[[#This Row],[Pagado]]</f>
        <v>0</v>
      </c>
      <c r="H3197" s="37" t="s">
        <v>10</v>
      </c>
    </row>
    <row r="3198" spans="1:8" x14ac:dyDescent="0.25">
      <c r="A3198" s="31">
        <v>44649</v>
      </c>
      <c r="B3198" s="37" t="s">
        <v>10311</v>
      </c>
      <c r="C3198" s="51" t="s">
        <v>22</v>
      </c>
      <c r="D3198" s="52">
        <v>3988.2</v>
      </c>
      <c r="E3198" s="35">
        <v>44649</v>
      </c>
      <c r="F3198" s="52">
        <v>3988.2</v>
      </c>
      <c r="G3198" s="53">
        <f>Tabla14[[#This Row],[Importe]]-Tabla14[[#This Row],[Pagado]]</f>
        <v>0</v>
      </c>
      <c r="H3198" s="37" t="s">
        <v>10</v>
      </c>
    </row>
    <row r="3199" spans="1:8" x14ac:dyDescent="0.25">
      <c r="A3199" s="31">
        <v>44649</v>
      </c>
      <c r="B3199" s="37" t="s">
        <v>10312</v>
      </c>
      <c r="C3199" s="51" t="s">
        <v>10313</v>
      </c>
      <c r="D3199" s="52">
        <v>1312.3</v>
      </c>
      <c r="E3199" s="35">
        <v>44649</v>
      </c>
      <c r="F3199" s="52">
        <v>1312.3</v>
      </c>
      <c r="G3199" s="53">
        <f>Tabla14[[#This Row],[Importe]]-Tabla14[[#This Row],[Pagado]]</f>
        <v>0</v>
      </c>
      <c r="H3199" s="37" t="s">
        <v>10</v>
      </c>
    </row>
    <row r="3200" spans="1:8" x14ac:dyDescent="0.25">
      <c r="A3200" s="31">
        <v>44649</v>
      </c>
      <c r="B3200" s="37" t="s">
        <v>10314</v>
      </c>
      <c r="C3200" s="51" t="s">
        <v>196</v>
      </c>
      <c r="D3200" s="52">
        <v>794.4</v>
      </c>
      <c r="E3200" s="35">
        <v>44652</v>
      </c>
      <c r="F3200" s="52">
        <v>794.4</v>
      </c>
      <c r="G3200" s="53">
        <f>Tabla14[[#This Row],[Importe]]-Tabla14[[#This Row],[Pagado]]</f>
        <v>0</v>
      </c>
      <c r="H3200" s="37" t="s">
        <v>10</v>
      </c>
    </row>
    <row r="3201" spans="1:8" x14ac:dyDescent="0.25">
      <c r="A3201" s="31">
        <v>44649</v>
      </c>
      <c r="B3201" s="37" t="s">
        <v>10315</v>
      </c>
      <c r="C3201" s="51" t="s">
        <v>333</v>
      </c>
      <c r="D3201" s="52">
        <v>1908.02</v>
      </c>
      <c r="E3201" s="35">
        <v>44650</v>
      </c>
      <c r="F3201" s="52">
        <v>1908.02</v>
      </c>
      <c r="G3201" s="53">
        <f>Tabla14[[#This Row],[Importe]]-Tabla14[[#This Row],[Pagado]]</f>
        <v>0</v>
      </c>
      <c r="H3201" s="37" t="s">
        <v>10</v>
      </c>
    </row>
    <row r="3202" spans="1:8" x14ac:dyDescent="0.25">
      <c r="A3202" s="31">
        <v>44649</v>
      </c>
      <c r="B3202" s="37" t="s">
        <v>10316</v>
      </c>
      <c r="C3202" s="51" t="s">
        <v>407</v>
      </c>
      <c r="D3202" s="52">
        <v>7000</v>
      </c>
      <c r="E3202" s="35">
        <v>44652</v>
      </c>
      <c r="F3202" s="52">
        <v>7000</v>
      </c>
      <c r="G3202" s="53">
        <f>Tabla14[[#This Row],[Importe]]-Tabla14[[#This Row],[Pagado]]</f>
        <v>0</v>
      </c>
      <c r="H3202" s="37" t="s">
        <v>10</v>
      </c>
    </row>
    <row r="3203" spans="1:8" x14ac:dyDescent="0.25">
      <c r="A3203" s="31">
        <v>44649</v>
      </c>
      <c r="B3203" s="37" t="s">
        <v>10317</v>
      </c>
      <c r="C3203" s="51" t="s">
        <v>69</v>
      </c>
      <c r="D3203" s="52">
        <v>5146.2</v>
      </c>
      <c r="E3203" s="35">
        <v>44649</v>
      </c>
      <c r="F3203" s="52">
        <v>5146.2</v>
      </c>
      <c r="G3203" s="53">
        <f>Tabla14[[#This Row],[Importe]]-Tabla14[[#This Row],[Pagado]]</f>
        <v>0</v>
      </c>
      <c r="H3203" s="37" t="s">
        <v>10</v>
      </c>
    </row>
    <row r="3204" spans="1:8" x14ac:dyDescent="0.25">
      <c r="A3204" s="31">
        <v>44649</v>
      </c>
      <c r="B3204" s="37" t="s">
        <v>10318</v>
      </c>
      <c r="C3204" s="51" t="s">
        <v>179</v>
      </c>
      <c r="D3204" s="52">
        <v>874.8</v>
      </c>
      <c r="E3204" s="35">
        <v>44650</v>
      </c>
      <c r="F3204" s="52">
        <v>874.8</v>
      </c>
      <c r="G3204" s="53">
        <f>Tabla14[[#This Row],[Importe]]-Tabla14[[#This Row],[Pagado]]</f>
        <v>0</v>
      </c>
      <c r="H3204" s="37" t="s">
        <v>10</v>
      </c>
    </row>
    <row r="3205" spans="1:8" x14ac:dyDescent="0.25">
      <c r="A3205" s="31">
        <v>44649</v>
      </c>
      <c r="B3205" s="37" t="s">
        <v>10319</v>
      </c>
      <c r="C3205" s="51" t="s">
        <v>5694</v>
      </c>
      <c r="D3205" s="52">
        <v>3490</v>
      </c>
      <c r="E3205" s="35">
        <v>44649</v>
      </c>
      <c r="F3205" s="52">
        <v>3490</v>
      </c>
      <c r="G3205" s="53">
        <f>Tabla14[[#This Row],[Importe]]-Tabla14[[#This Row],[Pagado]]</f>
        <v>0</v>
      </c>
      <c r="H3205" s="37" t="s">
        <v>10</v>
      </c>
    </row>
    <row r="3206" spans="1:8" x14ac:dyDescent="0.25">
      <c r="A3206" s="31">
        <v>44649</v>
      </c>
      <c r="B3206" s="37" t="s">
        <v>10320</v>
      </c>
      <c r="C3206" s="51" t="s">
        <v>414</v>
      </c>
      <c r="D3206" s="52">
        <v>15905.3</v>
      </c>
      <c r="E3206" s="35">
        <v>44672</v>
      </c>
      <c r="F3206" s="52">
        <v>15905.3</v>
      </c>
      <c r="G3206" s="53">
        <f>Tabla14[[#This Row],[Importe]]-Tabla14[[#This Row],[Pagado]]</f>
        <v>0</v>
      </c>
      <c r="H3206" s="37" t="s">
        <v>10</v>
      </c>
    </row>
    <row r="3207" spans="1:8" x14ac:dyDescent="0.25">
      <c r="A3207" s="31">
        <v>44649</v>
      </c>
      <c r="B3207" s="37" t="s">
        <v>10321</v>
      </c>
      <c r="C3207" s="51" t="s">
        <v>200</v>
      </c>
      <c r="D3207" s="52">
        <v>540</v>
      </c>
      <c r="E3207" s="35">
        <v>44650</v>
      </c>
      <c r="F3207" s="52">
        <v>540</v>
      </c>
      <c r="G3207" s="53">
        <f>Tabla14[[#This Row],[Importe]]-Tabla14[[#This Row],[Pagado]]</f>
        <v>0</v>
      </c>
      <c r="H3207" s="37" t="s">
        <v>10</v>
      </c>
    </row>
    <row r="3208" spans="1:8" x14ac:dyDescent="0.25">
      <c r="A3208" s="31">
        <v>44649</v>
      </c>
      <c r="B3208" s="37" t="s">
        <v>10322</v>
      </c>
      <c r="C3208" s="51" t="s">
        <v>409</v>
      </c>
      <c r="D3208" s="52">
        <v>5484.9</v>
      </c>
      <c r="E3208" s="35">
        <v>44650</v>
      </c>
      <c r="F3208" s="52">
        <v>5484.9</v>
      </c>
      <c r="G3208" s="53">
        <f>Tabla14[[#This Row],[Importe]]-Tabla14[[#This Row],[Pagado]]</f>
        <v>0</v>
      </c>
      <c r="H3208" s="37" t="s">
        <v>10</v>
      </c>
    </row>
    <row r="3209" spans="1:8" x14ac:dyDescent="0.25">
      <c r="A3209" s="31">
        <v>44649</v>
      </c>
      <c r="B3209" s="37" t="s">
        <v>10323</v>
      </c>
      <c r="C3209" s="51" t="s">
        <v>10324</v>
      </c>
      <c r="D3209" s="52">
        <v>7085.3</v>
      </c>
      <c r="E3209" s="35">
        <v>44649</v>
      </c>
      <c r="F3209" s="52">
        <v>7085.3</v>
      </c>
      <c r="G3209" s="53">
        <f>Tabla14[[#This Row],[Importe]]-Tabla14[[#This Row],[Pagado]]</f>
        <v>0</v>
      </c>
      <c r="H3209" s="37" t="s">
        <v>10</v>
      </c>
    </row>
    <row r="3210" spans="1:8" x14ac:dyDescent="0.25">
      <c r="A3210" s="31">
        <v>44649</v>
      </c>
      <c r="B3210" s="37" t="s">
        <v>10325</v>
      </c>
      <c r="C3210" s="51" t="s">
        <v>31</v>
      </c>
      <c r="D3210" s="52">
        <v>81.599999999999994</v>
      </c>
      <c r="E3210" s="35">
        <v>44650</v>
      </c>
      <c r="F3210" s="52">
        <v>81.599999999999994</v>
      </c>
      <c r="G3210" s="53">
        <f>Tabla14[[#This Row],[Importe]]-Tabla14[[#This Row],[Pagado]]</f>
        <v>0</v>
      </c>
      <c r="H3210" s="37" t="s">
        <v>10</v>
      </c>
    </row>
    <row r="3211" spans="1:8" x14ac:dyDescent="0.25">
      <c r="A3211" s="31">
        <v>44650</v>
      </c>
      <c r="B3211" s="37" t="s">
        <v>10326</v>
      </c>
      <c r="C3211" s="51" t="s">
        <v>887</v>
      </c>
      <c r="D3211" s="52">
        <v>7012.5</v>
      </c>
      <c r="E3211" s="35">
        <v>44656</v>
      </c>
      <c r="F3211" s="52">
        <v>7012.5</v>
      </c>
      <c r="G3211" s="53">
        <f>Tabla14[[#This Row],[Importe]]-Tabla14[[#This Row],[Pagado]]</f>
        <v>0</v>
      </c>
      <c r="H3211" s="37" t="s">
        <v>10</v>
      </c>
    </row>
    <row r="3212" spans="1:8" x14ac:dyDescent="0.25">
      <c r="A3212" s="31">
        <v>44650</v>
      </c>
      <c r="B3212" s="37" t="s">
        <v>10327</v>
      </c>
      <c r="C3212" s="51" t="s">
        <v>22</v>
      </c>
      <c r="D3212" s="52">
        <v>39283.800000000003</v>
      </c>
      <c r="E3212" s="35">
        <v>44652</v>
      </c>
      <c r="F3212" s="52">
        <v>39283.800000000003</v>
      </c>
      <c r="G3212" s="53">
        <f>Tabla14[[#This Row],[Importe]]-Tabla14[[#This Row],[Pagado]]</f>
        <v>0</v>
      </c>
      <c r="H3212" s="37" t="s">
        <v>10</v>
      </c>
    </row>
    <row r="3213" spans="1:8" x14ac:dyDescent="0.25">
      <c r="A3213" s="31">
        <v>44650</v>
      </c>
      <c r="B3213" s="37" t="s">
        <v>10328</v>
      </c>
      <c r="C3213" s="51" t="s">
        <v>481</v>
      </c>
      <c r="D3213" s="52">
        <v>2035.5</v>
      </c>
      <c r="E3213" s="35">
        <v>44650</v>
      </c>
      <c r="F3213" s="52">
        <v>2035.5</v>
      </c>
      <c r="G3213" s="53">
        <f>Tabla14[[#This Row],[Importe]]-Tabla14[[#This Row],[Pagado]]</f>
        <v>0</v>
      </c>
      <c r="H3213" s="37" t="s">
        <v>10</v>
      </c>
    </row>
    <row r="3214" spans="1:8" ht="31.5" x14ac:dyDescent="0.25">
      <c r="A3214" s="31">
        <v>44650</v>
      </c>
      <c r="B3214" s="37" t="s">
        <v>10329</v>
      </c>
      <c r="C3214" s="51" t="s">
        <v>475</v>
      </c>
      <c r="D3214" s="52">
        <v>86113.5</v>
      </c>
      <c r="E3214" s="35" t="s">
        <v>10561</v>
      </c>
      <c r="F3214" s="52">
        <f>67000+19113.5</f>
        <v>86113.5</v>
      </c>
      <c r="G3214" s="53">
        <f>Tabla14[[#This Row],[Importe]]-Tabla14[[#This Row],[Pagado]]</f>
        <v>0</v>
      </c>
      <c r="H3214" s="37" t="s">
        <v>10</v>
      </c>
    </row>
    <row r="3215" spans="1:8" x14ac:dyDescent="0.25">
      <c r="A3215" s="31">
        <v>44650</v>
      </c>
      <c r="B3215" s="37" t="s">
        <v>10330</v>
      </c>
      <c r="C3215" s="51" t="s">
        <v>31</v>
      </c>
      <c r="D3215" s="52">
        <v>1965.4</v>
      </c>
      <c r="E3215" s="35">
        <v>44650</v>
      </c>
      <c r="F3215" s="52">
        <v>1965.4</v>
      </c>
      <c r="G3215" s="53">
        <f>Tabla14[[#This Row],[Importe]]-Tabla14[[#This Row],[Pagado]]</f>
        <v>0</v>
      </c>
      <c r="H3215" s="37" t="s">
        <v>10</v>
      </c>
    </row>
    <row r="3216" spans="1:8" x14ac:dyDescent="0.25">
      <c r="A3216" s="31">
        <v>44650</v>
      </c>
      <c r="B3216" s="37" t="s">
        <v>10331</v>
      </c>
      <c r="C3216" s="51" t="s">
        <v>5240</v>
      </c>
      <c r="D3216" s="52">
        <v>3216</v>
      </c>
      <c r="E3216" s="35">
        <v>44657</v>
      </c>
      <c r="F3216" s="52">
        <v>3216</v>
      </c>
      <c r="G3216" s="53">
        <f>Tabla14[[#This Row],[Importe]]-Tabla14[[#This Row],[Pagado]]</f>
        <v>0</v>
      </c>
      <c r="H3216" s="37" t="s">
        <v>10</v>
      </c>
    </row>
    <row r="3217" spans="1:8" x14ac:dyDescent="0.25">
      <c r="A3217" s="31">
        <v>44650</v>
      </c>
      <c r="B3217" s="37" t="s">
        <v>10332</v>
      </c>
      <c r="C3217" s="51" t="s">
        <v>576</v>
      </c>
      <c r="D3217" s="52">
        <v>4025</v>
      </c>
      <c r="E3217" s="35">
        <v>44650</v>
      </c>
      <c r="F3217" s="52">
        <v>4025</v>
      </c>
      <c r="G3217" s="53">
        <f>Tabla14[[#This Row],[Importe]]-Tabla14[[#This Row],[Pagado]]</f>
        <v>0</v>
      </c>
      <c r="H3217" s="37" t="s">
        <v>10</v>
      </c>
    </row>
    <row r="3218" spans="1:8" x14ac:dyDescent="0.25">
      <c r="A3218" s="31">
        <v>44650</v>
      </c>
      <c r="B3218" s="37" t="s">
        <v>10333</v>
      </c>
      <c r="C3218" s="51" t="s">
        <v>12</v>
      </c>
      <c r="D3218" s="52">
        <v>16166.7</v>
      </c>
      <c r="E3218" s="35">
        <v>44651</v>
      </c>
      <c r="F3218" s="52">
        <v>16166.7</v>
      </c>
      <c r="G3218" s="53">
        <f>Tabla14[[#This Row],[Importe]]-Tabla14[[#This Row],[Pagado]]</f>
        <v>0</v>
      </c>
      <c r="H3218" s="37" t="s">
        <v>10</v>
      </c>
    </row>
    <row r="3219" spans="1:8" x14ac:dyDescent="0.25">
      <c r="A3219" s="31">
        <v>44650</v>
      </c>
      <c r="B3219" s="37" t="s">
        <v>10334</v>
      </c>
      <c r="C3219" s="51" t="s">
        <v>131</v>
      </c>
      <c r="D3219" s="52">
        <v>13780</v>
      </c>
      <c r="E3219" s="35">
        <v>44650</v>
      </c>
      <c r="F3219" s="52">
        <v>13780</v>
      </c>
      <c r="G3219" s="53">
        <f>Tabla14[[#This Row],[Importe]]-Tabla14[[#This Row],[Pagado]]</f>
        <v>0</v>
      </c>
      <c r="H3219" s="37" t="s">
        <v>10</v>
      </c>
    </row>
    <row r="3220" spans="1:8" x14ac:dyDescent="0.25">
      <c r="A3220" s="31">
        <v>44650</v>
      </c>
      <c r="B3220" s="37" t="s">
        <v>10335</v>
      </c>
      <c r="C3220" s="51" t="s">
        <v>484</v>
      </c>
      <c r="D3220" s="52">
        <v>3104</v>
      </c>
      <c r="E3220" s="35">
        <v>44650</v>
      </c>
      <c r="F3220" s="52">
        <v>3104</v>
      </c>
      <c r="G3220" s="53">
        <f>Tabla14[[#This Row],[Importe]]-Tabla14[[#This Row],[Pagado]]</f>
        <v>0</v>
      </c>
      <c r="H3220" s="37" t="s">
        <v>10</v>
      </c>
    </row>
    <row r="3221" spans="1:8" x14ac:dyDescent="0.25">
      <c r="A3221" s="31">
        <v>44650</v>
      </c>
      <c r="B3221" s="37" t="s">
        <v>10336</v>
      </c>
      <c r="C3221" s="51" t="s">
        <v>18</v>
      </c>
      <c r="D3221" s="52">
        <v>1260</v>
      </c>
      <c r="E3221" s="35">
        <v>44650</v>
      </c>
      <c r="F3221" s="52">
        <v>1260</v>
      </c>
      <c r="G3221" s="53">
        <f>Tabla14[[#This Row],[Importe]]-Tabla14[[#This Row],[Pagado]]</f>
        <v>0</v>
      </c>
      <c r="H3221" s="37" t="s">
        <v>10</v>
      </c>
    </row>
    <row r="3222" spans="1:8" x14ac:dyDescent="0.25">
      <c r="A3222" s="31">
        <v>44650</v>
      </c>
      <c r="B3222" s="37" t="s">
        <v>10337</v>
      </c>
      <c r="C3222" s="51" t="s">
        <v>9</v>
      </c>
      <c r="D3222" s="52">
        <v>6070.1</v>
      </c>
      <c r="E3222" s="35">
        <v>44650</v>
      </c>
      <c r="F3222" s="52">
        <v>6070.1</v>
      </c>
      <c r="G3222" s="53">
        <f>Tabla14[[#This Row],[Importe]]-Tabla14[[#This Row],[Pagado]]</f>
        <v>0</v>
      </c>
      <c r="H3222" s="37" t="s">
        <v>10</v>
      </c>
    </row>
    <row r="3223" spans="1:8" x14ac:dyDescent="0.25">
      <c r="A3223" s="31">
        <v>44650</v>
      </c>
      <c r="B3223" s="37" t="s">
        <v>10338</v>
      </c>
      <c r="C3223" s="51" t="s">
        <v>326</v>
      </c>
      <c r="D3223" s="52">
        <v>8325.1</v>
      </c>
      <c r="E3223" s="35">
        <v>44651</v>
      </c>
      <c r="F3223" s="52">
        <v>8325.1</v>
      </c>
      <c r="G3223" s="53">
        <f>Tabla14[[#This Row],[Importe]]-Tabla14[[#This Row],[Pagado]]</f>
        <v>0</v>
      </c>
      <c r="H3223" s="37" t="s">
        <v>10</v>
      </c>
    </row>
    <row r="3224" spans="1:8" x14ac:dyDescent="0.25">
      <c r="A3224" s="31">
        <v>44650</v>
      </c>
      <c r="B3224" s="37" t="s">
        <v>10339</v>
      </c>
      <c r="C3224" s="51" t="s">
        <v>131</v>
      </c>
      <c r="D3224" s="52">
        <v>190.8</v>
      </c>
      <c r="E3224" s="35">
        <v>44650</v>
      </c>
      <c r="F3224" s="52">
        <v>190.8</v>
      </c>
      <c r="G3224" s="53">
        <f>Tabla14[[#This Row],[Importe]]-Tabla14[[#This Row],[Pagado]]</f>
        <v>0</v>
      </c>
      <c r="H3224" s="37" t="s">
        <v>10</v>
      </c>
    </row>
    <row r="3225" spans="1:8" x14ac:dyDescent="0.25">
      <c r="A3225" s="31">
        <v>44650</v>
      </c>
      <c r="B3225" s="37" t="s">
        <v>10340</v>
      </c>
      <c r="C3225" s="51" t="s">
        <v>83</v>
      </c>
      <c r="D3225" s="52">
        <v>8696.7999999999993</v>
      </c>
      <c r="E3225" s="35">
        <v>44650</v>
      </c>
      <c r="F3225" s="52">
        <v>8696.7999999999993</v>
      </c>
      <c r="G3225" s="53">
        <f>Tabla14[[#This Row],[Importe]]-Tabla14[[#This Row],[Pagado]]</f>
        <v>0</v>
      </c>
      <c r="H3225" s="37" t="s">
        <v>10</v>
      </c>
    </row>
    <row r="3226" spans="1:8" x14ac:dyDescent="0.25">
      <c r="A3226" s="31">
        <v>44650</v>
      </c>
      <c r="B3226" s="37" t="s">
        <v>10341</v>
      </c>
      <c r="C3226" s="51" t="s">
        <v>146</v>
      </c>
      <c r="D3226" s="52">
        <v>1728.4</v>
      </c>
      <c r="E3226" s="35">
        <v>44650</v>
      </c>
      <c r="F3226" s="52">
        <v>1728.4</v>
      </c>
      <c r="G3226" s="53">
        <f>Tabla14[[#This Row],[Importe]]-Tabla14[[#This Row],[Pagado]]</f>
        <v>0</v>
      </c>
      <c r="H3226" s="37" t="s">
        <v>10</v>
      </c>
    </row>
    <row r="3227" spans="1:8" x14ac:dyDescent="0.25">
      <c r="A3227" s="31">
        <v>44650</v>
      </c>
      <c r="B3227" s="37" t="s">
        <v>10342</v>
      </c>
      <c r="C3227" s="51" t="s">
        <v>64</v>
      </c>
      <c r="D3227" s="52">
        <v>3743.4</v>
      </c>
      <c r="E3227" s="35">
        <v>44652</v>
      </c>
      <c r="F3227" s="52">
        <v>3743.4</v>
      </c>
      <c r="G3227" s="53">
        <f>Tabla14[[#This Row],[Importe]]-Tabla14[[#This Row],[Pagado]]</f>
        <v>0</v>
      </c>
      <c r="H3227" s="37" t="s">
        <v>10</v>
      </c>
    </row>
    <row r="3228" spans="1:8" x14ac:dyDescent="0.25">
      <c r="A3228" s="31">
        <v>44650</v>
      </c>
      <c r="B3228" s="37" t="s">
        <v>10343</v>
      </c>
      <c r="C3228" s="51" t="s">
        <v>111</v>
      </c>
      <c r="D3228" s="52">
        <v>3983.7</v>
      </c>
      <c r="E3228" s="35">
        <v>44651</v>
      </c>
      <c r="F3228" s="52">
        <v>3983.7</v>
      </c>
      <c r="G3228" s="53">
        <f>Tabla14[[#This Row],[Importe]]-Tabla14[[#This Row],[Pagado]]</f>
        <v>0</v>
      </c>
      <c r="H3228" s="37" t="s">
        <v>10</v>
      </c>
    </row>
    <row r="3229" spans="1:8" x14ac:dyDescent="0.25">
      <c r="A3229" s="31">
        <v>44650</v>
      </c>
      <c r="B3229" s="37" t="s">
        <v>10344</v>
      </c>
      <c r="C3229" s="51" t="s">
        <v>93</v>
      </c>
      <c r="D3229" s="52">
        <v>4032.7</v>
      </c>
      <c r="E3229" s="35">
        <v>44651</v>
      </c>
      <c r="F3229" s="52">
        <v>4032.7</v>
      </c>
      <c r="G3229" s="53">
        <f>Tabla14[[#This Row],[Importe]]-Tabla14[[#This Row],[Pagado]]</f>
        <v>0</v>
      </c>
      <c r="H3229" s="37" t="s">
        <v>10</v>
      </c>
    </row>
    <row r="3230" spans="1:8" x14ac:dyDescent="0.25">
      <c r="A3230" s="31">
        <v>44650</v>
      </c>
      <c r="B3230" s="37" t="s">
        <v>10345</v>
      </c>
      <c r="C3230" s="51" t="s">
        <v>196</v>
      </c>
      <c r="D3230" s="52">
        <v>112563.39</v>
      </c>
      <c r="E3230" s="35">
        <v>44652</v>
      </c>
      <c r="F3230" s="52">
        <v>112563.39</v>
      </c>
      <c r="G3230" s="53">
        <f>Tabla14[[#This Row],[Importe]]-Tabla14[[#This Row],[Pagado]]</f>
        <v>0</v>
      </c>
      <c r="H3230" s="37" t="s">
        <v>10</v>
      </c>
    </row>
    <row r="3231" spans="1:8" x14ac:dyDescent="0.25">
      <c r="A3231" s="31">
        <v>44650</v>
      </c>
      <c r="B3231" s="37" t="s">
        <v>10346</v>
      </c>
      <c r="C3231" s="51" t="s">
        <v>99</v>
      </c>
      <c r="D3231" s="52">
        <v>4037.6</v>
      </c>
      <c r="E3231" s="35">
        <v>44651</v>
      </c>
      <c r="F3231" s="52">
        <v>4037.6</v>
      </c>
      <c r="G3231" s="53">
        <f>Tabla14[[#This Row],[Importe]]-Tabla14[[#This Row],[Pagado]]</f>
        <v>0</v>
      </c>
      <c r="H3231" s="37" t="s">
        <v>10</v>
      </c>
    </row>
    <row r="3232" spans="1:8" x14ac:dyDescent="0.25">
      <c r="A3232" s="31">
        <v>44650</v>
      </c>
      <c r="B3232" s="37" t="s">
        <v>10347</v>
      </c>
      <c r="C3232" s="51" t="s">
        <v>196</v>
      </c>
      <c r="D3232" s="52">
        <v>1341.6</v>
      </c>
      <c r="E3232" s="35">
        <v>44652</v>
      </c>
      <c r="F3232" s="52">
        <v>1341.6</v>
      </c>
      <c r="G3232" s="53">
        <f>Tabla14[[#This Row],[Importe]]-Tabla14[[#This Row],[Pagado]]</f>
        <v>0</v>
      </c>
      <c r="H3232" s="37" t="s">
        <v>10</v>
      </c>
    </row>
    <row r="3233" spans="1:8" x14ac:dyDescent="0.25">
      <c r="A3233" s="31">
        <v>44650</v>
      </c>
      <c r="B3233" s="37" t="s">
        <v>10348</v>
      </c>
      <c r="C3233" s="51" t="s">
        <v>87</v>
      </c>
      <c r="D3233" s="52">
        <v>1506.2</v>
      </c>
      <c r="E3233" s="35">
        <v>44650</v>
      </c>
      <c r="F3233" s="52">
        <v>1506.2</v>
      </c>
      <c r="G3233" s="53">
        <f>Tabla14[[#This Row],[Importe]]-Tabla14[[#This Row],[Pagado]]</f>
        <v>0</v>
      </c>
      <c r="H3233" s="37" t="s">
        <v>10</v>
      </c>
    </row>
    <row r="3234" spans="1:8" x14ac:dyDescent="0.25">
      <c r="A3234" s="31">
        <v>44650</v>
      </c>
      <c r="B3234" s="37" t="s">
        <v>10349</v>
      </c>
      <c r="C3234" s="51" t="s">
        <v>85</v>
      </c>
      <c r="D3234" s="52">
        <v>2189.1999999999998</v>
      </c>
      <c r="E3234" s="35">
        <v>44650</v>
      </c>
      <c r="F3234" s="52">
        <v>2189.1999999999998</v>
      </c>
      <c r="G3234" s="53">
        <f>Tabla14[[#This Row],[Importe]]-Tabla14[[#This Row],[Pagado]]</f>
        <v>0</v>
      </c>
      <c r="H3234" s="37" t="s">
        <v>10</v>
      </c>
    </row>
    <row r="3235" spans="1:8" x14ac:dyDescent="0.25">
      <c r="A3235" s="31">
        <v>44650</v>
      </c>
      <c r="B3235" s="37" t="s">
        <v>10350</v>
      </c>
      <c r="C3235" s="51" t="s">
        <v>39</v>
      </c>
      <c r="D3235" s="52">
        <v>15869.7</v>
      </c>
      <c r="E3235" s="35">
        <v>44650</v>
      </c>
      <c r="F3235" s="52">
        <v>15869.7</v>
      </c>
      <c r="G3235" s="53">
        <f>Tabla14[[#This Row],[Importe]]-Tabla14[[#This Row],[Pagado]]</f>
        <v>0</v>
      </c>
      <c r="H3235" s="37" t="s">
        <v>10</v>
      </c>
    </row>
    <row r="3236" spans="1:8" x14ac:dyDescent="0.25">
      <c r="A3236" s="31">
        <v>44650</v>
      </c>
      <c r="B3236" s="37" t="s">
        <v>10351</v>
      </c>
      <c r="C3236" s="51" t="s">
        <v>105</v>
      </c>
      <c r="D3236" s="52">
        <v>9760.1</v>
      </c>
      <c r="E3236" s="35">
        <v>44651</v>
      </c>
      <c r="F3236" s="52">
        <v>9760.1</v>
      </c>
      <c r="G3236" s="53">
        <f>Tabla14[[#This Row],[Importe]]-Tabla14[[#This Row],[Pagado]]</f>
        <v>0</v>
      </c>
      <c r="H3236" s="37" t="s">
        <v>10</v>
      </c>
    </row>
    <row r="3237" spans="1:8" x14ac:dyDescent="0.25">
      <c r="A3237" s="31">
        <v>44650</v>
      </c>
      <c r="B3237" s="37" t="s">
        <v>10352</v>
      </c>
      <c r="C3237" s="51" t="s">
        <v>135</v>
      </c>
      <c r="D3237" s="52">
        <v>314.39999999999998</v>
      </c>
      <c r="E3237" s="35">
        <v>44650</v>
      </c>
      <c r="F3237" s="52">
        <v>314.39999999999998</v>
      </c>
      <c r="G3237" s="53">
        <f>Tabla14[[#This Row],[Importe]]-Tabla14[[#This Row],[Pagado]]</f>
        <v>0</v>
      </c>
      <c r="H3237" s="37" t="s">
        <v>10</v>
      </c>
    </row>
    <row r="3238" spans="1:8" x14ac:dyDescent="0.25">
      <c r="A3238" s="31">
        <v>44650</v>
      </c>
      <c r="B3238" s="37" t="s">
        <v>10353</v>
      </c>
      <c r="C3238" s="51" t="s">
        <v>109</v>
      </c>
      <c r="D3238" s="52">
        <v>4267.8999999999996</v>
      </c>
      <c r="E3238" s="35">
        <v>44651</v>
      </c>
      <c r="F3238" s="52">
        <v>4267.8999999999996</v>
      </c>
      <c r="G3238" s="53">
        <f>Tabla14[[#This Row],[Importe]]-Tabla14[[#This Row],[Pagado]]</f>
        <v>0</v>
      </c>
      <c r="H3238" s="37" t="s">
        <v>10</v>
      </c>
    </row>
    <row r="3239" spans="1:8" x14ac:dyDescent="0.25">
      <c r="A3239" s="31">
        <v>44650</v>
      </c>
      <c r="B3239" s="37" t="s">
        <v>10354</v>
      </c>
      <c r="C3239" s="51" t="s">
        <v>348</v>
      </c>
      <c r="D3239" s="52">
        <v>3802.4</v>
      </c>
      <c r="E3239" s="35">
        <v>44650</v>
      </c>
      <c r="F3239" s="52">
        <v>3802.4</v>
      </c>
      <c r="G3239" s="53">
        <f>Tabla14[[#This Row],[Importe]]-Tabla14[[#This Row],[Pagado]]</f>
        <v>0</v>
      </c>
      <c r="H3239" s="37" t="s">
        <v>10</v>
      </c>
    </row>
    <row r="3240" spans="1:8" x14ac:dyDescent="0.25">
      <c r="A3240" s="31">
        <v>44650</v>
      </c>
      <c r="B3240" s="37" t="s">
        <v>10355</v>
      </c>
      <c r="C3240" s="51" t="s">
        <v>2151</v>
      </c>
      <c r="D3240" s="52">
        <v>19720.900000000001</v>
      </c>
      <c r="E3240" s="35">
        <v>44650</v>
      </c>
      <c r="F3240" s="52">
        <v>19720.900000000001</v>
      </c>
      <c r="G3240" s="53">
        <f>Tabla14[[#This Row],[Importe]]-Tabla14[[#This Row],[Pagado]]</f>
        <v>0</v>
      </c>
      <c r="H3240" s="37" t="s">
        <v>10</v>
      </c>
    </row>
    <row r="3241" spans="1:8" x14ac:dyDescent="0.25">
      <c r="A3241" s="31">
        <v>44650</v>
      </c>
      <c r="B3241" s="37" t="s">
        <v>10356</v>
      </c>
      <c r="C3241" s="51" t="s">
        <v>97</v>
      </c>
      <c r="D3241" s="52">
        <v>7746.9</v>
      </c>
      <c r="E3241" s="35">
        <v>44651</v>
      </c>
      <c r="F3241" s="52">
        <v>7746.9</v>
      </c>
      <c r="G3241" s="53">
        <f>Tabla14[[#This Row],[Importe]]-Tabla14[[#This Row],[Pagado]]</f>
        <v>0</v>
      </c>
      <c r="H3241" s="37" t="s">
        <v>10</v>
      </c>
    </row>
    <row r="3242" spans="1:8" x14ac:dyDescent="0.25">
      <c r="A3242" s="31">
        <v>44650</v>
      </c>
      <c r="B3242" s="37" t="s">
        <v>10357</v>
      </c>
      <c r="C3242" s="51" t="s">
        <v>312</v>
      </c>
      <c r="D3242" s="52">
        <v>2586.4</v>
      </c>
      <c r="E3242" s="35">
        <v>44650</v>
      </c>
      <c r="F3242" s="52">
        <v>2586.4</v>
      </c>
      <c r="G3242" s="53">
        <f>Tabla14[[#This Row],[Importe]]-Tabla14[[#This Row],[Pagado]]</f>
        <v>0</v>
      </c>
      <c r="H3242" s="37" t="s">
        <v>10</v>
      </c>
    </row>
    <row r="3243" spans="1:8" x14ac:dyDescent="0.25">
      <c r="A3243" s="31">
        <v>44650</v>
      </c>
      <c r="B3243" s="37" t="s">
        <v>10358</v>
      </c>
      <c r="C3243" s="51" t="s">
        <v>31</v>
      </c>
      <c r="D3243" s="52">
        <v>1540.6</v>
      </c>
      <c r="E3243" s="35">
        <v>44650</v>
      </c>
      <c r="F3243" s="52">
        <v>1540.6</v>
      </c>
      <c r="G3243" s="53">
        <f>Tabla14[[#This Row],[Importe]]-Tabla14[[#This Row],[Pagado]]</f>
        <v>0</v>
      </c>
      <c r="H3243" s="37" t="s">
        <v>10</v>
      </c>
    </row>
    <row r="3244" spans="1:8" x14ac:dyDescent="0.25">
      <c r="A3244" s="31">
        <v>44650</v>
      </c>
      <c r="B3244" s="37" t="s">
        <v>10359</v>
      </c>
      <c r="C3244" s="51" t="s">
        <v>198</v>
      </c>
      <c r="D3244" s="52">
        <v>4344.2</v>
      </c>
      <c r="E3244" s="35">
        <v>44650</v>
      </c>
      <c r="F3244" s="52">
        <v>4344.2</v>
      </c>
      <c r="G3244" s="53">
        <f>Tabla14[[#This Row],[Importe]]-Tabla14[[#This Row],[Pagado]]</f>
        <v>0</v>
      </c>
      <c r="H3244" s="37" t="s">
        <v>10</v>
      </c>
    </row>
    <row r="3245" spans="1:8" x14ac:dyDescent="0.25">
      <c r="A3245" s="31">
        <v>44650</v>
      </c>
      <c r="B3245" s="37" t="s">
        <v>10360</v>
      </c>
      <c r="C3245" s="51" t="s">
        <v>339</v>
      </c>
      <c r="D3245" s="52">
        <v>186.2</v>
      </c>
      <c r="E3245" s="35">
        <v>44650</v>
      </c>
      <c r="F3245" s="52">
        <v>186.2</v>
      </c>
      <c r="G3245" s="53">
        <f>Tabla14[[#This Row],[Importe]]-Tabla14[[#This Row],[Pagado]]</f>
        <v>0</v>
      </c>
      <c r="H3245" s="37" t="s">
        <v>10</v>
      </c>
    </row>
    <row r="3246" spans="1:8" x14ac:dyDescent="0.25">
      <c r="A3246" s="31">
        <v>44650</v>
      </c>
      <c r="B3246" s="37" t="s">
        <v>10361</v>
      </c>
      <c r="C3246" s="51" t="s">
        <v>924</v>
      </c>
      <c r="D3246" s="52">
        <v>8192.2000000000007</v>
      </c>
      <c r="E3246" s="35">
        <v>44650</v>
      </c>
      <c r="F3246" s="52">
        <v>8192.2000000000007</v>
      </c>
      <c r="G3246" s="53">
        <f>Tabla14[[#This Row],[Importe]]-Tabla14[[#This Row],[Pagado]]</f>
        <v>0</v>
      </c>
      <c r="H3246" s="37" t="s">
        <v>10</v>
      </c>
    </row>
    <row r="3247" spans="1:8" x14ac:dyDescent="0.25">
      <c r="A3247" s="31">
        <v>44650</v>
      </c>
      <c r="B3247" s="37" t="s">
        <v>10362</v>
      </c>
      <c r="C3247" s="51" t="s">
        <v>127</v>
      </c>
      <c r="D3247" s="52">
        <v>4193.3999999999996</v>
      </c>
      <c r="E3247" s="35">
        <v>44650</v>
      </c>
      <c r="F3247" s="52">
        <v>4193.3999999999996</v>
      </c>
      <c r="G3247" s="53">
        <f>Tabla14[[#This Row],[Importe]]-Tabla14[[#This Row],[Pagado]]</f>
        <v>0</v>
      </c>
      <c r="H3247" s="37" t="s">
        <v>10</v>
      </c>
    </row>
    <row r="3248" spans="1:8" x14ac:dyDescent="0.25">
      <c r="A3248" s="31">
        <v>44650</v>
      </c>
      <c r="B3248" s="37" t="s">
        <v>10363</v>
      </c>
      <c r="C3248" s="51" t="s">
        <v>129</v>
      </c>
      <c r="D3248" s="52">
        <v>1380.6</v>
      </c>
      <c r="E3248" s="35">
        <v>44650</v>
      </c>
      <c r="F3248" s="52">
        <v>1380.6</v>
      </c>
      <c r="G3248" s="53">
        <f>Tabla14[[#This Row],[Importe]]-Tabla14[[#This Row],[Pagado]]</f>
        <v>0</v>
      </c>
      <c r="H3248" s="37" t="s">
        <v>10</v>
      </c>
    </row>
    <row r="3249" spans="1:8" x14ac:dyDescent="0.25">
      <c r="A3249" s="31">
        <v>44650</v>
      </c>
      <c r="B3249" s="37" t="s">
        <v>10364</v>
      </c>
      <c r="C3249" s="51" t="s">
        <v>140</v>
      </c>
      <c r="D3249" s="52">
        <v>2010.1</v>
      </c>
      <c r="E3249" s="35">
        <v>44650</v>
      </c>
      <c r="F3249" s="52">
        <v>2010.1</v>
      </c>
      <c r="G3249" s="53">
        <f>Tabla14[[#This Row],[Importe]]-Tabla14[[#This Row],[Pagado]]</f>
        <v>0</v>
      </c>
      <c r="H3249" s="37" t="s">
        <v>10</v>
      </c>
    </row>
    <row r="3250" spans="1:8" x14ac:dyDescent="0.25">
      <c r="A3250" s="31">
        <v>44650</v>
      </c>
      <c r="B3250" s="37" t="s">
        <v>10365</v>
      </c>
      <c r="C3250" s="51" t="s">
        <v>9780</v>
      </c>
      <c r="D3250" s="52">
        <v>35294.300000000003</v>
      </c>
      <c r="E3250" s="35">
        <v>44670</v>
      </c>
      <c r="F3250" s="52">
        <v>35294.300000000003</v>
      </c>
      <c r="G3250" s="53">
        <f>Tabla14[[#This Row],[Importe]]-Tabla14[[#This Row],[Pagado]]</f>
        <v>0</v>
      </c>
      <c r="H3250" s="37" t="s">
        <v>10</v>
      </c>
    </row>
    <row r="3251" spans="1:8" x14ac:dyDescent="0.25">
      <c r="A3251" s="31">
        <v>44650</v>
      </c>
      <c r="B3251" s="37" t="s">
        <v>10366</v>
      </c>
      <c r="C3251" s="51" t="s">
        <v>56</v>
      </c>
      <c r="D3251" s="52">
        <v>5622</v>
      </c>
      <c r="E3251" s="35">
        <v>44650</v>
      </c>
      <c r="F3251" s="52">
        <v>5622</v>
      </c>
      <c r="G3251" s="53">
        <f>Tabla14[[#This Row],[Importe]]-Tabla14[[#This Row],[Pagado]]</f>
        <v>0</v>
      </c>
      <c r="H3251" s="37" t="s">
        <v>10</v>
      </c>
    </row>
    <row r="3252" spans="1:8" x14ac:dyDescent="0.25">
      <c r="A3252" s="31">
        <v>44650</v>
      </c>
      <c r="B3252" s="37" t="s">
        <v>10367</v>
      </c>
      <c r="C3252" s="51" t="s">
        <v>357</v>
      </c>
      <c r="D3252" s="52">
        <v>926.3</v>
      </c>
      <c r="E3252" s="35">
        <v>44650</v>
      </c>
      <c r="F3252" s="52">
        <v>926.3</v>
      </c>
      <c r="G3252" s="53">
        <f>Tabla14[[#This Row],[Importe]]-Tabla14[[#This Row],[Pagado]]</f>
        <v>0</v>
      </c>
      <c r="H3252" s="37" t="s">
        <v>10</v>
      </c>
    </row>
    <row r="3253" spans="1:8" x14ac:dyDescent="0.25">
      <c r="A3253" s="31">
        <v>44650</v>
      </c>
      <c r="B3253" s="37" t="s">
        <v>10368</v>
      </c>
      <c r="C3253" s="51" t="s">
        <v>154</v>
      </c>
      <c r="D3253" s="52">
        <v>19224.900000000001</v>
      </c>
      <c r="E3253" s="35">
        <v>44655</v>
      </c>
      <c r="F3253" s="52">
        <v>19224.900000000001</v>
      </c>
      <c r="G3253" s="53">
        <f>Tabla14[[#This Row],[Importe]]-Tabla14[[#This Row],[Pagado]]</f>
        <v>0</v>
      </c>
      <c r="H3253" s="37" t="s">
        <v>10</v>
      </c>
    </row>
    <row r="3254" spans="1:8" x14ac:dyDescent="0.25">
      <c r="A3254" s="31">
        <v>44650</v>
      </c>
      <c r="B3254" s="37" t="s">
        <v>10369</v>
      </c>
      <c r="C3254" s="51" t="s">
        <v>230</v>
      </c>
      <c r="D3254" s="52">
        <v>5762.8</v>
      </c>
      <c r="E3254" s="35">
        <v>44650</v>
      </c>
      <c r="F3254" s="52">
        <v>5762.8</v>
      </c>
      <c r="G3254" s="53">
        <f>Tabla14[[#This Row],[Importe]]-Tabla14[[#This Row],[Pagado]]</f>
        <v>0</v>
      </c>
      <c r="H3254" s="37" t="s">
        <v>10</v>
      </c>
    </row>
    <row r="3255" spans="1:8" x14ac:dyDescent="0.25">
      <c r="A3255" s="31">
        <v>44650</v>
      </c>
      <c r="B3255" s="37" t="s">
        <v>10370</v>
      </c>
      <c r="C3255" s="51" t="s">
        <v>173</v>
      </c>
      <c r="D3255" s="52">
        <v>12357.6</v>
      </c>
      <c r="E3255" s="35">
        <v>44651</v>
      </c>
      <c r="F3255" s="52">
        <v>12357.6</v>
      </c>
      <c r="G3255" s="53">
        <f>Tabla14[[#This Row],[Importe]]-Tabla14[[#This Row],[Pagado]]</f>
        <v>0</v>
      </c>
      <c r="H3255" s="37" t="s">
        <v>10</v>
      </c>
    </row>
    <row r="3256" spans="1:8" x14ac:dyDescent="0.25">
      <c r="A3256" s="31">
        <v>44650</v>
      </c>
      <c r="B3256" s="37" t="s">
        <v>10371</v>
      </c>
      <c r="C3256" s="51" t="s">
        <v>142</v>
      </c>
      <c r="D3256" s="52">
        <v>8900.25</v>
      </c>
      <c r="E3256" s="35">
        <v>44670</v>
      </c>
      <c r="F3256" s="52">
        <v>8900.25</v>
      </c>
      <c r="G3256" s="53">
        <f>Tabla14[[#This Row],[Importe]]-Tabla14[[#This Row],[Pagado]]</f>
        <v>0</v>
      </c>
      <c r="H3256" s="37" t="s">
        <v>10</v>
      </c>
    </row>
    <row r="3257" spans="1:8" x14ac:dyDescent="0.25">
      <c r="A3257" s="31">
        <v>44650</v>
      </c>
      <c r="B3257" s="37" t="s">
        <v>10372</v>
      </c>
      <c r="C3257" s="51" t="s">
        <v>27</v>
      </c>
      <c r="D3257" s="52">
        <v>2655</v>
      </c>
      <c r="E3257" s="35">
        <v>44650</v>
      </c>
      <c r="F3257" s="52">
        <v>2655</v>
      </c>
      <c r="G3257" s="53">
        <f>Tabla14[[#This Row],[Importe]]-Tabla14[[#This Row],[Pagado]]</f>
        <v>0</v>
      </c>
      <c r="H3257" s="37" t="s">
        <v>10</v>
      </c>
    </row>
    <row r="3258" spans="1:8" x14ac:dyDescent="0.25">
      <c r="A3258" s="31">
        <v>44650</v>
      </c>
      <c r="B3258" s="37" t="s">
        <v>10373</v>
      </c>
      <c r="C3258" s="51" t="s">
        <v>107</v>
      </c>
      <c r="D3258" s="52">
        <v>12209.1</v>
      </c>
      <c r="E3258" s="35">
        <v>44650</v>
      </c>
      <c r="F3258" s="52">
        <v>12209.1</v>
      </c>
      <c r="G3258" s="53">
        <f>Tabla14[[#This Row],[Importe]]-Tabla14[[#This Row],[Pagado]]</f>
        <v>0</v>
      </c>
      <c r="H3258" s="37" t="s">
        <v>10</v>
      </c>
    </row>
    <row r="3259" spans="1:8" x14ac:dyDescent="0.25">
      <c r="A3259" s="31">
        <v>44650</v>
      </c>
      <c r="B3259" s="37" t="s">
        <v>10374</v>
      </c>
      <c r="C3259" s="51" t="s">
        <v>218</v>
      </c>
      <c r="D3259" s="52">
        <v>20618.099999999999</v>
      </c>
      <c r="E3259" s="35">
        <v>44653</v>
      </c>
      <c r="F3259" s="52">
        <v>20618.099999999999</v>
      </c>
      <c r="G3259" s="53">
        <f>Tabla14[[#This Row],[Importe]]-Tabla14[[#This Row],[Pagado]]</f>
        <v>0</v>
      </c>
      <c r="H3259" s="37" t="s">
        <v>10</v>
      </c>
    </row>
    <row r="3260" spans="1:8" x14ac:dyDescent="0.25">
      <c r="A3260" s="31">
        <v>44650</v>
      </c>
      <c r="B3260" s="37" t="s">
        <v>10375</v>
      </c>
      <c r="C3260" s="51" t="s">
        <v>191</v>
      </c>
      <c r="D3260" s="52">
        <v>1435.3</v>
      </c>
      <c r="E3260" s="35">
        <v>44650</v>
      </c>
      <c r="F3260" s="52">
        <v>1435.3</v>
      </c>
      <c r="G3260" s="53">
        <f>Tabla14[[#This Row],[Importe]]-Tabla14[[#This Row],[Pagado]]</f>
        <v>0</v>
      </c>
      <c r="H3260" s="37" t="s">
        <v>10</v>
      </c>
    </row>
    <row r="3261" spans="1:8" x14ac:dyDescent="0.25">
      <c r="A3261" s="31">
        <v>44650</v>
      </c>
      <c r="B3261" s="37" t="s">
        <v>10376</v>
      </c>
      <c r="C3261" s="51" t="s">
        <v>161</v>
      </c>
      <c r="D3261" s="52">
        <v>1607.4</v>
      </c>
      <c r="E3261" s="35">
        <v>44650</v>
      </c>
      <c r="F3261" s="52">
        <v>1607.4</v>
      </c>
      <c r="G3261" s="53">
        <f>Tabla14[[#This Row],[Importe]]-Tabla14[[#This Row],[Pagado]]</f>
        <v>0</v>
      </c>
      <c r="H3261" s="37" t="s">
        <v>10</v>
      </c>
    </row>
    <row r="3262" spans="1:8" x14ac:dyDescent="0.25">
      <c r="A3262" s="31">
        <v>44650</v>
      </c>
      <c r="B3262" s="37" t="s">
        <v>10377</v>
      </c>
      <c r="C3262" s="51" t="s">
        <v>49</v>
      </c>
      <c r="D3262" s="52">
        <v>2883.1</v>
      </c>
      <c r="E3262" s="35">
        <v>44650</v>
      </c>
      <c r="F3262" s="52">
        <v>2883.1</v>
      </c>
      <c r="G3262" s="53">
        <f>Tabla14[[#This Row],[Importe]]-Tabla14[[#This Row],[Pagado]]</f>
        <v>0</v>
      </c>
      <c r="H3262" s="37" t="s">
        <v>10</v>
      </c>
    </row>
    <row r="3263" spans="1:8" x14ac:dyDescent="0.25">
      <c r="A3263" s="31">
        <v>44650</v>
      </c>
      <c r="B3263" s="37" t="s">
        <v>10378</v>
      </c>
      <c r="C3263" s="51" t="s">
        <v>840</v>
      </c>
      <c r="D3263" s="52">
        <v>19970.900000000001</v>
      </c>
      <c r="E3263" s="35">
        <v>44650</v>
      </c>
      <c r="F3263" s="52">
        <v>19970.900000000001</v>
      </c>
      <c r="G3263" s="53">
        <f>Tabla14[[#This Row],[Importe]]-Tabla14[[#This Row],[Pagado]]</f>
        <v>0</v>
      </c>
      <c r="H3263" s="37" t="s">
        <v>10</v>
      </c>
    </row>
    <row r="3264" spans="1:8" x14ac:dyDescent="0.25">
      <c r="A3264" s="31">
        <v>44650</v>
      </c>
      <c r="B3264" s="37" t="s">
        <v>10379</v>
      </c>
      <c r="C3264" s="51" t="s">
        <v>53</v>
      </c>
      <c r="D3264" s="52">
        <v>1747.9</v>
      </c>
      <c r="E3264" s="35">
        <v>44650</v>
      </c>
      <c r="F3264" s="52">
        <v>1747.9</v>
      </c>
      <c r="G3264" s="53">
        <f>Tabla14[[#This Row],[Importe]]-Tabla14[[#This Row],[Pagado]]</f>
        <v>0</v>
      </c>
      <c r="H3264" s="37" t="s">
        <v>10</v>
      </c>
    </row>
    <row r="3265" spans="1:8" x14ac:dyDescent="0.25">
      <c r="A3265" s="31">
        <v>44650</v>
      </c>
      <c r="B3265" s="37" t="s">
        <v>10380</v>
      </c>
      <c r="C3265" s="51" t="s">
        <v>45</v>
      </c>
      <c r="D3265" s="52">
        <v>8742.6</v>
      </c>
      <c r="E3265" s="35">
        <v>44650</v>
      </c>
      <c r="F3265" s="52">
        <v>8742.6</v>
      </c>
      <c r="G3265" s="53">
        <f>Tabla14[[#This Row],[Importe]]-Tabla14[[#This Row],[Pagado]]</f>
        <v>0</v>
      </c>
      <c r="H3265" s="37" t="s">
        <v>10</v>
      </c>
    </row>
    <row r="3266" spans="1:8" x14ac:dyDescent="0.25">
      <c r="A3266" s="31">
        <v>44650</v>
      </c>
      <c r="B3266" s="37" t="s">
        <v>10381</v>
      </c>
      <c r="C3266" s="51" t="s">
        <v>206</v>
      </c>
      <c r="D3266" s="52">
        <v>23023.200000000001</v>
      </c>
      <c r="E3266" s="35">
        <v>44653</v>
      </c>
      <c r="F3266" s="52">
        <v>23023.200000000001</v>
      </c>
      <c r="G3266" s="53">
        <f>Tabla14[[#This Row],[Importe]]-Tabla14[[#This Row],[Pagado]]</f>
        <v>0</v>
      </c>
      <c r="H3266" s="37" t="s">
        <v>10</v>
      </c>
    </row>
    <row r="3267" spans="1:8" x14ac:dyDescent="0.25">
      <c r="A3267" s="31">
        <v>44650</v>
      </c>
      <c r="B3267" s="37" t="s">
        <v>10382</v>
      </c>
      <c r="C3267" s="51" t="s">
        <v>31</v>
      </c>
      <c r="D3267" s="52">
        <v>3817.2</v>
      </c>
      <c r="E3267" s="35">
        <v>44651</v>
      </c>
      <c r="F3267" s="52">
        <v>3817.2</v>
      </c>
      <c r="G3267" s="53">
        <f>Tabla14[[#This Row],[Importe]]-Tabla14[[#This Row],[Pagado]]</f>
        <v>0</v>
      </c>
      <c r="H3267" s="37" t="s">
        <v>10</v>
      </c>
    </row>
    <row r="3268" spans="1:8" x14ac:dyDescent="0.25">
      <c r="A3268" s="31">
        <v>44650</v>
      </c>
      <c r="B3268" s="37" t="s">
        <v>10383</v>
      </c>
      <c r="C3268" s="51" t="s">
        <v>878</v>
      </c>
      <c r="D3268" s="52">
        <v>3169.4</v>
      </c>
      <c r="E3268" s="35">
        <v>44650</v>
      </c>
      <c r="F3268" s="52">
        <v>3169.4</v>
      </c>
      <c r="G3268" s="53">
        <f>Tabla14[[#This Row],[Importe]]-Tabla14[[#This Row],[Pagado]]</f>
        <v>0</v>
      </c>
      <c r="H3268" s="37" t="s">
        <v>10</v>
      </c>
    </row>
    <row r="3269" spans="1:8" x14ac:dyDescent="0.25">
      <c r="A3269" s="31">
        <v>44650</v>
      </c>
      <c r="B3269" s="37" t="s">
        <v>10384</v>
      </c>
      <c r="C3269" s="51" t="s">
        <v>703</v>
      </c>
      <c r="D3269" s="52">
        <v>3238.3</v>
      </c>
      <c r="E3269" s="35">
        <v>44650</v>
      </c>
      <c r="F3269" s="52">
        <v>3238.3</v>
      </c>
      <c r="G3269" s="53">
        <f>Tabla14[[#This Row],[Importe]]-Tabla14[[#This Row],[Pagado]]</f>
        <v>0</v>
      </c>
      <c r="H3269" s="37" t="s">
        <v>10</v>
      </c>
    </row>
    <row r="3270" spans="1:8" x14ac:dyDescent="0.25">
      <c r="A3270" s="31">
        <v>44650</v>
      </c>
      <c r="B3270" s="37" t="s">
        <v>10385</v>
      </c>
      <c r="C3270" s="51" t="s">
        <v>133</v>
      </c>
      <c r="D3270" s="52">
        <v>10800</v>
      </c>
      <c r="E3270" s="35">
        <v>44651</v>
      </c>
      <c r="F3270" s="52">
        <v>10800</v>
      </c>
      <c r="G3270" s="53">
        <f>Tabla14[[#This Row],[Importe]]-Tabla14[[#This Row],[Pagado]]</f>
        <v>0</v>
      </c>
      <c r="H3270" s="37" t="s">
        <v>10</v>
      </c>
    </row>
    <row r="3271" spans="1:8" x14ac:dyDescent="0.25">
      <c r="A3271" s="31">
        <v>44650</v>
      </c>
      <c r="B3271" s="37" t="s">
        <v>10386</v>
      </c>
      <c r="C3271" s="51" t="s">
        <v>2114</v>
      </c>
      <c r="D3271" s="52">
        <v>1181.8</v>
      </c>
      <c r="E3271" s="35">
        <v>44650</v>
      </c>
      <c r="F3271" s="52">
        <v>1181.8</v>
      </c>
      <c r="G3271" s="53">
        <f>Tabla14[[#This Row],[Importe]]-Tabla14[[#This Row],[Pagado]]</f>
        <v>0</v>
      </c>
      <c r="H3271" s="37" t="s">
        <v>10</v>
      </c>
    </row>
    <row r="3272" spans="1:8" x14ac:dyDescent="0.25">
      <c r="A3272" s="31">
        <v>44650</v>
      </c>
      <c r="B3272" s="37" t="s">
        <v>10387</v>
      </c>
      <c r="C3272" s="51" t="s">
        <v>289</v>
      </c>
      <c r="D3272" s="52">
        <v>8510.4</v>
      </c>
      <c r="E3272" s="35">
        <v>44650</v>
      </c>
      <c r="F3272" s="52">
        <v>8510.4</v>
      </c>
      <c r="G3272" s="53">
        <f>Tabla14[[#This Row],[Importe]]-Tabla14[[#This Row],[Pagado]]</f>
        <v>0</v>
      </c>
      <c r="H3272" s="37" t="s">
        <v>10</v>
      </c>
    </row>
    <row r="3273" spans="1:8" x14ac:dyDescent="0.25">
      <c r="A3273" s="31">
        <v>44650</v>
      </c>
      <c r="B3273" s="37" t="s">
        <v>10388</v>
      </c>
      <c r="C3273" s="51" t="s">
        <v>97</v>
      </c>
      <c r="D3273" s="52">
        <v>2535.1999999999998</v>
      </c>
      <c r="E3273" s="35">
        <v>44650</v>
      </c>
      <c r="F3273" s="52">
        <v>2535.1999999999998</v>
      </c>
      <c r="G3273" s="53">
        <f>Tabla14[[#This Row],[Importe]]-Tabla14[[#This Row],[Pagado]]</f>
        <v>0</v>
      </c>
      <c r="H3273" s="37" t="s">
        <v>10</v>
      </c>
    </row>
    <row r="3274" spans="1:8" x14ac:dyDescent="0.25">
      <c r="A3274" s="31">
        <v>44650</v>
      </c>
      <c r="B3274" s="37" t="s">
        <v>10389</v>
      </c>
      <c r="C3274" s="51" t="s">
        <v>587</v>
      </c>
      <c r="D3274" s="52">
        <v>4237.28</v>
      </c>
      <c r="E3274" s="35">
        <v>44650</v>
      </c>
      <c r="F3274" s="52">
        <v>4237.28</v>
      </c>
      <c r="G3274" s="53">
        <f>Tabla14[[#This Row],[Importe]]-Tabla14[[#This Row],[Pagado]]</f>
        <v>0</v>
      </c>
      <c r="H3274" s="37" t="s">
        <v>10</v>
      </c>
    </row>
    <row r="3275" spans="1:8" x14ac:dyDescent="0.25">
      <c r="A3275" s="31">
        <v>44650</v>
      </c>
      <c r="B3275" s="37" t="s">
        <v>10390</v>
      </c>
      <c r="C3275" s="51" t="s">
        <v>275</v>
      </c>
      <c r="D3275" s="52">
        <v>52109.04</v>
      </c>
      <c r="E3275" s="35">
        <v>44659</v>
      </c>
      <c r="F3275" s="52">
        <v>52109.04</v>
      </c>
      <c r="G3275" s="53">
        <f>Tabla14[[#This Row],[Importe]]-Tabla14[[#This Row],[Pagado]]</f>
        <v>0</v>
      </c>
      <c r="H3275" s="37" t="s">
        <v>10</v>
      </c>
    </row>
    <row r="3276" spans="1:8" x14ac:dyDescent="0.25">
      <c r="A3276" s="31">
        <v>44650</v>
      </c>
      <c r="B3276" s="37" t="s">
        <v>10391</v>
      </c>
      <c r="C3276" s="51" t="s">
        <v>555</v>
      </c>
      <c r="D3276" s="52">
        <v>24225.439999999999</v>
      </c>
      <c r="E3276" s="35">
        <v>44650</v>
      </c>
      <c r="F3276" s="52">
        <v>24225.439999999999</v>
      </c>
      <c r="G3276" s="53">
        <f>Tabla14[[#This Row],[Importe]]-Tabla14[[#This Row],[Pagado]]</f>
        <v>0</v>
      </c>
      <c r="H3276" s="37" t="s">
        <v>10</v>
      </c>
    </row>
    <row r="3277" spans="1:8" x14ac:dyDescent="0.25">
      <c r="A3277" s="31">
        <v>44650</v>
      </c>
      <c r="B3277" s="37" t="s">
        <v>10392</v>
      </c>
      <c r="C3277" s="51" t="s">
        <v>216</v>
      </c>
      <c r="D3277" s="52">
        <v>1425.6</v>
      </c>
      <c r="E3277" s="35">
        <v>44650</v>
      </c>
      <c r="F3277" s="52">
        <v>1425.6</v>
      </c>
      <c r="G3277" s="53">
        <f>Tabla14[[#This Row],[Importe]]-Tabla14[[#This Row],[Pagado]]</f>
        <v>0</v>
      </c>
      <c r="H3277" s="37" t="s">
        <v>10</v>
      </c>
    </row>
    <row r="3278" spans="1:8" x14ac:dyDescent="0.25">
      <c r="A3278" s="31">
        <v>44650</v>
      </c>
      <c r="B3278" s="37" t="s">
        <v>10393</v>
      </c>
      <c r="C3278" s="51" t="s">
        <v>291</v>
      </c>
      <c r="D3278" s="52">
        <v>5063.5</v>
      </c>
      <c r="E3278" s="35">
        <v>44650</v>
      </c>
      <c r="F3278" s="52">
        <v>5063.5</v>
      </c>
      <c r="G3278" s="53">
        <f>Tabla14[[#This Row],[Importe]]-Tabla14[[#This Row],[Pagado]]</f>
        <v>0</v>
      </c>
      <c r="H3278" s="37" t="s">
        <v>10</v>
      </c>
    </row>
    <row r="3279" spans="1:8" x14ac:dyDescent="0.25">
      <c r="A3279" s="31">
        <v>44650</v>
      </c>
      <c r="B3279" s="37" t="s">
        <v>10394</v>
      </c>
      <c r="C3279" s="51" t="s">
        <v>9325</v>
      </c>
      <c r="D3279" s="52">
        <v>0</v>
      </c>
      <c r="E3279" s="39" t="s">
        <v>189</v>
      </c>
      <c r="F3279" s="52">
        <v>0</v>
      </c>
      <c r="G3279" s="53">
        <f>Tabla14[[#This Row],[Importe]]-Tabla14[[#This Row],[Pagado]]</f>
        <v>0</v>
      </c>
      <c r="H3279" s="37" t="s">
        <v>189</v>
      </c>
    </row>
    <row r="3280" spans="1:8" ht="31.5" x14ac:dyDescent="0.25">
      <c r="A3280" s="31">
        <v>44650</v>
      </c>
      <c r="B3280" s="37" t="s">
        <v>10395</v>
      </c>
      <c r="C3280" s="51" t="s">
        <v>392</v>
      </c>
      <c r="D3280" s="52">
        <v>13442.9</v>
      </c>
      <c r="E3280" s="35" t="s">
        <v>10564</v>
      </c>
      <c r="F3280" s="52">
        <f>11400+2042.9</f>
        <v>13442.9</v>
      </c>
      <c r="G3280" s="53">
        <f>Tabla14[[#This Row],[Importe]]-Tabla14[[#This Row],[Pagado]]</f>
        <v>0</v>
      </c>
      <c r="H3280" s="37" t="s">
        <v>10</v>
      </c>
    </row>
    <row r="3281" spans="1:8" x14ac:dyDescent="0.25">
      <c r="A3281" s="31">
        <v>44650</v>
      </c>
      <c r="B3281" s="37" t="s">
        <v>10396</v>
      </c>
      <c r="C3281" s="51" t="s">
        <v>9577</v>
      </c>
      <c r="D3281" s="52">
        <v>15695.2</v>
      </c>
      <c r="E3281" s="35">
        <v>44650</v>
      </c>
      <c r="F3281" s="52">
        <v>15695.2</v>
      </c>
      <c r="G3281" s="53">
        <f>Tabla14[[#This Row],[Importe]]-Tabla14[[#This Row],[Pagado]]</f>
        <v>0</v>
      </c>
      <c r="H3281" s="37" t="s">
        <v>10</v>
      </c>
    </row>
    <row r="3282" spans="1:8" x14ac:dyDescent="0.25">
      <c r="A3282" s="31">
        <v>44650</v>
      </c>
      <c r="B3282" s="37" t="s">
        <v>10397</v>
      </c>
      <c r="C3282" s="51" t="s">
        <v>9577</v>
      </c>
      <c r="D3282" s="52">
        <v>486</v>
      </c>
      <c r="E3282" s="35">
        <v>44650</v>
      </c>
      <c r="F3282" s="52">
        <v>486</v>
      </c>
      <c r="G3282" s="53">
        <f>Tabla14[[#This Row],[Importe]]-Tabla14[[#This Row],[Pagado]]</f>
        <v>0</v>
      </c>
      <c r="H3282" s="37" t="s">
        <v>10</v>
      </c>
    </row>
    <row r="3283" spans="1:8" x14ac:dyDescent="0.25">
      <c r="A3283" s="31">
        <v>44650</v>
      </c>
      <c r="B3283" s="37" t="s">
        <v>10398</v>
      </c>
      <c r="C3283" s="51" t="s">
        <v>214</v>
      </c>
      <c r="D3283" s="52">
        <v>1058.4000000000001</v>
      </c>
      <c r="E3283" s="35">
        <v>44650</v>
      </c>
      <c r="F3283" s="52">
        <v>1058.4000000000001</v>
      </c>
      <c r="G3283" s="53">
        <f>Tabla14[[#This Row],[Importe]]-Tabla14[[#This Row],[Pagado]]</f>
        <v>0</v>
      </c>
      <c r="H3283" s="37" t="s">
        <v>10</v>
      </c>
    </row>
    <row r="3284" spans="1:8" x14ac:dyDescent="0.25">
      <c r="A3284" s="31">
        <v>44650</v>
      </c>
      <c r="B3284" s="37" t="s">
        <v>10399</v>
      </c>
      <c r="C3284" s="51" t="s">
        <v>79</v>
      </c>
      <c r="D3284" s="52">
        <v>7020</v>
      </c>
      <c r="E3284" s="35">
        <v>44650</v>
      </c>
      <c r="F3284" s="52">
        <v>7020</v>
      </c>
      <c r="G3284" s="53">
        <f>Tabla14[[#This Row],[Importe]]-Tabla14[[#This Row],[Pagado]]</f>
        <v>0</v>
      </c>
      <c r="H3284" s="37" t="s">
        <v>10</v>
      </c>
    </row>
    <row r="3285" spans="1:8" x14ac:dyDescent="0.25">
      <c r="A3285" s="31">
        <v>44650</v>
      </c>
      <c r="B3285" s="37" t="s">
        <v>10400</v>
      </c>
      <c r="C3285" s="51" t="s">
        <v>670</v>
      </c>
      <c r="D3285" s="52">
        <v>4587.6000000000004</v>
      </c>
      <c r="E3285" s="35">
        <v>44650</v>
      </c>
      <c r="F3285" s="52">
        <v>4587.6000000000004</v>
      </c>
      <c r="G3285" s="53">
        <f>Tabla14[[#This Row],[Importe]]-Tabla14[[#This Row],[Pagado]]</f>
        <v>0</v>
      </c>
      <c r="H3285" s="37" t="s">
        <v>10</v>
      </c>
    </row>
    <row r="3286" spans="1:8" x14ac:dyDescent="0.25">
      <c r="A3286" s="31">
        <v>44650</v>
      </c>
      <c r="B3286" s="37" t="s">
        <v>10401</v>
      </c>
      <c r="C3286" s="51" t="s">
        <v>419</v>
      </c>
      <c r="D3286" s="52">
        <v>6064.9</v>
      </c>
      <c r="E3286" s="35">
        <v>44650</v>
      </c>
      <c r="F3286" s="52">
        <v>6064.9</v>
      </c>
      <c r="G3286" s="53">
        <f>Tabla14[[#This Row],[Importe]]-Tabla14[[#This Row],[Pagado]]</f>
        <v>0</v>
      </c>
      <c r="H3286" s="37" t="s">
        <v>10</v>
      </c>
    </row>
    <row r="3287" spans="1:8" x14ac:dyDescent="0.25">
      <c r="A3287" s="31">
        <v>44650</v>
      </c>
      <c r="B3287" s="37" t="s">
        <v>10402</v>
      </c>
      <c r="C3287" s="51" t="s">
        <v>371</v>
      </c>
      <c r="D3287" s="52">
        <v>15775</v>
      </c>
      <c r="E3287" s="35">
        <v>44650</v>
      </c>
      <c r="F3287" s="52">
        <v>15775</v>
      </c>
      <c r="G3287" s="53">
        <f>Tabla14[[#This Row],[Importe]]-Tabla14[[#This Row],[Pagado]]</f>
        <v>0</v>
      </c>
      <c r="H3287" s="37" t="s">
        <v>10</v>
      </c>
    </row>
    <row r="3288" spans="1:8" x14ac:dyDescent="0.25">
      <c r="A3288" s="31">
        <v>44650</v>
      </c>
      <c r="B3288" s="37" t="s">
        <v>10403</v>
      </c>
      <c r="C3288" s="51" t="s">
        <v>97</v>
      </c>
      <c r="D3288" s="52">
        <v>2300</v>
      </c>
      <c r="E3288" s="35">
        <v>44650</v>
      </c>
      <c r="F3288" s="52">
        <v>2300</v>
      </c>
      <c r="G3288" s="53">
        <f>Tabla14[[#This Row],[Importe]]-Tabla14[[#This Row],[Pagado]]</f>
        <v>0</v>
      </c>
      <c r="H3288" s="37" t="s">
        <v>10</v>
      </c>
    </row>
    <row r="3289" spans="1:8" x14ac:dyDescent="0.25">
      <c r="A3289" s="31">
        <v>44650</v>
      </c>
      <c r="B3289" s="37" t="s">
        <v>10404</v>
      </c>
      <c r="C3289" s="51" t="s">
        <v>6112</v>
      </c>
      <c r="D3289" s="52">
        <v>5100</v>
      </c>
      <c r="E3289" s="35">
        <v>44650</v>
      </c>
      <c r="F3289" s="52">
        <v>5100</v>
      </c>
      <c r="G3289" s="53">
        <f>Tabla14[[#This Row],[Importe]]-Tabla14[[#This Row],[Pagado]]</f>
        <v>0</v>
      </c>
      <c r="H3289" s="37" t="s">
        <v>10</v>
      </c>
    </row>
    <row r="3290" spans="1:8" x14ac:dyDescent="0.25">
      <c r="A3290" s="31">
        <v>44650</v>
      </c>
      <c r="B3290" s="37" t="s">
        <v>10405</v>
      </c>
      <c r="C3290" s="51" t="s">
        <v>31</v>
      </c>
      <c r="D3290" s="52">
        <v>156.6</v>
      </c>
      <c r="E3290" s="35">
        <v>44650</v>
      </c>
      <c r="F3290" s="52">
        <v>156.6</v>
      </c>
      <c r="G3290" s="53">
        <f>Tabla14[[#This Row],[Importe]]-Tabla14[[#This Row],[Pagado]]</f>
        <v>0</v>
      </c>
      <c r="H3290" s="37" t="s">
        <v>10</v>
      </c>
    </row>
    <row r="3291" spans="1:8" x14ac:dyDescent="0.25">
      <c r="A3291" s="31">
        <v>44650</v>
      </c>
      <c r="B3291" s="37" t="s">
        <v>10406</v>
      </c>
      <c r="C3291" s="51" t="s">
        <v>31</v>
      </c>
      <c r="D3291" s="52">
        <v>3354</v>
      </c>
      <c r="E3291" s="35">
        <v>44650</v>
      </c>
      <c r="F3291" s="52">
        <v>3354</v>
      </c>
      <c r="G3291" s="53">
        <f>Tabla14[[#This Row],[Importe]]-Tabla14[[#This Row],[Pagado]]</f>
        <v>0</v>
      </c>
      <c r="H3291" s="37" t="s">
        <v>10</v>
      </c>
    </row>
    <row r="3292" spans="1:8" x14ac:dyDescent="0.25">
      <c r="A3292" s="31">
        <v>44650</v>
      </c>
      <c r="B3292" s="37" t="s">
        <v>10407</v>
      </c>
      <c r="C3292" s="51" t="s">
        <v>62</v>
      </c>
      <c r="D3292" s="52">
        <v>6737.3</v>
      </c>
      <c r="E3292" s="35">
        <v>44650</v>
      </c>
      <c r="F3292" s="52">
        <v>6737.3</v>
      </c>
      <c r="G3292" s="53">
        <f>Tabla14[[#This Row],[Importe]]-Tabla14[[#This Row],[Pagado]]</f>
        <v>0</v>
      </c>
      <c r="H3292" s="37" t="s">
        <v>10</v>
      </c>
    </row>
    <row r="3293" spans="1:8" x14ac:dyDescent="0.25">
      <c r="A3293" s="31">
        <v>44650</v>
      </c>
      <c r="B3293" s="37" t="s">
        <v>10408</v>
      </c>
      <c r="C3293" s="51" t="s">
        <v>583</v>
      </c>
      <c r="D3293" s="52">
        <v>1200</v>
      </c>
      <c r="E3293" s="35">
        <v>44650</v>
      </c>
      <c r="F3293" s="52">
        <v>1200</v>
      </c>
      <c r="G3293" s="53">
        <f>Tabla14[[#This Row],[Importe]]-Tabla14[[#This Row],[Pagado]]</f>
        <v>0</v>
      </c>
      <c r="H3293" s="37" t="s">
        <v>10</v>
      </c>
    </row>
    <row r="3294" spans="1:8" x14ac:dyDescent="0.25">
      <c r="A3294" s="31">
        <v>44650</v>
      </c>
      <c r="B3294" s="37" t="s">
        <v>10409</v>
      </c>
      <c r="C3294" s="51" t="s">
        <v>284</v>
      </c>
      <c r="D3294" s="52">
        <v>5697</v>
      </c>
      <c r="E3294" s="35">
        <v>44651</v>
      </c>
      <c r="F3294" s="52">
        <v>5697</v>
      </c>
      <c r="G3294" s="53">
        <f>Tabla14[[#This Row],[Importe]]-Tabla14[[#This Row],[Pagado]]</f>
        <v>0</v>
      </c>
      <c r="H3294" s="37" t="s">
        <v>10</v>
      </c>
    </row>
    <row r="3295" spans="1:8" x14ac:dyDescent="0.25">
      <c r="A3295" s="31">
        <v>44650</v>
      </c>
      <c r="B3295" s="37" t="s">
        <v>10410</v>
      </c>
      <c r="C3295" s="51" t="s">
        <v>280</v>
      </c>
      <c r="D3295" s="52">
        <v>977.4</v>
      </c>
      <c r="E3295" s="35">
        <v>44651</v>
      </c>
      <c r="F3295" s="52">
        <v>977.4</v>
      </c>
      <c r="G3295" s="53">
        <f>Tabla14[[#This Row],[Importe]]-Tabla14[[#This Row],[Pagado]]</f>
        <v>0</v>
      </c>
      <c r="H3295" s="37" t="s">
        <v>10</v>
      </c>
    </row>
    <row r="3296" spans="1:8" x14ac:dyDescent="0.25">
      <c r="A3296" s="31">
        <v>44650</v>
      </c>
      <c r="B3296" s="37" t="s">
        <v>10411</v>
      </c>
      <c r="C3296" s="51" t="s">
        <v>5345</v>
      </c>
      <c r="D3296" s="52">
        <v>1819.8</v>
      </c>
      <c r="E3296" s="35">
        <v>44651</v>
      </c>
      <c r="F3296" s="52">
        <v>1819.8</v>
      </c>
      <c r="G3296" s="53">
        <f>Tabla14[[#This Row],[Importe]]-Tabla14[[#This Row],[Pagado]]</f>
        <v>0</v>
      </c>
      <c r="H3296" s="37" t="s">
        <v>10</v>
      </c>
    </row>
    <row r="3297" spans="1:8" x14ac:dyDescent="0.25">
      <c r="A3297" s="31">
        <v>44650</v>
      </c>
      <c r="B3297" s="37" t="s">
        <v>10412</v>
      </c>
      <c r="C3297" s="51" t="s">
        <v>175</v>
      </c>
      <c r="D3297" s="52">
        <v>7543.4</v>
      </c>
      <c r="E3297" s="35">
        <v>44651</v>
      </c>
      <c r="F3297" s="52">
        <v>7543.4</v>
      </c>
      <c r="G3297" s="53">
        <f>Tabla14[[#This Row],[Importe]]-Tabla14[[#This Row],[Pagado]]</f>
        <v>0</v>
      </c>
      <c r="H3297" s="37" t="s">
        <v>10</v>
      </c>
    </row>
    <row r="3298" spans="1:8" x14ac:dyDescent="0.25">
      <c r="A3298" s="31">
        <v>44650</v>
      </c>
      <c r="B3298" s="37" t="s">
        <v>10413</v>
      </c>
      <c r="C3298" s="51" t="s">
        <v>181</v>
      </c>
      <c r="D3298" s="52">
        <v>9424.4</v>
      </c>
      <c r="E3298" s="35">
        <v>44651</v>
      </c>
      <c r="F3298" s="52">
        <v>9424.4</v>
      </c>
      <c r="G3298" s="53">
        <f>Tabla14[[#This Row],[Importe]]-Tabla14[[#This Row],[Pagado]]</f>
        <v>0</v>
      </c>
      <c r="H3298" s="37" t="s">
        <v>10</v>
      </c>
    </row>
    <row r="3299" spans="1:8" x14ac:dyDescent="0.25">
      <c r="A3299" s="31">
        <v>44650</v>
      </c>
      <c r="B3299" s="37" t="s">
        <v>10414</v>
      </c>
      <c r="C3299" s="51" t="s">
        <v>359</v>
      </c>
      <c r="D3299" s="52">
        <v>1519.8</v>
      </c>
      <c r="E3299" s="35">
        <v>44651</v>
      </c>
      <c r="F3299" s="52">
        <v>1519.8</v>
      </c>
      <c r="G3299" s="53">
        <f>Tabla14[[#This Row],[Importe]]-Tabla14[[#This Row],[Pagado]]</f>
        <v>0</v>
      </c>
      <c r="H3299" s="37" t="s">
        <v>10</v>
      </c>
    </row>
    <row r="3300" spans="1:8" x14ac:dyDescent="0.25">
      <c r="A3300" s="31">
        <v>44650</v>
      </c>
      <c r="B3300" s="37" t="s">
        <v>10415</v>
      </c>
      <c r="C3300" s="51" t="s">
        <v>426</v>
      </c>
      <c r="D3300" s="52">
        <v>2397.9</v>
      </c>
      <c r="E3300" s="35">
        <v>44651</v>
      </c>
      <c r="F3300" s="52">
        <v>2397.9</v>
      </c>
      <c r="G3300" s="53">
        <f>Tabla14[[#This Row],[Importe]]-Tabla14[[#This Row],[Pagado]]</f>
        <v>0</v>
      </c>
      <c r="H3300" s="37" t="s">
        <v>10</v>
      </c>
    </row>
    <row r="3301" spans="1:8" x14ac:dyDescent="0.25">
      <c r="A3301" s="31">
        <v>44650</v>
      </c>
      <c r="B3301" s="37" t="s">
        <v>10416</v>
      </c>
      <c r="C3301" s="51" t="s">
        <v>698</v>
      </c>
      <c r="D3301" s="52">
        <v>5622.6</v>
      </c>
      <c r="E3301" s="35">
        <v>44650</v>
      </c>
      <c r="F3301" s="52">
        <v>5622.6</v>
      </c>
      <c r="G3301" s="53">
        <f>Tabla14[[#This Row],[Importe]]-Tabla14[[#This Row],[Pagado]]</f>
        <v>0</v>
      </c>
      <c r="H3301" s="37" t="s">
        <v>10</v>
      </c>
    </row>
    <row r="3302" spans="1:8" x14ac:dyDescent="0.25">
      <c r="A3302" s="31">
        <v>44650</v>
      </c>
      <c r="B3302" s="37" t="s">
        <v>10417</v>
      </c>
      <c r="C3302" s="51" t="s">
        <v>261</v>
      </c>
      <c r="D3302" s="52">
        <v>10279.6</v>
      </c>
      <c r="E3302" s="35">
        <v>44651</v>
      </c>
      <c r="F3302" s="52">
        <v>10279.6</v>
      </c>
      <c r="G3302" s="53">
        <f>Tabla14[[#This Row],[Importe]]-Tabla14[[#This Row],[Pagado]]</f>
        <v>0</v>
      </c>
      <c r="H3302" s="37" t="s">
        <v>10</v>
      </c>
    </row>
    <row r="3303" spans="1:8" x14ac:dyDescent="0.25">
      <c r="A3303" s="31">
        <v>44650</v>
      </c>
      <c r="B3303" s="37" t="s">
        <v>10418</v>
      </c>
      <c r="C3303" s="51" t="s">
        <v>31</v>
      </c>
      <c r="D3303" s="52">
        <v>6561.1</v>
      </c>
      <c r="E3303" s="35">
        <v>44650</v>
      </c>
      <c r="F3303" s="52">
        <v>6561.1</v>
      </c>
      <c r="G3303" s="53">
        <f>Tabla14[[#This Row],[Importe]]-Tabla14[[#This Row],[Pagado]]</f>
        <v>0</v>
      </c>
      <c r="H3303" s="37" t="s">
        <v>10</v>
      </c>
    </row>
    <row r="3304" spans="1:8" x14ac:dyDescent="0.25">
      <c r="A3304" s="31">
        <v>44650</v>
      </c>
      <c r="B3304" s="37" t="s">
        <v>10419</v>
      </c>
      <c r="C3304" s="51" t="s">
        <v>31</v>
      </c>
      <c r="D3304" s="52">
        <v>469.8</v>
      </c>
      <c r="E3304" s="35">
        <v>44650</v>
      </c>
      <c r="F3304" s="52">
        <v>469.8</v>
      </c>
      <c r="G3304" s="53">
        <f>Tabla14[[#This Row],[Importe]]-Tabla14[[#This Row],[Pagado]]</f>
        <v>0</v>
      </c>
      <c r="H3304" s="37" t="s">
        <v>10</v>
      </c>
    </row>
    <row r="3305" spans="1:8" x14ac:dyDescent="0.25">
      <c r="A3305" s="31">
        <v>44650</v>
      </c>
      <c r="B3305" s="37" t="s">
        <v>10420</v>
      </c>
      <c r="C3305" s="51" t="s">
        <v>142</v>
      </c>
      <c r="D3305" s="52">
        <v>8045.4</v>
      </c>
      <c r="E3305" s="35">
        <v>44670</v>
      </c>
      <c r="F3305" s="52">
        <v>8045.4</v>
      </c>
      <c r="G3305" s="53">
        <f>Tabla14[[#This Row],[Importe]]-Tabla14[[#This Row],[Pagado]]</f>
        <v>0</v>
      </c>
      <c r="H3305" s="37" t="s">
        <v>10</v>
      </c>
    </row>
    <row r="3306" spans="1:8" x14ac:dyDescent="0.25">
      <c r="A3306" s="31">
        <v>44650</v>
      </c>
      <c r="B3306" s="37" t="s">
        <v>10421</v>
      </c>
      <c r="C3306" s="51" t="s">
        <v>732</v>
      </c>
      <c r="D3306" s="52">
        <v>11440</v>
      </c>
      <c r="E3306" s="35">
        <v>44650</v>
      </c>
      <c r="F3306" s="52">
        <v>11440</v>
      </c>
      <c r="G3306" s="53">
        <f>Tabla14[[#This Row],[Importe]]-Tabla14[[#This Row],[Pagado]]</f>
        <v>0</v>
      </c>
      <c r="H3306" s="37" t="s">
        <v>10</v>
      </c>
    </row>
    <row r="3307" spans="1:8" x14ac:dyDescent="0.25">
      <c r="A3307" s="31">
        <v>44650</v>
      </c>
      <c r="B3307" s="37" t="s">
        <v>10422</v>
      </c>
      <c r="C3307" s="51" t="s">
        <v>31</v>
      </c>
      <c r="D3307" s="52">
        <v>197.6</v>
      </c>
      <c r="E3307" s="35">
        <v>44650</v>
      </c>
      <c r="F3307" s="52">
        <v>197.6</v>
      </c>
      <c r="G3307" s="53">
        <f>Tabla14[[#This Row],[Importe]]-Tabla14[[#This Row],[Pagado]]</f>
        <v>0</v>
      </c>
      <c r="H3307" s="37" t="s">
        <v>10</v>
      </c>
    </row>
    <row r="3308" spans="1:8" x14ac:dyDescent="0.25">
      <c r="A3308" s="31">
        <v>44650</v>
      </c>
      <c r="B3308" s="37" t="s">
        <v>10423</v>
      </c>
      <c r="C3308" s="51" t="s">
        <v>407</v>
      </c>
      <c r="D3308" s="52">
        <v>21632.9</v>
      </c>
      <c r="E3308" s="35">
        <v>44652</v>
      </c>
      <c r="F3308" s="52">
        <v>21632.9</v>
      </c>
      <c r="G3308" s="53">
        <f>Tabla14[[#This Row],[Importe]]-Tabla14[[#This Row],[Pagado]]</f>
        <v>0</v>
      </c>
      <c r="H3308" s="37" t="s">
        <v>10</v>
      </c>
    </row>
    <row r="3309" spans="1:8" x14ac:dyDescent="0.25">
      <c r="A3309" s="31">
        <v>44650</v>
      </c>
      <c r="B3309" s="37" t="s">
        <v>10424</v>
      </c>
      <c r="C3309" s="51" t="s">
        <v>681</v>
      </c>
      <c r="D3309" s="52">
        <v>3.24</v>
      </c>
      <c r="E3309" s="35">
        <v>44659</v>
      </c>
      <c r="F3309" s="52">
        <v>3.24</v>
      </c>
      <c r="G3309" s="53">
        <f>Tabla14[[#This Row],[Importe]]-Tabla14[[#This Row],[Pagado]]</f>
        <v>0</v>
      </c>
      <c r="H3309" s="37" t="s">
        <v>10</v>
      </c>
    </row>
    <row r="3310" spans="1:8" x14ac:dyDescent="0.25">
      <c r="A3310" s="31">
        <v>44650</v>
      </c>
      <c r="B3310" s="37" t="s">
        <v>10425</v>
      </c>
      <c r="C3310" s="51" t="s">
        <v>51</v>
      </c>
      <c r="D3310" s="52">
        <v>1201.2</v>
      </c>
      <c r="E3310" s="35">
        <v>44650</v>
      </c>
      <c r="F3310" s="52">
        <v>1201.2</v>
      </c>
      <c r="G3310" s="53">
        <f>Tabla14[[#This Row],[Importe]]-Tabla14[[#This Row],[Pagado]]</f>
        <v>0</v>
      </c>
      <c r="H3310" s="37" t="s">
        <v>10</v>
      </c>
    </row>
    <row r="3311" spans="1:8" x14ac:dyDescent="0.25">
      <c r="A3311" s="31">
        <v>44650</v>
      </c>
      <c r="B3311" s="37" t="s">
        <v>10426</v>
      </c>
      <c r="C3311" s="51" t="s">
        <v>435</v>
      </c>
      <c r="D3311" s="52">
        <v>1631.2</v>
      </c>
      <c r="E3311" s="35">
        <v>44650</v>
      </c>
      <c r="F3311" s="52">
        <v>1631.2</v>
      </c>
      <c r="G3311" s="53">
        <f>Tabla14[[#This Row],[Importe]]-Tabla14[[#This Row],[Pagado]]</f>
        <v>0</v>
      </c>
      <c r="H3311" s="37" t="s">
        <v>10</v>
      </c>
    </row>
    <row r="3312" spans="1:8" x14ac:dyDescent="0.25">
      <c r="A3312" s="31">
        <v>44650</v>
      </c>
      <c r="B3312" s="37" t="s">
        <v>10427</v>
      </c>
      <c r="C3312" s="51" t="s">
        <v>214</v>
      </c>
      <c r="D3312" s="52">
        <v>760</v>
      </c>
      <c r="E3312" s="35">
        <v>44651</v>
      </c>
      <c r="F3312" s="52">
        <v>760</v>
      </c>
      <c r="G3312" s="53">
        <f>Tabla14[[#This Row],[Importe]]-Tabla14[[#This Row],[Pagado]]</f>
        <v>0</v>
      </c>
      <c r="H3312" s="37" t="s">
        <v>10</v>
      </c>
    </row>
    <row r="3313" spans="1:8" x14ac:dyDescent="0.25">
      <c r="A3313" s="31">
        <v>44650</v>
      </c>
      <c r="B3313" s="37" t="s">
        <v>10428</v>
      </c>
      <c r="C3313" s="51" t="s">
        <v>442</v>
      </c>
      <c r="D3313" s="52">
        <v>10424.4</v>
      </c>
      <c r="E3313" s="35">
        <v>44650</v>
      </c>
      <c r="F3313" s="52">
        <v>10424.4</v>
      </c>
      <c r="G3313" s="53">
        <f>Tabla14[[#This Row],[Importe]]-Tabla14[[#This Row],[Pagado]]</f>
        <v>0</v>
      </c>
      <c r="H3313" s="37" t="s">
        <v>10</v>
      </c>
    </row>
    <row r="3314" spans="1:8" x14ac:dyDescent="0.25">
      <c r="A3314" s="31">
        <v>44650</v>
      </c>
      <c r="B3314" s="37" t="s">
        <v>10429</v>
      </c>
      <c r="C3314" s="51" t="s">
        <v>1421</v>
      </c>
      <c r="D3314" s="52">
        <v>35724.1</v>
      </c>
      <c r="E3314" s="35">
        <v>44650</v>
      </c>
      <c r="F3314" s="52">
        <v>35724.1</v>
      </c>
      <c r="G3314" s="53">
        <f>Tabla14[[#This Row],[Importe]]-Tabla14[[#This Row],[Pagado]]</f>
        <v>0</v>
      </c>
      <c r="H3314" s="37" t="s">
        <v>10</v>
      </c>
    </row>
    <row r="3315" spans="1:8" x14ac:dyDescent="0.25">
      <c r="A3315" s="31">
        <v>44650</v>
      </c>
      <c r="B3315" s="37" t="s">
        <v>10430</v>
      </c>
      <c r="C3315" s="51" t="s">
        <v>10190</v>
      </c>
      <c r="D3315" s="52">
        <v>15366</v>
      </c>
      <c r="E3315" s="35">
        <v>44650</v>
      </c>
      <c r="F3315" s="52">
        <v>15366</v>
      </c>
      <c r="G3315" s="53">
        <f>Tabla14[[#This Row],[Importe]]-Tabla14[[#This Row],[Pagado]]</f>
        <v>0</v>
      </c>
      <c r="H3315" s="37" t="s">
        <v>10</v>
      </c>
    </row>
    <row r="3316" spans="1:8" x14ac:dyDescent="0.25">
      <c r="A3316" s="31">
        <v>44650</v>
      </c>
      <c r="B3316" s="37" t="s">
        <v>10431</v>
      </c>
      <c r="C3316" s="51" t="s">
        <v>179</v>
      </c>
      <c r="D3316" s="52">
        <v>847.8</v>
      </c>
      <c r="E3316" s="35">
        <v>44651</v>
      </c>
      <c r="F3316" s="52">
        <v>847.8</v>
      </c>
      <c r="G3316" s="53">
        <f>Tabla14[[#This Row],[Importe]]-Tabla14[[#This Row],[Pagado]]</f>
        <v>0</v>
      </c>
      <c r="H3316" s="37" t="s">
        <v>10</v>
      </c>
    </row>
    <row r="3317" spans="1:8" x14ac:dyDescent="0.25">
      <c r="A3317" s="31">
        <v>44650</v>
      </c>
      <c r="B3317" s="37" t="s">
        <v>10432</v>
      </c>
      <c r="C3317" s="51" t="s">
        <v>31</v>
      </c>
      <c r="D3317" s="52">
        <v>168</v>
      </c>
      <c r="E3317" s="35">
        <v>44650</v>
      </c>
      <c r="F3317" s="52">
        <v>168</v>
      </c>
      <c r="G3317" s="53">
        <f>Tabla14[[#This Row],[Importe]]-Tabla14[[#This Row],[Pagado]]</f>
        <v>0</v>
      </c>
      <c r="H3317" s="37" t="s">
        <v>10</v>
      </c>
    </row>
    <row r="3318" spans="1:8" x14ac:dyDescent="0.25">
      <c r="A3318" s="31">
        <v>44650</v>
      </c>
      <c r="B3318" s="37" t="s">
        <v>10433</v>
      </c>
      <c r="C3318" s="51" t="s">
        <v>296</v>
      </c>
      <c r="D3318" s="52">
        <v>3422.3</v>
      </c>
      <c r="E3318" s="35">
        <v>44650</v>
      </c>
      <c r="F3318" s="52">
        <v>3422.3</v>
      </c>
      <c r="G3318" s="53">
        <f>Tabla14[[#This Row],[Importe]]-Tabla14[[#This Row],[Pagado]]</f>
        <v>0</v>
      </c>
      <c r="H3318" s="37" t="s">
        <v>10</v>
      </c>
    </row>
    <row r="3319" spans="1:8" x14ac:dyDescent="0.25">
      <c r="A3319" s="31">
        <v>44650</v>
      </c>
      <c r="B3319" s="37" t="s">
        <v>10434</v>
      </c>
      <c r="C3319" s="51" t="s">
        <v>402</v>
      </c>
      <c r="D3319" s="52">
        <v>11486.2</v>
      </c>
      <c r="E3319" s="35">
        <v>44663</v>
      </c>
      <c r="F3319" s="52">
        <v>11486.2</v>
      </c>
      <c r="G3319" s="53">
        <f>Tabla14[[#This Row],[Importe]]-Tabla14[[#This Row],[Pagado]]</f>
        <v>0</v>
      </c>
      <c r="H3319" s="37" t="s">
        <v>10</v>
      </c>
    </row>
    <row r="3320" spans="1:8" x14ac:dyDescent="0.25">
      <c r="A3320" s="31">
        <v>44650</v>
      </c>
      <c r="B3320" s="37" t="s">
        <v>10435</v>
      </c>
      <c r="C3320" s="51" t="s">
        <v>414</v>
      </c>
      <c r="D3320" s="52">
        <v>390</v>
      </c>
      <c r="E3320" s="71">
        <v>44690</v>
      </c>
      <c r="F3320" s="83">
        <v>390</v>
      </c>
      <c r="G3320" s="84">
        <f>Tabla14[[#This Row],[Importe]]-Tabla14[[#This Row],[Pagado]]</f>
        <v>0</v>
      </c>
      <c r="H3320" s="68" t="s">
        <v>10</v>
      </c>
    </row>
    <row r="3321" spans="1:8" x14ac:dyDescent="0.25">
      <c r="A3321" s="31">
        <v>44650</v>
      </c>
      <c r="B3321" s="37" t="s">
        <v>10436</v>
      </c>
      <c r="C3321" s="51" t="s">
        <v>31</v>
      </c>
      <c r="D3321" s="52">
        <v>184.2</v>
      </c>
      <c r="E3321" s="35">
        <v>44650</v>
      </c>
      <c r="F3321" s="52">
        <v>184.2</v>
      </c>
      <c r="G3321" s="53">
        <f>Tabla14[[#This Row],[Importe]]-Tabla14[[#This Row],[Pagado]]</f>
        <v>0</v>
      </c>
      <c r="H3321" s="37" t="s">
        <v>10</v>
      </c>
    </row>
    <row r="3322" spans="1:8" x14ac:dyDescent="0.25">
      <c r="A3322" s="31">
        <v>44650</v>
      </c>
      <c r="B3322" s="37" t="s">
        <v>10437</v>
      </c>
      <c r="C3322" s="51" t="s">
        <v>53</v>
      </c>
      <c r="D3322" s="52">
        <v>1831.5</v>
      </c>
      <c r="E3322" s="35">
        <v>44650</v>
      </c>
      <c r="F3322" s="52">
        <v>1831.5</v>
      </c>
      <c r="G3322" s="53">
        <f>Tabla14[[#This Row],[Importe]]-Tabla14[[#This Row],[Pagado]]</f>
        <v>0</v>
      </c>
      <c r="H3322" s="37" t="s">
        <v>10</v>
      </c>
    </row>
    <row r="3323" spans="1:8" x14ac:dyDescent="0.25">
      <c r="A3323" s="31">
        <v>44650</v>
      </c>
      <c r="B3323" s="37" t="s">
        <v>10438</v>
      </c>
      <c r="C3323" s="51" t="s">
        <v>610</v>
      </c>
      <c r="D3323" s="52">
        <v>19193.599999999999</v>
      </c>
      <c r="E3323" s="35">
        <v>44650</v>
      </c>
      <c r="F3323" s="52">
        <v>19193.599999999999</v>
      </c>
      <c r="G3323" s="53">
        <f>Tabla14[[#This Row],[Importe]]-Tabla14[[#This Row],[Pagado]]</f>
        <v>0</v>
      </c>
      <c r="H3323" s="37" t="s">
        <v>10</v>
      </c>
    </row>
    <row r="3324" spans="1:8" x14ac:dyDescent="0.25">
      <c r="A3324" s="31">
        <v>44650</v>
      </c>
      <c r="B3324" s="37" t="s">
        <v>10439</v>
      </c>
      <c r="C3324" s="51" t="s">
        <v>409</v>
      </c>
      <c r="D3324" s="52">
        <v>5782.2</v>
      </c>
      <c r="E3324" s="35">
        <v>44652</v>
      </c>
      <c r="F3324" s="52">
        <v>5782.2</v>
      </c>
      <c r="G3324" s="53">
        <f>Tabla14[[#This Row],[Importe]]-Tabla14[[#This Row],[Pagado]]</f>
        <v>0</v>
      </c>
      <c r="H3324" s="37" t="s">
        <v>10</v>
      </c>
    </row>
    <row r="3325" spans="1:8" x14ac:dyDescent="0.25">
      <c r="A3325" s="31">
        <v>44650</v>
      </c>
      <c r="B3325" s="37" t="s">
        <v>10440</v>
      </c>
      <c r="C3325" s="51" t="s">
        <v>400</v>
      </c>
      <c r="D3325" s="52">
        <v>3747.4</v>
      </c>
      <c r="E3325" s="35">
        <v>44662</v>
      </c>
      <c r="F3325" s="52">
        <v>3747.4</v>
      </c>
      <c r="G3325" s="53">
        <f>Tabla14[[#This Row],[Importe]]-Tabla14[[#This Row],[Pagado]]</f>
        <v>0</v>
      </c>
      <c r="H3325" s="37" t="s">
        <v>10</v>
      </c>
    </row>
    <row r="3326" spans="1:8" ht="31.5" x14ac:dyDescent="0.25">
      <c r="A3326" s="31">
        <v>44651</v>
      </c>
      <c r="B3326" s="37" t="s">
        <v>10441</v>
      </c>
      <c r="C3326" s="51" t="s">
        <v>475</v>
      </c>
      <c r="D3326" s="52">
        <v>52714.6</v>
      </c>
      <c r="E3326" s="35" t="s">
        <v>10562</v>
      </c>
      <c r="F3326" s="52">
        <f>40000+12714.6</f>
        <v>52714.6</v>
      </c>
      <c r="G3326" s="53">
        <f>Tabla14[[#This Row],[Importe]]-Tabla14[[#This Row],[Pagado]]</f>
        <v>0</v>
      </c>
      <c r="H3326" s="37" t="s">
        <v>10</v>
      </c>
    </row>
    <row r="3327" spans="1:8" ht="31.5" x14ac:dyDescent="0.25">
      <c r="A3327" s="31">
        <v>44651</v>
      </c>
      <c r="B3327" s="37" t="s">
        <v>10442</v>
      </c>
      <c r="C3327" s="51" t="s">
        <v>22</v>
      </c>
      <c r="D3327" s="52">
        <v>50802.2</v>
      </c>
      <c r="E3327" s="35" t="s">
        <v>10562</v>
      </c>
      <c r="F3327" s="52">
        <f>40000+10802.2</f>
        <v>50802.2</v>
      </c>
      <c r="G3327" s="53">
        <f>Tabla14[[#This Row],[Importe]]-Tabla14[[#This Row],[Pagado]]</f>
        <v>0</v>
      </c>
      <c r="H3327" s="37" t="s">
        <v>10</v>
      </c>
    </row>
    <row r="3328" spans="1:8" x14ac:dyDescent="0.25">
      <c r="A3328" s="31">
        <v>44651</v>
      </c>
      <c r="B3328" s="37" t="s">
        <v>10443</v>
      </c>
      <c r="C3328" s="51" t="s">
        <v>481</v>
      </c>
      <c r="D3328" s="52">
        <v>2256.6</v>
      </c>
      <c r="E3328" s="35">
        <v>44651</v>
      </c>
      <c r="F3328" s="52">
        <v>2256.6</v>
      </c>
      <c r="G3328" s="53">
        <f>Tabla14[[#This Row],[Importe]]-Tabla14[[#This Row],[Pagado]]</f>
        <v>0</v>
      </c>
      <c r="H3328" s="37" t="s">
        <v>10</v>
      </c>
    </row>
    <row r="3329" spans="1:8" x14ac:dyDescent="0.25">
      <c r="A3329" s="31">
        <v>44651</v>
      </c>
      <c r="B3329" s="37" t="s">
        <v>10444</v>
      </c>
      <c r="C3329" s="51" t="s">
        <v>85</v>
      </c>
      <c r="D3329" s="52">
        <v>2106</v>
      </c>
      <c r="E3329" s="35">
        <v>44651</v>
      </c>
      <c r="F3329" s="52">
        <v>2106</v>
      </c>
      <c r="G3329" s="53">
        <f>Tabla14[[#This Row],[Importe]]-Tabla14[[#This Row],[Pagado]]</f>
        <v>0</v>
      </c>
      <c r="H3329" s="37" t="s">
        <v>10</v>
      </c>
    </row>
    <row r="3330" spans="1:8" x14ac:dyDescent="0.25">
      <c r="A3330" s="31">
        <v>44651</v>
      </c>
      <c r="B3330" s="37" t="s">
        <v>10445</v>
      </c>
      <c r="C3330" s="51" t="s">
        <v>348</v>
      </c>
      <c r="D3330" s="52">
        <v>3452</v>
      </c>
      <c r="E3330" s="35">
        <v>44651</v>
      </c>
      <c r="F3330" s="52">
        <v>3452</v>
      </c>
      <c r="G3330" s="53">
        <f>Tabla14[[#This Row],[Importe]]-Tabla14[[#This Row],[Pagado]]</f>
        <v>0</v>
      </c>
      <c r="H3330" s="37" t="s">
        <v>10</v>
      </c>
    </row>
    <row r="3331" spans="1:8" x14ac:dyDescent="0.25">
      <c r="A3331" s="31">
        <v>44651</v>
      </c>
      <c r="B3331" s="37" t="s">
        <v>10446</v>
      </c>
      <c r="C3331" s="51" t="s">
        <v>31</v>
      </c>
      <c r="D3331" s="52">
        <v>4261.2</v>
      </c>
      <c r="E3331" s="35">
        <v>44651</v>
      </c>
      <c r="F3331" s="52">
        <v>4261.2</v>
      </c>
      <c r="G3331" s="53">
        <f>Tabla14[[#This Row],[Importe]]-Tabla14[[#This Row],[Pagado]]</f>
        <v>0</v>
      </c>
      <c r="H3331" s="37" t="s">
        <v>10</v>
      </c>
    </row>
    <row r="3332" spans="1:8" x14ac:dyDescent="0.25">
      <c r="A3332" s="31">
        <v>44651</v>
      </c>
      <c r="B3332" s="37" t="s">
        <v>10447</v>
      </c>
      <c r="C3332" s="51" t="s">
        <v>618</v>
      </c>
      <c r="D3332" s="52">
        <v>8355</v>
      </c>
      <c r="E3332" s="35">
        <v>44651</v>
      </c>
      <c r="F3332" s="52">
        <v>8355</v>
      </c>
      <c r="G3332" s="53">
        <f>Tabla14[[#This Row],[Importe]]-Tabla14[[#This Row],[Pagado]]</f>
        <v>0</v>
      </c>
      <c r="H3332" s="37" t="s">
        <v>10</v>
      </c>
    </row>
    <row r="3333" spans="1:8" x14ac:dyDescent="0.25">
      <c r="A3333" s="31">
        <v>44651</v>
      </c>
      <c r="B3333" s="37" t="s">
        <v>10448</v>
      </c>
      <c r="C3333" s="51" t="s">
        <v>9</v>
      </c>
      <c r="D3333" s="52">
        <v>6249</v>
      </c>
      <c r="E3333" s="35">
        <v>44651</v>
      </c>
      <c r="F3333" s="52">
        <v>6249</v>
      </c>
      <c r="G3333" s="53">
        <f>Tabla14[[#This Row],[Importe]]-Tabla14[[#This Row],[Pagado]]</f>
        <v>0</v>
      </c>
      <c r="H3333" s="37" t="s">
        <v>10</v>
      </c>
    </row>
    <row r="3334" spans="1:8" x14ac:dyDescent="0.25">
      <c r="A3334" s="31">
        <v>44651</v>
      </c>
      <c r="B3334" s="37" t="s">
        <v>10449</v>
      </c>
      <c r="C3334" s="51" t="s">
        <v>18</v>
      </c>
      <c r="D3334" s="52">
        <v>1474.2</v>
      </c>
      <c r="E3334" s="35">
        <v>44651</v>
      </c>
      <c r="F3334" s="52">
        <v>1474.2</v>
      </c>
      <c r="G3334" s="53">
        <f>Tabla14[[#This Row],[Importe]]-Tabla14[[#This Row],[Pagado]]</f>
        <v>0</v>
      </c>
      <c r="H3334" s="37" t="s">
        <v>10</v>
      </c>
    </row>
    <row r="3335" spans="1:8" x14ac:dyDescent="0.25">
      <c r="A3335" s="31">
        <v>44651</v>
      </c>
      <c r="B3335" s="37" t="s">
        <v>10450</v>
      </c>
      <c r="C3335" s="51" t="s">
        <v>9415</v>
      </c>
      <c r="D3335" s="52">
        <v>17224.2</v>
      </c>
      <c r="E3335" s="35">
        <v>44652</v>
      </c>
      <c r="F3335" s="52">
        <v>17224.2</v>
      </c>
      <c r="G3335" s="53">
        <f>Tabla14[[#This Row],[Importe]]-Tabla14[[#This Row],[Pagado]]</f>
        <v>0</v>
      </c>
      <c r="H3335" s="37" t="s">
        <v>10</v>
      </c>
    </row>
    <row r="3336" spans="1:8" x14ac:dyDescent="0.25">
      <c r="A3336" s="31">
        <v>44651</v>
      </c>
      <c r="B3336" s="37" t="s">
        <v>10451</v>
      </c>
      <c r="C3336" s="51" t="s">
        <v>131</v>
      </c>
      <c r="D3336" s="52">
        <v>11299.6</v>
      </c>
      <c r="E3336" s="35">
        <v>44651</v>
      </c>
      <c r="F3336" s="52">
        <v>11299.6</v>
      </c>
      <c r="G3336" s="53">
        <f>Tabla14[[#This Row],[Importe]]-Tabla14[[#This Row],[Pagado]]</f>
        <v>0</v>
      </c>
      <c r="H3336" s="37" t="s">
        <v>10</v>
      </c>
    </row>
    <row r="3337" spans="1:8" x14ac:dyDescent="0.25">
      <c r="A3337" s="31">
        <v>44651</v>
      </c>
      <c r="B3337" s="37" t="s">
        <v>10452</v>
      </c>
      <c r="C3337" s="51" t="s">
        <v>79</v>
      </c>
      <c r="D3337" s="52">
        <v>7036.2</v>
      </c>
      <c r="E3337" s="35">
        <v>44651</v>
      </c>
      <c r="F3337" s="52">
        <v>7036.2</v>
      </c>
      <c r="G3337" s="53">
        <f>Tabla14[[#This Row],[Importe]]-Tabla14[[#This Row],[Pagado]]</f>
        <v>0</v>
      </c>
      <c r="H3337" s="37" t="s">
        <v>10</v>
      </c>
    </row>
    <row r="3338" spans="1:8" x14ac:dyDescent="0.25">
      <c r="A3338" s="31">
        <v>44651</v>
      </c>
      <c r="B3338" s="37" t="s">
        <v>10453</v>
      </c>
      <c r="C3338" s="51" t="s">
        <v>484</v>
      </c>
      <c r="D3338" s="52">
        <v>5243</v>
      </c>
      <c r="E3338" s="35">
        <v>44651</v>
      </c>
      <c r="F3338" s="52">
        <v>5243</v>
      </c>
      <c r="G3338" s="53">
        <f>Tabla14[[#This Row],[Importe]]-Tabla14[[#This Row],[Pagado]]</f>
        <v>0</v>
      </c>
      <c r="H3338" s="37" t="s">
        <v>10</v>
      </c>
    </row>
    <row r="3339" spans="1:8" x14ac:dyDescent="0.25">
      <c r="A3339" s="31">
        <v>44651</v>
      </c>
      <c r="B3339" s="37" t="s">
        <v>10454</v>
      </c>
      <c r="C3339" s="51" t="s">
        <v>12</v>
      </c>
      <c r="D3339" s="52">
        <v>40789.1</v>
      </c>
      <c r="E3339" s="35">
        <v>44652</v>
      </c>
      <c r="F3339" s="52">
        <v>40789.1</v>
      </c>
      <c r="G3339" s="53">
        <f>Tabla14[[#This Row],[Importe]]-Tabla14[[#This Row],[Pagado]]</f>
        <v>0</v>
      </c>
      <c r="H3339" s="37" t="s">
        <v>10</v>
      </c>
    </row>
    <row r="3340" spans="1:8" x14ac:dyDescent="0.25">
      <c r="A3340" s="31">
        <v>44651</v>
      </c>
      <c r="B3340" s="37" t="s">
        <v>10455</v>
      </c>
      <c r="C3340" s="51" t="s">
        <v>99</v>
      </c>
      <c r="D3340" s="52">
        <v>1382.4</v>
      </c>
      <c r="E3340" s="35">
        <v>44651</v>
      </c>
      <c r="F3340" s="52">
        <v>1382.4</v>
      </c>
      <c r="G3340" s="53">
        <f>Tabla14[[#This Row],[Importe]]-Tabla14[[#This Row],[Pagado]]</f>
        <v>0</v>
      </c>
      <c r="H3340" s="37" t="s">
        <v>10</v>
      </c>
    </row>
    <row r="3341" spans="1:8" x14ac:dyDescent="0.25">
      <c r="A3341" s="31">
        <v>44651</v>
      </c>
      <c r="B3341" s="37" t="s">
        <v>10456</v>
      </c>
      <c r="C3341" s="51" t="s">
        <v>93</v>
      </c>
      <c r="D3341" s="52">
        <v>1641</v>
      </c>
      <c r="E3341" s="35">
        <v>44652</v>
      </c>
      <c r="F3341" s="52">
        <v>1641</v>
      </c>
      <c r="G3341" s="53">
        <f>Tabla14[[#This Row],[Importe]]-Tabla14[[#This Row],[Pagado]]</f>
        <v>0</v>
      </c>
      <c r="H3341" s="37" t="s">
        <v>10</v>
      </c>
    </row>
    <row r="3342" spans="1:8" x14ac:dyDescent="0.25">
      <c r="A3342" s="31">
        <v>44651</v>
      </c>
      <c r="B3342" s="37" t="s">
        <v>10457</v>
      </c>
      <c r="C3342" s="51" t="s">
        <v>2151</v>
      </c>
      <c r="D3342" s="52">
        <v>6086.4</v>
      </c>
      <c r="E3342" s="35">
        <v>44651</v>
      </c>
      <c r="F3342" s="52">
        <v>6086.4</v>
      </c>
      <c r="G3342" s="53">
        <f>Tabla14[[#This Row],[Importe]]-Tabla14[[#This Row],[Pagado]]</f>
        <v>0</v>
      </c>
      <c r="H3342" s="37" t="s">
        <v>10</v>
      </c>
    </row>
    <row r="3343" spans="1:8" x14ac:dyDescent="0.25">
      <c r="A3343" s="31">
        <v>44651</v>
      </c>
      <c r="B3343" s="37" t="s">
        <v>10458</v>
      </c>
      <c r="C3343" s="51" t="s">
        <v>64</v>
      </c>
      <c r="D3343" s="52">
        <v>3936.4</v>
      </c>
      <c r="E3343" s="35">
        <v>44652</v>
      </c>
      <c r="F3343" s="52">
        <v>3936.4</v>
      </c>
      <c r="G3343" s="53">
        <f>Tabla14[[#This Row],[Importe]]-Tabla14[[#This Row],[Pagado]]</f>
        <v>0</v>
      </c>
      <c r="H3343" s="37" t="s">
        <v>10</v>
      </c>
    </row>
    <row r="3344" spans="1:8" x14ac:dyDescent="0.25">
      <c r="A3344" s="31">
        <v>44651</v>
      </c>
      <c r="B3344" s="37" t="s">
        <v>10459</v>
      </c>
      <c r="C3344" s="51" t="s">
        <v>97</v>
      </c>
      <c r="D3344" s="52">
        <v>10275.200000000001</v>
      </c>
      <c r="E3344" s="35">
        <v>44653</v>
      </c>
      <c r="F3344" s="52">
        <v>10275.200000000001</v>
      </c>
      <c r="G3344" s="53">
        <f>Tabla14[[#This Row],[Importe]]-Tabla14[[#This Row],[Pagado]]</f>
        <v>0</v>
      </c>
      <c r="H3344" s="37" t="s">
        <v>10</v>
      </c>
    </row>
    <row r="3345" spans="1:8" x14ac:dyDescent="0.25">
      <c r="A3345" s="31">
        <v>44651</v>
      </c>
      <c r="B3345" s="37" t="s">
        <v>10460</v>
      </c>
      <c r="C3345" s="51" t="s">
        <v>39</v>
      </c>
      <c r="D3345" s="52">
        <v>19671.599999999999</v>
      </c>
      <c r="E3345" s="35">
        <v>44654</v>
      </c>
      <c r="F3345" s="52">
        <v>19671.599999999999</v>
      </c>
      <c r="G3345" s="53">
        <f>Tabla14[[#This Row],[Importe]]-Tabla14[[#This Row],[Pagado]]</f>
        <v>0</v>
      </c>
      <c r="H3345" s="37" t="s">
        <v>10</v>
      </c>
    </row>
    <row r="3346" spans="1:8" x14ac:dyDescent="0.25">
      <c r="A3346" s="31">
        <v>44651</v>
      </c>
      <c r="B3346" s="37" t="s">
        <v>10461</v>
      </c>
      <c r="C3346" s="51" t="s">
        <v>1239</v>
      </c>
      <c r="D3346" s="52">
        <v>9000</v>
      </c>
      <c r="E3346" s="35">
        <v>44651</v>
      </c>
      <c r="F3346" s="52">
        <v>9000</v>
      </c>
      <c r="G3346" s="53">
        <f>Tabla14[[#This Row],[Importe]]-Tabla14[[#This Row],[Pagado]]</f>
        <v>0</v>
      </c>
      <c r="H3346" s="37" t="s">
        <v>10</v>
      </c>
    </row>
    <row r="3347" spans="1:8" x14ac:dyDescent="0.25">
      <c r="A3347" s="31">
        <v>44651</v>
      </c>
      <c r="B3347" s="37" t="s">
        <v>10462</v>
      </c>
      <c r="C3347" s="51" t="s">
        <v>89</v>
      </c>
      <c r="D3347" s="52">
        <v>6424</v>
      </c>
      <c r="E3347" s="35">
        <v>44652</v>
      </c>
      <c r="F3347" s="52">
        <v>6424</v>
      </c>
      <c r="G3347" s="53">
        <f>Tabla14[[#This Row],[Importe]]-Tabla14[[#This Row],[Pagado]]</f>
        <v>0</v>
      </c>
      <c r="H3347" s="37" t="s">
        <v>10</v>
      </c>
    </row>
    <row r="3348" spans="1:8" x14ac:dyDescent="0.25">
      <c r="A3348" s="31">
        <v>44651</v>
      </c>
      <c r="B3348" s="37" t="s">
        <v>10463</v>
      </c>
      <c r="C3348" s="51" t="s">
        <v>114</v>
      </c>
      <c r="D3348" s="52">
        <v>4625</v>
      </c>
      <c r="E3348" s="35">
        <v>44652</v>
      </c>
      <c r="F3348" s="52">
        <v>4625</v>
      </c>
      <c r="G3348" s="53">
        <f>Tabla14[[#This Row],[Importe]]-Tabla14[[#This Row],[Pagado]]</f>
        <v>0</v>
      </c>
      <c r="H3348" s="37" t="s">
        <v>10</v>
      </c>
    </row>
    <row r="3349" spans="1:8" x14ac:dyDescent="0.25">
      <c r="A3349" s="31">
        <v>44651</v>
      </c>
      <c r="B3349" s="37" t="s">
        <v>10464</v>
      </c>
      <c r="C3349" s="51" t="s">
        <v>105</v>
      </c>
      <c r="D3349" s="52">
        <v>2236</v>
      </c>
      <c r="E3349" s="35">
        <v>44652</v>
      </c>
      <c r="F3349" s="52">
        <v>2236</v>
      </c>
      <c r="G3349" s="53">
        <f>Tabla14[[#This Row],[Importe]]-Tabla14[[#This Row],[Pagado]]</f>
        <v>0</v>
      </c>
      <c r="H3349" s="37" t="s">
        <v>10</v>
      </c>
    </row>
    <row r="3350" spans="1:8" x14ac:dyDescent="0.25">
      <c r="A3350" s="31">
        <v>44651</v>
      </c>
      <c r="B3350" s="37" t="s">
        <v>10465</v>
      </c>
      <c r="C3350" s="51" t="s">
        <v>348</v>
      </c>
      <c r="D3350" s="52">
        <v>984</v>
      </c>
      <c r="E3350" s="35">
        <v>44651</v>
      </c>
      <c r="F3350" s="52">
        <v>984</v>
      </c>
      <c r="G3350" s="53">
        <f>Tabla14[[#This Row],[Importe]]-Tabla14[[#This Row],[Pagado]]</f>
        <v>0</v>
      </c>
      <c r="H3350" s="37" t="s">
        <v>10</v>
      </c>
    </row>
    <row r="3351" spans="1:8" x14ac:dyDescent="0.25">
      <c r="A3351" s="31">
        <v>44651</v>
      </c>
      <c r="B3351" s="37" t="s">
        <v>10466</v>
      </c>
      <c r="C3351" s="51" t="s">
        <v>31</v>
      </c>
      <c r="D3351" s="52">
        <v>2929.5</v>
      </c>
      <c r="E3351" s="35">
        <v>44651</v>
      </c>
      <c r="F3351" s="52">
        <v>2929.5</v>
      </c>
      <c r="G3351" s="53">
        <f>Tabla14[[#This Row],[Importe]]-Tabla14[[#This Row],[Pagado]]</f>
        <v>0</v>
      </c>
      <c r="H3351" s="37" t="s">
        <v>10</v>
      </c>
    </row>
    <row r="3352" spans="1:8" x14ac:dyDescent="0.25">
      <c r="A3352" s="31">
        <v>44651</v>
      </c>
      <c r="B3352" s="37" t="s">
        <v>10467</v>
      </c>
      <c r="C3352" s="51" t="s">
        <v>326</v>
      </c>
      <c r="D3352" s="52">
        <v>4200</v>
      </c>
      <c r="E3352" s="35">
        <v>44652</v>
      </c>
      <c r="F3352" s="52">
        <v>4200</v>
      </c>
      <c r="G3352" s="53">
        <f>Tabla14[[#This Row],[Importe]]-Tabla14[[#This Row],[Pagado]]</f>
        <v>0</v>
      </c>
      <c r="H3352" s="37" t="s">
        <v>10</v>
      </c>
    </row>
    <row r="3353" spans="1:8" x14ac:dyDescent="0.25">
      <c r="A3353" s="31">
        <v>44651</v>
      </c>
      <c r="B3353" s="37" t="s">
        <v>10468</v>
      </c>
      <c r="C3353" s="51" t="s">
        <v>135</v>
      </c>
      <c r="D3353" s="52">
        <v>1457.5</v>
      </c>
      <c r="E3353" s="35">
        <v>44651</v>
      </c>
      <c r="F3353" s="52">
        <v>1457.5</v>
      </c>
      <c r="G3353" s="53">
        <f>Tabla14[[#This Row],[Importe]]-Tabla14[[#This Row],[Pagado]]</f>
        <v>0</v>
      </c>
      <c r="H3353" s="37" t="s">
        <v>10</v>
      </c>
    </row>
    <row r="3354" spans="1:8" x14ac:dyDescent="0.25">
      <c r="A3354" s="31">
        <v>44651</v>
      </c>
      <c r="B3354" s="37" t="s">
        <v>10469</v>
      </c>
      <c r="C3354" s="51" t="s">
        <v>116</v>
      </c>
      <c r="D3354" s="52">
        <v>4076.8</v>
      </c>
      <c r="E3354" s="35">
        <v>44652</v>
      </c>
      <c r="F3354" s="52">
        <v>4076.8</v>
      </c>
      <c r="G3354" s="53">
        <f>Tabla14[[#This Row],[Importe]]-Tabla14[[#This Row],[Pagado]]</f>
        <v>0</v>
      </c>
      <c r="H3354" s="37" t="s">
        <v>10</v>
      </c>
    </row>
    <row r="3355" spans="1:8" x14ac:dyDescent="0.25">
      <c r="A3355" s="31">
        <v>44651</v>
      </c>
      <c r="B3355" s="37" t="s">
        <v>10470</v>
      </c>
      <c r="C3355" s="51" t="s">
        <v>120</v>
      </c>
      <c r="D3355" s="52">
        <v>4622.8</v>
      </c>
      <c r="E3355" s="35">
        <v>44653</v>
      </c>
      <c r="F3355" s="52">
        <v>4622.8</v>
      </c>
      <c r="G3355" s="53">
        <f>Tabla14[[#This Row],[Importe]]-Tabla14[[#This Row],[Pagado]]</f>
        <v>0</v>
      </c>
      <c r="H3355" s="37" t="s">
        <v>10</v>
      </c>
    </row>
    <row r="3356" spans="1:8" x14ac:dyDescent="0.25">
      <c r="A3356" s="31">
        <v>44651</v>
      </c>
      <c r="B3356" s="37" t="s">
        <v>10471</v>
      </c>
      <c r="C3356" s="51" t="s">
        <v>14</v>
      </c>
      <c r="D3356" s="52">
        <v>15727.2</v>
      </c>
      <c r="E3356" s="35">
        <v>44651</v>
      </c>
      <c r="F3356" s="52">
        <v>15727.2</v>
      </c>
      <c r="G3356" s="53">
        <f>Tabla14[[#This Row],[Importe]]-Tabla14[[#This Row],[Pagado]]</f>
        <v>0</v>
      </c>
      <c r="H3356" s="37" t="s">
        <v>10</v>
      </c>
    </row>
    <row r="3357" spans="1:8" x14ac:dyDescent="0.25">
      <c r="A3357" s="31">
        <v>44651</v>
      </c>
      <c r="B3357" s="37" t="s">
        <v>10472</v>
      </c>
      <c r="C3357" s="51" t="s">
        <v>83</v>
      </c>
      <c r="D3357" s="52">
        <v>14757.6</v>
      </c>
      <c r="E3357" s="35">
        <v>44651</v>
      </c>
      <c r="F3357" s="52">
        <v>14757.6</v>
      </c>
      <c r="G3357" s="53">
        <f>Tabla14[[#This Row],[Importe]]-Tabla14[[#This Row],[Pagado]]</f>
        <v>0</v>
      </c>
      <c r="H3357" s="37" t="s">
        <v>10</v>
      </c>
    </row>
    <row r="3358" spans="1:8" x14ac:dyDescent="0.25">
      <c r="A3358" s="31">
        <v>44651</v>
      </c>
      <c r="B3358" s="37" t="s">
        <v>10473</v>
      </c>
      <c r="C3358" s="51" t="s">
        <v>27</v>
      </c>
      <c r="D3358" s="52">
        <v>3286</v>
      </c>
      <c r="E3358" s="35">
        <v>44651</v>
      </c>
      <c r="F3358" s="52">
        <v>3286</v>
      </c>
      <c r="G3358" s="53">
        <f>Tabla14[[#This Row],[Importe]]-Tabla14[[#This Row],[Pagado]]</f>
        <v>0</v>
      </c>
      <c r="H3358" s="37" t="s">
        <v>10</v>
      </c>
    </row>
    <row r="3359" spans="1:8" x14ac:dyDescent="0.25">
      <c r="A3359" s="31">
        <v>44651</v>
      </c>
      <c r="B3359" s="37" t="s">
        <v>10474</v>
      </c>
      <c r="C3359" s="51" t="s">
        <v>14</v>
      </c>
      <c r="D3359" s="52">
        <v>1971.5</v>
      </c>
      <c r="E3359" s="35">
        <v>44651</v>
      </c>
      <c r="F3359" s="52">
        <v>1971.5</v>
      </c>
      <c r="G3359" s="53">
        <f>Tabla14[[#This Row],[Importe]]-Tabla14[[#This Row],[Pagado]]</f>
        <v>0</v>
      </c>
      <c r="H3359" s="37" t="s">
        <v>10</v>
      </c>
    </row>
    <row r="3360" spans="1:8" x14ac:dyDescent="0.25">
      <c r="A3360" s="31">
        <v>44651</v>
      </c>
      <c r="B3360" s="37" t="s">
        <v>10475</v>
      </c>
      <c r="C3360" s="51" t="s">
        <v>157</v>
      </c>
      <c r="D3360" s="52">
        <v>4618.3999999999996</v>
      </c>
      <c r="E3360" s="35">
        <v>44651</v>
      </c>
      <c r="F3360" s="52">
        <v>4618.3999999999996</v>
      </c>
      <c r="G3360" s="53">
        <f>Tabla14[[#This Row],[Importe]]-Tabla14[[#This Row],[Pagado]]</f>
        <v>0</v>
      </c>
      <c r="H3360" s="37" t="s">
        <v>10</v>
      </c>
    </row>
    <row r="3361" spans="1:8" x14ac:dyDescent="0.25">
      <c r="A3361" s="31">
        <v>44651</v>
      </c>
      <c r="B3361" s="37" t="s">
        <v>10476</v>
      </c>
      <c r="C3361" s="51" t="s">
        <v>159</v>
      </c>
      <c r="D3361" s="52">
        <v>1801.5</v>
      </c>
      <c r="E3361" s="35">
        <v>44651</v>
      </c>
      <c r="F3361" s="52">
        <v>1801.5</v>
      </c>
      <c r="G3361" s="53">
        <f>Tabla14[[#This Row],[Importe]]-Tabla14[[#This Row],[Pagado]]</f>
        <v>0</v>
      </c>
      <c r="H3361" s="37" t="s">
        <v>10</v>
      </c>
    </row>
    <row r="3362" spans="1:8" x14ac:dyDescent="0.25">
      <c r="A3362" s="31">
        <v>44651</v>
      </c>
      <c r="B3362" s="37" t="s">
        <v>10477</v>
      </c>
      <c r="C3362" s="51" t="s">
        <v>31</v>
      </c>
      <c r="D3362" s="52">
        <v>719.2</v>
      </c>
      <c r="E3362" s="35">
        <v>44651</v>
      </c>
      <c r="F3362" s="52">
        <v>719.2</v>
      </c>
      <c r="G3362" s="53">
        <f>Tabla14[[#This Row],[Importe]]-Tabla14[[#This Row],[Pagado]]</f>
        <v>0</v>
      </c>
      <c r="H3362" s="37" t="s">
        <v>10</v>
      </c>
    </row>
    <row r="3363" spans="1:8" x14ac:dyDescent="0.25">
      <c r="A3363" s="31">
        <v>44651</v>
      </c>
      <c r="B3363" s="37" t="s">
        <v>10478</v>
      </c>
      <c r="C3363" s="51" t="s">
        <v>518</v>
      </c>
      <c r="D3363" s="52">
        <v>927.8</v>
      </c>
      <c r="E3363" s="35">
        <v>44651</v>
      </c>
      <c r="F3363" s="52">
        <v>927.8</v>
      </c>
      <c r="G3363" s="53">
        <f>Tabla14[[#This Row],[Importe]]-Tabla14[[#This Row],[Pagado]]</f>
        <v>0</v>
      </c>
      <c r="H3363" s="37" t="s">
        <v>10</v>
      </c>
    </row>
    <row r="3364" spans="1:8" x14ac:dyDescent="0.25">
      <c r="A3364" s="31">
        <v>44651</v>
      </c>
      <c r="B3364" s="37" t="s">
        <v>10479</v>
      </c>
      <c r="C3364" s="51" t="s">
        <v>151</v>
      </c>
      <c r="D3364" s="52">
        <v>14926.6</v>
      </c>
      <c r="E3364" s="35">
        <v>44651</v>
      </c>
      <c r="F3364" s="52">
        <v>14926.6</v>
      </c>
      <c r="G3364" s="53">
        <f>Tabla14[[#This Row],[Importe]]-Tabla14[[#This Row],[Pagado]]</f>
        <v>0</v>
      </c>
      <c r="H3364" s="37" t="s">
        <v>10</v>
      </c>
    </row>
    <row r="3365" spans="1:8" x14ac:dyDescent="0.25">
      <c r="A3365" s="31">
        <v>44651</v>
      </c>
      <c r="B3365" s="37" t="s">
        <v>10480</v>
      </c>
      <c r="C3365" s="51" t="s">
        <v>142</v>
      </c>
      <c r="D3365" s="52">
        <v>41855.9</v>
      </c>
      <c r="E3365" s="35">
        <v>44670</v>
      </c>
      <c r="F3365" s="52">
        <v>41855.9</v>
      </c>
      <c r="G3365" s="53">
        <f>Tabla14[[#This Row],[Importe]]-Tabla14[[#This Row],[Pagado]]</f>
        <v>0</v>
      </c>
      <c r="H3365" s="37" t="s">
        <v>10</v>
      </c>
    </row>
    <row r="3366" spans="1:8" x14ac:dyDescent="0.25">
      <c r="A3366" s="31">
        <v>44651</v>
      </c>
      <c r="B3366" s="37" t="s">
        <v>10481</v>
      </c>
      <c r="C3366" s="51" t="s">
        <v>45</v>
      </c>
      <c r="D3366" s="52">
        <v>12351.2</v>
      </c>
      <c r="E3366" s="35">
        <v>44651</v>
      </c>
      <c r="F3366" s="52">
        <v>12351.2</v>
      </c>
      <c r="G3366" s="53">
        <f>Tabla14[[#This Row],[Importe]]-Tabla14[[#This Row],[Pagado]]</f>
        <v>0</v>
      </c>
      <c r="H3366" s="37" t="s">
        <v>10</v>
      </c>
    </row>
    <row r="3367" spans="1:8" x14ac:dyDescent="0.25">
      <c r="A3367" s="31">
        <v>44651</v>
      </c>
      <c r="B3367" s="37" t="s">
        <v>10482</v>
      </c>
      <c r="C3367" s="51" t="s">
        <v>647</v>
      </c>
      <c r="D3367" s="52">
        <v>3986.3</v>
      </c>
      <c r="E3367" s="35">
        <v>44651</v>
      </c>
      <c r="F3367" s="52">
        <v>3986.3</v>
      </c>
      <c r="G3367" s="53">
        <f>Tabla14[[#This Row],[Importe]]-Tabla14[[#This Row],[Pagado]]</f>
        <v>0</v>
      </c>
      <c r="H3367" s="37" t="s">
        <v>10</v>
      </c>
    </row>
    <row r="3368" spans="1:8" x14ac:dyDescent="0.25">
      <c r="A3368" s="31">
        <v>44651</v>
      </c>
      <c r="B3368" s="37" t="s">
        <v>10483</v>
      </c>
      <c r="C3368" s="51" t="s">
        <v>224</v>
      </c>
      <c r="D3368" s="52">
        <v>138.6</v>
      </c>
      <c r="E3368" s="35">
        <v>44651</v>
      </c>
      <c r="F3368" s="52">
        <v>138.6</v>
      </c>
      <c r="G3368" s="53">
        <f>Tabla14[[#This Row],[Importe]]-Tabla14[[#This Row],[Pagado]]</f>
        <v>0</v>
      </c>
      <c r="H3368" s="37" t="s">
        <v>10</v>
      </c>
    </row>
    <row r="3369" spans="1:8" x14ac:dyDescent="0.25">
      <c r="A3369" s="31">
        <v>44651</v>
      </c>
      <c r="B3369" s="37" t="s">
        <v>10484</v>
      </c>
      <c r="C3369" s="51" t="s">
        <v>373</v>
      </c>
      <c r="D3369" s="52">
        <v>437.4</v>
      </c>
      <c r="E3369" s="35">
        <v>44651</v>
      </c>
      <c r="F3369" s="52">
        <v>437.4</v>
      </c>
      <c r="G3369" s="53">
        <f>Tabla14[[#This Row],[Importe]]-Tabla14[[#This Row],[Pagado]]</f>
        <v>0</v>
      </c>
      <c r="H3369" s="37" t="s">
        <v>10</v>
      </c>
    </row>
    <row r="3370" spans="1:8" x14ac:dyDescent="0.25">
      <c r="A3370" s="31">
        <v>44651</v>
      </c>
      <c r="B3370" s="37" t="s">
        <v>10485</v>
      </c>
      <c r="C3370" s="51" t="s">
        <v>107</v>
      </c>
      <c r="D3370" s="52">
        <v>13582.4</v>
      </c>
      <c r="E3370" s="35">
        <v>44651</v>
      </c>
      <c r="F3370" s="52">
        <v>13582.4</v>
      </c>
      <c r="G3370" s="53">
        <f>Tabla14[[#This Row],[Importe]]-Tabla14[[#This Row],[Pagado]]</f>
        <v>0</v>
      </c>
      <c r="H3370" s="37" t="s">
        <v>10</v>
      </c>
    </row>
    <row r="3371" spans="1:8" x14ac:dyDescent="0.25">
      <c r="A3371" s="31">
        <v>44651</v>
      </c>
      <c r="B3371" s="37" t="s">
        <v>10486</v>
      </c>
      <c r="C3371" s="51" t="s">
        <v>396</v>
      </c>
      <c r="D3371" s="52">
        <v>6935.3</v>
      </c>
      <c r="E3371" s="35">
        <v>44662</v>
      </c>
      <c r="F3371" s="52">
        <v>6935.3</v>
      </c>
      <c r="G3371" s="53">
        <f>Tabla14[[#This Row],[Importe]]-Tabla14[[#This Row],[Pagado]]</f>
        <v>0</v>
      </c>
      <c r="H3371" s="37" t="s">
        <v>10</v>
      </c>
    </row>
    <row r="3372" spans="1:8" x14ac:dyDescent="0.25">
      <c r="A3372" s="31">
        <v>44651</v>
      </c>
      <c r="B3372" s="37" t="s">
        <v>10487</v>
      </c>
      <c r="C3372" s="51" t="s">
        <v>56</v>
      </c>
      <c r="D3372" s="52">
        <v>3850.2</v>
      </c>
      <c r="E3372" s="35">
        <v>44651</v>
      </c>
      <c r="F3372" s="52">
        <v>3850.2</v>
      </c>
      <c r="G3372" s="53">
        <f>Tabla14[[#This Row],[Importe]]-Tabla14[[#This Row],[Pagado]]</f>
        <v>0</v>
      </c>
      <c r="H3372" s="37" t="s">
        <v>10</v>
      </c>
    </row>
    <row r="3373" spans="1:8" x14ac:dyDescent="0.25">
      <c r="A3373" s="31">
        <v>44651</v>
      </c>
      <c r="B3373" s="37" t="s">
        <v>10488</v>
      </c>
      <c r="C3373" s="51" t="s">
        <v>2383</v>
      </c>
      <c r="D3373" s="52">
        <v>2520</v>
      </c>
      <c r="E3373" s="35">
        <v>44651</v>
      </c>
      <c r="F3373" s="52">
        <v>2520</v>
      </c>
      <c r="G3373" s="53">
        <f>Tabla14[[#This Row],[Importe]]-Tabla14[[#This Row],[Pagado]]</f>
        <v>0</v>
      </c>
      <c r="H3373" s="37" t="s">
        <v>10</v>
      </c>
    </row>
    <row r="3374" spans="1:8" x14ac:dyDescent="0.25">
      <c r="A3374" s="31">
        <v>44651</v>
      </c>
      <c r="B3374" s="37" t="s">
        <v>10489</v>
      </c>
      <c r="C3374" s="51" t="s">
        <v>357</v>
      </c>
      <c r="D3374" s="52">
        <v>3318.4</v>
      </c>
      <c r="E3374" s="35">
        <v>44651</v>
      </c>
      <c r="F3374" s="52">
        <v>3318.4</v>
      </c>
      <c r="G3374" s="53">
        <f>Tabla14[[#This Row],[Importe]]-Tabla14[[#This Row],[Pagado]]</f>
        <v>0</v>
      </c>
      <c r="H3374" s="37" t="s">
        <v>10</v>
      </c>
    </row>
    <row r="3375" spans="1:8" x14ac:dyDescent="0.25">
      <c r="A3375" s="31">
        <v>44651</v>
      </c>
      <c r="B3375" s="37" t="s">
        <v>10490</v>
      </c>
      <c r="C3375" s="51" t="s">
        <v>140</v>
      </c>
      <c r="D3375" s="52">
        <v>252</v>
      </c>
      <c r="E3375" s="35">
        <v>44651</v>
      </c>
      <c r="F3375" s="52">
        <v>252</v>
      </c>
      <c r="G3375" s="53">
        <f>Tabla14[[#This Row],[Importe]]-Tabla14[[#This Row],[Pagado]]</f>
        <v>0</v>
      </c>
      <c r="H3375" s="37" t="s">
        <v>10</v>
      </c>
    </row>
    <row r="3376" spans="1:8" x14ac:dyDescent="0.25">
      <c r="A3376" s="31">
        <v>44651</v>
      </c>
      <c r="B3376" s="37" t="s">
        <v>10491</v>
      </c>
      <c r="C3376" s="51" t="s">
        <v>129</v>
      </c>
      <c r="D3376" s="52">
        <v>4559.5</v>
      </c>
      <c r="E3376" s="35">
        <v>44651</v>
      </c>
      <c r="F3376" s="52">
        <v>4559.5</v>
      </c>
      <c r="G3376" s="53">
        <f>Tabla14[[#This Row],[Importe]]-Tabla14[[#This Row],[Pagado]]</f>
        <v>0</v>
      </c>
      <c r="H3376" s="37" t="s">
        <v>10</v>
      </c>
    </row>
    <row r="3377" spans="1:8" x14ac:dyDescent="0.25">
      <c r="A3377" s="31">
        <v>44651</v>
      </c>
      <c r="B3377" s="37" t="s">
        <v>10492</v>
      </c>
      <c r="C3377" s="51" t="s">
        <v>127</v>
      </c>
      <c r="D3377" s="52">
        <v>3544.1</v>
      </c>
      <c r="E3377" s="35">
        <v>44651</v>
      </c>
      <c r="F3377" s="52">
        <v>3544.1</v>
      </c>
      <c r="G3377" s="53">
        <f>Tabla14[[#This Row],[Importe]]-Tabla14[[#This Row],[Pagado]]</f>
        <v>0</v>
      </c>
      <c r="H3377" s="37" t="s">
        <v>10</v>
      </c>
    </row>
    <row r="3378" spans="1:8" x14ac:dyDescent="0.25">
      <c r="A3378" s="31">
        <v>44651</v>
      </c>
      <c r="B3378" s="37" t="s">
        <v>10493</v>
      </c>
      <c r="C3378" s="51" t="s">
        <v>125</v>
      </c>
      <c r="D3378" s="52">
        <v>1299.2</v>
      </c>
      <c r="E3378" s="35">
        <v>44651</v>
      </c>
      <c r="F3378" s="52">
        <v>1299.2</v>
      </c>
      <c r="G3378" s="53">
        <f>Tabla14[[#This Row],[Importe]]-Tabla14[[#This Row],[Pagado]]</f>
        <v>0</v>
      </c>
      <c r="H3378" s="37" t="s">
        <v>10</v>
      </c>
    </row>
    <row r="3379" spans="1:8" x14ac:dyDescent="0.25">
      <c r="A3379" s="31">
        <v>44651</v>
      </c>
      <c r="B3379" s="37" t="s">
        <v>10494</v>
      </c>
      <c r="C3379" s="51" t="s">
        <v>339</v>
      </c>
      <c r="D3379" s="52">
        <v>484</v>
      </c>
      <c r="E3379" s="35">
        <v>44651</v>
      </c>
      <c r="F3379" s="52">
        <v>484</v>
      </c>
      <c r="G3379" s="53">
        <f>Tabla14[[#This Row],[Importe]]-Tabla14[[#This Row],[Pagado]]</f>
        <v>0</v>
      </c>
      <c r="H3379" s="37" t="s">
        <v>10</v>
      </c>
    </row>
    <row r="3380" spans="1:8" x14ac:dyDescent="0.25">
      <c r="A3380" s="31">
        <v>44651</v>
      </c>
      <c r="B3380" s="37" t="s">
        <v>10495</v>
      </c>
      <c r="C3380" s="51" t="s">
        <v>87</v>
      </c>
      <c r="D3380" s="52">
        <v>1842.8</v>
      </c>
      <c r="E3380" s="35">
        <v>44651</v>
      </c>
      <c r="F3380" s="52">
        <v>1842.8</v>
      </c>
      <c r="G3380" s="53">
        <f>Tabla14[[#This Row],[Importe]]-Tabla14[[#This Row],[Pagado]]</f>
        <v>0</v>
      </c>
      <c r="H3380" s="37" t="s">
        <v>10</v>
      </c>
    </row>
    <row r="3381" spans="1:8" x14ac:dyDescent="0.25">
      <c r="A3381" s="31">
        <v>44651</v>
      </c>
      <c r="B3381" s="37" t="s">
        <v>10496</v>
      </c>
      <c r="C3381" s="51" t="s">
        <v>3971</v>
      </c>
      <c r="D3381" s="52">
        <v>1088</v>
      </c>
      <c r="E3381" s="35">
        <v>44651</v>
      </c>
      <c r="F3381" s="52">
        <v>1088</v>
      </c>
      <c r="G3381" s="53">
        <f>Tabla14[[#This Row],[Importe]]-Tabla14[[#This Row],[Pagado]]</f>
        <v>0</v>
      </c>
      <c r="H3381" s="37" t="s">
        <v>10</v>
      </c>
    </row>
    <row r="3382" spans="1:8" x14ac:dyDescent="0.25">
      <c r="A3382" s="31">
        <v>44651</v>
      </c>
      <c r="B3382" s="37" t="s">
        <v>10497</v>
      </c>
      <c r="C3382" s="51" t="s">
        <v>146</v>
      </c>
      <c r="D3382" s="52">
        <v>1989.4</v>
      </c>
      <c r="E3382" s="35">
        <v>44651</v>
      </c>
      <c r="F3382" s="52">
        <v>1989.4</v>
      </c>
      <c r="G3382" s="53">
        <f>Tabla14[[#This Row],[Importe]]-Tabla14[[#This Row],[Pagado]]</f>
        <v>0</v>
      </c>
      <c r="H3382" s="37" t="s">
        <v>10</v>
      </c>
    </row>
    <row r="3383" spans="1:8" x14ac:dyDescent="0.25">
      <c r="A3383" s="31">
        <v>44651</v>
      </c>
      <c r="B3383" s="37" t="s">
        <v>10498</v>
      </c>
      <c r="C3383" s="51" t="s">
        <v>24</v>
      </c>
      <c r="D3383" s="52">
        <v>2891.7</v>
      </c>
      <c r="E3383" s="35">
        <v>44651</v>
      </c>
      <c r="F3383" s="52">
        <v>2891.7</v>
      </c>
      <c r="G3383" s="53">
        <f>Tabla14[[#This Row],[Importe]]-Tabla14[[#This Row],[Pagado]]</f>
        <v>0</v>
      </c>
      <c r="H3383" s="37" t="s">
        <v>10</v>
      </c>
    </row>
    <row r="3384" spans="1:8" x14ac:dyDescent="0.25">
      <c r="A3384" s="31">
        <v>44651</v>
      </c>
      <c r="B3384" s="37" t="s">
        <v>10499</v>
      </c>
      <c r="C3384" s="51" t="s">
        <v>4136</v>
      </c>
      <c r="D3384" s="52">
        <v>2367.6</v>
      </c>
      <c r="E3384" s="35">
        <v>44651</v>
      </c>
      <c r="F3384" s="52">
        <v>2367.6</v>
      </c>
      <c r="G3384" s="53">
        <f>Tabla14[[#This Row],[Importe]]-Tabla14[[#This Row],[Pagado]]</f>
        <v>0</v>
      </c>
      <c r="H3384" s="37" t="s">
        <v>10</v>
      </c>
    </row>
    <row r="3385" spans="1:8" x14ac:dyDescent="0.25">
      <c r="A3385" s="31">
        <v>44651</v>
      </c>
      <c r="B3385" s="37" t="s">
        <v>10500</v>
      </c>
      <c r="C3385" s="51" t="s">
        <v>222</v>
      </c>
      <c r="D3385" s="52">
        <v>9524.2000000000007</v>
      </c>
      <c r="E3385" s="35">
        <v>44651</v>
      </c>
      <c r="F3385" s="52">
        <v>9524.2000000000007</v>
      </c>
      <c r="G3385" s="53">
        <f>Tabla14[[#This Row],[Importe]]-Tabla14[[#This Row],[Pagado]]</f>
        <v>0</v>
      </c>
      <c r="H3385" s="37" t="s">
        <v>10</v>
      </c>
    </row>
    <row r="3386" spans="1:8" x14ac:dyDescent="0.25">
      <c r="A3386" s="31">
        <v>44651</v>
      </c>
      <c r="B3386" s="37" t="s">
        <v>10501</v>
      </c>
      <c r="C3386" s="51" t="s">
        <v>175</v>
      </c>
      <c r="D3386" s="52">
        <v>21169.200000000001</v>
      </c>
      <c r="E3386" s="35">
        <v>44651</v>
      </c>
      <c r="F3386" s="52">
        <v>21169.200000000001</v>
      </c>
      <c r="G3386" s="53">
        <f>Tabla14[[#This Row],[Importe]]-Tabla14[[#This Row],[Pagado]]</f>
        <v>0</v>
      </c>
      <c r="H3386" s="37" t="s">
        <v>10</v>
      </c>
    </row>
    <row r="3387" spans="1:8" x14ac:dyDescent="0.25">
      <c r="A3387" s="31">
        <v>44651</v>
      </c>
      <c r="B3387" s="37" t="s">
        <v>10502</v>
      </c>
      <c r="C3387" s="51" t="s">
        <v>244</v>
      </c>
      <c r="D3387" s="52">
        <v>3790.2</v>
      </c>
      <c r="E3387" s="35">
        <v>44651</v>
      </c>
      <c r="F3387" s="52">
        <v>3790.2</v>
      </c>
      <c r="G3387" s="53">
        <f>Tabla14[[#This Row],[Importe]]-Tabla14[[#This Row],[Pagado]]</f>
        <v>0</v>
      </c>
      <c r="H3387" s="37" t="s">
        <v>10</v>
      </c>
    </row>
    <row r="3388" spans="1:8" x14ac:dyDescent="0.25">
      <c r="A3388" s="31">
        <v>44651</v>
      </c>
      <c r="B3388" s="37" t="s">
        <v>10503</v>
      </c>
      <c r="C3388" s="51" t="s">
        <v>175</v>
      </c>
      <c r="D3388" s="52">
        <v>4458.6000000000004</v>
      </c>
      <c r="E3388" s="35">
        <v>44651</v>
      </c>
      <c r="F3388" s="52">
        <v>4458.6000000000004</v>
      </c>
      <c r="G3388" s="53">
        <f>Tabla14[[#This Row],[Importe]]-Tabla14[[#This Row],[Pagado]]</f>
        <v>0</v>
      </c>
      <c r="H3388" s="37" t="s">
        <v>10</v>
      </c>
    </row>
    <row r="3389" spans="1:8" x14ac:dyDescent="0.25">
      <c r="A3389" s="31">
        <v>44651</v>
      </c>
      <c r="B3389" s="37" t="s">
        <v>10504</v>
      </c>
      <c r="C3389" s="51" t="s">
        <v>520</v>
      </c>
      <c r="D3389" s="52">
        <v>9211</v>
      </c>
      <c r="E3389" s="35">
        <v>44651</v>
      </c>
      <c r="F3389" s="52">
        <v>9211</v>
      </c>
      <c r="G3389" s="53">
        <f>Tabla14[[#This Row],[Importe]]-Tabla14[[#This Row],[Pagado]]</f>
        <v>0</v>
      </c>
      <c r="H3389" s="37" t="s">
        <v>10</v>
      </c>
    </row>
    <row r="3390" spans="1:8" x14ac:dyDescent="0.25">
      <c r="A3390" s="31">
        <v>44651</v>
      </c>
      <c r="B3390" s="37" t="s">
        <v>10505</v>
      </c>
      <c r="C3390" s="51" t="s">
        <v>319</v>
      </c>
      <c r="D3390" s="52">
        <v>2324</v>
      </c>
      <c r="E3390" s="35">
        <v>44651</v>
      </c>
      <c r="F3390" s="52">
        <v>2324</v>
      </c>
      <c r="G3390" s="53">
        <f>Tabla14[[#This Row],[Importe]]-Tabla14[[#This Row],[Pagado]]</f>
        <v>0</v>
      </c>
      <c r="H3390" s="37" t="s">
        <v>10</v>
      </c>
    </row>
    <row r="3391" spans="1:8" x14ac:dyDescent="0.25">
      <c r="A3391" s="31">
        <v>44651</v>
      </c>
      <c r="B3391" s="37" t="s">
        <v>10506</v>
      </c>
      <c r="C3391" s="51" t="s">
        <v>29</v>
      </c>
      <c r="D3391" s="52">
        <v>6150.6</v>
      </c>
      <c r="E3391" s="35">
        <v>44651</v>
      </c>
      <c r="F3391" s="52">
        <v>6150.6</v>
      </c>
      <c r="G3391" s="53">
        <f>Tabla14[[#This Row],[Importe]]-Tabla14[[#This Row],[Pagado]]</f>
        <v>0</v>
      </c>
      <c r="H3391" s="37" t="s">
        <v>10</v>
      </c>
    </row>
    <row r="3392" spans="1:8" x14ac:dyDescent="0.25">
      <c r="A3392" s="31">
        <v>44651</v>
      </c>
      <c r="B3392" s="37" t="s">
        <v>10507</v>
      </c>
      <c r="C3392" s="51" t="s">
        <v>200</v>
      </c>
      <c r="D3392" s="52">
        <v>1459.8</v>
      </c>
      <c r="E3392" s="35">
        <v>44651</v>
      </c>
      <c r="F3392" s="52">
        <v>1459.8</v>
      </c>
      <c r="G3392" s="53">
        <f>Tabla14[[#This Row],[Importe]]-Tabla14[[#This Row],[Pagado]]</f>
        <v>0</v>
      </c>
      <c r="H3392" s="37" t="s">
        <v>10</v>
      </c>
    </row>
    <row r="3393" spans="1:8" x14ac:dyDescent="0.25">
      <c r="A3393" s="31">
        <v>44651</v>
      </c>
      <c r="B3393" s="37" t="s">
        <v>10508</v>
      </c>
      <c r="C3393" s="51" t="s">
        <v>216</v>
      </c>
      <c r="D3393" s="52">
        <v>1533.6</v>
      </c>
      <c r="E3393" s="35">
        <v>44651</v>
      </c>
      <c r="F3393" s="52">
        <v>1533.6</v>
      </c>
      <c r="G3393" s="53">
        <f>Tabla14[[#This Row],[Importe]]-Tabla14[[#This Row],[Pagado]]</f>
        <v>0</v>
      </c>
      <c r="H3393" s="37" t="s">
        <v>10</v>
      </c>
    </row>
    <row r="3394" spans="1:8" x14ac:dyDescent="0.25">
      <c r="A3394" s="31">
        <v>44651</v>
      </c>
      <c r="B3394" s="37" t="s">
        <v>10509</v>
      </c>
      <c r="C3394" s="51" t="s">
        <v>31</v>
      </c>
      <c r="D3394" s="52">
        <v>3081.4</v>
      </c>
      <c r="E3394" s="35">
        <v>44651</v>
      </c>
      <c r="F3394" s="52">
        <v>3081.4</v>
      </c>
      <c r="G3394" s="53">
        <f>Tabla14[[#This Row],[Importe]]-Tabla14[[#This Row],[Pagado]]</f>
        <v>0</v>
      </c>
      <c r="H3394" s="37" t="s">
        <v>10</v>
      </c>
    </row>
    <row r="3395" spans="1:8" x14ac:dyDescent="0.25">
      <c r="A3395" s="31">
        <v>44651</v>
      </c>
      <c r="B3395" s="37" t="s">
        <v>10510</v>
      </c>
      <c r="C3395" s="51" t="s">
        <v>857</v>
      </c>
      <c r="D3395" s="52">
        <v>382.8</v>
      </c>
      <c r="E3395" s="35">
        <v>44651</v>
      </c>
      <c r="F3395" s="52">
        <v>382.8</v>
      </c>
      <c r="G3395" s="53">
        <f>Tabla14[[#This Row],[Importe]]-Tabla14[[#This Row],[Pagado]]</f>
        <v>0</v>
      </c>
      <c r="H3395" s="37" t="s">
        <v>10</v>
      </c>
    </row>
    <row r="3396" spans="1:8" x14ac:dyDescent="0.25">
      <c r="A3396" s="31">
        <v>44651</v>
      </c>
      <c r="B3396" s="37" t="s">
        <v>10511</v>
      </c>
      <c r="C3396" s="51" t="s">
        <v>382</v>
      </c>
      <c r="D3396" s="52">
        <v>3348</v>
      </c>
      <c r="E3396" s="35">
        <v>44651</v>
      </c>
      <c r="F3396" s="52">
        <v>3348</v>
      </c>
      <c r="G3396" s="53">
        <f>Tabla14[[#This Row],[Importe]]-Tabla14[[#This Row],[Pagado]]</f>
        <v>0</v>
      </c>
      <c r="H3396" s="37" t="s">
        <v>10</v>
      </c>
    </row>
    <row r="3397" spans="1:8" x14ac:dyDescent="0.25">
      <c r="A3397" s="31">
        <v>44651</v>
      </c>
      <c r="B3397" s="37" t="s">
        <v>10512</v>
      </c>
      <c r="C3397" s="51" t="s">
        <v>244</v>
      </c>
      <c r="D3397" s="52">
        <v>1413.5</v>
      </c>
      <c r="E3397" s="35">
        <v>44651</v>
      </c>
      <c r="F3397" s="52">
        <v>1413.5</v>
      </c>
      <c r="G3397" s="53">
        <f>Tabla14[[#This Row],[Importe]]-Tabla14[[#This Row],[Pagado]]</f>
        <v>0</v>
      </c>
      <c r="H3397" s="37" t="s">
        <v>10</v>
      </c>
    </row>
    <row r="3398" spans="1:8" x14ac:dyDescent="0.25">
      <c r="A3398" s="31">
        <v>44651</v>
      </c>
      <c r="B3398" s="37" t="s">
        <v>10513</v>
      </c>
      <c r="C3398" s="51" t="s">
        <v>244</v>
      </c>
      <c r="D3398" s="52">
        <v>3537.6</v>
      </c>
      <c r="E3398" s="35">
        <v>44651</v>
      </c>
      <c r="F3398" s="52">
        <v>3537.6</v>
      </c>
      <c r="G3398" s="53">
        <f>Tabla14[[#This Row],[Importe]]-Tabla14[[#This Row],[Pagado]]</f>
        <v>0</v>
      </c>
      <c r="H3398" s="37" t="s">
        <v>10</v>
      </c>
    </row>
    <row r="3399" spans="1:8" x14ac:dyDescent="0.25">
      <c r="A3399" s="31">
        <v>44651</v>
      </c>
      <c r="B3399" s="37" t="s">
        <v>10514</v>
      </c>
      <c r="C3399" s="51" t="s">
        <v>698</v>
      </c>
      <c r="D3399" s="52">
        <v>6086</v>
      </c>
      <c r="E3399" s="35">
        <v>44651</v>
      </c>
      <c r="F3399" s="52">
        <v>6086</v>
      </c>
      <c r="G3399" s="53">
        <f>Tabla14[[#This Row],[Importe]]-Tabla14[[#This Row],[Pagado]]</f>
        <v>0</v>
      </c>
      <c r="H3399" s="37" t="s">
        <v>10</v>
      </c>
    </row>
    <row r="3400" spans="1:8" x14ac:dyDescent="0.25">
      <c r="A3400" s="31">
        <v>44651</v>
      </c>
      <c r="B3400" s="37" t="s">
        <v>10515</v>
      </c>
      <c r="C3400" s="51" t="s">
        <v>67</v>
      </c>
      <c r="D3400" s="52">
        <v>10121.5</v>
      </c>
      <c r="E3400" s="35">
        <v>44651</v>
      </c>
      <c r="F3400" s="52">
        <v>10121.5</v>
      </c>
      <c r="G3400" s="53">
        <f>Tabla14[[#This Row],[Importe]]-Tabla14[[#This Row],[Pagado]]</f>
        <v>0</v>
      </c>
      <c r="H3400" s="37" t="s">
        <v>10</v>
      </c>
    </row>
    <row r="3401" spans="1:8" x14ac:dyDescent="0.25">
      <c r="A3401" s="31">
        <v>44651</v>
      </c>
      <c r="B3401" s="37" t="s">
        <v>10516</v>
      </c>
      <c r="C3401" s="51" t="s">
        <v>1558</v>
      </c>
      <c r="D3401" s="52">
        <v>3323.4</v>
      </c>
      <c r="E3401" s="35">
        <v>44651</v>
      </c>
      <c r="F3401" s="52">
        <v>3323.4</v>
      </c>
      <c r="G3401" s="53">
        <f>Tabla14[[#This Row],[Importe]]-Tabla14[[#This Row],[Pagado]]</f>
        <v>0</v>
      </c>
      <c r="H3401" s="37" t="s">
        <v>10</v>
      </c>
    </row>
    <row r="3402" spans="1:8" x14ac:dyDescent="0.25">
      <c r="A3402" s="31">
        <v>44651</v>
      </c>
      <c r="B3402" s="37" t="s">
        <v>10517</v>
      </c>
      <c r="C3402" s="51" t="s">
        <v>473</v>
      </c>
      <c r="D3402" s="52">
        <v>11645.9</v>
      </c>
      <c r="E3402" s="35">
        <v>44651</v>
      </c>
      <c r="F3402" s="52">
        <v>11645.9</v>
      </c>
      <c r="G3402" s="53">
        <f>Tabla14[[#This Row],[Importe]]-Tabla14[[#This Row],[Pagado]]</f>
        <v>0</v>
      </c>
      <c r="H3402" s="37" t="s">
        <v>10</v>
      </c>
    </row>
    <row r="3403" spans="1:8" x14ac:dyDescent="0.25">
      <c r="A3403" s="31">
        <v>44651</v>
      </c>
      <c r="B3403" s="37" t="s">
        <v>10518</v>
      </c>
      <c r="C3403" s="51" t="s">
        <v>75</v>
      </c>
      <c r="D3403" s="52">
        <v>6588</v>
      </c>
      <c r="E3403" s="35">
        <v>44651</v>
      </c>
      <c r="F3403" s="52">
        <v>6588</v>
      </c>
      <c r="G3403" s="53">
        <f>Tabla14[[#This Row],[Importe]]-Tabla14[[#This Row],[Pagado]]</f>
        <v>0</v>
      </c>
      <c r="H3403" s="37" t="s">
        <v>10</v>
      </c>
    </row>
    <row r="3404" spans="1:8" x14ac:dyDescent="0.25">
      <c r="A3404" s="31">
        <v>44651</v>
      </c>
      <c r="B3404" s="37" t="s">
        <v>10519</v>
      </c>
      <c r="C3404" s="51" t="s">
        <v>31</v>
      </c>
      <c r="D3404" s="52">
        <v>3195.5</v>
      </c>
      <c r="E3404" s="35">
        <v>44651</v>
      </c>
      <c r="F3404" s="52">
        <v>3195.5</v>
      </c>
      <c r="G3404" s="53">
        <f>Tabla14[[#This Row],[Importe]]-Tabla14[[#This Row],[Pagado]]</f>
        <v>0</v>
      </c>
      <c r="H3404" s="37" t="s">
        <v>10</v>
      </c>
    </row>
    <row r="3405" spans="1:8" x14ac:dyDescent="0.25">
      <c r="A3405" s="31">
        <v>44651</v>
      </c>
      <c r="B3405" s="37" t="s">
        <v>10520</v>
      </c>
      <c r="C3405" s="51" t="s">
        <v>9827</v>
      </c>
      <c r="D3405" s="52">
        <v>513</v>
      </c>
      <c r="E3405" s="35">
        <v>44651</v>
      </c>
      <c r="F3405" s="52">
        <v>513</v>
      </c>
      <c r="G3405" s="53">
        <f>Tabla14[[#This Row],[Importe]]-Tabla14[[#This Row],[Pagado]]</f>
        <v>0</v>
      </c>
      <c r="H3405" s="37" t="s">
        <v>10</v>
      </c>
    </row>
    <row r="3406" spans="1:8" x14ac:dyDescent="0.25">
      <c r="A3406" s="31">
        <v>44651</v>
      </c>
      <c r="B3406" s="37" t="s">
        <v>10521</v>
      </c>
      <c r="C3406" s="51" t="s">
        <v>10522</v>
      </c>
      <c r="D3406" s="52">
        <v>0</v>
      </c>
      <c r="E3406" s="39" t="s">
        <v>189</v>
      </c>
      <c r="F3406" s="52">
        <v>0</v>
      </c>
      <c r="G3406" s="53">
        <f>Tabla14[[#This Row],[Importe]]-Tabla14[[#This Row],[Pagado]]</f>
        <v>0</v>
      </c>
      <c r="H3406" s="37" t="s">
        <v>189</v>
      </c>
    </row>
    <row r="3407" spans="1:8" x14ac:dyDescent="0.25">
      <c r="A3407" s="31">
        <v>44651</v>
      </c>
      <c r="B3407" s="37" t="s">
        <v>10523</v>
      </c>
      <c r="C3407" s="51" t="s">
        <v>2139</v>
      </c>
      <c r="D3407" s="52">
        <v>5497.2</v>
      </c>
      <c r="E3407" s="35">
        <v>44651</v>
      </c>
      <c r="F3407" s="52">
        <v>5497.2</v>
      </c>
      <c r="G3407" s="53">
        <f>Tabla14[[#This Row],[Importe]]-Tabla14[[#This Row],[Pagado]]</f>
        <v>0</v>
      </c>
      <c r="H3407" s="37" t="s">
        <v>10</v>
      </c>
    </row>
    <row r="3408" spans="1:8" x14ac:dyDescent="0.25">
      <c r="A3408" s="31">
        <v>44651</v>
      </c>
      <c r="B3408" s="37" t="s">
        <v>10524</v>
      </c>
      <c r="C3408" s="51" t="s">
        <v>60</v>
      </c>
      <c r="D3408" s="52">
        <v>1064</v>
      </c>
      <c r="E3408" s="35">
        <v>44651</v>
      </c>
      <c r="F3408" s="52">
        <v>1064</v>
      </c>
      <c r="G3408" s="53">
        <f>Tabla14[[#This Row],[Importe]]-Tabla14[[#This Row],[Pagado]]</f>
        <v>0</v>
      </c>
      <c r="H3408" s="37" t="s">
        <v>10</v>
      </c>
    </row>
    <row r="3409" spans="1:8" x14ac:dyDescent="0.25">
      <c r="A3409" s="31">
        <v>44651</v>
      </c>
      <c r="B3409" s="37" t="s">
        <v>10525</v>
      </c>
      <c r="C3409" s="51" t="s">
        <v>275</v>
      </c>
      <c r="D3409" s="52">
        <v>39976.800000000003</v>
      </c>
      <c r="E3409" s="35">
        <v>44659</v>
      </c>
      <c r="F3409" s="52">
        <v>39976.800000000003</v>
      </c>
      <c r="G3409" s="53">
        <f>Tabla14[[#This Row],[Importe]]-Tabla14[[#This Row],[Pagado]]</f>
        <v>0</v>
      </c>
      <c r="H3409" s="37" t="s">
        <v>10</v>
      </c>
    </row>
    <row r="3410" spans="1:8" x14ac:dyDescent="0.25">
      <c r="A3410" s="31">
        <v>44651</v>
      </c>
      <c r="B3410" s="37" t="s">
        <v>10526</v>
      </c>
      <c r="C3410" s="51" t="s">
        <v>670</v>
      </c>
      <c r="D3410" s="52">
        <v>941.2</v>
      </c>
      <c r="E3410" s="35">
        <v>44651</v>
      </c>
      <c r="F3410" s="52">
        <v>941.2</v>
      </c>
      <c r="G3410" s="53">
        <f>Tabla14[[#This Row],[Importe]]-Tabla14[[#This Row],[Pagado]]</f>
        <v>0</v>
      </c>
      <c r="H3410" s="37" t="s">
        <v>10</v>
      </c>
    </row>
    <row r="3411" spans="1:8" x14ac:dyDescent="0.25">
      <c r="A3411" s="31">
        <v>44651</v>
      </c>
      <c r="B3411" s="37" t="s">
        <v>10527</v>
      </c>
      <c r="C3411" s="51" t="s">
        <v>484</v>
      </c>
      <c r="D3411" s="52">
        <v>486.5</v>
      </c>
      <c r="E3411" s="35">
        <v>44651</v>
      </c>
      <c r="F3411" s="52">
        <v>486.5</v>
      </c>
      <c r="G3411" s="53">
        <f>Tabla14[[#This Row],[Importe]]-Tabla14[[#This Row],[Pagado]]</f>
        <v>0</v>
      </c>
      <c r="H3411" s="37" t="s">
        <v>10</v>
      </c>
    </row>
    <row r="3412" spans="1:8" x14ac:dyDescent="0.25">
      <c r="A3412" s="31">
        <v>44651</v>
      </c>
      <c r="B3412" s="37" t="s">
        <v>10528</v>
      </c>
      <c r="C3412" s="51" t="s">
        <v>484</v>
      </c>
      <c r="D3412" s="52">
        <v>4501</v>
      </c>
      <c r="E3412" s="35">
        <v>44651</v>
      </c>
      <c r="F3412" s="52">
        <v>4501</v>
      </c>
      <c r="G3412" s="53">
        <f>Tabla14[[#This Row],[Importe]]-Tabla14[[#This Row],[Pagado]]</f>
        <v>0</v>
      </c>
      <c r="H3412" s="37" t="s">
        <v>10</v>
      </c>
    </row>
    <row r="3413" spans="1:8" x14ac:dyDescent="0.25">
      <c r="A3413" s="31">
        <v>44651</v>
      </c>
      <c r="B3413" s="37" t="s">
        <v>10529</v>
      </c>
      <c r="C3413" s="51" t="s">
        <v>58</v>
      </c>
      <c r="D3413" s="52">
        <v>3118.6</v>
      </c>
      <c r="E3413" s="35">
        <v>44651</v>
      </c>
      <c r="F3413" s="52">
        <v>3118.6</v>
      </c>
      <c r="G3413" s="53">
        <f>Tabla14[[#This Row],[Importe]]-Tabla14[[#This Row],[Pagado]]</f>
        <v>0</v>
      </c>
      <c r="H3413" s="37" t="s">
        <v>10</v>
      </c>
    </row>
    <row r="3414" spans="1:8" x14ac:dyDescent="0.25">
      <c r="A3414" s="31">
        <v>44651</v>
      </c>
      <c r="B3414" s="37" t="s">
        <v>10530</v>
      </c>
      <c r="C3414" s="51" t="s">
        <v>843</v>
      </c>
      <c r="D3414" s="52">
        <v>18248</v>
      </c>
      <c r="E3414" s="35">
        <v>44651</v>
      </c>
      <c r="F3414" s="52">
        <v>18248</v>
      </c>
      <c r="G3414" s="53">
        <f>Tabla14[[#This Row],[Importe]]-Tabla14[[#This Row],[Pagado]]</f>
        <v>0</v>
      </c>
      <c r="H3414" s="37" t="s">
        <v>10</v>
      </c>
    </row>
    <row r="3415" spans="1:8" x14ac:dyDescent="0.25">
      <c r="A3415" s="31">
        <v>44651</v>
      </c>
      <c r="B3415" s="37" t="s">
        <v>10531</v>
      </c>
      <c r="C3415" s="51" t="s">
        <v>263</v>
      </c>
      <c r="D3415" s="52">
        <v>14222</v>
      </c>
      <c r="E3415" s="35">
        <v>44657</v>
      </c>
      <c r="F3415" s="52">
        <v>14222</v>
      </c>
      <c r="G3415" s="53">
        <f>Tabla14[[#This Row],[Importe]]-Tabla14[[#This Row],[Pagado]]</f>
        <v>0</v>
      </c>
      <c r="H3415" s="37" t="s">
        <v>10</v>
      </c>
    </row>
    <row r="3416" spans="1:8" x14ac:dyDescent="0.25">
      <c r="A3416" s="31">
        <v>44651</v>
      </c>
      <c r="B3416" s="37" t="s">
        <v>10532</v>
      </c>
      <c r="C3416" s="51" t="s">
        <v>16</v>
      </c>
      <c r="D3416" s="52">
        <v>2488</v>
      </c>
      <c r="E3416" s="35">
        <v>44651</v>
      </c>
      <c r="F3416" s="52">
        <v>2488</v>
      </c>
      <c r="G3416" s="53">
        <f>Tabla14[[#This Row],[Importe]]-Tabla14[[#This Row],[Pagado]]</f>
        <v>0</v>
      </c>
      <c r="H3416" s="37" t="s">
        <v>10</v>
      </c>
    </row>
    <row r="3417" spans="1:8" x14ac:dyDescent="0.25">
      <c r="A3417" s="31">
        <v>44651</v>
      </c>
      <c r="B3417" s="37" t="s">
        <v>10533</v>
      </c>
      <c r="C3417" s="51" t="s">
        <v>664</v>
      </c>
      <c r="D3417" s="52">
        <v>15273.4</v>
      </c>
      <c r="E3417" s="35">
        <v>44651</v>
      </c>
      <c r="F3417" s="52">
        <v>15273.4</v>
      </c>
      <c r="G3417" s="53">
        <f>Tabla14[[#This Row],[Importe]]-Tabla14[[#This Row],[Pagado]]</f>
        <v>0</v>
      </c>
      <c r="H3417" s="37" t="s">
        <v>10</v>
      </c>
    </row>
    <row r="3418" spans="1:8" x14ac:dyDescent="0.25">
      <c r="A3418" s="31">
        <v>44651</v>
      </c>
      <c r="B3418" s="37" t="s">
        <v>10534</v>
      </c>
      <c r="C3418" s="51" t="s">
        <v>71</v>
      </c>
      <c r="D3418" s="52">
        <v>3036.6</v>
      </c>
      <c r="E3418" s="35">
        <v>44651</v>
      </c>
      <c r="F3418" s="52">
        <v>3036.6</v>
      </c>
      <c r="G3418" s="53">
        <f>Tabla14[[#This Row],[Importe]]-Tabla14[[#This Row],[Pagado]]</f>
        <v>0</v>
      </c>
      <c r="H3418" s="37" t="s">
        <v>10</v>
      </c>
    </row>
    <row r="3419" spans="1:8" x14ac:dyDescent="0.25">
      <c r="A3419" s="31">
        <v>44651</v>
      </c>
      <c r="B3419" s="37" t="s">
        <v>10535</v>
      </c>
      <c r="C3419" s="51" t="s">
        <v>191</v>
      </c>
      <c r="D3419" s="52">
        <v>596</v>
      </c>
      <c r="E3419" s="35">
        <v>44651</v>
      </c>
      <c r="F3419" s="52">
        <v>596</v>
      </c>
      <c r="G3419" s="53">
        <f>Tabla14[[#This Row],[Importe]]-Tabla14[[#This Row],[Pagado]]</f>
        <v>0</v>
      </c>
      <c r="H3419" s="37" t="s">
        <v>10</v>
      </c>
    </row>
    <row r="3420" spans="1:8" x14ac:dyDescent="0.25">
      <c r="A3420" s="31">
        <v>44651</v>
      </c>
      <c r="B3420" s="37" t="s">
        <v>10536</v>
      </c>
      <c r="C3420" s="51" t="s">
        <v>31</v>
      </c>
      <c r="D3420" s="52">
        <v>448.2</v>
      </c>
      <c r="E3420" s="35">
        <v>44651</v>
      </c>
      <c r="F3420" s="52">
        <v>448.2</v>
      </c>
      <c r="G3420" s="53">
        <f>Tabla14[[#This Row],[Importe]]-Tabla14[[#This Row],[Pagado]]</f>
        <v>0</v>
      </c>
      <c r="H3420" s="37" t="s">
        <v>10</v>
      </c>
    </row>
    <row r="3421" spans="1:8" x14ac:dyDescent="0.25">
      <c r="A3421" s="31">
        <v>44651</v>
      </c>
      <c r="B3421" s="37" t="s">
        <v>10537</v>
      </c>
      <c r="C3421" s="51" t="s">
        <v>6405</v>
      </c>
      <c r="D3421" s="52">
        <v>2.83</v>
      </c>
      <c r="E3421" s="35">
        <v>44659</v>
      </c>
      <c r="F3421" s="52">
        <v>2.83</v>
      </c>
      <c r="G3421" s="53">
        <f>Tabla14[[#This Row],[Importe]]-Tabla14[[#This Row],[Pagado]]</f>
        <v>0</v>
      </c>
      <c r="H3421" s="37" t="s">
        <v>10</v>
      </c>
    </row>
    <row r="3422" spans="1:8" x14ac:dyDescent="0.25">
      <c r="A3422" s="31">
        <v>44651</v>
      </c>
      <c r="B3422" s="37" t="s">
        <v>10538</v>
      </c>
      <c r="C3422" s="51" t="s">
        <v>31</v>
      </c>
      <c r="D3422" s="52">
        <v>352.6</v>
      </c>
      <c r="E3422" s="35">
        <v>44651</v>
      </c>
      <c r="F3422" s="52">
        <v>352.6</v>
      </c>
      <c r="G3422" s="53">
        <f>Tabla14[[#This Row],[Importe]]-Tabla14[[#This Row],[Pagado]]</f>
        <v>0</v>
      </c>
      <c r="H3422" s="37" t="s">
        <v>10</v>
      </c>
    </row>
    <row r="3423" spans="1:8" x14ac:dyDescent="0.25">
      <c r="A3423" s="31">
        <v>44651</v>
      </c>
      <c r="B3423" s="37" t="s">
        <v>10539</v>
      </c>
      <c r="C3423" s="51" t="s">
        <v>31</v>
      </c>
      <c r="D3423" s="52">
        <v>837.2</v>
      </c>
      <c r="E3423" s="35">
        <v>44651</v>
      </c>
      <c r="F3423" s="52">
        <v>837.2</v>
      </c>
      <c r="G3423" s="53">
        <f>Tabla14[[#This Row],[Importe]]-Tabla14[[#This Row],[Pagado]]</f>
        <v>0</v>
      </c>
      <c r="H3423" s="37" t="s">
        <v>10</v>
      </c>
    </row>
    <row r="3424" spans="1:8" x14ac:dyDescent="0.25">
      <c r="A3424" s="31">
        <v>44651</v>
      </c>
      <c r="B3424" s="37" t="s">
        <v>10540</v>
      </c>
      <c r="C3424" s="51" t="s">
        <v>284</v>
      </c>
      <c r="D3424" s="52">
        <v>6436.8</v>
      </c>
      <c r="E3424" s="35">
        <v>44652</v>
      </c>
      <c r="F3424" s="52">
        <v>6436.8</v>
      </c>
      <c r="G3424" s="53">
        <f>Tabla14[[#This Row],[Importe]]-Tabla14[[#This Row],[Pagado]]</f>
        <v>0</v>
      </c>
      <c r="H3424" s="37" t="s">
        <v>10</v>
      </c>
    </row>
    <row r="3425" spans="1:8" x14ac:dyDescent="0.25">
      <c r="A3425" s="31">
        <v>44651</v>
      </c>
      <c r="B3425" s="37" t="s">
        <v>10541</v>
      </c>
      <c r="C3425" s="51" t="s">
        <v>31</v>
      </c>
      <c r="D3425" s="52">
        <v>4312.8</v>
      </c>
      <c r="E3425" s="35">
        <v>44651</v>
      </c>
      <c r="F3425" s="52">
        <v>4312.8</v>
      </c>
      <c r="G3425" s="53">
        <f>Tabla14[[#This Row],[Importe]]-Tabla14[[#This Row],[Pagado]]</f>
        <v>0</v>
      </c>
      <c r="H3425" s="37" t="s">
        <v>10</v>
      </c>
    </row>
    <row r="3426" spans="1:8" x14ac:dyDescent="0.25">
      <c r="A3426" s="31">
        <v>44651</v>
      </c>
      <c r="B3426" s="37" t="s">
        <v>10542</v>
      </c>
      <c r="C3426" s="51" t="s">
        <v>5345</v>
      </c>
      <c r="D3426" s="52">
        <v>1792.8</v>
      </c>
      <c r="E3426" s="35">
        <v>44652</v>
      </c>
      <c r="F3426" s="52">
        <v>1792.8</v>
      </c>
      <c r="G3426" s="53">
        <f>Tabla14[[#This Row],[Importe]]-Tabla14[[#This Row],[Pagado]]</f>
        <v>0</v>
      </c>
      <c r="H3426" s="37" t="s">
        <v>10</v>
      </c>
    </row>
    <row r="3427" spans="1:8" x14ac:dyDescent="0.25">
      <c r="A3427" s="31">
        <v>44651</v>
      </c>
      <c r="B3427" s="37" t="s">
        <v>10543</v>
      </c>
      <c r="C3427" s="51" t="s">
        <v>280</v>
      </c>
      <c r="D3427" s="52">
        <v>928.8</v>
      </c>
      <c r="E3427" s="35">
        <v>44652</v>
      </c>
      <c r="F3427" s="52">
        <v>928.8</v>
      </c>
      <c r="G3427" s="53">
        <f>Tabla14[[#This Row],[Importe]]-Tabla14[[#This Row],[Pagado]]</f>
        <v>0</v>
      </c>
      <c r="H3427" s="37" t="s">
        <v>10</v>
      </c>
    </row>
    <row r="3428" spans="1:8" x14ac:dyDescent="0.25">
      <c r="A3428" s="31">
        <v>44651</v>
      </c>
      <c r="B3428" s="37" t="s">
        <v>10544</v>
      </c>
      <c r="C3428" s="51" t="s">
        <v>282</v>
      </c>
      <c r="D3428" s="52">
        <v>3385.8</v>
      </c>
      <c r="E3428" s="35">
        <v>44652</v>
      </c>
      <c r="F3428" s="52">
        <v>3385.8</v>
      </c>
      <c r="G3428" s="53">
        <f>Tabla14[[#This Row],[Importe]]-Tabla14[[#This Row],[Pagado]]</f>
        <v>0</v>
      </c>
      <c r="H3428" s="37" t="s">
        <v>10</v>
      </c>
    </row>
    <row r="3429" spans="1:8" x14ac:dyDescent="0.25">
      <c r="A3429" s="31">
        <v>44651</v>
      </c>
      <c r="B3429" s="37" t="s">
        <v>10545</v>
      </c>
      <c r="C3429" s="51" t="s">
        <v>179</v>
      </c>
      <c r="D3429" s="52">
        <v>901.8</v>
      </c>
      <c r="E3429" s="35">
        <v>44651</v>
      </c>
      <c r="F3429" s="52">
        <v>901.8</v>
      </c>
      <c r="G3429" s="53">
        <f>Tabla14[[#This Row],[Importe]]-Tabla14[[#This Row],[Pagado]]</f>
        <v>0</v>
      </c>
      <c r="H3429" s="37" t="s">
        <v>10</v>
      </c>
    </row>
    <row r="3430" spans="1:8" x14ac:dyDescent="0.25">
      <c r="A3430" s="31">
        <v>44651</v>
      </c>
      <c r="B3430" s="37" t="s">
        <v>10546</v>
      </c>
      <c r="C3430" s="51" t="s">
        <v>31</v>
      </c>
      <c r="D3430" s="52">
        <v>711.3</v>
      </c>
      <c r="E3430" s="35">
        <v>44651</v>
      </c>
      <c r="F3430" s="52">
        <v>711.3</v>
      </c>
      <c r="G3430" s="53">
        <f>Tabla14[[#This Row],[Importe]]-Tabla14[[#This Row],[Pagado]]</f>
        <v>0</v>
      </c>
      <c r="H3430" s="37" t="s">
        <v>10</v>
      </c>
    </row>
    <row r="3431" spans="1:8" x14ac:dyDescent="0.25">
      <c r="A3431" s="31">
        <v>44651</v>
      </c>
      <c r="B3431" s="37" t="s">
        <v>10547</v>
      </c>
      <c r="C3431" s="51" t="s">
        <v>414</v>
      </c>
      <c r="D3431" s="52">
        <v>2160</v>
      </c>
      <c r="E3431" s="35">
        <v>44651</v>
      </c>
      <c r="F3431" s="52">
        <v>2160</v>
      </c>
      <c r="G3431" s="53">
        <f>Tabla14[[#This Row],[Importe]]-Tabla14[[#This Row],[Pagado]]</f>
        <v>0</v>
      </c>
      <c r="H3431" s="37" t="s">
        <v>10</v>
      </c>
    </row>
    <row r="3432" spans="1:8" x14ac:dyDescent="0.25">
      <c r="A3432" s="31">
        <v>44651</v>
      </c>
      <c r="B3432" s="37" t="s">
        <v>10548</v>
      </c>
      <c r="C3432" s="51" t="s">
        <v>729</v>
      </c>
      <c r="D3432" s="52">
        <v>19568.8</v>
      </c>
      <c r="E3432" s="35">
        <v>44652</v>
      </c>
      <c r="F3432" s="52">
        <v>19568.8</v>
      </c>
      <c r="G3432" s="53">
        <f>Tabla14[[#This Row],[Importe]]-Tabla14[[#This Row],[Pagado]]</f>
        <v>0</v>
      </c>
      <c r="H3432" s="37" t="s">
        <v>10</v>
      </c>
    </row>
    <row r="3433" spans="1:8" x14ac:dyDescent="0.25">
      <c r="A3433" s="31">
        <v>44651</v>
      </c>
      <c r="B3433" s="37" t="s">
        <v>10549</v>
      </c>
      <c r="C3433" s="51" t="s">
        <v>31</v>
      </c>
      <c r="D3433" s="52">
        <v>1273.2</v>
      </c>
      <c r="E3433" s="35">
        <v>44651</v>
      </c>
      <c r="F3433" s="52">
        <v>1273.2</v>
      </c>
      <c r="G3433" s="53">
        <f>Tabla14[[#This Row],[Importe]]-Tabla14[[#This Row],[Pagado]]</f>
        <v>0</v>
      </c>
      <c r="H3433" s="37" t="s">
        <v>10</v>
      </c>
    </row>
    <row r="3434" spans="1:8" x14ac:dyDescent="0.25">
      <c r="A3434" s="31">
        <v>44651</v>
      </c>
      <c r="B3434" s="37" t="s">
        <v>10550</v>
      </c>
      <c r="C3434" s="51" t="s">
        <v>31</v>
      </c>
      <c r="D3434" s="52">
        <v>306</v>
      </c>
      <c r="E3434" s="35">
        <v>44651</v>
      </c>
      <c r="F3434" s="52">
        <v>306</v>
      </c>
      <c r="G3434" s="53">
        <f>Tabla14[[#This Row],[Importe]]-Tabla14[[#This Row],[Pagado]]</f>
        <v>0</v>
      </c>
      <c r="H3434" s="37" t="s">
        <v>10</v>
      </c>
    </row>
    <row r="3435" spans="1:8" x14ac:dyDescent="0.25">
      <c r="A3435" s="31">
        <v>44651</v>
      </c>
      <c r="B3435" s="37" t="s">
        <v>10551</v>
      </c>
      <c r="C3435" s="51" t="s">
        <v>71</v>
      </c>
      <c r="D3435" s="52">
        <v>7693.2</v>
      </c>
      <c r="E3435" s="35">
        <v>44651</v>
      </c>
      <c r="F3435" s="52">
        <v>7693.2</v>
      </c>
      <c r="G3435" s="53">
        <f>Tabla14[[#This Row],[Importe]]-Tabla14[[#This Row],[Pagado]]</f>
        <v>0</v>
      </c>
      <c r="H3435" s="37" t="s">
        <v>10</v>
      </c>
    </row>
    <row r="3436" spans="1:8" x14ac:dyDescent="0.25">
      <c r="A3436" s="31">
        <v>44651</v>
      </c>
      <c r="B3436" s="37" t="s">
        <v>10552</v>
      </c>
      <c r="C3436" s="51" t="s">
        <v>269</v>
      </c>
      <c r="D3436" s="52">
        <v>3232.2</v>
      </c>
      <c r="E3436" s="35">
        <v>44651</v>
      </c>
      <c r="F3436" s="52">
        <v>3232.2</v>
      </c>
      <c r="G3436" s="53">
        <f>Tabla14[[#This Row],[Importe]]-Tabla14[[#This Row],[Pagado]]</f>
        <v>0</v>
      </c>
      <c r="H3436" s="37" t="s">
        <v>10</v>
      </c>
    </row>
    <row r="3437" spans="1:8" x14ac:dyDescent="0.25">
      <c r="A3437" s="31">
        <v>44651</v>
      </c>
      <c r="B3437" s="37" t="s">
        <v>10553</v>
      </c>
      <c r="C3437" s="51" t="s">
        <v>296</v>
      </c>
      <c r="D3437" s="52">
        <v>891</v>
      </c>
      <c r="E3437" s="35">
        <v>44651</v>
      </c>
      <c r="F3437" s="52">
        <v>891</v>
      </c>
      <c r="G3437" s="53">
        <f>Tabla14[[#This Row],[Importe]]-Tabla14[[#This Row],[Pagado]]</f>
        <v>0</v>
      </c>
      <c r="H3437" s="37" t="s">
        <v>10</v>
      </c>
    </row>
    <row r="3438" spans="1:8" x14ac:dyDescent="0.25">
      <c r="A3438" s="31">
        <v>44651</v>
      </c>
      <c r="B3438" s="37" t="s">
        <v>10554</v>
      </c>
      <c r="C3438" s="51" t="s">
        <v>53</v>
      </c>
      <c r="D3438" s="52">
        <v>1192.3</v>
      </c>
      <c r="E3438" s="35">
        <v>44651</v>
      </c>
      <c r="F3438" s="52">
        <v>1192.3</v>
      </c>
      <c r="G3438" s="53">
        <f>Tabla14[[#This Row],[Importe]]-Tabla14[[#This Row],[Pagado]]</f>
        <v>0</v>
      </c>
      <c r="H3438" s="37" t="s">
        <v>10</v>
      </c>
    </row>
    <row r="3439" spans="1:8" x14ac:dyDescent="0.25">
      <c r="A3439" s="31">
        <v>44651</v>
      </c>
      <c r="B3439" s="37" t="s">
        <v>10555</v>
      </c>
      <c r="C3439" s="51" t="s">
        <v>31</v>
      </c>
      <c r="D3439" s="52">
        <v>375</v>
      </c>
      <c r="E3439" s="35">
        <v>44651</v>
      </c>
      <c r="F3439" s="52">
        <v>375</v>
      </c>
      <c r="G3439" s="53">
        <f>Tabla14[[#This Row],[Importe]]-Tabla14[[#This Row],[Pagado]]</f>
        <v>0</v>
      </c>
      <c r="H3439" s="37" t="s">
        <v>10</v>
      </c>
    </row>
    <row r="3440" spans="1:8" x14ac:dyDescent="0.25">
      <c r="A3440" s="31">
        <v>44651</v>
      </c>
      <c r="B3440" s="37" t="s">
        <v>10556</v>
      </c>
      <c r="C3440" s="51" t="s">
        <v>31</v>
      </c>
      <c r="D3440" s="52">
        <v>870</v>
      </c>
      <c r="E3440" s="35">
        <v>44651</v>
      </c>
      <c r="F3440" s="52">
        <v>870</v>
      </c>
      <c r="G3440" s="53">
        <f>Tabla14[[#This Row],[Importe]]-Tabla14[[#This Row],[Pagado]]</f>
        <v>0</v>
      </c>
      <c r="H3440" s="37" t="s">
        <v>10</v>
      </c>
    </row>
    <row r="3441" spans="1:8" x14ac:dyDescent="0.25">
      <c r="A3441" s="31">
        <v>44651</v>
      </c>
      <c r="B3441" s="37" t="s">
        <v>10557</v>
      </c>
      <c r="C3441" s="51" t="s">
        <v>373</v>
      </c>
      <c r="D3441" s="52">
        <v>507.6</v>
      </c>
      <c r="E3441" s="35">
        <v>44651</v>
      </c>
      <c r="F3441" s="52">
        <v>507.6</v>
      </c>
      <c r="G3441" s="53">
        <f>Tabla14[[#This Row],[Importe]]-Tabla14[[#This Row],[Pagado]]</f>
        <v>0</v>
      </c>
      <c r="H3441" s="37" t="s">
        <v>10</v>
      </c>
    </row>
    <row r="3442" spans="1:8" x14ac:dyDescent="0.25">
      <c r="A3442" s="31">
        <v>44651</v>
      </c>
      <c r="B3442" s="37" t="s">
        <v>10558</v>
      </c>
      <c r="C3442" s="51" t="s">
        <v>31</v>
      </c>
      <c r="D3442" s="52">
        <v>47.6</v>
      </c>
      <c r="E3442" s="35">
        <v>44651</v>
      </c>
      <c r="F3442" s="52">
        <v>47.6</v>
      </c>
      <c r="G3442" s="53">
        <f>Tabla14[[#This Row],[Importe]]-Tabla14[[#This Row],[Pagado]]</f>
        <v>0</v>
      </c>
      <c r="H3442" s="37" t="s">
        <v>10</v>
      </c>
    </row>
    <row r="3443" spans="1:8" x14ac:dyDescent="0.25">
      <c r="D3443" s="52">
        <v>0</v>
      </c>
      <c r="F3443" s="52">
        <v>0</v>
      </c>
      <c r="G3443" s="53">
        <f>Tabla14[[#This Row],[Importe]]-Tabla14[[#This Row],[Pagado]]</f>
        <v>0</v>
      </c>
    </row>
    <row r="3444" spans="1:8" x14ac:dyDescent="0.25">
      <c r="D3444" s="52">
        <v>0</v>
      </c>
      <c r="F3444" s="52">
        <v>0</v>
      </c>
      <c r="G3444" s="53">
        <f>Tabla14[[#This Row],[Importe]]-Tabla14[[#This Row],[Pagado]]</f>
        <v>0</v>
      </c>
    </row>
    <row r="3445" spans="1:8" ht="16.5" thickBot="1" x14ac:dyDescent="0.3">
      <c r="D3445" s="62">
        <v>0</v>
      </c>
      <c r="E3445" s="63"/>
      <c r="F3445" s="62">
        <v>0</v>
      </c>
      <c r="G3445" s="64">
        <v>0</v>
      </c>
    </row>
    <row r="3446" spans="1:8" ht="19.5" thickTop="1" x14ac:dyDescent="0.3">
      <c r="D3446" s="65">
        <f>SUM(D2:D3445)</f>
        <v>30713527.719999958</v>
      </c>
      <c r="F3446" s="65">
        <f>SUM(F2:F3445)</f>
        <v>30713527.719999958</v>
      </c>
      <c r="G3446" s="66">
        <f>SUM(G2:G3445)</f>
        <v>0</v>
      </c>
    </row>
    <row r="3451" spans="1:8" ht="16.5" thickBot="1" x14ac:dyDescent="0.3"/>
    <row r="3452" spans="1:8" x14ac:dyDescent="0.25">
      <c r="E3452" s="200">
        <f>D3446-F3446</f>
        <v>0</v>
      </c>
      <c r="F3452" s="201"/>
      <c r="G3452" s="206"/>
    </row>
    <row r="3453" spans="1:8" x14ac:dyDescent="0.25">
      <c r="E3453" s="202"/>
      <c r="F3453" s="203"/>
      <c r="G3453" s="206"/>
    </row>
    <row r="3454" spans="1:8" ht="16.5" thickBot="1" x14ac:dyDescent="0.3">
      <c r="E3454" s="204"/>
      <c r="F3454" s="205"/>
      <c r="G3454" s="206"/>
    </row>
  </sheetData>
  <mergeCells count="2">
    <mergeCell ref="E3452:F3454"/>
    <mergeCell ref="G3452:G345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H3382"/>
  <sheetViews>
    <sheetView zoomScale="115" zoomScaleNormal="115" workbookViewId="0">
      <pane xSplit="2" ySplit="1" topLeftCell="D3362" activePane="bottomRight" state="frozen"/>
      <selection pane="topRight" activeCell="C1" sqref="C1"/>
      <selection pane="bottomLeft" activeCell="A2" sqref="A2"/>
      <selection pane="bottomRight" activeCell="D3372" sqref="D3372"/>
    </sheetView>
  </sheetViews>
  <sheetFormatPr baseColWidth="10" defaultRowHeight="15.75" x14ac:dyDescent="0.25"/>
  <cols>
    <col min="1" max="1" width="15.42578125" style="35" customWidth="1"/>
    <col min="2" max="2" width="13" style="85" bestFit="1" customWidth="1"/>
    <col min="3" max="3" width="50.140625" style="86" bestFit="1" customWidth="1"/>
    <col min="4" max="4" width="20.42578125" style="87" customWidth="1"/>
    <col min="5" max="5" width="17.5703125" style="35" customWidth="1"/>
    <col min="6" max="6" width="20.7109375" style="87" customWidth="1"/>
    <col min="7" max="7" width="21.140625" style="91" customWidth="1"/>
    <col min="8" max="8" width="21" style="89" customWidth="1"/>
    <col min="9" max="16384" width="11.42578125" style="86"/>
  </cols>
  <sheetData>
    <row r="1" spans="1:8" x14ac:dyDescent="0.25">
      <c r="A1" s="35" t="s">
        <v>0</v>
      </c>
      <c r="B1" s="85" t="s">
        <v>1</v>
      </c>
      <c r="C1" s="86" t="s">
        <v>2</v>
      </c>
      <c r="D1" s="87" t="s">
        <v>3</v>
      </c>
      <c r="E1" s="35" t="s">
        <v>4</v>
      </c>
      <c r="F1" s="87" t="s">
        <v>5</v>
      </c>
      <c r="G1" s="88" t="s">
        <v>6</v>
      </c>
      <c r="H1" s="89" t="s">
        <v>7</v>
      </c>
    </row>
    <row r="2" spans="1:8" ht="21.75" customHeight="1" x14ac:dyDescent="0.25">
      <c r="A2" s="35">
        <v>44652</v>
      </c>
      <c r="B2" s="90" t="s">
        <v>10571</v>
      </c>
      <c r="C2" s="41" t="s">
        <v>31</v>
      </c>
      <c r="D2" s="87">
        <v>4960.8</v>
      </c>
      <c r="E2" s="35">
        <v>44652</v>
      </c>
      <c r="F2" s="87">
        <v>4960.8</v>
      </c>
      <c r="G2" s="91">
        <f>Tabla15[[#This Row],[Importe]]-Tabla15[[#This Row],[Pagado]]</f>
        <v>0</v>
      </c>
      <c r="H2" s="92" t="s">
        <v>10</v>
      </c>
    </row>
    <row r="3" spans="1:8" ht="21.75" customHeight="1" x14ac:dyDescent="0.25">
      <c r="A3" s="35">
        <v>44652</v>
      </c>
      <c r="B3" s="90" t="s">
        <v>10572</v>
      </c>
      <c r="C3" s="41" t="s">
        <v>31</v>
      </c>
      <c r="D3" s="87">
        <v>1016.8</v>
      </c>
      <c r="E3" s="35">
        <v>44652</v>
      </c>
      <c r="F3" s="87">
        <v>1016.8</v>
      </c>
      <c r="G3" s="91">
        <f>Tabla15[[#This Row],[Importe]]-Tabla15[[#This Row],[Pagado]]</f>
        <v>0</v>
      </c>
      <c r="H3" s="92" t="s">
        <v>10</v>
      </c>
    </row>
    <row r="4" spans="1:8" ht="21.75" customHeight="1" x14ac:dyDescent="0.25">
      <c r="A4" s="35">
        <v>44652</v>
      </c>
      <c r="B4" s="90" t="s">
        <v>10573</v>
      </c>
      <c r="C4" s="41" t="s">
        <v>481</v>
      </c>
      <c r="D4" s="87">
        <v>868.3</v>
      </c>
      <c r="E4" s="35">
        <v>44652</v>
      </c>
      <c r="F4" s="87">
        <v>868.3</v>
      </c>
      <c r="G4" s="91">
        <f>Tabla15[[#This Row],[Importe]]-Tabla15[[#This Row],[Pagado]]</f>
        <v>0</v>
      </c>
      <c r="H4" s="92" t="s">
        <v>10</v>
      </c>
    </row>
    <row r="5" spans="1:8" ht="31.5" x14ac:dyDescent="0.25">
      <c r="A5" s="35">
        <v>44652</v>
      </c>
      <c r="B5" s="90" t="s">
        <v>10574</v>
      </c>
      <c r="C5" s="41" t="s">
        <v>475</v>
      </c>
      <c r="D5" s="87">
        <v>43511</v>
      </c>
      <c r="E5" s="35" t="s">
        <v>10575</v>
      </c>
      <c r="F5" s="87">
        <f>35000+8511</f>
        <v>43511</v>
      </c>
      <c r="G5" s="91">
        <f>Tabla15[[#This Row],[Importe]]-Tabla15[[#This Row],[Pagado]]</f>
        <v>0</v>
      </c>
      <c r="H5" s="92" t="s">
        <v>10</v>
      </c>
    </row>
    <row r="6" spans="1:8" ht="21.75" customHeight="1" x14ac:dyDescent="0.25">
      <c r="A6" s="35">
        <v>44652</v>
      </c>
      <c r="B6" s="90" t="s">
        <v>10576</v>
      </c>
      <c r="C6" s="41" t="s">
        <v>31</v>
      </c>
      <c r="D6" s="87">
        <v>372.6</v>
      </c>
      <c r="E6" s="35">
        <v>44652</v>
      </c>
      <c r="F6" s="87">
        <v>372.6</v>
      </c>
      <c r="G6" s="91">
        <f>Tabla15[[#This Row],[Importe]]-Tabla15[[#This Row],[Pagado]]</f>
        <v>0</v>
      </c>
      <c r="H6" s="92" t="s">
        <v>10</v>
      </c>
    </row>
    <row r="7" spans="1:8" ht="21.75" customHeight="1" x14ac:dyDescent="0.25">
      <c r="A7" s="35">
        <v>44652</v>
      </c>
      <c r="B7" s="90" t="s">
        <v>10577</v>
      </c>
      <c r="C7" s="41" t="s">
        <v>83</v>
      </c>
      <c r="D7" s="87">
        <v>10343.6</v>
      </c>
      <c r="E7" s="35">
        <v>44652</v>
      </c>
      <c r="F7" s="87">
        <v>10343.6</v>
      </c>
      <c r="G7" s="91">
        <f>Tabla15[[#This Row],[Importe]]-Tabla15[[#This Row],[Pagado]]</f>
        <v>0</v>
      </c>
      <c r="H7" s="92" t="s">
        <v>10</v>
      </c>
    </row>
    <row r="8" spans="1:8" ht="21.75" customHeight="1" x14ac:dyDescent="0.25">
      <c r="A8" s="35">
        <v>44652</v>
      </c>
      <c r="B8" s="90" t="s">
        <v>10578</v>
      </c>
      <c r="C8" s="41" t="s">
        <v>79</v>
      </c>
      <c r="D8" s="87">
        <v>13828.6</v>
      </c>
      <c r="E8" s="35">
        <v>44652</v>
      </c>
      <c r="F8" s="87">
        <v>13828.6</v>
      </c>
      <c r="G8" s="91">
        <f>Tabla15[[#This Row],[Importe]]-Tabla15[[#This Row],[Pagado]]</f>
        <v>0</v>
      </c>
      <c r="H8" s="92" t="s">
        <v>10</v>
      </c>
    </row>
    <row r="9" spans="1:8" ht="21.75" customHeight="1" x14ac:dyDescent="0.25">
      <c r="A9" s="35">
        <v>44652</v>
      </c>
      <c r="B9" s="90" t="s">
        <v>10579</v>
      </c>
      <c r="C9" s="41" t="s">
        <v>314</v>
      </c>
      <c r="D9" s="87">
        <v>2624.4</v>
      </c>
      <c r="E9" s="35">
        <v>44652</v>
      </c>
      <c r="F9" s="87">
        <v>2624.4</v>
      </c>
      <c r="G9" s="91">
        <f>Tabla15[[#This Row],[Importe]]-Tabla15[[#This Row],[Pagado]]</f>
        <v>0</v>
      </c>
      <c r="H9" s="92" t="s">
        <v>10</v>
      </c>
    </row>
    <row r="10" spans="1:8" ht="21.75" customHeight="1" x14ac:dyDescent="0.25">
      <c r="A10" s="35">
        <v>44652</v>
      </c>
      <c r="B10" s="90" t="s">
        <v>10580</v>
      </c>
      <c r="C10" s="41" t="s">
        <v>9</v>
      </c>
      <c r="D10" s="87">
        <v>5907</v>
      </c>
      <c r="E10" s="35">
        <v>44652</v>
      </c>
      <c r="F10" s="87">
        <v>5907</v>
      </c>
      <c r="G10" s="91">
        <f>Tabla15[[#This Row],[Importe]]-Tabla15[[#This Row],[Pagado]]</f>
        <v>0</v>
      </c>
      <c r="H10" s="92" t="s">
        <v>10</v>
      </c>
    </row>
    <row r="11" spans="1:8" ht="21.75" customHeight="1" x14ac:dyDescent="0.25">
      <c r="A11" s="35">
        <v>44652</v>
      </c>
      <c r="B11" s="90" t="s">
        <v>10581</v>
      </c>
      <c r="C11" s="41" t="s">
        <v>109</v>
      </c>
      <c r="D11" s="87">
        <v>4630</v>
      </c>
      <c r="E11" s="35">
        <v>44653</v>
      </c>
      <c r="F11" s="87">
        <v>4630</v>
      </c>
      <c r="G11" s="91">
        <f>Tabla15[[#This Row],[Importe]]-Tabla15[[#This Row],[Pagado]]</f>
        <v>0</v>
      </c>
      <c r="H11" s="92" t="s">
        <v>10</v>
      </c>
    </row>
    <row r="12" spans="1:8" ht="21.75" customHeight="1" x14ac:dyDescent="0.25">
      <c r="A12" s="35">
        <v>44652</v>
      </c>
      <c r="B12" s="90" t="s">
        <v>10582</v>
      </c>
      <c r="C12" s="41" t="s">
        <v>89</v>
      </c>
      <c r="D12" s="87">
        <v>5480</v>
      </c>
      <c r="E12" s="35">
        <v>44653</v>
      </c>
      <c r="F12" s="87">
        <v>5480</v>
      </c>
      <c r="G12" s="91">
        <f>Tabla15[[#This Row],[Importe]]-Tabla15[[#This Row],[Pagado]]</f>
        <v>0</v>
      </c>
      <c r="H12" s="92" t="s">
        <v>10</v>
      </c>
    </row>
    <row r="13" spans="1:8" ht="21.75" customHeight="1" x14ac:dyDescent="0.25">
      <c r="A13" s="35">
        <v>44652</v>
      </c>
      <c r="B13" s="90" t="s">
        <v>10583</v>
      </c>
      <c r="C13" s="41" t="s">
        <v>5043</v>
      </c>
      <c r="D13" s="87">
        <v>4560.3999999999996</v>
      </c>
      <c r="E13" s="35">
        <v>44653</v>
      </c>
      <c r="F13" s="87">
        <v>4560.3999999999996</v>
      </c>
      <c r="G13" s="91">
        <f>Tabla15[[#This Row],[Importe]]-Tabla15[[#This Row],[Pagado]]</f>
        <v>0</v>
      </c>
      <c r="H13" s="92" t="s">
        <v>10</v>
      </c>
    </row>
    <row r="14" spans="1:8" ht="21.75" customHeight="1" x14ac:dyDescent="0.25">
      <c r="A14" s="35">
        <v>44652</v>
      </c>
      <c r="B14" s="90" t="s">
        <v>10584</v>
      </c>
      <c r="C14" s="41" t="s">
        <v>111</v>
      </c>
      <c r="D14" s="87">
        <v>4230</v>
      </c>
      <c r="E14" s="35">
        <v>44653</v>
      </c>
      <c r="F14" s="87">
        <v>4230</v>
      </c>
      <c r="G14" s="91">
        <f>Tabla15[[#This Row],[Importe]]-Tabla15[[#This Row],[Pagado]]</f>
        <v>0</v>
      </c>
      <c r="H14" s="92" t="s">
        <v>10</v>
      </c>
    </row>
    <row r="15" spans="1:8" ht="21.75" customHeight="1" x14ac:dyDescent="0.25">
      <c r="A15" s="35">
        <v>44652</v>
      </c>
      <c r="B15" s="90" t="s">
        <v>10585</v>
      </c>
      <c r="C15" s="41" t="s">
        <v>10586</v>
      </c>
      <c r="D15" s="87">
        <v>4095</v>
      </c>
      <c r="E15" s="35">
        <v>44652</v>
      </c>
      <c r="F15" s="87">
        <v>4095</v>
      </c>
      <c r="G15" s="91">
        <f>Tabla15[[#This Row],[Importe]]-Tabla15[[#This Row],[Pagado]]</f>
        <v>0</v>
      </c>
      <c r="H15" s="92" t="s">
        <v>10</v>
      </c>
    </row>
    <row r="16" spans="1:8" ht="21.75" customHeight="1" x14ac:dyDescent="0.25">
      <c r="A16" s="35">
        <v>44652</v>
      </c>
      <c r="B16" s="90" t="s">
        <v>10587</v>
      </c>
      <c r="C16" s="41" t="s">
        <v>60</v>
      </c>
      <c r="D16" s="87">
        <v>3437.2</v>
      </c>
      <c r="E16" s="35">
        <v>44653</v>
      </c>
      <c r="F16" s="87">
        <v>3437.2</v>
      </c>
      <c r="G16" s="91">
        <f>Tabla15[[#This Row],[Importe]]-Tabla15[[#This Row],[Pagado]]</f>
        <v>0</v>
      </c>
      <c r="H16" s="92" t="s">
        <v>10</v>
      </c>
    </row>
    <row r="17" spans="1:8" ht="21.75" customHeight="1" x14ac:dyDescent="0.25">
      <c r="A17" s="35">
        <v>44652</v>
      </c>
      <c r="B17" s="90" t="s">
        <v>10588</v>
      </c>
      <c r="C17" s="41" t="s">
        <v>326</v>
      </c>
      <c r="D17" s="87">
        <v>5045</v>
      </c>
      <c r="E17" s="35">
        <v>44653</v>
      </c>
      <c r="F17" s="87">
        <v>5045</v>
      </c>
      <c r="G17" s="91">
        <f>Tabla15[[#This Row],[Importe]]-Tabla15[[#This Row],[Pagado]]</f>
        <v>0</v>
      </c>
      <c r="H17" s="92" t="s">
        <v>10</v>
      </c>
    </row>
    <row r="18" spans="1:8" ht="21.75" customHeight="1" x14ac:dyDescent="0.25">
      <c r="A18" s="35">
        <v>44652</v>
      </c>
      <c r="B18" s="90" t="s">
        <v>10589</v>
      </c>
      <c r="C18" s="41" t="s">
        <v>93</v>
      </c>
      <c r="D18" s="87">
        <v>8650</v>
      </c>
      <c r="E18" s="35">
        <v>44653</v>
      </c>
      <c r="F18" s="87">
        <v>8650</v>
      </c>
      <c r="G18" s="91">
        <f>Tabla15[[#This Row],[Importe]]-Tabla15[[#This Row],[Pagado]]</f>
        <v>0</v>
      </c>
      <c r="H18" s="92" t="s">
        <v>10</v>
      </c>
    </row>
    <row r="19" spans="1:8" ht="21.75" customHeight="1" x14ac:dyDescent="0.25">
      <c r="A19" s="35">
        <v>44652</v>
      </c>
      <c r="B19" s="90" t="s">
        <v>10590</v>
      </c>
      <c r="C19" s="41" t="s">
        <v>87</v>
      </c>
      <c r="D19" s="87">
        <v>3574</v>
      </c>
      <c r="E19" s="35">
        <v>44652</v>
      </c>
      <c r="F19" s="87">
        <v>3574</v>
      </c>
      <c r="G19" s="91">
        <f>Tabla15[[#This Row],[Importe]]-Tabla15[[#This Row],[Pagado]]</f>
        <v>0</v>
      </c>
      <c r="H19" s="92" t="s">
        <v>10</v>
      </c>
    </row>
    <row r="20" spans="1:8" ht="21.75" customHeight="1" x14ac:dyDescent="0.25">
      <c r="A20" s="35">
        <v>44652</v>
      </c>
      <c r="B20" s="90" t="s">
        <v>10591</v>
      </c>
      <c r="C20" s="41" t="s">
        <v>39</v>
      </c>
      <c r="D20" s="87">
        <v>15446.4</v>
      </c>
      <c r="E20" s="35">
        <v>44653</v>
      </c>
      <c r="F20" s="87">
        <v>15446.4</v>
      </c>
      <c r="G20" s="91">
        <f>Tabla15[[#This Row],[Importe]]-Tabla15[[#This Row],[Pagado]]</f>
        <v>0</v>
      </c>
      <c r="H20" s="92" t="s">
        <v>10</v>
      </c>
    </row>
    <row r="21" spans="1:8" ht="21.75" customHeight="1" x14ac:dyDescent="0.25">
      <c r="A21" s="35">
        <v>44652</v>
      </c>
      <c r="B21" s="90" t="s">
        <v>10592</v>
      </c>
      <c r="C21" s="41" t="s">
        <v>64</v>
      </c>
      <c r="D21" s="87">
        <v>9471.7999999999993</v>
      </c>
      <c r="E21" s="35">
        <v>44653</v>
      </c>
      <c r="F21" s="87">
        <v>9471.7999999999993</v>
      </c>
      <c r="G21" s="91">
        <f>Tabla15[[#This Row],[Importe]]-Tabla15[[#This Row],[Pagado]]</f>
        <v>0</v>
      </c>
      <c r="H21" s="92" t="s">
        <v>10</v>
      </c>
    </row>
    <row r="22" spans="1:8" ht="21.75" customHeight="1" x14ac:dyDescent="0.25">
      <c r="A22" s="35">
        <v>44652</v>
      </c>
      <c r="B22" s="90" t="s">
        <v>10593</v>
      </c>
      <c r="C22" s="41" t="s">
        <v>345</v>
      </c>
      <c r="D22" s="87">
        <v>534.6</v>
      </c>
      <c r="E22" s="35">
        <v>44652</v>
      </c>
      <c r="F22" s="87">
        <v>534.6</v>
      </c>
      <c r="G22" s="91">
        <f>Tabla15[[#This Row],[Importe]]-Tabla15[[#This Row],[Pagado]]</f>
        <v>0</v>
      </c>
      <c r="H22" s="92" t="s">
        <v>10</v>
      </c>
    </row>
    <row r="23" spans="1:8" ht="21.75" customHeight="1" x14ac:dyDescent="0.25">
      <c r="A23" s="35">
        <v>44652</v>
      </c>
      <c r="B23" s="90" t="s">
        <v>10594</v>
      </c>
      <c r="C23" s="41" t="s">
        <v>97</v>
      </c>
      <c r="D23" s="87">
        <v>2343.6999999999998</v>
      </c>
      <c r="E23" s="35">
        <v>44652</v>
      </c>
      <c r="F23" s="87">
        <v>2343.6999999999998</v>
      </c>
      <c r="G23" s="91">
        <f>Tabla15[[#This Row],[Importe]]-Tabla15[[#This Row],[Pagado]]</f>
        <v>0</v>
      </c>
      <c r="H23" s="92" t="s">
        <v>10</v>
      </c>
    </row>
    <row r="24" spans="1:8" ht="21.75" customHeight="1" x14ac:dyDescent="0.25">
      <c r="A24" s="35">
        <v>44652</v>
      </c>
      <c r="B24" s="90" t="s">
        <v>10595</v>
      </c>
      <c r="C24" s="41" t="s">
        <v>31</v>
      </c>
      <c r="D24" s="87">
        <v>781.2</v>
      </c>
      <c r="E24" s="35">
        <v>44652</v>
      </c>
      <c r="F24" s="87">
        <v>781.2</v>
      </c>
      <c r="G24" s="91">
        <f>Tabla15[[#This Row],[Importe]]-Tabla15[[#This Row],[Pagado]]</f>
        <v>0</v>
      </c>
      <c r="H24" s="92" t="s">
        <v>10</v>
      </c>
    </row>
    <row r="25" spans="1:8" ht="21.75" customHeight="1" x14ac:dyDescent="0.25">
      <c r="A25" s="35">
        <v>44652</v>
      </c>
      <c r="B25" s="90" t="s">
        <v>10596</v>
      </c>
      <c r="C25" s="41" t="s">
        <v>114</v>
      </c>
      <c r="D25" s="87">
        <v>4863.5</v>
      </c>
      <c r="E25" s="35">
        <v>44653</v>
      </c>
      <c r="F25" s="87">
        <v>4863.5</v>
      </c>
      <c r="G25" s="91">
        <f>Tabla15[[#This Row],[Importe]]-Tabla15[[#This Row],[Pagado]]</f>
        <v>0</v>
      </c>
      <c r="H25" s="92" t="s">
        <v>10</v>
      </c>
    </row>
    <row r="26" spans="1:8" ht="21.75" customHeight="1" x14ac:dyDescent="0.25">
      <c r="A26" s="35">
        <v>44652</v>
      </c>
      <c r="B26" s="90" t="s">
        <v>10597</v>
      </c>
      <c r="C26" s="41" t="s">
        <v>348</v>
      </c>
      <c r="D26" s="87">
        <v>2956</v>
      </c>
      <c r="E26" s="35">
        <v>44652</v>
      </c>
      <c r="F26" s="87">
        <v>2956</v>
      </c>
      <c r="G26" s="91">
        <f>Tabla15[[#This Row],[Importe]]-Tabla15[[#This Row],[Pagado]]</f>
        <v>0</v>
      </c>
      <c r="H26" s="92" t="s">
        <v>10</v>
      </c>
    </row>
    <row r="27" spans="1:8" ht="21.75" customHeight="1" x14ac:dyDescent="0.25">
      <c r="A27" s="35">
        <v>44652</v>
      </c>
      <c r="B27" s="90" t="s">
        <v>10598</v>
      </c>
      <c r="C27" s="41" t="s">
        <v>105</v>
      </c>
      <c r="D27" s="87">
        <v>7903.6</v>
      </c>
      <c r="E27" s="35">
        <v>44653</v>
      </c>
      <c r="F27" s="87">
        <v>7903.6</v>
      </c>
      <c r="G27" s="91">
        <f>Tabla15[[#This Row],[Importe]]-Tabla15[[#This Row],[Pagado]]</f>
        <v>0</v>
      </c>
      <c r="H27" s="92" t="s">
        <v>10</v>
      </c>
    </row>
    <row r="28" spans="1:8" ht="21.75" customHeight="1" x14ac:dyDescent="0.25">
      <c r="A28" s="35">
        <v>44652</v>
      </c>
      <c r="B28" s="90" t="s">
        <v>10599</v>
      </c>
      <c r="C28" s="41" t="s">
        <v>131</v>
      </c>
      <c r="D28" s="87">
        <v>18046.5</v>
      </c>
      <c r="E28" s="35">
        <v>44652</v>
      </c>
      <c r="F28" s="87">
        <v>18046.5</v>
      </c>
      <c r="G28" s="91">
        <f>Tabla15[[#This Row],[Importe]]-Tabla15[[#This Row],[Pagado]]</f>
        <v>0</v>
      </c>
      <c r="H28" s="92" t="s">
        <v>10</v>
      </c>
    </row>
    <row r="29" spans="1:8" ht="21.75" customHeight="1" x14ac:dyDescent="0.25">
      <c r="A29" s="35">
        <v>44652</v>
      </c>
      <c r="B29" s="90" t="s">
        <v>10600</v>
      </c>
      <c r="C29" s="41" t="s">
        <v>2151</v>
      </c>
      <c r="D29" s="87">
        <v>26562</v>
      </c>
      <c r="E29" s="35">
        <v>44652</v>
      </c>
      <c r="F29" s="87">
        <v>26562</v>
      </c>
      <c r="G29" s="91">
        <f>Tabla15[[#This Row],[Importe]]-Tabla15[[#This Row],[Pagado]]</f>
        <v>0</v>
      </c>
      <c r="H29" s="92" t="s">
        <v>10</v>
      </c>
    </row>
    <row r="30" spans="1:8" ht="21.75" customHeight="1" x14ac:dyDescent="0.25">
      <c r="A30" s="35">
        <v>44652</v>
      </c>
      <c r="B30" s="90" t="s">
        <v>10601</v>
      </c>
      <c r="C30" s="41" t="s">
        <v>95</v>
      </c>
      <c r="D30" s="87">
        <v>15169.8</v>
      </c>
      <c r="E30" s="35">
        <v>44652</v>
      </c>
      <c r="F30" s="87">
        <v>15169.8</v>
      </c>
      <c r="G30" s="91">
        <f>Tabla15[[#This Row],[Importe]]-Tabla15[[#This Row],[Pagado]]</f>
        <v>0</v>
      </c>
      <c r="H30" s="92" t="s">
        <v>10</v>
      </c>
    </row>
    <row r="31" spans="1:8" ht="21.75" customHeight="1" x14ac:dyDescent="0.25">
      <c r="A31" s="35">
        <v>44652</v>
      </c>
      <c r="B31" s="90" t="s">
        <v>10602</v>
      </c>
      <c r="C31" s="41" t="s">
        <v>12</v>
      </c>
      <c r="D31" s="87">
        <v>29386.85</v>
      </c>
      <c r="E31" s="35">
        <v>44653</v>
      </c>
      <c r="F31" s="87">
        <v>29386.85</v>
      </c>
      <c r="G31" s="91">
        <f>Tabla15[[#This Row],[Importe]]-Tabla15[[#This Row],[Pagado]]</f>
        <v>0</v>
      </c>
      <c r="H31" s="92" t="s">
        <v>10</v>
      </c>
    </row>
    <row r="32" spans="1:8" ht="21.75" customHeight="1" x14ac:dyDescent="0.25">
      <c r="A32" s="35">
        <v>44652</v>
      </c>
      <c r="B32" s="90" t="s">
        <v>10603</v>
      </c>
      <c r="C32" s="41" t="s">
        <v>75</v>
      </c>
      <c r="D32" s="87">
        <v>8380.7999999999993</v>
      </c>
      <c r="E32" s="35">
        <v>44652</v>
      </c>
      <c r="F32" s="87">
        <v>8380.7999999999993</v>
      </c>
      <c r="G32" s="91">
        <f>Tabla15[[#This Row],[Importe]]-Tabla15[[#This Row],[Pagado]]</f>
        <v>0</v>
      </c>
      <c r="H32" s="92" t="s">
        <v>10</v>
      </c>
    </row>
    <row r="33" spans="1:8" ht="21.75" customHeight="1" x14ac:dyDescent="0.25">
      <c r="A33" s="35">
        <v>44652</v>
      </c>
      <c r="B33" s="90" t="s">
        <v>10604</v>
      </c>
      <c r="C33" s="41" t="s">
        <v>135</v>
      </c>
      <c r="D33" s="87">
        <v>1795.6</v>
      </c>
      <c r="E33" s="35">
        <v>44652</v>
      </c>
      <c r="F33" s="87">
        <v>1795.6</v>
      </c>
      <c r="G33" s="91">
        <f>Tabla15[[#This Row],[Importe]]-Tabla15[[#This Row],[Pagado]]</f>
        <v>0</v>
      </c>
      <c r="H33" s="92" t="s">
        <v>10</v>
      </c>
    </row>
    <row r="34" spans="1:8" ht="21.75" customHeight="1" x14ac:dyDescent="0.25">
      <c r="A34" s="35">
        <v>44652</v>
      </c>
      <c r="B34" s="90" t="s">
        <v>10605</v>
      </c>
      <c r="C34" s="41" t="s">
        <v>312</v>
      </c>
      <c r="D34" s="87">
        <v>4974.7</v>
      </c>
      <c r="E34" s="35">
        <v>44652</v>
      </c>
      <c r="F34" s="87">
        <v>4974.7</v>
      </c>
      <c r="G34" s="91">
        <f>Tabla15[[#This Row],[Importe]]-Tabla15[[#This Row],[Pagado]]</f>
        <v>0</v>
      </c>
      <c r="H34" s="92" t="s">
        <v>10</v>
      </c>
    </row>
    <row r="35" spans="1:8" ht="21.75" customHeight="1" x14ac:dyDescent="0.25">
      <c r="A35" s="35">
        <v>44652</v>
      </c>
      <c r="B35" s="90" t="s">
        <v>10606</v>
      </c>
      <c r="C35" s="41" t="s">
        <v>924</v>
      </c>
      <c r="D35" s="87">
        <v>14069.2</v>
      </c>
      <c r="E35" s="35">
        <v>44652</v>
      </c>
      <c r="F35" s="87">
        <v>14069.2</v>
      </c>
      <c r="G35" s="91">
        <f>Tabla15[[#This Row],[Importe]]-Tabla15[[#This Row],[Pagado]]</f>
        <v>0</v>
      </c>
      <c r="H35" s="92" t="s">
        <v>10</v>
      </c>
    </row>
    <row r="36" spans="1:8" ht="21.75" customHeight="1" x14ac:dyDescent="0.25">
      <c r="A36" s="35">
        <v>44652</v>
      </c>
      <c r="B36" s="90" t="s">
        <v>10607</v>
      </c>
      <c r="C36" s="41" t="s">
        <v>35</v>
      </c>
      <c r="D36" s="87">
        <v>2501.3000000000002</v>
      </c>
      <c r="E36" s="35">
        <v>44652</v>
      </c>
      <c r="F36" s="87">
        <v>2501.3000000000002</v>
      </c>
      <c r="G36" s="91">
        <f>Tabla15[[#This Row],[Importe]]-Tabla15[[#This Row],[Pagado]]</f>
        <v>0</v>
      </c>
      <c r="H36" s="92" t="s">
        <v>10</v>
      </c>
    </row>
    <row r="37" spans="1:8" ht="21.75" customHeight="1" x14ac:dyDescent="0.25">
      <c r="A37" s="35">
        <v>44652</v>
      </c>
      <c r="B37" s="90" t="s">
        <v>10608</v>
      </c>
      <c r="C37" s="41" t="s">
        <v>200</v>
      </c>
      <c r="D37" s="87">
        <v>1156.2</v>
      </c>
      <c r="E37" s="35">
        <v>44652</v>
      </c>
      <c r="F37" s="87">
        <v>1156.2</v>
      </c>
      <c r="G37" s="91">
        <f>Tabla15[[#This Row],[Importe]]-Tabla15[[#This Row],[Pagado]]</f>
        <v>0</v>
      </c>
      <c r="H37" s="92" t="s">
        <v>10</v>
      </c>
    </row>
    <row r="38" spans="1:8" ht="21.75" customHeight="1" x14ac:dyDescent="0.25">
      <c r="A38" s="35">
        <v>44652</v>
      </c>
      <c r="B38" s="90" t="s">
        <v>10609</v>
      </c>
      <c r="C38" s="41" t="s">
        <v>230</v>
      </c>
      <c r="D38" s="87">
        <v>1627.2</v>
      </c>
      <c r="E38" s="35">
        <v>44652</v>
      </c>
      <c r="F38" s="87">
        <v>1627.2</v>
      </c>
      <c r="G38" s="91">
        <f>Tabla15[[#This Row],[Importe]]-Tabla15[[#This Row],[Pagado]]</f>
        <v>0</v>
      </c>
      <c r="H38" s="92" t="s">
        <v>10</v>
      </c>
    </row>
    <row r="39" spans="1:8" ht="21.75" customHeight="1" x14ac:dyDescent="0.25">
      <c r="A39" s="35">
        <v>44652</v>
      </c>
      <c r="B39" s="90" t="s">
        <v>10610</v>
      </c>
      <c r="C39" s="41" t="s">
        <v>196</v>
      </c>
      <c r="D39" s="87">
        <v>109475.36</v>
      </c>
      <c r="E39" s="35">
        <v>44652</v>
      </c>
      <c r="F39" s="87">
        <v>109475.36</v>
      </c>
      <c r="G39" s="91">
        <f>Tabla15[[#This Row],[Importe]]-Tabla15[[#This Row],[Pagado]]</f>
        <v>0</v>
      </c>
      <c r="H39" s="92" t="s">
        <v>10</v>
      </c>
    </row>
    <row r="40" spans="1:8" ht="31.5" x14ac:dyDescent="0.25">
      <c r="A40" s="35">
        <v>44652</v>
      </c>
      <c r="B40" s="90" t="s">
        <v>10611</v>
      </c>
      <c r="C40" s="41" t="s">
        <v>22</v>
      </c>
      <c r="D40" s="87">
        <v>23413</v>
      </c>
      <c r="E40" s="35" t="s">
        <v>10612</v>
      </c>
      <c r="F40" s="87">
        <f>15000+8413</f>
        <v>23413</v>
      </c>
      <c r="G40" s="91">
        <f>Tabla15[[#This Row],[Importe]]-Tabla15[[#This Row],[Pagado]]</f>
        <v>0</v>
      </c>
      <c r="H40" s="92" t="s">
        <v>10</v>
      </c>
    </row>
    <row r="41" spans="1:8" ht="21.75" customHeight="1" x14ac:dyDescent="0.25">
      <c r="A41" s="35">
        <v>44652</v>
      </c>
      <c r="B41" s="90" t="s">
        <v>10613</v>
      </c>
      <c r="C41" s="41" t="s">
        <v>125</v>
      </c>
      <c r="D41" s="87">
        <v>4950.2</v>
      </c>
      <c r="E41" s="35">
        <v>44652</v>
      </c>
      <c r="F41" s="87">
        <v>4950.2</v>
      </c>
      <c r="G41" s="91">
        <f>Tabla15[[#This Row],[Importe]]-Tabla15[[#This Row],[Pagado]]</f>
        <v>0</v>
      </c>
      <c r="H41" s="92" t="s">
        <v>10</v>
      </c>
    </row>
    <row r="42" spans="1:8" ht="21.75" customHeight="1" x14ac:dyDescent="0.25">
      <c r="A42" s="35">
        <v>44652</v>
      </c>
      <c r="B42" s="90" t="s">
        <v>10614</v>
      </c>
      <c r="C42" s="41" t="s">
        <v>357</v>
      </c>
      <c r="D42" s="87">
        <v>1318.6</v>
      </c>
      <c r="E42" s="35">
        <v>44652</v>
      </c>
      <c r="F42" s="87">
        <v>1318.6</v>
      </c>
      <c r="G42" s="91">
        <f>Tabla15[[#This Row],[Importe]]-Tabla15[[#This Row],[Pagado]]</f>
        <v>0</v>
      </c>
      <c r="H42" s="92" t="s">
        <v>10</v>
      </c>
    </row>
    <row r="43" spans="1:8" ht="21.75" customHeight="1" x14ac:dyDescent="0.25">
      <c r="A43" s="35">
        <v>44652</v>
      </c>
      <c r="B43" s="90" t="s">
        <v>10615</v>
      </c>
      <c r="C43" s="41" t="s">
        <v>140</v>
      </c>
      <c r="D43" s="87">
        <v>1156.5999999999999</v>
      </c>
      <c r="E43" s="35">
        <v>44652</v>
      </c>
      <c r="F43" s="87">
        <v>1156.5999999999999</v>
      </c>
      <c r="G43" s="91">
        <f>Tabla15[[#This Row],[Importe]]-Tabla15[[#This Row],[Pagado]]</f>
        <v>0</v>
      </c>
      <c r="H43" s="92" t="s">
        <v>10</v>
      </c>
    </row>
    <row r="44" spans="1:8" ht="21.75" customHeight="1" x14ac:dyDescent="0.25">
      <c r="A44" s="35">
        <v>44652</v>
      </c>
      <c r="B44" s="90" t="s">
        <v>10616</v>
      </c>
      <c r="C44" s="41" t="s">
        <v>129</v>
      </c>
      <c r="D44" s="87">
        <v>5307</v>
      </c>
      <c r="E44" s="35">
        <v>44652</v>
      </c>
      <c r="F44" s="87">
        <v>5307</v>
      </c>
      <c r="G44" s="91">
        <f>Tabla15[[#This Row],[Importe]]-Tabla15[[#This Row],[Pagado]]</f>
        <v>0</v>
      </c>
      <c r="H44" s="92" t="s">
        <v>10</v>
      </c>
    </row>
    <row r="45" spans="1:8" ht="21.75" customHeight="1" x14ac:dyDescent="0.25">
      <c r="A45" s="35">
        <v>44652</v>
      </c>
      <c r="B45" s="90" t="s">
        <v>10617</v>
      </c>
      <c r="C45" s="41" t="s">
        <v>127</v>
      </c>
      <c r="D45" s="87">
        <v>1358.2</v>
      </c>
      <c r="E45" s="35">
        <v>44652</v>
      </c>
      <c r="F45" s="87">
        <v>1358.2</v>
      </c>
      <c r="G45" s="91">
        <f>Tabla15[[#This Row],[Importe]]-Tabla15[[#This Row],[Pagado]]</f>
        <v>0</v>
      </c>
      <c r="H45" s="92" t="s">
        <v>10</v>
      </c>
    </row>
    <row r="46" spans="1:8" ht="21.75" customHeight="1" x14ac:dyDescent="0.25">
      <c r="A46" s="35">
        <v>44652</v>
      </c>
      <c r="B46" s="90" t="s">
        <v>10618</v>
      </c>
      <c r="C46" s="41" t="s">
        <v>27</v>
      </c>
      <c r="D46" s="87">
        <v>1722.6</v>
      </c>
      <c r="E46" s="35">
        <v>44652</v>
      </c>
      <c r="F46" s="87">
        <v>1722.6</v>
      </c>
      <c r="G46" s="91">
        <f>Tabla15[[#This Row],[Importe]]-Tabla15[[#This Row],[Pagado]]</f>
        <v>0</v>
      </c>
      <c r="H46" s="92" t="s">
        <v>10</v>
      </c>
    </row>
    <row r="47" spans="1:8" ht="21.75" customHeight="1" x14ac:dyDescent="0.25">
      <c r="A47" s="35">
        <v>44652</v>
      </c>
      <c r="B47" s="90" t="s">
        <v>10619</v>
      </c>
      <c r="C47" s="41" t="s">
        <v>142</v>
      </c>
      <c r="D47" s="87">
        <v>40594.699999999997</v>
      </c>
      <c r="E47" s="35">
        <v>44670</v>
      </c>
      <c r="F47" s="87">
        <v>40594.699999999997</v>
      </c>
      <c r="G47" s="91">
        <f>Tabla15[[#This Row],[Importe]]-Tabla15[[#This Row],[Pagado]]</f>
        <v>0</v>
      </c>
      <c r="H47" s="92" t="s">
        <v>10</v>
      </c>
    </row>
    <row r="48" spans="1:8" ht="21.75" customHeight="1" x14ac:dyDescent="0.25">
      <c r="A48" s="35">
        <v>44652</v>
      </c>
      <c r="B48" s="90" t="s">
        <v>10620</v>
      </c>
      <c r="C48" s="41" t="s">
        <v>426</v>
      </c>
      <c r="D48" s="87">
        <v>5405.9</v>
      </c>
      <c r="E48" s="35">
        <v>44652</v>
      </c>
      <c r="F48" s="87">
        <v>5405.9</v>
      </c>
      <c r="G48" s="91">
        <f>Tabla15[[#This Row],[Importe]]-Tabla15[[#This Row],[Pagado]]</f>
        <v>0</v>
      </c>
      <c r="H48" s="92" t="s">
        <v>10</v>
      </c>
    </row>
    <row r="49" spans="1:8" ht="21.75" customHeight="1" x14ac:dyDescent="0.25">
      <c r="A49" s="35">
        <v>44652</v>
      </c>
      <c r="B49" s="90" t="s">
        <v>10621</v>
      </c>
      <c r="C49" s="41" t="s">
        <v>804</v>
      </c>
      <c r="D49" s="87">
        <v>14522.4</v>
      </c>
      <c r="E49" s="35">
        <v>44652</v>
      </c>
      <c r="F49" s="87">
        <v>14522.4</v>
      </c>
      <c r="G49" s="91">
        <f>Tabla15[[#This Row],[Importe]]-Tabla15[[#This Row],[Pagado]]</f>
        <v>0</v>
      </c>
      <c r="H49" s="92" t="s">
        <v>10</v>
      </c>
    </row>
    <row r="50" spans="1:8" ht="21.75" customHeight="1" x14ac:dyDescent="0.25">
      <c r="A50" s="35">
        <v>44652</v>
      </c>
      <c r="B50" s="90" t="s">
        <v>10622</v>
      </c>
      <c r="C50" s="41" t="s">
        <v>373</v>
      </c>
      <c r="D50" s="87">
        <v>2118</v>
      </c>
      <c r="E50" s="35">
        <v>44652</v>
      </c>
      <c r="F50" s="87">
        <v>2118</v>
      </c>
      <c r="G50" s="91">
        <f>Tabla15[[#This Row],[Importe]]-Tabla15[[#This Row],[Pagado]]</f>
        <v>0</v>
      </c>
      <c r="H50" s="92" t="s">
        <v>10</v>
      </c>
    </row>
    <row r="51" spans="1:8" ht="21.75" customHeight="1" x14ac:dyDescent="0.25">
      <c r="A51" s="35">
        <v>44652</v>
      </c>
      <c r="B51" s="90" t="s">
        <v>10623</v>
      </c>
      <c r="C51" s="41" t="s">
        <v>53</v>
      </c>
      <c r="D51" s="87">
        <v>2141.5</v>
      </c>
      <c r="E51" s="35">
        <v>44652</v>
      </c>
      <c r="F51" s="87">
        <v>2141.5</v>
      </c>
      <c r="G51" s="91">
        <f>Tabla15[[#This Row],[Importe]]-Tabla15[[#This Row],[Pagado]]</f>
        <v>0</v>
      </c>
      <c r="H51" s="92" t="s">
        <v>10</v>
      </c>
    </row>
    <row r="52" spans="1:8" ht="21.75" customHeight="1" x14ac:dyDescent="0.25">
      <c r="A52" s="35">
        <v>44652</v>
      </c>
      <c r="B52" s="90" t="s">
        <v>10624</v>
      </c>
      <c r="C52" s="41" t="s">
        <v>263</v>
      </c>
      <c r="D52" s="87">
        <v>83482.100000000006</v>
      </c>
      <c r="E52" s="35">
        <v>44652</v>
      </c>
      <c r="F52" s="87">
        <v>83482.100000000006</v>
      </c>
      <c r="G52" s="91">
        <f>Tabla15[[#This Row],[Importe]]-Tabla15[[#This Row],[Pagado]]</f>
        <v>0</v>
      </c>
      <c r="H52" s="92" t="s">
        <v>10</v>
      </c>
    </row>
    <row r="53" spans="1:8" ht="21.75" customHeight="1" x14ac:dyDescent="0.25">
      <c r="A53" s="35">
        <v>44652</v>
      </c>
      <c r="B53" s="90" t="s">
        <v>10625</v>
      </c>
      <c r="C53" s="41" t="s">
        <v>348</v>
      </c>
      <c r="D53" s="87">
        <v>2483.6</v>
      </c>
      <c r="E53" s="35">
        <v>44652</v>
      </c>
      <c r="F53" s="87">
        <v>2483.6</v>
      </c>
      <c r="G53" s="91">
        <f>Tabla15[[#This Row],[Importe]]-Tabla15[[#This Row],[Pagado]]</f>
        <v>0</v>
      </c>
      <c r="H53" s="92" t="s">
        <v>10</v>
      </c>
    </row>
    <row r="54" spans="1:8" ht="21.75" customHeight="1" x14ac:dyDescent="0.25">
      <c r="A54" s="35">
        <v>44652</v>
      </c>
      <c r="B54" s="90" t="s">
        <v>10626</v>
      </c>
      <c r="C54" s="41" t="s">
        <v>37</v>
      </c>
      <c r="D54" s="87">
        <v>3072.1</v>
      </c>
      <c r="E54" s="35">
        <v>44652</v>
      </c>
      <c r="F54" s="87">
        <v>3072.1</v>
      </c>
      <c r="G54" s="91">
        <f>Tabla15[[#This Row],[Importe]]-Tabla15[[#This Row],[Pagado]]</f>
        <v>0</v>
      </c>
      <c r="H54" s="92" t="s">
        <v>10</v>
      </c>
    </row>
    <row r="55" spans="1:8" ht="21.75" customHeight="1" x14ac:dyDescent="0.25">
      <c r="A55" s="35">
        <v>44652</v>
      </c>
      <c r="B55" s="90" t="s">
        <v>10627</v>
      </c>
      <c r="C55" s="41" t="s">
        <v>224</v>
      </c>
      <c r="D55" s="87">
        <v>296.8</v>
      </c>
      <c r="E55" s="35">
        <v>44652</v>
      </c>
      <c r="F55" s="87">
        <v>296.8</v>
      </c>
      <c r="G55" s="91">
        <f>Tabla15[[#This Row],[Importe]]-Tabla15[[#This Row],[Pagado]]</f>
        <v>0</v>
      </c>
      <c r="H55" s="92" t="s">
        <v>10</v>
      </c>
    </row>
    <row r="56" spans="1:8" ht="21.75" customHeight="1" x14ac:dyDescent="0.25">
      <c r="A56" s="35">
        <v>44652</v>
      </c>
      <c r="B56" s="90" t="s">
        <v>10628</v>
      </c>
      <c r="C56" s="41" t="s">
        <v>2114</v>
      </c>
      <c r="D56" s="87">
        <v>1630.8</v>
      </c>
      <c r="E56" s="35">
        <v>44652</v>
      </c>
      <c r="F56" s="87">
        <v>1630.8</v>
      </c>
      <c r="G56" s="91">
        <f>Tabla15[[#This Row],[Importe]]-Tabla15[[#This Row],[Pagado]]</f>
        <v>0</v>
      </c>
      <c r="H56" s="92" t="s">
        <v>10</v>
      </c>
    </row>
    <row r="57" spans="1:8" ht="21.75" customHeight="1" x14ac:dyDescent="0.25">
      <c r="A57" s="35">
        <v>44652</v>
      </c>
      <c r="B57" s="90" t="s">
        <v>10629</v>
      </c>
      <c r="C57" s="41" t="s">
        <v>2114</v>
      </c>
      <c r="D57" s="87">
        <v>352.8</v>
      </c>
      <c r="E57" s="35">
        <v>44652</v>
      </c>
      <c r="F57" s="87">
        <v>352.8</v>
      </c>
      <c r="G57" s="91">
        <f>Tabla15[[#This Row],[Importe]]-Tabla15[[#This Row],[Pagado]]</f>
        <v>0</v>
      </c>
      <c r="H57" s="92" t="s">
        <v>10</v>
      </c>
    </row>
    <row r="58" spans="1:8" ht="21.75" customHeight="1" x14ac:dyDescent="0.25">
      <c r="A58" s="35">
        <v>44652</v>
      </c>
      <c r="B58" s="90" t="s">
        <v>10630</v>
      </c>
      <c r="C58" s="41" t="s">
        <v>2020</v>
      </c>
      <c r="D58" s="87">
        <v>6936</v>
      </c>
      <c r="E58" s="35">
        <v>44652</v>
      </c>
      <c r="F58" s="87">
        <v>6936</v>
      </c>
      <c r="G58" s="91">
        <f>Tabla15[[#This Row],[Importe]]-Tabla15[[#This Row],[Pagado]]</f>
        <v>0</v>
      </c>
      <c r="H58" s="92" t="s">
        <v>10</v>
      </c>
    </row>
    <row r="59" spans="1:8" ht="21.75" customHeight="1" x14ac:dyDescent="0.25">
      <c r="A59" s="35">
        <v>44652</v>
      </c>
      <c r="B59" s="90" t="s">
        <v>10631</v>
      </c>
      <c r="C59" s="41" t="s">
        <v>45</v>
      </c>
      <c r="D59" s="87">
        <v>12822.8</v>
      </c>
      <c r="E59" s="35">
        <v>44652</v>
      </c>
      <c r="F59" s="87">
        <v>12822.8</v>
      </c>
      <c r="G59" s="91">
        <f>Tabla15[[#This Row],[Importe]]-Tabla15[[#This Row],[Pagado]]</f>
        <v>0</v>
      </c>
      <c r="H59" s="92" t="s">
        <v>10</v>
      </c>
    </row>
    <row r="60" spans="1:8" ht="21.75" customHeight="1" x14ac:dyDescent="0.25">
      <c r="A60" s="35">
        <v>44652</v>
      </c>
      <c r="B60" s="90" t="s">
        <v>10632</v>
      </c>
      <c r="C60" s="41" t="s">
        <v>181</v>
      </c>
      <c r="D60" s="87">
        <v>10530.8</v>
      </c>
      <c r="E60" s="35">
        <v>44652</v>
      </c>
      <c r="F60" s="87">
        <v>10530.8</v>
      </c>
      <c r="G60" s="91">
        <f>Tabla15[[#This Row],[Importe]]-Tabla15[[#This Row],[Pagado]]</f>
        <v>0</v>
      </c>
      <c r="H60" s="92" t="s">
        <v>10</v>
      </c>
    </row>
    <row r="61" spans="1:8" ht="21.75" customHeight="1" x14ac:dyDescent="0.25">
      <c r="A61" s="35">
        <v>44652</v>
      </c>
      <c r="B61" s="90" t="s">
        <v>10633</v>
      </c>
      <c r="C61" s="41" t="s">
        <v>85</v>
      </c>
      <c r="D61" s="87">
        <v>627.74</v>
      </c>
      <c r="E61" s="35">
        <v>44652</v>
      </c>
      <c r="F61" s="87">
        <v>627.74</v>
      </c>
      <c r="G61" s="91">
        <f>Tabla15[[#This Row],[Importe]]-Tabla15[[#This Row],[Pagado]]</f>
        <v>0</v>
      </c>
      <c r="H61" s="92" t="s">
        <v>10</v>
      </c>
    </row>
    <row r="62" spans="1:8" ht="21.75" customHeight="1" x14ac:dyDescent="0.25">
      <c r="A62" s="35">
        <v>44652</v>
      </c>
      <c r="B62" s="90" t="s">
        <v>10634</v>
      </c>
      <c r="C62" s="41" t="s">
        <v>85</v>
      </c>
      <c r="D62" s="87">
        <v>3952.8</v>
      </c>
      <c r="E62" s="35">
        <v>44652</v>
      </c>
      <c r="F62" s="87">
        <v>3952.8</v>
      </c>
      <c r="G62" s="91">
        <f>Tabla15[[#This Row],[Importe]]-Tabla15[[#This Row],[Pagado]]</f>
        <v>0</v>
      </c>
      <c r="H62" s="92" t="s">
        <v>10</v>
      </c>
    </row>
    <row r="63" spans="1:8" ht="21.75" customHeight="1" x14ac:dyDescent="0.25">
      <c r="A63" s="35">
        <v>44652</v>
      </c>
      <c r="B63" s="90" t="s">
        <v>10635</v>
      </c>
      <c r="C63" s="41" t="s">
        <v>647</v>
      </c>
      <c r="D63" s="87">
        <v>984</v>
      </c>
      <c r="E63" s="35">
        <v>44652</v>
      </c>
      <c r="F63" s="87">
        <v>984</v>
      </c>
      <c r="G63" s="91">
        <f>Tabla15[[#This Row],[Importe]]-Tabla15[[#This Row],[Pagado]]</f>
        <v>0</v>
      </c>
      <c r="H63" s="92" t="s">
        <v>10</v>
      </c>
    </row>
    <row r="64" spans="1:8" ht="21.75" customHeight="1" x14ac:dyDescent="0.25">
      <c r="A64" s="35">
        <v>44652</v>
      </c>
      <c r="B64" s="90" t="s">
        <v>10636</v>
      </c>
      <c r="C64" s="41" t="s">
        <v>51</v>
      </c>
      <c r="D64" s="87">
        <v>2553.6</v>
      </c>
      <c r="E64" s="35">
        <v>44652</v>
      </c>
      <c r="F64" s="87">
        <v>2553.6</v>
      </c>
      <c r="G64" s="91">
        <f>Tabla15[[#This Row],[Importe]]-Tabla15[[#This Row],[Pagado]]</f>
        <v>0</v>
      </c>
      <c r="H64" s="92" t="s">
        <v>10</v>
      </c>
    </row>
    <row r="65" spans="1:8" ht="21.75" customHeight="1" x14ac:dyDescent="0.25">
      <c r="A65" s="35">
        <v>44652</v>
      </c>
      <c r="B65" s="90" t="s">
        <v>10637</v>
      </c>
      <c r="C65" s="41" t="s">
        <v>275</v>
      </c>
      <c r="D65" s="87">
        <v>48457.24</v>
      </c>
      <c r="E65" s="35">
        <v>44659</v>
      </c>
      <c r="F65" s="87">
        <v>48457.24</v>
      </c>
      <c r="G65" s="91">
        <f>Tabla15[[#This Row],[Importe]]-Tabla15[[#This Row],[Pagado]]</f>
        <v>0</v>
      </c>
      <c r="H65" s="92" t="s">
        <v>10</v>
      </c>
    </row>
    <row r="66" spans="1:8" ht="21.75" customHeight="1" x14ac:dyDescent="0.25">
      <c r="A66" s="35">
        <v>44652</v>
      </c>
      <c r="B66" s="90" t="s">
        <v>10638</v>
      </c>
      <c r="C66" s="41" t="s">
        <v>849</v>
      </c>
      <c r="D66" s="87">
        <v>4831.2</v>
      </c>
      <c r="E66" s="35">
        <v>44652</v>
      </c>
      <c r="F66" s="87">
        <v>4831.2</v>
      </c>
      <c r="G66" s="91">
        <f>Tabla15[[#This Row],[Importe]]-Tabla15[[#This Row],[Pagado]]</f>
        <v>0</v>
      </c>
      <c r="H66" s="92" t="s">
        <v>10</v>
      </c>
    </row>
    <row r="67" spans="1:8" ht="21.75" customHeight="1" x14ac:dyDescent="0.25">
      <c r="A67" s="35">
        <v>44652</v>
      </c>
      <c r="B67" s="90" t="s">
        <v>10639</v>
      </c>
      <c r="C67" s="41" t="s">
        <v>212</v>
      </c>
      <c r="D67" s="87">
        <v>53682</v>
      </c>
      <c r="E67" s="35">
        <v>44656</v>
      </c>
      <c r="F67" s="87">
        <v>53682</v>
      </c>
      <c r="G67" s="91">
        <f>Tabla15[[#This Row],[Importe]]-Tabla15[[#This Row],[Pagado]]</f>
        <v>0</v>
      </c>
      <c r="H67" s="92" t="s">
        <v>10</v>
      </c>
    </row>
    <row r="68" spans="1:8" ht="21.75" customHeight="1" x14ac:dyDescent="0.25">
      <c r="A68" s="35">
        <v>44652</v>
      </c>
      <c r="B68" s="90" t="s">
        <v>10640</v>
      </c>
      <c r="C68" s="41" t="s">
        <v>146</v>
      </c>
      <c r="D68" s="87">
        <v>3068.2</v>
      </c>
      <c r="E68" s="35">
        <v>44652</v>
      </c>
      <c r="F68" s="87">
        <v>3068.2</v>
      </c>
      <c r="G68" s="91">
        <f>Tabla15[[#This Row],[Importe]]-Tabla15[[#This Row],[Pagado]]</f>
        <v>0</v>
      </c>
      <c r="H68" s="92" t="s">
        <v>10</v>
      </c>
    </row>
    <row r="69" spans="1:8" ht="21.75" customHeight="1" x14ac:dyDescent="0.25">
      <c r="A69" s="35">
        <v>44652</v>
      </c>
      <c r="B69" s="90" t="s">
        <v>10641</v>
      </c>
      <c r="C69" s="41" t="s">
        <v>840</v>
      </c>
      <c r="D69" s="87">
        <v>32200</v>
      </c>
      <c r="E69" s="35">
        <v>44652</v>
      </c>
      <c r="F69" s="87">
        <v>32200</v>
      </c>
      <c r="G69" s="91">
        <f>Tabla15[[#This Row],[Importe]]-Tabla15[[#This Row],[Pagado]]</f>
        <v>0</v>
      </c>
      <c r="H69" s="92" t="s">
        <v>10</v>
      </c>
    </row>
    <row r="70" spans="1:8" ht="21.75" customHeight="1" x14ac:dyDescent="0.25">
      <c r="A70" s="35">
        <v>44652</v>
      </c>
      <c r="B70" s="90" t="s">
        <v>10642</v>
      </c>
      <c r="C70" s="41" t="s">
        <v>1003</v>
      </c>
      <c r="D70" s="87">
        <v>1080</v>
      </c>
      <c r="E70" s="35">
        <v>44652</v>
      </c>
      <c r="F70" s="87">
        <v>1080</v>
      </c>
      <c r="G70" s="91">
        <f>Tabla15[[#This Row],[Importe]]-Tabla15[[#This Row],[Pagado]]</f>
        <v>0</v>
      </c>
      <c r="H70" s="92" t="s">
        <v>10</v>
      </c>
    </row>
    <row r="71" spans="1:8" ht="21.75" customHeight="1" x14ac:dyDescent="0.25">
      <c r="A71" s="35">
        <v>44652</v>
      </c>
      <c r="B71" s="90" t="s">
        <v>10643</v>
      </c>
      <c r="C71" s="41" t="s">
        <v>840</v>
      </c>
      <c r="D71" s="87">
        <v>4760</v>
      </c>
      <c r="E71" s="35">
        <v>44652</v>
      </c>
      <c r="F71" s="87">
        <v>4760</v>
      </c>
      <c r="G71" s="91">
        <f>Tabla15[[#This Row],[Importe]]-Tabla15[[#This Row],[Pagado]]</f>
        <v>0</v>
      </c>
      <c r="H71" s="92" t="s">
        <v>10</v>
      </c>
    </row>
    <row r="72" spans="1:8" ht="21.75" customHeight="1" x14ac:dyDescent="0.25">
      <c r="A72" s="35">
        <v>44652</v>
      </c>
      <c r="B72" s="90" t="s">
        <v>10644</v>
      </c>
      <c r="C72" s="41" t="s">
        <v>216</v>
      </c>
      <c r="D72" s="87">
        <v>966.6</v>
      </c>
      <c r="E72" s="35">
        <v>44652</v>
      </c>
      <c r="F72" s="87">
        <v>966.6</v>
      </c>
      <c r="G72" s="91">
        <f>Tabla15[[#This Row],[Importe]]-Tabla15[[#This Row],[Pagado]]</f>
        <v>0</v>
      </c>
      <c r="H72" s="92" t="s">
        <v>10</v>
      </c>
    </row>
    <row r="73" spans="1:8" ht="21.75" customHeight="1" x14ac:dyDescent="0.25">
      <c r="A73" s="35">
        <v>44652</v>
      </c>
      <c r="B73" s="90" t="s">
        <v>10645</v>
      </c>
      <c r="C73" s="41" t="s">
        <v>154</v>
      </c>
      <c r="D73" s="87">
        <v>52421.599999999999</v>
      </c>
      <c r="E73" s="35">
        <v>44656</v>
      </c>
      <c r="F73" s="87">
        <v>52421.599999999999</v>
      </c>
      <c r="G73" s="91">
        <f>Tabla15[[#This Row],[Importe]]-Tabla15[[#This Row],[Pagado]]</f>
        <v>0</v>
      </c>
      <c r="H73" s="92" t="s">
        <v>10</v>
      </c>
    </row>
    <row r="74" spans="1:8" ht="21.75" customHeight="1" x14ac:dyDescent="0.25">
      <c r="A74" s="35">
        <v>44652</v>
      </c>
      <c r="B74" s="90" t="s">
        <v>10646</v>
      </c>
      <c r="C74" s="41" t="s">
        <v>204</v>
      </c>
      <c r="D74" s="87">
        <v>795.6</v>
      </c>
      <c r="E74" s="35">
        <v>44652</v>
      </c>
      <c r="F74" s="87">
        <v>795.6</v>
      </c>
      <c r="G74" s="91">
        <f>Tabla15[[#This Row],[Importe]]-Tabla15[[#This Row],[Pagado]]</f>
        <v>0</v>
      </c>
      <c r="H74" s="92" t="s">
        <v>10</v>
      </c>
    </row>
    <row r="75" spans="1:8" ht="21.75" customHeight="1" x14ac:dyDescent="0.25">
      <c r="A75" s="35">
        <v>44652</v>
      </c>
      <c r="B75" s="90" t="s">
        <v>10647</v>
      </c>
      <c r="C75" s="41" t="s">
        <v>206</v>
      </c>
      <c r="D75" s="87">
        <v>37263.839999999997</v>
      </c>
      <c r="E75" s="35">
        <v>44656</v>
      </c>
      <c r="F75" s="87">
        <v>37263.839999999997</v>
      </c>
      <c r="G75" s="91">
        <f>Tabla15[[#This Row],[Importe]]-Tabla15[[#This Row],[Pagado]]</f>
        <v>0</v>
      </c>
      <c r="H75" s="92" t="s">
        <v>10</v>
      </c>
    </row>
    <row r="76" spans="1:8" ht="21.75" customHeight="1" x14ac:dyDescent="0.25">
      <c r="A76" s="35">
        <v>44652</v>
      </c>
      <c r="B76" s="90" t="s">
        <v>10648</v>
      </c>
      <c r="C76" s="41" t="s">
        <v>31</v>
      </c>
      <c r="D76" s="87">
        <v>4612.3999999999996</v>
      </c>
      <c r="E76" s="35">
        <v>44652</v>
      </c>
      <c r="F76" s="87">
        <v>4612.3999999999996</v>
      </c>
      <c r="G76" s="91">
        <f>Tabla15[[#This Row],[Importe]]-Tabla15[[#This Row],[Pagado]]</f>
        <v>0</v>
      </c>
      <c r="H76" s="92" t="s">
        <v>10</v>
      </c>
    </row>
    <row r="77" spans="1:8" ht="21.75" customHeight="1" x14ac:dyDescent="0.25">
      <c r="A77" s="35">
        <v>44652</v>
      </c>
      <c r="B77" s="90" t="s">
        <v>10649</v>
      </c>
      <c r="C77" s="41" t="s">
        <v>47</v>
      </c>
      <c r="D77" s="87">
        <v>37880</v>
      </c>
      <c r="E77" s="35">
        <v>44652</v>
      </c>
      <c r="F77" s="87">
        <v>37880</v>
      </c>
      <c r="G77" s="91">
        <f>Tabla15[[#This Row],[Importe]]-Tabla15[[#This Row],[Pagado]]</f>
        <v>0</v>
      </c>
      <c r="H77" s="92" t="s">
        <v>10</v>
      </c>
    </row>
    <row r="78" spans="1:8" ht="21.75" customHeight="1" x14ac:dyDescent="0.25">
      <c r="A78" s="35">
        <v>44652</v>
      </c>
      <c r="B78" s="90" t="s">
        <v>10650</v>
      </c>
      <c r="C78" s="41" t="s">
        <v>857</v>
      </c>
      <c r="D78" s="87">
        <v>1203.5999999999999</v>
      </c>
      <c r="E78" s="35">
        <v>44652</v>
      </c>
      <c r="F78" s="87">
        <v>1203.5999999999999</v>
      </c>
      <c r="G78" s="91">
        <f>Tabla15[[#This Row],[Importe]]-Tabla15[[#This Row],[Pagado]]</f>
        <v>0</v>
      </c>
      <c r="H78" s="92" t="s">
        <v>10</v>
      </c>
    </row>
    <row r="79" spans="1:8" ht="21.75" customHeight="1" x14ac:dyDescent="0.25">
      <c r="A79" s="35">
        <v>44652</v>
      </c>
      <c r="B79" s="90" t="s">
        <v>10651</v>
      </c>
      <c r="C79" s="41" t="s">
        <v>9827</v>
      </c>
      <c r="D79" s="87">
        <v>1020.6</v>
      </c>
      <c r="E79" s="35">
        <v>44652</v>
      </c>
      <c r="F79" s="87">
        <v>1020.6</v>
      </c>
      <c r="G79" s="91">
        <f>Tabla15[[#This Row],[Importe]]-Tabla15[[#This Row],[Pagado]]</f>
        <v>0</v>
      </c>
      <c r="H79" s="92" t="s">
        <v>10</v>
      </c>
    </row>
    <row r="80" spans="1:8" ht="21.75" customHeight="1" x14ac:dyDescent="0.25">
      <c r="A80" s="35">
        <v>44652</v>
      </c>
      <c r="B80" s="90" t="s">
        <v>10652</v>
      </c>
      <c r="C80" s="41" t="s">
        <v>31</v>
      </c>
      <c r="D80" s="87">
        <v>9586.4</v>
      </c>
      <c r="E80" s="35">
        <v>44652</v>
      </c>
      <c r="F80" s="87">
        <v>9586.4</v>
      </c>
      <c r="G80" s="91">
        <f>Tabla15[[#This Row],[Importe]]-Tabla15[[#This Row],[Pagado]]</f>
        <v>0</v>
      </c>
      <c r="H80" s="92" t="s">
        <v>10</v>
      </c>
    </row>
    <row r="81" spans="1:8" ht="21.75" customHeight="1" x14ac:dyDescent="0.25">
      <c r="A81" s="35">
        <v>44652</v>
      </c>
      <c r="B81" s="90" t="s">
        <v>10653</v>
      </c>
      <c r="C81" s="41" t="s">
        <v>214</v>
      </c>
      <c r="D81" s="87">
        <v>1512</v>
      </c>
      <c r="E81" s="35">
        <v>44652</v>
      </c>
      <c r="F81" s="87">
        <v>1512</v>
      </c>
      <c r="G81" s="91">
        <f>Tabla15[[#This Row],[Importe]]-Tabla15[[#This Row],[Pagado]]</f>
        <v>0</v>
      </c>
      <c r="H81" s="92" t="s">
        <v>10</v>
      </c>
    </row>
    <row r="82" spans="1:8" ht="21.75" customHeight="1" x14ac:dyDescent="0.25">
      <c r="A82" s="35">
        <v>44652</v>
      </c>
      <c r="B82" s="90" t="s">
        <v>10654</v>
      </c>
      <c r="C82" s="41" t="s">
        <v>218</v>
      </c>
      <c r="D82" s="87">
        <v>25244</v>
      </c>
      <c r="E82" s="35">
        <v>44656</v>
      </c>
      <c r="F82" s="87">
        <v>25244</v>
      </c>
      <c r="G82" s="91">
        <f>Tabla15[[#This Row],[Importe]]-Tabla15[[#This Row],[Pagado]]</f>
        <v>0</v>
      </c>
      <c r="H82" s="92" t="s">
        <v>10</v>
      </c>
    </row>
    <row r="83" spans="1:8" ht="21.75" customHeight="1" x14ac:dyDescent="0.25">
      <c r="A83" s="35">
        <v>44652</v>
      </c>
      <c r="B83" s="90" t="s">
        <v>10655</v>
      </c>
      <c r="C83" s="41" t="s">
        <v>31</v>
      </c>
      <c r="D83" s="87">
        <v>977.4</v>
      </c>
      <c r="E83" s="35">
        <v>44652</v>
      </c>
      <c r="F83" s="87">
        <v>977.4</v>
      </c>
      <c r="G83" s="91">
        <f>Tabla15[[#This Row],[Importe]]-Tabla15[[#This Row],[Pagado]]</f>
        <v>0</v>
      </c>
      <c r="H83" s="92" t="s">
        <v>10</v>
      </c>
    </row>
    <row r="84" spans="1:8" ht="21.75" customHeight="1" x14ac:dyDescent="0.25">
      <c r="A84" s="35">
        <v>44652</v>
      </c>
      <c r="B84" s="90" t="s">
        <v>10656</v>
      </c>
      <c r="C84" s="41" t="s">
        <v>208</v>
      </c>
      <c r="D84" s="87">
        <v>18697.2</v>
      </c>
      <c r="E84" s="35">
        <v>44656</v>
      </c>
      <c r="F84" s="87">
        <v>18697.2</v>
      </c>
      <c r="G84" s="91">
        <f>Tabla15[[#This Row],[Importe]]-Tabla15[[#This Row],[Pagado]]</f>
        <v>0</v>
      </c>
      <c r="H84" s="92" t="s">
        <v>10</v>
      </c>
    </row>
    <row r="85" spans="1:8" ht="21.75" customHeight="1" x14ac:dyDescent="0.25">
      <c r="A85" s="35">
        <v>44652</v>
      </c>
      <c r="B85" s="90" t="s">
        <v>10657</v>
      </c>
      <c r="C85" s="41" t="s">
        <v>208</v>
      </c>
      <c r="D85" s="87">
        <v>2577.4</v>
      </c>
      <c r="E85" s="35">
        <v>44656</v>
      </c>
      <c r="F85" s="87">
        <v>2577.4</v>
      </c>
      <c r="G85" s="91">
        <f>Tabla15[[#This Row],[Importe]]-Tabla15[[#This Row],[Pagado]]</f>
        <v>0</v>
      </c>
      <c r="H85" s="92" t="s">
        <v>10</v>
      </c>
    </row>
    <row r="86" spans="1:8" ht="21.75" customHeight="1" x14ac:dyDescent="0.25">
      <c r="A86" s="35">
        <v>44652</v>
      </c>
      <c r="B86" s="90" t="s">
        <v>10658</v>
      </c>
      <c r="C86" s="41" t="s">
        <v>365</v>
      </c>
      <c r="D86" s="87">
        <v>606</v>
      </c>
      <c r="E86" s="35">
        <v>44652</v>
      </c>
      <c r="F86" s="87">
        <v>606</v>
      </c>
      <c r="G86" s="91">
        <f>Tabla15[[#This Row],[Importe]]-Tabla15[[#This Row],[Pagado]]</f>
        <v>0</v>
      </c>
      <c r="H86" s="92" t="s">
        <v>10</v>
      </c>
    </row>
    <row r="87" spans="1:8" ht="21.75" customHeight="1" x14ac:dyDescent="0.25">
      <c r="A87" s="35">
        <v>44652</v>
      </c>
      <c r="B87" s="90" t="s">
        <v>10659</v>
      </c>
      <c r="C87" s="41" t="s">
        <v>67</v>
      </c>
      <c r="D87" s="87">
        <v>1512</v>
      </c>
      <c r="E87" s="35">
        <v>44652</v>
      </c>
      <c r="F87" s="87">
        <v>1512</v>
      </c>
      <c r="G87" s="91">
        <f>Tabla15[[#This Row],[Importe]]-Tabla15[[#This Row],[Pagado]]</f>
        <v>0</v>
      </c>
      <c r="H87" s="92" t="s">
        <v>10</v>
      </c>
    </row>
    <row r="88" spans="1:8" ht="21.75" customHeight="1" x14ac:dyDescent="0.25">
      <c r="A88" s="35">
        <v>44652</v>
      </c>
      <c r="B88" s="90" t="s">
        <v>10660</v>
      </c>
      <c r="C88" s="41" t="s">
        <v>67</v>
      </c>
      <c r="D88" s="87">
        <v>205.8</v>
      </c>
      <c r="E88" s="35">
        <v>44652</v>
      </c>
      <c r="F88" s="87">
        <v>205.8</v>
      </c>
      <c r="G88" s="91">
        <f>Tabla15[[#This Row],[Importe]]-Tabla15[[#This Row],[Pagado]]</f>
        <v>0</v>
      </c>
      <c r="H88" s="92" t="s">
        <v>10</v>
      </c>
    </row>
    <row r="89" spans="1:8" ht="21.75" customHeight="1" x14ac:dyDescent="0.25">
      <c r="A89" s="35">
        <v>44652</v>
      </c>
      <c r="B89" s="90" t="s">
        <v>10661</v>
      </c>
      <c r="C89" s="41" t="s">
        <v>58</v>
      </c>
      <c r="D89" s="87">
        <v>2700</v>
      </c>
      <c r="E89" s="35">
        <v>44652</v>
      </c>
      <c r="F89" s="87">
        <v>2700</v>
      </c>
      <c r="G89" s="91">
        <f>Tabla15[[#This Row],[Importe]]-Tabla15[[#This Row],[Pagado]]</f>
        <v>0</v>
      </c>
      <c r="H89" s="92" t="s">
        <v>10</v>
      </c>
    </row>
    <row r="90" spans="1:8" ht="21.75" customHeight="1" x14ac:dyDescent="0.25">
      <c r="A90" s="35">
        <v>44652</v>
      </c>
      <c r="B90" s="90" t="s">
        <v>10662</v>
      </c>
      <c r="C90" s="41" t="s">
        <v>31</v>
      </c>
      <c r="D90" s="87">
        <v>3804.8</v>
      </c>
      <c r="E90" s="35">
        <v>44653</v>
      </c>
      <c r="F90" s="87">
        <v>3804.8</v>
      </c>
      <c r="G90" s="91">
        <f>Tabla15[[#This Row],[Importe]]-Tabla15[[#This Row],[Pagado]]</f>
        <v>0</v>
      </c>
      <c r="H90" s="92" t="s">
        <v>10</v>
      </c>
    </row>
    <row r="91" spans="1:8" ht="21.75" customHeight="1" x14ac:dyDescent="0.25">
      <c r="A91" s="35">
        <v>44652</v>
      </c>
      <c r="B91" s="90" t="s">
        <v>10663</v>
      </c>
      <c r="C91" s="41" t="s">
        <v>421</v>
      </c>
      <c r="D91" s="87">
        <v>11054.2</v>
      </c>
      <c r="E91" s="35">
        <v>44667</v>
      </c>
      <c r="F91" s="87">
        <v>11054.2</v>
      </c>
      <c r="G91" s="91">
        <f>Tabla15[[#This Row],[Importe]]-Tabla15[[#This Row],[Pagado]]</f>
        <v>0</v>
      </c>
      <c r="H91" s="92" t="s">
        <v>10</v>
      </c>
    </row>
    <row r="92" spans="1:8" ht="21.75" customHeight="1" x14ac:dyDescent="0.25">
      <c r="A92" s="35">
        <v>44652</v>
      </c>
      <c r="B92" s="90" t="s">
        <v>10664</v>
      </c>
      <c r="C92" s="41" t="s">
        <v>419</v>
      </c>
      <c r="D92" s="87">
        <v>7349.9</v>
      </c>
      <c r="E92" s="35">
        <v>44652</v>
      </c>
      <c r="F92" s="87">
        <v>7349.9</v>
      </c>
      <c r="G92" s="91">
        <f>Tabla15[[#This Row],[Importe]]-Tabla15[[#This Row],[Pagado]]</f>
        <v>0</v>
      </c>
      <c r="H92" s="92" t="s">
        <v>10</v>
      </c>
    </row>
    <row r="93" spans="1:8" ht="21.75" customHeight="1" x14ac:dyDescent="0.25">
      <c r="A93" s="35">
        <v>44652</v>
      </c>
      <c r="B93" s="90" t="s">
        <v>10665</v>
      </c>
      <c r="C93" s="41" t="s">
        <v>173</v>
      </c>
      <c r="D93" s="87">
        <v>33947.599999999999</v>
      </c>
      <c r="E93" s="35">
        <v>44653</v>
      </c>
      <c r="F93" s="87">
        <v>33947.599999999999</v>
      </c>
      <c r="G93" s="91">
        <f>Tabla15[[#This Row],[Importe]]-Tabla15[[#This Row],[Pagado]]</f>
        <v>0</v>
      </c>
      <c r="H93" s="92" t="s">
        <v>10</v>
      </c>
    </row>
    <row r="94" spans="1:8" ht="21.75" customHeight="1" x14ac:dyDescent="0.25">
      <c r="A94" s="35">
        <v>44652</v>
      </c>
      <c r="B94" s="90" t="s">
        <v>10666</v>
      </c>
      <c r="C94" s="41" t="s">
        <v>133</v>
      </c>
      <c r="D94" s="87">
        <v>16524</v>
      </c>
      <c r="E94" s="35">
        <v>44653</v>
      </c>
      <c r="F94" s="87">
        <v>16524</v>
      </c>
      <c r="G94" s="91">
        <f>Tabla15[[#This Row],[Importe]]-Tabla15[[#This Row],[Pagado]]</f>
        <v>0</v>
      </c>
      <c r="H94" s="92" t="s">
        <v>10</v>
      </c>
    </row>
    <row r="95" spans="1:8" ht="21.75" customHeight="1" x14ac:dyDescent="0.25">
      <c r="A95" s="35">
        <v>44652</v>
      </c>
      <c r="B95" s="90" t="s">
        <v>10667</v>
      </c>
      <c r="C95" s="41" t="s">
        <v>541</v>
      </c>
      <c r="D95" s="87">
        <v>17706</v>
      </c>
      <c r="E95" s="35">
        <v>44653</v>
      </c>
      <c r="F95" s="87">
        <v>17706</v>
      </c>
      <c r="G95" s="91">
        <f>Tabla15[[#This Row],[Importe]]-Tabla15[[#This Row],[Pagado]]</f>
        <v>0</v>
      </c>
      <c r="H95" s="92" t="s">
        <v>10</v>
      </c>
    </row>
    <row r="96" spans="1:8" ht="21.75" customHeight="1" x14ac:dyDescent="0.25">
      <c r="A96" s="35">
        <v>44652</v>
      </c>
      <c r="B96" s="90" t="s">
        <v>10668</v>
      </c>
      <c r="C96" s="41" t="s">
        <v>5816</v>
      </c>
      <c r="D96" s="87">
        <v>2920.4</v>
      </c>
      <c r="E96" s="35">
        <v>44653</v>
      </c>
      <c r="F96" s="87">
        <v>2920.4</v>
      </c>
      <c r="G96" s="91">
        <f>Tabla15[[#This Row],[Importe]]-Tabla15[[#This Row],[Pagado]]</f>
        <v>0</v>
      </c>
      <c r="H96" s="92" t="s">
        <v>10</v>
      </c>
    </row>
    <row r="97" spans="1:8" ht="21.75" customHeight="1" x14ac:dyDescent="0.25">
      <c r="A97" s="35">
        <v>44652</v>
      </c>
      <c r="B97" s="90" t="s">
        <v>10669</v>
      </c>
      <c r="C97" s="41" t="s">
        <v>698</v>
      </c>
      <c r="D97" s="87">
        <v>3794.4</v>
      </c>
      <c r="E97" s="35">
        <v>44652</v>
      </c>
      <c r="F97" s="87">
        <v>3794.4</v>
      </c>
      <c r="G97" s="91">
        <f>Tabla15[[#This Row],[Importe]]-Tabla15[[#This Row],[Pagado]]</f>
        <v>0</v>
      </c>
      <c r="H97" s="92" t="s">
        <v>10</v>
      </c>
    </row>
    <row r="98" spans="1:8" ht="21.75" customHeight="1" x14ac:dyDescent="0.25">
      <c r="A98" s="35">
        <v>44652</v>
      </c>
      <c r="B98" s="90" t="s">
        <v>10670</v>
      </c>
      <c r="C98" s="41" t="s">
        <v>1265</v>
      </c>
      <c r="D98" s="87">
        <v>501.6</v>
      </c>
      <c r="E98" s="35">
        <v>44652</v>
      </c>
      <c r="F98" s="87">
        <v>501.6</v>
      </c>
      <c r="G98" s="91">
        <f>Tabla15[[#This Row],[Importe]]-Tabla15[[#This Row],[Pagado]]</f>
        <v>0</v>
      </c>
      <c r="H98" s="92" t="s">
        <v>10</v>
      </c>
    </row>
    <row r="99" spans="1:8" ht="31.5" x14ac:dyDescent="0.25">
      <c r="A99" s="35">
        <v>44652</v>
      </c>
      <c r="B99" s="90" t="s">
        <v>10671</v>
      </c>
      <c r="C99" s="41" t="s">
        <v>592</v>
      </c>
      <c r="D99" s="87">
        <v>39619.1</v>
      </c>
      <c r="E99" s="35" t="s">
        <v>10672</v>
      </c>
      <c r="F99" s="87">
        <f>6619+33000.1</f>
        <v>39619.1</v>
      </c>
      <c r="G99" s="91">
        <f>Tabla15[[#This Row],[Importe]]-Tabla15[[#This Row],[Pagado]]</f>
        <v>0</v>
      </c>
      <c r="H99" s="92" t="s">
        <v>10</v>
      </c>
    </row>
    <row r="100" spans="1:8" ht="21.75" customHeight="1" x14ac:dyDescent="0.25">
      <c r="A100" s="35">
        <v>44652</v>
      </c>
      <c r="B100" s="90" t="s">
        <v>10673</v>
      </c>
      <c r="C100" s="41" t="s">
        <v>9577</v>
      </c>
      <c r="D100" s="87">
        <v>1260</v>
      </c>
      <c r="E100" s="35">
        <v>44652</v>
      </c>
      <c r="F100" s="87">
        <v>1260</v>
      </c>
      <c r="G100" s="91">
        <f>Tabla15[[#This Row],[Importe]]-Tabla15[[#This Row],[Pagado]]</f>
        <v>0</v>
      </c>
      <c r="H100" s="92" t="s">
        <v>10</v>
      </c>
    </row>
    <row r="101" spans="1:8" ht="21.75" customHeight="1" x14ac:dyDescent="0.25">
      <c r="A101" s="35">
        <v>44652</v>
      </c>
      <c r="B101" s="90" t="s">
        <v>10674</v>
      </c>
      <c r="C101" s="41" t="s">
        <v>142</v>
      </c>
      <c r="D101" s="87">
        <v>33750.6</v>
      </c>
      <c r="E101" s="35">
        <v>44670</v>
      </c>
      <c r="F101" s="87">
        <v>33750.6</v>
      </c>
      <c r="G101" s="91">
        <f>Tabla15[[#This Row],[Importe]]-Tabla15[[#This Row],[Pagado]]</f>
        <v>0</v>
      </c>
      <c r="H101" s="92" t="s">
        <v>10</v>
      </c>
    </row>
    <row r="102" spans="1:8" ht="21.75" customHeight="1" x14ac:dyDescent="0.25">
      <c r="A102" s="35">
        <v>44652</v>
      </c>
      <c r="B102" s="90" t="s">
        <v>10675</v>
      </c>
      <c r="C102" s="41" t="s">
        <v>71</v>
      </c>
      <c r="D102" s="87">
        <v>1410.4</v>
      </c>
      <c r="E102" s="35">
        <v>44652</v>
      </c>
      <c r="F102" s="87">
        <v>1410.4</v>
      </c>
      <c r="G102" s="91">
        <f>Tabla15[[#This Row],[Importe]]-Tabla15[[#This Row],[Pagado]]</f>
        <v>0</v>
      </c>
      <c r="H102" s="92" t="s">
        <v>10</v>
      </c>
    </row>
    <row r="103" spans="1:8" ht="21.75" customHeight="1" x14ac:dyDescent="0.25">
      <c r="A103" s="35">
        <v>44652</v>
      </c>
      <c r="B103" s="90" t="s">
        <v>10676</v>
      </c>
      <c r="C103" s="41" t="s">
        <v>71</v>
      </c>
      <c r="D103" s="87">
        <v>149.6</v>
      </c>
      <c r="E103" s="35">
        <v>44652</v>
      </c>
      <c r="F103" s="87">
        <v>149.6</v>
      </c>
      <c r="G103" s="91">
        <f>Tabla15[[#This Row],[Importe]]-Tabla15[[#This Row],[Pagado]]</f>
        <v>0</v>
      </c>
      <c r="H103" s="92" t="s">
        <v>10</v>
      </c>
    </row>
    <row r="104" spans="1:8" ht="21.75" customHeight="1" x14ac:dyDescent="0.25">
      <c r="A104" s="35">
        <v>44652</v>
      </c>
      <c r="B104" s="90" t="s">
        <v>10677</v>
      </c>
      <c r="C104" s="41" t="s">
        <v>10678</v>
      </c>
      <c r="D104" s="87">
        <v>2159</v>
      </c>
      <c r="E104" s="35">
        <v>44652</v>
      </c>
      <c r="F104" s="87">
        <v>2159</v>
      </c>
      <c r="G104" s="91">
        <f>Tabla15[[#This Row],[Importe]]-Tabla15[[#This Row],[Pagado]]</f>
        <v>0</v>
      </c>
      <c r="H104" s="92" t="s">
        <v>10</v>
      </c>
    </row>
    <row r="105" spans="1:8" ht="21.75" customHeight="1" x14ac:dyDescent="0.25">
      <c r="A105" s="35">
        <v>44652</v>
      </c>
      <c r="B105" s="90" t="s">
        <v>10679</v>
      </c>
      <c r="C105" s="41" t="s">
        <v>9</v>
      </c>
      <c r="D105" s="87">
        <v>3605</v>
      </c>
      <c r="E105" s="35">
        <v>44652</v>
      </c>
      <c r="F105" s="87">
        <v>3605</v>
      </c>
      <c r="G105" s="91">
        <f>Tabla15[[#This Row],[Importe]]-Tabla15[[#This Row],[Pagado]]</f>
        <v>0</v>
      </c>
      <c r="H105" s="92" t="s">
        <v>10</v>
      </c>
    </row>
    <row r="106" spans="1:8" ht="21.75" customHeight="1" x14ac:dyDescent="0.25">
      <c r="A106" s="35">
        <v>44652</v>
      </c>
      <c r="B106" s="90" t="s">
        <v>10680</v>
      </c>
      <c r="C106" s="41" t="s">
        <v>107</v>
      </c>
      <c r="D106" s="87">
        <v>12760.8</v>
      </c>
      <c r="E106" s="35">
        <v>44652</v>
      </c>
      <c r="F106" s="87">
        <v>12760.8</v>
      </c>
      <c r="G106" s="91">
        <f>Tabla15[[#This Row],[Importe]]-Tabla15[[#This Row],[Pagado]]</f>
        <v>0</v>
      </c>
      <c r="H106" s="92" t="s">
        <v>10</v>
      </c>
    </row>
    <row r="107" spans="1:8" ht="21.75" customHeight="1" x14ac:dyDescent="0.25">
      <c r="A107" s="35">
        <v>44652</v>
      </c>
      <c r="B107" s="90" t="s">
        <v>10681</v>
      </c>
      <c r="C107" s="41" t="s">
        <v>414</v>
      </c>
      <c r="D107" s="87">
        <v>2655</v>
      </c>
      <c r="E107" s="35">
        <v>44652</v>
      </c>
      <c r="F107" s="87">
        <v>2655</v>
      </c>
      <c r="G107" s="91">
        <f>Tabla15[[#This Row],[Importe]]-Tabla15[[#This Row],[Pagado]]</f>
        <v>0</v>
      </c>
      <c r="H107" s="92" t="s">
        <v>10</v>
      </c>
    </row>
    <row r="108" spans="1:8" ht="21.75" customHeight="1" x14ac:dyDescent="0.25">
      <c r="A108" s="35">
        <v>44652</v>
      </c>
      <c r="B108" s="90" t="s">
        <v>10682</v>
      </c>
      <c r="C108" s="41" t="s">
        <v>31</v>
      </c>
      <c r="D108" s="87">
        <v>9002</v>
      </c>
      <c r="E108" s="35">
        <v>44652</v>
      </c>
      <c r="F108" s="87">
        <v>9002</v>
      </c>
      <c r="G108" s="91">
        <f>Tabla15[[#This Row],[Importe]]-Tabla15[[#This Row],[Pagado]]</f>
        <v>0</v>
      </c>
      <c r="H108" s="92" t="s">
        <v>10</v>
      </c>
    </row>
    <row r="109" spans="1:8" ht="21.75" customHeight="1" x14ac:dyDescent="0.25">
      <c r="A109" s="35">
        <v>44652</v>
      </c>
      <c r="B109" s="90" t="s">
        <v>10683</v>
      </c>
      <c r="C109" s="41" t="s">
        <v>31</v>
      </c>
      <c r="D109" s="87">
        <v>30195</v>
      </c>
      <c r="E109" s="35">
        <v>44652</v>
      </c>
      <c r="F109" s="87">
        <v>30195</v>
      </c>
      <c r="G109" s="91">
        <f>Tabla15[[#This Row],[Importe]]-Tabla15[[#This Row],[Pagado]]</f>
        <v>0</v>
      </c>
      <c r="H109" s="92" t="s">
        <v>10</v>
      </c>
    </row>
    <row r="110" spans="1:8" ht="21.75" customHeight="1" x14ac:dyDescent="0.25">
      <c r="A110" s="35">
        <v>44652</v>
      </c>
      <c r="B110" s="90" t="s">
        <v>10684</v>
      </c>
      <c r="C110" s="41" t="s">
        <v>56</v>
      </c>
      <c r="D110" s="87">
        <v>7030.8</v>
      </c>
      <c r="E110" s="35">
        <v>44652</v>
      </c>
      <c r="F110" s="87">
        <v>7030.8</v>
      </c>
      <c r="G110" s="91">
        <f>Tabla15[[#This Row],[Importe]]-Tabla15[[#This Row],[Pagado]]</f>
        <v>0</v>
      </c>
      <c r="H110" s="92" t="s">
        <v>10</v>
      </c>
    </row>
    <row r="111" spans="1:8" ht="21.75" customHeight="1" x14ac:dyDescent="0.25">
      <c r="A111" s="35">
        <v>44652</v>
      </c>
      <c r="B111" s="90" t="s">
        <v>10685</v>
      </c>
      <c r="C111" s="41" t="s">
        <v>562</v>
      </c>
      <c r="D111" s="87">
        <v>5572.8</v>
      </c>
      <c r="E111" s="35">
        <v>44652</v>
      </c>
      <c r="F111" s="87">
        <v>5572.8</v>
      </c>
      <c r="G111" s="91">
        <f>Tabla15[[#This Row],[Importe]]-Tabla15[[#This Row],[Pagado]]</f>
        <v>0</v>
      </c>
      <c r="H111" s="92" t="s">
        <v>10</v>
      </c>
    </row>
    <row r="112" spans="1:8" ht="21.75" customHeight="1" x14ac:dyDescent="0.25">
      <c r="A112" s="35">
        <v>44652</v>
      </c>
      <c r="B112" s="90" t="s">
        <v>10686</v>
      </c>
      <c r="C112" s="41" t="s">
        <v>414</v>
      </c>
      <c r="D112" s="87">
        <v>16080.2</v>
      </c>
      <c r="E112" s="35">
        <v>44652</v>
      </c>
      <c r="F112" s="87">
        <v>16080.2</v>
      </c>
      <c r="G112" s="91">
        <f>Tabla15[[#This Row],[Importe]]-Tabla15[[#This Row],[Pagado]]</f>
        <v>0</v>
      </c>
      <c r="H112" s="92" t="s">
        <v>10</v>
      </c>
    </row>
    <row r="113" spans="1:8" ht="21.75" customHeight="1" x14ac:dyDescent="0.25">
      <c r="A113" s="35">
        <v>44652</v>
      </c>
      <c r="B113" s="90" t="s">
        <v>10687</v>
      </c>
      <c r="C113" s="41" t="s">
        <v>296</v>
      </c>
      <c r="D113" s="87">
        <v>2025.8</v>
      </c>
      <c r="E113" s="35">
        <v>44652</v>
      </c>
      <c r="F113" s="87">
        <v>2025.8</v>
      </c>
      <c r="G113" s="91">
        <f>Tabla15[[#This Row],[Importe]]-Tabla15[[#This Row],[Pagado]]</f>
        <v>0</v>
      </c>
      <c r="H113" s="92" t="s">
        <v>10</v>
      </c>
    </row>
    <row r="114" spans="1:8" ht="21.75" customHeight="1" x14ac:dyDescent="0.25">
      <c r="A114" s="35">
        <v>44652</v>
      </c>
      <c r="B114" s="90" t="s">
        <v>10688</v>
      </c>
      <c r="C114" s="41" t="s">
        <v>284</v>
      </c>
      <c r="D114" s="87">
        <v>9104.4</v>
      </c>
      <c r="E114" s="35">
        <v>44653</v>
      </c>
      <c r="F114" s="87">
        <v>9104.4</v>
      </c>
      <c r="G114" s="91">
        <f>Tabla15[[#This Row],[Importe]]-Tabla15[[#This Row],[Pagado]]</f>
        <v>0</v>
      </c>
      <c r="H114" s="92" t="s">
        <v>10</v>
      </c>
    </row>
    <row r="115" spans="1:8" ht="21.75" customHeight="1" x14ac:dyDescent="0.25">
      <c r="A115" s="35">
        <v>44652</v>
      </c>
      <c r="B115" s="90" t="s">
        <v>10689</v>
      </c>
      <c r="C115" s="41" t="s">
        <v>282</v>
      </c>
      <c r="D115" s="87">
        <v>6382.8</v>
      </c>
      <c r="E115" s="35">
        <v>44652</v>
      </c>
      <c r="F115" s="87">
        <v>6382.8</v>
      </c>
      <c r="G115" s="91">
        <f>Tabla15[[#This Row],[Importe]]-Tabla15[[#This Row],[Pagado]]</f>
        <v>0</v>
      </c>
      <c r="H115" s="92" t="s">
        <v>10</v>
      </c>
    </row>
    <row r="116" spans="1:8" ht="21.75" customHeight="1" x14ac:dyDescent="0.25">
      <c r="A116" s="35">
        <v>44652</v>
      </c>
      <c r="B116" s="90" t="s">
        <v>10690</v>
      </c>
      <c r="C116" s="41" t="s">
        <v>280</v>
      </c>
      <c r="D116" s="87">
        <v>939.6</v>
      </c>
      <c r="E116" s="35">
        <v>44652</v>
      </c>
      <c r="F116" s="87">
        <v>939.6</v>
      </c>
      <c r="G116" s="91">
        <f>Tabla15[[#This Row],[Importe]]-Tabla15[[#This Row],[Pagado]]</f>
        <v>0</v>
      </c>
      <c r="H116" s="92" t="s">
        <v>10</v>
      </c>
    </row>
    <row r="117" spans="1:8" ht="21.75" customHeight="1" x14ac:dyDescent="0.25">
      <c r="A117" s="35">
        <v>44652</v>
      </c>
      <c r="B117" s="90" t="s">
        <v>10691</v>
      </c>
      <c r="C117" s="41" t="s">
        <v>5345</v>
      </c>
      <c r="D117" s="87">
        <v>1522.8</v>
      </c>
      <c r="E117" s="35">
        <v>44652</v>
      </c>
      <c r="F117" s="87">
        <v>1522.8</v>
      </c>
      <c r="G117" s="91">
        <f>Tabla15[[#This Row],[Importe]]-Tabla15[[#This Row],[Pagado]]</f>
        <v>0</v>
      </c>
      <c r="H117" s="92" t="s">
        <v>10</v>
      </c>
    </row>
    <row r="118" spans="1:8" ht="21.75" customHeight="1" x14ac:dyDescent="0.25">
      <c r="A118" s="35">
        <v>44652</v>
      </c>
      <c r="B118" s="90" t="s">
        <v>10692</v>
      </c>
      <c r="C118" s="41" t="s">
        <v>69</v>
      </c>
      <c r="D118" s="87">
        <v>2889</v>
      </c>
      <c r="E118" s="35">
        <v>44652</v>
      </c>
      <c r="F118" s="87">
        <v>2889</v>
      </c>
      <c r="G118" s="91">
        <f>Tabla15[[#This Row],[Importe]]-Tabla15[[#This Row],[Pagado]]</f>
        <v>0</v>
      </c>
      <c r="H118" s="92" t="s">
        <v>10</v>
      </c>
    </row>
    <row r="119" spans="1:8" ht="21.75" customHeight="1" x14ac:dyDescent="0.25">
      <c r="A119" s="35">
        <v>44652</v>
      </c>
      <c r="B119" s="90" t="s">
        <v>10693</v>
      </c>
      <c r="C119" s="41" t="s">
        <v>31</v>
      </c>
      <c r="D119" s="87">
        <v>512.5</v>
      </c>
      <c r="E119" s="35">
        <v>44652</v>
      </c>
      <c r="F119" s="87">
        <v>512.5</v>
      </c>
      <c r="G119" s="91">
        <f>Tabla15[[#This Row],[Importe]]-Tabla15[[#This Row],[Pagado]]</f>
        <v>0</v>
      </c>
      <c r="H119" s="92" t="s">
        <v>10</v>
      </c>
    </row>
    <row r="120" spans="1:8" ht="21.75" customHeight="1" x14ac:dyDescent="0.25">
      <c r="A120" s="35">
        <v>44652</v>
      </c>
      <c r="B120" s="90" t="s">
        <v>10694</v>
      </c>
      <c r="C120" s="41" t="s">
        <v>872</v>
      </c>
      <c r="D120" s="87">
        <v>4842.84</v>
      </c>
      <c r="E120" s="35">
        <v>44652</v>
      </c>
      <c r="F120" s="87">
        <v>4842.84</v>
      </c>
      <c r="G120" s="91">
        <f>Tabla15[[#This Row],[Importe]]-Tabla15[[#This Row],[Pagado]]</f>
        <v>0</v>
      </c>
      <c r="H120" s="92" t="s">
        <v>10</v>
      </c>
    </row>
    <row r="121" spans="1:8" ht="21.75" customHeight="1" x14ac:dyDescent="0.25">
      <c r="A121" s="35">
        <v>44652</v>
      </c>
      <c r="B121" s="90" t="s">
        <v>10695</v>
      </c>
      <c r="C121" s="41" t="s">
        <v>555</v>
      </c>
      <c r="D121" s="87">
        <v>19560</v>
      </c>
      <c r="E121" s="35">
        <v>44652</v>
      </c>
      <c r="F121" s="87">
        <v>19560</v>
      </c>
      <c r="G121" s="91">
        <f>Tabla15[[#This Row],[Importe]]-Tabla15[[#This Row],[Pagado]]</f>
        <v>0</v>
      </c>
      <c r="H121" s="92" t="s">
        <v>10</v>
      </c>
    </row>
    <row r="122" spans="1:8" ht="21.75" customHeight="1" x14ac:dyDescent="0.25">
      <c r="A122" s="35">
        <v>44652</v>
      </c>
      <c r="B122" s="90" t="s">
        <v>10696</v>
      </c>
      <c r="C122" s="41" t="s">
        <v>246</v>
      </c>
      <c r="D122" s="87">
        <v>39693.5</v>
      </c>
      <c r="E122" s="35">
        <v>44652</v>
      </c>
      <c r="F122" s="87">
        <v>39693.5</v>
      </c>
      <c r="G122" s="91">
        <f>Tabla15[[#This Row],[Importe]]-Tabla15[[#This Row],[Pagado]]</f>
        <v>0</v>
      </c>
      <c r="H122" s="92" t="s">
        <v>10</v>
      </c>
    </row>
    <row r="123" spans="1:8" ht="21.75" customHeight="1" x14ac:dyDescent="0.25">
      <c r="A123" s="35">
        <v>44652</v>
      </c>
      <c r="B123" s="90" t="s">
        <v>10697</v>
      </c>
      <c r="C123" s="41" t="s">
        <v>2139</v>
      </c>
      <c r="D123" s="87">
        <v>1381.7</v>
      </c>
      <c r="E123" s="35">
        <v>44652</v>
      </c>
      <c r="F123" s="87">
        <v>1381.7</v>
      </c>
      <c r="G123" s="91">
        <f>Tabla15[[#This Row],[Importe]]-Tabla15[[#This Row],[Pagado]]</f>
        <v>0</v>
      </c>
      <c r="H123" s="92" t="s">
        <v>10</v>
      </c>
    </row>
    <row r="124" spans="1:8" ht="21.75" customHeight="1" x14ac:dyDescent="0.25">
      <c r="A124" s="35">
        <v>44652</v>
      </c>
      <c r="B124" s="90" t="s">
        <v>10698</v>
      </c>
      <c r="C124" s="41" t="s">
        <v>31</v>
      </c>
      <c r="D124" s="87">
        <v>1595</v>
      </c>
      <c r="E124" s="35">
        <v>44652</v>
      </c>
      <c r="F124" s="87">
        <v>1595</v>
      </c>
      <c r="G124" s="91">
        <f>Tabla15[[#This Row],[Importe]]-Tabla15[[#This Row],[Pagado]]</f>
        <v>0</v>
      </c>
      <c r="H124" s="92" t="s">
        <v>10</v>
      </c>
    </row>
    <row r="125" spans="1:8" ht="21.75" customHeight="1" x14ac:dyDescent="0.25">
      <c r="A125" s="35">
        <v>44652</v>
      </c>
      <c r="B125" s="90" t="s">
        <v>10699</v>
      </c>
      <c r="C125" s="41" t="s">
        <v>555</v>
      </c>
      <c r="D125" s="87">
        <v>4104.8</v>
      </c>
      <c r="E125" s="35">
        <v>44654</v>
      </c>
      <c r="F125" s="87">
        <v>4104.8</v>
      </c>
      <c r="G125" s="91">
        <f>Tabla15[[#This Row],[Importe]]-Tabla15[[#This Row],[Pagado]]</f>
        <v>0</v>
      </c>
      <c r="H125" s="92" t="s">
        <v>10</v>
      </c>
    </row>
    <row r="126" spans="1:8" ht="21.75" customHeight="1" x14ac:dyDescent="0.25">
      <c r="A126" s="35">
        <v>44652</v>
      </c>
      <c r="B126" s="90" t="s">
        <v>10700</v>
      </c>
      <c r="C126" s="41" t="s">
        <v>7313</v>
      </c>
      <c r="D126" s="87">
        <v>4433.8</v>
      </c>
      <c r="E126" s="35">
        <v>44652</v>
      </c>
      <c r="F126" s="87">
        <v>4433.8</v>
      </c>
      <c r="G126" s="91">
        <f>Tabla15[[#This Row],[Importe]]-Tabla15[[#This Row],[Pagado]]</f>
        <v>0</v>
      </c>
      <c r="H126" s="92" t="s">
        <v>10</v>
      </c>
    </row>
    <row r="127" spans="1:8" ht="21.75" customHeight="1" x14ac:dyDescent="0.25">
      <c r="A127" s="35">
        <v>44652</v>
      </c>
      <c r="B127" s="90" t="s">
        <v>10701</v>
      </c>
      <c r="C127" s="41" t="s">
        <v>452</v>
      </c>
      <c r="D127" s="87">
        <v>7200</v>
      </c>
      <c r="E127" s="35">
        <v>44652</v>
      </c>
      <c r="F127" s="87">
        <v>7200</v>
      </c>
      <c r="G127" s="91">
        <f>Tabla15[[#This Row],[Importe]]-Tabla15[[#This Row],[Pagado]]</f>
        <v>0</v>
      </c>
      <c r="H127" s="92" t="s">
        <v>10</v>
      </c>
    </row>
    <row r="128" spans="1:8" ht="21.75" customHeight="1" x14ac:dyDescent="0.25">
      <c r="A128" s="35">
        <v>44652</v>
      </c>
      <c r="B128" s="90" t="s">
        <v>10702</v>
      </c>
      <c r="C128" s="41" t="s">
        <v>31</v>
      </c>
      <c r="D128" s="87">
        <v>324</v>
      </c>
      <c r="E128" s="35">
        <v>44652</v>
      </c>
      <c r="F128" s="87">
        <v>324</v>
      </c>
      <c r="G128" s="91">
        <f>Tabla15[[#This Row],[Importe]]-Tabla15[[#This Row],[Pagado]]</f>
        <v>0</v>
      </c>
      <c r="H128" s="92" t="s">
        <v>10</v>
      </c>
    </row>
    <row r="129" spans="1:8" ht="21.75" customHeight="1" x14ac:dyDescent="0.25">
      <c r="A129" s="35">
        <v>44652</v>
      </c>
      <c r="B129" s="90" t="s">
        <v>10703</v>
      </c>
      <c r="C129" s="41" t="s">
        <v>409</v>
      </c>
      <c r="D129" s="87">
        <v>6541.8</v>
      </c>
      <c r="E129" s="35">
        <v>44656</v>
      </c>
      <c r="F129" s="87">
        <v>6541.8</v>
      </c>
      <c r="G129" s="91">
        <f>Tabla15[[#This Row],[Importe]]-Tabla15[[#This Row],[Pagado]]</f>
        <v>0</v>
      </c>
      <c r="H129" s="92" t="s">
        <v>10</v>
      </c>
    </row>
    <row r="130" spans="1:8" ht="21.75" customHeight="1" x14ac:dyDescent="0.25">
      <c r="A130" s="35">
        <v>44652</v>
      </c>
      <c r="B130" s="90" t="s">
        <v>10704</v>
      </c>
      <c r="C130" s="41" t="s">
        <v>179</v>
      </c>
      <c r="D130" s="87">
        <v>1150.2</v>
      </c>
      <c r="E130" s="35">
        <v>44653</v>
      </c>
      <c r="F130" s="87">
        <v>1150.2</v>
      </c>
      <c r="G130" s="91">
        <f>Tabla15[[#This Row],[Importe]]-Tabla15[[#This Row],[Pagado]]</f>
        <v>0</v>
      </c>
      <c r="H130" s="92" t="s">
        <v>10</v>
      </c>
    </row>
    <row r="131" spans="1:8" ht="31.5" x14ac:dyDescent="0.25">
      <c r="A131" s="35">
        <v>44653</v>
      </c>
      <c r="B131" s="90" t="s">
        <v>10705</v>
      </c>
      <c r="C131" s="41" t="s">
        <v>475</v>
      </c>
      <c r="D131" s="87">
        <v>80810.600000000006</v>
      </c>
      <c r="E131" s="35" t="s">
        <v>10706</v>
      </c>
      <c r="F131" s="87">
        <f>55900+24910.6</f>
        <v>80810.600000000006</v>
      </c>
      <c r="G131" s="91">
        <f>Tabla15[[#This Row],[Importe]]-Tabla15[[#This Row],[Pagado]]</f>
        <v>0</v>
      </c>
      <c r="H131" s="92" t="s">
        <v>10</v>
      </c>
    </row>
    <row r="132" spans="1:8" ht="31.5" x14ac:dyDescent="0.25">
      <c r="A132" s="35">
        <v>44653</v>
      </c>
      <c r="B132" s="90" t="s">
        <v>10707</v>
      </c>
      <c r="C132" s="41" t="s">
        <v>22</v>
      </c>
      <c r="D132" s="87">
        <v>70805.2</v>
      </c>
      <c r="E132" s="35" t="s">
        <v>10708</v>
      </c>
      <c r="F132" s="87">
        <f>54000+16805.2</f>
        <v>70805.2</v>
      </c>
      <c r="G132" s="91">
        <f>Tabla15[[#This Row],[Importe]]-Tabla15[[#This Row],[Pagado]]</f>
        <v>0</v>
      </c>
      <c r="H132" s="92" t="s">
        <v>10</v>
      </c>
    </row>
    <row r="133" spans="1:8" ht="21.75" customHeight="1" x14ac:dyDescent="0.25">
      <c r="A133" s="35">
        <v>44653</v>
      </c>
      <c r="B133" s="90" t="s">
        <v>10709</v>
      </c>
      <c r="C133" s="41" t="s">
        <v>481</v>
      </c>
      <c r="D133" s="87">
        <v>1983.5</v>
      </c>
      <c r="E133" s="35">
        <v>44653</v>
      </c>
      <c r="F133" s="87">
        <v>1983.5</v>
      </c>
      <c r="G133" s="91">
        <f>Tabla15[[#This Row],[Importe]]-Tabla15[[#This Row],[Pagado]]</f>
        <v>0</v>
      </c>
      <c r="H133" s="92" t="s">
        <v>10</v>
      </c>
    </row>
    <row r="134" spans="1:8" ht="31.5" x14ac:dyDescent="0.25">
      <c r="A134" s="35">
        <v>44653</v>
      </c>
      <c r="B134" s="90" t="s">
        <v>10710</v>
      </c>
      <c r="C134" s="41" t="s">
        <v>12</v>
      </c>
      <c r="D134" s="87">
        <v>53917.8</v>
      </c>
      <c r="E134" s="35" t="s">
        <v>10612</v>
      </c>
      <c r="F134" s="87">
        <f>1144.1+7880+44893.7</f>
        <v>53917.799999999996</v>
      </c>
      <c r="G134" s="91">
        <f>Tabla15[[#This Row],[Importe]]-Tabla15[[#This Row],[Pagado]]</f>
        <v>0</v>
      </c>
      <c r="H134" s="92" t="s">
        <v>10</v>
      </c>
    </row>
    <row r="135" spans="1:8" ht="21.75" customHeight="1" x14ac:dyDescent="0.25">
      <c r="A135" s="35">
        <v>44653</v>
      </c>
      <c r="B135" s="90" t="s">
        <v>10711</v>
      </c>
      <c r="C135" s="41" t="s">
        <v>79</v>
      </c>
      <c r="D135" s="87">
        <v>20757.599999999999</v>
      </c>
      <c r="E135" s="35">
        <v>44653</v>
      </c>
      <c r="F135" s="87">
        <v>20757.599999999999</v>
      </c>
      <c r="G135" s="91">
        <f>Tabla15[[#This Row],[Importe]]-Tabla15[[#This Row],[Pagado]]</f>
        <v>0</v>
      </c>
      <c r="H135" s="92" t="s">
        <v>10</v>
      </c>
    </row>
    <row r="136" spans="1:8" ht="21.75" customHeight="1" x14ac:dyDescent="0.25">
      <c r="A136" s="35">
        <v>44653</v>
      </c>
      <c r="B136" s="90" t="s">
        <v>10712</v>
      </c>
      <c r="C136" s="41" t="s">
        <v>18</v>
      </c>
      <c r="D136" s="87">
        <v>1318.4</v>
      </c>
      <c r="E136" s="35">
        <v>44653</v>
      </c>
      <c r="F136" s="87">
        <v>1318.4</v>
      </c>
      <c r="G136" s="91">
        <f>Tabla15[[#This Row],[Importe]]-Tabla15[[#This Row],[Pagado]]</f>
        <v>0</v>
      </c>
      <c r="H136" s="92" t="s">
        <v>10</v>
      </c>
    </row>
    <row r="137" spans="1:8" ht="21.75" customHeight="1" x14ac:dyDescent="0.25">
      <c r="A137" s="35">
        <v>44653</v>
      </c>
      <c r="B137" s="90" t="s">
        <v>10713</v>
      </c>
      <c r="C137" s="41" t="s">
        <v>314</v>
      </c>
      <c r="D137" s="87">
        <v>3186</v>
      </c>
      <c r="E137" s="35">
        <v>44653</v>
      </c>
      <c r="F137" s="87">
        <v>3186</v>
      </c>
      <c r="G137" s="91">
        <f>Tabla15[[#This Row],[Importe]]-Tabla15[[#This Row],[Pagado]]</f>
        <v>0</v>
      </c>
      <c r="H137" s="92" t="s">
        <v>10</v>
      </c>
    </row>
    <row r="138" spans="1:8" ht="21.75" customHeight="1" x14ac:dyDescent="0.25">
      <c r="A138" s="35">
        <v>44653</v>
      </c>
      <c r="B138" s="90" t="s">
        <v>10714</v>
      </c>
      <c r="C138" s="41" t="s">
        <v>87</v>
      </c>
      <c r="D138" s="87">
        <v>2802.2</v>
      </c>
      <c r="E138" s="35">
        <v>44653</v>
      </c>
      <c r="F138" s="87">
        <v>2802.2</v>
      </c>
      <c r="G138" s="91">
        <f>Tabla15[[#This Row],[Importe]]-Tabla15[[#This Row],[Pagado]]</f>
        <v>0</v>
      </c>
      <c r="H138" s="92" t="s">
        <v>10</v>
      </c>
    </row>
    <row r="139" spans="1:8" ht="21.75" customHeight="1" x14ac:dyDescent="0.25">
      <c r="A139" s="35">
        <v>44653</v>
      </c>
      <c r="B139" s="90" t="s">
        <v>10715</v>
      </c>
      <c r="C139" s="41" t="s">
        <v>9</v>
      </c>
      <c r="D139" s="87">
        <v>8296.5</v>
      </c>
      <c r="E139" s="35">
        <v>44653</v>
      </c>
      <c r="F139" s="87">
        <v>8296.5</v>
      </c>
      <c r="G139" s="91">
        <f>Tabla15[[#This Row],[Importe]]-Tabla15[[#This Row],[Pagado]]</f>
        <v>0</v>
      </c>
      <c r="H139" s="92" t="s">
        <v>10</v>
      </c>
    </row>
    <row r="140" spans="1:8" ht="21.75" customHeight="1" x14ac:dyDescent="0.25">
      <c r="A140" s="35">
        <v>44653</v>
      </c>
      <c r="B140" s="90" t="s">
        <v>10716</v>
      </c>
      <c r="C140" s="41" t="s">
        <v>326</v>
      </c>
      <c r="D140" s="87">
        <v>12959.1</v>
      </c>
      <c r="E140" s="35">
        <v>44656</v>
      </c>
      <c r="F140" s="87">
        <v>12959.1</v>
      </c>
      <c r="G140" s="91">
        <f>Tabla15[[#This Row],[Importe]]-Tabla15[[#This Row],[Pagado]]</f>
        <v>0</v>
      </c>
      <c r="H140" s="92" t="s">
        <v>10</v>
      </c>
    </row>
    <row r="141" spans="1:8" ht="21.75" customHeight="1" x14ac:dyDescent="0.25">
      <c r="A141" s="35">
        <v>44653</v>
      </c>
      <c r="B141" s="90" t="s">
        <v>10717</v>
      </c>
      <c r="C141" s="41" t="s">
        <v>146</v>
      </c>
      <c r="D141" s="87">
        <v>9164</v>
      </c>
      <c r="E141" s="35">
        <v>44653</v>
      </c>
      <c r="F141" s="87">
        <v>9164</v>
      </c>
      <c r="G141" s="91">
        <f>Tabla15[[#This Row],[Importe]]-Tabla15[[#This Row],[Pagado]]</f>
        <v>0</v>
      </c>
      <c r="H141" s="92" t="s">
        <v>10</v>
      </c>
    </row>
    <row r="142" spans="1:8" ht="21.75" customHeight="1" x14ac:dyDescent="0.25">
      <c r="A142" s="35">
        <v>44653</v>
      </c>
      <c r="B142" s="90" t="s">
        <v>10718</v>
      </c>
      <c r="C142" s="41" t="s">
        <v>1239</v>
      </c>
      <c r="D142" s="87">
        <v>9349.2000000000007</v>
      </c>
      <c r="E142" s="35">
        <v>44653</v>
      </c>
      <c r="F142" s="87">
        <v>9349.2000000000007</v>
      </c>
      <c r="G142" s="91">
        <f>Tabla15[[#This Row],[Importe]]-Tabla15[[#This Row],[Pagado]]</f>
        <v>0</v>
      </c>
      <c r="H142" s="92" t="s">
        <v>10</v>
      </c>
    </row>
    <row r="143" spans="1:8" ht="31.5" x14ac:dyDescent="0.25">
      <c r="A143" s="35">
        <v>44653</v>
      </c>
      <c r="B143" s="90" t="s">
        <v>10719</v>
      </c>
      <c r="C143" s="41" t="s">
        <v>75</v>
      </c>
      <c r="D143" s="87">
        <v>18754.2</v>
      </c>
      <c r="E143" s="35" t="s">
        <v>10612</v>
      </c>
      <c r="F143" s="87">
        <f>8271+450+10033.2</f>
        <v>18754.2</v>
      </c>
      <c r="G143" s="91">
        <f>Tabla15[[#This Row],[Importe]]-Tabla15[[#This Row],[Pagado]]</f>
        <v>0</v>
      </c>
      <c r="H143" s="92" t="s">
        <v>10</v>
      </c>
    </row>
    <row r="144" spans="1:8" ht="21.75" customHeight="1" x14ac:dyDescent="0.25">
      <c r="A144" s="35">
        <v>44653</v>
      </c>
      <c r="B144" s="90" t="s">
        <v>10720</v>
      </c>
      <c r="C144" s="41" t="s">
        <v>31</v>
      </c>
      <c r="D144" s="87">
        <v>3045.6</v>
      </c>
      <c r="E144" s="35">
        <v>44653</v>
      </c>
      <c r="F144" s="87">
        <v>3045.6</v>
      </c>
      <c r="G144" s="91">
        <f>Tabla15[[#This Row],[Importe]]-Tabla15[[#This Row],[Pagado]]</f>
        <v>0</v>
      </c>
      <c r="H144" s="92" t="s">
        <v>10</v>
      </c>
    </row>
    <row r="145" spans="1:8" ht="21.75" customHeight="1" x14ac:dyDescent="0.25">
      <c r="A145" s="35">
        <v>44653</v>
      </c>
      <c r="B145" s="90" t="s">
        <v>10721</v>
      </c>
      <c r="C145" s="41" t="s">
        <v>9415</v>
      </c>
      <c r="D145" s="87">
        <v>16990.400000000001</v>
      </c>
      <c r="E145" s="35">
        <v>44653</v>
      </c>
      <c r="F145" s="87">
        <v>16990.400000000001</v>
      </c>
      <c r="G145" s="91">
        <f>Tabla15[[#This Row],[Importe]]-Tabla15[[#This Row],[Pagado]]</f>
        <v>0</v>
      </c>
      <c r="H145" s="92" t="s">
        <v>10</v>
      </c>
    </row>
    <row r="146" spans="1:8" ht="21.75" customHeight="1" x14ac:dyDescent="0.25">
      <c r="A146" s="35">
        <v>44653</v>
      </c>
      <c r="B146" s="90" t="s">
        <v>10722</v>
      </c>
      <c r="C146" s="41" t="s">
        <v>125</v>
      </c>
      <c r="D146" s="87">
        <v>1377</v>
      </c>
      <c r="E146" s="35">
        <v>44653</v>
      </c>
      <c r="F146" s="87">
        <v>1377</v>
      </c>
      <c r="G146" s="91">
        <f>Tabla15[[#This Row],[Importe]]-Tabla15[[#This Row],[Pagado]]</f>
        <v>0</v>
      </c>
      <c r="H146" s="92" t="s">
        <v>10</v>
      </c>
    </row>
    <row r="147" spans="1:8" ht="21.75" customHeight="1" x14ac:dyDescent="0.25">
      <c r="A147" s="35">
        <v>44653</v>
      </c>
      <c r="B147" s="90" t="s">
        <v>10723</v>
      </c>
      <c r="C147" s="41" t="s">
        <v>224</v>
      </c>
      <c r="D147" s="87">
        <v>1541.2</v>
      </c>
      <c r="E147" s="35">
        <v>44653</v>
      </c>
      <c r="F147" s="87">
        <v>1541.2</v>
      </c>
      <c r="G147" s="91">
        <f>Tabla15[[#This Row],[Importe]]-Tabla15[[#This Row],[Pagado]]</f>
        <v>0</v>
      </c>
      <c r="H147" s="92" t="s">
        <v>10</v>
      </c>
    </row>
    <row r="148" spans="1:8" ht="21.75" customHeight="1" x14ac:dyDescent="0.25">
      <c r="A148" s="35">
        <v>44653</v>
      </c>
      <c r="B148" s="90" t="s">
        <v>10724</v>
      </c>
      <c r="C148" s="41" t="s">
        <v>131</v>
      </c>
      <c r="D148" s="87">
        <v>17845.099999999999</v>
      </c>
      <c r="E148" s="35">
        <v>44653</v>
      </c>
      <c r="F148" s="87">
        <v>17845.099999999999</v>
      </c>
      <c r="G148" s="91">
        <f>Tabla15[[#This Row],[Importe]]-Tabla15[[#This Row],[Pagado]]</f>
        <v>0</v>
      </c>
      <c r="H148" s="92" t="s">
        <v>10</v>
      </c>
    </row>
    <row r="149" spans="1:8" ht="21.75" customHeight="1" x14ac:dyDescent="0.25">
      <c r="A149" s="35">
        <v>44653</v>
      </c>
      <c r="B149" s="90" t="s">
        <v>10725</v>
      </c>
      <c r="C149" s="41" t="s">
        <v>109</v>
      </c>
      <c r="D149" s="87">
        <v>4266.5</v>
      </c>
      <c r="E149" s="35">
        <v>44655</v>
      </c>
      <c r="F149" s="87">
        <v>4266.5</v>
      </c>
      <c r="G149" s="91">
        <f>Tabla15[[#This Row],[Importe]]-Tabla15[[#This Row],[Pagado]]</f>
        <v>0</v>
      </c>
      <c r="H149" s="92" t="s">
        <v>10</v>
      </c>
    </row>
    <row r="150" spans="1:8" ht="21.75" customHeight="1" x14ac:dyDescent="0.25">
      <c r="A150" s="35">
        <v>44653</v>
      </c>
      <c r="B150" s="90" t="s">
        <v>10726</v>
      </c>
      <c r="C150" s="41" t="s">
        <v>116</v>
      </c>
      <c r="D150" s="87">
        <v>4240</v>
      </c>
      <c r="E150" s="35">
        <v>44655</v>
      </c>
      <c r="F150" s="87">
        <v>4240</v>
      </c>
      <c r="G150" s="91">
        <f>Tabla15[[#This Row],[Importe]]-Tabla15[[#This Row],[Pagado]]</f>
        <v>0</v>
      </c>
      <c r="H150" s="92" t="s">
        <v>10</v>
      </c>
    </row>
    <row r="151" spans="1:8" ht="21.75" customHeight="1" x14ac:dyDescent="0.25">
      <c r="A151" s="35">
        <v>44653</v>
      </c>
      <c r="B151" s="90" t="s">
        <v>10727</v>
      </c>
      <c r="C151" s="41" t="s">
        <v>114</v>
      </c>
      <c r="D151" s="87">
        <v>13994.4</v>
      </c>
      <c r="E151" s="35">
        <v>44655</v>
      </c>
      <c r="F151" s="87">
        <v>13994.4</v>
      </c>
      <c r="G151" s="91">
        <f>Tabla15[[#This Row],[Importe]]-Tabla15[[#This Row],[Pagado]]</f>
        <v>0</v>
      </c>
      <c r="H151" s="92" t="s">
        <v>10</v>
      </c>
    </row>
    <row r="152" spans="1:8" ht="21.75" customHeight="1" x14ac:dyDescent="0.25">
      <c r="A152" s="35">
        <v>44653</v>
      </c>
      <c r="B152" s="90" t="s">
        <v>10728</v>
      </c>
      <c r="C152" s="41" t="s">
        <v>105</v>
      </c>
      <c r="D152" s="87">
        <v>14118.1</v>
      </c>
      <c r="E152" s="35">
        <v>44656</v>
      </c>
      <c r="F152" s="87">
        <v>14118.1</v>
      </c>
      <c r="G152" s="91">
        <f>Tabla15[[#This Row],[Importe]]-Tabla15[[#This Row],[Pagado]]</f>
        <v>0</v>
      </c>
      <c r="H152" s="92" t="s">
        <v>10</v>
      </c>
    </row>
    <row r="153" spans="1:8" ht="21.75" customHeight="1" x14ac:dyDescent="0.25">
      <c r="A153" s="35">
        <v>44653</v>
      </c>
      <c r="B153" s="90" t="s">
        <v>10729</v>
      </c>
      <c r="C153" s="41" t="s">
        <v>27</v>
      </c>
      <c r="D153" s="87">
        <v>2737.1</v>
      </c>
      <c r="E153" s="35">
        <v>44653</v>
      </c>
      <c r="F153" s="87">
        <v>2737.1</v>
      </c>
      <c r="G153" s="91">
        <f>Tabla15[[#This Row],[Importe]]-Tabla15[[#This Row],[Pagado]]</f>
        <v>0</v>
      </c>
      <c r="H153" s="92" t="s">
        <v>10</v>
      </c>
    </row>
    <row r="154" spans="1:8" ht="21.75" customHeight="1" x14ac:dyDescent="0.25">
      <c r="A154" s="35">
        <v>44653</v>
      </c>
      <c r="B154" s="90" t="s">
        <v>10730</v>
      </c>
      <c r="C154" s="41" t="s">
        <v>2151</v>
      </c>
      <c r="D154" s="87">
        <v>41413.9</v>
      </c>
      <c r="E154" s="35">
        <v>44653</v>
      </c>
      <c r="F154" s="87">
        <v>41413.9</v>
      </c>
      <c r="G154" s="91">
        <f>Tabla15[[#This Row],[Importe]]-Tabla15[[#This Row],[Pagado]]</f>
        <v>0</v>
      </c>
      <c r="H154" s="92" t="s">
        <v>10</v>
      </c>
    </row>
    <row r="155" spans="1:8" ht="21.75" customHeight="1" x14ac:dyDescent="0.25">
      <c r="A155" s="35">
        <v>44653</v>
      </c>
      <c r="B155" s="90" t="s">
        <v>10731</v>
      </c>
      <c r="C155" s="41" t="s">
        <v>16</v>
      </c>
      <c r="D155" s="87">
        <v>4978.1000000000004</v>
      </c>
      <c r="E155" s="35">
        <v>44653</v>
      </c>
      <c r="F155" s="87">
        <v>4978.1000000000004</v>
      </c>
      <c r="G155" s="91">
        <f>Tabla15[[#This Row],[Importe]]-Tabla15[[#This Row],[Pagado]]</f>
        <v>0</v>
      </c>
      <c r="H155" s="92" t="s">
        <v>10</v>
      </c>
    </row>
    <row r="156" spans="1:8" ht="21.75" customHeight="1" x14ac:dyDescent="0.25">
      <c r="A156" s="35">
        <v>44653</v>
      </c>
      <c r="B156" s="90" t="s">
        <v>10732</v>
      </c>
      <c r="C156" s="41" t="s">
        <v>99</v>
      </c>
      <c r="D156" s="87">
        <v>13962</v>
      </c>
      <c r="E156" s="35">
        <v>44655</v>
      </c>
      <c r="F156" s="87">
        <v>13962</v>
      </c>
      <c r="G156" s="91">
        <f>Tabla15[[#This Row],[Importe]]-Tabla15[[#This Row],[Pagado]]</f>
        <v>0</v>
      </c>
      <c r="H156" s="92" t="s">
        <v>10</v>
      </c>
    </row>
    <row r="157" spans="1:8" ht="21.75" customHeight="1" x14ac:dyDescent="0.25">
      <c r="A157" s="35">
        <v>44653</v>
      </c>
      <c r="B157" s="90" t="s">
        <v>10733</v>
      </c>
      <c r="C157" s="41" t="s">
        <v>216</v>
      </c>
      <c r="D157" s="87">
        <v>2527.1999999999998</v>
      </c>
      <c r="E157" s="35">
        <v>44653</v>
      </c>
      <c r="F157" s="87">
        <v>2527.1999999999998</v>
      </c>
      <c r="G157" s="91">
        <f>Tabla15[[#This Row],[Importe]]-Tabla15[[#This Row],[Pagado]]</f>
        <v>0</v>
      </c>
      <c r="H157" s="92" t="s">
        <v>10</v>
      </c>
    </row>
    <row r="158" spans="1:8" ht="21.75" customHeight="1" x14ac:dyDescent="0.25">
      <c r="A158" s="35">
        <v>44653</v>
      </c>
      <c r="B158" s="90" t="s">
        <v>10734</v>
      </c>
      <c r="C158" s="41" t="s">
        <v>64</v>
      </c>
      <c r="D158" s="87">
        <v>9024.1</v>
      </c>
      <c r="E158" s="35">
        <v>44656</v>
      </c>
      <c r="F158" s="87">
        <v>9024.1</v>
      </c>
      <c r="G158" s="91">
        <f>Tabla15[[#This Row],[Importe]]-Tabla15[[#This Row],[Pagado]]</f>
        <v>0</v>
      </c>
      <c r="H158" s="92" t="s">
        <v>10</v>
      </c>
    </row>
    <row r="159" spans="1:8" ht="21.75" customHeight="1" x14ac:dyDescent="0.25">
      <c r="A159" s="35">
        <v>44653</v>
      </c>
      <c r="B159" s="90" t="s">
        <v>10735</v>
      </c>
      <c r="C159" s="41" t="s">
        <v>93</v>
      </c>
      <c r="D159" s="87">
        <v>12749.9</v>
      </c>
      <c r="E159" s="35">
        <v>44655</v>
      </c>
      <c r="F159" s="87">
        <v>12749.9</v>
      </c>
      <c r="G159" s="91">
        <f>Tabla15[[#This Row],[Importe]]-Tabla15[[#This Row],[Pagado]]</f>
        <v>0</v>
      </c>
      <c r="H159" s="92" t="s">
        <v>10</v>
      </c>
    </row>
    <row r="160" spans="1:8" ht="21.75" customHeight="1" x14ac:dyDescent="0.25">
      <c r="A160" s="35">
        <v>44653</v>
      </c>
      <c r="B160" s="90" t="s">
        <v>10736</v>
      </c>
      <c r="C160" s="41" t="s">
        <v>348</v>
      </c>
      <c r="D160" s="87">
        <v>4494.8</v>
      </c>
      <c r="E160" s="35">
        <v>44653</v>
      </c>
      <c r="F160" s="87">
        <v>4494.8</v>
      </c>
      <c r="G160" s="91">
        <f>Tabla15[[#This Row],[Importe]]-Tabla15[[#This Row],[Pagado]]</f>
        <v>0</v>
      </c>
      <c r="H160" s="92" t="s">
        <v>10</v>
      </c>
    </row>
    <row r="161" spans="1:8" ht="21.75" customHeight="1" x14ac:dyDescent="0.25">
      <c r="A161" s="35">
        <v>44653</v>
      </c>
      <c r="B161" s="90" t="s">
        <v>10737</v>
      </c>
      <c r="C161" s="41" t="s">
        <v>326</v>
      </c>
      <c r="D161" s="87">
        <v>1269</v>
      </c>
      <c r="E161" s="35">
        <v>44653</v>
      </c>
      <c r="F161" s="87">
        <v>1269</v>
      </c>
      <c r="G161" s="91">
        <f>Tabla15[[#This Row],[Importe]]-Tabla15[[#This Row],[Pagado]]</f>
        <v>0</v>
      </c>
      <c r="H161" s="92" t="s">
        <v>10</v>
      </c>
    </row>
    <row r="162" spans="1:8" ht="21.75" customHeight="1" x14ac:dyDescent="0.25">
      <c r="A162" s="35">
        <v>44653</v>
      </c>
      <c r="B162" s="90" t="s">
        <v>10738</v>
      </c>
      <c r="C162" s="41" t="s">
        <v>120</v>
      </c>
      <c r="D162" s="87">
        <v>4388.3999999999996</v>
      </c>
      <c r="E162" s="35">
        <v>44655</v>
      </c>
      <c r="F162" s="87">
        <v>4388.3999999999996</v>
      </c>
      <c r="G162" s="91">
        <f>Tabla15[[#This Row],[Importe]]-Tabla15[[#This Row],[Pagado]]</f>
        <v>0</v>
      </c>
      <c r="H162" s="92" t="s">
        <v>10</v>
      </c>
    </row>
    <row r="163" spans="1:8" ht="21.75" customHeight="1" x14ac:dyDescent="0.25">
      <c r="A163" s="35">
        <v>44653</v>
      </c>
      <c r="B163" s="90" t="s">
        <v>10739</v>
      </c>
      <c r="C163" s="41" t="s">
        <v>1038</v>
      </c>
      <c r="D163" s="87">
        <v>7299.1</v>
      </c>
      <c r="E163" s="35">
        <v>44653</v>
      </c>
      <c r="F163" s="87">
        <v>7299.1</v>
      </c>
      <c r="G163" s="91">
        <f>Tabla15[[#This Row],[Importe]]-Tabla15[[#This Row],[Pagado]]</f>
        <v>0</v>
      </c>
      <c r="H163" s="92" t="s">
        <v>10</v>
      </c>
    </row>
    <row r="164" spans="1:8" ht="21.75" customHeight="1" x14ac:dyDescent="0.25">
      <c r="A164" s="35">
        <v>44653</v>
      </c>
      <c r="B164" s="90" t="s">
        <v>10740</v>
      </c>
      <c r="C164" s="41" t="s">
        <v>16</v>
      </c>
      <c r="D164" s="87">
        <v>524.79999999999995</v>
      </c>
      <c r="E164" s="35">
        <v>44653</v>
      </c>
      <c r="F164" s="87">
        <v>524.79999999999995</v>
      </c>
      <c r="G164" s="91">
        <f>Tabla15[[#This Row],[Importe]]-Tabla15[[#This Row],[Pagado]]</f>
        <v>0</v>
      </c>
      <c r="H164" s="92" t="s">
        <v>10</v>
      </c>
    </row>
    <row r="165" spans="1:8" ht="21.75" customHeight="1" x14ac:dyDescent="0.25">
      <c r="A165" s="35">
        <v>44653</v>
      </c>
      <c r="B165" s="90" t="s">
        <v>10741</v>
      </c>
      <c r="C165" s="41" t="s">
        <v>10742</v>
      </c>
      <c r="D165" s="87">
        <v>8866.9</v>
      </c>
      <c r="E165" s="35">
        <v>44655</v>
      </c>
      <c r="F165" s="87">
        <v>8866.9</v>
      </c>
      <c r="G165" s="91">
        <f>Tabla15[[#This Row],[Importe]]-Tabla15[[#This Row],[Pagado]]</f>
        <v>0</v>
      </c>
      <c r="H165" s="92" t="s">
        <v>10</v>
      </c>
    </row>
    <row r="166" spans="1:8" ht="21.75" customHeight="1" x14ac:dyDescent="0.25">
      <c r="A166" s="35">
        <v>44653</v>
      </c>
      <c r="B166" s="90" t="s">
        <v>10743</v>
      </c>
      <c r="C166" s="41" t="s">
        <v>5043</v>
      </c>
      <c r="D166" s="87">
        <v>4123.3999999999996</v>
      </c>
      <c r="E166" s="35">
        <v>44655</v>
      </c>
      <c r="F166" s="87">
        <v>4123.3999999999996</v>
      </c>
      <c r="G166" s="91">
        <f>Tabla15[[#This Row],[Importe]]-Tabla15[[#This Row],[Pagado]]</f>
        <v>0</v>
      </c>
      <c r="H166" s="92" t="s">
        <v>10</v>
      </c>
    </row>
    <row r="167" spans="1:8" ht="21.75" customHeight="1" x14ac:dyDescent="0.25">
      <c r="A167" s="35">
        <v>44653</v>
      </c>
      <c r="B167" s="90" t="s">
        <v>10744</v>
      </c>
      <c r="C167" s="41" t="s">
        <v>89</v>
      </c>
      <c r="D167" s="87">
        <v>7792</v>
      </c>
      <c r="E167" s="35">
        <v>44655</v>
      </c>
      <c r="F167" s="87">
        <v>7792</v>
      </c>
      <c r="G167" s="91">
        <f>Tabla15[[#This Row],[Importe]]-Tabla15[[#This Row],[Pagado]]</f>
        <v>0</v>
      </c>
      <c r="H167" s="92" t="s">
        <v>10</v>
      </c>
    </row>
    <row r="168" spans="1:8" ht="21.75" customHeight="1" x14ac:dyDescent="0.25">
      <c r="A168" s="35">
        <v>44653</v>
      </c>
      <c r="B168" s="90" t="s">
        <v>10745</v>
      </c>
      <c r="C168" s="41" t="s">
        <v>2563</v>
      </c>
      <c r="D168" s="87">
        <v>4605.7</v>
      </c>
      <c r="E168" s="35">
        <v>44653</v>
      </c>
      <c r="F168" s="87">
        <v>4605.7</v>
      </c>
      <c r="G168" s="91">
        <f>Tabla15[[#This Row],[Importe]]-Tabla15[[#This Row],[Pagado]]</f>
        <v>0</v>
      </c>
      <c r="H168" s="92" t="s">
        <v>10</v>
      </c>
    </row>
    <row r="169" spans="1:8" ht="31.5" x14ac:dyDescent="0.25">
      <c r="A169" s="35">
        <v>44653</v>
      </c>
      <c r="B169" s="90" t="s">
        <v>10746</v>
      </c>
      <c r="C169" s="41" t="s">
        <v>10747</v>
      </c>
      <c r="D169" s="87">
        <v>4107.5</v>
      </c>
      <c r="E169" s="35" t="s">
        <v>10575</v>
      </c>
      <c r="F169" s="87">
        <f>4000+107.5</f>
        <v>4107.5</v>
      </c>
      <c r="G169" s="91">
        <f>Tabla15[[#This Row],[Importe]]-Tabla15[[#This Row],[Pagado]]</f>
        <v>0</v>
      </c>
      <c r="H169" s="92" t="s">
        <v>10</v>
      </c>
    </row>
    <row r="170" spans="1:8" ht="21.75" customHeight="1" x14ac:dyDescent="0.25">
      <c r="A170" s="35">
        <v>44653</v>
      </c>
      <c r="B170" s="90" t="s">
        <v>10748</v>
      </c>
      <c r="C170" s="41" t="s">
        <v>39</v>
      </c>
      <c r="D170" s="87">
        <v>38223.4</v>
      </c>
      <c r="E170" s="35">
        <v>44656</v>
      </c>
      <c r="F170" s="87">
        <v>38223.4</v>
      </c>
      <c r="G170" s="91">
        <f>Tabla15[[#This Row],[Importe]]-Tabla15[[#This Row],[Pagado]]</f>
        <v>0</v>
      </c>
      <c r="H170" s="92" t="s">
        <v>10</v>
      </c>
    </row>
    <row r="171" spans="1:8" ht="21.75" customHeight="1" x14ac:dyDescent="0.25">
      <c r="A171" s="35">
        <v>44653</v>
      </c>
      <c r="B171" s="90" t="s">
        <v>10749</v>
      </c>
      <c r="C171" s="41" t="s">
        <v>196</v>
      </c>
      <c r="D171" s="87">
        <v>93380.9</v>
      </c>
      <c r="E171" s="35">
        <v>44659</v>
      </c>
      <c r="F171" s="87">
        <v>93380.9</v>
      </c>
      <c r="G171" s="91">
        <f>Tabla15[[#This Row],[Importe]]-Tabla15[[#This Row],[Pagado]]</f>
        <v>0</v>
      </c>
      <c r="H171" s="92" t="s">
        <v>10</v>
      </c>
    </row>
    <row r="172" spans="1:8" ht="21.75" customHeight="1" x14ac:dyDescent="0.25">
      <c r="A172" s="35">
        <v>44653</v>
      </c>
      <c r="B172" s="90" t="s">
        <v>10750</v>
      </c>
      <c r="C172" s="41" t="s">
        <v>161</v>
      </c>
      <c r="D172" s="87">
        <v>7478.6</v>
      </c>
      <c r="E172" s="35">
        <v>44653</v>
      </c>
      <c r="F172" s="87">
        <v>7478.6</v>
      </c>
      <c r="G172" s="91">
        <f>Tabla15[[#This Row],[Importe]]-Tabla15[[#This Row],[Pagado]]</f>
        <v>0</v>
      </c>
      <c r="H172" s="92" t="s">
        <v>10</v>
      </c>
    </row>
    <row r="173" spans="1:8" ht="21.75" customHeight="1" x14ac:dyDescent="0.25">
      <c r="A173" s="35">
        <v>44653</v>
      </c>
      <c r="B173" s="90" t="s">
        <v>10751</v>
      </c>
      <c r="C173" s="41" t="s">
        <v>85</v>
      </c>
      <c r="D173" s="87">
        <v>5788.4</v>
      </c>
      <c r="E173" s="35">
        <v>44653</v>
      </c>
      <c r="F173" s="87">
        <v>5788.4</v>
      </c>
      <c r="G173" s="91">
        <f>Tabla15[[#This Row],[Importe]]-Tabla15[[#This Row],[Pagado]]</f>
        <v>0</v>
      </c>
      <c r="H173" s="92" t="s">
        <v>10</v>
      </c>
    </row>
    <row r="174" spans="1:8" ht="21.75" customHeight="1" x14ac:dyDescent="0.25">
      <c r="A174" s="35">
        <v>44653</v>
      </c>
      <c r="B174" s="90" t="s">
        <v>10752</v>
      </c>
      <c r="C174" s="41" t="s">
        <v>97</v>
      </c>
      <c r="D174" s="87">
        <v>19624.099999999999</v>
      </c>
      <c r="E174" s="35">
        <v>44655</v>
      </c>
      <c r="F174" s="87">
        <v>19624.099999999999</v>
      </c>
      <c r="G174" s="91">
        <f>Tabla15[[#This Row],[Importe]]-Tabla15[[#This Row],[Pagado]]</f>
        <v>0</v>
      </c>
      <c r="H174" s="92" t="s">
        <v>10</v>
      </c>
    </row>
    <row r="175" spans="1:8" ht="21.75" customHeight="1" x14ac:dyDescent="0.25">
      <c r="A175" s="35">
        <v>44653</v>
      </c>
      <c r="B175" s="90" t="s">
        <v>10753</v>
      </c>
      <c r="C175" s="41" t="s">
        <v>89</v>
      </c>
      <c r="D175" s="87">
        <v>374.4</v>
      </c>
      <c r="E175" s="35">
        <v>44655</v>
      </c>
      <c r="F175" s="87">
        <v>374.4</v>
      </c>
      <c r="G175" s="91">
        <f>Tabla15[[#This Row],[Importe]]-Tabla15[[#This Row],[Pagado]]</f>
        <v>0</v>
      </c>
      <c r="H175" s="92" t="s">
        <v>10</v>
      </c>
    </row>
    <row r="176" spans="1:8" ht="21.75" customHeight="1" x14ac:dyDescent="0.25">
      <c r="A176" s="35">
        <v>44653</v>
      </c>
      <c r="B176" s="90" t="s">
        <v>10754</v>
      </c>
      <c r="C176" s="41" t="s">
        <v>111</v>
      </c>
      <c r="D176" s="87">
        <v>9261.6</v>
      </c>
      <c r="E176" s="35">
        <v>44655</v>
      </c>
      <c r="F176" s="87">
        <v>9261.6</v>
      </c>
      <c r="G176" s="91">
        <f>Tabla15[[#This Row],[Importe]]-Tabla15[[#This Row],[Pagado]]</f>
        <v>0</v>
      </c>
      <c r="H176" s="92" t="s">
        <v>10</v>
      </c>
    </row>
    <row r="177" spans="1:8" ht="21.75" customHeight="1" x14ac:dyDescent="0.25">
      <c r="A177" s="35">
        <v>44653</v>
      </c>
      <c r="B177" s="90" t="s">
        <v>10755</v>
      </c>
      <c r="C177" s="41" t="s">
        <v>60</v>
      </c>
      <c r="D177" s="87">
        <v>3667.6</v>
      </c>
      <c r="E177" s="35">
        <v>44657</v>
      </c>
      <c r="F177" s="87">
        <v>3667.6</v>
      </c>
      <c r="G177" s="91">
        <f>Tabla15[[#This Row],[Importe]]-Tabla15[[#This Row],[Pagado]]</f>
        <v>0</v>
      </c>
      <c r="H177" s="92" t="s">
        <v>10</v>
      </c>
    </row>
    <row r="178" spans="1:8" ht="21.75" customHeight="1" x14ac:dyDescent="0.25">
      <c r="A178" s="35">
        <v>44653</v>
      </c>
      <c r="B178" s="90" t="s">
        <v>10756</v>
      </c>
      <c r="C178" s="41" t="s">
        <v>129</v>
      </c>
      <c r="D178" s="87">
        <v>5364</v>
      </c>
      <c r="E178" s="35">
        <v>44653</v>
      </c>
      <c r="F178" s="87">
        <v>5364</v>
      </c>
      <c r="G178" s="91">
        <f>Tabla15[[#This Row],[Importe]]-Tabla15[[#This Row],[Pagado]]</f>
        <v>0</v>
      </c>
      <c r="H178" s="92" t="s">
        <v>10</v>
      </c>
    </row>
    <row r="179" spans="1:8" ht="21.75" customHeight="1" x14ac:dyDescent="0.25">
      <c r="A179" s="35">
        <v>44653</v>
      </c>
      <c r="B179" s="90" t="s">
        <v>10757</v>
      </c>
      <c r="C179" s="41" t="s">
        <v>60</v>
      </c>
      <c r="D179" s="87">
        <v>361.4</v>
      </c>
      <c r="E179" s="35">
        <v>44657</v>
      </c>
      <c r="F179" s="87">
        <v>361.4</v>
      </c>
      <c r="G179" s="91">
        <f>Tabla15[[#This Row],[Importe]]-Tabla15[[#This Row],[Pagado]]</f>
        <v>0</v>
      </c>
      <c r="H179" s="92" t="s">
        <v>10</v>
      </c>
    </row>
    <row r="180" spans="1:8" ht="21.75" customHeight="1" x14ac:dyDescent="0.25">
      <c r="A180" s="35">
        <v>44653</v>
      </c>
      <c r="B180" s="90" t="s">
        <v>10758</v>
      </c>
      <c r="C180" s="41" t="s">
        <v>357</v>
      </c>
      <c r="D180" s="87">
        <v>957</v>
      </c>
      <c r="E180" s="35">
        <v>44653</v>
      </c>
      <c r="F180" s="87">
        <v>957</v>
      </c>
      <c r="G180" s="91">
        <f>Tabla15[[#This Row],[Importe]]-Tabla15[[#This Row],[Pagado]]</f>
        <v>0</v>
      </c>
      <c r="H180" s="92" t="s">
        <v>10</v>
      </c>
    </row>
    <row r="181" spans="1:8" ht="21.75" customHeight="1" x14ac:dyDescent="0.25">
      <c r="A181" s="35">
        <v>44653</v>
      </c>
      <c r="B181" s="90" t="s">
        <v>10759</v>
      </c>
      <c r="C181" s="41" t="s">
        <v>339</v>
      </c>
      <c r="D181" s="87">
        <v>528</v>
      </c>
      <c r="E181" s="35">
        <v>44653</v>
      </c>
      <c r="F181" s="87">
        <v>528</v>
      </c>
      <c r="G181" s="91">
        <f>Tabla15[[#This Row],[Importe]]-Tabla15[[#This Row],[Pagado]]</f>
        <v>0</v>
      </c>
      <c r="H181" s="92" t="s">
        <v>10</v>
      </c>
    </row>
    <row r="182" spans="1:8" ht="21.75" customHeight="1" x14ac:dyDescent="0.25">
      <c r="A182" s="35">
        <v>44653</v>
      </c>
      <c r="B182" s="90" t="s">
        <v>10760</v>
      </c>
      <c r="C182" s="41" t="s">
        <v>127</v>
      </c>
      <c r="D182" s="87">
        <v>3215</v>
      </c>
      <c r="E182" s="35">
        <v>44653</v>
      </c>
      <c r="F182" s="87">
        <v>3215</v>
      </c>
      <c r="G182" s="91">
        <f>Tabla15[[#This Row],[Importe]]-Tabla15[[#This Row],[Pagado]]</f>
        <v>0</v>
      </c>
      <c r="H182" s="92" t="s">
        <v>10</v>
      </c>
    </row>
    <row r="183" spans="1:8" ht="21.75" customHeight="1" x14ac:dyDescent="0.25">
      <c r="A183" s="35">
        <v>44653</v>
      </c>
      <c r="B183" s="90" t="s">
        <v>10761</v>
      </c>
      <c r="C183" s="41" t="s">
        <v>135</v>
      </c>
      <c r="D183" s="87">
        <v>1210</v>
      </c>
      <c r="E183" s="35">
        <v>44653</v>
      </c>
      <c r="F183" s="87">
        <v>1210</v>
      </c>
      <c r="G183" s="91">
        <f>Tabla15[[#This Row],[Importe]]-Tabla15[[#This Row],[Pagado]]</f>
        <v>0</v>
      </c>
      <c r="H183" s="92" t="s">
        <v>10</v>
      </c>
    </row>
    <row r="184" spans="1:8" ht="21.75" customHeight="1" x14ac:dyDescent="0.25">
      <c r="A184" s="35">
        <v>44653</v>
      </c>
      <c r="B184" s="90" t="s">
        <v>10762</v>
      </c>
      <c r="C184" s="41" t="s">
        <v>140</v>
      </c>
      <c r="D184" s="87">
        <v>1375</v>
      </c>
      <c r="E184" s="35">
        <v>44653</v>
      </c>
      <c r="F184" s="87">
        <v>1375</v>
      </c>
      <c r="G184" s="91">
        <f>Tabla15[[#This Row],[Importe]]-Tabla15[[#This Row],[Pagado]]</f>
        <v>0</v>
      </c>
      <c r="H184" s="92" t="s">
        <v>10</v>
      </c>
    </row>
    <row r="185" spans="1:8" ht="21.75" customHeight="1" x14ac:dyDescent="0.25">
      <c r="A185" s="35">
        <v>44653</v>
      </c>
      <c r="B185" s="90" t="s">
        <v>10763</v>
      </c>
      <c r="C185" s="41" t="s">
        <v>49</v>
      </c>
      <c r="D185" s="87">
        <v>4478.2</v>
      </c>
      <c r="E185" s="35">
        <v>44653</v>
      </c>
      <c r="F185" s="87">
        <v>4478.2</v>
      </c>
      <c r="G185" s="91">
        <f>Tabla15[[#This Row],[Importe]]-Tabla15[[#This Row],[Pagado]]</f>
        <v>0</v>
      </c>
      <c r="H185" s="92" t="s">
        <v>10</v>
      </c>
    </row>
    <row r="186" spans="1:8" ht="21.75" customHeight="1" x14ac:dyDescent="0.25">
      <c r="A186" s="35">
        <v>44653</v>
      </c>
      <c r="B186" s="90" t="s">
        <v>10764</v>
      </c>
      <c r="C186" s="41" t="s">
        <v>45</v>
      </c>
      <c r="D186" s="87">
        <v>12367.5</v>
      </c>
      <c r="E186" s="35">
        <v>44653</v>
      </c>
      <c r="F186" s="87">
        <v>12367.5</v>
      </c>
      <c r="G186" s="91">
        <f>Tabla15[[#This Row],[Importe]]-Tabla15[[#This Row],[Pagado]]</f>
        <v>0</v>
      </c>
      <c r="H186" s="92" t="s">
        <v>10</v>
      </c>
    </row>
    <row r="187" spans="1:8" ht="21.75" customHeight="1" x14ac:dyDescent="0.25">
      <c r="A187" s="35">
        <v>44653</v>
      </c>
      <c r="B187" s="90" t="s">
        <v>10765</v>
      </c>
      <c r="C187" s="41" t="s">
        <v>29</v>
      </c>
      <c r="D187" s="87">
        <v>8391.6</v>
      </c>
      <c r="E187" s="35">
        <v>44653</v>
      </c>
      <c r="F187" s="87">
        <v>8391.6</v>
      </c>
      <c r="G187" s="91">
        <f>Tabla15[[#This Row],[Importe]]-Tabla15[[#This Row],[Pagado]]</f>
        <v>0</v>
      </c>
      <c r="H187" s="92" t="s">
        <v>10</v>
      </c>
    </row>
    <row r="188" spans="1:8" ht="21.75" customHeight="1" x14ac:dyDescent="0.25">
      <c r="A188" s="35">
        <v>44653</v>
      </c>
      <c r="B188" s="90" t="s">
        <v>10766</v>
      </c>
      <c r="C188" s="41" t="s">
        <v>289</v>
      </c>
      <c r="D188" s="87">
        <v>9732.6</v>
      </c>
      <c r="E188" s="35">
        <v>44653</v>
      </c>
      <c r="F188" s="87">
        <v>9732.6</v>
      </c>
      <c r="G188" s="91">
        <f>Tabla15[[#This Row],[Importe]]-Tabla15[[#This Row],[Pagado]]</f>
        <v>0</v>
      </c>
      <c r="H188" s="92" t="s">
        <v>10</v>
      </c>
    </row>
    <row r="189" spans="1:8" ht="21.75" customHeight="1" x14ac:dyDescent="0.25">
      <c r="A189" s="35">
        <v>44653</v>
      </c>
      <c r="B189" s="90" t="s">
        <v>10767</v>
      </c>
      <c r="C189" s="41" t="s">
        <v>142</v>
      </c>
      <c r="D189" s="87">
        <v>56947.7</v>
      </c>
      <c r="E189" s="35">
        <v>44670</v>
      </c>
      <c r="F189" s="87">
        <v>56947.7</v>
      </c>
      <c r="G189" s="91">
        <f>Tabla15[[#This Row],[Importe]]-Tabla15[[#This Row],[Pagado]]</f>
        <v>0</v>
      </c>
      <c r="H189" s="92" t="s">
        <v>10</v>
      </c>
    </row>
    <row r="190" spans="1:8" ht="21.75" customHeight="1" x14ac:dyDescent="0.25">
      <c r="A190" s="35">
        <v>44653</v>
      </c>
      <c r="B190" s="90" t="s">
        <v>10768</v>
      </c>
      <c r="C190" s="41" t="s">
        <v>31</v>
      </c>
      <c r="D190" s="87">
        <v>1304.3</v>
      </c>
      <c r="E190" s="35">
        <v>44653</v>
      </c>
      <c r="F190" s="87">
        <v>1304.3</v>
      </c>
      <c r="G190" s="91">
        <f>Tabla15[[#This Row],[Importe]]-Tabla15[[#This Row],[Pagado]]</f>
        <v>0</v>
      </c>
      <c r="H190" s="92" t="s">
        <v>10</v>
      </c>
    </row>
    <row r="191" spans="1:8" ht="21.75" customHeight="1" x14ac:dyDescent="0.25">
      <c r="A191" s="35">
        <v>44653</v>
      </c>
      <c r="B191" s="90" t="s">
        <v>10769</v>
      </c>
      <c r="C191" s="41" t="s">
        <v>62</v>
      </c>
      <c r="D191" s="87">
        <v>3389.4</v>
      </c>
      <c r="E191" s="35">
        <v>44653</v>
      </c>
      <c r="F191" s="87">
        <v>3389.4</v>
      </c>
      <c r="G191" s="91">
        <f>Tabla15[[#This Row],[Importe]]-Tabla15[[#This Row],[Pagado]]</f>
        <v>0</v>
      </c>
      <c r="H191" s="92" t="s">
        <v>10</v>
      </c>
    </row>
    <row r="192" spans="1:8" ht="21.75" customHeight="1" x14ac:dyDescent="0.25">
      <c r="A192" s="35">
        <v>44653</v>
      </c>
      <c r="B192" s="90" t="s">
        <v>10770</v>
      </c>
      <c r="C192" s="41" t="s">
        <v>230</v>
      </c>
      <c r="D192" s="87">
        <v>1533.6</v>
      </c>
      <c r="E192" s="35">
        <v>44653</v>
      </c>
      <c r="F192" s="87">
        <v>1533.6</v>
      </c>
      <c r="G192" s="91">
        <f>Tabla15[[#This Row],[Importe]]-Tabla15[[#This Row],[Pagado]]</f>
        <v>0</v>
      </c>
      <c r="H192" s="92" t="s">
        <v>10</v>
      </c>
    </row>
    <row r="193" spans="1:8" ht="21.75" customHeight="1" x14ac:dyDescent="0.25">
      <c r="A193" s="35">
        <v>44653</v>
      </c>
      <c r="B193" s="90" t="s">
        <v>10771</v>
      </c>
      <c r="C193" s="41" t="s">
        <v>31</v>
      </c>
      <c r="D193" s="87">
        <v>193.8</v>
      </c>
      <c r="E193" s="35">
        <v>44653</v>
      </c>
      <c r="F193" s="87">
        <v>193.8</v>
      </c>
      <c r="G193" s="91">
        <f>Tabla15[[#This Row],[Importe]]-Tabla15[[#This Row],[Pagado]]</f>
        <v>0</v>
      </c>
      <c r="H193" s="92" t="s">
        <v>10</v>
      </c>
    </row>
    <row r="194" spans="1:8" ht="21.75" customHeight="1" x14ac:dyDescent="0.25">
      <c r="A194" s="35">
        <v>44653</v>
      </c>
      <c r="B194" s="90" t="s">
        <v>10772</v>
      </c>
      <c r="C194" s="41" t="s">
        <v>62</v>
      </c>
      <c r="D194" s="87">
        <v>618.79999999999995</v>
      </c>
      <c r="E194" s="35">
        <v>44653</v>
      </c>
      <c r="F194" s="87">
        <v>618.79999999999995</v>
      </c>
      <c r="G194" s="91">
        <f>Tabla15[[#This Row],[Importe]]-Tabla15[[#This Row],[Pagado]]</f>
        <v>0</v>
      </c>
      <c r="H194" s="92" t="s">
        <v>10</v>
      </c>
    </row>
    <row r="195" spans="1:8" ht="21.75" customHeight="1" x14ac:dyDescent="0.25">
      <c r="A195" s="35">
        <v>44653</v>
      </c>
      <c r="B195" s="90" t="s">
        <v>10773</v>
      </c>
      <c r="C195" s="41" t="s">
        <v>33</v>
      </c>
      <c r="D195" s="87">
        <v>18995.099999999999</v>
      </c>
      <c r="E195" s="35">
        <v>44653</v>
      </c>
      <c r="F195" s="87">
        <v>18995.099999999999</v>
      </c>
      <c r="G195" s="91">
        <f>Tabla15[[#This Row],[Importe]]-Tabla15[[#This Row],[Pagado]]</f>
        <v>0</v>
      </c>
      <c r="H195" s="92" t="s">
        <v>10</v>
      </c>
    </row>
    <row r="196" spans="1:8" ht="21.75" customHeight="1" x14ac:dyDescent="0.25">
      <c r="A196" s="35">
        <v>44653</v>
      </c>
      <c r="B196" s="90" t="s">
        <v>10774</v>
      </c>
      <c r="C196" s="41" t="s">
        <v>10775</v>
      </c>
      <c r="D196" s="87">
        <v>0</v>
      </c>
      <c r="E196" s="39" t="s">
        <v>189</v>
      </c>
      <c r="F196" s="87">
        <v>0</v>
      </c>
      <c r="G196" s="91">
        <f>Tabla15[[#This Row],[Importe]]-Tabla15[[#This Row],[Pagado]]</f>
        <v>0</v>
      </c>
      <c r="H196" s="92" t="s">
        <v>189</v>
      </c>
    </row>
    <row r="197" spans="1:8" ht="21.75" customHeight="1" x14ac:dyDescent="0.25">
      <c r="A197" s="35">
        <v>44653</v>
      </c>
      <c r="B197" s="90" t="s">
        <v>10776</v>
      </c>
      <c r="C197" s="41" t="s">
        <v>4136</v>
      </c>
      <c r="D197" s="87">
        <v>4334.3999999999996</v>
      </c>
      <c r="E197" s="35">
        <v>44653</v>
      </c>
      <c r="F197" s="87">
        <v>4334.3999999999996</v>
      </c>
      <c r="G197" s="91">
        <f>Tabla15[[#This Row],[Importe]]-Tabla15[[#This Row],[Pagado]]</f>
        <v>0</v>
      </c>
      <c r="H197" s="92" t="s">
        <v>10</v>
      </c>
    </row>
    <row r="198" spans="1:8" ht="21.75" customHeight="1" x14ac:dyDescent="0.25">
      <c r="A198" s="35">
        <v>44653</v>
      </c>
      <c r="B198" s="90" t="s">
        <v>10777</v>
      </c>
      <c r="C198" s="41" t="s">
        <v>56</v>
      </c>
      <c r="D198" s="87">
        <v>2923.4</v>
      </c>
      <c r="E198" s="35">
        <v>44653</v>
      </c>
      <c r="F198" s="87">
        <v>2923.4</v>
      </c>
      <c r="G198" s="91">
        <f>Tabla15[[#This Row],[Importe]]-Tabla15[[#This Row],[Pagado]]</f>
        <v>0</v>
      </c>
      <c r="H198" s="92" t="s">
        <v>10</v>
      </c>
    </row>
    <row r="199" spans="1:8" ht="21.75" customHeight="1" x14ac:dyDescent="0.25">
      <c r="A199" s="35">
        <v>44653</v>
      </c>
      <c r="B199" s="90" t="s">
        <v>10778</v>
      </c>
      <c r="C199" s="41" t="s">
        <v>319</v>
      </c>
      <c r="D199" s="87">
        <v>11874.9</v>
      </c>
      <c r="E199" s="35">
        <v>44654</v>
      </c>
      <c r="F199" s="87">
        <v>11874.9</v>
      </c>
      <c r="G199" s="91">
        <f>Tabla15[[#This Row],[Importe]]-Tabla15[[#This Row],[Pagado]]</f>
        <v>0</v>
      </c>
      <c r="H199" s="92" t="s">
        <v>10</v>
      </c>
    </row>
    <row r="200" spans="1:8" ht="21.75" customHeight="1" x14ac:dyDescent="0.25">
      <c r="A200" s="35">
        <v>44653</v>
      </c>
      <c r="B200" s="90" t="s">
        <v>10779</v>
      </c>
      <c r="C200" s="41" t="s">
        <v>56</v>
      </c>
      <c r="D200" s="87">
        <v>358.8</v>
      </c>
      <c r="E200" s="35">
        <v>44653</v>
      </c>
      <c r="F200" s="87">
        <v>358.8</v>
      </c>
      <c r="G200" s="91">
        <f>Tabla15[[#This Row],[Importe]]-Tabla15[[#This Row],[Pagado]]</f>
        <v>0</v>
      </c>
      <c r="H200" s="92" t="s">
        <v>10</v>
      </c>
    </row>
    <row r="201" spans="1:8" ht="21.75" customHeight="1" x14ac:dyDescent="0.25">
      <c r="A201" s="35">
        <v>44653</v>
      </c>
      <c r="B201" s="90" t="s">
        <v>10780</v>
      </c>
      <c r="C201" s="41" t="s">
        <v>520</v>
      </c>
      <c r="D201" s="87">
        <v>15931.3</v>
      </c>
      <c r="E201" s="35">
        <v>44654</v>
      </c>
      <c r="F201" s="87">
        <v>15931.3</v>
      </c>
      <c r="G201" s="91">
        <f>Tabla15[[#This Row],[Importe]]-Tabla15[[#This Row],[Pagado]]</f>
        <v>0</v>
      </c>
      <c r="H201" s="92" t="s">
        <v>10</v>
      </c>
    </row>
    <row r="202" spans="1:8" ht="21.75" customHeight="1" x14ac:dyDescent="0.25">
      <c r="A202" s="35">
        <v>44653</v>
      </c>
      <c r="B202" s="90" t="s">
        <v>10781</v>
      </c>
      <c r="C202" s="41" t="s">
        <v>319</v>
      </c>
      <c r="D202" s="87">
        <v>527.20000000000005</v>
      </c>
      <c r="E202" s="35">
        <v>44654</v>
      </c>
      <c r="F202" s="87">
        <v>527.20000000000005</v>
      </c>
      <c r="G202" s="91">
        <f>Tabla15[[#This Row],[Importe]]-Tabla15[[#This Row],[Pagado]]</f>
        <v>0</v>
      </c>
      <c r="H202" s="92" t="s">
        <v>10</v>
      </c>
    </row>
    <row r="203" spans="1:8" ht="21.75" customHeight="1" x14ac:dyDescent="0.25">
      <c r="A203" s="35">
        <v>44653</v>
      </c>
      <c r="B203" s="90" t="s">
        <v>10782</v>
      </c>
      <c r="C203" s="41" t="s">
        <v>157</v>
      </c>
      <c r="D203" s="87">
        <v>5208</v>
      </c>
      <c r="E203" s="35">
        <v>44654</v>
      </c>
      <c r="F203" s="87">
        <v>5208</v>
      </c>
      <c r="G203" s="91">
        <f>Tabla15[[#This Row],[Importe]]-Tabla15[[#This Row],[Pagado]]</f>
        <v>0</v>
      </c>
      <c r="H203" s="92" t="s">
        <v>10</v>
      </c>
    </row>
    <row r="204" spans="1:8" ht="21.75" customHeight="1" x14ac:dyDescent="0.25">
      <c r="A204" s="35">
        <v>44653</v>
      </c>
      <c r="B204" s="90" t="s">
        <v>10783</v>
      </c>
      <c r="C204" s="41" t="s">
        <v>159</v>
      </c>
      <c r="D204" s="87">
        <v>1564</v>
      </c>
      <c r="E204" s="35">
        <v>44654</v>
      </c>
      <c r="F204" s="87">
        <v>1564</v>
      </c>
      <c r="G204" s="91">
        <f>Tabla15[[#This Row],[Importe]]-Tabla15[[#This Row],[Pagado]]</f>
        <v>0</v>
      </c>
      <c r="H204" s="92" t="s">
        <v>10</v>
      </c>
    </row>
    <row r="205" spans="1:8" ht="21.75" customHeight="1" x14ac:dyDescent="0.25">
      <c r="A205" s="35">
        <v>44653</v>
      </c>
      <c r="B205" s="90" t="s">
        <v>10784</v>
      </c>
      <c r="C205" s="41" t="s">
        <v>159</v>
      </c>
      <c r="D205" s="87">
        <v>1082.4000000000001</v>
      </c>
      <c r="E205" s="35">
        <v>44654</v>
      </c>
      <c r="F205" s="87">
        <v>1082.4000000000001</v>
      </c>
      <c r="G205" s="91">
        <f>Tabla15[[#This Row],[Importe]]-Tabla15[[#This Row],[Pagado]]</f>
        <v>0</v>
      </c>
      <c r="H205" s="92" t="s">
        <v>10</v>
      </c>
    </row>
    <row r="206" spans="1:8" ht="21.75" customHeight="1" x14ac:dyDescent="0.25">
      <c r="A206" s="35">
        <v>44653</v>
      </c>
      <c r="B206" s="90" t="s">
        <v>10785</v>
      </c>
      <c r="C206" s="41" t="s">
        <v>966</v>
      </c>
      <c r="D206" s="87">
        <v>3400.44</v>
      </c>
      <c r="E206" s="35">
        <v>44654</v>
      </c>
      <c r="F206" s="87">
        <v>3400.44</v>
      </c>
      <c r="G206" s="91">
        <f>Tabla15[[#This Row],[Importe]]-Tabla15[[#This Row],[Pagado]]</f>
        <v>0</v>
      </c>
      <c r="H206" s="92" t="s">
        <v>10</v>
      </c>
    </row>
    <row r="207" spans="1:8" ht="21.75" customHeight="1" x14ac:dyDescent="0.25">
      <c r="A207" s="35">
        <v>44653</v>
      </c>
      <c r="B207" s="90" t="s">
        <v>10786</v>
      </c>
      <c r="C207" s="41" t="s">
        <v>518</v>
      </c>
      <c r="D207" s="87">
        <v>1962.4</v>
      </c>
      <c r="E207" s="35">
        <v>44654</v>
      </c>
      <c r="F207" s="87">
        <v>1962.4</v>
      </c>
      <c r="G207" s="91">
        <f>Tabla15[[#This Row],[Importe]]-Tabla15[[#This Row],[Pagado]]</f>
        <v>0</v>
      </c>
      <c r="H207" s="92" t="s">
        <v>10</v>
      </c>
    </row>
    <row r="208" spans="1:8" ht="21.75" customHeight="1" x14ac:dyDescent="0.25">
      <c r="A208" s="35">
        <v>44653</v>
      </c>
      <c r="B208" s="90" t="s">
        <v>10787</v>
      </c>
      <c r="C208" s="41" t="s">
        <v>518</v>
      </c>
      <c r="D208" s="87">
        <v>842.4</v>
      </c>
      <c r="E208" s="35">
        <v>44654</v>
      </c>
      <c r="F208" s="87">
        <v>842.4</v>
      </c>
      <c r="G208" s="91">
        <f>Tabla15[[#This Row],[Importe]]-Tabla15[[#This Row],[Pagado]]</f>
        <v>0</v>
      </c>
      <c r="H208" s="92" t="s">
        <v>10</v>
      </c>
    </row>
    <row r="209" spans="1:8" ht="21.75" customHeight="1" x14ac:dyDescent="0.25">
      <c r="A209" s="35">
        <v>44653</v>
      </c>
      <c r="B209" s="90" t="s">
        <v>10788</v>
      </c>
      <c r="C209" s="41" t="s">
        <v>371</v>
      </c>
      <c r="D209" s="87">
        <v>4329.8999999999996</v>
      </c>
      <c r="E209" s="35">
        <v>44654</v>
      </c>
      <c r="F209" s="87">
        <v>4329.8999999999996</v>
      </c>
      <c r="G209" s="91">
        <f>Tabla15[[#This Row],[Importe]]-Tabla15[[#This Row],[Pagado]]</f>
        <v>0</v>
      </c>
      <c r="H209" s="92" t="s">
        <v>10</v>
      </c>
    </row>
    <row r="210" spans="1:8" ht="21.75" customHeight="1" x14ac:dyDescent="0.25">
      <c r="A210" s="35">
        <v>44653</v>
      </c>
      <c r="B210" s="90" t="s">
        <v>10789</v>
      </c>
      <c r="C210" s="41" t="s">
        <v>31</v>
      </c>
      <c r="D210" s="87">
        <v>1039.5999999999999</v>
      </c>
      <c r="E210" s="35">
        <v>44653</v>
      </c>
      <c r="F210" s="87">
        <v>1039.5999999999999</v>
      </c>
      <c r="G210" s="91">
        <f>Tabla15[[#This Row],[Importe]]-Tabla15[[#This Row],[Pagado]]</f>
        <v>0</v>
      </c>
      <c r="H210" s="92" t="s">
        <v>10</v>
      </c>
    </row>
    <row r="211" spans="1:8" ht="21.75" customHeight="1" x14ac:dyDescent="0.25">
      <c r="A211" s="35">
        <v>44653</v>
      </c>
      <c r="B211" s="90" t="s">
        <v>10790</v>
      </c>
      <c r="C211" s="41" t="s">
        <v>282</v>
      </c>
      <c r="D211" s="87">
        <v>5605.2</v>
      </c>
      <c r="E211" s="35">
        <v>44654</v>
      </c>
      <c r="F211" s="87">
        <v>5605.2</v>
      </c>
      <c r="G211" s="91">
        <f>Tabla15[[#This Row],[Importe]]-Tabla15[[#This Row],[Pagado]]</f>
        <v>0</v>
      </c>
      <c r="H211" s="92" t="s">
        <v>10</v>
      </c>
    </row>
    <row r="212" spans="1:8" ht="21.75" customHeight="1" x14ac:dyDescent="0.25">
      <c r="A212" s="35">
        <v>44653</v>
      </c>
      <c r="B212" s="90" t="s">
        <v>10791</v>
      </c>
      <c r="C212" s="41" t="s">
        <v>280</v>
      </c>
      <c r="D212" s="87">
        <v>2008.8</v>
      </c>
      <c r="E212" s="35">
        <v>44654</v>
      </c>
      <c r="F212" s="87">
        <v>2008.8</v>
      </c>
      <c r="G212" s="91">
        <f>Tabla15[[#This Row],[Importe]]-Tabla15[[#This Row],[Pagado]]</f>
        <v>0</v>
      </c>
      <c r="H212" s="92" t="s">
        <v>10</v>
      </c>
    </row>
    <row r="213" spans="1:8" ht="21.75" customHeight="1" x14ac:dyDescent="0.25">
      <c r="A213" s="35">
        <v>44653</v>
      </c>
      <c r="B213" s="90" t="s">
        <v>10792</v>
      </c>
      <c r="C213" s="41" t="s">
        <v>284</v>
      </c>
      <c r="D213" s="87">
        <v>13435.2</v>
      </c>
      <c r="E213" s="35">
        <v>44654</v>
      </c>
      <c r="F213" s="87">
        <v>13435.2</v>
      </c>
      <c r="G213" s="91">
        <f>Tabla15[[#This Row],[Importe]]-Tabla15[[#This Row],[Pagado]]</f>
        <v>0</v>
      </c>
      <c r="H213" s="92" t="s">
        <v>10</v>
      </c>
    </row>
    <row r="214" spans="1:8" ht="21.75" customHeight="1" x14ac:dyDescent="0.25">
      <c r="A214" s="35">
        <v>44653</v>
      </c>
      <c r="B214" s="90" t="s">
        <v>10793</v>
      </c>
      <c r="C214" s="41" t="s">
        <v>5345</v>
      </c>
      <c r="D214" s="87">
        <v>1533.6</v>
      </c>
      <c r="E214" s="35">
        <v>44654</v>
      </c>
      <c r="F214" s="87">
        <v>1533.6</v>
      </c>
      <c r="G214" s="91">
        <f>Tabla15[[#This Row],[Importe]]-Tabla15[[#This Row],[Pagado]]</f>
        <v>0</v>
      </c>
      <c r="H214" s="92" t="s">
        <v>10</v>
      </c>
    </row>
    <row r="215" spans="1:8" ht="21.75" customHeight="1" x14ac:dyDescent="0.25">
      <c r="A215" s="35">
        <v>44653</v>
      </c>
      <c r="B215" s="90" t="s">
        <v>10794</v>
      </c>
      <c r="C215" s="41" t="s">
        <v>200</v>
      </c>
      <c r="D215" s="87">
        <v>1566</v>
      </c>
      <c r="E215" s="35">
        <v>44654</v>
      </c>
      <c r="F215" s="87">
        <v>1566</v>
      </c>
      <c r="G215" s="91">
        <f>Tabla15[[#This Row],[Importe]]-Tabla15[[#This Row],[Pagado]]</f>
        <v>0</v>
      </c>
      <c r="H215" s="92" t="s">
        <v>10</v>
      </c>
    </row>
    <row r="216" spans="1:8" ht="21.75" customHeight="1" x14ac:dyDescent="0.25">
      <c r="A216" s="35">
        <v>44653</v>
      </c>
      <c r="B216" s="90" t="s">
        <v>10795</v>
      </c>
      <c r="C216" s="41" t="s">
        <v>275</v>
      </c>
      <c r="D216" s="87">
        <v>100185.54</v>
      </c>
      <c r="E216" s="35">
        <v>44659</v>
      </c>
      <c r="F216" s="87">
        <v>100185.54</v>
      </c>
      <c r="G216" s="91">
        <f>Tabla15[[#This Row],[Importe]]-Tabla15[[#This Row],[Pagado]]</f>
        <v>0</v>
      </c>
      <c r="H216" s="92" t="s">
        <v>10</v>
      </c>
    </row>
    <row r="217" spans="1:8" ht="21.75" customHeight="1" x14ac:dyDescent="0.25">
      <c r="A217" s="35">
        <v>44653</v>
      </c>
      <c r="B217" s="90" t="s">
        <v>10796</v>
      </c>
      <c r="C217" s="41" t="s">
        <v>200</v>
      </c>
      <c r="D217" s="87">
        <v>180</v>
      </c>
      <c r="E217" s="35">
        <v>44654</v>
      </c>
      <c r="F217" s="87">
        <v>180</v>
      </c>
      <c r="G217" s="91">
        <f>Tabla15[[#This Row],[Importe]]-Tabla15[[#This Row],[Pagado]]</f>
        <v>0</v>
      </c>
      <c r="H217" s="92" t="s">
        <v>10</v>
      </c>
    </row>
    <row r="218" spans="1:8" ht="21.75" customHeight="1" x14ac:dyDescent="0.25">
      <c r="A218" s="35">
        <v>44653</v>
      </c>
      <c r="B218" s="90" t="s">
        <v>10797</v>
      </c>
      <c r="C218" s="41" t="s">
        <v>181</v>
      </c>
      <c r="D218" s="87">
        <v>17174</v>
      </c>
      <c r="E218" s="35">
        <v>44654</v>
      </c>
      <c r="F218" s="87">
        <v>17174</v>
      </c>
      <c r="G218" s="91">
        <f>Tabla15[[#This Row],[Importe]]-Tabla15[[#This Row],[Pagado]]</f>
        <v>0</v>
      </c>
      <c r="H218" s="92" t="s">
        <v>10</v>
      </c>
    </row>
    <row r="219" spans="1:8" ht="21.75" customHeight="1" x14ac:dyDescent="0.25">
      <c r="A219" s="35">
        <v>44653</v>
      </c>
      <c r="B219" s="90" t="s">
        <v>10798</v>
      </c>
      <c r="C219" s="41" t="s">
        <v>2139</v>
      </c>
      <c r="D219" s="87">
        <v>4209.8</v>
      </c>
      <c r="E219" s="35">
        <v>44653</v>
      </c>
      <c r="F219" s="87">
        <v>4209.8</v>
      </c>
      <c r="G219" s="91">
        <f>Tabla15[[#This Row],[Importe]]-Tabla15[[#This Row],[Pagado]]</f>
        <v>0</v>
      </c>
      <c r="H219" s="92" t="s">
        <v>10</v>
      </c>
    </row>
    <row r="220" spans="1:8" ht="21.75" customHeight="1" x14ac:dyDescent="0.25">
      <c r="A220" s="35">
        <v>44653</v>
      </c>
      <c r="B220" s="90" t="s">
        <v>10799</v>
      </c>
      <c r="C220" s="41" t="s">
        <v>233</v>
      </c>
      <c r="D220" s="87">
        <v>4114.8</v>
      </c>
      <c r="E220" s="35">
        <v>44653</v>
      </c>
      <c r="F220" s="87">
        <v>4114.8</v>
      </c>
      <c r="G220" s="91">
        <f>Tabla15[[#This Row],[Importe]]-Tabla15[[#This Row],[Pagado]]</f>
        <v>0</v>
      </c>
      <c r="H220" s="92" t="s">
        <v>10</v>
      </c>
    </row>
    <row r="221" spans="1:8" ht="31.5" x14ac:dyDescent="0.25">
      <c r="A221" s="35">
        <v>44653</v>
      </c>
      <c r="B221" s="90" t="s">
        <v>10800</v>
      </c>
      <c r="C221" s="41" t="s">
        <v>670</v>
      </c>
      <c r="D221" s="87">
        <v>4471.3</v>
      </c>
      <c r="E221" s="35" t="s">
        <v>10575</v>
      </c>
      <c r="F221" s="87">
        <f>4200+271.3</f>
        <v>4471.3</v>
      </c>
      <c r="G221" s="91">
        <f>Tabla15[[#This Row],[Importe]]-Tabla15[[#This Row],[Pagado]]</f>
        <v>0</v>
      </c>
      <c r="H221" s="92" t="s">
        <v>10</v>
      </c>
    </row>
    <row r="222" spans="1:8" ht="21.75" customHeight="1" x14ac:dyDescent="0.25">
      <c r="A222" s="35">
        <v>44653</v>
      </c>
      <c r="B222" s="90" t="s">
        <v>10801</v>
      </c>
      <c r="C222" s="41" t="s">
        <v>151</v>
      </c>
      <c r="D222" s="87">
        <v>8352</v>
      </c>
      <c r="E222" s="35">
        <v>44654</v>
      </c>
      <c r="F222" s="87">
        <v>8352</v>
      </c>
      <c r="G222" s="91">
        <f>Tabla15[[#This Row],[Importe]]-Tabla15[[#This Row],[Pagado]]</f>
        <v>0</v>
      </c>
      <c r="H222" s="92" t="s">
        <v>10</v>
      </c>
    </row>
    <row r="223" spans="1:8" ht="21.75" customHeight="1" x14ac:dyDescent="0.25">
      <c r="A223" s="35">
        <v>44653</v>
      </c>
      <c r="B223" s="90" t="s">
        <v>10802</v>
      </c>
      <c r="C223" s="41" t="s">
        <v>9827</v>
      </c>
      <c r="D223" s="87">
        <v>907.2</v>
      </c>
      <c r="E223" s="35">
        <v>44653</v>
      </c>
      <c r="F223" s="87">
        <v>907.2</v>
      </c>
      <c r="G223" s="91">
        <f>Tabla15[[#This Row],[Importe]]-Tabla15[[#This Row],[Pagado]]</f>
        <v>0</v>
      </c>
      <c r="H223" s="92" t="s">
        <v>10</v>
      </c>
    </row>
    <row r="224" spans="1:8" ht="21.75" customHeight="1" x14ac:dyDescent="0.25">
      <c r="A224" s="35">
        <v>44653</v>
      </c>
      <c r="B224" s="90" t="s">
        <v>10803</v>
      </c>
      <c r="C224" s="41" t="s">
        <v>31</v>
      </c>
      <c r="D224" s="87">
        <v>1067.2</v>
      </c>
      <c r="E224" s="35">
        <v>44653</v>
      </c>
      <c r="F224" s="87">
        <v>1067.2</v>
      </c>
      <c r="G224" s="91">
        <f>Tabla15[[#This Row],[Importe]]-Tabla15[[#This Row],[Pagado]]</f>
        <v>0</v>
      </c>
      <c r="H224" s="92" t="s">
        <v>10</v>
      </c>
    </row>
    <row r="225" spans="1:8" ht="21.75" customHeight="1" x14ac:dyDescent="0.25">
      <c r="A225" s="35">
        <v>44653</v>
      </c>
      <c r="B225" s="90" t="s">
        <v>10804</v>
      </c>
      <c r="C225" s="41" t="s">
        <v>414</v>
      </c>
      <c r="D225" s="87">
        <v>15751.6</v>
      </c>
      <c r="E225" s="35">
        <v>44653</v>
      </c>
      <c r="F225" s="87">
        <v>15751.6</v>
      </c>
      <c r="G225" s="91">
        <f>Tabla15[[#This Row],[Importe]]-Tabla15[[#This Row],[Pagado]]</f>
        <v>0</v>
      </c>
      <c r="H225" s="92" t="s">
        <v>10</v>
      </c>
    </row>
    <row r="226" spans="1:8" ht="21.75" customHeight="1" x14ac:dyDescent="0.25">
      <c r="A226" s="35">
        <v>44653</v>
      </c>
      <c r="B226" s="90" t="s">
        <v>10805</v>
      </c>
      <c r="C226" s="41" t="s">
        <v>107</v>
      </c>
      <c r="D226" s="87">
        <v>25782.5</v>
      </c>
      <c r="E226" s="35">
        <v>44654</v>
      </c>
      <c r="F226" s="87">
        <v>25782.5</v>
      </c>
      <c r="G226" s="91">
        <f>Tabla15[[#This Row],[Importe]]-Tabla15[[#This Row],[Pagado]]</f>
        <v>0</v>
      </c>
      <c r="H226" s="92" t="s">
        <v>10</v>
      </c>
    </row>
    <row r="227" spans="1:8" ht="21.75" customHeight="1" x14ac:dyDescent="0.25">
      <c r="A227" s="35">
        <v>44653</v>
      </c>
      <c r="B227" s="90" t="s">
        <v>10806</v>
      </c>
      <c r="C227" s="41" t="s">
        <v>698</v>
      </c>
      <c r="D227" s="87">
        <v>5525.1</v>
      </c>
      <c r="E227" s="35">
        <v>44653</v>
      </c>
      <c r="F227" s="87">
        <v>5525.1</v>
      </c>
      <c r="G227" s="91">
        <f>Tabla15[[#This Row],[Importe]]-Tabla15[[#This Row],[Pagado]]</f>
        <v>0</v>
      </c>
      <c r="H227" s="92" t="s">
        <v>10</v>
      </c>
    </row>
    <row r="228" spans="1:8" ht="21.75" customHeight="1" x14ac:dyDescent="0.25">
      <c r="A228" s="35">
        <v>44653</v>
      </c>
      <c r="B228" s="90" t="s">
        <v>10807</v>
      </c>
      <c r="C228" s="41" t="s">
        <v>83</v>
      </c>
      <c r="D228" s="87">
        <v>10369.200000000001</v>
      </c>
      <c r="E228" s="35">
        <v>44654</v>
      </c>
      <c r="F228" s="87">
        <v>10369.200000000001</v>
      </c>
      <c r="G228" s="91">
        <f>Tabla15[[#This Row],[Importe]]-Tabla15[[#This Row],[Pagado]]</f>
        <v>0</v>
      </c>
      <c r="H228" s="92" t="s">
        <v>10</v>
      </c>
    </row>
    <row r="229" spans="1:8" ht="21.75" customHeight="1" x14ac:dyDescent="0.25">
      <c r="A229" s="35">
        <v>44653</v>
      </c>
      <c r="B229" s="90" t="s">
        <v>10808</v>
      </c>
      <c r="C229" s="41" t="s">
        <v>214</v>
      </c>
      <c r="D229" s="87">
        <v>1134</v>
      </c>
      <c r="E229" s="35">
        <v>44653</v>
      </c>
      <c r="F229" s="87">
        <v>1134</v>
      </c>
      <c r="G229" s="91">
        <f>Tabla15[[#This Row],[Importe]]-Tabla15[[#This Row],[Pagado]]</f>
        <v>0</v>
      </c>
      <c r="H229" s="92" t="s">
        <v>10</v>
      </c>
    </row>
    <row r="230" spans="1:8" ht="21.75" customHeight="1" x14ac:dyDescent="0.25">
      <c r="A230" s="35">
        <v>44653</v>
      </c>
      <c r="B230" s="90" t="s">
        <v>10809</v>
      </c>
      <c r="C230" s="41" t="s">
        <v>1174</v>
      </c>
      <c r="D230" s="87">
        <v>44572</v>
      </c>
      <c r="E230" s="35">
        <v>44653</v>
      </c>
      <c r="F230" s="87">
        <v>44572</v>
      </c>
      <c r="G230" s="91">
        <f>Tabla15[[#This Row],[Importe]]-Tabla15[[#This Row],[Pagado]]</f>
        <v>0</v>
      </c>
      <c r="H230" s="92" t="s">
        <v>10</v>
      </c>
    </row>
    <row r="231" spans="1:8" ht="21.75" customHeight="1" x14ac:dyDescent="0.25">
      <c r="A231" s="35">
        <v>44653</v>
      </c>
      <c r="B231" s="90" t="s">
        <v>10810</v>
      </c>
      <c r="C231" s="41" t="s">
        <v>275</v>
      </c>
      <c r="D231" s="87">
        <v>26834</v>
      </c>
      <c r="E231" s="35">
        <v>44659</v>
      </c>
      <c r="F231" s="87">
        <v>26834</v>
      </c>
      <c r="G231" s="91">
        <f>Tabla15[[#This Row],[Importe]]-Tabla15[[#This Row],[Pagado]]</f>
        <v>0</v>
      </c>
      <c r="H231" s="92" t="s">
        <v>10</v>
      </c>
    </row>
    <row r="232" spans="1:8" ht="21.75" customHeight="1" x14ac:dyDescent="0.25">
      <c r="A232" s="35">
        <v>44653</v>
      </c>
      <c r="B232" s="90" t="s">
        <v>10811</v>
      </c>
      <c r="C232" s="41" t="s">
        <v>14</v>
      </c>
      <c r="D232" s="87">
        <v>23618.2</v>
      </c>
      <c r="E232" s="35">
        <v>44653</v>
      </c>
      <c r="F232" s="87">
        <v>23618.2</v>
      </c>
      <c r="G232" s="91">
        <f>Tabla15[[#This Row],[Importe]]-Tabla15[[#This Row],[Pagado]]</f>
        <v>0</v>
      </c>
      <c r="H232" s="92" t="s">
        <v>10</v>
      </c>
    </row>
    <row r="233" spans="1:8" ht="21.75" customHeight="1" x14ac:dyDescent="0.25">
      <c r="A233" s="35">
        <v>44653</v>
      </c>
      <c r="B233" s="90" t="s">
        <v>10812</v>
      </c>
      <c r="C233" s="41" t="s">
        <v>664</v>
      </c>
      <c r="D233" s="87">
        <v>25353</v>
      </c>
      <c r="E233" s="35">
        <v>44654</v>
      </c>
      <c r="F233" s="87">
        <v>25353</v>
      </c>
      <c r="G233" s="91">
        <f>Tabla15[[#This Row],[Importe]]-Tabla15[[#This Row],[Pagado]]</f>
        <v>0</v>
      </c>
      <c r="H233" s="92" t="s">
        <v>10</v>
      </c>
    </row>
    <row r="234" spans="1:8" ht="21.75" customHeight="1" x14ac:dyDescent="0.25">
      <c r="A234" s="35">
        <v>44653</v>
      </c>
      <c r="B234" s="90" t="s">
        <v>10813</v>
      </c>
      <c r="C234" s="41" t="s">
        <v>275</v>
      </c>
      <c r="D234" s="87">
        <v>1934.5</v>
      </c>
      <c r="E234" s="35">
        <v>44659</v>
      </c>
      <c r="F234" s="87">
        <v>1934.5</v>
      </c>
      <c r="G234" s="91">
        <f>Tabla15[[#This Row],[Importe]]-Tabla15[[#This Row],[Pagado]]</f>
        <v>0</v>
      </c>
      <c r="H234" s="92" t="s">
        <v>10</v>
      </c>
    </row>
    <row r="235" spans="1:8" ht="21.75" customHeight="1" x14ac:dyDescent="0.25">
      <c r="A235" s="35">
        <v>44653</v>
      </c>
      <c r="B235" s="90" t="s">
        <v>10814</v>
      </c>
      <c r="C235" s="41" t="s">
        <v>31</v>
      </c>
      <c r="D235" s="87">
        <v>1127.5</v>
      </c>
      <c r="E235" s="35">
        <v>44653</v>
      </c>
      <c r="F235" s="87">
        <v>1127.5</v>
      </c>
      <c r="G235" s="91">
        <f>Tabla15[[#This Row],[Importe]]-Tabla15[[#This Row],[Pagado]]</f>
        <v>0</v>
      </c>
      <c r="H235" s="92" t="s">
        <v>10</v>
      </c>
    </row>
    <row r="236" spans="1:8" ht="21.75" customHeight="1" x14ac:dyDescent="0.25">
      <c r="A236" s="35">
        <v>44653</v>
      </c>
      <c r="B236" s="90" t="s">
        <v>10815</v>
      </c>
      <c r="C236" s="41" t="s">
        <v>918</v>
      </c>
      <c r="D236" s="87">
        <v>3236.4</v>
      </c>
      <c r="E236" s="35">
        <v>44653</v>
      </c>
      <c r="F236" s="87">
        <v>3236.4</v>
      </c>
      <c r="G236" s="91">
        <f>Tabla15[[#This Row],[Importe]]-Tabla15[[#This Row],[Pagado]]</f>
        <v>0</v>
      </c>
      <c r="H236" s="92" t="s">
        <v>10</v>
      </c>
    </row>
    <row r="237" spans="1:8" ht="21.75" customHeight="1" x14ac:dyDescent="0.25">
      <c r="A237" s="35">
        <v>44653</v>
      </c>
      <c r="B237" s="90" t="s">
        <v>10816</v>
      </c>
      <c r="C237" s="41" t="s">
        <v>58</v>
      </c>
      <c r="D237" s="87">
        <v>3632</v>
      </c>
      <c r="E237" s="35">
        <v>44653</v>
      </c>
      <c r="F237" s="87">
        <v>3632</v>
      </c>
      <c r="G237" s="91">
        <f>Tabla15[[#This Row],[Importe]]-Tabla15[[#This Row],[Pagado]]</f>
        <v>0</v>
      </c>
      <c r="H237" s="92" t="s">
        <v>10</v>
      </c>
    </row>
    <row r="238" spans="1:8" ht="21.75" customHeight="1" x14ac:dyDescent="0.25">
      <c r="A238" s="35">
        <v>44653</v>
      </c>
      <c r="B238" s="90" t="s">
        <v>10817</v>
      </c>
      <c r="C238" s="41" t="s">
        <v>67</v>
      </c>
      <c r="D238" s="87">
        <v>1986.6</v>
      </c>
      <c r="E238" s="35">
        <v>44653</v>
      </c>
      <c r="F238" s="87">
        <v>1986.6</v>
      </c>
      <c r="G238" s="91">
        <f>Tabla15[[#This Row],[Importe]]-Tabla15[[#This Row],[Pagado]]</f>
        <v>0</v>
      </c>
      <c r="H238" s="92" t="s">
        <v>10</v>
      </c>
    </row>
    <row r="239" spans="1:8" ht="21.75" customHeight="1" x14ac:dyDescent="0.25">
      <c r="A239" s="35">
        <v>44653</v>
      </c>
      <c r="B239" s="90" t="s">
        <v>10818</v>
      </c>
      <c r="C239" s="41" t="s">
        <v>10819</v>
      </c>
      <c r="D239" s="87">
        <v>4936</v>
      </c>
      <c r="E239" s="35">
        <v>44653</v>
      </c>
      <c r="F239" s="87">
        <v>4936</v>
      </c>
      <c r="G239" s="91">
        <f>Tabla15[[#This Row],[Importe]]-Tabla15[[#This Row],[Pagado]]</f>
        <v>0</v>
      </c>
      <c r="H239" s="92" t="s">
        <v>10</v>
      </c>
    </row>
    <row r="240" spans="1:8" ht="21.75" customHeight="1" x14ac:dyDescent="0.25">
      <c r="A240" s="35">
        <v>44653</v>
      </c>
      <c r="B240" s="90" t="s">
        <v>10820</v>
      </c>
      <c r="C240" s="41" t="s">
        <v>10819</v>
      </c>
      <c r="D240" s="87">
        <v>220.5</v>
      </c>
      <c r="E240" s="35">
        <v>44653</v>
      </c>
      <c r="F240" s="87">
        <v>220.5</v>
      </c>
      <c r="G240" s="91">
        <f>Tabla15[[#This Row],[Importe]]-Tabla15[[#This Row],[Pagado]]</f>
        <v>0</v>
      </c>
      <c r="H240" s="92" t="s">
        <v>10</v>
      </c>
    </row>
    <row r="241" spans="1:8" ht="21.75" customHeight="1" x14ac:dyDescent="0.25">
      <c r="A241" s="35">
        <v>44653</v>
      </c>
      <c r="B241" s="90" t="s">
        <v>10821</v>
      </c>
      <c r="C241" s="41" t="s">
        <v>681</v>
      </c>
      <c r="D241" s="87">
        <v>4.3099999999999996</v>
      </c>
      <c r="E241" s="35">
        <v>44659</v>
      </c>
      <c r="F241" s="87">
        <v>4.3099999999999996</v>
      </c>
      <c r="G241" s="91">
        <f>Tabla15[[#This Row],[Importe]]-Tabla15[[#This Row],[Pagado]]</f>
        <v>0</v>
      </c>
      <c r="H241" s="92" t="s">
        <v>10</v>
      </c>
    </row>
    <row r="242" spans="1:8" ht="21.75" customHeight="1" x14ac:dyDescent="0.25">
      <c r="A242" s="35">
        <v>44653</v>
      </c>
      <c r="B242" s="90" t="s">
        <v>10822</v>
      </c>
      <c r="C242" s="41" t="s">
        <v>407</v>
      </c>
      <c r="D242" s="87">
        <v>7214.4</v>
      </c>
      <c r="E242" s="35">
        <v>44668</v>
      </c>
      <c r="F242" s="87">
        <v>7214.4</v>
      </c>
      <c r="G242" s="91">
        <f>Tabla15[[#This Row],[Importe]]-Tabla15[[#This Row],[Pagado]]</f>
        <v>0</v>
      </c>
      <c r="H242" s="92" t="s">
        <v>10</v>
      </c>
    </row>
    <row r="243" spans="1:8" ht="21.75" customHeight="1" x14ac:dyDescent="0.25">
      <c r="A243" s="35">
        <v>44653</v>
      </c>
      <c r="B243" s="90" t="s">
        <v>10823</v>
      </c>
      <c r="C243" s="41" t="s">
        <v>71</v>
      </c>
      <c r="D243" s="87">
        <v>484</v>
      </c>
      <c r="E243" s="35">
        <v>44653</v>
      </c>
      <c r="F243" s="87">
        <v>484</v>
      </c>
      <c r="G243" s="91">
        <f>Tabla15[[#This Row],[Importe]]-Tabla15[[#This Row],[Pagado]]</f>
        <v>0</v>
      </c>
      <c r="H243" s="92" t="s">
        <v>10</v>
      </c>
    </row>
    <row r="244" spans="1:8" ht="21.75" customHeight="1" x14ac:dyDescent="0.25">
      <c r="A244" s="35">
        <v>44653</v>
      </c>
      <c r="B244" s="90" t="s">
        <v>10824</v>
      </c>
      <c r="C244" s="41" t="s">
        <v>31</v>
      </c>
      <c r="D244" s="87">
        <v>14439.8</v>
      </c>
      <c r="E244" s="35">
        <v>44653</v>
      </c>
      <c r="F244" s="87">
        <v>14439.8</v>
      </c>
      <c r="G244" s="91">
        <f>Tabla15[[#This Row],[Importe]]-Tabla15[[#This Row],[Pagado]]</f>
        <v>0</v>
      </c>
      <c r="H244" s="92" t="s">
        <v>10</v>
      </c>
    </row>
    <row r="245" spans="1:8" ht="21.75" customHeight="1" x14ac:dyDescent="0.25">
      <c r="A245" s="35">
        <v>44653</v>
      </c>
      <c r="B245" s="90" t="s">
        <v>10825</v>
      </c>
      <c r="C245" s="41" t="s">
        <v>10826</v>
      </c>
      <c r="D245" s="87">
        <v>15514.8</v>
      </c>
      <c r="E245" s="35">
        <v>44653</v>
      </c>
      <c r="F245" s="87">
        <v>15514.8</v>
      </c>
      <c r="G245" s="91">
        <f>Tabla15[[#This Row],[Importe]]-Tabla15[[#This Row],[Pagado]]</f>
        <v>0</v>
      </c>
      <c r="H245" s="92" t="s">
        <v>10</v>
      </c>
    </row>
    <row r="246" spans="1:8" ht="21.75" customHeight="1" x14ac:dyDescent="0.25">
      <c r="A246" s="35">
        <v>44653</v>
      </c>
      <c r="B246" s="90" t="s">
        <v>10827</v>
      </c>
      <c r="C246" s="41" t="s">
        <v>31</v>
      </c>
      <c r="D246" s="87">
        <v>2046</v>
      </c>
      <c r="E246" s="35">
        <v>44653</v>
      </c>
      <c r="F246" s="87">
        <v>2046</v>
      </c>
      <c r="G246" s="91">
        <f>Tabla15[[#This Row],[Importe]]-Tabla15[[#This Row],[Pagado]]</f>
        <v>0</v>
      </c>
      <c r="H246" s="92" t="s">
        <v>10</v>
      </c>
    </row>
    <row r="247" spans="1:8" ht="21.75" customHeight="1" x14ac:dyDescent="0.25">
      <c r="A247" s="35">
        <v>44653</v>
      </c>
      <c r="B247" s="90" t="s">
        <v>10828</v>
      </c>
      <c r="C247" s="41" t="s">
        <v>53</v>
      </c>
      <c r="D247" s="87">
        <v>2469.5</v>
      </c>
      <c r="E247" s="35">
        <v>44653</v>
      </c>
      <c r="F247" s="87">
        <v>2469.5</v>
      </c>
      <c r="G247" s="91">
        <f>Tabla15[[#This Row],[Importe]]-Tabla15[[#This Row],[Pagado]]</f>
        <v>0</v>
      </c>
      <c r="H247" s="92" t="s">
        <v>10</v>
      </c>
    </row>
    <row r="248" spans="1:8" ht="21.75" customHeight="1" x14ac:dyDescent="0.25">
      <c r="A248" s="35">
        <v>44653</v>
      </c>
      <c r="B248" s="90" t="s">
        <v>10829</v>
      </c>
      <c r="C248" s="41" t="s">
        <v>69</v>
      </c>
      <c r="D248" s="87">
        <v>3661.2</v>
      </c>
      <c r="E248" s="35">
        <v>44653</v>
      </c>
      <c r="F248" s="87">
        <v>3661.2</v>
      </c>
      <c r="G248" s="91">
        <f>Tabla15[[#This Row],[Importe]]-Tabla15[[#This Row],[Pagado]]</f>
        <v>0</v>
      </c>
      <c r="H248" s="92" t="s">
        <v>10</v>
      </c>
    </row>
    <row r="249" spans="1:8" ht="21.75" customHeight="1" x14ac:dyDescent="0.25">
      <c r="A249" s="35">
        <v>44653</v>
      </c>
      <c r="B249" s="90" t="s">
        <v>10830</v>
      </c>
      <c r="C249" s="41" t="s">
        <v>857</v>
      </c>
      <c r="D249" s="87">
        <v>1650</v>
      </c>
      <c r="E249" s="35">
        <v>44653</v>
      </c>
      <c r="F249" s="87">
        <v>1650</v>
      </c>
      <c r="G249" s="91">
        <f>Tabla15[[#This Row],[Importe]]-Tabla15[[#This Row],[Pagado]]</f>
        <v>0</v>
      </c>
      <c r="H249" s="92" t="s">
        <v>10</v>
      </c>
    </row>
    <row r="250" spans="1:8" ht="21.75" customHeight="1" x14ac:dyDescent="0.25">
      <c r="A250" s="35">
        <v>44653</v>
      </c>
      <c r="B250" s="90" t="s">
        <v>10831</v>
      </c>
      <c r="C250" s="41" t="s">
        <v>51</v>
      </c>
      <c r="D250" s="87">
        <v>5031.6000000000004</v>
      </c>
      <c r="E250" s="35">
        <v>44653</v>
      </c>
      <c r="F250" s="87">
        <v>5031.6000000000004</v>
      </c>
      <c r="G250" s="91">
        <f>Tabla15[[#This Row],[Importe]]-Tabla15[[#This Row],[Pagado]]</f>
        <v>0</v>
      </c>
      <c r="H250" s="92" t="s">
        <v>10</v>
      </c>
    </row>
    <row r="251" spans="1:8" ht="21.75" customHeight="1" x14ac:dyDescent="0.25">
      <c r="A251" s="35">
        <v>44653</v>
      </c>
      <c r="B251" s="90" t="s">
        <v>10832</v>
      </c>
      <c r="C251" s="41" t="s">
        <v>142</v>
      </c>
      <c r="D251" s="87">
        <v>41220.6</v>
      </c>
      <c r="E251" s="35">
        <v>44670</v>
      </c>
      <c r="F251" s="87">
        <v>41220.6</v>
      </c>
      <c r="G251" s="91">
        <f>Tabla15[[#This Row],[Importe]]-Tabla15[[#This Row],[Pagado]]</f>
        <v>0</v>
      </c>
      <c r="H251" s="92" t="s">
        <v>10</v>
      </c>
    </row>
    <row r="252" spans="1:8" ht="21.75" customHeight="1" x14ac:dyDescent="0.25">
      <c r="A252" s="35">
        <v>44653</v>
      </c>
      <c r="B252" s="90" t="s">
        <v>10833</v>
      </c>
      <c r="C252" s="41" t="s">
        <v>463</v>
      </c>
      <c r="D252" s="87">
        <v>550</v>
      </c>
      <c r="E252" s="35">
        <v>44655</v>
      </c>
      <c r="F252" s="87">
        <v>550</v>
      </c>
      <c r="G252" s="91">
        <f>Tabla15[[#This Row],[Importe]]-Tabla15[[#This Row],[Pagado]]</f>
        <v>0</v>
      </c>
      <c r="H252" s="92" t="s">
        <v>10</v>
      </c>
    </row>
    <row r="253" spans="1:8" ht="21.75" customHeight="1" x14ac:dyDescent="0.25">
      <c r="A253" s="35">
        <v>44653</v>
      </c>
      <c r="B253" s="90" t="s">
        <v>10834</v>
      </c>
      <c r="C253" s="41" t="s">
        <v>461</v>
      </c>
      <c r="D253" s="87">
        <v>394</v>
      </c>
      <c r="E253" s="35">
        <v>44653</v>
      </c>
      <c r="F253" s="87">
        <v>394</v>
      </c>
      <c r="G253" s="91">
        <f>Tabla15[[#This Row],[Importe]]-Tabla15[[#This Row],[Pagado]]</f>
        <v>0</v>
      </c>
      <c r="H253" s="92" t="s">
        <v>10</v>
      </c>
    </row>
    <row r="254" spans="1:8" ht="21.75" customHeight="1" x14ac:dyDescent="0.25">
      <c r="A254" s="35">
        <v>44653</v>
      </c>
      <c r="B254" s="90" t="s">
        <v>10835</v>
      </c>
      <c r="C254" s="41" t="s">
        <v>457</v>
      </c>
      <c r="D254" s="87">
        <v>198</v>
      </c>
      <c r="E254" s="35">
        <v>44653</v>
      </c>
      <c r="F254" s="87">
        <v>198</v>
      </c>
      <c r="G254" s="91">
        <f>Tabla15[[#This Row],[Importe]]-Tabla15[[#This Row],[Pagado]]</f>
        <v>0</v>
      </c>
      <c r="H254" s="92" t="s">
        <v>10</v>
      </c>
    </row>
    <row r="255" spans="1:8" ht="21.75" customHeight="1" x14ac:dyDescent="0.25">
      <c r="A255" s="35">
        <v>44653</v>
      </c>
      <c r="B255" s="90" t="s">
        <v>10836</v>
      </c>
      <c r="C255" s="41" t="s">
        <v>459</v>
      </c>
      <c r="D255" s="87">
        <v>213</v>
      </c>
      <c r="E255" s="35">
        <v>44653</v>
      </c>
      <c r="F255" s="87">
        <v>213</v>
      </c>
      <c r="G255" s="91">
        <f>Tabla15[[#This Row],[Importe]]-Tabla15[[#This Row],[Pagado]]</f>
        <v>0</v>
      </c>
      <c r="H255" s="92" t="s">
        <v>10</v>
      </c>
    </row>
    <row r="256" spans="1:8" ht="21.75" customHeight="1" x14ac:dyDescent="0.25">
      <c r="A256" s="35">
        <v>44653</v>
      </c>
      <c r="B256" s="90" t="s">
        <v>10837</v>
      </c>
      <c r="C256" s="41" t="s">
        <v>71</v>
      </c>
      <c r="D256" s="87">
        <v>3782</v>
      </c>
      <c r="E256" s="35">
        <v>44653</v>
      </c>
      <c r="F256" s="87">
        <v>3782</v>
      </c>
      <c r="G256" s="91">
        <f>Tabla15[[#This Row],[Importe]]-Tabla15[[#This Row],[Pagado]]</f>
        <v>0</v>
      </c>
      <c r="H256" s="92" t="s">
        <v>10</v>
      </c>
    </row>
    <row r="257" spans="1:8" ht="21.75" customHeight="1" x14ac:dyDescent="0.25">
      <c r="A257" s="35">
        <v>44653</v>
      </c>
      <c r="B257" s="90" t="s">
        <v>10838</v>
      </c>
      <c r="C257" s="41" t="s">
        <v>31</v>
      </c>
      <c r="D257" s="87">
        <v>1118.3</v>
      </c>
      <c r="E257" s="35">
        <v>44653</v>
      </c>
      <c r="F257" s="87">
        <v>1118.3</v>
      </c>
      <c r="G257" s="91">
        <f>Tabla15[[#This Row],[Importe]]-Tabla15[[#This Row],[Pagado]]</f>
        <v>0</v>
      </c>
      <c r="H257" s="92" t="s">
        <v>10</v>
      </c>
    </row>
    <row r="258" spans="1:8" ht="21.75" customHeight="1" x14ac:dyDescent="0.25">
      <c r="A258" s="35">
        <v>44653</v>
      </c>
      <c r="B258" s="90" t="s">
        <v>10839</v>
      </c>
      <c r="C258" s="41" t="s">
        <v>10840</v>
      </c>
      <c r="D258" s="87">
        <v>5594</v>
      </c>
      <c r="E258" s="35">
        <v>44653</v>
      </c>
      <c r="F258" s="87">
        <v>5594</v>
      </c>
      <c r="G258" s="91">
        <f>Tabla15[[#This Row],[Importe]]-Tabla15[[#This Row],[Pagado]]</f>
        <v>0</v>
      </c>
      <c r="H258" s="92" t="s">
        <v>10</v>
      </c>
    </row>
    <row r="259" spans="1:8" ht="21.75" customHeight="1" x14ac:dyDescent="0.25">
      <c r="A259" s="35">
        <v>44653</v>
      </c>
      <c r="B259" s="90" t="s">
        <v>10841</v>
      </c>
      <c r="C259" s="41" t="s">
        <v>9</v>
      </c>
      <c r="D259" s="87">
        <v>881.2</v>
      </c>
      <c r="E259" s="35">
        <v>44653</v>
      </c>
      <c r="F259" s="87">
        <v>881.2</v>
      </c>
      <c r="G259" s="91">
        <f>Tabla15[[#This Row],[Importe]]-Tabla15[[#This Row],[Pagado]]</f>
        <v>0</v>
      </c>
      <c r="H259" s="92" t="s">
        <v>10</v>
      </c>
    </row>
    <row r="260" spans="1:8" ht="21.75" customHeight="1" x14ac:dyDescent="0.25">
      <c r="A260" s="35">
        <v>44653</v>
      </c>
      <c r="B260" s="90" t="s">
        <v>10842</v>
      </c>
      <c r="C260" s="41" t="s">
        <v>518</v>
      </c>
      <c r="D260" s="87">
        <v>3337.6</v>
      </c>
      <c r="E260" s="35">
        <v>44653</v>
      </c>
      <c r="F260" s="87">
        <v>3337.6</v>
      </c>
      <c r="G260" s="91">
        <f>Tabla15[[#This Row],[Importe]]-Tabla15[[#This Row],[Pagado]]</f>
        <v>0</v>
      </c>
      <c r="H260" s="92" t="s">
        <v>10</v>
      </c>
    </row>
    <row r="261" spans="1:8" ht="21.75" customHeight="1" x14ac:dyDescent="0.25">
      <c r="A261" s="35">
        <v>44653</v>
      </c>
      <c r="B261" s="90" t="s">
        <v>10843</v>
      </c>
      <c r="C261" s="41" t="s">
        <v>214</v>
      </c>
      <c r="D261" s="87">
        <v>745</v>
      </c>
      <c r="E261" s="35">
        <v>44655</v>
      </c>
      <c r="F261" s="87">
        <v>745</v>
      </c>
      <c r="G261" s="91">
        <f>Tabla15[[#This Row],[Importe]]-Tabla15[[#This Row],[Pagado]]</f>
        <v>0</v>
      </c>
      <c r="H261" s="92" t="s">
        <v>10</v>
      </c>
    </row>
    <row r="262" spans="1:8" ht="21.75" customHeight="1" x14ac:dyDescent="0.25">
      <c r="A262" s="35">
        <v>44653</v>
      </c>
      <c r="B262" s="90" t="s">
        <v>10844</v>
      </c>
      <c r="C262" s="41" t="s">
        <v>555</v>
      </c>
      <c r="D262" s="87">
        <v>33340.800000000003</v>
      </c>
      <c r="E262" s="35">
        <v>44654</v>
      </c>
      <c r="F262" s="87">
        <v>33340.800000000003</v>
      </c>
      <c r="G262" s="91">
        <f>Tabla15[[#This Row],[Importe]]-Tabla15[[#This Row],[Pagado]]</f>
        <v>0</v>
      </c>
      <c r="H262" s="92" t="s">
        <v>10</v>
      </c>
    </row>
    <row r="263" spans="1:8" ht="21.75" customHeight="1" x14ac:dyDescent="0.25">
      <c r="A263" s="35">
        <v>44653</v>
      </c>
      <c r="B263" s="90" t="s">
        <v>10845</v>
      </c>
      <c r="C263" s="41" t="s">
        <v>31</v>
      </c>
      <c r="D263" s="87">
        <v>102.6</v>
      </c>
      <c r="E263" s="35">
        <v>44653</v>
      </c>
      <c r="F263" s="87">
        <v>102.6</v>
      </c>
      <c r="G263" s="91">
        <f>Tabla15[[#This Row],[Importe]]-Tabla15[[#This Row],[Pagado]]</f>
        <v>0</v>
      </c>
      <c r="H263" s="92" t="s">
        <v>10</v>
      </c>
    </row>
    <row r="264" spans="1:8" ht="21.75" customHeight="1" x14ac:dyDescent="0.25">
      <c r="A264" s="35">
        <v>44653</v>
      </c>
      <c r="B264" s="90" t="s">
        <v>10846</v>
      </c>
      <c r="C264" s="41" t="s">
        <v>31</v>
      </c>
      <c r="D264" s="87">
        <v>156.6</v>
      </c>
      <c r="E264" s="35">
        <v>44653</v>
      </c>
      <c r="F264" s="87">
        <v>156.6</v>
      </c>
      <c r="G264" s="91">
        <f>Tabla15[[#This Row],[Importe]]-Tabla15[[#This Row],[Pagado]]</f>
        <v>0</v>
      </c>
      <c r="H264" s="92" t="s">
        <v>10</v>
      </c>
    </row>
    <row r="265" spans="1:8" ht="21.75" customHeight="1" x14ac:dyDescent="0.25">
      <c r="A265" s="35">
        <v>44653</v>
      </c>
      <c r="B265" s="90" t="s">
        <v>10847</v>
      </c>
      <c r="C265" s="41" t="s">
        <v>179</v>
      </c>
      <c r="D265" s="87">
        <v>1290.5999999999999</v>
      </c>
      <c r="E265" s="35">
        <v>44654</v>
      </c>
      <c r="F265" s="87">
        <v>1290.5999999999999</v>
      </c>
      <c r="G265" s="91">
        <f>Tabla15[[#This Row],[Importe]]-Tabla15[[#This Row],[Pagado]]</f>
        <v>0</v>
      </c>
      <c r="H265" s="92" t="s">
        <v>10</v>
      </c>
    </row>
    <row r="266" spans="1:8" ht="21.75" customHeight="1" x14ac:dyDescent="0.25">
      <c r="A266" s="35">
        <v>44653</v>
      </c>
      <c r="B266" s="90" t="s">
        <v>10848</v>
      </c>
      <c r="C266" s="41" t="s">
        <v>31</v>
      </c>
      <c r="D266" s="87">
        <v>451.8</v>
      </c>
      <c r="E266" s="35">
        <v>44654</v>
      </c>
      <c r="F266" s="87">
        <v>451.8</v>
      </c>
      <c r="G266" s="91">
        <f>Tabla15[[#This Row],[Importe]]-Tabla15[[#This Row],[Pagado]]</f>
        <v>0</v>
      </c>
      <c r="H266" s="92" t="s">
        <v>10</v>
      </c>
    </row>
    <row r="267" spans="1:8" ht="31.5" x14ac:dyDescent="0.25">
      <c r="A267" s="35">
        <v>44653</v>
      </c>
      <c r="B267" s="90" t="s">
        <v>10849</v>
      </c>
      <c r="C267" s="41" t="s">
        <v>275</v>
      </c>
      <c r="D267" s="87">
        <v>120497.60000000001</v>
      </c>
      <c r="E267" s="35" t="s">
        <v>10850</v>
      </c>
      <c r="F267" s="87">
        <f>67728.14+52769.46</f>
        <v>120497.60000000001</v>
      </c>
      <c r="G267" s="91">
        <f>Tabla15[[#This Row],[Importe]]-Tabla15[[#This Row],[Pagado]]</f>
        <v>0</v>
      </c>
      <c r="H267" s="92" t="s">
        <v>10</v>
      </c>
    </row>
    <row r="268" spans="1:8" ht="21.75" customHeight="1" x14ac:dyDescent="0.25">
      <c r="A268" s="35">
        <v>44653</v>
      </c>
      <c r="B268" s="90" t="s">
        <v>10851</v>
      </c>
      <c r="C268" s="41" t="s">
        <v>31</v>
      </c>
      <c r="D268" s="87">
        <v>144</v>
      </c>
      <c r="E268" s="35">
        <v>44662</v>
      </c>
      <c r="F268" s="87">
        <v>144</v>
      </c>
      <c r="G268" s="91">
        <f>Tabla15[[#This Row],[Importe]]-Tabla15[[#This Row],[Pagado]]</f>
        <v>0</v>
      </c>
      <c r="H268" s="92" t="s">
        <v>10</v>
      </c>
    </row>
    <row r="269" spans="1:8" ht="21.75" customHeight="1" x14ac:dyDescent="0.25">
      <c r="A269" s="35">
        <v>44654</v>
      </c>
      <c r="B269" s="90" t="s">
        <v>10852</v>
      </c>
      <c r="C269" s="41" t="s">
        <v>9</v>
      </c>
      <c r="D269" s="87">
        <v>6339.5</v>
      </c>
      <c r="E269" s="35">
        <v>44654</v>
      </c>
      <c r="F269" s="87">
        <v>6339.5</v>
      </c>
      <c r="G269" s="91">
        <f>Tabla15[[#This Row],[Importe]]-Tabla15[[#This Row],[Pagado]]</f>
        <v>0</v>
      </c>
      <c r="H269" s="92" t="s">
        <v>10</v>
      </c>
    </row>
    <row r="270" spans="1:8" ht="21.75" customHeight="1" x14ac:dyDescent="0.25">
      <c r="A270" s="35">
        <v>44654</v>
      </c>
      <c r="B270" s="90" t="s">
        <v>10853</v>
      </c>
      <c r="C270" s="41" t="s">
        <v>12</v>
      </c>
      <c r="D270" s="87">
        <v>71760.7</v>
      </c>
      <c r="E270" s="35">
        <v>44655</v>
      </c>
      <c r="F270" s="87">
        <v>71760.7</v>
      </c>
      <c r="G270" s="91">
        <f>Tabla15[[#This Row],[Importe]]-Tabla15[[#This Row],[Pagado]]</f>
        <v>0</v>
      </c>
      <c r="H270" s="92" t="s">
        <v>10</v>
      </c>
    </row>
    <row r="271" spans="1:8" ht="21.75" customHeight="1" x14ac:dyDescent="0.25">
      <c r="A271" s="35">
        <v>44654</v>
      </c>
      <c r="B271" s="90" t="s">
        <v>10854</v>
      </c>
      <c r="C271" s="41" t="s">
        <v>31</v>
      </c>
      <c r="D271" s="87">
        <v>3521.7</v>
      </c>
      <c r="E271" s="35">
        <v>44654</v>
      </c>
      <c r="F271" s="87">
        <v>3521.7</v>
      </c>
      <c r="G271" s="91">
        <f>Tabla15[[#This Row],[Importe]]-Tabla15[[#This Row],[Pagado]]</f>
        <v>0</v>
      </c>
      <c r="H271" s="92" t="s">
        <v>10</v>
      </c>
    </row>
    <row r="272" spans="1:8" ht="21.75" customHeight="1" x14ac:dyDescent="0.25">
      <c r="A272" s="35">
        <v>44654</v>
      </c>
      <c r="B272" s="90" t="s">
        <v>10855</v>
      </c>
      <c r="C272" s="41" t="s">
        <v>22</v>
      </c>
      <c r="D272" s="87">
        <v>55066.3</v>
      </c>
      <c r="E272" s="35">
        <v>44655</v>
      </c>
      <c r="F272" s="87">
        <v>55066.3</v>
      </c>
      <c r="G272" s="91">
        <f>Tabla15[[#This Row],[Importe]]-Tabla15[[#This Row],[Pagado]]</f>
        <v>0</v>
      </c>
      <c r="H272" s="92" t="s">
        <v>10</v>
      </c>
    </row>
    <row r="273" spans="1:8" ht="21.75" customHeight="1" x14ac:dyDescent="0.25">
      <c r="A273" s="35">
        <v>44654</v>
      </c>
      <c r="B273" s="90" t="s">
        <v>10856</v>
      </c>
      <c r="C273" s="41" t="s">
        <v>16</v>
      </c>
      <c r="D273" s="87">
        <v>4395.2</v>
      </c>
      <c r="E273" s="35">
        <v>44654</v>
      </c>
      <c r="F273" s="87">
        <v>4395.2</v>
      </c>
      <c r="G273" s="91">
        <f>Tabla15[[#This Row],[Importe]]-Tabla15[[#This Row],[Pagado]]</f>
        <v>0</v>
      </c>
      <c r="H273" s="92" t="s">
        <v>10</v>
      </c>
    </row>
    <row r="274" spans="1:8" ht="21.75" customHeight="1" x14ac:dyDescent="0.25">
      <c r="A274" s="35">
        <v>44654</v>
      </c>
      <c r="B274" s="90" t="s">
        <v>10857</v>
      </c>
      <c r="C274" s="41" t="s">
        <v>51</v>
      </c>
      <c r="D274" s="87">
        <v>1540</v>
      </c>
      <c r="E274" s="35">
        <v>44654</v>
      </c>
      <c r="F274" s="87">
        <v>1540</v>
      </c>
      <c r="G274" s="91">
        <f>Tabla15[[#This Row],[Importe]]-Tabla15[[#This Row],[Pagado]]</f>
        <v>0</v>
      </c>
      <c r="H274" s="92" t="s">
        <v>10</v>
      </c>
    </row>
    <row r="275" spans="1:8" ht="21.75" customHeight="1" x14ac:dyDescent="0.25">
      <c r="A275" s="35">
        <v>44654</v>
      </c>
      <c r="B275" s="90" t="s">
        <v>10858</v>
      </c>
      <c r="C275" s="41" t="s">
        <v>27</v>
      </c>
      <c r="D275" s="87">
        <v>3011.4</v>
      </c>
      <c r="E275" s="35">
        <v>44654</v>
      </c>
      <c r="F275" s="87">
        <v>3011.4</v>
      </c>
      <c r="G275" s="91">
        <f>Tabla15[[#This Row],[Importe]]-Tabla15[[#This Row],[Pagado]]</f>
        <v>0</v>
      </c>
      <c r="H275" s="92" t="s">
        <v>10</v>
      </c>
    </row>
    <row r="276" spans="1:8" ht="21.75" customHeight="1" x14ac:dyDescent="0.25">
      <c r="A276" s="35">
        <v>44654</v>
      </c>
      <c r="B276" s="90" t="s">
        <v>10859</v>
      </c>
      <c r="C276" s="41" t="s">
        <v>29</v>
      </c>
      <c r="D276" s="87">
        <v>6847.2</v>
      </c>
      <c r="E276" s="35">
        <v>44654</v>
      </c>
      <c r="F276" s="87">
        <v>6847.2</v>
      </c>
      <c r="G276" s="91">
        <f>Tabla15[[#This Row],[Importe]]-Tabla15[[#This Row],[Pagado]]</f>
        <v>0</v>
      </c>
      <c r="H276" s="92" t="s">
        <v>10</v>
      </c>
    </row>
    <row r="277" spans="1:8" ht="21.75" customHeight="1" x14ac:dyDescent="0.25">
      <c r="A277" s="35">
        <v>44654</v>
      </c>
      <c r="B277" s="90" t="s">
        <v>10860</v>
      </c>
      <c r="C277" s="41" t="s">
        <v>224</v>
      </c>
      <c r="D277" s="87">
        <v>1834.6</v>
      </c>
      <c r="E277" s="35">
        <v>44654</v>
      </c>
      <c r="F277" s="87">
        <v>1834.6</v>
      </c>
      <c r="G277" s="91">
        <f>Tabla15[[#This Row],[Importe]]-Tabla15[[#This Row],[Pagado]]</f>
        <v>0</v>
      </c>
      <c r="H277" s="92" t="s">
        <v>10</v>
      </c>
    </row>
    <row r="278" spans="1:8" ht="21.75" customHeight="1" x14ac:dyDescent="0.25">
      <c r="A278" s="35">
        <v>44654</v>
      </c>
      <c r="B278" s="90" t="s">
        <v>10861</v>
      </c>
      <c r="C278" s="41" t="s">
        <v>56</v>
      </c>
      <c r="D278" s="87">
        <v>10522</v>
      </c>
      <c r="E278" s="35">
        <v>44654</v>
      </c>
      <c r="F278" s="87">
        <v>10522</v>
      </c>
      <c r="G278" s="91">
        <f>Tabla15[[#This Row],[Importe]]-Tabla15[[#This Row],[Pagado]]</f>
        <v>0</v>
      </c>
      <c r="H278" s="92" t="s">
        <v>10</v>
      </c>
    </row>
    <row r="279" spans="1:8" ht="21.75" customHeight="1" x14ac:dyDescent="0.25">
      <c r="A279" s="35">
        <v>44654</v>
      </c>
      <c r="B279" s="90" t="s">
        <v>10862</v>
      </c>
      <c r="C279" s="41" t="s">
        <v>20</v>
      </c>
      <c r="D279" s="87">
        <v>6913.2</v>
      </c>
      <c r="E279" s="35">
        <v>44654</v>
      </c>
      <c r="F279" s="87">
        <v>6913.2</v>
      </c>
      <c r="G279" s="91">
        <f>Tabla15[[#This Row],[Importe]]-Tabla15[[#This Row],[Pagado]]</f>
        <v>0</v>
      </c>
      <c r="H279" s="92" t="s">
        <v>10</v>
      </c>
    </row>
    <row r="280" spans="1:8" ht="21.75" customHeight="1" x14ac:dyDescent="0.25">
      <c r="A280" s="35">
        <v>44654</v>
      </c>
      <c r="B280" s="90" t="s">
        <v>10863</v>
      </c>
      <c r="C280" s="41" t="s">
        <v>37</v>
      </c>
      <c r="D280" s="87">
        <v>2637.6</v>
      </c>
      <c r="E280" s="35">
        <v>44654</v>
      </c>
      <c r="F280" s="87">
        <v>2637.6</v>
      </c>
      <c r="G280" s="91">
        <f>Tabla15[[#This Row],[Importe]]-Tabla15[[#This Row],[Pagado]]</f>
        <v>0</v>
      </c>
      <c r="H280" s="92" t="s">
        <v>10</v>
      </c>
    </row>
    <row r="281" spans="1:8" ht="21.75" customHeight="1" x14ac:dyDescent="0.25">
      <c r="A281" s="35">
        <v>44654</v>
      </c>
      <c r="B281" s="90" t="s">
        <v>10864</v>
      </c>
      <c r="C281" s="41" t="s">
        <v>111</v>
      </c>
      <c r="D281" s="87">
        <v>1633.8</v>
      </c>
      <c r="E281" s="35">
        <v>44654</v>
      </c>
      <c r="F281" s="87">
        <v>1633.8</v>
      </c>
      <c r="G281" s="91">
        <f>Tabla15[[#This Row],[Importe]]-Tabla15[[#This Row],[Pagado]]</f>
        <v>0</v>
      </c>
      <c r="H281" s="92" t="s">
        <v>10</v>
      </c>
    </row>
    <row r="282" spans="1:8" ht="21.75" customHeight="1" x14ac:dyDescent="0.25">
      <c r="A282" s="35">
        <v>44654</v>
      </c>
      <c r="B282" s="90" t="s">
        <v>10865</v>
      </c>
      <c r="C282" s="41" t="s">
        <v>481</v>
      </c>
      <c r="D282" s="87">
        <v>1287.8</v>
      </c>
      <c r="E282" s="35">
        <v>44654</v>
      </c>
      <c r="F282" s="87">
        <v>1287.8</v>
      </c>
      <c r="G282" s="91">
        <f>Tabla15[[#This Row],[Importe]]-Tabla15[[#This Row],[Pagado]]</f>
        <v>0</v>
      </c>
      <c r="H282" s="92" t="s">
        <v>10</v>
      </c>
    </row>
    <row r="283" spans="1:8" ht="21.75" customHeight="1" x14ac:dyDescent="0.25">
      <c r="A283" s="35">
        <v>44654</v>
      </c>
      <c r="B283" s="90" t="s">
        <v>10866</v>
      </c>
      <c r="C283" s="41" t="s">
        <v>382</v>
      </c>
      <c r="D283" s="87">
        <v>8208</v>
      </c>
      <c r="E283" s="35">
        <v>44654</v>
      </c>
      <c r="F283" s="87">
        <v>8208</v>
      </c>
      <c r="G283" s="91">
        <f>Tabla15[[#This Row],[Importe]]-Tabla15[[#This Row],[Pagado]]</f>
        <v>0</v>
      </c>
      <c r="H283" s="92" t="s">
        <v>10</v>
      </c>
    </row>
    <row r="284" spans="1:8" ht="21.75" customHeight="1" x14ac:dyDescent="0.25">
      <c r="A284" s="35">
        <v>44654</v>
      </c>
      <c r="B284" s="90" t="s">
        <v>10867</v>
      </c>
      <c r="C284" s="41" t="s">
        <v>804</v>
      </c>
      <c r="D284" s="87">
        <v>16199.2</v>
      </c>
      <c r="E284" s="35">
        <v>44654</v>
      </c>
      <c r="F284" s="87">
        <v>16199.2</v>
      </c>
      <c r="G284" s="91">
        <f>Tabla15[[#This Row],[Importe]]-Tabla15[[#This Row],[Pagado]]</f>
        <v>0</v>
      </c>
      <c r="H284" s="92" t="s">
        <v>10</v>
      </c>
    </row>
    <row r="285" spans="1:8" ht="21.75" customHeight="1" x14ac:dyDescent="0.25">
      <c r="A285" s="35">
        <v>44654</v>
      </c>
      <c r="B285" s="90" t="s">
        <v>10868</v>
      </c>
      <c r="C285" s="41" t="s">
        <v>3971</v>
      </c>
      <c r="D285" s="87">
        <v>1177.8</v>
      </c>
      <c r="E285" s="35">
        <v>44654</v>
      </c>
      <c r="F285" s="87">
        <v>1177.8</v>
      </c>
      <c r="G285" s="91">
        <f>Tabla15[[#This Row],[Importe]]-Tabla15[[#This Row],[Pagado]]</f>
        <v>0</v>
      </c>
      <c r="H285" s="92" t="s">
        <v>10</v>
      </c>
    </row>
    <row r="286" spans="1:8" ht="21.75" customHeight="1" x14ac:dyDescent="0.25">
      <c r="A286" s="35">
        <v>44654</v>
      </c>
      <c r="B286" s="90" t="s">
        <v>10869</v>
      </c>
      <c r="C286" s="41" t="s">
        <v>49</v>
      </c>
      <c r="D286" s="87">
        <v>3451</v>
      </c>
      <c r="E286" s="35">
        <v>44654</v>
      </c>
      <c r="F286" s="87">
        <v>3451</v>
      </c>
      <c r="G286" s="91">
        <f>Tabla15[[#This Row],[Importe]]-Tabla15[[#This Row],[Pagado]]</f>
        <v>0</v>
      </c>
      <c r="H286" s="92" t="s">
        <v>10</v>
      </c>
    </row>
    <row r="287" spans="1:8" ht="21.75" customHeight="1" x14ac:dyDescent="0.25">
      <c r="A287" s="35">
        <v>44654</v>
      </c>
      <c r="B287" s="90" t="s">
        <v>10870</v>
      </c>
      <c r="C287" s="41" t="s">
        <v>45</v>
      </c>
      <c r="D287" s="87">
        <v>8141.3</v>
      </c>
      <c r="E287" s="35">
        <v>44654</v>
      </c>
      <c r="F287" s="87">
        <v>8141.3</v>
      </c>
      <c r="G287" s="91">
        <f>Tabla15[[#This Row],[Importe]]-Tabla15[[#This Row],[Pagado]]</f>
        <v>0</v>
      </c>
      <c r="H287" s="92" t="s">
        <v>10</v>
      </c>
    </row>
    <row r="288" spans="1:8" ht="21.75" customHeight="1" x14ac:dyDescent="0.25">
      <c r="A288" s="35">
        <v>44654</v>
      </c>
      <c r="B288" s="90" t="s">
        <v>10871</v>
      </c>
      <c r="C288" s="41" t="s">
        <v>24</v>
      </c>
      <c r="D288" s="87">
        <v>3308.8</v>
      </c>
      <c r="E288" s="35">
        <v>44654</v>
      </c>
      <c r="F288" s="87">
        <v>3308.8</v>
      </c>
      <c r="G288" s="91">
        <f>Tabla15[[#This Row],[Importe]]-Tabla15[[#This Row],[Pagado]]</f>
        <v>0</v>
      </c>
      <c r="H288" s="92" t="s">
        <v>10</v>
      </c>
    </row>
    <row r="289" spans="1:8" ht="21.75" customHeight="1" x14ac:dyDescent="0.25">
      <c r="A289" s="35">
        <v>44654</v>
      </c>
      <c r="B289" s="90" t="s">
        <v>10872</v>
      </c>
      <c r="C289" s="41" t="s">
        <v>31</v>
      </c>
      <c r="D289" s="87">
        <v>3198</v>
      </c>
      <c r="E289" s="35">
        <v>44654</v>
      </c>
      <c r="F289" s="87">
        <v>3198</v>
      </c>
      <c r="G289" s="91">
        <f>Tabla15[[#This Row],[Importe]]-Tabla15[[#This Row],[Pagado]]</f>
        <v>0</v>
      </c>
      <c r="H289" s="92" t="s">
        <v>10</v>
      </c>
    </row>
    <row r="290" spans="1:8" ht="21.75" customHeight="1" x14ac:dyDescent="0.25">
      <c r="A290" s="35">
        <v>44654</v>
      </c>
      <c r="B290" s="90" t="s">
        <v>10873</v>
      </c>
      <c r="C290" s="41" t="s">
        <v>51</v>
      </c>
      <c r="D290" s="87">
        <v>1058.4000000000001</v>
      </c>
      <c r="E290" s="35">
        <v>44654</v>
      </c>
      <c r="F290" s="87">
        <v>1058.4000000000001</v>
      </c>
      <c r="G290" s="91">
        <f>Tabla15[[#This Row],[Importe]]-Tabla15[[#This Row],[Pagado]]</f>
        <v>0</v>
      </c>
      <c r="H290" s="92" t="s">
        <v>10</v>
      </c>
    </row>
    <row r="291" spans="1:8" ht="31.5" x14ac:dyDescent="0.25">
      <c r="A291" s="35">
        <v>44654</v>
      </c>
      <c r="B291" s="90" t="s">
        <v>10874</v>
      </c>
      <c r="C291" s="41" t="s">
        <v>191</v>
      </c>
      <c r="D291" s="87">
        <v>1753.6</v>
      </c>
      <c r="E291" s="35" t="s">
        <v>10708</v>
      </c>
      <c r="F291" s="87">
        <f>1600+153.6</f>
        <v>1753.6</v>
      </c>
      <c r="G291" s="91">
        <f>Tabla15[[#This Row],[Importe]]-Tabla15[[#This Row],[Pagado]]</f>
        <v>0</v>
      </c>
      <c r="H291" s="92" t="s">
        <v>10</v>
      </c>
    </row>
    <row r="292" spans="1:8" ht="21.75" customHeight="1" x14ac:dyDescent="0.25">
      <c r="A292" s="35">
        <v>44654</v>
      </c>
      <c r="B292" s="90" t="s">
        <v>10875</v>
      </c>
      <c r="C292" s="41" t="s">
        <v>24</v>
      </c>
      <c r="D292" s="87">
        <v>352.8</v>
      </c>
      <c r="E292" s="35">
        <v>44654</v>
      </c>
      <c r="F292" s="87">
        <v>352.8</v>
      </c>
      <c r="G292" s="91">
        <f>Tabla15[[#This Row],[Importe]]-Tabla15[[#This Row],[Pagado]]</f>
        <v>0</v>
      </c>
      <c r="H292" s="92" t="s">
        <v>10</v>
      </c>
    </row>
    <row r="293" spans="1:8" ht="21.75" customHeight="1" x14ac:dyDescent="0.25">
      <c r="A293" s="35">
        <v>44654</v>
      </c>
      <c r="B293" s="90" t="s">
        <v>10876</v>
      </c>
      <c r="C293" s="41" t="s">
        <v>373</v>
      </c>
      <c r="D293" s="87">
        <v>1436.4</v>
      </c>
      <c r="E293" s="35">
        <v>44654</v>
      </c>
      <c r="F293" s="87">
        <v>1436.4</v>
      </c>
      <c r="G293" s="91">
        <f>Tabla15[[#This Row],[Importe]]-Tabla15[[#This Row],[Pagado]]</f>
        <v>0</v>
      </c>
      <c r="H293" s="92" t="s">
        <v>10</v>
      </c>
    </row>
    <row r="294" spans="1:8" ht="21.75" customHeight="1" x14ac:dyDescent="0.25">
      <c r="A294" s="35">
        <v>44654</v>
      </c>
      <c r="B294" s="90" t="s">
        <v>10877</v>
      </c>
      <c r="C294" s="41" t="s">
        <v>31</v>
      </c>
      <c r="D294" s="87">
        <v>130.19999999999999</v>
      </c>
      <c r="E294" s="35">
        <v>44654</v>
      </c>
      <c r="F294" s="87">
        <v>130.19999999999999</v>
      </c>
      <c r="G294" s="91">
        <f>Tabla15[[#This Row],[Importe]]-Tabla15[[#This Row],[Pagado]]</f>
        <v>0</v>
      </c>
      <c r="H294" s="92" t="s">
        <v>10</v>
      </c>
    </row>
    <row r="295" spans="1:8" ht="21.75" customHeight="1" x14ac:dyDescent="0.25">
      <c r="A295" s="35">
        <v>44654</v>
      </c>
      <c r="B295" s="90" t="s">
        <v>10878</v>
      </c>
      <c r="C295" s="41" t="s">
        <v>58</v>
      </c>
      <c r="D295" s="87">
        <v>7068.8</v>
      </c>
      <c r="E295" s="35">
        <v>44654</v>
      </c>
      <c r="F295" s="87">
        <v>7068.8</v>
      </c>
      <c r="G295" s="91">
        <f>Tabla15[[#This Row],[Importe]]-Tabla15[[#This Row],[Pagado]]</f>
        <v>0</v>
      </c>
      <c r="H295" s="92" t="s">
        <v>10</v>
      </c>
    </row>
    <row r="296" spans="1:8" ht="21.75" customHeight="1" x14ac:dyDescent="0.25">
      <c r="A296" s="35">
        <v>44654</v>
      </c>
      <c r="B296" s="90" t="s">
        <v>10879</v>
      </c>
      <c r="C296" s="41" t="s">
        <v>67</v>
      </c>
      <c r="D296" s="87">
        <v>2896.2</v>
      </c>
      <c r="E296" s="35">
        <v>44654</v>
      </c>
      <c r="F296" s="87">
        <v>2896.2</v>
      </c>
      <c r="G296" s="91">
        <f>Tabla15[[#This Row],[Importe]]-Tabla15[[#This Row],[Pagado]]</f>
        <v>0</v>
      </c>
      <c r="H296" s="92" t="s">
        <v>10</v>
      </c>
    </row>
    <row r="297" spans="1:8" ht="21.75" customHeight="1" x14ac:dyDescent="0.25">
      <c r="A297" s="35">
        <v>44654</v>
      </c>
      <c r="B297" s="90" t="s">
        <v>10880</v>
      </c>
      <c r="C297" s="41" t="s">
        <v>53</v>
      </c>
      <c r="D297" s="87">
        <v>2051.5</v>
      </c>
      <c r="E297" s="35">
        <v>44654</v>
      </c>
      <c r="F297" s="87">
        <v>2051.5</v>
      </c>
      <c r="G297" s="91">
        <f>Tabla15[[#This Row],[Importe]]-Tabla15[[#This Row],[Pagado]]</f>
        <v>0</v>
      </c>
      <c r="H297" s="92" t="s">
        <v>10</v>
      </c>
    </row>
    <row r="298" spans="1:8" ht="21.75" customHeight="1" x14ac:dyDescent="0.25">
      <c r="A298" s="35">
        <v>44654</v>
      </c>
      <c r="B298" s="90" t="s">
        <v>10881</v>
      </c>
      <c r="C298" s="41" t="s">
        <v>71</v>
      </c>
      <c r="D298" s="87">
        <v>1525.2</v>
      </c>
      <c r="E298" s="35">
        <v>44654</v>
      </c>
      <c r="F298" s="87">
        <v>1525.2</v>
      </c>
      <c r="G298" s="91">
        <f>Tabla15[[#This Row],[Importe]]-Tabla15[[#This Row],[Pagado]]</f>
        <v>0</v>
      </c>
      <c r="H298" s="92" t="s">
        <v>10</v>
      </c>
    </row>
    <row r="299" spans="1:8" ht="21.75" customHeight="1" x14ac:dyDescent="0.25">
      <c r="A299" s="35">
        <v>44654</v>
      </c>
      <c r="B299" s="90" t="s">
        <v>10882</v>
      </c>
      <c r="C299" s="41" t="s">
        <v>31</v>
      </c>
      <c r="D299" s="87">
        <v>518.4</v>
      </c>
      <c r="E299" s="35">
        <v>44654</v>
      </c>
      <c r="F299" s="87">
        <v>518.4</v>
      </c>
      <c r="G299" s="91">
        <f>Tabla15[[#This Row],[Importe]]-Tabla15[[#This Row],[Pagado]]</f>
        <v>0</v>
      </c>
      <c r="H299" s="92" t="s">
        <v>10</v>
      </c>
    </row>
    <row r="300" spans="1:8" ht="21.75" customHeight="1" x14ac:dyDescent="0.25">
      <c r="A300" s="35">
        <v>44654</v>
      </c>
      <c r="B300" s="90" t="s">
        <v>10883</v>
      </c>
      <c r="C300" s="41" t="s">
        <v>214</v>
      </c>
      <c r="D300" s="87">
        <v>1112.4000000000001</v>
      </c>
      <c r="E300" s="35">
        <v>44654</v>
      </c>
      <c r="F300" s="87">
        <v>1112.4000000000001</v>
      </c>
      <c r="G300" s="91">
        <f>Tabla15[[#This Row],[Importe]]-Tabla15[[#This Row],[Pagado]]</f>
        <v>0</v>
      </c>
      <c r="H300" s="92" t="s">
        <v>10</v>
      </c>
    </row>
    <row r="301" spans="1:8" ht="21.75" customHeight="1" x14ac:dyDescent="0.25">
      <c r="A301" s="35">
        <v>44654</v>
      </c>
      <c r="B301" s="90" t="s">
        <v>10884</v>
      </c>
      <c r="C301" s="41" t="s">
        <v>2139</v>
      </c>
      <c r="D301" s="87">
        <v>1906.1</v>
      </c>
      <c r="E301" s="35">
        <v>44654</v>
      </c>
      <c r="F301" s="87">
        <v>1906.1</v>
      </c>
      <c r="G301" s="91">
        <f>Tabla15[[#This Row],[Importe]]-Tabla15[[#This Row],[Pagado]]</f>
        <v>0</v>
      </c>
      <c r="H301" s="92" t="s">
        <v>10</v>
      </c>
    </row>
    <row r="302" spans="1:8" ht="21.75" customHeight="1" x14ac:dyDescent="0.25">
      <c r="A302" s="35">
        <v>44654</v>
      </c>
      <c r="B302" s="90" t="s">
        <v>10885</v>
      </c>
      <c r="C302" s="41" t="s">
        <v>226</v>
      </c>
      <c r="D302" s="87">
        <v>18122.400000000001</v>
      </c>
      <c r="E302" s="35">
        <v>44654</v>
      </c>
      <c r="F302" s="87">
        <v>18122.400000000001</v>
      </c>
      <c r="G302" s="91">
        <f>Tabla15[[#This Row],[Importe]]-Tabla15[[#This Row],[Pagado]]</f>
        <v>0</v>
      </c>
      <c r="H302" s="92" t="s">
        <v>10</v>
      </c>
    </row>
    <row r="303" spans="1:8" ht="21.75" customHeight="1" x14ac:dyDescent="0.25">
      <c r="A303" s="35">
        <v>44654</v>
      </c>
      <c r="B303" s="90" t="s">
        <v>10886</v>
      </c>
      <c r="C303" s="41" t="s">
        <v>31</v>
      </c>
      <c r="D303" s="87">
        <v>50</v>
      </c>
      <c r="E303" s="35">
        <v>44654</v>
      </c>
      <c r="F303" s="87">
        <v>50</v>
      </c>
      <c r="G303" s="91">
        <f>Tabla15[[#This Row],[Importe]]-Tabla15[[#This Row],[Pagado]]</f>
        <v>0</v>
      </c>
      <c r="H303" s="92" t="s">
        <v>10</v>
      </c>
    </row>
    <row r="304" spans="1:8" ht="21.75" customHeight="1" x14ac:dyDescent="0.25">
      <c r="A304" s="35">
        <v>44654</v>
      </c>
      <c r="B304" s="90" t="s">
        <v>10887</v>
      </c>
      <c r="C304" s="41" t="s">
        <v>7745</v>
      </c>
      <c r="D304" s="87">
        <v>28695.599999999999</v>
      </c>
      <c r="E304" s="35">
        <v>44655</v>
      </c>
      <c r="F304" s="87">
        <v>28695.599999999999</v>
      </c>
      <c r="G304" s="91">
        <f>Tabla15[[#This Row],[Importe]]-Tabla15[[#This Row],[Pagado]]</f>
        <v>0</v>
      </c>
      <c r="H304" s="92" t="s">
        <v>10</v>
      </c>
    </row>
    <row r="305" spans="1:8" ht="21.75" customHeight="1" x14ac:dyDescent="0.25">
      <c r="A305" s="35">
        <v>44654</v>
      </c>
      <c r="B305" s="90" t="s">
        <v>10888</v>
      </c>
      <c r="C305" s="41" t="s">
        <v>191</v>
      </c>
      <c r="D305" s="87">
        <v>545.29999999999995</v>
      </c>
      <c r="E305" s="35">
        <v>44655</v>
      </c>
      <c r="F305" s="87">
        <v>545.29999999999995</v>
      </c>
      <c r="G305" s="91">
        <f>Tabla15[[#This Row],[Importe]]-Tabla15[[#This Row],[Pagado]]</f>
        <v>0</v>
      </c>
      <c r="H305" s="92" t="s">
        <v>10</v>
      </c>
    </row>
    <row r="306" spans="1:8" ht="21.75" customHeight="1" x14ac:dyDescent="0.25">
      <c r="A306" s="35">
        <v>44655</v>
      </c>
      <c r="B306" s="90" t="s">
        <v>10889</v>
      </c>
      <c r="C306" s="41" t="s">
        <v>481</v>
      </c>
      <c r="D306" s="87">
        <v>714.8</v>
      </c>
      <c r="E306" s="35">
        <v>44655</v>
      </c>
      <c r="F306" s="87">
        <v>714.8</v>
      </c>
      <c r="G306" s="91">
        <f>Tabla15[[#This Row],[Importe]]-Tabla15[[#This Row],[Pagado]]</f>
        <v>0</v>
      </c>
      <c r="H306" s="92" t="s">
        <v>10</v>
      </c>
    </row>
    <row r="307" spans="1:8" ht="31.5" x14ac:dyDescent="0.25">
      <c r="A307" s="35">
        <v>44655</v>
      </c>
      <c r="B307" s="90" t="s">
        <v>10890</v>
      </c>
      <c r="C307" s="41" t="s">
        <v>475</v>
      </c>
      <c r="D307" s="87">
        <v>81959.199999999997</v>
      </c>
      <c r="E307" s="35" t="s">
        <v>10891</v>
      </c>
      <c r="F307" s="87">
        <f>72000+9959.2</f>
        <v>81959.199999999997</v>
      </c>
      <c r="G307" s="91">
        <f>Tabla15[[#This Row],[Importe]]-Tabla15[[#This Row],[Pagado]]</f>
        <v>0</v>
      </c>
      <c r="H307" s="92" t="s">
        <v>10</v>
      </c>
    </row>
    <row r="308" spans="1:8" ht="21.75" customHeight="1" x14ac:dyDescent="0.25">
      <c r="A308" s="35">
        <v>44655</v>
      </c>
      <c r="B308" s="90" t="s">
        <v>10892</v>
      </c>
      <c r="C308" s="41" t="s">
        <v>31</v>
      </c>
      <c r="D308" s="87">
        <v>4421.7</v>
      </c>
      <c r="E308" s="35">
        <v>44655</v>
      </c>
      <c r="F308" s="87">
        <v>4421.7</v>
      </c>
      <c r="G308" s="91">
        <f>Tabla15[[#This Row],[Importe]]-Tabla15[[#This Row],[Pagado]]</f>
        <v>0</v>
      </c>
      <c r="H308" s="92" t="s">
        <v>10</v>
      </c>
    </row>
    <row r="309" spans="1:8" ht="21.75" customHeight="1" x14ac:dyDescent="0.25">
      <c r="A309" s="35">
        <v>44655</v>
      </c>
      <c r="B309" s="90" t="s">
        <v>10893</v>
      </c>
      <c r="C309" s="41" t="s">
        <v>9</v>
      </c>
      <c r="D309" s="87">
        <v>6707.6</v>
      </c>
      <c r="E309" s="35">
        <v>44655</v>
      </c>
      <c r="F309" s="87">
        <v>6707.6</v>
      </c>
      <c r="G309" s="91">
        <f>Tabla15[[#This Row],[Importe]]-Tabla15[[#This Row],[Pagado]]</f>
        <v>0</v>
      </c>
      <c r="H309" s="92" t="s">
        <v>10</v>
      </c>
    </row>
    <row r="310" spans="1:8" ht="21.75" customHeight="1" x14ac:dyDescent="0.25">
      <c r="A310" s="35">
        <v>44655</v>
      </c>
      <c r="B310" s="90" t="s">
        <v>10894</v>
      </c>
      <c r="C310" s="41" t="s">
        <v>31</v>
      </c>
      <c r="D310" s="87">
        <v>2088.1999999999998</v>
      </c>
      <c r="E310" s="35">
        <v>44655</v>
      </c>
      <c r="F310" s="87">
        <v>2088.1999999999998</v>
      </c>
      <c r="G310" s="91">
        <f>Tabla15[[#This Row],[Importe]]-Tabla15[[#This Row],[Pagado]]</f>
        <v>0</v>
      </c>
      <c r="H310" s="92" t="s">
        <v>10</v>
      </c>
    </row>
    <row r="311" spans="1:8" ht="21.75" customHeight="1" x14ac:dyDescent="0.25">
      <c r="A311" s="35">
        <v>44655</v>
      </c>
      <c r="B311" s="90" t="s">
        <v>10895</v>
      </c>
      <c r="C311" s="41" t="s">
        <v>109</v>
      </c>
      <c r="D311" s="87">
        <v>3962.7</v>
      </c>
      <c r="E311" s="35">
        <v>44656</v>
      </c>
      <c r="F311" s="87">
        <v>3962.7</v>
      </c>
      <c r="G311" s="91">
        <f>Tabla15[[#This Row],[Importe]]-Tabla15[[#This Row],[Pagado]]</f>
        <v>0</v>
      </c>
      <c r="H311" s="92" t="s">
        <v>10</v>
      </c>
    </row>
    <row r="312" spans="1:8" ht="21.75" customHeight="1" x14ac:dyDescent="0.25">
      <c r="A312" s="35">
        <v>44655</v>
      </c>
      <c r="B312" s="90" t="s">
        <v>10896</v>
      </c>
      <c r="C312" s="41" t="s">
        <v>120</v>
      </c>
      <c r="D312" s="87">
        <v>4160.5</v>
      </c>
      <c r="E312" s="35">
        <v>44657</v>
      </c>
      <c r="F312" s="87">
        <v>4160.5</v>
      </c>
      <c r="G312" s="91">
        <f>Tabla15[[#This Row],[Importe]]-Tabla15[[#This Row],[Pagado]]</f>
        <v>0</v>
      </c>
      <c r="H312" s="92" t="s">
        <v>10</v>
      </c>
    </row>
    <row r="313" spans="1:8" ht="21.75" customHeight="1" x14ac:dyDescent="0.25">
      <c r="A313" s="35">
        <v>44655</v>
      </c>
      <c r="B313" s="90" t="s">
        <v>10897</v>
      </c>
      <c r="C313" s="41" t="s">
        <v>60</v>
      </c>
      <c r="D313" s="87">
        <v>3964.4</v>
      </c>
      <c r="E313" s="35">
        <v>44659</v>
      </c>
      <c r="F313" s="87">
        <v>3964.4</v>
      </c>
      <c r="G313" s="91">
        <f>Tabla15[[#This Row],[Importe]]-Tabla15[[#This Row],[Pagado]]</f>
        <v>0</v>
      </c>
      <c r="H313" s="92" t="s">
        <v>10</v>
      </c>
    </row>
    <row r="314" spans="1:8" ht="21.75" customHeight="1" x14ac:dyDescent="0.25">
      <c r="A314" s="35">
        <v>44655</v>
      </c>
      <c r="B314" s="90" t="s">
        <v>10898</v>
      </c>
      <c r="C314" s="41" t="s">
        <v>131</v>
      </c>
      <c r="D314" s="87">
        <v>9476.4</v>
      </c>
      <c r="E314" s="35">
        <v>44655</v>
      </c>
      <c r="F314" s="87">
        <v>9476.4</v>
      </c>
      <c r="G314" s="91">
        <f>Tabla15[[#This Row],[Importe]]-Tabla15[[#This Row],[Pagado]]</f>
        <v>0</v>
      </c>
      <c r="H314" s="92" t="s">
        <v>10</v>
      </c>
    </row>
    <row r="315" spans="1:8" ht="21.75" customHeight="1" x14ac:dyDescent="0.25">
      <c r="A315" s="35">
        <v>44655</v>
      </c>
      <c r="B315" s="90" t="s">
        <v>10899</v>
      </c>
      <c r="C315" s="41" t="s">
        <v>111</v>
      </c>
      <c r="D315" s="87">
        <v>4227.8999999999996</v>
      </c>
      <c r="E315" s="35">
        <v>44656</v>
      </c>
      <c r="F315" s="87">
        <v>4227.8999999999996</v>
      </c>
      <c r="G315" s="91">
        <f>Tabla15[[#This Row],[Importe]]-Tabla15[[#This Row],[Pagado]]</f>
        <v>0</v>
      </c>
      <c r="H315" s="92" t="s">
        <v>10</v>
      </c>
    </row>
    <row r="316" spans="1:8" ht="21.75" customHeight="1" x14ac:dyDescent="0.25">
      <c r="A316" s="35">
        <v>44655</v>
      </c>
      <c r="B316" s="90" t="s">
        <v>10900</v>
      </c>
      <c r="C316" s="41" t="s">
        <v>64</v>
      </c>
      <c r="D316" s="87">
        <v>4134</v>
      </c>
      <c r="E316" s="35">
        <v>44656</v>
      </c>
      <c r="F316" s="87">
        <v>4134</v>
      </c>
      <c r="G316" s="91">
        <f>Tabla15[[#This Row],[Importe]]-Tabla15[[#This Row],[Pagado]]</f>
        <v>0</v>
      </c>
      <c r="H316" s="92" t="s">
        <v>10</v>
      </c>
    </row>
    <row r="317" spans="1:8" ht="21.75" customHeight="1" x14ac:dyDescent="0.25">
      <c r="A317" s="35">
        <v>44655</v>
      </c>
      <c r="B317" s="90" t="s">
        <v>10901</v>
      </c>
      <c r="C317" s="41" t="s">
        <v>114</v>
      </c>
      <c r="D317" s="87">
        <v>4156.5</v>
      </c>
      <c r="E317" s="35">
        <v>44656</v>
      </c>
      <c r="F317" s="87">
        <v>4156.5</v>
      </c>
      <c r="G317" s="91">
        <f>Tabla15[[#This Row],[Importe]]-Tabla15[[#This Row],[Pagado]]</f>
        <v>0</v>
      </c>
      <c r="H317" s="92" t="s">
        <v>10</v>
      </c>
    </row>
    <row r="318" spans="1:8" ht="21.75" customHeight="1" x14ac:dyDescent="0.25">
      <c r="A318" s="35">
        <v>44655</v>
      </c>
      <c r="B318" s="90" t="s">
        <v>10902</v>
      </c>
      <c r="C318" s="41" t="s">
        <v>97</v>
      </c>
      <c r="D318" s="87">
        <v>10369.4</v>
      </c>
      <c r="E318" s="35">
        <v>44656</v>
      </c>
      <c r="F318" s="87">
        <v>10369.4</v>
      </c>
      <c r="G318" s="91">
        <f>Tabla15[[#This Row],[Importe]]-Tabla15[[#This Row],[Pagado]]</f>
        <v>0</v>
      </c>
      <c r="H318" s="92" t="s">
        <v>10</v>
      </c>
    </row>
    <row r="319" spans="1:8" ht="31.5" x14ac:dyDescent="0.25">
      <c r="A319" s="35">
        <v>44655</v>
      </c>
      <c r="B319" s="90" t="s">
        <v>10903</v>
      </c>
      <c r="C319" s="41" t="s">
        <v>39</v>
      </c>
      <c r="D319" s="87">
        <v>26258.7</v>
      </c>
      <c r="E319" s="35" t="s">
        <v>10891</v>
      </c>
      <c r="F319" s="87">
        <f>10300+15958.7</f>
        <v>26258.7</v>
      </c>
      <c r="G319" s="91">
        <f>Tabla15[[#This Row],[Importe]]-Tabla15[[#This Row],[Pagado]]</f>
        <v>0</v>
      </c>
      <c r="H319" s="92" t="s">
        <v>10</v>
      </c>
    </row>
    <row r="320" spans="1:8" ht="21.75" customHeight="1" x14ac:dyDescent="0.25">
      <c r="A320" s="35">
        <v>44655</v>
      </c>
      <c r="B320" s="90" t="s">
        <v>10904</v>
      </c>
      <c r="C320" s="41" t="s">
        <v>407</v>
      </c>
      <c r="D320" s="87">
        <v>15201.7</v>
      </c>
      <c r="E320" s="35">
        <v>44663</v>
      </c>
      <c r="F320" s="87">
        <v>15201.7</v>
      </c>
      <c r="G320" s="91">
        <f>Tabla15[[#This Row],[Importe]]-Tabla15[[#This Row],[Pagado]]</f>
        <v>0</v>
      </c>
      <c r="H320" s="92" t="s">
        <v>10</v>
      </c>
    </row>
    <row r="321" spans="1:8" ht="21.75" customHeight="1" x14ac:dyDescent="0.25">
      <c r="A321" s="35">
        <v>44655</v>
      </c>
      <c r="B321" s="90" t="s">
        <v>10905</v>
      </c>
      <c r="C321" s="41" t="s">
        <v>22</v>
      </c>
      <c r="D321" s="87">
        <v>51050.8</v>
      </c>
      <c r="E321" s="35">
        <v>44656</v>
      </c>
      <c r="F321" s="87">
        <v>51050.8</v>
      </c>
      <c r="G321" s="91">
        <f>Tabla15[[#This Row],[Importe]]-Tabla15[[#This Row],[Pagado]]</f>
        <v>0</v>
      </c>
      <c r="H321" s="92" t="s">
        <v>10</v>
      </c>
    </row>
    <row r="322" spans="1:8" ht="21.75" customHeight="1" x14ac:dyDescent="0.25">
      <c r="A322" s="35">
        <v>44655</v>
      </c>
      <c r="B322" s="90" t="s">
        <v>10906</v>
      </c>
      <c r="C322" s="41" t="s">
        <v>365</v>
      </c>
      <c r="D322" s="87">
        <v>613.79999999999995</v>
      </c>
      <c r="E322" s="35">
        <v>44655</v>
      </c>
      <c r="F322" s="87">
        <v>613.79999999999995</v>
      </c>
      <c r="G322" s="91">
        <f>Tabla15[[#This Row],[Importe]]-Tabla15[[#This Row],[Pagado]]</f>
        <v>0</v>
      </c>
      <c r="H322" s="92" t="s">
        <v>10</v>
      </c>
    </row>
    <row r="323" spans="1:8" ht="21.75" customHeight="1" x14ac:dyDescent="0.25">
      <c r="A323" s="35">
        <v>44655</v>
      </c>
      <c r="B323" s="90" t="s">
        <v>10907</v>
      </c>
      <c r="C323" s="41" t="s">
        <v>89</v>
      </c>
      <c r="D323" s="87">
        <v>8186.8</v>
      </c>
      <c r="E323" s="35">
        <v>44656</v>
      </c>
      <c r="F323" s="87">
        <v>8186.8</v>
      </c>
      <c r="G323" s="91">
        <f>Tabla15[[#This Row],[Importe]]-Tabla15[[#This Row],[Pagado]]</f>
        <v>0</v>
      </c>
      <c r="H323" s="92" t="s">
        <v>10</v>
      </c>
    </row>
    <row r="324" spans="1:8" ht="21.75" customHeight="1" x14ac:dyDescent="0.25">
      <c r="A324" s="35">
        <v>44655</v>
      </c>
      <c r="B324" s="90" t="s">
        <v>10908</v>
      </c>
      <c r="C324" s="41" t="s">
        <v>116</v>
      </c>
      <c r="D324" s="87">
        <v>4669.2</v>
      </c>
      <c r="E324" s="35">
        <v>44659</v>
      </c>
      <c r="F324" s="87">
        <v>4669.2</v>
      </c>
      <c r="G324" s="91">
        <f>Tabla15[[#This Row],[Importe]]-Tabla15[[#This Row],[Pagado]]</f>
        <v>0</v>
      </c>
      <c r="H324" s="92" t="s">
        <v>10</v>
      </c>
    </row>
    <row r="325" spans="1:8" ht="21.75" customHeight="1" x14ac:dyDescent="0.25">
      <c r="A325" s="35">
        <v>44655</v>
      </c>
      <c r="B325" s="90" t="s">
        <v>10909</v>
      </c>
      <c r="C325" s="41" t="s">
        <v>2151</v>
      </c>
      <c r="D325" s="87">
        <v>24711.5</v>
      </c>
      <c r="E325" s="35">
        <v>44655</v>
      </c>
      <c r="F325" s="87">
        <v>24711.5</v>
      </c>
      <c r="G325" s="91">
        <f>Tabla15[[#This Row],[Importe]]-Tabla15[[#This Row],[Pagado]]</f>
        <v>0</v>
      </c>
      <c r="H325" s="92" t="s">
        <v>10</v>
      </c>
    </row>
    <row r="326" spans="1:8" ht="21.75" customHeight="1" x14ac:dyDescent="0.25">
      <c r="A326" s="35">
        <v>44655</v>
      </c>
      <c r="B326" s="90" t="s">
        <v>10910</v>
      </c>
      <c r="C326" s="41" t="s">
        <v>6864</v>
      </c>
      <c r="D326" s="87">
        <v>12993.9</v>
      </c>
      <c r="E326" s="35">
        <v>44655</v>
      </c>
      <c r="F326" s="87">
        <v>12993.9</v>
      </c>
      <c r="G326" s="91">
        <f>Tabla15[[#This Row],[Importe]]-Tabla15[[#This Row],[Pagado]]</f>
        <v>0</v>
      </c>
      <c r="H326" s="92" t="s">
        <v>10</v>
      </c>
    </row>
    <row r="327" spans="1:8" ht="21.75" customHeight="1" x14ac:dyDescent="0.25">
      <c r="A327" s="35">
        <v>44655</v>
      </c>
      <c r="B327" s="90" t="s">
        <v>10911</v>
      </c>
      <c r="C327" s="41" t="s">
        <v>16</v>
      </c>
      <c r="D327" s="87">
        <v>3543.2</v>
      </c>
      <c r="E327" s="35">
        <v>44655</v>
      </c>
      <c r="F327" s="87">
        <v>3543.2</v>
      </c>
      <c r="G327" s="91">
        <f>Tabla15[[#This Row],[Importe]]-Tabla15[[#This Row],[Pagado]]</f>
        <v>0</v>
      </c>
      <c r="H327" s="92" t="s">
        <v>10</v>
      </c>
    </row>
    <row r="328" spans="1:8" ht="21.75" customHeight="1" x14ac:dyDescent="0.25">
      <c r="A328" s="35">
        <v>44655</v>
      </c>
      <c r="B328" s="90" t="s">
        <v>10912</v>
      </c>
      <c r="C328" s="41" t="s">
        <v>275</v>
      </c>
      <c r="D328" s="87">
        <v>109341.84</v>
      </c>
      <c r="E328" s="35">
        <v>44670</v>
      </c>
      <c r="F328" s="87">
        <v>109341.84</v>
      </c>
      <c r="G328" s="91">
        <f>Tabla15[[#This Row],[Importe]]-Tabla15[[#This Row],[Pagado]]</f>
        <v>0</v>
      </c>
      <c r="H328" s="92" t="s">
        <v>10</v>
      </c>
    </row>
    <row r="329" spans="1:8" ht="21.75" customHeight="1" x14ac:dyDescent="0.25">
      <c r="A329" s="35">
        <v>44655</v>
      </c>
      <c r="B329" s="90" t="s">
        <v>10913</v>
      </c>
      <c r="C329" s="41" t="s">
        <v>105</v>
      </c>
      <c r="D329" s="87">
        <v>4773.6000000000004</v>
      </c>
      <c r="E329" s="35">
        <v>44655</v>
      </c>
      <c r="F329" s="87">
        <v>4773.6000000000004</v>
      </c>
      <c r="G329" s="91">
        <f>Tabla15[[#This Row],[Importe]]-Tabla15[[#This Row],[Pagado]]</f>
        <v>0</v>
      </c>
      <c r="H329" s="92" t="s">
        <v>10</v>
      </c>
    </row>
    <row r="330" spans="1:8" ht="21.75" customHeight="1" x14ac:dyDescent="0.25">
      <c r="A330" s="35">
        <v>44655</v>
      </c>
      <c r="B330" s="90" t="s">
        <v>10914</v>
      </c>
      <c r="C330" s="41" t="s">
        <v>135</v>
      </c>
      <c r="D330" s="87">
        <v>1233.9000000000001</v>
      </c>
      <c r="E330" s="35">
        <v>44655</v>
      </c>
      <c r="F330" s="87">
        <v>1233.9000000000001</v>
      </c>
      <c r="G330" s="91">
        <f>Tabla15[[#This Row],[Importe]]-Tabla15[[#This Row],[Pagado]]</f>
        <v>0</v>
      </c>
      <c r="H330" s="92" t="s">
        <v>10</v>
      </c>
    </row>
    <row r="331" spans="1:8" ht="21.75" customHeight="1" x14ac:dyDescent="0.25">
      <c r="A331" s="35">
        <v>44655</v>
      </c>
      <c r="B331" s="90" t="s">
        <v>10915</v>
      </c>
      <c r="C331" s="41" t="s">
        <v>93</v>
      </c>
      <c r="D331" s="87">
        <v>7858.2</v>
      </c>
      <c r="E331" s="35">
        <v>44656</v>
      </c>
      <c r="F331" s="87">
        <v>7858.2</v>
      </c>
      <c r="G331" s="91">
        <f>Tabla15[[#This Row],[Importe]]-Tabla15[[#This Row],[Pagado]]</f>
        <v>0</v>
      </c>
      <c r="H331" s="92" t="s">
        <v>10</v>
      </c>
    </row>
    <row r="332" spans="1:8" ht="21.75" customHeight="1" x14ac:dyDescent="0.25">
      <c r="A332" s="35">
        <v>44655</v>
      </c>
      <c r="B332" s="90" t="s">
        <v>10916</v>
      </c>
      <c r="C332" s="41" t="s">
        <v>83</v>
      </c>
      <c r="D332" s="87">
        <v>10018.799999999999</v>
      </c>
      <c r="E332" s="35">
        <v>44655</v>
      </c>
      <c r="F332" s="87">
        <v>10018.799999999999</v>
      </c>
      <c r="G332" s="91">
        <f>Tabla15[[#This Row],[Importe]]-Tabla15[[#This Row],[Pagado]]</f>
        <v>0</v>
      </c>
      <c r="H332" s="92" t="s">
        <v>10</v>
      </c>
    </row>
    <row r="333" spans="1:8" ht="21.75" customHeight="1" x14ac:dyDescent="0.25">
      <c r="A333" s="35">
        <v>44655</v>
      </c>
      <c r="B333" s="90" t="s">
        <v>10917</v>
      </c>
      <c r="C333" s="41" t="s">
        <v>12</v>
      </c>
      <c r="D333" s="87">
        <v>45398.2</v>
      </c>
      <c r="E333" s="35">
        <v>44656</v>
      </c>
      <c r="F333" s="87">
        <v>45398.2</v>
      </c>
      <c r="G333" s="91">
        <f>Tabla15[[#This Row],[Importe]]-Tabla15[[#This Row],[Pagado]]</f>
        <v>0</v>
      </c>
      <c r="H333" s="92" t="s">
        <v>10</v>
      </c>
    </row>
    <row r="334" spans="1:8" ht="21.75" customHeight="1" x14ac:dyDescent="0.25">
      <c r="A334" s="35">
        <v>44655</v>
      </c>
      <c r="B334" s="90" t="s">
        <v>10918</v>
      </c>
      <c r="C334" s="41" t="s">
        <v>75</v>
      </c>
      <c r="D334" s="87">
        <v>6890.4</v>
      </c>
      <c r="E334" s="35">
        <v>44655</v>
      </c>
      <c r="F334" s="87">
        <v>6890.4</v>
      </c>
      <c r="G334" s="91">
        <f>Tabla15[[#This Row],[Importe]]-Tabla15[[#This Row],[Pagado]]</f>
        <v>0</v>
      </c>
      <c r="H334" s="92" t="s">
        <v>10</v>
      </c>
    </row>
    <row r="335" spans="1:8" ht="21.75" customHeight="1" x14ac:dyDescent="0.25">
      <c r="A335" s="35">
        <v>44655</v>
      </c>
      <c r="B335" s="90" t="s">
        <v>10919</v>
      </c>
      <c r="C335" s="41" t="s">
        <v>31</v>
      </c>
      <c r="D335" s="87">
        <v>3899.8</v>
      </c>
      <c r="E335" s="35">
        <v>44655</v>
      </c>
      <c r="F335" s="87">
        <v>3899.8</v>
      </c>
      <c r="G335" s="91">
        <f>Tabla15[[#This Row],[Importe]]-Tabla15[[#This Row],[Pagado]]</f>
        <v>0</v>
      </c>
      <c r="H335" s="92" t="s">
        <v>10</v>
      </c>
    </row>
    <row r="336" spans="1:8" ht="21.75" customHeight="1" x14ac:dyDescent="0.25">
      <c r="A336" s="35">
        <v>44655</v>
      </c>
      <c r="B336" s="90" t="s">
        <v>10920</v>
      </c>
      <c r="C336" s="41" t="s">
        <v>27</v>
      </c>
      <c r="D336" s="87">
        <v>3095.8</v>
      </c>
      <c r="E336" s="35">
        <v>44655</v>
      </c>
      <c r="F336" s="87">
        <v>3095.8</v>
      </c>
      <c r="G336" s="91">
        <f>Tabla15[[#This Row],[Importe]]-Tabla15[[#This Row],[Pagado]]</f>
        <v>0</v>
      </c>
      <c r="H336" s="92" t="s">
        <v>10</v>
      </c>
    </row>
    <row r="337" spans="1:8" ht="21.75" customHeight="1" x14ac:dyDescent="0.25">
      <c r="A337" s="35">
        <v>44655</v>
      </c>
      <c r="B337" s="90" t="s">
        <v>10921</v>
      </c>
      <c r="C337" s="41" t="s">
        <v>196</v>
      </c>
      <c r="D337" s="87">
        <v>90010.89</v>
      </c>
      <c r="E337" s="35">
        <v>44659</v>
      </c>
      <c r="F337" s="87">
        <v>90010.89</v>
      </c>
      <c r="G337" s="91">
        <f>Tabla15[[#This Row],[Importe]]-Tabla15[[#This Row],[Pagado]]</f>
        <v>0</v>
      </c>
      <c r="H337" s="92" t="s">
        <v>10</v>
      </c>
    </row>
    <row r="338" spans="1:8" ht="21.75" customHeight="1" x14ac:dyDescent="0.25">
      <c r="A338" s="35">
        <v>44655</v>
      </c>
      <c r="B338" s="90" t="s">
        <v>10922</v>
      </c>
      <c r="C338" s="41" t="s">
        <v>87</v>
      </c>
      <c r="D338" s="87">
        <v>2327</v>
      </c>
      <c r="E338" s="35">
        <v>44655</v>
      </c>
      <c r="F338" s="87">
        <v>2327</v>
      </c>
      <c r="G338" s="91">
        <f>Tabla15[[#This Row],[Importe]]-Tabla15[[#This Row],[Pagado]]</f>
        <v>0</v>
      </c>
      <c r="H338" s="92" t="s">
        <v>10</v>
      </c>
    </row>
    <row r="339" spans="1:8" ht="21.75" customHeight="1" x14ac:dyDescent="0.25">
      <c r="A339" s="35">
        <v>44655</v>
      </c>
      <c r="B339" s="90" t="s">
        <v>10923</v>
      </c>
      <c r="C339" s="41" t="s">
        <v>473</v>
      </c>
      <c r="D339" s="87">
        <v>4602</v>
      </c>
      <c r="E339" s="35">
        <v>44655</v>
      </c>
      <c r="F339" s="87">
        <v>4602</v>
      </c>
      <c r="G339" s="91">
        <f>Tabla15[[#This Row],[Importe]]-Tabla15[[#This Row],[Pagado]]</f>
        <v>0</v>
      </c>
      <c r="H339" s="92" t="s">
        <v>10</v>
      </c>
    </row>
    <row r="340" spans="1:8" ht="21.75" customHeight="1" x14ac:dyDescent="0.25">
      <c r="A340" s="35">
        <v>44655</v>
      </c>
      <c r="B340" s="90" t="s">
        <v>10924</v>
      </c>
      <c r="C340" s="41" t="s">
        <v>291</v>
      </c>
      <c r="D340" s="87">
        <v>2616.5</v>
      </c>
      <c r="E340" s="35">
        <v>44656</v>
      </c>
      <c r="F340" s="87">
        <v>2616.5</v>
      </c>
      <c r="G340" s="91">
        <f>Tabla15[[#This Row],[Importe]]-Tabla15[[#This Row],[Pagado]]</f>
        <v>0</v>
      </c>
      <c r="H340" s="92" t="s">
        <v>10</v>
      </c>
    </row>
    <row r="341" spans="1:8" ht="21.75" customHeight="1" x14ac:dyDescent="0.25">
      <c r="A341" s="35">
        <v>44655</v>
      </c>
      <c r="B341" s="90" t="s">
        <v>10925</v>
      </c>
      <c r="C341" s="41" t="s">
        <v>49</v>
      </c>
      <c r="D341" s="87">
        <v>2917.8</v>
      </c>
      <c r="E341" s="35">
        <v>44655</v>
      </c>
      <c r="F341" s="87">
        <v>2917.8</v>
      </c>
      <c r="G341" s="91">
        <f>Tabla15[[#This Row],[Importe]]-Tabla15[[#This Row],[Pagado]]</f>
        <v>0</v>
      </c>
      <c r="H341" s="92" t="s">
        <v>10</v>
      </c>
    </row>
    <row r="342" spans="1:8" ht="21.75" customHeight="1" x14ac:dyDescent="0.25">
      <c r="A342" s="35">
        <v>44655</v>
      </c>
      <c r="B342" s="90" t="s">
        <v>10926</v>
      </c>
      <c r="C342" s="41" t="s">
        <v>198</v>
      </c>
      <c r="D342" s="87">
        <v>4586.3999999999996</v>
      </c>
      <c r="E342" s="35">
        <v>44655</v>
      </c>
      <c r="F342" s="87">
        <v>4586.3999999999996</v>
      </c>
      <c r="G342" s="91">
        <f>Tabla15[[#This Row],[Importe]]-Tabla15[[#This Row],[Pagado]]</f>
        <v>0</v>
      </c>
      <c r="H342" s="92" t="s">
        <v>10</v>
      </c>
    </row>
    <row r="343" spans="1:8" ht="21.75" customHeight="1" x14ac:dyDescent="0.25">
      <c r="A343" s="35">
        <v>44655</v>
      </c>
      <c r="B343" s="90" t="s">
        <v>10927</v>
      </c>
      <c r="C343" s="41" t="s">
        <v>107</v>
      </c>
      <c r="D343" s="87">
        <v>13632.4</v>
      </c>
      <c r="E343" s="35">
        <v>44655</v>
      </c>
      <c r="F343" s="87">
        <v>13632.4</v>
      </c>
      <c r="G343" s="91">
        <f>Tabla15[[#This Row],[Importe]]-Tabla15[[#This Row],[Pagado]]</f>
        <v>0</v>
      </c>
      <c r="H343" s="92" t="s">
        <v>10</v>
      </c>
    </row>
    <row r="344" spans="1:8" ht="21.75" customHeight="1" x14ac:dyDescent="0.25">
      <c r="A344" s="35">
        <v>44655</v>
      </c>
      <c r="B344" s="90" t="s">
        <v>10928</v>
      </c>
      <c r="C344" s="41" t="s">
        <v>146</v>
      </c>
      <c r="D344" s="87">
        <v>1879.2</v>
      </c>
      <c r="E344" s="35">
        <v>44655</v>
      </c>
      <c r="F344" s="87">
        <v>1879.2</v>
      </c>
      <c r="G344" s="91">
        <f>Tabla15[[#This Row],[Importe]]-Tabla15[[#This Row],[Pagado]]</f>
        <v>0</v>
      </c>
      <c r="H344" s="92" t="s">
        <v>10</v>
      </c>
    </row>
    <row r="345" spans="1:8" ht="21.75" customHeight="1" x14ac:dyDescent="0.25">
      <c r="A345" s="35">
        <v>44655</v>
      </c>
      <c r="B345" s="90" t="s">
        <v>10929</v>
      </c>
      <c r="C345" s="41" t="s">
        <v>161</v>
      </c>
      <c r="D345" s="87">
        <v>4080.9</v>
      </c>
      <c r="E345" s="35">
        <v>44655</v>
      </c>
      <c r="F345" s="87">
        <v>4080.9</v>
      </c>
      <c r="G345" s="91">
        <f>Tabla15[[#This Row],[Importe]]-Tabla15[[#This Row],[Pagado]]</f>
        <v>0</v>
      </c>
      <c r="H345" s="92" t="s">
        <v>10</v>
      </c>
    </row>
    <row r="346" spans="1:8" ht="21.75" customHeight="1" x14ac:dyDescent="0.25">
      <c r="A346" s="35">
        <v>44655</v>
      </c>
      <c r="B346" s="90" t="s">
        <v>10930</v>
      </c>
      <c r="C346" s="41" t="s">
        <v>135</v>
      </c>
      <c r="D346" s="87">
        <v>1375</v>
      </c>
      <c r="E346" s="35">
        <v>44655</v>
      </c>
      <c r="F346" s="87">
        <v>1375</v>
      </c>
      <c r="G346" s="91">
        <f>Tabla15[[#This Row],[Importe]]-Tabla15[[#This Row],[Pagado]]</f>
        <v>0</v>
      </c>
      <c r="H346" s="92" t="s">
        <v>10</v>
      </c>
    </row>
    <row r="347" spans="1:8" ht="21.75" customHeight="1" x14ac:dyDescent="0.25">
      <c r="A347" s="35">
        <v>44655</v>
      </c>
      <c r="B347" s="90" t="s">
        <v>10931</v>
      </c>
      <c r="C347" s="41" t="s">
        <v>129</v>
      </c>
      <c r="D347" s="87">
        <v>891</v>
      </c>
      <c r="E347" s="35">
        <v>44655</v>
      </c>
      <c r="F347" s="87">
        <v>891</v>
      </c>
      <c r="G347" s="91">
        <f>Tabla15[[#This Row],[Importe]]-Tabla15[[#This Row],[Pagado]]</f>
        <v>0</v>
      </c>
      <c r="H347" s="92" t="s">
        <v>10</v>
      </c>
    </row>
    <row r="348" spans="1:8" ht="21.75" customHeight="1" x14ac:dyDescent="0.25">
      <c r="A348" s="35">
        <v>44655</v>
      </c>
      <c r="B348" s="90" t="s">
        <v>10932</v>
      </c>
      <c r="C348" s="41" t="s">
        <v>200</v>
      </c>
      <c r="D348" s="87">
        <v>621</v>
      </c>
      <c r="E348" s="35">
        <v>44655</v>
      </c>
      <c r="F348" s="87">
        <v>621</v>
      </c>
      <c r="G348" s="91">
        <f>Tabla15[[#This Row],[Importe]]-Tabla15[[#This Row],[Pagado]]</f>
        <v>0</v>
      </c>
      <c r="H348" s="92" t="s">
        <v>10</v>
      </c>
    </row>
    <row r="349" spans="1:8" ht="21.75" customHeight="1" x14ac:dyDescent="0.25">
      <c r="A349" s="35">
        <v>44655</v>
      </c>
      <c r="B349" s="90" t="s">
        <v>10933</v>
      </c>
      <c r="C349" s="41" t="s">
        <v>359</v>
      </c>
      <c r="D349" s="87">
        <v>1115</v>
      </c>
      <c r="E349" s="35">
        <v>44655</v>
      </c>
      <c r="F349" s="87">
        <v>1115</v>
      </c>
      <c r="G349" s="91">
        <f>Tabla15[[#This Row],[Importe]]-Tabla15[[#This Row],[Pagado]]</f>
        <v>0</v>
      </c>
      <c r="H349" s="92" t="s">
        <v>10</v>
      </c>
    </row>
    <row r="350" spans="1:8" ht="21.75" customHeight="1" x14ac:dyDescent="0.25">
      <c r="A350" s="35">
        <v>44655</v>
      </c>
      <c r="B350" s="90" t="s">
        <v>10934</v>
      </c>
      <c r="C350" s="41" t="s">
        <v>576</v>
      </c>
      <c r="D350" s="87">
        <v>1987.2</v>
      </c>
      <c r="E350" s="35">
        <v>44655</v>
      </c>
      <c r="F350" s="87">
        <v>1987.2</v>
      </c>
      <c r="G350" s="91">
        <f>Tabla15[[#This Row],[Importe]]-Tabla15[[#This Row],[Pagado]]</f>
        <v>0</v>
      </c>
      <c r="H350" s="92" t="s">
        <v>10</v>
      </c>
    </row>
    <row r="351" spans="1:8" ht="21.75" customHeight="1" x14ac:dyDescent="0.25">
      <c r="A351" s="35">
        <v>44655</v>
      </c>
      <c r="B351" s="90" t="s">
        <v>10935</v>
      </c>
      <c r="C351" s="41" t="s">
        <v>426</v>
      </c>
      <c r="D351" s="87">
        <v>4379.8</v>
      </c>
      <c r="E351" s="35">
        <v>44655</v>
      </c>
      <c r="F351" s="87">
        <v>4379.8</v>
      </c>
      <c r="G351" s="91">
        <f>Tabla15[[#This Row],[Importe]]-Tabla15[[#This Row],[Pagado]]</f>
        <v>0</v>
      </c>
      <c r="H351" s="92" t="s">
        <v>10</v>
      </c>
    </row>
    <row r="352" spans="1:8" ht="21.75" customHeight="1" x14ac:dyDescent="0.25">
      <c r="A352" s="35">
        <v>44655</v>
      </c>
      <c r="B352" s="90" t="s">
        <v>10936</v>
      </c>
      <c r="C352" s="41" t="s">
        <v>140</v>
      </c>
      <c r="D352" s="87">
        <v>5019.6000000000004</v>
      </c>
      <c r="E352" s="35">
        <v>44655</v>
      </c>
      <c r="F352" s="87">
        <v>5019.6000000000004</v>
      </c>
      <c r="G352" s="91">
        <f>Tabla15[[#This Row],[Importe]]-Tabla15[[#This Row],[Pagado]]</f>
        <v>0</v>
      </c>
      <c r="H352" s="92" t="s">
        <v>10</v>
      </c>
    </row>
    <row r="353" spans="1:8" ht="21.75" customHeight="1" x14ac:dyDescent="0.25">
      <c r="A353" s="35">
        <v>44655</v>
      </c>
      <c r="B353" s="90" t="s">
        <v>10937</v>
      </c>
      <c r="C353" s="41" t="s">
        <v>127</v>
      </c>
      <c r="D353" s="87">
        <v>4327.6000000000004</v>
      </c>
      <c r="E353" s="35">
        <v>44655</v>
      </c>
      <c r="F353" s="87">
        <v>4327.6000000000004</v>
      </c>
      <c r="G353" s="91">
        <f>Tabla15[[#This Row],[Importe]]-Tabla15[[#This Row],[Pagado]]</f>
        <v>0</v>
      </c>
      <c r="H353" s="92" t="s">
        <v>10</v>
      </c>
    </row>
    <row r="354" spans="1:8" ht="21.75" customHeight="1" x14ac:dyDescent="0.25">
      <c r="A354" s="35">
        <v>44655</v>
      </c>
      <c r="B354" s="90" t="s">
        <v>10938</v>
      </c>
      <c r="C354" s="41" t="s">
        <v>357</v>
      </c>
      <c r="D354" s="87">
        <v>3304.6</v>
      </c>
      <c r="E354" s="35">
        <v>44655</v>
      </c>
      <c r="F354" s="87">
        <v>3304.6</v>
      </c>
      <c r="G354" s="91">
        <f>Tabla15[[#This Row],[Importe]]-Tabla15[[#This Row],[Pagado]]</f>
        <v>0</v>
      </c>
      <c r="H354" s="92" t="s">
        <v>10</v>
      </c>
    </row>
    <row r="355" spans="1:8" ht="21.75" customHeight="1" x14ac:dyDescent="0.25">
      <c r="A355" s="35">
        <v>44655</v>
      </c>
      <c r="B355" s="90" t="s">
        <v>10939</v>
      </c>
      <c r="C355" s="41" t="s">
        <v>175</v>
      </c>
      <c r="D355" s="87">
        <v>27628.3</v>
      </c>
      <c r="E355" s="35">
        <v>44655</v>
      </c>
      <c r="F355" s="87">
        <v>27628.3</v>
      </c>
      <c r="G355" s="91">
        <f>Tabla15[[#This Row],[Importe]]-Tabla15[[#This Row],[Pagado]]</f>
        <v>0</v>
      </c>
      <c r="H355" s="92" t="s">
        <v>10</v>
      </c>
    </row>
    <row r="356" spans="1:8" ht="21.75" customHeight="1" x14ac:dyDescent="0.25">
      <c r="A356" s="35">
        <v>44655</v>
      </c>
      <c r="B356" s="90" t="s">
        <v>10940</v>
      </c>
      <c r="C356" s="41" t="s">
        <v>45</v>
      </c>
      <c r="D356" s="87">
        <v>10541.2</v>
      </c>
      <c r="E356" s="35">
        <v>44655</v>
      </c>
      <c r="F356" s="87">
        <v>10541.2</v>
      </c>
      <c r="G356" s="91">
        <f>Tabla15[[#This Row],[Importe]]-Tabla15[[#This Row],[Pagado]]</f>
        <v>0</v>
      </c>
      <c r="H356" s="92" t="s">
        <v>10</v>
      </c>
    </row>
    <row r="357" spans="1:8" ht="21.75" customHeight="1" x14ac:dyDescent="0.25">
      <c r="A357" s="35">
        <v>44655</v>
      </c>
      <c r="B357" s="90" t="s">
        <v>10941</v>
      </c>
      <c r="C357" s="41" t="s">
        <v>222</v>
      </c>
      <c r="D357" s="87">
        <v>8737.5</v>
      </c>
      <c r="E357" s="35">
        <v>44655</v>
      </c>
      <c r="F357" s="87">
        <v>8737.5</v>
      </c>
      <c r="G357" s="91">
        <f>Tabla15[[#This Row],[Importe]]-Tabla15[[#This Row],[Pagado]]</f>
        <v>0</v>
      </c>
      <c r="H357" s="92" t="s">
        <v>10</v>
      </c>
    </row>
    <row r="358" spans="1:8" ht="21.75" customHeight="1" x14ac:dyDescent="0.25">
      <c r="A358" s="35">
        <v>44655</v>
      </c>
      <c r="B358" s="90" t="s">
        <v>10942</v>
      </c>
      <c r="C358" s="41" t="s">
        <v>45</v>
      </c>
      <c r="D358" s="87">
        <v>375</v>
      </c>
      <c r="E358" s="35">
        <v>44655</v>
      </c>
      <c r="F358" s="87">
        <v>375</v>
      </c>
      <c r="G358" s="91">
        <f>Tabla15[[#This Row],[Importe]]-Tabla15[[#This Row],[Pagado]]</f>
        <v>0</v>
      </c>
      <c r="H358" s="92" t="s">
        <v>10</v>
      </c>
    </row>
    <row r="359" spans="1:8" ht="21.75" customHeight="1" x14ac:dyDescent="0.25">
      <c r="A359" s="35">
        <v>44655</v>
      </c>
      <c r="B359" s="90" t="s">
        <v>10943</v>
      </c>
      <c r="C359" s="41" t="s">
        <v>125</v>
      </c>
      <c r="D359" s="87">
        <v>1502.2</v>
      </c>
      <c r="E359" s="35">
        <v>44655</v>
      </c>
      <c r="F359" s="87">
        <v>1502.2</v>
      </c>
      <c r="G359" s="91">
        <f>Tabla15[[#This Row],[Importe]]-Tabla15[[#This Row],[Pagado]]</f>
        <v>0</v>
      </c>
      <c r="H359" s="92" t="s">
        <v>10</v>
      </c>
    </row>
    <row r="360" spans="1:8" ht="21.75" customHeight="1" x14ac:dyDescent="0.25">
      <c r="A360" s="35">
        <v>44655</v>
      </c>
      <c r="B360" s="90" t="s">
        <v>10944</v>
      </c>
      <c r="C360" s="41" t="s">
        <v>222</v>
      </c>
      <c r="D360" s="87">
        <v>375</v>
      </c>
      <c r="E360" s="35">
        <v>44655</v>
      </c>
      <c r="F360" s="87">
        <v>375</v>
      </c>
      <c r="G360" s="91">
        <f>Tabla15[[#This Row],[Importe]]-Tabla15[[#This Row],[Pagado]]</f>
        <v>0</v>
      </c>
      <c r="H360" s="92" t="s">
        <v>10</v>
      </c>
    </row>
    <row r="361" spans="1:8" ht="21.75" customHeight="1" x14ac:dyDescent="0.25">
      <c r="A361" s="35">
        <v>44655</v>
      </c>
      <c r="B361" s="90" t="s">
        <v>10945</v>
      </c>
      <c r="C361" s="41" t="s">
        <v>240</v>
      </c>
      <c r="D361" s="87">
        <v>11762</v>
      </c>
      <c r="E361" s="35">
        <v>44655</v>
      </c>
      <c r="F361" s="87">
        <v>11762</v>
      </c>
      <c r="G361" s="91">
        <f>Tabla15[[#This Row],[Importe]]-Tabla15[[#This Row],[Pagado]]</f>
        <v>0</v>
      </c>
      <c r="H361" s="92" t="s">
        <v>10</v>
      </c>
    </row>
    <row r="362" spans="1:8" ht="21.75" customHeight="1" x14ac:dyDescent="0.25">
      <c r="A362" s="35">
        <v>44655</v>
      </c>
      <c r="B362" s="90" t="s">
        <v>10946</v>
      </c>
      <c r="C362" s="41" t="s">
        <v>230</v>
      </c>
      <c r="D362" s="87">
        <v>3623.4</v>
      </c>
      <c r="E362" s="35">
        <v>44655</v>
      </c>
      <c r="F362" s="87">
        <v>3623.4</v>
      </c>
      <c r="G362" s="91">
        <f>Tabla15[[#This Row],[Importe]]-Tabla15[[#This Row],[Pagado]]</f>
        <v>0</v>
      </c>
      <c r="H362" s="92" t="s">
        <v>10</v>
      </c>
    </row>
    <row r="363" spans="1:8" ht="21.75" customHeight="1" x14ac:dyDescent="0.25">
      <c r="A363" s="35">
        <v>44655</v>
      </c>
      <c r="B363" s="90" t="s">
        <v>10947</v>
      </c>
      <c r="C363" s="41" t="s">
        <v>191</v>
      </c>
      <c r="D363" s="87">
        <v>1113.5999999999999</v>
      </c>
      <c r="E363" s="35">
        <v>44655</v>
      </c>
      <c r="F363" s="87">
        <v>1113.5999999999999</v>
      </c>
      <c r="G363" s="91">
        <f>Tabla15[[#This Row],[Importe]]-Tabla15[[#This Row],[Pagado]]</f>
        <v>0</v>
      </c>
      <c r="H363" s="92" t="s">
        <v>10</v>
      </c>
    </row>
    <row r="364" spans="1:8" ht="21.75" customHeight="1" x14ac:dyDescent="0.25">
      <c r="A364" s="35">
        <v>44655</v>
      </c>
      <c r="B364" s="90" t="s">
        <v>10948</v>
      </c>
      <c r="C364" s="41" t="s">
        <v>191</v>
      </c>
      <c r="D364" s="87">
        <v>235.2</v>
      </c>
      <c r="E364" s="35">
        <v>44655</v>
      </c>
      <c r="F364" s="87">
        <v>235.2</v>
      </c>
      <c r="G364" s="91">
        <f>Tabla15[[#This Row],[Importe]]-Tabla15[[#This Row],[Pagado]]</f>
        <v>0</v>
      </c>
      <c r="H364" s="92" t="s">
        <v>10</v>
      </c>
    </row>
    <row r="365" spans="1:8" ht="21.75" customHeight="1" x14ac:dyDescent="0.25">
      <c r="A365" s="35">
        <v>44655</v>
      </c>
      <c r="B365" s="90" t="s">
        <v>10949</v>
      </c>
      <c r="C365" s="41" t="s">
        <v>24</v>
      </c>
      <c r="D365" s="87">
        <v>3596.8</v>
      </c>
      <c r="E365" s="35">
        <v>44655</v>
      </c>
      <c r="F365" s="87">
        <v>3596.8</v>
      </c>
      <c r="G365" s="91">
        <f>Tabla15[[#This Row],[Importe]]-Tabla15[[#This Row],[Pagado]]</f>
        <v>0</v>
      </c>
      <c r="H365" s="92" t="s">
        <v>10</v>
      </c>
    </row>
    <row r="366" spans="1:8" ht="21.75" customHeight="1" x14ac:dyDescent="0.25">
      <c r="A366" s="35">
        <v>44655</v>
      </c>
      <c r="B366" s="90" t="s">
        <v>10950</v>
      </c>
      <c r="C366" s="41" t="s">
        <v>53</v>
      </c>
      <c r="D366" s="87">
        <v>2040.5</v>
      </c>
      <c r="E366" s="35">
        <v>44655</v>
      </c>
      <c r="F366" s="87">
        <v>2040.5</v>
      </c>
      <c r="G366" s="91">
        <f>Tabla15[[#This Row],[Importe]]-Tabla15[[#This Row],[Pagado]]</f>
        <v>0</v>
      </c>
      <c r="H366" s="92" t="s">
        <v>10</v>
      </c>
    </row>
    <row r="367" spans="1:8" ht="21.75" customHeight="1" x14ac:dyDescent="0.25">
      <c r="A367" s="35">
        <v>44655</v>
      </c>
      <c r="B367" s="90" t="s">
        <v>10951</v>
      </c>
      <c r="C367" s="41" t="s">
        <v>1275</v>
      </c>
      <c r="D367" s="87">
        <v>18618.599999999999</v>
      </c>
      <c r="E367" s="35">
        <v>44655</v>
      </c>
      <c r="F367" s="87">
        <v>18618.599999999999</v>
      </c>
      <c r="G367" s="91">
        <f>Tabla15[[#This Row],[Importe]]-Tabla15[[#This Row],[Pagado]]</f>
        <v>0</v>
      </c>
      <c r="H367" s="92" t="s">
        <v>10</v>
      </c>
    </row>
    <row r="368" spans="1:8" ht="21.75" customHeight="1" x14ac:dyDescent="0.25">
      <c r="A368" s="35">
        <v>44655</v>
      </c>
      <c r="B368" s="90" t="s">
        <v>10952</v>
      </c>
      <c r="C368" s="41" t="s">
        <v>154</v>
      </c>
      <c r="D368" s="87">
        <v>23360.9</v>
      </c>
      <c r="E368" s="35">
        <v>44660</v>
      </c>
      <c r="F368" s="87">
        <v>23360.9</v>
      </c>
      <c r="G368" s="91">
        <f>Tabla15[[#This Row],[Importe]]-Tabla15[[#This Row],[Pagado]]</f>
        <v>0</v>
      </c>
      <c r="H368" s="92" t="s">
        <v>10</v>
      </c>
    </row>
    <row r="369" spans="1:8" ht="21.75" customHeight="1" x14ac:dyDescent="0.25">
      <c r="A369" s="35">
        <v>44655</v>
      </c>
      <c r="B369" s="90" t="s">
        <v>10953</v>
      </c>
      <c r="C369" s="41" t="s">
        <v>10954</v>
      </c>
      <c r="D369" s="87">
        <v>0</v>
      </c>
      <c r="E369" s="39" t="s">
        <v>189</v>
      </c>
      <c r="F369" s="87">
        <v>0</v>
      </c>
      <c r="G369" s="91">
        <f>Tabla15[[#This Row],[Importe]]-Tabla15[[#This Row],[Pagado]]</f>
        <v>0</v>
      </c>
      <c r="H369" s="92" t="s">
        <v>189</v>
      </c>
    </row>
    <row r="370" spans="1:8" ht="21.75" customHeight="1" x14ac:dyDescent="0.25">
      <c r="A370" s="35">
        <v>44655</v>
      </c>
      <c r="B370" s="90" t="s">
        <v>10955</v>
      </c>
      <c r="C370" s="41" t="s">
        <v>212</v>
      </c>
      <c r="D370" s="87">
        <v>45058.2</v>
      </c>
      <c r="E370" s="35">
        <v>44658</v>
      </c>
      <c r="F370" s="87">
        <v>45058.2</v>
      </c>
      <c r="G370" s="91">
        <f>Tabla15[[#This Row],[Importe]]-Tabla15[[#This Row],[Pagado]]</f>
        <v>0</v>
      </c>
      <c r="H370" s="92" t="s">
        <v>10</v>
      </c>
    </row>
    <row r="371" spans="1:8" ht="21.75" customHeight="1" x14ac:dyDescent="0.25">
      <c r="A371" s="35">
        <v>44655</v>
      </c>
      <c r="B371" s="90" t="s">
        <v>10956</v>
      </c>
      <c r="C371" s="41" t="s">
        <v>218</v>
      </c>
      <c r="D371" s="87">
        <v>9942</v>
      </c>
      <c r="E371" s="35">
        <v>44658</v>
      </c>
      <c r="F371" s="87">
        <v>9942</v>
      </c>
      <c r="G371" s="91">
        <f>Tabla15[[#This Row],[Importe]]-Tabla15[[#This Row],[Pagado]]</f>
        <v>0</v>
      </c>
      <c r="H371" s="92" t="s">
        <v>10</v>
      </c>
    </row>
    <row r="372" spans="1:8" ht="21.75" customHeight="1" x14ac:dyDescent="0.25">
      <c r="A372" s="35">
        <v>44655</v>
      </c>
      <c r="B372" s="90" t="s">
        <v>10957</v>
      </c>
      <c r="C372" s="41" t="s">
        <v>10157</v>
      </c>
      <c r="D372" s="87">
        <v>4239</v>
      </c>
      <c r="E372" s="35">
        <v>44656</v>
      </c>
      <c r="F372" s="87">
        <v>4239</v>
      </c>
      <c r="G372" s="91">
        <f>Tabla15[[#This Row],[Importe]]-Tabla15[[#This Row],[Pagado]]</f>
        <v>0</v>
      </c>
      <c r="H372" s="92" t="s">
        <v>10</v>
      </c>
    </row>
    <row r="373" spans="1:8" ht="21.75" customHeight="1" x14ac:dyDescent="0.25">
      <c r="A373" s="35">
        <v>44655</v>
      </c>
      <c r="B373" s="90" t="s">
        <v>10958</v>
      </c>
      <c r="C373" s="41" t="s">
        <v>289</v>
      </c>
      <c r="D373" s="87">
        <v>6626.8</v>
      </c>
      <c r="E373" s="35">
        <v>44655</v>
      </c>
      <c r="F373" s="87">
        <v>6626.8</v>
      </c>
      <c r="G373" s="91">
        <f>Tabla15[[#This Row],[Importe]]-Tabla15[[#This Row],[Pagado]]</f>
        <v>0</v>
      </c>
      <c r="H373" s="92" t="s">
        <v>10</v>
      </c>
    </row>
    <row r="374" spans="1:8" ht="21.75" customHeight="1" x14ac:dyDescent="0.25">
      <c r="A374" s="35">
        <v>44655</v>
      </c>
      <c r="B374" s="90" t="s">
        <v>10959</v>
      </c>
      <c r="C374" s="41" t="s">
        <v>857</v>
      </c>
      <c r="D374" s="87">
        <v>1096.8</v>
      </c>
      <c r="E374" s="35">
        <v>44655</v>
      </c>
      <c r="F374" s="87">
        <v>1096.8</v>
      </c>
      <c r="G374" s="91">
        <f>Tabla15[[#This Row],[Importe]]-Tabla15[[#This Row],[Pagado]]</f>
        <v>0</v>
      </c>
      <c r="H374" s="92" t="s">
        <v>10</v>
      </c>
    </row>
    <row r="375" spans="1:8" ht="21.75" customHeight="1" x14ac:dyDescent="0.25">
      <c r="A375" s="35">
        <v>44655</v>
      </c>
      <c r="B375" s="90" t="s">
        <v>10960</v>
      </c>
      <c r="C375" s="41" t="s">
        <v>208</v>
      </c>
      <c r="D375" s="87">
        <v>4044.6</v>
      </c>
      <c r="E375" s="35">
        <v>44660</v>
      </c>
      <c r="F375" s="87">
        <v>4044.6</v>
      </c>
      <c r="G375" s="91">
        <f>Tabla15[[#This Row],[Importe]]-Tabla15[[#This Row],[Pagado]]</f>
        <v>0</v>
      </c>
      <c r="H375" s="92" t="s">
        <v>10</v>
      </c>
    </row>
    <row r="376" spans="1:8" ht="21.75" customHeight="1" x14ac:dyDescent="0.25">
      <c r="A376" s="35">
        <v>44655</v>
      </c>
      <c r="B376" s="90" t="s">
        <v>10961</v>
      </c>
      <c r="C376" s="41" t="s">
        <v>206</v>
      </c>
      <c r="D376" s="87">
        <v>28347.32</v>
      </c>
      <c r="E376" s="35">
        <v>44658</v>
      </c>
      <c r="F376" s="87">
        <v>28347.32</v>
      </c>
      <c r="G376" s="91">
        <f>Tabla15[[#This Row],[Importe]]-Tabla15[[#This Row],[Pagado]]</f>
        <v>0</v>
      </c>
      <c r="H376" s="92" t="s">
        <v>10</v>
      </c>
    </row>
    <row r="377" spans="1:8" ht="21.75" customHeight="1" x14ac:dyDescent="0.25">
      <c r="A377" s="35">
        <v>44655</v>
      </c>
      <c r="B377" s="90" t="s">
        <v>10962</v>
      </c>
      <c r="C377" s="41" t="s">
        <v>419</v>
      </c>
      <c r="D377" s="87">
        <v>7665.8</v>
      </c>
      <c r="E377" s="35">
        <v>44655</v>
      </c>
      <c r="F377" s="87">
        <v>7665.8</v>
      </c>
      <c r="G377" s="91">
        <f>Tabla15[[#This Row],[Importe]]-Tabla15[[#This Row],[Pagado]]</f>
        <v>0</v>
      </c>
      <c r="H377" s="92" t="s">
        <v>10</v>
      </c>
    </row>
    <row r="378" spans="1:8" ht="21.75" customHeight="1" x14ac:dyDescent="0.25">
      <c r="A378" s="35">
        <v>44655</v>
      </c>
      <c r="B378" s="90" t="s">
        <v>10963</v>
      </c>
      <c r="C378" s="41" t="s">
        <v>419</v>
      </c>
      <c r="D378" s="87">
        <v>600</v>
      </c>
      <c r="E378" s="35">
        <v>44655</v>
      </c>
      <c r="F378" s="87">
        <v>600</v>
      </c>
      <c r="G378" s="91">
        <f>Tabla15[[#This Row],[Importe]]-Tabla15[[#This Row],[Pagado]]</f>
        <v>0</v>
      </c>
      <c r="H378" s="92" t="s">
        <v>10</v>
      </c>
    </row>
    <row r="379" spans="1:8" ht="21.75" customHeight="1" x14ac:dyDescent="0.25">
      <c r="A379" s="35">
        <v>44655</v>
      </c>
      <c r="B379" s="90" t="s">
        <v>10964</v>
      </c>
      <c r="C379" s="41" t="s">
        <v>4136</v>
      </c>
      <c r="D379" s="87">
        <v>1248</v>
      </c>
      <c r="E379" s="35">
        <v>44655</v>
      </c>
      <c r="F379" s="87">
        <v>1248</v>
      </c>
      <c r="G379" s="91">
        <f>Tabla15[[#This Row],[Importe]]-Tabla15[[#This Row],[Pagado]]</f>
        <v>0</v>
      </c>
      <c r="H379" s="92" t="s">
        <v>10</v>
      </c>
    </row>
    <row r="380" spans="1:8" ht="21.75" customHeight="1" x14ac:dyDescent="0.25">
      <c r="A380" s="35">
        <v>44655</v>
      </c>
      <c r="B380" s="90" t="s">
        <v>10965</v>
      </c>
      <c r="C380" s="41" t="s">
        <v>4136</v>
      </c>
      <c r="D380" s="87">
        <v>649.9</v>
      </c>
      <c r="E380" s="35">
        <v>44655</v>
      </c>
      <c r="F380" s="87">
        <v>649.9</v>
      </c>
      <c r="G380" s="91">
        <f>Tabla15[[#This Row],[Importe]]-Tabla15[[#This Row],[Pagado]]</f>
        <v>0</v>
      </c>
      <c r="H380" s="92" t="s">
        <v>10</v>
      </c>
    </row>
    <row r="381" spans="1:8" ht="21.75" customHeight="1" x14ac:dyDescent="0.25">
      <c r="A381" s="35">
        <v>44655</v>
      </c>
      <c r="B381" s="90" t="s">
        <v>10966</v>
      </c>
      <c r="C381" s="41" t="s">
        <v>133</v>
      </c>
      <c r="D381" s="87">
        <v>12754.8</v>
      </c>
      <c r="E381" s="35">
        <v>44656</v>
      </c>
      <c r="F381" s="87">
        <v>12754.8</v>
      </c>
      <c r="G381" s="91">
        <f>Tabla15[[#This Row],[Importe]]-Tabla15[[#This Row],[Pagado]]</f>
        <v>0</v>
      </c>
      <c r="H381" s="92" t="s">
        <v>10</v>
      </c>
    </row>
    <row r="382" spans="1:8" ht="21.75" customHeight="1" x14ac:dyDescent="0.25">
      <c r="A382" s="35">
        <v>44655</v>
      </c>
      <c r="B382" s="90" t="s">
        <v>10967</v>
      </c>
      <c r="C382" s="41" t="s">
        <v>58</v>
      </c>
      <c r="D382" s="87">
        <v>2804</v>
      </c>
      <c r="E382" s="35">
        <v>44655</v>
      </c>
      <c r="F382" s="87">
        <v>2804</v>
      </c>
      <c r="G382" s="91">
        <f>Tabla15[[#This Row],[Importe]]-Tabla15[[#This Row],[Pagado]]</f>
        <v>0</v>
      </c>
      <c r="H382" s="92" t="s">
        <v>10</v>
      </c>
    </row>
    <row r="383" spans="1:8" ht="21.75" customHeight="1" x14ac:dyDescent="0.25">
      <c r="A383" s="35">
        <v>44655</v>
      </c>
      <c r="B383" s="90" t="s">
        <v>10968</v>
      </c>
      <c r="C383" s="41" t="s">
        <v>5620</v>
      </c>
      <c r="D383" s="87">
        <v>78120</v>
      </c>
      <c r="E383" s="35">
        <v>44655</v>
      </c>
      <c r="F383" s="87">
        <v>78120</v>
      </c>
      <c r="G383" s="91">
        <f>Tabla15[[#This Row],[Importe]]-Tabla15[[#This Row],[Pagado]]</f>
        <v>0</v>
      </c>
      <c r="H383" s="92" t="s">
        <v>10</v>
      </c>
    </row>
    <row r="384" spans="1:8" ht="21.75" customHeight="1" x14ac:dyDescent="0.25">
      <c r="A384" s="35">
        <v>44655</v>
      </c>
      <c r="B384" s="90" t="s">
        <v>10969</v>
      </c>
      <c r="C384" s="41" t="s">
        <v>5816</v>
      </c>
      <c r="D384" s="87">
        <v>9220.7000000000007</v>
      </c>
      <c r="E384" s="35">
        <v>44656</v>
      </c>
      <c r="F384" s="87">
        <v>9220.7000000000007</v>
      </c>
      <c r="G384" s="91">
        <f>Tabla15[[#This Row],[Importe]]-Tabla15[[#This Row],[Pagado]]</f>
        <v>0</v>
      </c>
      <c r="H384" s="92" t="s">
        <v>10</v>
      </c>
    </row>
    <row r="385" spans="1:8" ht="21.75" customHeight="1" x14ac:dyDescent="0.25">
      <c r="A385" s="35">
        <v>44655</v>
      </c>
      <c r="B385" s="90" t="s">
        <v>10970</v>
      </c>
      <c r="C385" s="41" t="s">
        <v>173</v>
      </c>
      <c r="D385" s="87">
        <v>27937.599999999999</v>
      </c>
      <c r="E385" s="35">
        <v>44656</v>
      </c>
      <c r="F385" s="87">
        <v>27937.599999999999</v>
      </c>
      <c r="G385" s="91">
        <f>Tabla15[[#This Row],[Importe]]-Tabla15[[#This Row],[Pagado]]</f>
        <v>0</v>
      </c>
      <c r="H385" s="92" t="s">
        <v>10</v>
      </c>
    </row>
    <row r="386" spans="1:8" ht="21.75" customHeight="1" x14ac:dyDescent="0.25">
      <c r="A386" s="35">
        <v>44655</v>
      </c>
      <c r="B386" s="90" t="s">
        <v>10971</v>
      </c>
      <c r="C386" s="41" t="s">
        <v>64</v>
      </c>
      <c r="D386" s="87">
        <v>5672</v>
      </c>
      <c r="E386" s="35">
        <v>44655</v>
      </c>
      <c r="F386" s="87">
        <v>5672</v>
      </c>
      <c r="G386" s="91">
        <f>Tabla15[[#This Row],[Importe]]-Tabla15[[#This Row],[Pagado]]</f>
        <v>0</v>
      </c>
      <c r="H386" s="92" t="s">
        <v>10</v>
      </c>
    </row>
    <row r="387" spans="1:8" ht="21.75" customHeight="1" x14ac:dyDescent="0.25">
      <c r="A387" s="35">
        <v>44655</v>
      </c>
      <c r="B387" s="90" t="s">
        <v>10972</v>
      </c>
      <c r="C387" s="41" t="s">
        <v>843</v>
      </c>
      <c r="D387" s="87">
        <v>35167.5</v>
      </c>
      <c r="E387" s="35">
        <v>44655</v>
      </c>
      <c r="F387" s="87">
        <v>35167.5</v>
      </c>
      <c r="G387" s="91">
        <f>Tabla15[[#This Row],[Importe]]-Tabla15[[#This Row],[Pagado]]</f>
        <v>0</v>
      </c>
      <c r="H387" s="92" t="s">
        <v>10</v>
      </c>
    </row>
    <row r="388" spans="1:8" ht="21.75" customHeight="1" x14ac:dyDescent="0.25">
      <c r="A388" s="35">
        <v>44655</v>
      </c>
      <c r="B388" s="90" t="s">
        <v>10973</v>
      </c>
      <c r="C388" s="41" t="s">
        <v>1987</v>
      </c>
      <c r="D388" s="87">
        <v>37072.800000000003</v>
      </c>
      <c r="E388" s="35">
        <v>44655</v>
      </c>
      <c r="F388" s="87">
        <v>37072.800000000003</v>
      </c>
      <c r="G388" s="91">
        <f>Tabla15[[#This Row],[Importe]]-Tabla15[[#This Row],[Pagado]]</f>
        <v>0</v>
      </c>
      <c r="H388" s="92" t="s">
        <v>10</v>
      </c>
    </row>
    <row r="389" spans="1:8" ht="21.75" customHeight="1" x14ac:dyDescent="0.25">
      <c r="A389" s="35">
        <v>44655</v>
      </c>
      <c r="B389" s="90" t="s">
        <v>10974</v>
      </c>
      <c r="C389" s="41" t="s">
        <v>16</v>
      </c>
      <c r="D389" s="87">
        <v>130.19999999999999</v>
      </c>
      <c r="E389" s="35">
        <v>44655</v>
      </c>
      <c r="F389" s="87">
        <v>130.19999999999999</v>
      </c>
      <c r="G389" s="91">
        <f>Tabla15[[#This Row],[Importe]]-Tabla15[[#This Row],[Pagado]]</f>
        <v>0</v>
      </c>
      <c r="H389" s="92" t="s">
        <v>10</v>
      </c>
    </row>
    <row r="390" spans="1:8" ht="21.75" customHeight="1" x14ac:dyDescent="0.25">
      <c r="A390" s="35">
        <v>44655</v>
      </c>
      <c r="B390" s="90" t="s">
        <v>10975</v>
      </c>
      <c r="C390" s="41" t="s">
        <v>843</v>
      </c>
      <c r="D390" s="87">
        <v>3740</v>
      </c>
      <c r="E390" s="35">
        <v>44655</v>
      </c>
      <c r="F390" s="87">
        <v>3740</v>
      </c>
      <c r="G390" s="91">
        <f>Tabla15[[#This Row],[Importe]]-Tabla15[[#This Row],[Pagado]]</f>
        <v>0</v>
      </c>
      <c r="H390" s="92" t="s">
        <v>10</v>
      </c>
    </row>
    <row r="391" spans="1:8" ht="21.75" customHeight="1" x14ac:dyDescent="0.25">
      <c r="A391" s="35">
        <v>44655</v>
      </c>
      <c r="B391" s="90" t="s">
        <v>10976</v>
      </c>
      <c r="C391" s="41" t="s">
        <v>142</v>
      </c>
      <c r="D391" s="87">
        <v>45972.7</v>
      </c>
      <c r="E391" s="35">
        <v>44670</v>
      </c>
      <c r="F391" s="87">
        <v>45972.7</v>
      </c>
      <c r="G391" s="91">
        <f>Tabla15[[#This Row],[Importe]]-Tabla15[[#This Row],[Pagado]]</f>
        <v>0</v>
      </c>
      <c r="H391" s="92" t="s">
        <v>10</v>
      </c>
    </row>
    <row r="392" spans="1:8" ht="21.75" customHeight="1" x14ac:dyDescent="0.25">
      <c r="A392" s="35">
        <v>44655</v>
      </c>
      <c r="B392" s="90" t="s">
        <v>10977</v>
      </c>
      <c r="C392" s="41" t="s">
        <v>16</v>
      </c>
      <c r="D392" s="87">
        <v>586.29999999999995</v>
      </c>
      <c r="E392" s="35">
        <v>44655</v>
      </c>
      <c r="F392" s="87">
        <v>586.29999999999995</v>
      </c>
      <c r="G392" s="91">
        <f>Tabla15[[#This Row],[Importe]]-Tabla15[[#This Row],[Pagado]]</f>
        <v>0</v>
      </c>
      <c r="H392" s="92" t="s">
        <v>10</v>
      </c>
    </row>
    <row r="393" spans="1:8" ht="21.75" customHeight="1" x14ac:dyDescent="0.25">
      <c r="A393" s="35">
        <v>44655</v>
      </c>
      <c r="B393" s="90" t="s">
        <v>10978</v>
      </c>
      <c r="C393" s="41" t="s">
        <v>2114</v>
      </c>
      <c r="D393" s="87">
        <v>6349.4</v>
      </c>
      <c r="E393" s="35">
        <v>44655</v>
      </c>
      <c r="F393" s="87">
        <v>6349.4</v>
      </c>
      <c r="G393" s="91">
        <f>Tabla15[[#This Row],[Importe]]-Tabla15[[#This Row],[Pagado]]</f>
        <v>0</v>
      </c>
      <c r="H393" s="92" t="s">
        <v>10</v>
      </c>
    </row>
    <row r="394" spans="1:8" ht="21.75" customHeight="1" x14ac:dyDescent="0.25">
      <c r="A394" s="35">
        <v>44655</v>
      </c>
      <c r="B394" s="90" t="s">
        <v>10979</v>
      </c>
      <c r="C394" s="41" t="s">
        <v>216</v>
      </c>
      <c r="D394" s="87">
        <v>1020.6</v>
      </c>
      <c r="E394" s="35">
        <v>44655</v>
      </c>
      <c r="F394" s="87">
        <v>1020.6</v>
      </c>
      <c r="G394" s="91">
        <f>Tabla15[[#This Row],[Importe]]-Tabla15[[#This Row],[Pagado]]</f>
        <v>0</v>
      </c>
      <c r="H394" s="92" t="s">
        <v>10</v>
      </c>
    </row>
    <row r="395" spans="1:8" ht="21.75" customHeight="1" x14ac:dyDescent="0.25">
      <c r="A395" s="35">
        <v>44655</v>
      </c>
      <c r="B395" s="90" t="s">
        <v>10980</v>
      </c>
      <c r="C395" s="41" t="s">
        <v>216</v>
      </c>
      <c r="D395" s="87">
        <v>1420.2</v>
      </c>
      <c r="E395" s="35">
        <v>44655</v>
      </c>
      <c r="F395" s="87">
        <v>1420.2</v>
      </c>
      <c r="G395" s="91">
        <f>Tabla15[[#This Row],[Importe]]-Tabla15[[#This Row],[Pagado]]</f>
        <v>0</v>
      </c>
      <c r="H395" s="92" t="s">
        <v>10</v>
      </c>
    </row>
    <row r="396" spans="1:8" ht="21.75" customHeight="1" x14ac:dyDescent="0.25">
      <c r="A396" s="35">
        <v>44655</v>
      </c>
      <c r="B396" s="90" t="s">
        <v>10981</v>
      </c>
      <c r="C396" s="41" t="s">
        <v>698</v>
      </c>
      <c r="D396" s="87">
        <v>4819.5</v>
      </c>
      <c r="E396" s="35">
        <v>44655</v>
      </c>
      <c r="F396" s="87">
        <v>4819.5</v>
      </c>
      <c r="G396" s="91">
        <f>Tabla15[[#This Row],[Importe]]-Tabla15[[#This Row],[Pagado]]</f>
        <v>0</v>
      </c>
      <c r="H396" s="92" t="s">
        <v>10</v>
      </c>
    </row>
    <row r="397" spans="1:8" ht="21.75" customHeight="1" x14ac:dyDescent="0.25">
      <c r="A397" s="35">
        <v>44655</v>
      </c>
      <c r="B397" s="90" t="s">
        <v>10982</v>
      </c>
      <c r="C397" s="41" t="s">
        <v>1313</v>
      </c>
      <c r="D397" s="87">
        <v>9032.4</v>
      </c>
      <c r="E397" s="35">
        <v>44655</v>
      </c>
      <c r="F397" s="87">
        <v>9032.4</v>
      </c>
      <c r="G397" s="91">
        <f>Tabla15[[#This Row],[Importe]]-Tabla15[[#This Row],[Pagado]]</f>
        <v>0</v>
      </c>
      <c r="H397" s="92" t="s">
        <v>10</v>
      </c>
    </row>
    <row r="398" spans="1:8" ht="21.75" customHeight="1" x14ac:dyDescent="0.25">
      <c r="A398" s="35">
        <v>44655</v>
      </c>
      <c r="B398" s="90" t="s">
        <v>10983</v>
      </c>
      <c r="C398" s="41" t="s">
        <v>10984</v>
      </c>
      <c r="D398" s="87">
        <v>13797.2</v>
      </c>
      <c r="E398" s="35">
        <v>44655</v>
      </c>
      <c r="F398" s="87">
        <v>13797.2</v>
      </c>
      <c r="G398" s="91">
        <f>Tabla15[[#This Row],[Importe]]-Tabla15[[#This Row],[Pagado]]</f>
        <v>0</v>
      </c>
      <c r="H398" s="92" t="s">
        <v>10</v>
      </c>
    </row>
    <row r="399" spans="1:8" ht="21.75" customHeight="1" x14ac:dyDescent="0.25">
      <c r="A399" s="35">
        <v>44655</v>
      </c>
      <c r="B399" s="90" t="s">
        <v>10985</v>
      </c>
      <c r="C399" s="41" t="s">
        <v>275</v>
      </c>
      <c r="D399" s="87">
        <v>8162</v>
      </c>
      <c r="E399" s="35">
        <v>44670</v>
      </c>
      <c r="F399" s="87">
        <v>8162</v>
      </c>
      <c r="G399" s="91">
        <f>Tabla15[[#This Row],[Importe]]-Tabla15[[#This Row],[Pagado]]</f>
        <v>0</v>
      </c>
      <c r="H399" s="92" t="s">
        <v>10</v>
      </c>
    </row>
    <row r="400" spans="1:8" ht="21.75" customHeight="1" x14ac:dyDescent="0.25">
      <c r="A400" s="35">
        <v>44655</v>
      </c>
      <c r="B400" s="90" t="s">
        <v>10986</v>
      </c>
      <c r="C400" s="41" t="s">
        <v>56</v>
      </c>
      <c r="D400" s="87">
        <v>3364.2</v>
      </c>
      <c r="E400" s="35">
        <v>44655</v>
      </c>
      <c r="F400" s="87">
        <v>3364.2</v>
      </c>
      <c r="G400" s="91">
        <f>Tabla15[[#This Row],[Importe]]-Tabla15[[#This Row],[Pagado]]</f>
        <v>0</v>
      </c>
      <c r="H400" s="92" t="s">
        <v>10</v>
      </c>
    </row>
    <row r="401" spans="1:8" ht="21.75" customHeight="1" x14ac:dyDescent="0.25">
      <c r="A401" s="35">
        <v>44655</v>
      </c>
      <c r="B401" s="90" t="s">
        <v>10987</v>
      </c>
      <c r="C401" s="41" t="s">
        <v>56</v>
      </c>
      <c r="D401" s="87">
        <v>348.6</v>
      </c>
      <c r="E401" s="35">
        <v>44655</v>
      </c>
      <c r="F401" s="87">
        <v>348.6</v>
      </c>
      <c r="G401" s="91">
        <f>Tabla15[[#This Row],[Importe]]-Tabla15[[#This Row],[Pagado]]</f>
        <v>0</v>
      </c>
      <c r="H401" s="92" t="s">
        <v>10</v>
      </c>
    </row>
    <row r="402" spans="1:8" ht="21.75" customHeight="1" x14ac:dyDescent="0.25">
      <c r="A402" s="35">
        <v>44655</v>
      </c>
      <c r="B402" s="90" t="s">
        <v>10988</v>
      </c>
      <c r="C402" s="41" t="s">
        <v>31</v>
      </c>
      <c r="D402" s="87">
        <v>2259.1</v>
      </c>
      <c r="E402" s="35">
        <v>44655</v>
      </c>
      <c r="F402" s="87">
        <v>2259.1</v>
      </c>
      <c r="G402" s="91">
        <f>Tabla15[[#This Row],[Importe]]-Tabla15[[#This Row],[Pagado]]</f>
        <v>0</v>
      </c>
      <c r="H402" s="92" t="s">
        <v>10</v>
      </c>
    </row>
    <row r="403" spans="1:8" ht="21.75" customHeight="1" x14ac:dyDescent="0.25">
      <c r="A403" s="35">
        <v>44655</v>
      </c>
      <c r="B403" s="90" t="s">
        <v>10989</v>
      </c>
      <c r="C403" s="41" t="s">
        <v>4273</v>
      </c>
      <c r="D403" s="87">
        <v>26070</v>
      </c>
      <c r="E403" s="35">
        <v>44655</v>
      </c>
      <c r="F403" s="87">
        <v>26070</v>
      </c>
      <c r="G403" s="91">
        <f>Tabla15[[#This Row],[Importe]]-Tabla15[[#This Row],[Pagado]]</f>
        <v>0</v>
      </c>
      <c r="H403" s="92" t="s">
        <v>10</v>
      </c>
    </row>
    <row r="404" spans="1:8" ht="21.75" customHeight="1" x14ac:dyDescent="0.25">
      <c r="A404" s="35">
        <v>44655</v>
      </c>
      <c r="B404" s="90" t="s">
        <v>10990</v>
      </c>
      <c r="C404" s="41" t="s">
        <v>214</v>
      </c>
      <c r="D404" s="87">
        <v>15060</v>
      </c>
      <c r="E404" s="35">
        <v>44656</v>
      </c>
      <c r="F404" s="87">
        <v>15060</v>
      </c>
      <c r="G404" s="91">
        <f>Tabla15[[#This Row],[Importe]]-Tabla15[[#This Row],[Pagado]]</f>
        <v>0</v>
      </c>
      <c r="H404" s="92" t="s">
        <v>10</v>
      </c>
    </row>
    <row r="405" spans="1:8" ht="21.75" customHeight="1" x14ac:dyDescent="0.25">
      <c r="A405" s="35">
        <v>44655</v>
      </c>
      <c r="B405" s="90" t="s">
        <v>10991</v>
      </c>
      <c r="C405" s="41" t="s">
        <v>2961</v>
      </c>
      <c r="D405" s="87">
        <v>52927.199999999997</v>
      </c>
      <c r="E405" s="35">
        <v>44658</v>
      </c>
      <c r="F405" s="87">
        <v>52927.199999999997</v>
      </c>
      <c r="G405" s="91">
        <f>Tabla15[[#This Row],[Importe]]-Tabla15[[#This Row],[Pagado]]</f>
        <v>0</v>
      </c>
      <c r="H405" s="92" t="s">
        <v>10</v>
      </c>
    </row>
    <row r="406" spans="1:8" ht="21.75" customHeight="1" x14ac:dyDescent="0.25">
      <c r="A406" s="35">
        <v>44655</v>
      </c>
      <c r="B406" s="90" t="s">
        <v>10992</v>
      </c>
      <c r="C406" s="41" t="s">
        <v>10678</v>
      </c>
      <c r="D406" s="87">
        <v>3823.7</v>
      </c>
      <c r="E406" s="35">
        <v>44655</v>
      </c>
      <c r="F406" s="87">
        <v>3823.7</v>
      </c>
      <c r="G406" s="91">
        <f>Tabla15[[#This Row],[Importe]]-Tabla15[[#This Row],[Pagado]]</f>
        <v>0</v>
      </c>
      <c r="H406" s="92" t="s">
        <v>10</v>
      </c>
    </row>
    <row r="407" spans="1:8" ht="21.75" customHeight="1" x14ac:dyDescent="0.25">
      <c r="A407" s="35">
        <v>44655</v>
      </c>
      <c r="B407" s="90" t="s">
        <v>10993</v>
      </c>
      <c r="C407" s="41" t="s">
        <v>71</v>
      </c>
      <c r="D407" s="87">
        <v>11028</v>
      </c>
      <c r="E407" s="35">
        <v>44655</v>
      </c>
      <c r="F407" s="87">
        <v>11028</v>
      </c>
      <c r="G407" s="91">
        <f>Tabla15[[#This Row],[Importe]]-Tabla15[[#This Row],[Pagado]]</f>
        <v>0</v>
      </c>
      <c r="H407" s="92" t="s">
        <v>10</v>
      </c>
    </row>
    <row r="408" spans="1:8" ht="21.75" customHeight="1" x14ac:dyDescent="0.25">
      <c r="A408" s="35">
        <v>44655</v>
      </c>
      <c r="B408" s="90" t="s">
        <v>10994</v>
      </c>
      <c r="C408" s="41" t="s">
        <v>246</v>
      </c>
      <c r="D408" s="87">
        <v>46772</v>
      </c>
      <c r="E408" s="35">
        <v>44655</v>
      </c>
      <c r="F408" s="87">
        <v>46772</v>
      </c>
      <c r="G408" s="91">
        <f>Tabla15[[#This Row],[Importe]]-Tabla15[[#This Row],[Pagado]]</f>
        <v>0</v>
      </c>
      <c r="H408" s="92" t="s">
        <v>10</v>
      </c>
    </row>
    <row r="409" spans="1:8" ht="21.75" customHeight="1" x14ac:dyDescent="0.25">
      <c r="A409" s="35">
        <v>44655</v>
      </c>
      <c r="B409" s="90" t="s">
        <v>10995</v>
      </c>
      <c r="C409" s="41" t="s">
        <v>69</v>
      </c>
      <c r="D409" s="87">
        <v>1512</v>
      </c>
      <c r="E409" s="35">
        <v>44655</v>
      </c>
      <c r="F409" s="87">
        <v>1512</v>
      </c>
      <c r="G409" s="91">
        <f>Tabla15[[#This Row],[Importe]]-Tabla15[[#This Row],[Pagado]]</f>
        <v>0</v>
      </c>
      <c r="H409" s="92" t="s">
        <v>10</v>
      </c>
    </row>
    <row r="410" spans="1:8" ht="21.75" customHeight="1" x14ac:dyDescent="0.25">
      <c r="A410" s="35">
        <v>44655</v>
      </c>
      <c r="B410" s="90" t="s">
        <v>10996</v>
      </c>
      <c r="C410" s="41" t="s">
        <v>484</v>
      </c>
      <c r="D410" s="87">
        <v>5117</v>
      </c>
      <c r="E410" s="35">
        <v>44655</v>
      </c>
      <c r="F410" s="87">
        <v>5117</v>
      </c>
      <c r="G410" s="91">
        <f>Tabla15[[#This Row],[Importe]]-Tabla15[[#This Row],[Pagado]]</f>
        <v>0</v>
      </c>
      <c r="H410" s="92" t="s">
        <v>10</v>
      </c>
    </row>
    <row r="411" spans="1:8" ht="21.75" customHeight="1" x14ac:dyDescent="0.25">
      <c r="A411" s="35">
        <v>44655</v>
      </c>
      <c r="B411" s="90" t="s">
        <v>10997</v>
      </c>
      <c r="C411" s="41" t="s">
        <v>368</v>
      </c>
      <c r="D411" s="87">
        <v>7978.2</v>
      </c>
      <c r="E411" s="35">
        <v>44656</v>
      </c>
      <c r="F411" s="87">
        <v>7978.2</v>
      </c>
      <c r="G411" s="91">
        <f>Tabla15[[#This Row],[Importe]]-Tabla15[[#This Row],[Pagado]]</f>
        <v>0</v>
      </c>
      <c r="H411" s="92" t="s">
        <v>10</v>
      </c>
    </row>
    <row r="412" spans="1:8" ht="21.75" customHeight="1" x14ac:dyDescent="0.25">
      <c r="A412" s="35">
        <v>44655</v>
      </c>
      <c r="B412" s="90" t="s">
        <v>10998</v>
      </c>
      <c r="C412" s="41" t="s">
        <v>10840</v>
      </c>
      <c r="D412" s="87">
        <v>32728.799999999999</v>
      </c>
      <c r="E412" s="35">
        <v>44662</v>
      </c>
      <c r="F412" s="87">
        <v>32728.799999999999</v>
      </c>
      <c r="G412" s="91">
        <f>Tabla15[[#This Row],[Importe]]-Tabla15[[#This Row],[Pagado]]</f>
        <v>0</v>
      </c>
      <c r="H412" s="92" t="s">
        <v>10</v>
      </c>
    </row>
    <row r="413" spans="1:8" ht="21.75" customHeight="1" x14ac:dyDescent="0.25">
      <c r="A413" s="35">
        <v>44655</v>
      </c>
      <c r="B413" s="90" t="s">
        <v>10999</v>
      </c>
      <c r="C413" s="41" t="s">
        <v>284</v>
      </c>
      <c r="D413" s="87">
        <v>2727</v>
      </c>
      <c r="E413" s="35">
        <v>44656</v>
      </c>
      <c r="F413" s="87">
        <v>2727</v>
      </c>
      <c r="G413" s="91">
        <f>Tabla15[[#This Row],[Importe]]-Tabla15[[#This Row],[Pagado]]</f>
        <v>0</v>
      </c>
      <c r="H413" s="92" t="s">
        <v>10</v>
      </c>
    </row>
    <row r="414" spans="1:8" ht="21.75" customHeight="1" x14ac:dyDescent="0.25">
      <c r="A414" s="35">
        <v>44655</v>
      </c>
      <c r="B414" s="90" t="s">
        <v>11000</v>
      </c>
      <c r="C414" s="41" t="s">
        <v>5345</v>
      </c>
      <c r="D414" s="87">
        <v>2219.4</v>
      </c>
      <c r="E414" s="35">
        <v>44656</v>
      </c>
      <c r="F414" s="87">
        <v>2219.4</v>
      </c>
      <c r="G414" s="91">
        <f>Tabla15[[#This Row],[Importe]]-Tabla15[[#This Row],[Pagado]]</f>
        <v>0</v>
      </c>
      <c r="H414" s="92" t="s">
        <v>10</v>
      </c>
    </row>
    <row r="415" spans="1:8" ht="21.75" customHeight="1" x14ac:dyDescent="0.25">
      <c r="A415" s="35">
        <v>44655</v>
      </c>
      <c r="B415" s="90" t="s">
        <v>11001</v>
      </c>
      <c r="C415" s="41" t="s">
        <v>452</v>
      </c>
      <c r="D415" s="87">
        <v>3888.8</v>
      </c>
      <c r="E415" s="35">
        <v>44655</v>
      </c>
      <c r="F415" s="87">
        <v>3888.8</v>
      </c>
      <c r="G415" s="91">
        <f>Tabla15[[#This Row],[Importe]]-Tabla15[[#This Row],[Pagado]]</f>
        <v>0</v>
      </c>
      <c r="H415" s="92" t="s">
        <v>10</v>
      </c>
    </row>
    <row r="416" spans="1:8" ht="21.75" customHeight="1" x14ac:dyDescent="0.25">
      <c r="A416" s="35">
        <v>44655</v>
      </c>
      <c r="B416" s="90" t="s">
        <v>11002</v>
      </c>
      <c r="C416" s="41" t="s">
        <v>282</v>
      </c>
      <c r="D416" s="87">
        <v>2397.6</v>
      </c>
      <c r="E416" s="35">
        <v>44656</v>
      </c>
      <c r="F416" s="87">
        <v>2397.6</v>
      </c>
      <c r="G416" s="91">
        <f>Tabla15[[#This Row],[Importe]]-Tabla15[[#This Row],[Pagado]]</f>
        <v>0</v>
      </c>
      <c r="H416" s="92" t="s">
        <v>10</v>
      </c>
    </row>
    <row r="417" spans="1:8" ht="21.75" customHeight="1" x14ac:dyDescent="0.25">
      <c r="A417" s="35">
        <v>44655</v>
      </c>
      <c r="B417" s="90" t="s">
        <v>11003</v>
      </c>
      <c r="C417" s="41" t="s">
        <v>414</v>
      </c>
      <c r="D417" s="87">
        <v>1440</v>
      </c>
      <c r="E417" s="35">
        <v>44655</v>
      </c>
      <c r="F417" s="87">
        <v>1440</v>
      </c>
      <c r="G417" s="91">
        <f>Tabla15[[#This Row],[Importe]]-Tabla15[[#This Row],[Pagado]]</f>
        <v>0</v>
      </c>
      <c r="H417" s="92" t="s">
        <v>10</v>
      </c>
    </row>
    <row r="418" spans="1:8" ht="21.75" customHeight="1" x14ac:dyDescent="0.25">
      <c r="A418" s="35">
        <v>44655</v>
      </c>
      <c r="B418" s="90" t="s">
        <v>11004</v>
      </c>
      <c r="C418" s="41" t="s">
        <v>179</v>
      </c>
      <c r="D418" s="87">
        <v>1026</v>
      </c>
      <c r="E418" s="35">
        <v>44655</v>
      </c>
      <c r="F418" s="87">
        <v>1026</v>
      </c>
      <c r="G418" s="91">
        <f>Tabla15[[#This Row],[Importe]]-Tabla15[[#This Row],[Pagado]]</f>
        <v>0</v>
      </c>
      <c r="H418" s="92" t="s">
        <v>10</v>
      </c>
    </row>
    <row r="419" spans="1:8" ht="21.75" customHeight="1" x14ac:dyDescent="0.25">
      <c r="A419" s="35">
        <v>44655</v>
      </c>
      <c r="B419" s="90" t="s">
        <v>11005</v>
      </c>
      <c r="C419" s="41" t="s">
        <v>475</v>
      </c>
      <c r="D419" s="87">
        <v>26182</v>
      </c>
      <c r="E419" s="35">
        <v>44658</v>
      </c>
      <c r="F419" s="87">
        <v>26182</v>
      </c>
      <c r="G419" s="91">
        <f>Tabla15[[#This Row],[Importe]]-Tabla15[[#This Row],[Pagado]]</f>
        <v>0</v>
      </c>
      <c r="H419" s="92" t="s">
        <v>10</v>
      </c>
    </row>
    <row r="420" spans="1:8" ht="21.75" customHeight="1" x14ac:dyDescent="0.25">
      <c r="A420" s="35">
        <v>44655</v>
      </c>
      <c r="B420" s="90" t="s">
        <v>11006</v>
      </c>
      <c r="C420" s="41" t="s">
        <v>2961</v>
      </c>
      <c r="D420" s="87">
        <v>55854</v>
      </c>
      <c r="E420" s="35">
        <v>44658</v>
      </c>
      <c r="F420" s="87">
        <v>55854</v>
      </c>
      <c r="G420" s="91">
        <f>Tabla15[[#This Row],[Importe]]-Tabla15[[#This Row],[Pagado]]</f>
        <v>0</v>
      </c>
      <c r="H420" s="92" t="s">
        <v>10</v>
      </c>
    </row>
    <row r="421" spans="1:8" ht="21.75" customHeight="1" x14ac:dyDescent="0.25">
      <c r="A421" s="35">
        <v>44655</v>
      </c>
      <c r="B421" s="90" t="s">
        <v>11007</v>
      </c>
      <c r="C421" s="41" t="s">
        <v>454</v>
      </c>
      <c r="D421" s="87">
        <v>1354.7</v>
      </c>
      <c r="E421" s="35">
        <v>44655</v>
      </c>
      <c r="F421" s="87">
        <v>1354.7</v>
      </c>
      <c r="G421" s="91">
        <f>Tabla15[[#This Row],[Importe]]-Tabla15[[#This Row],[Pagado]]</f>
        <v>0</v>
      </c>
      <c r="H421" s="92" t="s">
        <v>10</v>
      </c>
    </row>
    <row r="422" spans="1:8" ht="21.75" customHeight="1" x14ac:dyDescent="0.25">
      <c r="A422" s="35">
        <v>44655</v>
      </c>
      <c r="B422" s="90" t="s">
        <v>11008</v>
      </c>
      <c r="C422" s="41" t="s">
        <v>2961</v>
      </c>
      <c r="D422" s="87">
        <v>52070.400000000001</v>
      </c>
      <c r="E422" s="35">
        <v>44658</v>
      </c>
      <c r="F422" s="87">
        <v>52070.400000000001</v>
      </c>
      <c r="G422" s="91">
        <f>Tabla15[[#This Row],[Importe]]-Tabla15[[#This Row],[Pagado]]</f>
        <v>0</v>
      </c>
      <c r="H422" s="92" t="s">
        <v>10</v>
      </c>
    </row>
    <row r="423" spans="1:8" ht="21.75" customHeight="1" x14ac:dyDescent="0.25">
      <c r="A423" s="35">
        <v>44655</v>
      </c>
      <c r="B423" s="90" t="s">
        <v>11009</v>
      </c>
      <c r="C423" s="41" t="s">
        <v>612</v>
      </c>
      <c r="D423" s="87">
        <v>1008.4</v>
      </c>
      <c r="E423" s="35">
        <v>44655</v>
      </c>
      <c r="F423" s="87">
        <v>1008.4</v>
      </c>
      <c r="G423" s="91">
        <f>Tabla15[[#This Row],[Importe]]-Tabla15[[#This Row],[Pagado]]</f>
        <v>0</v>
      </c>
      <c r="H423" s="92" t="s">
        <v>10</v>
      </c>
    </row>
    <row r="424" spans="1:8" ht="21.75" customHeight="1" x14ac:dyDescent="0.25">
      <c r="A424" s="35">
        <v>44656</v>
      </c>
      <c r="B424" s="90" t="s">
        <v>11010</v>
      </c>
      <c r="C424" s="41" t="s">
        <v>887</v>
      </c>
      <c r="D424" s="87">
        <v>9460.5</v>
      </c>
      <c r="E424" s="35">
        <v>44657</v>
      </c>
      <c r="F424" s="87">
        <v>9460.5</v>
      </c>
      <c r="G424" s="91">
        <f>Tabla15[[#This Row],[Importe]]-Tabla15[[#This Row],[Pagado]]</f>
        <v>0</v>
      </c>
      <c r="H424" s="92" t="s">
        <v>10</v>
      </c>
    </row>
    <row r="425" spans="1:8" ht="21.75" customHeight="1" x14ac:dyDescent="0.25">
      <c r="A425" s="35">
        <v>44656</v>
      </c>
      <c r="B425" s="90" t="s">
        <v>11011</v>
      </c>
      <c r="C425" s="41" t="s">
        <v>31</v>
      </c>
      <c r="D425" s="87">
        <v>3990.6</v>
      </c>
      <c r="E425" s="35">
        <v>44656</v>
      </c>
      <c r="F425" s="87">
        <v>3990.6</v>
      </c>
      <c r="G425" s="91">
        <f>Tabla15[[#This Row],[Importe]]-Tabla15[[#This Row],[Pagado]]</f>
        <v>0</v>
      </c>
      <c r="H425" s="92" t="s">
        <v>10</v>
      </c>
    </row>
    <row r="426" spans="1:8" ht="21.75" customHeight="1" x14ac:dyDescent="0.25">
      <c r="A426" s="35">
        <v>44656</v>
      </c>
      <c r="B426" s="90" t="s">
        <v>11012</v>
      </c>
      <c r="C426" s="41" t="s">
        <v>481</v>
      </c>
      <c r="D426" s="87">
        <v>907.6</v>
      </c>
      <c r="E426" s="35">
        <v>44656</v>
      </c>
      <c r="F426" s="87">
        <v>907.6</v>
      </c>
      <c r="G426" s="91">
        <f>Tabla15[[#This Row],[Importe]]-Tabla15[[#This Row],[Pagado]]</f>
        <v>0</v>
      </c>
      <c r="H426" s="92" t="s">
        <v>10</v>
      </c>
    </row>
    <row r="427" spans="1:8" ht="21.75" customHeight="1" x14ac:dyDescent="0.25">
      <c r="A427" s="35">
        <v>44656</v>
      </c>
      <c r="B427" s="90" t="s">
        <v>11013</v>
      </c>
      <c r="C427" s="41" t="s">
        <v>353</v>
      </c>
      <c r="D427" s="87">
        <v>1440</v>
      </c>
      <c r="E427" s="35">
        <v>44656</v>
      </c>
      <c r="F427" s="87">
        <v>1440</v>
      </c>
      <c r="G427" s="91">
        <f>Tabla15[[#This Row],[Importe]]-Tabla15[[#This Row],[Pagado]]</f>
        <v>0</v>
      </c>
      <c r="H427" s="92" t="s">
        <v>10</v>
      </c>
    </row>
    <row r="428" spans="1:8" ht="21.75" customHeight="1" x14ac:dyDescent="0.25">
      <c r="A428" s="35">
        <v>44656</v>
      </c>
      <c r="B428" s="90" t="s">
        <v>11014</v>
      </c>
      <c r="C428" s="41" t="s">
        <v>79</v>
      </c>
      <c r="D428" s="87">
        <v>3191.4</v>
      </c>
      <c r="E428" s="35">
        <v>44656</v>
      </c>
      <c r="F428" s="87">
        <v>3191.4</v>
      </c>
      <c r="G428" s="91">
        <f>Tabla15[[#This Row],[Importe]]-Tabla15[[#This Row],[Pagado]]</f>
        <v>0</v>
      </c>
      <c r="H428" s="92" t="s">
        <v>10</v>
      </c>
    </row>
    <row r="429" spans="1:8" ht="21.75" customHeight="1" x14ac:dyDescent="0.25">
      <c r="A429" s="35">
        <v>44656</v>
      </c>
      <c r="B429" s="90" t="s">
        <v>11015</v>
      </c>
      <c r="C429" s="41" t="s">
        <v>79</v>
      </c>
      <c r="D429" s="87">
        <v>3537</v>
      </c>
      <c r="E429" s="35">
        <v>44656</v>
      </c>
      <c r="F429" s="87">
        <v>3537</v>
      </c>
      <c r="G429" s="91">
        <f>Tabla15[[#This Row],[Importe]]-Tabla15[[#This Row],[Pagado]]</f>
        <v>0</v>
      </c>
      <c r="H429" s="92" t="s">
        <v>10</v>
      </c>
    </row>
    <row r="430" spans="1:8" ht="21.75" customHeight="1" x14ac:dyDescent="0.25">
      <c r="A430" s="35">
        <v>44656</v>
      </c>
      <c r="B430" s="90" t="s">
        <v>11016</v>
      </c>
      <c r="C430" s="41" t="s">
        <v>12</v>
      </c>
      <c r="D430" s="87">
        <v>29883.4</v>
      </c>
      <c r="E430" s="35">
        <v>44656</v>
      </c>
      <c r="F430" s="87">
        <v>29883.4</v>
      </c>
      <c r="G430" s="91">
        <f>Tabla15[[#This Row],[Importe]]-Tabla15[[#This Row],[Pagado]]</f>
        <v>0</v>
      </c>
      <c r="H430" s="92" t="s">
        <v>10</v>
      </c>
    </row>
    <row r="431" spans="1:8" ht="21.75" customHeight="1" x14ac:dyDescent="0.25">
      <c r="A431" s="35">
        <v>44656</v>
      </c>
      <c r="B431" s="90" t="s">
        <v>11017</v>
      </c>
      <c r="C431" s="41" t="s">
        <v>9</v>
      </c>
      <c r="D431" s="87">
        <v>7112.6</v>
      </c>
      <c r="E431" s="35">
        <v>44656</v>
      </c>
      <c r="F431" s="87">
        <v>7112.6</v>
      </c>
      <c r="G431" s="91">
        <f>Tabla15[[#This Row],[Importe]]-Tabla15[[#This Row],[Pagado]]</f>
        <v>0</v>
      </c>
      <c r="H431" s="92" t="s">
        <v>10</v>
      </c>
    </row>
    <row r="432" spans="1:8" ht="21.75" customHeight="1" x14ac:dyDescent="0.25">
      <c r="A432" s="35">
        <v>44656</v>
      </c>
      <c r="B432" s="90" t="s">
        <v>11018</v>
      </c>
      <c r="C432" s="41" t="s">
        <v>49</v>
      </c>
      <c r="D432" s="87">
        <v>2827.4</v>
      </c>
      <c r="E432" s="35">
        <v>44656</v>
      </c>
      <c r="F432" s="87">
        <v>2827.4</v>
      </c>
      <c r="G432" s="91">
        <f>Tabla15[[#This Row],[Importe]]-Tabla15[[#This Row],[Pagado]]</f>
        <v>0</v>
      </c>
      <c r="H432" s="92" t="s">
        <v>10</v>
      </c>
    </row>
    <row r="433" spans="1:8" ht="21.75" customHeight="1" x14ac:dyDescent="0.25">
      <c r="A433" s="35">
        <v>44656</v>
      </c>
      <c r="B433" s="90" t="s">
        <v>11019</v>
      </c>
      <c r="C433" s="41" t="s">
        <v>47</v>
      </c>
      <c r="D433" s="87">
        <v>56871.34</v>
      </c>
      <c r="E433" s="35">
        <v>44656</v>
      </c>
      <c r="F433" s="87">
        <v>56871.34</v>
      </c>
      <c r="G433" s="91">
        <f>Tabla15[[#This Row],[Importe]]-Tabla15[[#This Row],[Pagado]]</f>
        <v>0</v>
      </c>
      <c r="H433" s="92" t="s">
        <v>10</v>
      </c>
    </row>
    <row r="434" spans="1:8" ht="21.75" customHeight="1" x14ac:dyDescent="0.25">
      <c r="A434" s="35">
        <v>44656</v>
      </c>
      <c r="B434" s="90" t="s">
        <v>11020</v>
      </c>
      <c r="C434" s="41" t="s">
        <v>64</v>
      </c>
      <c r="D434" s="87">
        <v>4126.7</v>
      </c>
      <c r="E434" s="35">
        <v>44657</v>
      </c>
      <c r="F434" s="87">
        <v>4126.7</v>
      </c>
      <c r="G434" s="91">
        <f>Tabla15[[#This Row],[Importe]]-Tabla15[[#This Row],[Pagado]]</f>
        <v>0</v>
      </c>
      <c r="H434" s="92" t="s">
        <v>10</v>
      </c>
    </row>
    <row r="435" spans="1:8" ht="21.75" customHeight="1" x14ac:dyDescent="0.25">
      <c r="A435" s="35">
        <v>44656</v>
      </c>
      <c r="B435" s="90" t="s">
        <v>11021</v>
      </c>
      <c r="C435" s="41" t="s">
        <v>109</v>
      </c>
      <c r="D435" s="87">
        <v>4360.5</v>
      </c>
      <c r="E435" s="35">
        <v>44657</v>
      </c>
      <c r="F435" s="87">
        <v>4360.5</v>
      </c>
      <c r="G435" s="91">
        <f>Tabla15[[#This Row],[Importe]]-Tabla15[[#This Row],[Pagado]]</f>
        <v>0</v>
      </c>
      <c r="H435" s="92" t="s">
        <v>10</v>
      </c>
    </row>
    <row r="436" spans="1:8" ht="21.75" customHeight="1" x14ac:dyDescent="0.25">
      <c r="A436" s="35">
        <v>44656</v>
      </c>
      <c r="B436" s="90" t="s">
        <v>11022</v>
      </c>
      <c r="C436" s="41" t="s">
        <v>10742</v>
      </c>
      <c r="D436" s="87">
        <v>4605.3</v>
      </c>
      <c r="E436" s="35">
        <v>44657</v>
      </c>
      <c r="F436" s="87">
        <v>4605.3</v>
      </c>
      <c r="G436" s="91">
        <f>Tabla15[[#This Row],[Importe]]-Tabla15[[#This Row],[Pagado]]</f>
        <v>0</v>
      </c>
      <c r="H436" s="92" t="s">
        <v>10</v>
      </c>
    </row>
    <row r="437" spans="1:8" ht="21.75" customHeight="1" x14ac:dyDescent="0.25">
      <c r="A437" s="35">
        <v>44656</v>
      </c>
      <c r="B437" s="90" t="s">
        <v>11023</v>
      </c>
      <c r="C437" s="41" t="s">
        <v>2563</v>
      </c>
      <c r="D437" s="87">
        <v>4526.2</v>
      </c>
      <c r="E437" s="35">
        <v>44656</v>
      </c>
      <c r="F437" s="87">
        <v>4526.2</v>
      </c>
      <c r="G437" s="91">
        <f>Tabla15[[#This Row],[Importe]]-Tabla15[[#This Row],[Pagado]]</f>
        <v>0</v>
      </c>
      <c r="H437" s="92" t="s">
        <v>10</v>
      </c>
    </row>
    <row r="438" spans="1:8" ht="21.75" customHeight="1" x14ac:dyDescent="0.25">
      <c r="A438" s="35">
        <v>44656</v>
      </c>
      <c r="B438" s="90" t="s">
        <v>11024</v>
      </c>
      <c r="C438" s="41" t="s">
        <v>114</v>
      </c>
      <c r="D438" s="87">
        <v>9435</v>
      </c>
      <c r="E438" s="35">
        <v>44658</v>
      </c>
      <c r="F438" s="87">
        <v>9435</v>
      </c>
      <c r="G438" s="91">
        <f>Tabla15[[#This Row],[Importe]]-Tabla15[[#This Row],[Pagado]]</f>
        <v>0</v>
      </c>
      <c r="H438" s="92" t="s">
        <v>10</v>
      </c>
    </row>
    <row r="439" spans="1:8" ht="21.75" customHeight="1" x14ac:dyDescent="0.25">
      <c r="A439" s="35">
        <v>44656</v>
      </c>
      <c r="B439" s="90" t="s">
        <v>11025</v>
      </c>
      <c r="C439" s="41" t="s">
        <v>89</v>
      </c>
      <c r="D439" s="87">
        <v>7468</v>
      </c>
      <c r="E439" s="35">
        <v>44657</v>
      </c>
      <c r="F439" s="87">
        <v>7468</v>
      </c>
      <c r="G439" s="91">
        <f>Tabla15[[#This Row],[Importe]]-Tabla15[[#This Row],[Pagado]]</f>
        <v>0</v>
      </c>
      <c r="H439" s="92" t="s">
        <v>10</v>
      </c>
    </row>
    <row r="440" spans="1:8" ht="21.75" customHeight="1" x14ac:dyDescent="0.25">
      <c r="A440" s="35">
        <v>44656</v>
      </c>
      <c r="B440" s="90" t="s">
        <v>11026</v>
      </c>
      <c r="C440" s="41" t="s">
        <v>111</v>
      </c>
      <c r="D440" s="87">
        <v>4508.3999999999996</v>
      </c>
      <c r="E440" s="35">
        <v>44657</v>
      </c>
      <c r="F440" s="87">
        <v>4508.3999999999996</v>
      </c>
      <c r="G440" s="91">
        <f>Tabla15[[#This Row],[Importe]]-Tabla15[[#This Row],[Pagado]]</f>
        <v>0</v>
      </c>
      <c r="H440" s="92" t="s">
        <v>10</v>
      </c>
    </row>
    <row r="441" spans="1:8" ht="21.75" customHeight="1" x14ac:dyDescent="0.25">
      <c r="A441" s="35">
        <v>44656</v>
      </c>
      <c r="B441" s="90" t="s">
        <v>11027</v>
      </c>
      <c r="C441" s="41" t="s">
        <v>326</v>
      </c>
      <c r="D441" s="87">
        <v>4182</v>
      </c>
      <c r="E441" s="35">
        <v>44657</v>
      </c>
      <c r="F441" s="87">
        <v>4182</v>
      </c>
      <c r="G441" s="91">
        <f>Tabla15[[#This Row],[Importe]]-Tabla15[[#This Row],[Pagado]]</f>
        <v>0</v>
      </c>
      <c r="H441" s="92" t="s">
        <v>10</v>
      </c>
    </row>
    <row r="442" spans="1:8" ht="31.5" x14ac:dyDescent="0.25">
      <c r="A442" s="35">
        <v>44656</v>
      </c>
      <c r="B442" s="90" t="s">
        <v>11028</v>
      </c>
      <c r="C442" s="41" t="s">
        <v>39</v>
      </c>
      <c r="D442" s="87">
        <v>21647.8</v>
      </c>
      <c r="E442" s="35" t="s">
        <v>11029</v>
      </c>
      <c r="F442" s="87">
        <f>5000+16647.8</f>
        <v>21647.8</v>
      </c>
      <c r="G442" s="91">
        <f>Tabla15[[#This Row],[Importe]]-Tabla15[[#This Row],[Pagado]]</f>
        <v>0</v>
      </c>
      <c r="H442" s="92" t="s">
        <v>10</v>
      </c>
    </row>
    <row r="443" spans="1:8" ht="21.75" customHeight="1" x14ac:dyDescent="0.25">
      <c r="A443" s="35">
        <v>44656</v>
      </c>
      <c r="B443" s="90" t="s">
        <v>11030</v>
      </c>
      <c r="C443" s="41" t="s">
        <v>918</v>
      </c>
      <c r="D443" s="87">
        <v>445.5</v>
      </c>
      <c r="E443" s="35">
        <v>44656</v>
      </c>
      <c r="F443" s="87">
        <v>445.5</v>
      </c>
      <c r="G443" s="91">
        <f>Tabla15[[#This Row],[Importe]]-Tabla15[[#This Row],[Pagado]]</f>
        <v>0</v>
      </c>
      <c r="H443" s="92" t="s">
        <v>10</v>
      </c>
    </row>
    <row r="444" spans="1:8" ht="21.75" customHeight="1" x14ac:dyDescent="0.25">
      <c r="A444" s="35">
        <v>44656</v>
      </c>
      <c r="B444" s="90" t="s">
        <v>11031</v>
      </c>
      <c r="C444" s="41" t="s">
        <v>97</v>
      </c>
      <c r="D444" s="87">
        <v>5340</v>
      </c>
      <c r="E444" s="35">
        <v>44657</v>
      </c>
      <c r="F444" s="87">
        <v>5340</v>
      </c>
      <c r="G444" s="91">
        <f>Tabla15[[#This Row],[Importe]]-Tabla15[[#This Row],[Pagado]]</f>
        <v>0</v>
      </c>
      <c r="H444" s="92" t="s">
        <v>10</v>
      </c>
    </row>
    <row r="445" spans="1:8" ht="21.75" customHeight="1" x14ac:dyDescent="0.25">
      <c r="A445" s="35">
        <v>44656</v>
      </c>
      <c r="B445" s="90" t="s">
        <v>11032</v>
      </c>
      <c r="C445" s="41" t="s">
        <v>11033</v>
      </c>
      <c r="D445" s="87">
        <v>2662.4</v>
      </c>
      <c r="E445" s="35">
        <v>44656</v>
      </c>
      <c r="F445" s="87">
        <v>2662.4</v>
      </c>
      <c r="G445" s="91">
        <f>Tabla15[[#This Row],[Importe]]-Tabla15[[#This Row],[Pagado]]</f>
        <v>0</v>
      </c>
      <c r="H445" s="92" t="s">
        <v>10</v>
      </c>
    </row>
    <row r="446" spans="1:8" ht="21.75" customHeight="1" x14ac:dyDescent="0.25">
      <c r="A446" s="35">
        <v>44656</v>
      </c>
      <c r="B446" s="90" t="s">
        <v>11034</v>
      </c>
      <c r="C446" s="41" t="s">
        <v>466</v>
      </c>
      <c r="D446" s="87">
        <v>5454</v>
      </c>
      <c r="E446" s="35">
        <v>44656</v>
      </c>
      <c r="F446" s="87">
        <v>5454</v>
      </c>
      <c r="G446" s="91">
        <f>Tabla15[[#This Row],[Importe]]-Tabla15[[#This Row],[Pagado]]</f>
        <v>0</v>
      </c>
      <c r="H446" s="92" t="s">
        <v>10</v>
      </c>
    </row>
    <row r="447" spans="1:8" ht="31.5" x14ac:dyDescent="0.25">
      <c r="A447" s="35">
        <v>44656</v>
      </c>
      <c r="B447" s="90" t="s">
        <v>11035</v>
      </c>
      <c r="C447" s="41" t="s">
        <v>11036</v>
      </c>
      <c r="D447" s="87">
        <v>0</v>
      </c>
      <c r="E447" s="39" t="s">
        <v>189</v>
      </c>
      <c r="F447" s="87">
        <v>0</v>
      </c>
      <c r="G447" s="91">
        <f>Tabla15[[#This Row],[Importe]]-Tabla15[[#This Row],[Pagado]]</f>
        <v>0</v>
      </c>
      <c r="H447" s="92" t="s">
        <v>189</v>
      </c>
    </row>
    <row r="448" spans="1:8" ht="21.75" customHeight="1" x14ac:dyDescent="0.25">
      <c r="A448" s="35">
        <v>44656</v>
      </c>
      <c r="B448" s="90" t="s">
        <v>11037</v>
      </c>
      <c r="C448" s="41" t="s">
        <v>99</v>
      </c>
      <c r="D448" s="87">
        <v>2781</v>
      </c>
      <c r="E448" s="35">
        <v>44660</v>
      </c>
      <c r="F448" s="87">
        <v>2781</v>
      </c>
      <c r="G448" s="91">
        <f>Tabla15[[#This Row],[Importe]]-Tabla15[[#This Row],[Pagado]]</f>
        <v>0</v>
      </c>
      <c r="H448" s="92" t="s">
        <v>10</v>
      </c>
    </row>
    <row r="449" spans="1:8" ht="21.75" customHeight="1" x14ac:dyDescent="0.25">
      <c r="A449" s="35">
        <v>44656</v>
      </c>
      <c r="B449" s="90" t="s">
        <v>11038</v>
      </c>
      <c r="C449" s="41" t="s">
        <v>105</v>
      </c>
      <c r="D449" s="87">
        <v>5342.1</v>
      </c>
      <c r="E449" s="35">
        <v>44657</v>
      </c>
      <c r="F449" s="87">
        <v>5342.1</v>
      </c>
      <c r="G449" s="91">
        <f>Tabla15[[#This Row],[Importe]]-Tabla15[[#This Row],[Pagado]]</f>
        <v>0</v>
      </c>
      <c r="H449" s="92" t="s">
        <v>10</v>
      </c>
    </row>
    <row r="450" spans="1:8" ht="21.75" customHeight="1" x14ac:dyDescent="0.25">
      <c r="A450" s="35">
        <v>44656</v>
      </c>
      <c r="B450" s="90" t="s">
        <v>11039</v>
      </c>
      <c r="C450" s="41" t="s">
        <v>93</v>
      </c>
      <c r="D450" s="87">
        <v>5266.8</v>
      </c>
      <c r="E450" s="35">
        <v>44657</v>
      </c>
      <c r="F450" s="87">
        <v>5266.8</v>
      </c>
      <c r="G450" s="91">
        <f>Tabla15[[#This Row],[Importe]]-Tabla15[[#This Row],[Pagado]]</f>
        <v>0</v>
      </c>
      <c r="H450" s="92" t="s">
        <v>10</v>
      </c>
    </row>
    <row r="451" spans="1:8" ht="21.75" customHeight="1" x14ac:dyDescent="0.25">
      <c r="A451" s="35">
        <v>44656</v>
      </c>
      <c r="B451" s="90" t="s">
        <v>11040</v>
      </c>
      <c r="C451" s="41" t="s">
        <v>2151</v>
      </c>
      <c r="D451" s="87">
        <v>10835.8</v>
      </c>
      <c r="E451" s="35">
        <v>44656</v>
      </c>
      <c r="F451" s="87">
        <v>10835.8</v>
      </c>
      <c r="G451" s="91">
        <f>Tabla15[[#This Row],[Importe]]-Tabla15[[#This Row],[Pagado]]</f>
        <v>0</v>
      </c>
      <c r="H451" s="92" t="s">
        <v>10</v>
      </c>
    </row>
    <row r="452" spans="1:8" ht="21.75" customHeight="1" x14ac:dyDescent="0.25">
      <c r="A452" s="35">
        <v>44656</v>
      </c>
      <c r="B452" s="90" t="s">
        <v>11041</v>
      </c>
      <c r="C452" s="41" t="s">
        <v>83</v>
      </c>
      <c r="D452" s="87">
        <v>7402</v>
      </c>
      <c r="E452" s="35">
        <v>44656</v>
      </c>
      <c r="F452" s="87">
        <v>7402</v>
      </c>
      <c r="G452" s="91">
        <f>Tabla15[[#This Row],[Importe]]-Tabla15[[#This Row],[Pagado]]</f>
        <v>0</v>
      </c>
      <c r="H452" s="92" t="s">
        <v>10</v>
      </c>
    </row>
    <row r="453" spans="1:8" ht="21.75" customHeight="1" x14ac:dyDescent="0.25">
      <c r="A453" s="35">
        <v>44656</v>
      </c>
      <c r="B453" s="90" t="s">
        <v>11042</v>
      </c>
      <c r="C453" s="41" t="s">
        <v>146</v>
      </c>
      <c r="D453" s="87">
        <v>2453.4</v>
      </c>
      <c r="E453" s="35">
        <v>44656</v>
      </c>
      <c r="F453" s="87">
        <v>2453.4</v>
      </c>
      <c r="G453" s="91">
        <f>Tabla15[[#This Row],[Importe]]-Tabla15[[#This Row],[Pagado]]</f>
        <v>0</v>
      </c>
      <c r="H453" s="92" t="s">
        <v>10</v>
      </c>
    </row>
    <row r="454" spans="1:8" ht="21.75" customHeight="1" x14ac:dyDescent="0.25">
      <c r="A454" s="35">
        <v>44656</v>
      </c>
      <c r="B454" s="90" t="s">
        <v>11043</v>
      </c>
      <c r="C454" s="41" t="s">
        <v>131</v>
      </c>
      <c r="D454" s="87">
        <v>8988.7999999999993</v>
      </c>
      <c r="E454" s="35">
        <v>44656</v>
      </c>
      <c r="F454" s="87">
        <v>8988.7999999999993</v>
      </c>
      <c r="G454" s="91">
        <f>Tabla15[[#This Row],[Importe]]-Tabla15[[#This Row],[Pagado]]</f>
        <v>0</v>
      </c>
      <c r="H454" s="92" t="s">
        <v>10</v>
      </c>
    </row>
    <row r="455" spans="1:8" ht="21.75" customHeight="1" x14ac:dyDescent="0.25">
      <c r="A455" s="35">
        <v>44656</v>
      </c>
      <c r="B455" s="90" t="s">
        <v>11044</v>
      </c>
      <c r="C455" s="41" t="s">
        <v>314</v>
      </c>
      <c r="D455" s="87">
        <v>2062.8000000000002</v>
      </c>
      <c r="E455" s="35">
        <v>44656</v>
      </c>
      <c r="F455" s="87">
        <v>2062.8000000000002</v>
      </c>
      <c r="G455" s="91">
        <f>Tabla15[[#This Row],[Importe]]-Tabla15[[#This Row],[Pagado]]</f>
        <v>0</v>
      </c>
      <c r="H455" s="92" t="s">
        <v>10</v>
      </c>
    </row>
    <row r="456" spans="1:8" ht="21.75" customHeight="1" x14ac:dyDescent="0.25">
      <c r="A456" s="35">
        <v>44656</v>
      </c>
      <c r="B456" s="90" t="s">
        <v>11045</v>
      </c>
      <c r="C456" s="41" t="s">
        <v>924</v>
      </c>
      <c r="D456" s="87">
        <v>9325.0400000000009</v>
      </c>
      <c r="E456" s="35">
        <v>44656</v>
      </c>
      <c r="F456" s="87">
        <v>9325.0400000000009</v>
      </c>
      <c r="G456" s="91">
        <f>Tabla15[[#This Row],[Importe]]-Tabla15[[#This Row],[Pagado]]</f>
        <v>0</v>
      </c>
      <c r="H456" s="92" t="s">
        <v>10</v>
      </c>
    </row>
    <row r="457" spans="1:8" ht="21.75" customHeight="1" x14ac:dyDescent="0.25">
      <c r="A457" s="35">
        <v>44656</v>
      </c>
      <c r="B457" s="90" t="s">
        <v>11046</v>
      </c>
      <c r="C457" s="41" t="s">
        <v>16</v>
      </c>
      <c r="D457" s="87">
        <v>4240.3999999999996</v>
      </c>
      <c r="E457" s="35">
        <v>44656</v>
      </c>
      <c r="F457" s="87">
        <v>4240.3999999999996</v>
      </c>
      <c r="G457" s="91">
        <f>Tabla15[[#This Row],[Importe]]-Tabla15[[#This Row],[Pagado]]</f>
        <v>0</v>
      </c>
      <c r="H457" s="92" t="s">
        <v>10</v>
      </c>
    </row>
    <row r="458" spans="1:8" ht="21.75" customHeight="1" x14ac:dyDescent="0.25">
      <c r="A458" s="35">
        <v>44656</v>
      </c>
      <c r="B458" s="90" t="s">
        <v>11047</v>
      </c>
      <c r="C458" s="41" t="s">
        <v>16</v>
      </c>
      <c r="D458" s="87">
        <v>80</v>
      </c>
      <c r="E458" s="35">
        <v>44656</v>
      </c>
      <c r="F458" s="87">
        <v>80</v>
      </c>
      <c r="G458" s="91">
        <f>Tabla15[[#This Row],[Importe]]-Tabla15[[#This Row],[Pagado]]</f>
        <v>0</v>
      </c>
      <c r="H458" s="92" t="s">
        <v>10</v>
      </c>
    </row>
    <row r="459" spans="1:8" ht="21.75" customHeight="1" x14ac:dyDescent="0.25">
      <c r="A459" s="35">
        <v>44656</v>
      </c>
      <c r="B459" s="90" t="s">
        <v>11048</v>
      </c>
      <c r="C459" s="41" t="s">
        <v>348</v>
      </c>
      <c r="D459" s="87">
        <v>2528</v>
      </c>
      <c r="E459" s="35">
        <v>44656</v>
      </c>
      <c r="F459" s="87">
        <v>2528</v>
      </c>
      <c r="G459" s="91">
        <f>Tabla15[[#This Row],[Importe]]-Tabla15[[#This Row],[Pagado]]</f>
        <v>0</v>
      </c>
      <c r="H459" s="92" t="s">
        <v>10</v>
      </c>
    </row>
    <row r="460" spans="1:8" ht="21.75" customHeight="1" x14ac:dyDescent="0.25">
      <c r="A460" s="35">
        <v>44656</v>
      </c>
      <c r="B460" s="90" t="s">
        <v>11049</v>
      </c>
      <c r="C460" s="41" t="s">
        <v>16</v>
      </c>
      <c r="D460" s="87">
        <v>224</v>
      </c>
      <c r="E460" s="35">
        <v>44656</v>
      </c>
      <c r="F460" s="87">
        <v>224</v>
      </c>
      <c r="G460" s="91">
        <f>Tabla15[[#This Row],[Importe]]-Tabla15[[#This Row],[Pagado]]</f>
        <v>0</v>
      </c>
      <c r="H460" s="92" t="s">
        <v>10</v>
      </c>
    </row>
    <row r="461" spans="1:8" ht="21.75" customHeight="1" x14ac:dyDescent="0.25">
      <c r="A461" s="35">
        <v>44656</v>
      </c>
      <c r="B461" s="90" t="s">
        <v>11050</v>
      </c>
      <c r="C461" s="41" t="s">
        <v>22</v>
      </c>
      <c r="D461" s="87">
        <v>49197.5</v>
      </c>
      <c r="E461" s="35">
        <v>44658</v>
      </c>
      <c r="F461" s="87">
        <v>49197.5</v>
      </c>
      <c r="G461" s="91">
        <f>Tabla15[[#This Row],[Importe]]-Tabla15[[#This Row],[Pagado]]</f>
        <v>0</v>
      </c>
      <c r="H461" s="92" t="s">
        <v>10</v>
      </c>
    </row>
    <row r="462" spans="1:8" ht="21.75" customHeight="1" x14ac:dyDescent="0.25">
      <c r="A462" s="35">
        <v>44656</v>
      </c>
      <c r="B462" s="90" t="s">
        <v>11051</v>
      </c>
      <c r="C462" s="41" t="s">
        <v>33</v>
      </c>
      <c r="D462" s="87">
        <v>15970.6</v>
      </c>
      <c r="E462" s="35">
        <v>44656</v>
      </c>
      <c r="F462" s="87">
        <v>15970.6</v>
      </c>
      <c r="G462" s="91">
        <f>Tabla15[[#This Row],[Importe]]-Tabla15[[#This Row],[Pagado]]</f>
        <v>0</v>
      </c>
      <c r="H462" s="92" t="s">
        <v>10</v>
      </c>
    </row>
    <row r="463" spans="1:8" ht="21.75" customHeight="1" x14ac:dyDescent="0.25">
      <c r="A463" s="35">
        <v>44656</v>
      </c>
      <c r="B463" s="90" t="s">
        <v>11052</v>
      </c>
      <c r="C463" s="41" t="s">
        <v>11053</v>
      </c>
      <c r="D463" s="87">
        <v>1174</v>
      </c>
      <c r="E463" s="35">
        <v>44656</v>
      </c>
      <c r="F463" s="87">
        <v>1174</v>
      </c>
      <c r="G463" s="91">
        <f>Tabla15[[#This Row],[Importe]]-Tabla15[[#This Row],[Pagado]]</f>
        <v>0</v>
      </c>
      <c r="H463" s="92" t="s">
        <v>10</v>
      </c>
    </row>
    <row r="464" spans="1:8" ht="21.75" customHeight="1" x14ac:dyDescent="0.25">
      <c r="A464" s="35">
        <v>44656</v>
      </c>
      <c r="B464" s="90" t="s">
        <v>11054</v>
      </c>
      <c r="C464" s="41" t="s">
        <v>2139</v>
      </c>
      <c r="D464" s="87">
        <v>4085.8</v>
      </c>
      <c r="E464" s="35">
        <v>44656</v>
      </c>
      <c r="F464" s="87">
        <v>4085.8</v>
      </c>
      <c r="G464" s="91">
        <f>Tabla15[[#This Row],[Importe]]-Tabla15[[#This Row],[Pagado]]</f>
        <v>0</v>
      </c>
      <c r="H464" s="92" t="s">
        <v>10</v>
      </c>
    </row>
    <row r="465" spans="1:8" ht="21.75" customHeight="1" x14ac:dyDescent="0.25">
      <c r="A465" s="35">
        <v>44656</v>
      </c>
      <c r="B465" s="90" t="s">
        <v>11055</v>
      </c>
      <c r="C465" s="41" t="s">
        <v>129</v>
      </c>
      <c r="D465" s="87">
        <v>2416.5</v>
      </c>
      <c r="E465" s="35">
        <v>44656</v>
      </c>
      <c r="F465" s="87">
        <v>2416.5</v>
      </c>
      <c r="G465" s="91">
        <f>Tabla15[[#This Row],[Importe]]-Tabla15[[#This Row],[Pagado]]</f>
        <v>0</v>
      </c>
      <c r="H465" s="92" t="s">
        <v>10</v>
      </c>
    </row>
    <row r="466" spans="1:8" ht="21.75" customHeight="1" x14ac:dyDescent="0.25">
      <c r="A466" s="35">
        <v>44656</v>
      </c>
      <c r="B466" s="90" t="s">
        <v>11056</v>
      </c>
      <c r="C466" s="41" t="s">
        <v>127</v>
      </c>
      <c r="D466" s="87">
        <v>5337</v>
      </c>
      <c r="E466" s="35">
        <v>44656</v>
      </c>
      <c r="F466" s="87">
        <v>5337</v>
      </c>
      <c r="G466" s="91">
        <f>Tabla15[[#This Row],[Importe]]-Tabla15[[#This Row],[Pagado]]</f>
        <v>0</v>
      </c>
      <c r="H466" s="92" t="s">
        <v>10</v>
      </c>
    </row>
    <row r="467" spans="1:8" ht="21.75" customHeight="1" x14ac:dyDescent="0.25">
      <c r="A467" s="35">
        <v>44656</v>
      </c>
      <c r="B467" s="90" t="s">
        <v>11057</v>
      </c>
      <c r="C467" s="41" t="s">
        <v>140</v>
      </c>
      <c r="D467" s="87">
        <v>3930.8</v>
      </c>
      <c r="E467" s="35">
        <v>44656</v>
      </c>
      <c r="F467" s="87">
        <v>3930.8</v>
      </c>
      <c r="G467" s="91">
        <f>Tabla15[[#This Row],[Importe]]-Tabla15[[#This Row],[Pagado]]</f>
        <v>0</v>
      </c>
      <c r="H467" s="92" t="s">
        <v>10</v>
      </c>
    </row>
    <row r="468" spans="1:8" ht="21.75" customHeight="1" x14ac:dyDescent="0.25">
      <c r="A468" s="35">
        <v>44656</v>
      </c>
      <c r="B468" s="90" t="s">
        <v>11058</v>
      </c>
      <c r="C468" s="41" t="s">
        <v>3971</v>
      </c>
      <c r="D468" s="87">
        <v>1136</v>
      </c>
      <c r="E468" s="35">
        <v>44656</v>
      </c>
      <c r="F468" s="87">
        <v>1136</v>
      </c>
      <c r="G468" s="91">
        <f>Tabla15[[#This Row],[Importe]]-Tabla15[[#This Row],[Pagado]]</f>
        <v>0</v>
      </c>
      <c r="H468" s="92" t="s">
        <v>10</v>
      </c>
    </row>
    <row r="469" spans="1:8" ht="21.75" customHeight="1" x14ac:dyDescent="0.25">
      <c r="A469" s="35">
        <v>44656</v>
      </c>
      <c r="B469" s="90" t="s">
        <v>11059</v>
      </c>
      <c r="C469" s="41" t="s">
        <v>27</v>
      </c>
      <c r="D469" s="87">
        <v>1502.4</v>
      </c>
      <c r="E469" s="35">
        <v>44656</v>
      </c>
      <c r="F469" s="87">
        <v>1502.4</v>
      </c>
      <c r="G469" s="91">
        <f>Tabla15[[#This Row],[Importe]]-Tabla15[[#This Row],[Pagado]]</f>
        <v>0</v>
      </c>
      <c r="H469" s="92" t="s">
        <v>10</v>
      </c>
    </row>
    <row r="470" spans="1:8" ht="21.75" customHeight="1" x14ac:dyDescent="0.25">
      <c r="A470" s="35">
        <v>44656</v>
      </c>
      <c r="B470" s="90" t="s">
        <v>11060</v>
      </c>
      <c r="C470" s="41" t="s">
        <v>14</v>
      </c>
      <c r="D470" s="87">
        <v>27069.1</v>
      </c>
      <c r="E470" s="35">
        <v>44656</v>
      </c>
      <c r="F470" s="87">
        <v>27069.1</v>
      </c>
      <c r="G470" s="91">
        <f>Tabla15[[#This Row],[Importe]]-Tabla15[[#This Row],[Pagado]]</f>
        <v>0</v>
      </c>
      <c r="H470" s="92" t="s">
        <v>10</v>
      </c>
    </row>
    <row r="471" spans="1:8" ht="21.75" customHeight="1" x14ac:dyDescent="0.25">
      <c r="A471" s="35">
        <v>44656</v>
      </c>
      <c r="B471" s="90" t="s">
        <v>11061</v>
      </c>
      <c r="C471" s="41" t="s">
        <v>181</v>
      </c>
      <c r="D471" s="87">
        <v>7320.8</v>
      </c>
      <c r="E471" s="35">
        <v>44657</v>
      </c>
      <c r="F471" s="87">
        <v>7320.8</v>
      </c>
      <c r="G471" s="91">
        <f>Tabla15[[#This Row],[Importe]]-Tabla15[[#This Row],[Pagado]]</f>
        <v>0</v>
      </c>
      <c r="H471" s="92" t="s">
        <v>10</v>
      </c>
    </row>
    <row r="472" spans="1:8" ht="21.75" customHeight="1" x14ac:dyDescent="0.25">
      <c r="A472" s="35">
        <v>44656</v>
      </c>
      <c r="B472" s="90" t="s">
        <v>11062</v>
      </c>
      <c r="C472" s="41" t="s">
        <v>426</v>
      </c>
      <c r="D472" s="87">
        <v>3075.5</v>
      </c>
      <c r="E472" s="35">
        <v>44657</v>
      </c>
      <c r="F472" s="87">
        <v>3075.5</v>
      </c>
      <c r="G472" s="91">
        <f>Tabla15[[#This Row],[Importe]]-Tabla15[[#This Row],[Pagado]]</f>
        <v>0</v>
      </c>
      <c r="H472" s="92" t="s">
        <v>10</v>
      </c>
    </row>
    <row r="473" spans="1:8" ht="21.75" customHeight="1" x14ac:dyDescent="0.25">
      <c r="A473" s="35">
        <v>44656</v>
      </c>
      <c r="B473" s="90" t="s">
        <v>11063</v>
      </c>
      <c r="C473" s="41" t="s">
        <v>47</v>
      </c>
      <c r="D473" s="87">
        <v>2457</v>
      </c>
      <c r="E473" s="35">
        <v>44656</v>
      </c>
      <c r="F473" s="87">
        <v>2457</v>
      </c>
      <c r="G473" s="91">
        <f>Tabla15[[#This Row],[Importe]]-Tabla15[[#This Row],[Pagado]]</f>
        <v>0</v>
      </c>
      <c r="H473" s="92" t="s">
        <v>10</v>
      </c>
    </row>
    <row r="474" spans="1:8" ht="21.75" customHeight="1" x14ac:dyDescent="0.25">
      <c r="A474" s="35">
        <v>44656</v>
      </c>
      <c r="B474" s="90" t="s">
        <v>11064</v>
      </c>
      <c r="C474" s="41" t="s">
        <v>312</v>
      </c>
      <c r="D474" s="87">
        <v>3912</v>
      </c>
      <c r="E474" s="35">
        <v>44657</v>
      </c>
      <c r="F474" s="87">
        <v>3912</v>
      </c>
      <c r="G474" s="91">
        <f>Tabla15[[#This Row],[Importe]]-Tabla15[[#This Row],[Pagado]]</f>
        <v>0</v>
      </c>
      <c r="H474" s="92" t="s">
        <v>10</v>
      </c>
    </row>
    <row r="475" spans="1:8" ht="21.75" customHeight="1" x14ac:dyDescent="0.25">
      <c r="A475" s="35">
        <v>44656</v>
      </c>
      <c r="B475" s="90" t="s">
        <v>11065</v>
      </c>
      <c r="C475" s="41" t="s">
        <v>11066</v>
      </c>
      <c r="D475" s="87">
        <v>0</v>
      </c>
      <c r="E475" s="39" t="s">
        <v>189</v>
      </c>
      <c r="F475" s="87">
        <v>0</v>
      </c>
      <c r="G475" s="91">
        <f>Tabla15[[#This Row],[Importe]]-Tabla15[[#This Row],[Pagado]]</f>
        <v>0</v>
      </c>
      <c r="H475" s="92" t="s">
        <v>189</v>
      </c>
    </row>
    <row r="476" spans="1:8" ht="21.75" customHeight="1" x14ac:dyDescent="0.25">
      <c r="A476" s="35">
        <v>44656</v>
      </c>
      <c r="B476" s="90" t="s">
        <v>11067</v>
      </c>
      <c r="C476" s="41" t="s">
        <v>45</v>
      </c>
      <c r="D476" s="87">
        <v>10626.9</v>
      </c>
      <c r="E476" s="35">
        <v>44656</v>
      </c>
      <c r="F476" s="87">
        <v>10626.9</v>
      </c>
      <c r="G476" s="91">
        <f>Tabla15[[#This Row],[Importe]]-Tabla15[[#This Row],[Pagado]]</f>
        <v>0</v>
      </c>
      <c r="H476" s="92" t="s">
        <v>10</v>
      </c>
    </row>
    <row r="477" spans="1:8" ht="21.75" customHeight="1" x14ac:dyDescent="0.25">
      <c r="A477" s="35">
        <v>44656</v>
      </c>
      <c r="B477" s="90" t="s">
        <v>11068</v>
      </c>
      <c r="C477" s="41" t="s">
        <v>75</v>
      </c>
      <c r="D477" s="87">
        <v>6193.8</v>
      </c>
      <c r="E477" s="35">
        <v>44657</v>
      </c>
      <c r="F477" s="87">
        <v>6193.8</v>
      </c>
      <c r="G477" s="91">
        <f>Tabla15[[#This Row],[Importe]]-Tabla15[[#This Row],[Pagado]]</f>
        <v>0</v>
      </c>
      <c r="H477" s="92" t="s">
        <v>10</v>
      </c>
    </row>
    <row r="478" spans="1:8" ht="21.75" customHeight="1" x14ac:dyDescent="0.25">
      <c r="A478" s="35">
        <v>44656</v>
      </c>
      <c r="B478" s="90" t="s">
        <v>11069</v>
      </c>
      <c r="C478" s="41" t="s">
        <v>56</v>
      </c>
      <c r="D478" s="87">
        <v>7145</v>
      </c>
      <c r="E478" s="35">
        <v>44656</v>
      </c>
      <c r="F478" s="87">
        <v>7145</v>
      </c>
      <c r="G478" s="91">
        <f>Tabla15[[#This Row],[Importe]]-Tabla15[[#This Row],[Pagado]]</f>
        <v>0</v>
      </c>
      <c r="H478" s="92" t="s">
        <v>10</v>
      </c>
    </row>
    <row r="479" spans="1:8" ht="21.75" customHeight="1" x14ac:dyDescent="0.25">
      <c r="A479" s="35">
        <v>44656</v>
      </c>
      <c r="B479" s="90" t="s">
        <v>11070</v>
      </c>
      <c r="C479" s="41" t="s">
        <v>196</v>
      </c>
      <c r="D479" s="87">
        <v>20042.650000000001</v>
      </c>
      <c r="E479" s="35">
        <v>44659</v>
      </c>
      <c r="F479" s="87">
        <v>20042.650000000001</v>
      </c>
      <c r="G479" s="91">
        <f>Tabla15[[#This Row],[Importe]]-Tabla15[[#This Row],[Pagado]]</f>
        <v>0</v>
      </c>
      <c r="H479" s="92" t="s">
        <v>10</v>
      </c>
    </row>
    <row r="480" spans="1:8" ht="21.75" customHeight="1" x14ac:dyDescent="0.25">
      <c r="A480" s="35">
        <v>44656</v>
      </c>
      <c r="B480" s="90" t="s">
        <v>11071</v>
      </c>
      <c r="C480" s="41" t="s">
        <v>85</v>
      </c>
      <c r="D480" s="87">
        <v>1073.2</v>
      </c>
      <c r="E480" s="35">
        <v>44657</v>
      </c>
      <c r="F480" s="87">
        <v>1073.2</v>
      </c>
      <c r="G480" s="91">
        <f>Tabla15[[#This Row],[Importe]]-Tabla15[[#This Row],[Pagado]]</f>
        <v>0</v>
      </c>
      <c r="H480" s="92" t="s">
        <v>10</v>
      </c>
    </row>
    <row r="481" spans="1:8" ht="21.75" customHeight="1" x14ac:dyDescent="0.25">
      <c r="A481" s="35">
        <v>44656</v>
      </c>
      <c r="B481" s="90" t="s">
        <v>11072</v>
      </c>
      <c r="C481" s="41" t="s">
        <v>275</v>
      </c>
      <c r="D481" s="87">
        <v>102233.76</v>
      </c>
      <c r="E481" s="35">
        <v>44670</v>
      </c>
      <c r="F481" s="87">
        <v>102233.76</v>
      </c>
      <c r="G481" s="91">
        <f>Tabla15[[#This Row],[Importe]]-Tabla15[[#This Row],[Pagado]]</f>
        <v>0</v>
      </c>
      <c r="H481" s="92" t="s">
        <v>10</v>
      </c>
    </row>
    <row r="482" spans="1:8" ht="21.75" customHeight="1" x14ac:dyDescent="0.25">
      <c r="A482" s="35">
        <v>44656</v>
      </c>
      <c r="B482" s="90" t="s">
        <v>11073</v>
      </c>
      <c r="C482" s="41" t="s">
        <v>698</v>
      </c>
      <c r="D482" s="87">
        <v>6923.7</v>
      </c>
      <c r="E482" s="35">
        <v>44656</v>
      </c>
      <c r="F482" s="87">
        <v>6923.7</v>
      </c>
      <c r="G482" s="91">
        <f>Tabla15[[#This Row],[Importe]]-Tabla15[[#This Row],[Pagado]]</f>
        <v>0</v>
      </c>
      <c r="H482" s="92" t="s">
        <v>10</v>
      </c>
    </row>
    <row r="483" spans="1:8" ht="21.75" customHeight="1" x14ac:dyDescent="0.25">
      <c r="A483" s="35">
        <v>44656</v>
      </c>
      <c r="B483" s="90" t="s">
        <v>11074</v>
      </c>
      <c r="C483" s="41" t="s">
        <v>284</v>
      </c>
      <c r="D483" s="87">
        <v>6814.8</v>
      </c>
      <c r="E483" s="35">
        <v>44657</v>
      </c>
      <c r="F483" s="87">
        <v>6814.8</v>
      </c>
      <c r="G483" s="91">
        <f>Tabla15[[#This Row],[Importe]]-Tabla15[[#This Row],[Pagado]]</f>
        <v>0</v>
      </c>
      <c r="H483" s="92" t="s">
        <v>10</v>
      </c>
    </row>
    <row r="484" spans="1:8" ht="21.75" customHeight="1" x14ac:dyDescent="0.25">
      <c r="A484" s="35">
        <v>44656</v>
      </c>
      <c r="B484" s="90" t="s">
        <v>11075</v>
      </c>
      <c r="C484" s="41" t="s">
        <v>5345</v>
      </c>
      <c r="D484" s="87">
        <v>2408.4</v>
      </c>
      <c r="E484" s="35">
        <v>44657</v>
      </c>
      <c r="F484" s="87">
        <v>2408.4</v>
      </c>
      <c r="G484" s="91">
        <f>Tabla15[[#This Row],[Importe]]-Tabla15[[#This Row],[Pagado]]</f>
        <v>0</v>
      </c>
      <c r="H484" s="92" t="s">
        <v>10</v>
      </c>
    </row>
    <row r="485" spans="1:8" ht="21.75" customHeight="1" x14ac:dyDescent="0.25">
      <c r="A485" s="35">
        <v>44656</v>
      </c>
      <c r="B485" s="90" t="s">
        <v>11076</v>
      </c>
      <c r="C485" s="41" t="s">
        <v>282</v>
      </c>
      <c r="D485" s="87">
        <v>1922.4</v>
      </c>
      <c r="E485" s="35">
        <v>44657</v>
      </c>
      <c r="F485" s="87">
        <v>1922.4</v>
      </c>
      <c r="G485" s="91">
        <f>Tabla15[[#This Row],[Importe]]-Tabla15[[#This Row],[Pagado]]</f>
        <v>0</v>
      </c>
      <c r="H485" s="92" t="s">
        <v>10</v>
      </c>
    </row>
    <row r="486" spans="1:8" ht="21.75" customHeight="1" x14ac:dyDescent="0.25">
      <c r="A486" s="35">
        <v>44656</v>
      </c>
      <c r="B486" s="90" t="s">
        <v>11077</v>
      </c>
      <c r="C486" s="41" t="s">
        <v>280</v>
      </c>
      <c r="D486" s="87">
        <v>507.6</v>
      </c>
      <c r="E486" s="35">
        <v>44657</v>
      </c>
      <c r="F486" s="87">
        <v>507.6</v>
      </c>
      <c r="G486" s="91">
        <f>Tabla15[[#This Row],[Importe]]-Tabla15[[#This Row],[Pagado]]</f>
        <v>0</v>
      </c>
      <c r="H486" s="92" t="s">
        <v>10</v>
      </c>
    </row>
    <row r="487" spans="1:8" ht="21.75" customHeight="1" x14ac:dyDescent="0.25">
      <c r="A487" s="35">
        <v>44656</v>
      </c>
      <c r="B487" s="90" t="s">
        <v>11078</v>
      </c>
      <c r="C487" s="41" t="s">
        <v>214</v>
      </c>
      <c r="D487" s="87">
        <v>1074.5999999999999</v>
      </c>
      <c r="E487" s="35">
        <v>44656</v>
      </c>
      <c r="F487" s="87">
        <v>1074.5999999999999</v>
      </c>
      <c r="G487" s="91">
        <f>Tabla15[[#This Row],[Importe]]-Tabla15[[#This Row],[Pagado]]</f>
        <v>0</v>
      </c>
      <c r="H487" s="92" t="s">
        <v>10</v>
      </c>
    </row>
    <row r="488" spans="1:8" ht="21.75" customHeight="1" x14ac:dyDescent="0.25">
      <c r="A488" s="35">
        <v>44656</v>
      </c>
      <c r="B488" s="90" t="s">
        <v>11079</v>
      </c>
      <c r="C488" s="41" t="s">
        <v>191</v>
      </c>
      <c r="D488" s="87">
        <v>1516.8</v>
      </c>
      <c r="E488" s="35">
        <v>44656</v>
      </c>
      <c r="F488" s="87">
        <v>1516.8</v>
      </c>
      <c r="G488" s="91">
        <f>Tabla15[[#This Row],[Importe]]-Tabla15[[#This Row],[Pagado]]</f>
        <v>0</v>
      </c>
      <c r="H488" s="92" t="s">
        <v>10</v>
      </c>
    </row>
    <row r="489" spans="1:8" ht="21.75" customHeight="1" x14ac:dyDescent="0.25">
      <c r="A489" s="35">
        <v>44656</v>
      </c>
      <c r="B489" s="90" t="s">
        <v>11080</v>
      </c>
      <c r="C489" s="41" t="s">
        <v>392</v>
      </c>
      <c r="D489" s="87">
        <v>1571.4</v>
      </c>
      <c r="E489" s="35">
        <v>44656</v>
      </c>
      <c r="F489" s="87">
        <v>1571.4</v>
      </c>
      <c r="G489" s="91">
        <f>Tabla15[[#This Row],[Importe]]-Tabla15[[#This Row],[Pagado]]</f>
        <v>0</v>
      </c>
      <c r="H489" s="92" t="s">
        <v>10</v>
      </c>
    </row>
    <row r="490" spans="1:8" ht="21.75" customHeight="1" x14ac:dyDescent="0.25">
      <c r="A490" s="35">
        <v>44656</v>
      </c>
      <c r="B490" s="90" t="s">
        <v>11081</v>
      </c>
      <c r="C490" s="41" t="s">
        <v>24</v>
      </c>
      <c r="D490" s="87">
        <v>3264</v>
      </c>
      <c r="E490" s="35">
        <v>44656</v>
      </c>
      <c r="F490" s="87">
        <v>3264</v>
      </c>
      <c r="G490" s="91">
        <f>Tabla15[[#This Row],[Importe]]-Tabla15[[#This Row],[Pagado]]</f>
        <v>0</v>
      </c>
      <c r="H490" s="92" t="s">
        <v>10</v>
      </c>
    </row>
    <row r="491" spans="1:8" ht="21.75" customHeight="1" x14ac:dyDescent="0.25">
      <c r="A491" s="35">
        <v>44656</v>
      </c>
      <c r="B491" s="90" t="s">
        <v>11082</v>
      </c>
      <c r="C491" s="41" t="s">
        <v>319</v>
      </c>
      <c r="D491" s="87">
        <v>5409.5</v>
      </c>
      <c r="E491" s="35">
        <v>44656</v>
      </c>
      <c r="F491" s="87">
        <v>5409.5</v>
      </c>
      <c r="G491" s="91">
        <f>Tabla15[[#This Row],[Importe]]-Tabla15[[#This Row],[Pagado]]</f>
        <v>0</v>
      </c>
      <c r="H491" s="92" t="s">
        <v>10</v>
      </c>
    </row>
    <row r="492" spans="1:8" ht="21.75" customHeight="1" x14ac:dyDescent="0.25">
      <c r="A492" s="35">
        <v>44656</v>
      </c>
      <c r="B492" s="90" t="s">
        <v>11083</v>
      </c>
      <c r="C492" s="41" t="s">
        <v>157</v>
      </c>
      <c r="D492" s="87">
        <v>5799.2</v>
      </c>
      <c r="E492" s="35">
        <v>44656</v>
      </c>
      <c r="F492" s="87">
        <v>5799.2</v>
      </c>
      <c r="G492" s="91">
        <f>Tabla15[[#This Row],[Importe]]-Tabla15[[#This Row],[Pagado]]</f>
        <v>0</v>
      </c>
      <c r="H492" s="92" t="s">
        <v>10</v>
      </c>
    </row>
    <row r="493" spans="1:8" ht="21.75" customHeight="1" x14ac:dyDescent="0.25">
      <c r="A493" s="35">
        <v>44656</v>
      </c>
      <c r="B493" s="90" t="s">
        <v>11084</v>
      </c>
      <c r="C493" s="41" t="s">
        <v>296</v>
      </c>
      <c r="D493" s="87">
        <v>3494.4</v>
      </c>
      <c r="E493" s="35">
        <v>44656</v>
      </c>
      <c r="F493" s="87">
        <v>3494.4</v>
      </c>
      <c r="G493" s="91">
        <f>Tabla15[[#This Row],[Importe]]-Tabla15[[#This Row],[Pagado]]</f>
        <v>0</v>
      </c>
      <c r="H493" s="92" t="s">
        <v>10</v>
      </c>
    </row>
    <row r="494" spans="1:8" ht="21.75" customHeight="1" x14ac:dyDescent="0.25">
      <c r="A494" s="35">
        <v>44656</v>
      </c>
      <c r="B494" s="90" t="s">
        <v>11085</v>
      </c>
      <c r="C494" s="41" t="s">
        <v>520</v>
      </c>
      <c r="D494" s="87">
        <v>5704</v>
      </c>
      <c r="E494" s="35">
        <v>44656</v>
      </c>
      <c r="F494" s="87">
        <v>5704</v>
      </c>
      <c r="G494" s="91">
        <f>Tabla15[[#This Row],[Importe]]-Tabla15[[#This Row],[Pagado]]</f>
        <v>0</v>
      </c>
      <c r="H494" s="92" t="s">
        <v>10</v>
      </c>
    </row>
    <row r="495" spans="1:8" ht="21.75" customHeight="1" x14ac:dyDescent="0.25">
      <c r="A495" s="35">
        <v>44656</v>
      </c>
      <c r="B495" s="90" t="s">
        <v>11086</v>
      </c>
      <c r="C495" s="41" t="s">
        <v>224</v>
      </c>
      <c r="D495" s="87">
        <v>12784.6</v>
      </c>
      <c r="E495" s="35">
        <v>44662</v>
      </c>
      <c r="F495" s="87">
        <v>12784.6</v>
      </c>
      <c r="G495" s="91">
        <f>Tabla15[[#This Row],[Importe]]-Tabla15[[#This Row],[Pagado]]</f>
        <v>0</v>
      </c>
      <c r="H495" s="92" t="s">
        <v>10</v>
      </c>
    </row>
    <row r="496" spans="1:8" ht="21.75" customHeight="1" x14ac:dyDescent="0.25">
      <c r="A496" s="35">
        <v>44656</v>
      </c>
      <c r="B496" s="90" t="s">
        <v>11087</v>
      </c>
      <c r="C496" s="41" t="s">
        <v>151</v>
      </c>
      <c r="D496" s="87">
        <v>5304</v>
      </c>
      <c r="E496" s="35">
        <v>44656</v>
      </c>
      <c r="F496" s="87">
        <v>5304</v>
      </c>
      <c r="G496" s="91">
        <f>Tabla15[[#This Row],[Importe]]-Tabla15[[#This Row],[Pagado]]</f>
        <v>0</v>
      </c>
      <c r="H496" s="92" t="s">
        <v>10</v>
      </c>
    </row>
    <row r="497" spans="1:8" ht="21.75" customHeight="1" x14ac:dyDescent="0.25">
      <c r="A497" s="35">
        <v>44656</v>
      </c>
      <c r="B497" s="90" t="s">
        <v>11088</v>
      </c>
      <c r="C497" s="41" t="s">
        <v>31</v>
      </c>
      <c r="D497" s="87">
        <v>748</v>
      </c>
      <c r="E497" s="35">
        <v>44656</v>
      </c>
      <c r="F497" s="87">
        <v>748</v>
      </c>
      <c r="G497" s="91">
        <f>Tabla15[[#This Row],[Importe]]-Tabla15[[#This Row],[Pagado]]</f>
        <v>0</v>
      </c>
      <c r="H497" s="92" t="s">
        <v>10</v>
      </c>
    </row>
    <row r="498" spans="1:8" ht="21.75" customHeight="1" x14ac:dyDescent="0.25">
      <c r="A498" s="35">
        <v>44656</v>
      </c>
      <c r="B498" s="90" t="s">
        <v>11089</v>
      </c>
      <c r="C498" s="41" t="s">
        <v>804</v>
      </c>
      <c r="D498" s="87">
        <v>13733</v>
      </c>
      <c r="E498" s="35">
        <v>44656</v>
      </c>
      <c r="F498" s="87">
        <v>13733</v>
      </c>
      <c r="G498" s="91">
        <f>Tabla15[[#This Row],[Importe]]-Tabla15[[#This Row],[Pagado]]</f>
        <v>0</v>
      </c>
      <c r="H498" s="92" t="s">
        <v>10</v>
      </c>
    </row>
    <row r="499" spans="1:8" ht="21.75" customHeight="1" x14ac:dyDescent="0.25">
      <c r="A499" s="35">
        <v>44656</v>
      </c>
      <c r="B499" s="90" t="s">
        <v>11090</v>
      </c>
      <c r="C499" s="41" t="s">
        <v>159</v>
      </c>
      <c r="D499" s="87">
        <v>3051.5</v>
      </c>
      <c r="E499" s="35">
        <v>44656</v>
      </c>
      <c r="F499" s="87">
        <v>3051.5</v>
      </c>
      <c r="G499" s="91">
        <f>Tabla15[[#This Row],[Importe]]-Tabla15[[#This Row],[Pagado]]</f>
        <v>0</v>
      </c>
      <c r="H499" s="92" t="s">
        <v>10</v>
      </c>
    </row>
    <row r="500" spans="1:8" ht="21.75" customHeight="1" x14ac:dyDescent="0.25">
      <c r="A500" s="35">
        <v>44656</v>
      </c>
      <c r="B500" s="90" t="s">
        <v>11091</v>
      </c>
      <c r="C500" s="41" t="s">
        <v>371</v>
      </c>
      <c r="D500" s="87">
        <v>4263.8999999999996</v>
      </c>
      <c r="E500" s="35">
        <v>44656</v>
      </c>
      <c r="F500" s="87">
        <v>4263.8999999999996</v>
      </c>
      <c r="G500" s="91">
        <f>Tabla15[[#This Row],[Importe]]-Tabla15[[#This Row],[Pagado]]</f>
        <v>0</v>
      </c>
      <c r="H500" s="92" t="s">
        <v>10</v>
      </c>
    </row>
    <row r="501" spans="1:8" ht="21.75" customHeight="1" x14ac:dyDescent="0.25">
      <c r="A501" s="35">
        <v>44656</v>
      </c>
      <c r="B501" s="90" t="s">
        <v>11092</v>
      </c>
      <c r="C501" s="41" t="s">
        <v>840</v>
      </c>
      <c r="D501" s="87">
        <v>31518.799999999999</v>
      </c>
      <c r="E501" s="35">
        <v>44656</v>
      </c>
      <c r="F501" s="87">
        <v>31518.799999999999</v>
      </c>
      <c r="G501" s="91">
        <f>Tabla15[[#This Row],[Importe]]-Tabla15[[#This Row],[Pagado]]</f>
        <v>0</v>
      </c>
      <c r="H501" s="92" t="s">
        <v>10</v>
      </c>
    </row>
    <row r="502" spans="1:8" ht="21.75" customHeight="1" x14ac:dyDescent="0.25">
      <c r="A502" s="35">
        <v>44656</v>
      </c>
      <c r="B502" s="90" t="s">
        <v>11093</v>
      </c>
      <c r="C502" s="41" t="s">
        <v>804</v>
      </c>
      <c r="D502" s="87">
        <v>329.4</v>
      </c>
      <c r="E502" s="35">
        <v>44656</v>
      </c>
      <c r="F502" s="87">
        <v>329.4</v>
      </c>
      <c r="G502" s="91">
        <f>Tabla15[[#This Row],[Importe]]-Tabla15[[#This Row],[Pagado]]</f>
        <v>0</v>
      </c>
      <c r="H502" s="92" t="s">
        <v>10</v>
      </c>
    </row>
    <row r="503" spans="1:8" ht="21.75" customHeight="1" x14ac:dyDescent="0.25">
      <c r="A503" s="35">
        <v>44656</v>
      </c>
      <c r="B503" s="90" t="s">
        <v>11094</v>
      </c>
      <c r="C503" s="41" t="s">
        <v>58</v>
      </c>
      <c r="D503" s="87">
        <v>5026.8</v>
      </c>
      <c r="E503" s="35">
        <v>44656</v>
      </c>
      <c r="F503" s="87">
        <v>5026.8</v>
      </c>
      <c r="G503" s="91">
        <f>Tabla15[[#This Row],[Importe]]-Tabla15[[#This Row],[Pagado]]</f>
        <v>0</v>
      </c>
      <c r="H503" s="92" t="s">
        <v>10</v>
      </c>
    </row>
    <row r="504" spans="1:8" ht="21.75" customHeight="1" x14ac:dyDescent="0.25">
      <c r="A504" s="35">
        <v>44656</v>
      </c>
      <c r="B504" s="90" t="s">
        <v>11095</v>
      </c>
      <c r="C504" s="41" t="s">
        <v>9827</v>
      </c>
      <c r="D504" s="87">
        <v>502.2</v>
      </c>
      <c r="E504" s="35">
        <v>44656</v>
      </c>
      <c r="F504" s="87">
        <v>502.2</v>
      </c>
      <c r="G504" s="91">
        <f>Tabla15[[#This Row],[Importe]]-Tabla15[[#This Row],[Pagado]]</f>
        <v>0</v>
      </c>
      <c r="H504" s="92" t="s">
        <v>10</v>
      </c>
    </row>
    <row r="505" spans="1:8" ht="21.75" customHeight="1" x14ac:dyDescent="0.25">
      <c r="A505" s="35">
        <v>44656</v>
      </c>
      <c r="B505" s="90" t="s">
        <v>11096</v>
      </c>
      <c r="C505" s="41" t="s">
        <v>407</v>
      </c>
      <c r="D505" s="87">
        <v>31480.5</v>
      </c>
      <c r="E505" s="35">
        <v>44663</v>
      </c>
      <c r="F505" s="87">
        <v>31480.5</v>
      </c>
      <c r="G505" s="91">
        <f>Tabla15[[#This Row],[Importe]]-Tabla15[[#This Row],[Pagado]]</f>
        <v>0</v>
      </c>
      <c r="H505" s="92" t="s">
        <v>10</v>
      </c>
    </row>
    <row r="506" spans="1:8" ht="21.75" customHeight="1" x14ac:dyDescent="0.25">
      <c r="A506" s="35">
        <v>44656</v>
      </c>
      <c r="B506" s="90" t="s">
        <v>11097</v>
      </c>
      <c r="C506" s="41" t="s">
        <v>244</v>
      </c>
      <c r="D506" s="87">
        <v>995.5</v>
      </c>
      <c r="E506" s="35">
        <v>44656</v>
      </c>
      <c r="F506" s="87">
        <v>995.5</v>
      </c>
      <c r="G506" s="91">
        <f>Tabla15[[#This Row],[Importe]]-Tabla15[[#This Row],[Pagado]]</f>
        <v>0</v>
      </c>
      <c r="H506" s="92" t="s">
        <v>10</v>
      </c>
    </row>
    <row r="507" spans="1:8" ht="21.75" customHeight="1" x14ac:dyDescent="0.25">
      <c r="A507" s="35">
        <v>44656</v>
      </c>
      <c r="B507" s="90" t="s">
        <v>11098</v>
      </c>
      <c r="C507" s="41" t="s">
        <v>409</v>
      </c>
      <c r="D507" s="87">
        <v>5606.4</v>
      </c>
      <c r="E507" s="35">
        <v>44657</v>
      </c>
      <c r="F507" s="87">
        <v>5606.4</v>
      </c>
      <c r="G507" s="91">
        <f>Tabla15[[#This Row],[Importe]]-Tabla15[[#This Row],[Pagado]]</f>
        <v>0</v>
      </c>
      <c r="H507" s="92" t="s">
        <v>10</v>
      </c>
    </row>
    <row r="508" spans="1:8" ht="21.75" customHeight="1" x14ac:dyDescent="0.25">
      <c r="A508" s="35">
        <v>44656</v>
      </c>
      <c r="B508" s="90" t="s">
        <v>11099</v>
      </c>
      <c r="C508" s="41" t="s">
        <v>273</v>
      </c>
      <c r="D508" s="87">
        <v>4309.4399999999996</v>
      </c>
      <c r="E508" s="35">
        <v>44656</v>
      </c>
      <c r="F508" s="87">
        <v>4309.4399999999996</v>
      </c>
      <c r="G508" s="91">
        <f>Tabla15[[#This Row],[Importe]]-Tabla15[[#This Row],[Pagado]]</f>
        <v>0</v>
      </c>
      <c r="H508" s="92" t="s">
        <v>10</v>
      </c>
    </row>
    <row r="509" spans="1:8" ht="21.75" customHeight="1" x14ac:dyDescent="0.25">
      <c r="A509" s="35">
        <v>44656</v>
      </c>
      <c r="B509" s="90" t="s">
        <v>11100</v>
      </c>
      <c r="C509" s="41" t="s">
        <v>670</v>
      </c>
      <c r="D509" s="87">
        <v>2343.6</v>
      </c>
      <c r="E509" s="35">
        <v>44656</v>
      </c>
      <c r="F509" s="87">
        <v>2343.6</v>
      </c>
      <c r="G509" s="91">
        <f>Tabla15[[#This Row],[Importe]]-Tabla15[[#This Row],[Pagado]]</f>
        <v>0</v>
      </c>
      <c r="H509" s="92" t="s">
        <v>10</v>
      </c>
    </row>
    <row r="510" spans="1:8" ht="31.5" x14ac:dyDescent="0.25">
      <c r="A510" s="35">
        <v>44656</v>
      </c>
      <c r="B510" s="90" t="s">
        <v>11101</v>
      </c>
      <c r="C510" s="41" t="s">
        <v>11102</v>
      </c>
      <c r="D510" s="87">
        <v>0</v>
      </c>
      <c r="E510" s="39" t="s">
        <v>189</v>
      </c>
      <c r="F510" s="87">
        <v>0</v>
      </c>
      <c r="G510" s="91">
        <f>Tabla15[[#This Row],[Importe]]-Tabla15[[#This Row],[Pagado]]</f>
        <v>0</v>
      </c>
      <c r="H510" s="92" t="s">
        <v>189</v>
      </c>
    </row>
    <row r="511" spans="1:8" ht="21.75" customHeight="1" x14ac:dyDescent="0.25">
      <c r="A511" s="35">
        <v>44656</v>
      </c>
      <c r="B511" s="90" t="s">
        <v>11103</v>
      </c>
      <c r="C511" s="41" t="s">
        <v>142</v>
      </c>
      <c r="D511" s="87">
        <v>98237.45</v>
      </c>
      <c r="E511" s="35">
        <v>44670</v>
      </c>
      <c r="F511" s="87">
        <v>98237.45</v>
      </c>
      <c r="G511" s="91">
        <f>Tabla15[[#This Row],[Importe]]-Tabla15[[#This Row],[Pagado]]</f>
        <v>0</v>
      </c>
      <c r="H511" s="92" t="s">
        <v>10</v>
      </c>
    </row>
    <row r="512" spans="1:8" ht="21.75" customHeight="1" x14ac:dyDescent="0.25">
      <c r="A512" s="35">
        <v>44656</v>
      </c>
      <c r="B512" s="90" t="s">
        <v>11104</v>
      </c>
      <c r="C512" s="41" t="s">
        <v>107</v>
      </c>
      <c r="D512" s="87">
        <v>13035.2</v>
      </c>
      <c r="E512" s="35">
        <v>44657</v>
      </c>
      <c r="F512" s="87">
        <v>13035.2</v>
      </c>
      <c r="G512" s="91">
        <f>Tabla15[[#This Row],[Importe]]-Tabla15[[#This Row],[Pagado]]</f>
        <v>0</v>
      </c>
      <c r="H512" s="92" t="s">
        <v>10</v>
      </c>
    </row>
    <row r="513" spans="1:8" ht="21.75" customHeight="1" x14ac:dyDescent="0.25">
      <c r="A513" s="35">
        <v>44656</v>
      </c>
      <c r="B513" s="90" t="s">
        <v>11105</v>
      </c>
      <c r="C513" s="41" t="s">
        <v>261</v>
      </c>
      <c r="D513" s="87">
        <v>34175.699999999997</v>
      </c>
      <c r="E513" s="35">
        <v>44656</v>
      </c>
      <c r="F513" s="87">
        <v>34175.699999999997</v>
      </c>
      <c r="G513" s="91">
        <f>Tabla15[[#This Row],[Importe]]-Tabla15[[#This Row],[Pagado]]</f>
        <v>0</v>
      </c>
      <c r="H513" s="92" t="s">
        <v>10</v>
      </c>
    </row>
    <row r="514" spans="1:8" ht="21.75" customHeight="1" x14ac:dyDescent="0.25">
      <c r="A514" s="35">
        <v>44656</v>
      </c>
      <c r="B514" s="90" t="s">
        <v>11106</v>
      </c>
      <c r="C514" s="41" t="s">
        <v>5620</v>
      </c>
      <c r="D514" s="87">
        <v>18018</v>
      </c>
      <c r="E514" s="35">
        <v>44656</v>
      </c>
      <c r="F514" s="87">
        <v>18018</v>
      </c>
      <c r="G514" s="91">
        <f>Tabla15[[#This Row],[Importe]]-Tabla15[[#This Row],[Pagado]]</f>
        <v>0</v>
      </c>
      <c r="H514" s="92" t="s">
        <v>10</v>
      </c>
    </row>
    <row r="515" spans="1:8" ht="21.75" customHeight="1" x14ac:dyDescent="0.25">
      <c r="A515" s="35">
        <v>44656</v>
      </c>
      <c r="B515" s="90" t="s">
        <v>11107</v>
      </c>
      <c r="C515" s="41" t="s">
        <v>994</v>
      </c>
      <c r="D515" s="87">
        <v>2846</v>
      </c>
      <c r="E515" s="35">
        <v>44656</v>
      </c>
      <c r="F515" s="87">
        <v>2846</v>
      </c>
      <c r="G515" s="91">
        <f>Tabla15[[#This Row],[Importe]]-Tabla15[[#This Row],[Pagado]]</f>
        <v>0</v>
      </c>
      <c r="H515" s="92" t="s">
        <v>10</v>
      </c>
    </row>
    <row r="516" spans="1:8" ht="21.75" customHeight="1" x14ac:dyDescent="0.25">
      <c r="A516" s="35">
        <v>44656</v>
      </c>
      <c r="B516" s="90" t="s">
        <v>11108</v>
      </c>
      <c r="C516" s="41" t="s">
        <v>419</v>
      </c>
      <c r="D516" s="87">
        <v>6772.3</v>
      </c>
      <c r="E516" s="35">
        <v>44656</v>
      </c>
      <c r="F516" s="87">
        <v>6772.3</v>
      </c>
      <c r="G516" s="91">
        <f>Tabla15[[#This Row],[Importe]]-Tabla15[[#This Row],[Pagado]]</f>
        <v>0</v>
      </c>
      <c r="H516" s="92" t="s">
        <v>10</v>
      </c>
    </row>
    <row r="517" spans="1:8" ht="21.75" customHeight="1" x14ac:dyDescent="0.25">
      <c r="A517" s="35">
        <v>44656</v>
      </c>
      <c r="B517" s="90" t="s">
        <v>11109</v>
      </c>
      <c r="C517" s="41" t="s">
        <v>67</v>
      </c>
      <c r="D517" s="87">
        <v>1776</v>
      </c>
      <c r="E517" s="35">
        <v>44656</v>
      </c>
      <c r="F517" s="87">
        <v>1776</v>
      </c>
      <c r="G517" s="91">
        <f>Tabla15[[#This Row],[Importe]]-Tabla15[[#This Row],[Pagado]]</f>
        <v>0</v>
      </c>
      <c r="H517" s="92" t="s">
        <v>10</v>
      </c>
    </row>
    <row r="518" spans="1:8" ht="21.75" customHeight="1" x14ac:dyDescent="0.25">
      <c r="A518" s="35">
        <v>44656</v>
      </c>
      <c r="B518" s="90" t="s">
        <v>11110</v>
      </c>
      <c r="C518" s="41" t="s">
        <v>4493</v>
      </c>
      <c r="D518" s="87">
        <v>1386</v>
      </c>
      <c r="E518" s="35">
        <v>44656</v>
      </c>
      <c r="F518" s="87">
        <v>1386</v>
      </c>
      <c r="G518" s="91">
        <f>Tabla15[[#This Row],[Importe]]-Tabla15[[#This Row],[Pagado]]</f>
        <v>0</v>
      </c>
      <c r="H518" s="92" t="s">
        <v>10</v>
      </c>
    </row>
    <row r="519" spans="1:8" ht="21.75" customHeight="1" x14ac:dyDescent="0.25">
      <c r="A519" s="35">
        <v>44656</v>
      </c>
      <c r="B519" s="90" t="s">
        <v>11111</v>
      </c>
      <c r="C519" s="41" t="s">
        <v>440</v>
      </c>
      <c r="D519" s="87">
        <v>3359.58</v>
      </c>
      <c r="E519" s="35">
        <v>44662</v>
      </c>
      <c r="F519" s="87">
        <v>3359.58</v>
      </c>
      <c r="G519" s="91">
        <f>Tabla15[[#This Row],[Importe]]-Tabla15[[#This Row],[Pagado]]</f>
        <v>0</v>
      </c>
      <c r="H519" s="92" t="s">
        <v>10</v>
      </c>
    </row>
    <row r="520" spans="1:8" ht="21.75" customHeight="1" x14ac:dyDescent="0.25">
      <c r="A520" s="35">
        <v>44656</v>
      </c>
      <c r="B520" s="90" t="s">
        <v>11112</v>
      </c>
      <c r="C520" s="41" t="s">
        <v>291</v>
      </c>
      <c r="D520" s="87">
        <v>2976</v>
      </c>
      <c r="E520" s="35">
        <v>44657</v>
      </c>
      <c r="F520" s="87">
        <v>2976</v>
      </c>
      <c r="G520" s="91">
        <f>Tabla15[[#This Row],[Importe]]-Tabla15[[#This Row],[Pagado]]</f>
        <v>0</v>
      </c>
      <c r="H520" s="92" t="s">
        <v>10</v>
      </c>
    </row>
    <row r="521" spans="1:8" ht="21.75" customHeight="1" x14ac:dyDescent="0.25">
      <c r="A521" s="35">
        <v>44656</v>
      </c>
      <c r="B521" s="90" t="s">
        <v>11113</v>
      </c>
      <c r="C521" s="41" t="s">
        <v>291</v>
      </c>
      <c r="D521" s="87">
        <v>734</v>
      </c>
      <c r="E521" s="35">
        <v>44657</v>
      </c>
      <c r="F521" s="87">
        <v>734</v>
      </c>
      <c r="G521" s="91">
        <f>Tabla15[[#This Row],[Importe]]-Tabla15[[#This Row],[Pagado]]</f>
        <v>0</v>
      </c>
      <c r="H521" s="92" t="s">
        <v>10</v>
      </c>
    </row>
    <row r="522" spans="1:8" ht="21.75" customHeight="1" x14ac:dyDescent="0.25">
      <c r="A522" s="35">
        <v>44656</v>
      </c>
      <c r="B522" s="90" t="s">
        <v>11114</v>
      </c>
      <c r="C522" s="41" t="s">
        <v>9577</v>
      </c>
      <c r="D522" s="87">
        <v>15184</v>
      </c>
      <c r="E522" s="35">
        <v>44657</v>
      </c>
      <c r="F522" s="87">
        <v>15184</v>
      </c>
      <c r="G522" s="91">
        <f>Tabla15[[#This Row],[Importe]]-Tabla15[[#This Row],[Pagado]]</f>
        <v>0</v>
      </c>
      <c r="H522" s="92" t="s">
        <v>10</v>
      </c>
    </row>
    <row r="523" spans="1:8" ht="21.75" customHeight="1" x14ac:dyDescent="0.25">
      <c r="A523" s="35">
        <v>44656</v>
      </c>
      <c r="B523" s="90" t="s">
        <v>11115</v>
      </c>
      <c r="C523" s="41" t="s">
        <v>400</v>
      </c>
      <c r="D523" s="87">
        <v>5691.6</v>
      </c>
      <c r="E523" s="35">
        <v>44663</v>
      </c>
      <c r="F523" s="87">
        <v>5691.6</v>
      </c>
      <c r="G523" s="91">
        <f>Tabla15[[#This Row],[Importe]]-Tabla15[[#This Row],[Pagado]]</f>
        <v>0</v>
      </c>
      <c r="H523" s="92" t="s">
        <v>10</v>
      </c>
    </row>
    <row r="524" spans="1:8" ht="21.75" customHeight="1" x14ac:dyDescent="0.25">
      <c r="A524" s="35">
        <v>44656</v>
      </c>
      <c r="B524" s="90" t="s">
        <v>11116</v>
      </c>
      <c r="C524" s="41" t="s">
        <v>433</v>
      </c>
      <c r="D524" s="87">
        <v>27000</v>
      </c>
      <c r="E524" s="35">
        <v>44656</v>
      </c>
      <c r="F524" s="87">
        <v>27000</v>
      </c>
      <c r="G524" s="91">
        <f>Tabla15[[#This Row],[Importe]]-Tabla15[[#This Row],[Pagado]]</f>
        <v>0</v>
      </c>
      <c r="H524" s="92" t="s">
        <v>10</v>
      </c>
    </row>
    <row r="525" spans="1:8" ht="21.75" customHeight="1" x14ac:dyDescent="0.25">
      <c r="A525" s="35">
        <v>44656</v>
      </c>
      <c r="B525" s="90" t="s">
        <v>11117</v>
      </c>
      <c r="C525" s="41" t="s">
        <v>27</v>
      </c>
      <c r="D525" s="87">
        <v>1171.4000000000001</v>
      </c>
      <c r="E525" s="35">
        <v>44656</v>
      </c>
      <c r="F525" s="87">
        <v>1171.4000000000001</v>
      </c>
      <c r="G525" s="91">
        <f>Tabla15[[#This Row],[Importe]]-Tabla15[[#This Row],[Pagado]]</f>
        <v>0</v>
      </c>
      <c r="H525" s="92" t="s">
        <v>10</v>
      </c>
    </row>
    <row r="526" spans="1:8" ht="21.75" customHeight="1" x14ac:dyDescent="0.25">
      <c r="A526" s="35">
        <v>44656</v>
      </c>
      <c r="B526" s="90" t="s">
        <v>11118</v>
      </c>
      <c r="C526" s="41" t="s">
        <v>31</v>
      </c>
      <c r="D526" s="87">
        <v>60.8</v>
      </c>
      <c r="E526" s="35">
        <v>44656</v>
      </c>
      <c r="F526" s="87">
        <v>60.8</v>
      </c>
      <c r="G526" s="91">
        <f>Tabla15[[#This Row],[Importe]]-Tabla15[[#This Row],[Pagado]]</f>
        <v>0</v>
      </c>
      <c r="H526" s="92" t="s">
        <v>10</v>
      </c>
    </row>
    <row r="527" spans="1:8" ht="21.75" customHeight="1" x14ac:dyDescent="0.25">
      <c r="A527" s="35">
        <v>44656</v>
      </c>
      <c r="B527" s="90" t="s">
        <v>11119</v>
      </c>
      <c r="C527" s="41" t="s">
        <v>31</v>
      </c>
      <c r="D527" s="87">
        <v>17</v>
      </c>
      <c r="E527" s="35">
        <v>44656</v>
      </c>
      <c r="F527" s="87">
        <v>17</v>
      </c>
      <c r="G527" s="91">
        <f>Tabla15[[#This Row],[Importe]]-Tabla15[[#This Row],[Pagado]]</f>
        <v>0</v>
      </c>
      <c r="H527" s="92" t="s">
        <v>10</v>
      </c>
    </row>
    <row r="528" spans="1:8" ht="21.75" customHeight="1" x14ac:dyDescent="0.25">
      <c r="A528" s="35">
        <v>44656</v>
      </c>
      <c r="B528" s="90" t="s">
        <v>11120</v>
      </c>
      <c r="C528" s="41" t="s">
        <v>11121</v>
      </c>
      <c r="D528" s="87">
        <v>34425.300000000003</v>
      </c>
      <c r="E528" s="35">
        <v>44657</v>
      </c>
      <c r="F528" s="87">
        <v>34425.300000000003</v>
      </c>
      <c r="G528" s="91">
        <f>Tabla15[[#This Row],[Importe]]-Tabla15[[#This Row],[Pagado]]</f>
        <v>0</v>
      </c>
      <c r="H528" s="92" t="s">
        <v>10</v>
      </c>
    </row>
    <row r="529" spans="1:8" ht="21.75" customHeight="1" x14ac:dyDescent="0.25">
      <c r="A529" s="35">
        <v>44656</v>
      </c>
      <c r="B529" s="90" t="s">
        <v>11122</v>
      </c>
      <c r="C529" s="41" t="s">
        <v>191</v>
      </c>
      <c r="D529" s="87">
        <v>607.20000000000005</v>
      </c>
      <c r="E529" s="35">
        <v>44656</v>
      </c>
      <c r="F529" s="87">
        <v>607.20000000000005</v>
      </c>
      <c r="G529" s="91">
        <f>Tabla15[[#This Row],[Importe]]-Tabla15[[#This Row],[Pagado]]</f>
        <v>0</v>
      </c>
      <c r="H529" s="92" t="s">
        <v>10</v>
      </c>
    </row>
    <row r="530" spans="1:8" ht="21.75" customHeight="1" x14ac:dyDescent="0.25">
      <c r="A530" s="35">
        <v>44656</v>
      </c>
      <c r="B530" s="90" t="s">
        <v>11123</v>
      </c>
      <c r="C530" s="41" t="s">
        <v>47</v>
      </c>
      <c r="D530" s="87">
        <v>1344.6</v>
      </c>
      <c r="E530" s="35">
        <v>44656</v>
      </c>
      <c r="F530" s="87">
        <v>1344.6</v>
      </c>
      <c r="G530" s="91">
        <f>Tabla15[[#This Row],[Importe]]-Tabla15[[#This Row],[Pagado]]</f>
        <v>0</v>
      </c>
      <c r="H530" s="92" t="s">
        <v>10</v>
      </c>
    </row>
    <row r="531" spans="1:8" ht="21.75" customHeight="1" x14ac:dyDescent="0.25">
      <c r="A531" s="35">
        <v>44656</v>
      </c>
      <c r="B531" s="90" t="s">
        <v>11124</v>
      </c>
      <c r="C531" s="41" t="s">
        <v>1987</v>
      </c>
      <c r="D531" s="87">
        <v>4794.3999999999996</v>
      </c>
      <c r="E531" s="35">
        <v>44656</v>
      </c>
      <c r="F531" s="87">
        <v>4794.3999999999996</v>
      </c>
      <c r="G531" s="91">
        <f>Tabla15[[#This Row],[Importe]]-Tabla15[[#This Row],[Pagado]]</f>
        <v>0</v>
      </c>
      <c r="H531" s="92" t="s">
        <v>10</v>
      </c>
    </row>
    <row r="532" spans="1:8" ht="21.75" customHeight="1" x14ac:dyDescent="0.25">
      <c r="A532" s="35">
        <v>44656</v>
      </c>
      <c r="B532" s="90" t="s">
        <v>11125</v>
      </c>
      <c r="C532" s="41" t="s">
        <v>31</v>
      </c>
      <c r="D532" s="87">
        <v>152.80000000000001</v>
      </c>
      <c r="E532" s="35">
        <v>44656</v>
      </c>
      <c r="F532" s="87">
        <v>152.80000000000001</v>
      </c>
      <c r="G532" s="91">
        <f>Tabla15[[#This Row],[Importe]]-Tabla15[[#This Row],[Pagado]]</f>
        <v>0</v>
      </c>
      <c r="H532" s="92" t="s">
        <v>10</v>
      </c>
    </row>
    <row r="533" spans="1:8" ht="21.75" customHeight="1" x14ac:dyDescent="0.25">
      <c r="A533" s="35">
        <v>44656</v>
      </c>
      <c r="B533" s="90" t="s">
        <v>11126</v>
      </c>
      <c r="C533" s="41" t="s">
        <v>1706</v>
      </c>
      <c r="D533" s="87">
        <v>16492.8</v>
      </c>
      <c r="E533" s="35">
        <v>44656</v>
      </c>
      <c r="F533" s="87">
        <v>16492.8</v>
      </c>
      <c r="G533" s="91">
        <f>Tabla15[[#This Row],[Importe]]-Tabla15[[#This Row],[Pagado]]</f>
        <v>0</v>
      </c>
      <c r="H533" s="92" t="s">
        <v>10</v>
      </c>
    </row>
    <row r="534" spans="1:8" ht="21.75" customHeight="1" x14ac:dyDescent="0.25">
      <c r="A534" s="35">
        <v>44656</v>
      </c>
      <c r="B534" s="90" t="s">
        <v>11127</v>
      </c>
      <c r="C534" s="41" t="s">
        <v>9780</v>
      </c>
      <c r="D534" s="87">
        <v>33296.300000000003</v>
      </c>
      <c r="E534" s="35">
        <v>44670</v>
      </c>
      <c r="F534" s="87">
        <v>33296.300000000003</v>
      </c>
      <c r="G534" s="91">
        <f>Tabla15[[#This Row],[Importe]]-Tabla15[[#This Row],[Pagado]]</f>
        <v>0</v>
      </c>
      <c r="H534" s="92" t="s">
        <v>10</v>
      </c>
    </row>
    <row r="535" spans="1:8" ht="21.75" customHeight="1" x14ac:dyDescent="0.25">
      <c r="A535" s="35">
        <v>44656</v>
      </c>
      <c r="B535" s="90" t="s">
        <v>11128</v>
      </c>
      <c r="C535" s="41" t="s">
        <v>31</v>
      </c>
      <c r="D535" s="87">
        <v>360.4</v>
      </c>
      <c r="E535" s="35">
        <v>44656</v>
      </c>
      <c r="F535" s="87">
        <v>360.4</v>
      </c>
      <c r="G535" s="91">
        <f>Tabla15[[#This Row],[Importe]]-Tabla15[[#This Row],[Pagado]]</f>
        <v>0</v>
      </c>
      <c r="H535" s="92" t="s">
        <v>10</v>
      </c>
    </row>
    <row r="536" spans="1:8" ht="21.75" customHeight="1" x14ac:dyDescent="0.25">
      <c r="A536" s="35">
        <v>44656</v>
      </c>
      <c r="B536" s="90" t="s">
        <v>11129</v>
      </c>
      <c r="C536" s="41" t="s">
        <v>301</v>
      </c>
      <c r="D536" s="87">
        <v>15953.6</v>
      </c>
      <c r="E536" s="35">
        <v>44656</v>
      </c>
      <c r="F536" s="87">
        <v>15953.6</v>
      </c>
      <c r="G536" s="91">
        <f>Tabla15[[#This Row],[Importe]]-Tabla15[[#This Row],[Pagado]]</f>
        <v>0</v>
      </c>
      <c r="H536" s="92" t="s">
        <v>10</v>
      </c>
    </row>
    <row r="537" spans="1:8" ht="21.75" customHeight="1" x14ac:dyDescent="0.25">
      <c r="A537" s="35">
        <v>44656</v>
      </c>
      <c r="B537" s="90" t="s">
        <v>11130</v>
      </c>
      <c r="C537" s="41" t="s">
        <v>275</v>
      </c>
      <c r="D537" s="87">
        <v>33747.800000000003</v>
      </c>
      <c r="E537" s="35">
        <v>44670</v>
      </c>
      <c r="F537" s="87">
        <v>33747.800000000003</v>
      </c>
      <c r="G537" s="91">
        <f>Tabla15[[#This Row],[Importe]]-Tabla15[[#This Row],[Pagado]]</f>
        <v>0</v>
      </c>
      <c r="H537" s="92" t="s">
        <v>10</v>
      </c>
    </row>
    <row r="538" spans="1:8" ht="21.75" customHeight="1" x14ac:dyDescent="0.25">
      <c r="A538" s="35">
        <v>44656</v>
      </c>
      <c r="B538" s="90" t="s">
        <v>11131</v>
      </c>
      <c r="C538" s="41" t="s">
        <v>732</v>
      </c>
      <c r="D538" s="87">
        <v>11154</v>
      </c>
      <c r="E538" s="35">
        <v>44656</v>
      </c>
      <c r="F538" s="87">
        <v>11154</v>
      </c>
      <c r="G538" s="91">
        <f>Tabla15[[#This Row],[Importe]]-Tabla15[[#This Row],[Pagado]]</f>
        <v>0</v>
      </c>
      <c r="H538" s="92" t="s">
        <v>10</v>
      </c>
    </row>
    <row r="539" spans="1:8" ht="21.75" customHeight="1" x14ac:dyDescent="0.25">
      <c r="A539" s="35">
        <v>44657</v>
      </c>
      <c r="B539" s="90" t="s">
        <v>11132</v>
      </c>
      <c r="C539" s="41" t="s">
        <v>887</v>
      </c>
      <c r="D539" s="87">
        <v>8548.9</v>
      </c>
      <c r="E539" s="35">
        <v>44658</v>
      </c>
      <c r="F539" s="87">
        <v>8548.9</v>
      </c>
      <c r="G539" s="91">
        <f>Tabla15[[#This Row],[Importe]]-Tabla15[[#This Row],[Pagado]]</f>
        <v>0</v>
      </c>
      <c r="H539" s="92" t="s">
        <v>10</v>
      </c>
    </row>
    <row r="540" spans="1:8" ht="21.75" customHeight="1" x14ac:dyDescent="0.25">
      <c r="A540" s="35">
        <v>44657</v>
      </c>
      <c r="B540" s="90" t="s">
        <v>11133</v>
      </c>
      <c r="C540" s="41" t="s">
        <v>481</v>
      </c>
      <c r="D540" s="87">
        <v>1010.1</v>
      </c>
      <c r="E540" s="35">
        <v>44657</v>
      </c>
      <c r="F540" s="87">
        <v>1010.1</v>
      </c>
      <c r="G540" s="91">
        <f>Tabla15[[#This Row],[Importe]]-Tabla15[[#This Row],[Pagado]]</f>
        <v>0</v>
      </c>
      <c r="H540" s="92" t="s">
        <v>10</v>
      </c>
    </row>
    <row r="541" spans="1:8" ht="21.75" customHeight="1" x14ac:dyDescent="0.25">
      <c r="A541" s="35">
        <v>44657</v>
      </c>
      <c r="B541" s="90" t="s">
        <v>11134</v>
      </c>
      <c r="C541" s="41" t="s">
        <v>353</v>
      </c>
      <c r="D541" s="87">
        <v>451</v>
      </c>
      <c r="E541" s="35">
        <v>44657</v>
      </c>
      <c r="F541" s="87">
        <v>451</v>
      </c>
      <c r="G541" s="91">
        <f>Tabla15[[#This Row],[Importe]]-Tabla15[[#This Row],[Pagado]]</f>
        <v>0</v>
      </c>
      <c r="H541" s="92" t="s">
        <v>10</v>
      </c>
    </row>
    <row r="542" spans="1:8" ht="21.75" customHeight="1" x14ac:dyDescent="0.25">
      <c r="A542" s="35">
        <v>44657</v>
      </c>
      <c r="B542" s="90" t="s">
        <v>11135</v>
      </c>
      <c r="C542" s="41" t="s">
        <v>16</v>
      </c>
      <c r="D542" s="87">
        <v>4992.8999999999996</v>
      </c>
      <c r="E542" s="35">
        <v>44657</v>
      </c>
      <c r="F542" s="87">
        <v>4992.8999999999996</v>
      </c>
      <c r="G542" s="91">
        <f>Tabla15[[#This Row],[Importe]]-Tabla15[[#This Row],[Pagado]]</f>
        <v>0</v>
      </c>
      <c r="H542" s="92" t="s">
        <v>10</v>
      </c>
    </row>
    <row r="543" spans="1:8" ht="21.75" customHeight="1" x14ac:dyDescent="0.25">
      <c r="A543" s="35">
        <v>44657</v>
      </c>
      <c r="B543" s="90" t="s">
        <v>11136</v>
      </c>
      <c r="C543" s="41" t="s">
        <v>31</v>
      </c>
      <c r="D543" s="87">
        <v>2127.6</v>
      </c>
      <c r="E543" s="35">
        <v>44657</v>
      </c>
      <c r="F543" s="87">
        <v>2127.6</v>
      </c>
      <c r="G543" s="91">
        <f>Tabla15[[#This Row],[Importe]]-Tabla15[[#This Row],[Pagado]]</f>
        <v>0</v>
      </c>
      <c r="H543" s="92" t="s">
        <v>10</v>
      </c>
    </row>
    <row r="544" spans="1:8" ht="31.5" x14ac:dyDescent="0.25">
      <c r="A544" s="35">
        <v>44657</v>
      </c>
      <c r="B544" s="90" t="s">
        <v>11137</v>
      </c>
      <c r="C544" s="41" t="s">
        <v>475</v>
      </c>
      <c r="D544" s="87">
        <v>79322.399999999994</v>
      </c>
      <c r="E544" s="35" t="s">
        <v>11029</v>
      </c>
      <c r="F544" s="87">
        <f>55000+24322.4</f>
        <v>79322.399999999994</v>
      </c>
      <c r="G544" s="91">
        <f>Tabla15[[#This Row],[Importe]]-Tabla15[[#This Row],[Pagado]]</f>
        <v>0</v>
      </c>
      <c r="H544" s="92" t="s">
        <v>10</v>
      </c>
    </row>
    <row r="545" spans="1:8" ht="21.75" customHeight="1" x14ac:dyDescent="0.25">
      <c r="A545" s="35">
        <v>44657</v>
      </c>
      <c r="B545" s="90" t="s">
        <v>11138</v>
      </c>
      <c r="C545" s="41" t="s">
        <v>22</v>
      </c>
      <c r="D545" s="87">
        <v>46946.6</v>
      </c>
      <c r="E545" s="35">
        <v>44658</v>
      </c>
      <c r="F545" s="87">
        <f>33000+13946.6</f>
        <v>46946.6</v>
      </c>
      <c r="G545" s="91">
        <f>Tabla15[[#This Row],[Importe]]-Tabla15[[#This Row],[Pagado]]</f>
        <v>0</v>
      </c>
      <c r="H545" s="92" t="s">
        <v>10</v>
      </c>
    </row>
    <row r="546" spans="1:8" ht="21.75" customHeight="1" x14ac:dyDescent="0.25">
      <c r="A546" s="35">
        <v>44657</v>
      </c>
      <c r="B546" s="90" t="s">
        <v>11139</v>
      </c>
      <c r="C546" s="41" t="s">
        <v>49</v>
      </c>
      <c r="D546" s="87">
        <v>2655.9</v>
      </c>
      <c r="E546" s="35">
        <v>44657</v>
      </c>
      <c r="F546" s="87">
        <v>2655.9</v>
      </c>
      <c r="G546" s="91">
        <f>Tabla15[[#This Row],[Importe]]-Tabla15[[#This Row],[Pagado]]</f>
        <v>0</v>
      </c>
      <c r="H546" s="92" t="s">
        <v>10</v>
      </c>
    </row>
    <row r="547" spans="1:8" ht="21.75" customHeight="1" x14ac:dyDescent="0.25">
      <c r="A547" s="35">
        <v>44657</v>
      </c>
      <c r="B547" s="90" t="s">
        <v>11140</v>
      </c>
      <c r="C547" s="41" t="s">
        <v>212</v>
      </c>
      <c r="D547" s="87">
        <v>21083.4</v>
      </c>
      <c r="E547" s="35">
        <v>44660</v>
      </c>
      <c r="F547" s="87">
        <v>21083.4</v>
      </c>
      <c r="G547" s="91">
        <f>Tabla15[[#This Row],[Importe]]-Tabla15[[#This Row],[Pagado]]</f>
        <v>0</v>
      </c>
      <c r="H547" s="92" t="s">
        <v>10</v>
      </c>
    </row>
    <row r="548" spans="1:8" ht="21.75" customHeight="1" x14ac:dyDescent="0.25">
      <c r="A548" s="35">
        <v>44657</v>
      </c>
      <c r="B548" s="90" t="s">
        <v>11141</v>
      </c>
      <c r="C548" s="41" t="s">
        <v>9</v>
      </c>
      <c r="D548" s="87">
        <v>5207.3</v>
      </c>
      <c r="E548" s="35">
        <v>44657</v>
      </c>
      <c r="F548" s="87">
        <v>5207.3</v>
      </c>
      <c r="G548" s="91">
        <f>Tabla15[[#This Row],[Importe]]-Tabla15[[#This Row],[Pagado]]</f>
        <v>0</v>
      </c>
      <c r="H548" s="92" t="s">
        <v>10</v>
      </c>
    </row>
    <row r="549" spans="1:8" ht="21.75" customHeight="1" x14ac:dyDescent="0.25">
      <c r="A549" s="35">
        <v>44657</v>
      </c>
      <c r="B549" s="90" t="s">
        <v>11142</v>
      </c>
      <c r="C549" s="41" t="s">
        <v>12</v>
      </c>
      <c r="D549" s="87">
        <v>37847.65</v>
      </c>
      <c r="E549" s="35">
        <v>44657</v>
      </c>
      <c r="F549" s="87">
        <v>37847.65</v>
      </c>
      <c r="G549" s="91">
        <f>Tabla15[[#This Row],[Importe]]-Tabla15[[#This Row],[Pagado]]</f>
        <v>0</v>
      </c>
      <c r="H549" s="92" t="s">
        <v>10</v>
      </c>
    </row>
    <row r="550" spans="1:8" ht="21.75" customHeight="1" x14ac:dyDescent="0.25">
      <c r="A550" s="35">
        <v>44657</v>
      </c>
      <c r="B550" s="90" t="s">
        <v>11143</v>
      </c>
      <c r="C550" s="41" t="s">
        <v>12</v>
      </c>
      <c r="D550" s="87">
        <v>345</v>
      </c>
      <c r="E550" s="35">
        <v>44657</v>
      </c>
      <c r="F550" s="87">
        <v>345</v>
      </c>
      <c r="G550" s="91">
        <f>Tabla15[[#This Row],[Importe]]-Tabla15[[#This Row],[Pagado]]</f>
        <v>0</v>
      </c>
      <c r="H550" s="92" t="s">
        <v>10</v>
      </c>
    </row>
    <row r="551" spans="1:8" ht="21.75" customHeight="1" x14ac:dyDescent="0.25">
      <c r="A551" s="35">
        <v>44657</v>
      </c>
      <c r="B551" s="90" t="s">
        <v>11144</v>
      </c>
      <c r="C551" s="41" t="s">
        <v>11145</v>
      </c>
      <c r="D551" s="87">
        <v>0</v>
      </c>
      <c r="E551" s="39" t="s">
        <v>189</v>
      </c>
      <c r="F551" s="87">
        <v>0</v>
      </c>
      <c r="G551" s="91">
        <f>Tabla15[[#This Row],[Importe]]-Tabla15[[#This Row],[Pagado]]</f>
        <v>0</v>
      </c>
      <c r="H551" s="92" t="s">
        <v>189</v>
      </c>
    </row>
    <row r="552" spans="1:8" ht="21.75" customHeight="1" x14ac:dyDescent="0.25">
      <c r="A552" s="35">
        <v>44657</v>
      </c>
      <c r="B552" s="90" t="s">
        <v>11146</v>
      </c>
      <c r="C552" s="41" t="s">
        <v>131</v>
      </c>
      <c r="D552" s="87">
        <v>13197</v>
      </c>
      <c r="E552" s="35">
        <v>44657</v>
      </c>
      <c r="F552" s="87">
        <v>13197</v>
      </c>
      <c r="G552" s="91">
        <f>Tabla15[[#This Row],[Importe]]-Tabla15[[#This Row],[Pagado]]</f>
        <v>0</v>
      </c>
      <c r="H552" s="92" t="s">
        <v>10</v>
      </c>
    </row>
    <row r="553" spans="1:8" ht="21.75" customHeight="1" x14ac:dyDescent="0.25">
      <c r="A553" s="35">
        <v>44657</v>
      </c>
      <c r="B553" s="90" t="s">
        <v>11147</v>
      </c>
      <c r="C553" s="41" t="s">
        <v>206</v>
      </c>
      <c r="D553" s="87">
        <v>21769.4</v>
      </c>
      <c r="E553" s="35">
        <v>44660</v>
      </c>
      <c r="F553" s="87">
        <v>21769.4</v>
      </c>
      <c r="G553" s="91">
        <f>Tabla15[[#This Row],[Importe]]-Tabla15[[#This Row],[Pagado]]</f>
        <v>0</v>
      </c>
      <c r="H553" s="92" t="s">
        <v>10</v>
      </c>
    </row>
    <row r="554" spans="1:8" ht="21.75" customHeight="1" x14ac:dyDescent="0.25">
      <c r="A554" s="35">
        <v>44657</v>
      </c>
      <c r="B554" s="90" t="s">
        <v>11148</v>
      </c>
      <c r="C554" s="41" t="s">
        <v>326</v>
      </c>
      <c r="D554" s="87">
        <v>4549.2</v>
      </c>
      <c r="E554" s="35">
        <v>44659</v>
      </c>
      <c r="F554" s="87">
        <v>4549.2</v>
      </c>
      <c r="G554" s="91">
        <f>Tabla15[[#This Row],[Importe]]-Tabla15[[#This Row],[Pagado]]</f>
        <v>0</v>
      </c>
      <c r="H554" s="92" t="s">
        <v>10</v>
      </c>
    </row>
    <row r="555" spans="1:8" ht="21.75" customHeight="1" x14ac:dyDescent="0.25">
      <c r="A555" s="35">
        <v>44657</v>
      </c>
      <c r="B555" s="90" t="s">
        <v>11149</v>
      </c>
      <c r="C555" s="41" t="s">
        <v>64</v>
      </c>
      <c r="D555" s="87">
        <v>7822.8</v>
      </c>
      <c r="E555" s="35">
        <v>44659</v>
      </c>
      <c r="F555" s="87">
        <v>7822.8</v>
      </c>
      <c r="G555" s="91">
        <f>Tabla15[[#This Row],[Importe]]-Tabla15[[#This Row],[Pagado]]</f>
        <v>0</v>
      </c>
      <c r="H555" s="92" t="s">
        <v>10</v>
      </c>
    </row>
    <row r="556" spans="1:8" ht="21.75" customHeight="1" x14ac:dyDescent="0.25">
      <c r="A556" s="35">
        <v>44657</v>
      </c>
      <c r="B556" s="90" t="s">
        <v>11150</v>
      </c>
      <c r="C556" s="41" t="s">
        <v>93</v>
      </c>
      <c r="D556" s="87">
        <v>2363.4</v>
      </c>
      <c r="E556" s="35">
        <v>44658</v>
      </c>
      <c r="F556" s="87">
        <v>2363.4</v>
      </c>
      <c r="G556" s="91">
        <f>Tabla15[[#This Row],[Importe]]-Tabla15[[#This Row],[Pagado]]</f>
        <v>0</v>
      </c>
      <c r="H556" s="92" t="s">
        <v>10</v>
      </c>
    </row>
    <row r="557" spans="1:8" ht="21.75" customHeight="1" x14ac:dyDescent="0.25">
      <c r="A557" s="35">
        <v>44657</v>
      </c>
      <c r="B557" s="90" t="s">
        <v>11151</v>
      </c>
      <c r="C557" s="41" t="s">
        <v>2151</v>
      </c>
      <c r="D557" s="87">
        <v>18704.7</v>
      </c>
      <c r="E557" s="35">
        <v>44657</v>
      </c>
      <c r="F557" s="87">
        <v>18704.7</v>
      </c>
      <c r="G557" s="91">
        <f>Tabla15[[#This Row],[Importe]]-Tabla15[[#This Row],[Pagado]]</f>
        <v>0</v>
      </c>
      <c r="H557" s="92" t="s">
        <v>10</v>
      </c>
    </row>
    <row r="558" spans="1:8" ht="21.75" customHeight="1" x14ac:dyDescent="0.25">
      <c r="A558" s="35">
        <v>44657</v>
      </c>
      <c r="B558" s="90" t="s">
        <v>11152</v>
      </c>
      <c r="C558" s="41" t="s">
        <v>97</v>
      </c>
      <c r="D558" s="87">
        <v>9772.5</v>
      </c>
      <c r="E558" s="35">
        <v>44658</v>
      </c>
      <c r="F558" s="87">
        <v>9772.5</v>
      </c>
      <c r="G558" s="91">
        <f>Tabla15[[#This Row],[Importe]]-Tabla15[[#This Row],[Pagado]]</f>
        <v>0</v>
      </c>
      <c r="H558" s="92" t="s">
        <v>10</v>
      </c>
    </row>
    <row r="559" spans="1:8" ht="21.75" customHeight="1" x14ac:dyDescent="0.25">
      <c r="A559" s="35">
        <v>44657</v>
      </c>
      <c r="B559" s="90" t="s">
        <v>11153</v>
      </c>
      <c r="C559" s="41" t="s">
        <v>114</v>
      </c>
      <c r="D559" s="87">
        <v>5498.4</v>
      </c>
      <c r="E559" s="35">
        <v>44658</v>
      </c>
      <c r="F559" s="87">
        <v>5498.4</v>
      </c>
      <c r="G559" s="91">
        <f>Tabla15[[#This Row],[Importe]]-Tabla15[[#This Row],[Pagado]]</f>
        <v>0</v>
      </c>
      <c r="H559" s="92" t="s">
        <v>10</v>
      </c>
    </row>
    <row r="560" spans="1:8" ht="21.75" customHeight="1" x14ac:dyDescent="0.25">
      <c r="A560" s="35">
        <v>44657</v>
      </c>
      <c r="B560" s="90" t="s">
        <v>11154</v>
      </c>
      <c r="C560" s="41" t="s">
        <v>60</v>
      </c>
      <c r="D560" s="87">
        <v>4070.4</v>
      </c>
      <c r="E560" s="35">
        <v>44662</v>
      </c>
      <c r="F560" s="87">
        <v>4070.4</v>
      </c>
      <c r="G560" s="91">
        <f>Tabla15[[#This Row],[Importe]]-Tabla15[[#This Row],[Pagado]]</f>
        <v>0</v>
      </c>
      <c r="H560" s="92" t="s">
        <v>10</v>
      </c>
    </row>
    <row r="561" spans="1:8" ht="21.75" customHeight="1" x14ac:dyDescent="0.25">
      <c r="A561" s="35">
        <v>44657</v>
      </c>
      <c r="B561" s="90" t="s">
        <v>11155</v>
      </c>
      <c r="C561" s="41" t="s">
        <v>111</v>
      </c>
      <c r="D561" s="87">
        <v>4493.1000000000004</v>
      </c>
      <c r="E561" s="35">
        <v>44659</v>
      </c>
      <c r="F561" s="87">
        <v>4493.1000000000004</v>
      </c>
      <c r="G561" s="91">
        <f>Tabla15[[#This Row],[Importe]]-Tabla15[[#This Row],[Pagado]]</f>
        <v>0</v>
      </c>
      <c r="H561" s="92" t="s">
        <v>10</v>
      </c>
    </row>
    <row r="562" spans="1:8" ht="21.75" customHeight="1" x14ac:dyDescent="0.25">
      <c r="A562" s="35">
        <v>44657</v>
      </c>
      <c r="B562" s="90" t="s">
        <v>11156</v>
      </c>
      <c r="C562" s="41" t="s">
        <v>99</v>
      </c>
      <c r="D562" s="87">
        <v>1539</v>
      </c>
      <c r="E562" s="35">
        <v>44659</v>
      </c>
      <c r="F562" s="87">
        <v>1539</v>
      </c>
      <c r="G562" s="91">
        <f>Tabla15[[#This Row],[Importe]]-Tabla15[[#This Row],[Pagado]]</f>
        <v>0</v>
      </c>
      <c r="H562" s="92" t="s">
        <v>10</v>
      </c>
    </row>
    <row r="563" spans="1:8" ht="21.75" customHeight="1" x14ac:dyDescent="0.25">
      <c r="A563" s="35">
        <v>44657</v>
      </c>
      <c r="B563" s="90" t="s">
        <v>11157</v>
      </c>
      <c r="C563" s="41" t="s">
        <v>105</v>
      </c>
      <c r="D563" s="87">
        <v>11086.5</v>
      </c>
      <c r="E563" s="35">
        <v>44658</v>
      </c>
      <c r="F563" s="87">
        <v>11086.5</v>
      </c>
      <c r="G563" s="91">
        <f>Tabla15[[#This Row],[Importe]]-Tabla15[[#This Row],[Pagado]]</f>
        <v>0</v>
      </c>
      <c r="H563" s="92" t="s">
        <v>10</v>
      </c>
    </row>
    <row r="564" spans="1:8" ht="21.75" customHeight="1" x14ac:dyDescent="0.25">
      <c r="A564" s="35">
        <v>44657</v>
      </c>
      <c r="B564" s="90" t="s">
        <v>11158</v>
      </c>
      <c r="C564" s="41" t="s">
        <v>89</v>
      </c>
      <c r="D564" s="87">
        <v>2544</v>
      </c>
      <c r="E564" s="35">
        <v>44658</v>
      </c>
      <c r="F564" s="87">
        <v>2544</v>
      </c>
      <c r="G564" s="91">
        <f>Tabla15[[#This Row],[Importe]]-Tabla15[[#This Row],[Pagado]]</f>
        <v>0</v>
      </c>
      <c r="H564" s="92" t="s">
        <v>10</v>
      </c>
    </row>
    <row r="565" spans="1:8" ht="21.75" customHeight="1" x14ac:dyDescent="0.25">
      <c r="A565" s="35">
        <v>44657</v>
      </c>
      <c r="B565" s="90" t="s">
        <v>11159</v>
      </c>
      <c r="C565" s="41" t="s">
        <v>10157</v>
      </c>
      <c r="D565" s="87">
        <v>7821.4</v>
      </c>
      <c r="E565" s="35">
        <v>44658</v>
      </c>
      <c r="F565" s="87">
        <v>7821.4</v>
      </c>
      <c r="G565" s="91">
        <f>Tabla15[[#This Row],[Importe]]-Tabla15[[#This Row],[Pagado]]</f>
        <v>0</v>
      </c>
      <c r="H565" s="92" t="s">
        <v>10</v>
      </c>
    </row>
    <row r="566" spans="1:8" ht="21.75" customHeight="1" x14ac:dyDescent="0.25">
      <c r="A566" s="35">
        <v>44657</v>
      </c>
      <c r="B566" s="90" t="s">
        <v>11160</v>
      </c>
      <c r="C566" s="41" t="s">
        <v>173</v>
      </c>
      <c r="D566" s="87">
        <v>25263.200000000001</v>
      </c>
      <c r="E566" s="35">
        <v>44658</v>
      </c>
      <c r="F566" s="87">
        <v>25263.200000000001</v>
      </c>
      <c r="G566" s="91">
        <f>Tabla15[[#This Row],[Importe]]-Tabla15[[#This Row],[Pagado]]</f>
        <v>0</v>
      </c>
      <c r="H566" s="92" t="s">
        <v>10</v>
      </c>
    </row>
    <row r="567" spans="1:8" ht="21.75" customHeight="1" x14ac:dyDescent="0.25">
      <c r="A567" s="35">
        <v>44657</v>
      </c>
      <c r="B567" s="90" t="s">
        <v>11161</v>
      </c>
      <c r="C567" s="41" t="s">
        <v>196</v>
      </c>
      <c r="D567" s="87">
        <v>91542.2</v>
      </c>
      <c r="E567" s="35">
        <v>44659</v>
      </c>
      <c r="F567" s="87">
        <v>91542.2</v>
      </c>
      <c r="G567" s="91">
        <f>Tabla15[[#This Row],[Importe]]-Tabla15[[#This Row],[Pagado]]</f>
        <v>0</v>
      </c>
      <c r="H567" s="92" t="s">
        <v>10</v>
      </c>
    </row>
    <row r="568" spans="1:8" ht="21.75" customHeight="1" x14ac:dyDescent="0.25">
      <c r="A568" s="35">
        <v>44657</v>
      </c>
      <c r="B568" s="90" t="s">
        <v>11162</v>
      </c>
      <c r="C568" s="41" t="s">
        <v>9415</v>
      </c>
      <c r="D568" s="87">
        <v>19406.5</v>
      </c>
      <c r="E568" s="35">
        <v>44657</v>
      </c>
      <c r="F568" s="87">
        <v>19406.5</v>
      </c>
      <c r="G568" s="91">
        <f>Tabla15[[#This Row],[Importe]]-Tabla15[[#This Row],[Pagado]]</f>
        <v>0</v>
      </c>
      <c r="H568" s="92" t="s">
        <v>10</v>
      </c>
    </row>
    <row r="569" spans="1:8" ht="21.75" customHeight="1" x14ac:dyDescent="0.25">
      <c r="A569" s="35">
        <v>44657</v>
      </c>
      <c r="B569" s="90" t="s">
        <v>11163</v>
      </c>
      <c r="C569" s="41" t="s">
        <v>39</v>
      </c>
      <c r="D569" s="87">
        <v>13639.5</v>
      </c>
      <c r="E569" s="35">
        <v>44657</v>
      </c>
      <c r="F569" s="87">
        <v>13639.5</v>
      </c>
      <c r="G569" s="91">
        <f>Tabla15[[#This Row],[Importe]]-Tabla15[[#This Row],[Pagado]]</f>
        <v>0</v>
      </c>
      <c r="H569" s="92" t="s">
        <v>10</v>
      </c>
    </row>
    <row r="570" spans="1:8" ht="21.75" customHeight="1" x14ac:dyDescent="0.25">
      <c r="A570" s="35">
        <v>44657</v>
      </c>
      <c r="B570" s="90" t="s">
        <v>11164</v>
      </c>
      <c r="C570" s="41" t="s">
        <v>218</v>
      </c>
      <c r="D570" s="87">
        <v>11895</v>
      </c>
      <c r="E570" s="35">
        <v>44660</v>
      </c>
      <c r="F570" s="87">
        <v>11895</v>
      </c>
      <c r="G570" s="91">
        <f>Tabla15[[#This Row],[Importe]]-Tabla15[[#This Row],[Pagado]]</f>
        <v>0</v>
      </c>
      <c r="H570" s="92" t="s">
        <v>10</v>
      </c>
    </row>
    <row r="571" spans="1:8" ht="21.75" customHeight="1" x14ac:dyDescent="0.25">
      <c r="A571" s="35">
        <v>44657</v>
      </c>
      <c r="B571" s="90" t="s">
        <v>11165</v>
      </c>
      <c r="C571" s="41" t="s">
        <v>135</v>
      </c>
      <c r="D571" s="87">
        <v>1375</v>
      </c>
      <c r="E571" s="35">
        <v>44657</v>
      </c>
      <c r="F571" s="87">
        <v>1375</v>
      </c>
      <c r="G571" s="91">
        <f>Tabla15[[#This Row],[Importe]]-Tabla15[[#This Row],[Pagado]]</f>
        <v>0</v>
      </c>
      <c r="H571" s="92" t="s">
        <v>10</v>
      </c>
    </row>
    <row r="572" spans="1:8" ht="21.75" customHeight="1" x14ac:dyDescent="0.25">
      <c r="A572" s="35">
        <v>44657</v>
      </c>
      <c r="B572" s="90" t="s">
        <v>11166</v>
      </c>
      <c r="C572" s="41" t="s">
        <v>5816</v>
      </c>
      <c r="D572" s="87">
        <v>6246.5</v>
      </c>
      <c r="E572" s="35">
        <v>44658</v>
      </c>
      <c r="F572" s="87">
        <v>6246.5</v>
      </c>
      <c r="G572" s="91">
        <f>Tabla15[[#This Row],[Importe]]-Tabla15[[#This Row],[Pagado]]</f>
        <v>0</v>
      </c>
      <c r="H572" s="92" t="s">
        <v>10</v>
      </c>
    </row>
    <row r="573" spans="1:8" ht="21.75" customHeight="1" x14ac:dyDescent="0.25">
      <c r="A573" s="35">
        <v>44657</v>
      </c>
      <c r="B573" s="90" t="s">
        <v>11167</v>
      </c>
      <c r="C573" s="41" t="s">
        <v>133</v>
      </c>
      <c r="D573" s="87">
        <v>13716</v>
      </c>
      <c r="E573" s="35">
        <v>44658</v>
      </c>
      <c r="F573" s="87">
        <v>13716</v>
      </c>
      <c r="G573" s="91">
        <f>Tabla15[[#This Row],[Importe]]-Tabla15[[#This Row],[Pagado]]</f>
        <v>0</v>
      </c>
      <c r="H573" s="92" t="s">
        <v>10</v>
      </c>
    </row>
    <row r="574" spans="1:8" ht="21.75" customHeight="1" x14ac:dyDescent="0.25">
      <c r="A574" s="35">
        <v>44657</v>
      </c>
      <c r="B574" s="90" t="s">
        <v>11168</v>
      </c>
      <c r="C574" s="41" t="s">
        <v>27</v>
      </c>
      <c r="D574" s="87">
        <v>2740.5</v>
      </c>
      <c r="E574" s="35">
        <v>44657</v>
      </c>
      <c r="F574" s="87">
        <v>2740.5</v>
      </c>
      <c r="G574" s="91">
        <f>Tabla15[[#This Row],[Importe]]-Tabla15[[#This Row],[Pagado]]</f>
        <v>0</v>
      </c>
      <c r="H574" s="92" t="s">
        <v>10</v>
      </c>
    </row>
    <row r="575" spans="1:8" ht="21.75" customHeight="1" x14ac:dyDescent="0.25">
      <c r="A575" s="35">
        <v>44657</v>
      </c>
      <c r="B575" s="90" t="s">
        <v>11169</v>
      </c>
      <c r="C575" s="41" t="s">
        <v>4136</v>
      </c>
      <c r="D575" s="87">
        <v>1593.6</v>
      </c>
      <c r="E575" s="35">
        <v>44657</v>
      </c>
      <c r="F575" s="87">
        <v>1593.6</v>
      </c>
      <c r="G575" s="91">
        <f>Tabla15[[#This Row],[Importe]]-Tabla15[[#This Row],[Pagado]]</f>
        <v>0</v>
      </c>
      <c r="H575" s="92" t="s">
        <v>10</v>
      </c>
    </row>
    <row r="576" spans="1:8" ht="21.75" customHeight="1" x14ac:dyDescent="0.25">
      <c r="A576" s="35">
        <v>44657</v>
      </c>
      <c r="B576" s="90" t="s">
        <v>11170</v>
      </c>
      <c r="C576" s="41" t="s">
        <v>373</v>
      </c>
      <c r="D576" s="87">
        <v>1348.2</v>
      </c>
      <c r="E576" s="35">
        <v>44657</v>
      </c>
      <c r="F576" s="87">
        <v>1348.2</v>
      </c>
      <c r="G576" s="91">
        <f>Tabla15[[#This Row],[Importe]]-Tabla15[[#This Row],[Pagado]]</f>
        <v>0</v>
      </c>
      <c r="H576" s="92" t="s">
        <v>10</v>
      </c>
    </row>
    <row r="577" spans="1:8" ht="21.75" customHeight="1" x14ac:dyDescent="0.25">
      <c r="A577" s="35">
        <v>44657</v>
      </c>
      <c r="B577" s="90" t="s">
        <v>11171</v>
      </c>
      <c r="C577" s="41" t="s">
        <v>587</v>
      </c>
      <c r="D577" s="87">
        <v>4821.4799999999996</v>
      </c>
      <c r="E577" s="35">
        <v>44657</v>
      </c>
      <c r="F577" s="87">
        <v>4821.4799999999996</v>
      </c>
      <c r="G577" s="91">
        <f>Tabla15[[#This Row],[Importe]]-Tabla15[[#This Row],[Pagado]]</f>
        <v>0</v>
      </c>
      <c r="H577" s="92" t="s">
        <v>10</v>
      </c>
    </row>
    <row r="578" spans="1:8" ht="21.75" customHeight="1" x14ac:dyDescent="0.25">
      <c r="A578" s="35">
        <v>44657</v>
      </c>
      <c r="B578" s="90" t="s">
        <v>11172</v>
      </c>
      <c r="C578" s="41" t="s">
        <v>85</v>
      </c>
      <c r="D578" s="87">
        <v>1134</v>
      </c>
      <c r="E578" s="35">
        <v>44657</v>
      </c>
      <c r="F578" s="87">
        <v>1134</v>
      </c>
      <c r="G578" s="91">
        <f>Tabla15[[#This Row],[Importe]]-Tabla15[[#This Row],[Pagado]]</f>
        <v>0</v>
      </c>
      <c r="H578" s="92" t="s">
        <v>10</v>
      </c>
    </row>
    <row r="579" spans="1:8" ht="21.75" customHeight="1" x14ac:dyDescent="0.25">
      <c r="A579" s="35">
        <v>44657</v>
      </c>
      <c r="B579" s="90" t="s">
        <v>11173</v>
      </c>
      <c r="C579" s="41" t="s">
        <v>142</v>
      </c>
      <c r="D579" s="87">
        <v>113177.8</v>
      </c>
      <c r="E579" s="35">
        <v>44670</v>
      </c>
      <c r="F579" s="87">
        <v>113177.8</v>
      </c>
      <c r="G579" s="91">
        <f>Tabla15[[#This Row],[Importe]]-Tabla15[[#This Row],[Pagado]]</f>
        <v>0</v>
      </c>
      <c r="H579" s="92" t="s">
        <v>10</v>
      </c>
    </row>
    <row r="580" spans="1:8" ht="21.75" customHeight="1" x14ac:dyDescent="0.25">
      <c r="A580" s="35">
        <v>44657</v>
      </c>
      <c r="B580" s="90" t="s">
        <v>11174</v>
      </c>
      <c r="C580" s="41" t="s">
        <v>31</v>
      </c>
      <c r="D580" s="87">
        <v>3507.5</v>
      </c>
      <c r="E580" s="35">
        <v>44657</v>
      </c>
      <c r="F580" s="87">
        <v>3507.5</v>
      </c>
      <c r="G580" s="91">
        <f>Tabla15[[#This Row],[Importe]]-Tabla15[[#This Row],[Pagado]]</f>
        <v>0</v>
      </c>
      <c r="H580" s="92" t="s">
        <v>10</v>
      </c>
    </row>
    <row r="581" spans="1:8" ht="21.75" customHeight="1" x14ac:dyDescent="0.25">
      <c r="A581" s="35">
        <v>44657</v>
      </c>
      <c r="B581" s="90" t="s">
        <v>11175</v>
      </c>
      <c r="C581" s="41" t="s">
        <v>154</v>
      </c>
      <c r="D581" s="87">
        <v>27669.52</v>
      </c>
      <c r="E581" s="35">
        <v>44660</v>
      </c>
      <c r="F581" s="87">
        <v>27669.52</v>
      </c>
      <c r="G581" s="91">
        <f>Tabla15[[#This Row],[Importe]]-Tabla15[[#This Row],[Pagado]]</f>
        <v>0</v>
      </c>
      <c r="H581" s="92" t="s">
        <v>10</v>
      </c>
    </row>
    <row r="582" spans="1:8" ht="31.5" x14ac:dyDescent="0.25">
      <c r="A582" s="35">
        <v>44657</v>
      </c>
      <c r="B582" s="90" t="s">
        <v>11176</v>
      </c>
      <c r="C582" s="41" t="s">
        <v>392</v>
      </c>
      <c r="D582" s="87">
        <v>12474.6</v>
      </c>
      <c r="E582" s="35" t="s">
        <v>11177</v>
      </c>
      <c r="F582" s="87">
        <f>8000+4474.6</f>
        <v>12474.6</v>
      </c>
      <c r="G582" s="91">
        <f>Tabla15[[#This Row],[Importe]]-Tabla15[[#This Row],[Pagado]]</f>
        <v>0</v>
      </c>
      <c r="H582" s="92" t="s">
        <v>10</v>
      </c>
    </row>
    <row r="583" spans="1:8" ht="21.75" customHeight="1" x14ac:dyDescent="0.25">
      <c r="A583" s="35">
        <v>44657</v>
      </c>
      <c r="B583" s="90" t="s">
        <v>11178</v>
      </c>
      <c r="C583" s="41" t="s">
        <v>31</v>
      </c>
      <c r="D583" s="87">
        <v>7538.4</v>
      </c>
      <c r="E583" s="35">
        <v>44658</v>
      </c>
      <c r="F583" s="87">
        <v>7538.4</v>
      </c>
      <c r="G583" s="91">
        <f>Tabla15[[#This Row],[Importe]]-Tabla15[[#This Row],[Pagado]]</f>
        <v>0</v>
      </c>
      <c r="H583" s="92" t="s">
        <v>10</v>
      </c>
    </row>
    <row r="584" spans="1:8" ht="21.75" customHeight="1" x14ac:dyDescent="0.25">
      <c r="A584" s="35">
        <v>44657</v>
      </c>
      <c r="B584" s="90" t="s">
        <v>11179</v>
      </c>
      <c r="C584" s="41" t="s">
        <v>83</v>
      </c>
      <c r="D584" s="87">
        <v>10289.16</v>
      </c>
      <c r="E584" s="35">
        <v>44657</v>
      </c>
      <c r="F584" s="87">
        <v>10289.16</v>
      </c>
      <c r="G584" s="91">
        <f>Tabla15[[#This Row],[Importe]]-Tabla15[[#This Row],[Pagado]]</f>
        <v>0</v>
      </c>
      <c r="H584" s="92" t="s">
        <v>10</v>
      </c>
    </row>
    <row r="585" spans="1:8" ht="21.75" customHeight="1" x14ac:dyDescent="0.25">
      <c r="A585" s="35">
        <v>44657</v>
      </c>
      <c r="B585" s="90" t="s">
        <v>11180</v>
      </c>
      <c r="C585" s="41" t="s">
        <v>53</v>
      </c>
      <c r="D585" s="87">
        <v>2081.6</v>
      </c>
      <c r="E585" s="35">
        <v>44657</v>
      </c>
      <c r="F585" s="87">
        <v>2081.6</v>
      </c>
      <c r="G585" s="91">
        <f>Tabla15[[#This Row],[Importe]]-Tabla15[[#This Row],[Pagado]]</f>
        <v>0</v>
      </c>
      <c r="H585" s="92" t="s">
        <v>10</v>
      </c>
    </row>
    <row r="586" spans="1:8" ht="21.75" customHeight="1" x14ac:dyDescent="0.25">
      <c r="A586" s="35">
        <v>44657</v>
      </c>
      <c r="B586" s="90" t="s">
        <v>11181</v>
      </c>
      <c r="C586" s="41" t="s">
        <v>87</v>
      </c>
      <c r="D586" s="87">
        <v>2200.8000000000002</v>
      </c>
      <c r="E586" s="35">
        <v>44657</v>
      </c>
      <c r="F586" s="87">
        <v>2200.8000000000002</v>
      </c>
      <c r="G586" s="91">
        <f>Tabla15[[#This Row],[Importe]]-Tabla15[[#This Row],[Pagado]]</f>
        <v>0</v>
      </c>
      <c r="H586" s="92" t="s">
        <v>10</v>
      </c>
    </row>
    <row r="587" spans="1:8" ht="21.75" customHeight="1" x14ac:dyDescent="0.25">
      <c r="A587" s="35">
        <v>44657</v>
      </c>
      <c r="B587" s="90" t="s">
        <v>11182</v>
      </c>
      <c r="C587" s="41" t="s">
        <v>2383</v>
      </c>
      <c r="D587" s="87">
        <v>3382</v>
      </c>
      <c r="E587" s="35">
        <v>44657</v>
      </c>
      <c r="F587" s="87">
        <v>3382</v>
      </c>
      <c r="G587" s="91">
        <f>Tabla15[[#This Row],[Importe]]-Tabla15[[#This Row],[Pagado]]</f>
        <v>0</v>
      </c>
      <c r="H587" s="92" t="s">
        <v>10</v>
      </c>
    </row>
    <row r="588" spans="1:8" ht="21.75" customHeight="1" x14ac:dyDescent="0.25">
      <c r="A588" s="35">
        <v>44657</v>
      </c>
      <c r="B588" s="90" t="s">
        <v>11183</v>
      </c>
      <c r="C588" s="41" t="s">
        <v>414</v>
      </c>
      <c r="D588" s="87">
        <v>20100</v>
      </c>
      <c r="E588" s="35">
        <v>44657</v>
      </c>
      <c r="F588" s="87">
        <v>20100</v>
      </c>
      <c r="G588" s="91">
        <f>Tabla15[[#This Row],[Importe]]-Tabla15[[#This Row],[Pagado]]</f>
        <v>0</v>
      </c>
      <c r="H588" s="92" t="s">
        <v>10</v>
      </c>
    </row>
    <row r="589" spans="1:8" ht="21.75" customHeight="1" x14ac:dyDescent="0.25">
      <c r="A589" s="35">
        <v>44657</v>
      </c>
      <c r="B589" s="90" t="s">
        <v>11184</v>
      </c>
      <c r="C589" s="41" t="s">
        <v>24</v>
      </c>
      <c r="D589" s="87">
        <v>3649.2</v>
      </c>
      <c r="E589" s="35">
        <v>44657</v>
      </c>
      <c r="F589" s="87">
        <v>3649.2</v>
      </c>
      <c r="G589" s="91">
        <f>Tabla15[[#This Row],[Importe]]-Tabla15[[#This Row],[Pagado]]</f>
        <v>0</v>
      </c>
      <c r="H589" s="92" t="s">
        <v>10</v>
      </c>
    </row>
    <row r="590" spans="1:8" ht="21.75" customHeight="1" x14ac:dyDescent="0.25">
      <c r="A590" s="35">
        <v>44657</v>
      </c>
      <c r="B590" s="90" t="s">
        <v>11185</v>
      </c>
      <c r="C590" s="41" t="s">
        <v>357</v>
      </c>
      <c r="D590" s="87">
        <v>2080.3000000000002</v>
      </c>
      <c r="E590" s="35">
        <v>44657</v>
      </c>
      <c r="F590" s="87">
        <v>2080.3000000000002</v>
      </c>
      <c r="G590" s="91">
        <f>Tabla15[[#This Row],[Importe]]-Tabla15[[#This Row],[Pagado]]</f>
        <v>0</v>
      </c>
      <c r="H590" s="92" t="s">
        <v>10</v>
      </c>
    </row>
    <row r="591" spans="1:8" ht="21.75" customHeight="1" x14ac:dyDescent="0.25">
      <c r="A591" s="35">
        <v>44657</v>
      </c>
      <c r="B591" s="90" t="s">
        <v>11186</v>
      </c>
      <c r="C591" s="41" t="s">
        <v>89</v>
      </c>
      <c r="D591" s="87">
        <v>523.79999999999995</v>
      </c>
      <c r="E591" s="35">
        <v>44657</v>
      </c>
      <c r="F591" s="87">
        <v>523.79999999999995</v>
      </c>
      <c r="G591" s="91">
        <f>Tabla15[[#This Row],[Importe]]-Tabla15[[#This Row],[Pagado]]</f>
        <v>0</v>
      </c>
      <c r="H591" s="92" t="s">
        <v>10</v>
      </c>
    </row>
    <row r="592" spans="1:8" ht="21.75" customHeight="1" x14ac:dyDescent="0.25">
      <c r="A592" s="35">
        <v>44657</v>
      </c>
      <c r="B592" s="90" t="s">
        <v>11187</v>
      </c>
      <c r="C592" s="41" t="s">
        <v>140</v>
      </c>
      <c r="D592" s="87">
        <v>1386.8</v>
      </c>
      <c r="E592" s="35">
        <v>44657</v>
      </c>
      <c r="F592" s="87">
        <v>1386.8</v>
      </c>
      <c r="G592" s="91">
        <f>Tabla15[[#This Row],[Importe]]-Tabla15[[#This Row],[Pagado]]</f>
        <v>0</v>
      </c>
      <c r="H592" s="92" t="s">
        <v>10</v>
      </c>
    </row>
    <row r="593" spans="1:8" ht="21.75" customHeight="1" x14ac:dyDescent="0.25">
      <c r="A593" s="35">
        <v>44657</v>
      </c>
      <c r="B593" s="90" t="s">
        <v>11188</v>
      </c>
      <c r="C593" s="41" t="s">
        <v>127</v>
      </c>
      <c r="D593" s="87">
        <v>4508.8</v>
      </c>
      <c r="E593" s="35">
        <v>44657</v>
      </c>
      <c r="F593" s="87">
        <v>4508.8</v>
      </c>
      <c r="G593" s="91">
        <f>Tabla15[[#This Row],[Importe]]-Tabla15[[#This Row],[Pagado]]</f>
        <v>0</v>
      </c>
      <c r="H593" s="92" t="s">
        <v>10</v>
      </c>
    </row>
    <row r="594" spans="1:8" ht="21.75" customHeight="1" x14ac:dyDescent="0.25">
      <c r="A594" s="35">
        <v>44657</v>
      </c>
      <c r="B594" s="90" t="s">
        <v>11189</v>
      </c>
      <c r="C594" s="41" t="s">
        <v>127</v>
      </c>
      <c r="D594" s="87">
        <v>648.20000000000005</v>
      </c>
      <c r="E594" s="35">
        <v>44657</v>
      </c>
      <c r="F594" s="87">
        <v>648.20000000000005</v>
      </c>
      <c r="G594" s="91">
        <f>Tabla15[[#This Row],[Importe]]-Tabla15[[#This Row],[Pagado]]</f>
        <v>0</v>
      </c>
      <c r="H594" s="92" t="s">
        <v>10</v>
      </c>
    </row>
    <row r="595" spans="1:8" ht="21.75" customHeight="1" x14ac:dyDescent="0.25">
      <c r="A595" s="35">
        <v>44657</v>
      </c>
      <c r="B595" s="90" t="s">
        <v>11190</v>
      </c>
      <c r="C595" s="41" t="s">
        <v>129</v>
      </c>
      <c r="D595" s="87">
        <v>4472.5</v>
      </c>
      <c r="E595" s="35">
        <v>44657</v>
      </c>
      <c r="F595" s="87">
        <v>4472.5</v>
      </c>
      <c r="G595" s="91">
        <f>Tabla15[[#This Row],[Importe]]-Tabla15[[#This Row],[Pagado]]</f>
        <v>0</v>
      </c>
      <c r="H595" s="92" t="s">
        <v>10</v>
      </c>
    </row>
    <row r="596" spans="1:8" ht="21.75" customHeight="1" x14ac:dyDescent="0.25">
      <c r="A596" s="35">
        <v>44657</v>
      </c>
      <c r="B596" s="90" t="s">
        <v>11191</v>
      </c>
      <c r="C596" s="41" t="s">
        <v>359</v>
      </c>
      <c r="D596" s="87">
        <v>353.7</v>
      </c>
      <c r="E596" s="35">
        <v>44657</v>
      </c>
      <c r="F596" s="87">
        <v>353.7</v>
      </c>
      <c r="G596" s="91">
        <f>Tabla15[[#This Row],[Importe]]-Tabla15[[#This Row],[Pagado]]</f>
        <v>0</v>
      </c>
      <c r="H596" s="92" t="s">
        <v>10</v>
      </c>
    </row>
    <row r="597" spans="1:8" ht="21.75" customHeight="1" x14ac:dyDescent="0.25">
      <c r="A597" s="35">
        <v>44657</v>
      </c>
      <c r="B597" s="90" t="s">
        <v>11192</v>
      </c>
      <c r="C597" s="41" t="s">
        <v>426</v>
      </c>
      <c r="D597" s="87">
        <v>2236.5</v>
      </c>
      <c r="E597" s="35">
        <v>44657</v>
      </c>
      <c r="F597" s="87">
        <v>2236.5</v>
      </c>
      <c r="G597" s="91">
        <f>Tabla15[[#This Row],[Importe]]-Tabla15[[#This Row],[Pagado]]</f>
        <v>0</v>
      </c>
      <c r="H597" s="92" t="s">
        <v>10</v>
      </c>
    </row>
    <row r="598" spans="1:8" ht="21.75" customHeight="1" x14ac:dyDescent="0.25">
      <c r="A598" s="35">
        <v>44657</v>
      </c>
      <c r="B598" s="90" t="s">
        <v>11193</v>
      </c>
      <c r="C598" s="41" t="s">
        <v>191</v>
      </c>
      <c r="D598" s="87">
        <v>1548.8</v>
      </c>
      <c r="E598" s="35">
        <v>44657</v>
      </c>
      <c r="F598" s="87">
        <v>1548.8</v>
      </c>
      <c r="G598" s="91">
        <f>Tabla15[[#This Row],[Importe]]-Tabla15[[#This Row],[Pagado]]</f>
        <v>0</v>
      </c>
      <c r="H598" s="92" t="s">
        <v>10</v>
      </c>
    </row>
    <row r="599" spans="1:8" ht="21.75" customHeight="1" x14ac:dyDescent="0.25">
      <c r="A599" s="35">
        <v>44657</v>
      </c>
      <c r="B599" s="90" t="s">
        <v>11194</v>
      </c>
      <c r="C599" s="41" t="s">
        <v>45</v>
      </c>
      <c r="D599" s="87">
        <v>11287</v>
      </c>
      <c r="E599" s="35">
        <v>44657</v>
      </c>
      <c r="F599" s="87">
        <v>11287</v>
      </c>
      <c r="G599" s="91">
        <f>Tabla15[[#This Row],[Importe]]-Tabla15[[#This Row],[Pagado]]</f>
        <v>0</v>
      </c>
      <c r="H599" s="92" t="s">
        <v>10</v>
      </c>
    </row>
    <row r="600" spans="1:8" ht="21.75" customHeight="1" x14ac:dyDescent="0.25">
      <c r="A600" s="35">
        <v>44657</v>
      </c>
      <c r="B600" s="90" t="s">
        <v>11195</v>
      </c>
      <c r="C600" s="41" t="s">
        <v>414</v>
      </c>
      <c r="D600" s="87">
        <v>36.369999999999997</v>
      </c>
      <c r="E600" s="35">
        <v>44691</v>
      </c>
      <c r="F600" s="87">
        <v>36.369999999999997</v>
      </c>
      <c r="G600" s="91">
        <f>Tabla15[[#This Row],[Importe]]-Tabla15[[#This Row],[Pagado]]</f>
        <v>0</v>
      </c>
      <c r="H600" s="92" t="s">
        <v>10</v>
      </c>
    </row>
    <row r="601" spans="1:8" ht="21.75" customHeight="1" x14ac:dyDescent="0.25">
      <c r="A601" s="35">
        <v>44657</v>
      </c>
      <c r="B601" s="90" t="s">
        <v>11196</v>
      </c>
      <c r="C601" s="41" t="s">
        <v>414</v>
      </c>
      <c r="D601" s="87">
        <v>350</v>
      </c>
      <c r="E601" s="35">
        <v>44657</v>
      </c>
      <c r="F601" s="87">
        <v>350</v>
      </c>
      <c r="G601" s="91">
        <f>Tabla15[[#This Row],[Importe]]-Tabla15[[#This Row],[Pagado]]</f>
        <v>0</v>
      </c>
      <c r="H601" s="92" t="s">
        <v>10</v>
      </c>
    </row>
    <row r="602" spans="1:8" ht="21.75" customHeight="1" x14ac:dyDescent="0.25">
      <c r="A602" s="35">
        <v>44657</v>
      </c>
      <c r="B602" s="90" t="s">
        <v>11197</v>
      </c>
      <c r="C602" s="41" t="s">
        <v>202</v>
      </c>
      <c r="D602" s="87">
        <v>3200</v>
      </c>
      <c r="E602" s="35">
        <v>44657</v>
      </c>
      <c r="F602" s="87">
        <v>3200</v>
      </c>
      <c r="G602" s="91">
        <f>Tabla15[[#This Row],[Importe]]-Tabla15[[#This Row],[Pagado]]</f>
        <v>0</v>
      </c>
      <c r="H602" s="92" t="s">
        <v>10</v>
      </c>
    </row>
    <row r="603" spans="1:8" ht="21.75" customHeight="1" x14ac:dyDescent="0.25">
      <c r="A603" s="35">
        <v>44657</v>
      </c>
      <c r="B603" s="90" t="s">
        <v>11198</v>
      </c>
      <c r="C603" s="41" t="s">
        <v>1038</v>
      </c>
      <c r="D603" s="87">
        <v>3109.1</v>
      </c>
      <c r="E603" s="35">
        <v>44657</v>
      </c>
      <c r="F603" s="87">
        <v>3109.1</v>
      </c>
      <c r="G603" s="91">
        <f>Tabla15[[#This Row],[Importe]]-Tabla15[[#This Row],[Pagado]]</f>
        <v>0</v>
      </c>
      <c r="H603" s="92" t="s">
        <v>10</v>
      </c>
    </row>
    <row r="604" spans="1:8" ht="21.75" customHeight="1" x14ac:dyDescent="0.25">
      <c r="A604" s="35">
        <v>44657</v>
      </c>
      <c r="B604" s="90" t="s">
        <v>11199</v>
      </c>
      <c r="C604" s="41" t="s">
        <v>175</v>
      </c>
      <c r="D604" s="87">
        <v>5671.5</v>
      </c>
      <c r="E604" s="35">
        <v>44657</v>
      </c>
      <c r="F604" s="87">
        <v>5671.5</v>
      </c>
      <c r="G604" s="91">
        <f>Tabla15[[#This Row],[Importe]]-Tabla15[[#This Row],[Pagado]]</f>
        <v>0</v>
      </c>
      <c r="H604" s="92" t="s">
        <v>10</v>
      </c>
    </row>
    <row r="605" spans="1:8" ht="21.75" customHeight="1" x14ac:dyDescent="0.25">
      <c r="A605" s="35">
        <v>44657</v>
      </c>
      <c r="B605" s="90" t="s">
        <v>11200</v>
      </c>
      <c r="C605" s="41" t="s">
        <v>9577</v>
      </c>
      <c r="D605" s="87">
        <v>1188</v>
      </c>
      <c r="E605" s="35">
        <v>44657</v>
      </c>
      <c r="F605" s="87">
        <v>1188</v>
      </c>
      <c r="G605" s="91">
        <f>Tabla15[[#This Row],[Importe]]-Tabla15[[#This Row],[Pagado]]</f>
        <v>0</v>
      </c>
      <c r="H605" s="92" t="s">
        <v>10</v>
      </c>
    </row>
    <row r="606" spans="1:8" ht="21.75" customHeight="1" x14ac:dyDescent="0.25">
      <c r="A606" s="35">
        <v>44657</v>
      </c>
      <c r="B606" s="90" t="s">
        <v>11201</v>
      </c>
      <c r="C606" s="41" t="s">
        <v>414</v>
      </c>
      <c r="D606" s="87">
        <v>15889.4</v>
      </c>
      <c r="E606" s="35">
        <v>44657</v>
      </c>
      <c r="F606" s="87">
        <v>15889.4</v>
      </c>
      <c r="G606" s="91">
        <f>Tabla15[[#This Row],[Importe]]-Tabla15[[#This Row],[Pagado]]</f>
        <v>0</v>
      </c>
      <c r="H606" s="92" t="s">
        <v>10</v>
      </c>
    </row>
    <row r="607" spans="1:8" ht="21.75" customHeight="1" x14ac:dyDescent="0.25">
      <c r="A607" s="35">
        <v>44657</v>
      </c>
      <c r="B607" s="90" t="s">
        <v>11202</v>
      </c>
      <c r="C607" s="41" t="s">
        <v>216</v>
      </c>
      <c r="D607" s="87">
        <v>1598.4</v>
      </c>
      <c r="E607" s="35">
        <v>44657</v>
      </c>
      <c r="F607" s="87">
        <v>1598.4</v>
      </c>
      <c r="G607" s="91">
        <f>Tabla15[[#This Row],[Importe]]-Tabla15[[#This Row],[Pagado]]</f>
        <v>0</v>
      </c>
      <c r="H607" s="92" t="s">
        <v>10</v>
      </c>
    </row>
    <row r="608" spans="1:8" ht="21.75" customHeight="1" x14ac:dyDescent="0.25">
      <c r="A608" s="35">
        <v>44657</v>
      </c>
      <c r="B608" s="90" t="s">
        <v>11203</v>
      </c>
      <c r="C608" s="41" t="s">
        <v>146</v>
      </c>
      <c r="D608" s="87">
        <v>2586.8000000000002</v>
      </c>
      <c r="E608" s="35">
        <v>44657</v>
      </c>
      <c r="F608" s="87">
        <v>2586.8000000000002</v>
      </c>
      <c r="G608" s="91">
        <f>Tabla15[[#This Row],[Importe]]-Tabla15[[#This Row],[Pagado]]</f>
        <v>0</v>
      </c>
      <c r="H608" s="92" t="s">
        <v>10</v>
      </c>
    </row>
    <row r="609" spans="1:8" ht="21.75" customHeight="1" x14ac:dyDescent="0.25">
      <c r="A609" s="35">
        <v>44657</v>
      </c>
      <c r="B609" s="90" t="s">
        <v>11204</v>
      </c>
      <c r="C609" s="41" t="s">
        <v>31</v>
      </c>
      <c r="D609" s="87">
        <v>7200</v>
      </c>
      <c r="E609" s="35">
        <v>44657</v>
      </c>
      <c r="F609" s="87">
        <v>7200</v>
      </c>
      <c r="G609" s="91">
        <f>Tabla15[[#This Row],[Importe]]-Tabla15[[#This Row],[Pagado]]</f>
        <v>0</v>
      </c>
      <c r="H609" s="92" t="s">
        <v>10</v>
      </c>
    </row>
    <row r="610" spans="1:8" ht="21.75" customHeight="1" x14ac:dyDescent="0.25">
      <c r="A610" s="35">
        <v>44657</v>
      </c>
      <c r="B610" s="90" t="s">
        <v>11205</v>
      </c>
      <c r="C610" s="41" t="s">
        <v>555</v>
      </c>
      <c r="D610" s="87">
        <v>26459</v>
      </c>
      <c r="E610" s="35">
        <v>44657</v>
      </c>
      <c r="F610" s="87">
        <v>26459</v>
      </c>
      <c r="G610" s="91">
        <f>Tabla15[[#This Row],[Importe]]-Tabla15[[#This Row],[Pagado]]</f>
        <v>0</v>
      </c>
      <c r="H610" s="92" t="s">
        <v>10</v>
      </c>
    </row>
    <row r="611" spans="1:8" ht="21.75" customHeight="1" x14ac:dyDescent="0.25">
      <c r="A611" s="35">
        <v>44657</v>
      </c>
      <c r="B611" s="90" t="s">
        <v>11206</v>
      </c>
      <c r="C611" s="41" t="s">
        <v>233</v>
      </c>
      <c r="D611" s="87">
        <v>4368.6000000000004</v>
      </c>
      <c r="E611" s="35">
        <v>44657</v>
      </c>
      <c r="F611" s="87">
        <v>4368.6000000000004</v>
      </c>
      <c r="G611" s="91">
        <f>Tabla15[[#This Row],[Importe]]-Tabla15[[#This Row],[Pagado]]</f>
        <v>0</v>
      </c>
      <c r="H611" s="92" t="s">
        <v>10</v>
      </c>
    </row>
    <row r="612" spans="1:8" ht="21.75" customHeight="1" x14ac:dyDescent="0.25">
      <c r="A612" s="35">
        <v>44657</v>
      </c>
      <c r="B612" s="90" t="s">
        <v>11207</v>
      </c>
      <c r="C612" s="41" t="s">
        <v>555</v>
      </c>
      <c r="D612" s="87">
        <v>1371.16</v>
      </c>
      <c r="E612" s="35">
        <v>44657</v>
      </c>
      <c r="F612" s="87">
        <v>1371.16</v>
      </c>
      <c r="G612" s="91">
        <f>Tabla15[[#This Row],[Importe]]-Tabla15[[#This Row],[Pagado]]</f>
        <v>0</v>
      </c>
      <c r="H612" s="92" t="s">
        <v>10</v>
      </c>
    </row>
    <row r="613" spans="1:8" ht="21.75" customHeight="1" x14ac:dyDescent="0.25">
      <c r="A613" s="35">
        <v>44657</v>
      </c>
      <c r="B613" s="90" t="s">
        <v>11208</v>
      </c>
      <c r="C613" s="41" t="s">
        <v>698</v>
      </c>
      <c r="D613" s="87">
        <v>7125.3</v>
      </c>
      <c r="E613" s="35">
        <v>44657</v>
      </c>
      <c r="F613" s="87">
        <v>7125.3</v>
      </c>
      <c r="G613" s="91">
        <f>Tabla15[[#This Row],[Importe]]-Tabla15[[#This Row],[Pagado]]</f>
        <v>0</v>
      </c>
      <c r="H613" s="92" t="s">
        <v>10</v>
      </c>
    </row>
    <row r="614" spans="1:8" ht="31.5" x14ac:dyDescent="0.25">
      <c r="A614" s="35">
        <v>44657</v>
      </c>
      <c r="B614" s="90" t="s">
        <v>11209</v>
      </c>
      <c r="C614" s="41" t="s">
        <v>1339</v>
      </c>
      <c r="D614" s="87">
        <v>5822.4</v>
      </c>
      <c r="E614" s="35" t="s">
        <v>17784</v>
      </c>
      <c r="F614" s="87">
        <f>4000+1822.4</f>
        <v>5822.4</v>
      </c>
      <c r="G614" s="91">
        <f>Tabla15[[#This Row],[Importe]]-Tabla15[[#This Row],[Pagado]]</f>
        <v>0</v>
      </c>
      <c r="H614" s="92" t="s">
        <v>10</v>
      </c>
    </row>
    <row r="615" spans="1:8" ht="21.75" customHeight="1" x14ac:dyDescent="0.25">
      <c r="A615" s="35">
        <v>44657</v>
      </c>
      <c r="B615" s="90" t="s">
        <v>11210</v>
      </c>
      <c r="C615" s="41" t="s">
        <v>1362</v>
      </c>
      <c r="D615" s="87">
        <v>4189</v>
      </c>
      <c r="E615" s="35">
        <v>44657</v>
      </c>
      <c r="F615" s="87">
        <v>4189</v>
      </c>
      <c r="G615" s="91">
        <f>Tabla15[[#This Row],[Importe]]-Tabla15[[#This Row],[Pagado]]</f>
        <v>0</v>
      </c>
      <c r="H615" s="92" t="s">
        <v>10</v>
      </c>
    </row>
    <row r="616" spans="1:8" ht="21.75" customHeight="1" x14ac:dyDescent="0.25">
      <c r="A616" s="35">
        <v>44657</v>
      </c>
      <c r="B616" s="90" t="s">
        <v>11211</v>
      </c>
      <c r="C616" s="41" t="s">
        <v>125</v>
      </c>
      <c r="D616" s="87">
        <v>4450.8</v>
      </c>
      <c r="E616" s="35">
        <v>44657</v>
      </c>
      <c r="F616" s="87">
        <v>4450.8</v>
      </c>
      <c r="G616" s="91">
        <f>Tabla15[[#This Row],[Importe]]-Tabla15[[#This Row],[Pagado]]</f>
        <v>0</v>
      </c>
      <c r="H616" s="92" t="s">
        <v>10</v>
      </c>
    </row>
    <row r="617" spans="1:8" ht="21.75" customHeight="1" x14ac:dyDescent="0.25">
      <c r="A617" s="35">
        <v>44657</v>
      </c>
      <c r="B617" s="90" t="s">
        <v>11212</v>
      </c>
      <c r="C617" s="41" t="s">
        <v>664</v>
      </c>
      <c r="D617" s="87">
        <v>3039.2</v>
      </c>
      <c r="E617" s="35">
        <v>44657</v>
      </c>
      <c r="F617" s="87">
        <v>3039.2</v>
      </c>
      <c r="G617" s="91">
        <f>Tabla15[[#This Row],[Importe]]-Tabla15[[#This Row],[Pagado]]</f>
        <v>0</v>
      </c>
      <c r="H617" s="92" t="s">
        <v>10</v>
      </c>
    </row>
    <row r="618" spans="1:8" ht="21.75" customHeight="1" x14ac:dyDescent="0.25">
      <c r="A618" s="35">
        <v>44657</v>
      </c>
      <c r="B618" s="90" t="s">
        <v>11213</v>
      </c>
      <c r="C618" s="41" t="s">
        <v>214</v>
      </c>
      <c r="D618" s="87">
        <v>1161</v>
      </c>
      <c r="E618" s="35">
        <v>44657</v>
      </c>
      <c r="F618" s="87">
        <v>1161</v>
      </c>
      <c r="G618" s="91">
        <f>Tabla15[[#This Row],[Importe]]-Tabla15[[#This Row],[Pagado]]</f>
        <v>0</v>
      </c>
      <c r="H618" s="92" t="s">
        <v>10</v>
      </c>
    </row>
    <row r="619" spans="1:8" ht="21.75" customHeight="1" x14ac:dyDescent="0.25">
      <c r="A619" s="35">
        <v>44657</v>
      </c>
      <c r="B619" s="90" t="s">
        <v>11214</v>
      </c>
      <c r="C619" s="41" t="s">
        <v>664</v>
      </c>
      <c r="D619" s="87">
        <v>2060.4</v>
      </c>
      <c r="E619" s="35">
        <v>44657</v>
      </c>
      <c r="F619" s="87">
        <v>2060.4</v>
      </c>
      <c r="G619" s="91">
        <f>Tabla15[[#This Row],[Importe]]-Tabla15[[#This Row],[Pagado]]</f>
        <v>0</v>
      </c>
      <c r="H619" s="92" t="s">
        <v>10</v>
      </c>
    </row>
    <row r="620" spans="1:8" ht="21.75" customHeight="1" x14ac:dyDescent="0.25">
      <c r="A620" s="35">
        <v>44657</v>
      </c>
      <c r="B620" s="90" t="s">
        <v>11215</v>
      </c>
      <c r="C620" s="41" t="s">
        <v>845</v>
      </c>
      <c r="D620" s="87">
        <v>466.4</v>
      </c>
      <c r="E620" s="35">
        <v>44657</v>
      </c>
      <c r="F620" s="87">
        <v>466.4</v>
      </c>
      <c r="G620" s="91">
        <f>Tabla15[[#This Row],[Importe]]-Tabla15[[#This Row],[Pagado]]</f>
        <v>0</v>
      </c>
      <c r="H620" s="92" t="s">
        <v>10</v>
      </c>
    </row>
    <row r="621" spans="1:8" ht="21.75" customHeight="1" x14ac:dyDescent="0.25">
      <c r="A621" s="35">
        <v>44657</v>
      </c>
      <c r="B621" s="90" t="s">
        <v>11216</v>
      </c>
      <c r="C621" s="41" t="s">
        <v>994</v>
      </c>
      <c r="D621" s="87">
        <v>1323</v>
      </c>
      <c r="E621" s="35">
        <v>44657</v>
      </c>
      <c r="F621" s="87">
        <v>1323</v>
      </c>
      <c r="G621" s="91">
        <f>Tabla15[[#This Row],[Importe]]-Tabla15[[#This Row],[Pagado]]</f>
        <v>0</v>
      </c>
      <c r="H621" s="92" t="s">
        <v>10</v>
      </c>
    </row>
    <row r="622" spans="1:8" ht="21.75" customHeight="1" x14ac:dyDescent="0.25">
      <c r="A622" s="35">
        <v>44657</v>
      </c>
      <c r="B622" s="90" t="s">
        <v>11217</v>
      </c>
      <c r="C622" s="41" t="s">
        <v>9827</v>
      </c>
      <c r="D622" s="87">
        <v>518.4</v>
      </c>
      <c r="E622" s="35">
        <v>44657</v>
      </c>
      <c r="F622" s="87">
        <v>518.4</v>
      </c>
      <c r="G622" s="91">
        <f>Tabla15[[#This Row],[Importe]]-Tabla15[[#This Row],[Pagado]]</f>
        <v>0</v>
      </c>
      <c r="H622" s="92" t="s">
        <v>10</v>
      </c>
    </row>
    <row r="623" spans="1:8" ht="21.75" customHeight="1" x14ac:dyDescent="0.25">
      <c r="A623" s="35">
        <v>44657</v>
      </c>
      <c r="B623" s="90" t="s">
        <v>11218</v>
      </c>
      <c r="C623" s="41" t="s">
        <v>333</v>
      </c>
      <c r="D623" s="87">
        <v>4426.8</v>
      </c>
      <c r="E623" s="35">
        <v>44657</v>
      </c>
      <c r="F623" s="87">
        <v>4426.8</v>
      </c>
      <c r="G623" s="91">
        <f>Tabla15[[#This Row],[Importe]]-Tabla15[[#This Row],[Pagado]]</f>
        <v>0</v>
      </c>
      <c r="H623" s="92" t="s">
        <v>10</v>
      </c>
    </row>
    <row r="624" spans="1:8" ht="21.75" customHeight="1" x14ac:dyDescent="0.25">
      <c r="A624" s="35">
        <v>44657</v>
      </c>
      <c r="B624" s="90" t="s">
        <v>11219</v>
      </c>
      <c r="C624" s="41" t="s">
        <v>71</v>
      </c>
      <c r="D624" s="87">
        <v>4324.8</v>
      </c>
      <c r="E624" s="35">
        <v>44657</v>
      </c>
      <c r="F624" s="87">
        <v>4324.8</v>
      </c>
      <c r="G624" s="91">
        <f>Tabla15[[#This Row],[Importe]]-Tabla15[[#This Row],[Pagado]]</f>
        <v>0</v>
      </c>
      <c r="H624" s="92" t="s">
        <v>10</v>
      </c>
    </row>
    <row r="625" spans="1:8" ht="21.75" customHeight="1" x14ac:dyDescent="0.25">
      <c r="A625" s="35">
        <v>44657</v>
      </c>
      <c r="B625" s="90" t="s">
        <v>11220</v>
      </c>
      <c r="C625" s="41" t="s">
        <v>142</v>
      </c>
      <c r="D625" s="87">
        <v>56460</v>
      </c>
      <c r="E625" s="35">
        <v>44670</v>
      </c>
      <c r="F625" s="87">
        <v>56460</v>
      </c>
      <c r="G625" s="91">
        <f>Tabla15[[#This Row],[Importe]]-Tabla15[[#This Row],[Pagado]]</f>
        <v>0</v>
      </c>
      <c r="H625" s="92" t="s">
        <v>10</v>
      </c>
    </row>
    <row r="626" spans="1:8" ht="21.75" customHeight="1" x14ac:dyDescent="0.25">
      <c r="A626" s="35">
        <v>44657</v>
      </c>
      <c r="B626" s="90" t="s">
        <v>11221</v>
      </c>
      <c r="C626" s="41" t="s">
        <v>107</v>
      </c>
      <c r="D626" s="87">
        <v>7791</v>
      </c>
      <c r="E626" s="35">
        <v>44657</v>
      </c>
      <c r="F626" s="87">
        <v>7791</v>
      </c>
      <c r="G626" s="91">
        <f>Tabla15[[#This Row],[Importe]]-Tabla15[[#This Row],[Pagado]]</f>
        <v>0</v>
      </c>
      <c r="H626" s="92" t="s">
        <v>10</v>
      </c>
    </row>
    <row r="627" spans="1:8" ht="21.75" customHeight="1" x14ac:dyDescent="0.25">
      <c r="A627" s="35">
        <v>44657</v>
      </c>
      <c r="B627" s="90" t="s">
        <v>11222</v>
      </c>
      <c r="C627" s="41" t="s">
        <v>144</v>
      </c>
      <c r="D627" s="87">
        <v>2396</v>
      </c>
      <c r="E627" s="35">
        <v>44657</v>
      </c>
      <c r="F627" s="87">
        <v>2396</v>
      </c>
      <c r="G627" s="91">
        <f>Tabla15[[#This Row],[Importe]]-Tabla15[[#This Row],[Pagado]]</f>
        <v>0</v>
      </c>
      <c r="H627" s="92" t="s">
        <v>10</v>
      </c>
    </row>
    <row r="628" spans="1:8" ht="21.75" customHeight="1" x14ac:dyDescent="0.25">
      <c r="A628" s="35">
        <v>44657</v>
      </c>
      <c r="B628" s="90" t="s">
        <v>11223</v>
      </c>
      <c r="C628" s="41" t="s">
        <v>142</v>
      </c>
      <c r="D628" s="87">
        <v>704</v>
      </c>
      <c r="E628" s="35">
        <v>44670</v>
      </c>
      <c r="F628" s="87">
        <v>704</v>
      </c>
      <c r="G628" s="91">
        <f>Tabla15[[#This Row],[Importe]]-Tabla15[[#This Row],[Pagado]]</f>
        <v>0</v>
      </c>
      <c r="H628" s="92" t="s">
        <v>10</v>
      </c>
    </row>
    <row r="629" spans="1:8" ht="21.75" customHeight="1" x14ac:dyDescent="0.25">
      <c r="A629" s="35">
        <v>44657</v>
      </c>
      <c r="B629" s="90" t="s">
        <v>11224</v>
      </c>
      <c r="C629" s="41" t="s">
        <v>58</v>
      </c>
      <c r="D629" s="87">
        <v>3272</v>
      </c>
      <c r="E629" s="35">
        <v>44657</v>
      </c>
      <c r="F629" s="87">
        <v>3272</v>
      </c>
      <c r="G629" s="91">
        <f>Tabla15[[#This Row],[Importe]]-Tabla15[[#This Row],[Pagado]]</f>
        <v>0</v>
      </c>
      <c r="H629" s="92" t="s">
        <v>10</v>
      </c>
    </row>
    <row r="630" spans="1:8" ht="21.75" customHeight="1" x14ac:dyDescent="0.25">
      <c r="A630" s="35">
        <v>44657</v>
      </c>
      <c r="B630" s="90" t="s">
        <v>11225</v>
      </c>
      <c r="C630" s="41" t="s">
        <v>263</v>
      </c>
      <c r="D630" s="87">
        <v>15080</v>
      </c>
      <c r="E630" s="35">
        <v>44662</v>
      </c>
      <c r="F630" s="87">
        <v>15080</v>
      </c>
      <c r="G630" s="91">
        <f>Tabla15[[#This Row],[Importe]]-Tabla15[[#This Row],[Pagado]]</f>
        <v>0</v>
      </c>
      <c r="H630" s="92" t="s">
        <v>10</v>
      </c>
    </row>
    <row r="631" spans="1:8" ht="21.75" customHeight="1" x14ac:dyDescent="0.25">
      <c r="A631" s="35">
        <v>44657</v>
      </c>
      <c r="B631" s="90" t="s">
        <v>11226</v>
      </c>
      <c r="C631" s="41" t="s">
        <v>10826</v>
      </c>
      <c r="D631" s="87">
        <v>4155.2</v>
      </c>
      <c r="E631" s="35">
        <v>44657</v>
      </c>
      <c r="F631" s="87">
        <v>4155.2</v>
      </c>
      <c r="G631" s="91">
        <f>Tabla15[[#This Row],[Importe]]-Tabla15[[#This Row],[Pagado]]</f>
        <v>0</v>
      </c>
      <c r="H631" s="92" t="s">
        <v>10</v>
      </c>
    </row>
    <row r="632" spans="1:8" ht="21.75" customHeight="1" x14ac:dyDescent="0.25">
      <c r="A632" s="35">
        <v>44657</v>
      </c>
      <c r="B632" s="90" t="s">
        <v>11227</v>
      </c>
      <c r="C632" s="41" t="s">
        <v>71</v>
      </c>
      <c r="D632" s="87">
        <v>2670.6</v>
      </c>
      <c r="E632" s="35">
        <v>44657</v>
      </c>
      <c r="F632" s="87">
        <v>2670.6</v>
      </c>
      <c r="G632" s="91">
        <f>Tabla15[[#This Row],[Importe]]-Tabla15[[#This Row],[Pagado]]</f>
        <v>0</v>
      </c>
      <c r="H632" s="92" t="s">
        <v>10</v>
      </c>
    </row>
    <row r="633" spans="1:8" ht="21.75" customHeight="1" x14ac:dyDescent="0.25">
      <c r="A633" s="35">
        <v>44657</v>
      </c>
      <c r="B633" s="90" t="s">
        <v>11228</v>
      </c>
      <c r="C633" s="41" t="s">
        <v>698</v>
      </c>
      <c r="D633" s="87">
        <v>1149.4000000000001</v>
      </c>
      <c r="E633" s="35">
        <v>44657</v>
      </c>
      <c r="F633" s="87">
        <v>1149.4000000000001</v>
      </c>
      <c r="G633" s="91">
        <f>Tabla15[[#This Row],[Importe]]-Tabla15[[#This Row],[Pagado]]</f>
        <v>0</v>
      </c>
      <c r="H633" s="92" t="s">
        <v>10</v>
      </c>
    </row>
    <row r="634" spans="1:8" ht="21.75" customHeight="1" x14ac:dyDescent="0.25">
      <c r="A634" s="35">
        <v>44657</v>
      </c>
      <c r="B634" s="90" t="s">
        <v>11229</v>
      </c>
      <c r="C634" s="41" t="s">
        <v>31</v>
      </c>
      <c r="D634" s="87">
        <v>3967.3</v>
      </c>
      <c r="E634" s="35">
        <v>44657</v>
      </c>
      <c r="F634" s="87">
        <v>3967.3</v>
      </c>
      <c r="G634" s="91">
        <f>Tabla15[[#This Row],[Importe]]-Tabla15[[#This Row],[Pagado]]</f>
        <v>0</v>
      </c>
      <c r="H634" s="92" t="s">
        <v>10</v>
      </c>
    </row>
    <row r="635" spans="1:8" ht="21.75" customHeight="1" x14ac:dyDescent="0.25">
      <c r="A635" s="35">
        <v>44657</v>
      </c>
      <c r="B635" s="90" t="s">
        <v>11230</v>
      </c>
      <c r="C635" s="41" t="s">
        <v>31</v>
      </c>
      <c r="D635" s="87">
        <v>4482</v>
      </c>
      <c r="E635" s="35">
        <v>44657</v>
      </c>
      <c r="F635" s="87">
        <v>4482</v>
      </c>
      <c r="G635" s="91">
        <f>Tabla15[[#This Row],[Importe]]-Tabla15[[#This Row],[Pagado]]</f>
        <v>0</v>
      </c>
      <c r="H635" s="92" t="s">
        <v>10</v>
      </c>
    </row>
    <row r="636" spans="1:8" ht="21.75" customHeight="1" x14ac:dyDescent="0.25">
      <c r="A636" s="35">
        <v>44657</v>
      </c>
      <c r="B636" s="90" t="s">
        <v>11231</v>
      </c>
      <c r="C636" s="41" t="s">
        <v>843</v>
      </c>
      <c r="D636" s="87">
        <v>607.20000000000005</v>
      </c>
      <c r="E636" s="35">
        <v>44657</v>
      </c>
      <c r="F636" s="87">
        <v>607.20000000000005</v>
      </c>
      <c r="G636" s="91">
        <f>Tabla15[[#This Row],[Importe]]-Tabla15[[#This Row],[Pagado]]</f>
        <v>0</v>
      </c>
      <c r="H636" s="92" t="s">
        <v>10</v>
      </c>
    </row>
    <row r="637" spans="1:8" ht="21.75" customHeight="1" x14ac:dyDescent="0.25">
      <c r="A637" s="35">
        <v>44657</v>
      </c>
      <c r="B637" s="90" t="s">
        <v>11232</v>
      </c>
      <c r="C637" s="41" t="s">
        <v>414</v>
      </c>
      <c r="D637" s="87">
        <v>36.520000000000003</v>
      </c>
      <c r="E637" s="35">
        <v>44691</v>
      </c>
      <c r="F637" s="87">
        <v>36.520000000000003</v>
      </c>
      <c r="G637" s="91">
        <f>Tabla15[[#This Row],[Importe]]-Tabla15[[#This Row],[Pagado]]</f>
        <v>0</v>
      </c>
      <c r="H637" s="92" t="s">
        <v>10</v>
      </c>
    </row>
    <row r="638" spans="1:8" ht="21.75" customHeight="1" x14ac:dyDescent="0.25">
      <c r="A638" s="35">
        <v>44657</v>
      </c>
      <c r="B638" s="90" t="s">
        <v>11233</v>
      </c>
      <c r="C638" s="41" t="s">
        <v>284</v>
      </c>
      <c r="D638" s="87">
        <v>6723</v>
      </c>
      <c r="E638" s="35">
        <v>44658</v>
      </c>
      <c r="F638" s="87">
        <v>6723</v>
      </c>
      <c r="G638" s="91">
        <f>Tabla15[[#This Row],[Importe]]-Tabla15[[#This Row],[Pagado]]</f>
        <v>0</v>
      </c>
      <c r="H638" s="92" t="s">
        <v>10</v>
      </c>
    </row>
    <row r="639" spans="1:8" ht="21.75" customHeight="1" x14ac:dyDescent="0.25">
      <c r="A639" s="35">
        <v>44657</v>
      </c>
      <c r="B639" s="90" t="s">
        <v>11234</v>
      </c>
      <c r="C639" s="41" t="s">
        <v>282</v>
      </c>
      <c r="D639" s="87">
        <v>1825.2</v>
      </c>
      <c r="E639" s="35">
        <v>44658</v>
      </c>
      <c r="F639" s="87">
        <v>1825.2</v>
      </c>
      <c r="G639" s="91">
        <f>Tabla15[[#This Row],[Importe]]-Tabla15[[#This Row],[Pagado]]</f>
        <v>0</v>
      </c>
      <c r="H639" s="92" t="s">
        <v>10</v>
      </c>
    </row>
    <row r="640" spans="1:8" ht="21.75" customHeight="1" x14ac:dyDescent="0.25">
      <c r="A640" s="35">
        <v>44657</v>
      </c>
      <c r="B640" s="90" t="s">
        <v>11235</v>
      </c>
      <c r="C640" s="41" t="s">
        <v>280</v>
      </c>
      <c r="D640" s="87">
        <v>615.6</v>
      </c>
      <c r="E640" s="35">
        <v>44658</v>
      </c>
      <c r="F640" s="87">
        <v>615.6</v>
      </c>
      <c r="G640" s="91">
        <f>Tabla15[[#This Row],[Importe]]-Tabla15[[#This Row],[Pagado]]</f>
        <v>0</v>
      </c>
      <c r="H640" s="92" t="s">
        <v>10</v>
      </c>
    </row>
    <row r="641" spans="1:8" ht="21.75" customHeight="1" x14ac:dyDescent="0.25">
      <c r="A641" s="35">
        <v>44657</v>
      </c>
      <c r="B641" s="90" t="s">
        <v>11236</v>
      </c>
      <c r="C641" s="41" t="s">
        <v>291</v>
      </c>
      <c r="D641" s="87">
        <v>4789.3</v>
      </c>
      <c r="E641" s="35">
        <v>44658</v>
      </c>
      <c r="F641" s="87">
        <v>4789.3</v>
      </c>
      <c r="G641" s="91">
        <f>Tabla15[[#This Row],[Importe]]-Tabla15[[#This Row],[Pagado]]</f>
        <v>0</v>
      </c>
      <c r="H641" s="92" t="s">
        <v>10</v>
      </c>
    </row>
    <row r="642" spans="1:8" ht="21.75" customHeight="1" x14ac:dyDescent="0.25">
      <c r="A642" s="35">
        <v>44657</v>
      </c>
      <c r="B642" s="90" t="s">
        <v>11237</v>
      </c>
      <c r="C642" s="41" t="s">
        <v>435</v>
      </c>
      <c r="D642" s="87">
        <v>1486.8</v>
      </c>
      <c r="E642" s="35">
        <v>44657</v>
      </c>
      <c r="F642" s="87">
        <v>1486.8</v>
      </c>
      <c r="G642" s="91">
        <f>Tabla15[[#This Row],[Importe]]-Tabla15[[#This Row],[Pagado]]</f>
        <v>0</v>
      </c>
      <c r="H642" s="92" t="s">
        <v>10</v>
      </c>
    </row>
    <row r="643" spans="1:8" ht="21.75" customHeight="1" x14ac:dyDescent="0.25">
      <c r="A643" s="35">
        <v>44657</v>
      </c>
      <c r="B643" s="90" t="s">
        <v>11238</v>
      </c>
      <c r="C643" s="41" t="s">
        <v>484</v>
      </c>
      <c r="D643" s="87">
        <v>3552.5</v>
      </c>
      <c r="E643" s="35">
        <v>44657</v>
      </c>
      <c r="F643" s="87">
        <v>3552.5</v>
      </c>
      <c r="G643" s="91">
        <f>Tabla15[[#This Row],[Importe]]-Tabla15[[#This Row],[Pagado]]</f>
        <v>0</v>
      </c>
      <c r="H643" s="92" t="s">
        <v>10</v>
      </c>
    </row>
    <row r="644" spans="1:8" ht="21.75" customHeight="1" x14ac:dyDescent="0.25">
      <c r="A644" s="35">
        <v>44657</v>
      </c>
      <c r="B644" s="90" t="s">
        <v>11239</v>
      </c>
      <c r="C644" s="41" t="s">
        <v>31</v>
      </c>
      <c r="D644" s="87">
        <v>812</v>
      </c>
      <c r="E644" s="35">
        <v>44657</v>
      </c>
      <c r="F644" s="87">
        <v>812</v>
      </c>
      <c r="G644" s="91">
        <f>Tabla15[[#This Row],[Importe]]-Tabla15[[#This Row],[Pagado]]</f>
        <v>0</v>
      </c>
      <c r="H644" s="92" t="s">
        <v>10</v>
      </c>
    </row>
    <row r="645" spans="1:8" ht="21.75" customHeight="1" x14ac:dyDescent="0.25">
      <c r="A645" s="35">
        <v>44657</v>
      </c>
      <c r="B645" s="90" t="s">
        <v>11240</v>
      </c>
      <c r="C645" s="41" t="s">
        <v>1421</v>
      </c>
      <c r="D645" s="87">
        <v>34836.6</v>
      </c>
      <c r="E645" s="35">
        <v>44657</v>
      </c>
      <c r="F645" s="87">
        <v>34836.6</v>
      </c>
      <c r="G645" s="91">
        <f>Tabla15[[#This Row],[Importe]]-Tabla15[[#This Row],[Pagado]]</f>
        <v>0</v>
      </c>
      <c r="H645" s="92" t="s">
        <v>10</v>
      </c>
    </row>
    <row r="646" spans="1:8" ht="21.75" customHeight="1" x14ac:dyDescent="0.25">
      <c r="A646" s="35">
        <v>44657</v>
      </c>
      <c r="B646" s="90" t="s">
        <v>11241</v>
      </c>
      <c r="C646" s="41" t="s">
        <v>10840</v>
      </c>
      <c r="D646" s="87">
        <v>551.6</v>
      </c>
      <c r="E646" s="35">
        <v>44657</v>
      </c>
      <c r="F646" s="87">
        <v>551.6</v>
      </c>
      <c r="G646" s="91">
        <f>Tabla15[[#This Row],[Importe]]-Tabla15[[#This Row],[Pagado]]</f>
        <v>0</v>
      </c>
      <c r="H646" s="92" t="s">
        <v>10</v>
      </c>
    </row>
    <row r="647" spans="1:8" ht="21.75" customHeight="1" x14ac:dyDescent="0.25">
      <c r="A647" s="35">
        <v>44657</v>
      </c>
      <c r="B647" s="90" t="s">
        <v>11242</v>
      </c>
      <c r="C647" s="41" t="s">
        <v>857</v>
      </c>
      <c r="D647" s="87">
        <v>400.8</v>
      </c>
      <c r="E647" s="35">
        <v>44657</v>
      </c>
      <c r="F647" s="87">
        <v>400.8</v>
      </c>
      <c r="G647" s="91">
        <f>Tabla15[[#This Row],[Importe]]-Tabla15[[#This Row],[Pagado]]</f>
        <v>0</v>
      </c>
      <c r="H647" s="92" t="s">
        <v>10</v>
      </c>
    </row>
    <row r="648" spans="1:8" ht="21.75" customHeight="1" x14ac:dyDescent="0.25">
      <c r="A648" s="35">
        <v>44657</v>
      </c>
      <c r="B648" s="90" t="s">
        <v>11243</v>
      </c>
      <c r="C648" s="41" t="s">
        <v>179</v>
      </c>
      <c r="D648" s="87">
        <v>999</v>
      </c>
      <c r="E648" s="35">
        <v>44657</v>
      </c>
      <c r="F648" s="87">
        <v>999</v>
      </c>
      <c r="G648" s="91">
        <f>Tabla15[[#This Row],[Importe]]-Tabla15[[#This Row],[Pagado]]</f>
        <v>0</v>
      </c>
      <c r="H648" s="92" t="s">
        <v>10</v>
      </c>
    </row>
    <row r="649" spans="1:8" ht="21.75" customHeight="1" x14ac:dyDescent="0.25">
      <c r="A649" s="35">
        <v>44657</v>
      </c>
      <c r="B649" s="90" t="s">
        <v>11244</v>
      </c>
      <c r="C649" s="41" t="s">
        <v>208</v>
      </c>
      <c r="D649" s="87">
        <v>3986.35</v>
      </c>
      <c r="E649" s="35">
        <v>44660</v>
      </c>
      <c r="F649" s="87">
        <v>3986.35</v>
      </c>
      <c r="G649" s="91">
        <f>Tabla15[[#This Row],[Importe]]-Tabla15[[#This Row],[Pagado]]</f>
        <v>0</v>
      </c>
      <c r="H649" s="92" t="s">
        <v>10</v>
      </c>
    </row>
    <row r="650" spans="1:8" ht="21.75" customHeight="1" x14ac:dyDescent="0.25">
      <c r="A650" s="35">
        <v>44657</v>
      </c>
      <c r="B650" s="90" t="s">
        <v>11245</v>
      </c>
      <c r="C650" s="41" t="s">
        <v>11246</v>
      </c>
      <c r="D650" s="87">
        <v>0</v>
      </c>
      <c r="E650" s="39" t="s">
        <v>189</v>
      </c>
      <c r="F650" s="87">
        <v>0</v>
      </c>
      <c r="G650" s="91">
        <f>Tabla15[[#This Row],[Importe]]-Tabla15[[#This Row],[Pagado]]</f>
        <v>0</v>
      </c>
      <c r="H650" s="92" t="s">
        <v>189</v>
      </c>
    </row>
    <row r="651" spans="1:8" ht="21.75" customHeight="1" x14ac:dyDescent="0.25">
      <c r="A651" s="35">
        <v>44657</v>
      </c>
      <c r="B651" s="90" t="s">
        <v>11247</v>
      </c>
      <c r="C651" s="41" t="s">
        <v>191</v>
      </c>
      <c r="D651" s="87">
        <v>1014</v>
      </c>
      <c r="E651" s="35">
        <v>44657</v>
      </c>
      <c r="F651" s="87">
        <v>1014</v>
      </c>
      <c r="G651" s="91">
        <f>Tabla15[[#This Row],[Importe]]-Tabla15[[#This Row],[Pagado]]</f>
        <v>0</v>
      </c>
      <c r="H651" s="92" t="s">
        <v>10</v>
      </c>
    </row>
    <row r="652" spans="1:8" ht="21.75" customHeight="1" x14ac:dyDescent="0.25">
      <c r="A652" s="35">
        <v>44657</v>
      </c>
      <c r="B652" s="90" t="s">
        <v>11248</v>
      </c>
      <c r="C652" s="41" t="s">
        <v>610</v>
      </c>
      <c r="D652" s="87">
        <v>20434</v>
      </c>
      <c r="E652" s="35">
        <v>44657</v>
      </c>
      <c r="F652" s="87">
        <v>20434</v>
      </c>
      <c r="G652" s="91">
        <f>Tabla15[[#This Row],[Importe]]-Tabla15[[#This Row],[Pagado]]</f>
        <v>0</v>
      </c>
      <c r="H652" s="92" t="s">
        <v>10</v>
      </c>
    </row>
    <row r="653" spans="1:8" ht="21.75" customHeight="1" x14ac:dyDescent="0.25">
      <c r="A653" s="35">
        <v>44657</v>
      </c>
      <c r="B653" s="90" t="s">
        <v>11249</v>
      </c>
      <c r="C653" s="41" t="s">
        <v>53</v>
      </c>
      <c r="D653" s="87">
        <v>2812</v>
      </c>
      <c r="E653" s="35">
        <v>44657</v>
      </c>
      <c r="F653" s="87">
        <v>2812</v>
      </c>
      <c r="G653" s="91">
        <f>Tabla15[[#This Row],[Importe]]-Tabla15[[#This Row],[Pagado]]</f>
        <v>0</v>
      </c>
      <c r="H653" s="92" t="s">
        <v>10</v>
      </c>
    </row>
    <row r="654" spans="1:8" ht="21.75" customHeight="1" x14ac:dyDescent="0.25">
      <c r="A654" s="35">
        <v>44657</v>
      </c>
      <c r="B654" s="90" t="s">
        <v>11250</v>
      </c>
      <c r="C654" s="41" t="s">
        <v>69</v>
      </c>
      <c r="D654" s="87">
        <v>1539</v>
      </c>
      <c r="E654" s="35">
        <v>44657</v>
      </c>
      <c r="F654" s="87">
        <v>1539</v>
      </c>
      <c r="G654" s="91">
        <f>Tabla15[[#This Row],[Importe]]-Tabla15[[#This Row],[Pagado]]</f>
        <v>0</v>
      </c>
      <c r="H654" s="92" t="s">
        <v>10</v>
      </c>
    </row>
    <row r="655" spans="1:8" ht="21.75" customHeight="1" x14ac:dyDescent="0.25">
      <c r="A655" s="35">
        <v>44657</v>
      </c>
      <c r="B655" s="90" t="s">
        <v>11251</v>
      </c>
      <c r="C655" s="41" t="s">
        <v>31</v>
      </c>
      <c r="D655" s="87">
        <v>42</v>
      </c>
      <c r="E655" s="35">
        <v>44657</v>
      </c>
      <c r="F655" s="87">
        <v>42</v>
      </c>
      <c r="G655" s="91">
        <f>Tabla15[[#This Row],[Importe]]-Tabla15[[#This Row],[Pagado]]</f>
        <v>0</v>
      </c>
      <c r="H655" s="92" t="s">
        <v>10</v>
      </c>
    </row>
    <row r="656" spans="1:8" ht="21.75" customHeight="1" x14ac:dyDescent="0.25">
      <c r="A656" s="35">
        <v>44657</v>
      </c>
      <c r="B656" s="90" t="s">
        <v>11252</v>
      </c>
      <c r="C656" s="41" t="s">
        <v>296</v>
      </c>
      <c r="D656" s="87">
        <v>2332</v>
      </c>
      <c r="E656" s="35">
        <v>44657</v>
      </c>
      <c r="F656" s="87">
        <v>2332</v>
      </c>
      <c r="G656" s="91">
        <f>Tabla15[[#This Row],[Importe]]-Tabla15[[#This Row],[Pagado]]</f>
        <v>0</v>
      </c>
      <c r="H656" s="92" t="s">
        <v>10</v>
      </c>
    </row>
    <row r="657" spans="1:8" ht="21.75" customHeight="1" x14ac:dyDescent="0.25">
      <c r="A657" s="35">
        <v>44657</v>
      </c>
      <c r="B657" s="90" t="s">
        <v>11253</v>
      </c>
      <c r="C657" s="41" t="s">
        <v>275</v>
      </c>
      <c r="D657" s="87">
        <v>89873.22</v>
      </c>
      <c r="E657" s="35">
        <v>44670</v>
      </c>
      <c r="F657" s="87">
        <v>89873.22</v>
      </c>
      <c r="G657" s="91">
        <f>Tabla15[[#This Row],[Importe]]-Tabla15[[#This Row],[Pagado]]</f>
        <v>0</v>
      </c>
      <c r="H657" s="92" t="s">
        <v>10</v>
      </c>
    </row>
    <row r="658" spans="1:8" ht="21.75" customHeight="1" x14ac:dyDescent="0.25">
      <c r="A658" s="35">
        <v>44657</v>
      </c>
      <c r="B658" s="90" t="s">
        <v>11254</v>
      </c>
      <c r="C658" s="41" t="s">
        <v>31</v>
      </c>
      <c r="D658" s="87">
        <v>100.8</v>
      </c>
      <c r="E658" s="35">
        <v>44657</v>
      </c>
      <c r="F658" s="87">
        <v>100.8</v>
      </c>
      <c r="G658" s="91">
        <f>Tabla15[[#This Row],[Importe]]-Tabla15[[#This Row],[Pagado]]</f>
        <v>0</v>
      </c>
      <c r="H658" s="92" t="s">
        <v>10</v>
      </c>
    </row>
    <row r="659" spans="1:8" ht="21.75" customHeight="1" x14ac:dyDescent="0.25">
      <c r="A659" s="35">
        <v>44657</v>
      </c>
      <c r="B659" s="90" t="s">
        <v>11255</v>
      </c>
      <c r="C659" s="41" t="s">
        <v>275</v>
      </c>
      <c r="D659" s="87">
        <v>71093.8</v>
      </c>
      <c r="E659" s="35">
        <v>44670</v>
      </c>
      <c r="F659" s="87">
        <v>71093.8</v>
      </c>
      <c r="G659" s="91">
        <f>Tabla15[[#This Row],[Importe]]-Tabla15[[#This Row],[Pagado]]</f>
        <v>0</v>
      </c>
      <c r="H659" s="92" t="s">
        <v>10</v>
      </c>
    </row>
    <row r="660" spans="1:8" ht="21.75" customHeight="1" x14ac:dyDescent="0.25">
      <c r="A660" s="35">
        <v>44658</v>
      </c>
      <c r="B660" s="90" t="s">
        <v>11256</v>
      </c>
      <c r="C660" s="41" t="s">
        <v>75</v>
      </c>
      <c r="D660" s="87">
        <v>7074</v>
      </c>
      <c r="E660" s="35">
        <v>44658</v>
      </c>
      <c r="F660" s="87">
        <v>7074</v>
      </c>
      <c r="G660" s="91">
        <f>Tabla15[[#This Row],[Importe]]-Tabla15[[#This Row],[Pagado]]</f>
        <v>0</v>
      </c>
      <c r="H660" s="92" t="s">
        <v>10</v>
      </c>
    </row>
    <row r="661" spans="1:8" ht="21.75" customHeight="1" x14ac:dyDescent="0.25">
      <c r="A661" s="35">
        <v>44658</v>
      </c>
      <c r="B661" s="90" t="s">
        <v>11257</v>
      </c>
      <c r="C661" s="41" t="s">
        <v>85</v>
      </c>
      <c r="D661" s="87">
        <v>2623</v>
      </c>
      <c r="E661" s="35">
        <v>44658</v>
      </c>
      <c r="F661" s="87">
        <v>2623</v>
      </c>
      <c r="G661" s="91">
        <f>Tabla15[[#This Row],[Importe]]-Tabla15[[#This Row],[Pagado]]</f>
        <v>0</v>
      </c>
      <c r="H661" s="92" t="s">
        <v>10</v>
      </c>
    </row>
    <row r="662" spans="1:8" ht="21.75" customHeight="1" x14ac:dyDescent="0.25">
      <c r="A662" s="35">
        <v>44658</v>
      </c>
      <c r="B662" s="90" t="s">
        <v>11258</v>
      </c>
      <c r="C662" s="41" t="s">
        <v>887</v>
      </c>
      <c r="D662" s="87">
        <v>9041.7999999999993</v>
      </c>
      <c r="E662" s="35">
        <v>44662</v>
      </c>
      <c r="F662" s="87">
        <v>9041.7999999999993</v>
      </c>
      <c r="G662" s="91">
        <f>Tabla15[[#This Row],[Importe]]-Tabla15[[#This Row],[Pagado]]</f>
        <v>0</v>
      </c>
      <c r="H662" s="92" t="s">
        <v>10</v>
      </c>
    </row>
    <row r="663" spans="1:8" ht="21.75" customHeight="1" x14ac:dyDescent="0.25">
      <c r="A663" s="35">
        <v>44658</v>
      </c>
      <c r="B663" s="90" t="s">
        <v>11259</v>
      </c>
      <c r="C663" s="41" t="s">
        <v>618</v>
      </c>
      <c r="D663" s="87">
        <v>9129</v>
      </c>
      <c r="E663" s="35">
        <v>44658</v>
      </c>
      <c r="F663" s="87">
        <v>9129</v>
      </c>
      <c r="G663" s="91">
        <f>Tabla15[[#This Row],[Importe]]-Tabla15[[#This Row],[Pagado]]</f>
        <v>0</v>
      </c>
      <c r="H663" s="92" t="s">
        <v>10</v>
      </c>
    </row>
    <row r="664" spans="1:8" ht="31.5" x14ac:dyDescent="0.25">
      <c r="A664" s="35">
        <v>44658</v>
      </c>
      <c r="B664" s="90" t="s">
        <v>11260</v>
      </c>
      <c r="C664" s="41" t="s">
        <v>475</v>
      </c>
      <c r="D664" s="87">
        <v>79273.3</v>
      </c>
      <c r="E664" s="35" t="s">
        <v>11261</v>
      </c>
      <c r="F664" s="87">
        <f>53000+26273.3</f>
        <v>79273.3</v>
      </c>
      <c r="G664" s="91">
        <f>Tabla15[[#This Row],[Importe]]-Tabla15[[#This Row],[Pagado]]</f>
        <v>0</v>
      </c>
      <c r="H664" s="92" t="s">
        <v>10</v>
      </c>
    </row>
    <row r="665" spans="1:8" ht="21.75" customHeight="1" x14ac:dyDescent="0.25">
      <c r="A665" s="35">
        <v>44658</v>
      </c>
      <c r="B665" s="90" t="s">
        <v>11262</v>
      </c>
      <c r="C665" s="41" t="s">
        <v>95</v>
      </c>
      <c r="D665" s="87">
        <v>21466.400000000001</v>
      </c>
      <c r="E665" s="35">
        <v>44658</v>
      </c>
      <c r="F665" s="87">
        <v>21466.400000000001</v>
      </c>
      <c r="G665" s="91">
        <f>Tabla15[[#This Row],[Importe]]-Tabla15[[#This Row],[Pagado]]</f>
        <v>0</v>
      </c>
      <c r="H665" s="92" t="s">
        <v>10</v>
      </c>
    </row>
    <row r="666" spans="1:8" ht="21.75" customHeight="1" x14ac:dyDescent="0.25">
      <c r="A666" s="35">
        <v>44658</v>
      </c>
      <c r="B666" s="90" t="s">
        <v>11263</v>
      </c>
      <c r="C666" s="41" t="s">
        <v>481</v>
      </c>
      <c r="D666" s="87">
        <v>583.29999999999995</v>
      </c>
      <c r="E666" s="35">
        <v>44658</v>
      </c>
      <c r="F666" s="87">
        <v>583.29999999999995</v>
      </c>
      <c r="G666" s="91">
        <f>Tabla15[[#This Row],[Importe]]-Tabla15[[#This Row],[Pagado]]</f>
        <v>0</v>
      </c>
      <c r="H666" s="92" t="s">
        <v>10</v>
      </c>
    </row>
    <row r="667" spans="1:8" ht="21.75" customHeight="1" x14ac:dyDescent="0.25">
      <c r="A667" s="35">
        <v>44658</v>
      </c>
      <c r="B667" s="90" t="s">
        <v>11264</v>
      </c>
      <c r="C667" s="41" t="s">
        <v>353</v>
      </c>
      <c r="D667" s="87">
        <v>630.5</v>
      </c>
      <c r="E667" s="35">
        <v>44658</v>
      </c>
      <c r="F667" s="87">
        <v>630.5</v>
      </c>
      <c r="G667" s="91">
        <f>Tabla15[[#This Row],[Importe]]-Tabla15[[#This Row],[Pagado]]</f>
        <v>0</v>
      </c>
      <c r="H667" s="92" t="s">
        <v>10</v>
      </c>
    </row>
    <row r="668" spans="1:8" ht="21.75" customHeight="1" x14ac:dyDescent="0.25">
      <c r="A668" s="35">
        <v>44658</v>
      </c>
      <c r="B668" s="90" t="s">
        <v>11265</v>
      </c>
      <c r="C668" s="41" t="s">
        <v>12</v>
      </c>
      <c r="D668" s="87">
        <v>26571.25</v>
      </c>
      <c r="E668" s="35">
        <v>44658</v>
      </c>
      <c r="F668" s="87">
        <v>26571.25</v>
      </c>
      <c r="G668" s="91">
        <f>Tabla15[[#This Row],[Importe]]-Tabla15[[#This Row],[Pagado]]</f>
        <v>0</v>
      </c>
      <c r="H668" s="92" t="s">
        <v>10</v>
      </c>
    </row>
    <row r="669" spans="1:8" ht="21.75" customHeight="1" x14ac:dyDescent="0.25">
      <c r="A669" s="35">
        <v>44658</v>
      </c>
      <c r="B669" s="90" t="s">
        <v>11266</v>
      </c>
      <c r="C669" s="41" t="s">
        <v>9</v>
      </c>
      <c r="D669" s="87">
        <v>6747</v>
      </c>
      <c r="E669" s="35">
        <v>44658</v>
      </c>
      <c r="F669" s="87">
        <v>6747</v>
      </c>
      <c r="G669" s="91">
        <f>Tabla15[[#This Row],[Importe]]-Tabla15[[#This Row],[Pagado]]</f>
        <v>0</v>
      </c>
      <c r="H669" s="92" t="s">
        <v>10</v>
      </c>
    </row>
    <row r="670" spans="1:8" ht="21.75" customHeight="1" x14ac:dyDescent="0.25">
      <c r="A670" s="35">
        <v>44658</v>
      </c>
      <c r="B670" s="90" t="s">
        <v>11267</v>
      </c>
      <c r="C670" s="41" t="s">
        <v>53</v>
      </c>
      <c r="D670" s="87">
        <v>1848</v>
      </c>
      <c r="E670" s="35">
        <v>44658</v>
      </c>
      <c r="F670" s="87">
        <v>1848</v>
      </c>
      <c r="G670" s="91">
        <f>Tabla15[[#This Row],[Importe]]-Tabla15[[#This Row],[Pagado]]</f>
        <v>0</v>
      </c>
      <c r="H670" s="92" t="s">
        <v>10</v>
      </c>
    </row>
    <row r="671" spans="1:8" ht="21.75" customHeight="1" x14ac:dyDescent="0.25">
      <c r="A671" s="35">
        <v>44658</v>
      </c>
      <c r="B671" s="90" t="s">
        <v>11268</v>
      </c>
      <c r="C671" s="41" t="s">
        <v>20</v>
      </c>
      <c r="D671" s="87">
        <v>2900.4</v>
      </c>
      <c r="E671" s="35">
        <v>44658</v>
      </c>
      <c r="F671" s="87">
        <v>2900.4</v>
      </c>
      <c r="G671" s="91">
        <f>Tabla15[[#This Row],[Importe]]-Tabla15[[#This Row],[Pagado]]</f>
        <v>0</v>
      </c>
      <c r="H671" s="92" t="s">
        <v>10</v>
      </c>
    </row>
    <row r="672" spans="1:8" ht="21.75" customHeight="1" x14ac:dyDescent="0.25">
      <c r="A672" s="35">
        <v>44658</v>
      </c>
      <c r="B672" s="90" t="s">
        <v>11269</v>
      </c>
      <c r="C672" s="41" t="s">
        <v>175</v>
      </c>
      <c r="D672" s="87">
        <v>21960.6</v>
      </c>
      <c r="E672" s="35">
        <v>44658</v>
      </c>
      <c r="F672" s="87">
        <v>21960.6</v>
      </c>
      <c r="G672" s="91">
        <f>Tabla15[[#This Row],[Importe]]-Tabla15[[#This Row],[Pagado]]</f>
        <v>0</v>
      </c>
      <c r="H672" s="92" t="s">
        <v>10</v>
      </c>
    </row>
    <row r="673" spans="1:8" ht="21.75" customHeight="1" x14ac:dyDescent="0.25">
      <c r="A673" s="35">
        <v>44658</v>
      </c>
      <c r="B673" s="90" t="s">
        <v>11270</v>
      </c>
      <c r="C673" s="41" t="s">
        <v>1558</v>
      </c>
      <c r="D673" s="87">
        <v>2178.8000000000002</v>
      </c>
      <c r="E673" s="35">
        <v>44658</v>
      </c>
      <c r="F673" s="87">
        <v>2178.8000000000002</v>
      </c>
      <c r="G673" s="91">
        <f>Tabla15[[#This Row],[Importe]]-Tabla15[[#This Row],[Pagado]]</f>
        <v>0</v>
      </c>
      <c r="H673" s="92" t="s">
        <v>10</v>
      </c>
    </row>
    <row r="674" spans="1:8" ht="21.75" customHeight="1" x14ac:dyDescent="0.25">
      <c r="A674" s="35">
        <v>44658</v>
      </c>
      <c r="B674" s="90" t="s">
        <v>11271</v>
      </c>
      <c r="C674" s="41" t="s">
        <v>181</v>
      </c>
      <c r="D674" s="87">
        <v>3695.2</v>
      </c>
      <c r="E674" s="35">
        <v>44658</v>
      </c>
      <c r="F674" s="87">
        <v>3695.2</v>
      </c>
      <c r="G674" s="91">
        <f>Tabla15[[#This Row],[Importe]]-Tabla15[[#This Row],[Pagado]]</f>
        <v>0</v>
      </c>
      <c r="H674" s="92" t="s">
        <v>10</v>
      </c>
    </row>
    <row r="675" spans="1:8" ht="21.75" customHeight="1" x14ac:dyDescent="0.25">
      <c r="A675" s="35">
        <v>44658</v>
      </c>
      <c r="B675" s="90" t="s">
        <v>11272</v>
      </c>
      <c r="C675" s="41" t="s">
        <v>1239</v>
      </c>
      <c r="D675" s="87">
        <v>9000</v>
      </c>
      <c r="E675" s="35">
        <v>44658</v>
      </c>
      <c r="F675" s="87">
        <v>9000</v>
      </c>
      <c r="G675" s="91">
        <f>Tabla15[[#This Row],[Importe]]-Tabla15[[#This Row],[Pagado]]</f>
        <v>0</v>
      </c>
      <c r="H675" s="92" t="s">
        <v>10</v>
      </c>
    </row>
    <row r="676" spans="1:8" ht="21.75" customHeight="1" x14ac:dyDescent="0.25">
      <c r="A676" s="35">
        <v>44658</v>
      </c>
      <c r="B676" s="90" t="s">
        <v>11273</v>
      </c>
      <c r="C676" s="41" t="s">
        <v>200</v>
      </c>
      <c r="D676" s="87">
        <v>1474.2</v>
      </c>
      <c r="E676" s="35">
        <v>44658</v>
      </c>
      <c r="F676" s="87">
        <v>1474.2</v>
      </c>
      <c r="G676" s="91">
        <f>Tabla15[[#This Row],[Importe]]-Tabla15[[#This Row],[Pagado]]</f>
        <v>0</v>
      </c>
      <c r="H676" s="92" t="s">
        <v>10</v>
      </c>
    </row>
    <row r="677" spans="1:8" ht="21.75" customHeight="1" x14ac:dyDescent="0.25">
      <c r="A677" s="35">
        <v>44658</v>
      </c>
      <c r="B677" s="90" t="s">
        <v>11274</v>
      </c>
      <c r="C677" s="41" t="s">
        <v>109</v>
      </c>
      <c r="D677" s="87">
        <v>4284</v>
      </c>
      <c r="E677" s="35">
        <v>44659</v>
      </c>
      <c r="F677" s="87">
        <v>4284</v>
      </c>
      <c r="G677" s="91">
        <f>Tabla15[[#This Row],[Importe]]-Tabla15[[#This Row],[Pagado]]</f>
        <v>0</v>
      </c>
      <c r="H677" s="92" t="s">
        <v>10</v>
      </c>
    </row>
    <row r="678" spans="1:8" ht="21.75" customHeight="1" x14ac:dyDescent="0.25">
      <c r="A678" s="35">
        <v>44658</v>
      </c>
      <c r="B678" s="90" t="s">
        <v>11275</v>
      </c>
      <c r="C678" s="41" t="s">
        <v>10742</v>
      </c>
      <c r="D678" s="87">
        <v>8455.7999999999993</v>
      </c>
      <c r="E678" s="35">
        <v>44659</v>
      </c>
      <c r="F678" s="87">
        <v>8455.7999999999993</v>
      </c>
      <c r="G678" s="91">
        <f>Tabla15[[#This Row],[Importe]]-Tabla15[[#This Row],[Pagado]]</f>
        <v>0</v>
      </c>
      <c r="H678" s="92" t="s">
        <v>10</v>
      </c>
    </row>
    <row r="679" spans="1:8" ht="21.75" customHeight="1" x14ac:dyDescent="0.25">
      <c r="A679" s="35">
        <v>44658</v>
      </c>
      <c r="B679" s="90" t="s">
        <v>11276</v>
      </c>
      <c r="C679" s="41" t="s">
        <v>473</v>
      </c>
      <c r="D679" s="87">
        <v>10645</v>
      </c>
      <c r="E679" s="35">
        <v>44658</v>
      </c>
      <c r="F679" s="87">
        <v>10645</v>
      </c>
      <c r="G679" s="91">
        <f>Tabla15[[#This Row],[Importe]]-Tabla15[[#This Row],[Pagado]]</f>
        <v>0</v>
      </c>
      <c r="H679" s="92" t="s">
        <v>10</v>
      </c>
    </row>
    <row r="680" spans="1:8" ht="21.75" customHeight="1" x14ac:dyDescent="0.25">
      <c r="A680" s="35">
        <v>44658</v>
      </c>
      <c r="B680" s="90" t="s">
        <v>11277</v>
      </c>
      <c r="C680" s="41" t="s">
        <v>473</v>
      </c>
      <c r="D680" s="87">
        <v>917.6</v>
      </c>
      <c r="E680" s="35">
        <v>44658</v>
      </c>
      <c r="F680" s="87">
        <v>917.6</v>
      </c>
      <c r="G680" s="91">
        <f>Tabla15[[#This Row],[Importe]]-Tabla15[[#This Row],[Pagado]]</f>
        <v>0</v>
      </c>
      <c r="H680" s="92" t="s">
        <v>10</v>
      </c>
    </row>
    <row r="681" spans="1:8" ht="21.75" customHeight="1" x14ac:dyDescent="0.25">
      <c r="A681" s="35">
        <v>44658</v>
      </c>
      <c r="B681" s="90" t="s">
        <v>11278</v>
      </c>
      <c r="C681" s="41" t="s">
        <v>120</v>
      </c>
      <c r="D681" s="87">
        <v>4028</v>
      </c>
      <c r="E681" s="35">
        <v>44660</v>
      </c>
      <c r="F681" s="87">
        <v>4028</v>
      </c>
      <c r="G681" s="91">
        <f>Tabla15[[#This Row],[Importe]]-Tabla15[[#This Row],[Pagado]]</f>
        <v>0</v>
      </c>
      <c r="H681" s="92" t="s">
        <v>10</v>
      </c>
    </row>
    <row r="682" spans="1:8" ht="21.75" customHeight="1" x14ac:dyDescent="0.25">
      <c r="A682" s="35">
        <v>44658</v>
      </c>
      <c r="B682" s="90" t="s">
        <v>11279</v>
      </c>
      <c r="C682" s="41" t="s">
        <v>426</v>
      </c>
      <c r="D682" s="87">
        <v>5687.7</v>
      </c>
      <c r="E682" s="35">
        <v>44658</v>
      </c>
      <c r="F682" s="87">
        <v>5687.7</v>
      </c>
      <c r="G682" s="91">
        <f>Tabla15[[#This Row],[Importe]]-Tabla15[[#This Row],[Pagado]]</f>
        <v>0</v>
      </c>
      <c r="H682" s="92" t="s">
        <v>10</v>
      </c>
    </row>
    <row r="683" spans="1:8" ht="21.75" customHeight="1" x14ac:dyDescent="0.25">
      <c r="A683" s="35">
        <v>44658</v>
      </c>
      <c r="B683" s="90" t="s">
        <v>11280</v>
      </c>
      <c r="C683" s="41" t="s">
        <v>105</v>
      </c>
      <c r="D683" s="87">
        <v>4630.8</v>
      </c>
      <c r="E683" s="35">
        <v>44659</v>
      </c>
      <c r="F683" s="87">
        <v>4630.8</v>
      </c>
      <c r="G683" s="91">
        <f>Tabla15[[#This Row],[Importe]]-Tabla15[[#This Row],[Pagado]]</f>
        <v>0</v>
      </c>
      <c r="H683" s="92" t="s">
        <v>10</v>
      </c>
    </row>
    <row r="684" spans="1:8" ht="21.75" customHeight="1" x14ac:dyDescent="0.25">
      <c r="A684" s="35">
        <v>44658</v>
      </c>
      <c r="B684" s="90" t="s">
        <v>11281</v>
      </c>
      <c r="C684" s="41" t="s">
        <v>373</v>
      </c>
      <c r="D684" s="87">
        <v>8100</v>
      </c>
      <c r="E684" s="35">
        <v>44659</v>
      </c>
      <c r="F684" s="87">
        <v>8100</v>
      </c>
      <c r="G684" s="91">
        <f>Tabla15[[#This Row],[Importe]]-Tabla15[[#This Row],[Pagado]]</f>
        <v>0</v>
      </c>
      <c r="H684" s="92" t="s">
        <v>10</v>
      </c>
    </row>
    <row r="685" spans="1:8" ht="21.75" customHeight="1" x14ac:dyDescent="0.25">
      <c r="A685" s="35">
        <v>44658</v>
      </c>
      <c r="B685" s="90" t="s">
        <v>11282</v>
      </c>
      <c r="C685" s="41" t="s">
        <v>426</v>
      </c>
      <c r="D685" s="87">
        <v>375</v>
      </c>
      <c r="E685" s="35">
        <v>44658</v>
      </c>
      <c r="F685" s="87">
        <v>375</v>
      </c>
      <c r="G685" s="91">
        <f>Tabla15[[#This Row],[Importe]]-Tabla15[[#This Row],[Pagado]]</f>
        <v>0</v>
      </c>
      <c r="H685" s="92" t="s">
        <v>10</v>
      </c>
    </row>
    <row r="686" spans="1:8" ht="21.75" customHeight="1" x14ac:dyDescent="0.25">
      <c r="A686" s="35">
        <v>44658</v>
      </c>
      <c r="B686" s="90" t="s">
        <v>11283</v>
      </c>
      <c r="C686" s="41" t="s">
        <v>348</v>
      </c>
      <c r="D686" s="87">
        <v>4096</v>
      </c>
      <c r="E686" s="35">
        <v>44658</v>
      </c>
      <c r="F686" s="87">
        <v>4096</v>
      </c>
      <c r="G686" s="91">
        <f>Tabla15[[#This Row],[Importe]]-Tabla15[[#This Row],[Pagado]]</f>
        <v>0</v>
      </c>
      <c r="H686" s="92" t="s">
        <v>10</v>
      </c>
    </row>
    <row r="687" spans="1:8" ht="21.75" customHeight="1" x14ac:dyDescent="0.25">
      <c r="A687" s="35">
        <v>44658</v>
      </c>
      <c r="B687" s="90" t="s">
        <v>11284</v>
      </c>
      <c r="C687" s="41" t="s">
        <v>2151</v>
      </c>
      <c r="D687" s="87">
        <v>11317</v>
      </c>
      <c r="E687" s="35">
        <v>44658</v>
      </c>
      <c r="F687" s="87">
        <v>11317</v>
      </c>
      <c r="G687" s="91">
        <f>Tabla15[[#This Row],[Importe]]-Tabla15[[#This Row],[Pagado]]</f>
        <v>0</v>
      </c>
      <c r="H687" s="92" t="s">
        <v>10</v>
      </c>
    </row>
    <row r="688" spans="1:8" ht="21.75" customHeight="1" x14ac:dyDescent="0.25">
      <c r="A688" s="35">
        <v>44658</v>
      </c>
      <c r="B688" s="90" t="s">
        <v>11285</v>
      </c>
      <c r="C688" s="41" t="s">
        <v>22</v>
      </c>
      <c r="D688" s="87">
        <v>51022.1</v>
      </c>
      <c r="E688" s="35">
        <v>44660</v>
      </c>
      <c r="F688" s="87">
        <v>51022.1</v>
      </c>
      <c r="G688" s="91">
        <f>Tabla15[[#This Row],[Importe]]-Tabla15[[#This Row],[Pagado]]</f>
        <v>0</v>
      </c>
      <c r="H688" s="92" t="s">
        <v>10</v>
      </c>
    </row>
    <row r="689" spans="1:8" ht="21.75" customHeight="1" x14ac:dyDescent="0.25">
      <c r="A689" s="35">
        <v>44658</v>
      </c>
      <c r="B689" s="90" t="s">
        <v>11286</v>
      </c>
      <c r="C689" s="41" t="s">
        <v>326</v>
      </c>
      <c r="D689" s="87">
        <v>1387.8</v>
      </c>
      <c r="E689" s="35">
        <v>44659</v>
      </c>
      <c r="F689" s="87">
        <v>1387.8</v>
      </c>
      <c r="G689" s="91">
        <f>Tabla15[[#This Row],[Importe]]-Tabla15[[#This Row],[Pagado]]</f>
        <v>0</v>
      </c>
      <c r="H689" s="92" t="s">
        <v>10</v>
      </c>
    </row>
    <row r="690" spans="1:8" ht="21.75" customHeight="1" x14ac:dyDescent="0.25">
      <c r="A690" s="35">
        <v>44658</v>
      </c>
      <c r="B690" s="90" t="s">
        <v>11287</v>
      </c>
      <c r="C690" s="41" t="s">
        <v>105</v>
      </c>
      <c r="D690" s="87">
        <v>923.4</v>
      </c>
      <c r="E690" s="35">
        <v>44659</v>
      </c>
      <c r="F690" s="87">
        <v>923.4</v>
      </c>
      <c r="G690" s="91">
        <f>Tabla15[[#This Row],[Importe]]-Tabla15[[#This Row],[Pagado]]</f>
        <v>0</v>
      </c>
      <c r="H690" s="92" t="s">
        <v>10</v>
      </c>
    </row>
    <row r="691" spans="1:8" ht="21.75" customHeight="1" x14ac:dyDescent="0.25">
      <c r="A691" s="35">
        <v>44658</v>
      </c>
      <c r="B691" s="90" t="s">
        <v>11288</v>
      </c>
      <c r="C691" s="41" t="s">
        <v>97</v>
      </c>
      <c r="D691" s="87">
        <v>6160.2</v>
      </c>
      <c r="E691" s="35">
        <v>44659</v>
      </c>
      <c r="F691" s="87">
        <v>6160.2</v>
      </c>
      <c r="G691" s="91">
        <f>Tabla15[[#This Row],[Importe]]-Tabla15[[#This Row],[Pagado]]</f>
        <v>0</v>
      </c>
      <c r="H691" s="92" t="s">
        <v>10</v>
      </c>
    </row>
    <row r="692" spans="1:8" ht="21.75" customHeight="1" x14ac:dyDescent="0.25">
      <c r="A692" s="35">
        <v>44658</v>
      </c>
      <c r="B692" s="90" t="s">
        <v>11289</v>
      </c>
      <c r="C692" s="41" t="s">
        <v>64</v>
      </c>
      <c r="D692" s="87">
        <v>3867.1</v>
      </c>
      <c r="E692" s="35">
        <v>44659</v>
      </c>
      <c r="F692" s="87">
        <v>3867.1</v>
      </c>
      <c r="G692" s="91">
        <f>Tabla15[[#This Row],[Importe]]-Tabla15[[#This Row],[Pagado]]</f>
        <v>0</v>
      </c>
      <c r="H692" s="92" t="s">
        <v>10</v>
      </c>
    </row>
    <row r="693" spans="1:8" ht="21.75" customHeight="1" x14ac:dyDescent="0.25">
      <c r="A693" s="35">
        <v>44658</v>
      </c>
      <c r="B693" s="90" t="s">
        <v>11290</v>
      </c>
      <c r="C693" s="41" t="s">
        <v>39</v>
      </c>
      <c r="D693" s="87">
        <v>22206.9</v>
      </c>
      <c r="E693" s="35">
        <v>44661</v>
      </c>
      <c r="F693" s="87">
        <v>22206.9</v>
      </c>
      <c r="G693" s="91">
        <f>Tabla15[[#This Row],[Importe]]-Tabla15[[#This Row],[Pagado]]</f>
        <v>0</v>
      </c>
      <c r="H693" s="92" t="s">
        <v>10</v>
      </c>
    </row>
    <row r="694" spans="1:8" ht="21.75" customHeight="1" x14ac:dyDescent="0.25">
      <c r="A694" s="35">
        <v>44658</v>
      </c>
      <c r="B694" s="90" t="s">
        <v>11291</v>
      </c>
      <c r="C694" s="41" t="s">
        <v>114</v>
      </c>
      <c r="D694" s="87">
        <v>9368.1</v>
      </c>
      <c r="E694" s="35">
        <v>44659</v>
      </c>
      <c r="F694" s="87">
        <v>9368.1</v>
      </c>
      <c r="G694" s="91">
        <f>Tabla15[[#This Row],[Importe]]-Tabla15[[#This Row],[Pagado]]</f>
        <v>0</v>
      </c>
      <c r="H694" s="92" t="s">
        <v>10</v>
      </c>
    </row>
    <row r="695" spans="1:8" ht="21.75" customHeight="1" x14ac:dyDescent="0.25">
      <c r="A695" s="35">
        <v>44658</v>
      </c>
      <c r="B695" s="90" t="s">
        <v>11292</v>
      </c>
      <c r="C695" s="41" t="s">
        <v>93</v>
      </c>
      <c r="D695" s="87">
        <v>5092.8</v>
      </c>
      <c r="E695" s="35">
        <v>44659</v>
      </c>
      <c r="F695" s="87">
        <v>5092.8</v>
      </c>
      <c r="G695" s="91">
        <f>Tabla15[[#This Row],[Importe]]-Tabla15[[#This Row],[Pagado]]</f>
        <v>0</v>
      </c>
      <c r="H695" s="92" t="s">
        <v>10</v>
      </c>
    </row>
    <row r="696" spans="1:8" ht="21.75" customHeight="1" x14ac:dyDescent="0.25">
      <c r="A696" s="35">
        <v>44658</v>
      </c>
      <c r="B696" s="90" t="s">
        <v>11293</v>
      </c>
      <c r="C696" s="41" t="s">
        <v>11294</v>
      </c>
      <c r="D696" s="87">
        <v>0</v>
      </c>
      <c r="E696" s="39" t="s">
        <v>189</v>
      </c>
      <c r="F696" s="87">
        <v>0</v>
      </c>
      <c r="G696" s="91">
        <f>Tabla15[[#This Row],[Importe]]-Tabla15[[#This Row],[Pagado]]</f>
        <v>0</v>
      </c>
      <c r="H696" s="92" t="s">
        <v>189</v>
      </c>
    </row>
    <row r="697" spans="1:8" ht="21.75" customHeight="1" x14ac:dyDescent="0.25">
      <c r="A697" s="35">
        <v>44658</v>
      </c>
      <c r="B697" s="90" t="s">
        <v>11295</v>
      </c>
      <c r="C697" s="41" t="s">
        <v>924</v>
      </c>
      <c r="D697" s="87">
        <v>10428.16</v>
      </c>
      <c r="E697" s="35">
        <v>44658</v>
      </c>
      <c r="F697" s="87">
        <v>10428.16</v>
      </c>
      <c r="G697" s="91">
        <f>Tabla15[[#This Row],[Importe]]-Tabla15[[#This Row],[Pagado]]</f>
        <v>0</v>
      </c>
      <c r="H697" s="92" t="s">
        <v>10</v>
      </c>
    </row>
    <row r="698" spans="1:8" ht="21.75" customHeight="1" x14ac:dyDescent="0.25">
      <c r="A698" s="35">
        <v>44658</v>
      </c>
      <c r="B698" s="90" t="s">
        <v>11296</v>
      </c>
      <c r="C698" s="41" t="s">
        <v>146</v>
      </c>
      <c r="D698" s="87">
        <v>4179.6000000000004</v>
      </c>
      <c r="E698" s="35">
        <v>44658</v>
      </c>
      <c r="F698" s="87">
        <v>4179.6000000000004</v>
      </c>
      <c r="G698" s="91">
        <f>Tabla15[[#This Row],[Importe]]-Tabla15[[#This Row],[Pagado]]</f>
        <v>0</v>
      </c>
      <c r="H698" s="92" t="s">
        <v>10</v>
      </c>
    </row>
    <row r="699" spans="1:8" ht="21.75" customHeight="1" x14ac:dyDescent="0.25">
      <c r="A699" s="35">
        <v>44658</v>
      </c>
      <c r="B699" s="90" t="s">
        <v>11297</v>
      </c>
      <c r="C699" s="41" t="s">
        <v>5043</v>
      </c>
      <c r="D699" s="87">
        <v>2315.1999999999998</v>
      </c>
      <c r="E699" s="35">
        <v>44658</v>
      </c>
      <c r="F699" s="87">
        <v>2315.1999999999998</v>
      </c>
      <c r="G699" s="91">
        <f>Tabla15[[#This Row],[Importe]]-Tabla15[[#This Row],[Pagado]]</f>
        <v>0</v>
      </c>
      <c r="H699" s="92" t="s">
        <v>10</v>
      </c>
    </row>
    <row r="700" spans="1:8" ht="21.75" customHeight="1" x14ac:dyDescent="0.25">
      <c r="A700" s="35">
        <v>44658</v>
      </c>
      <c r="B700" s="90" t="s">
        <v>11298</v>
      </c>
      <c r="C700" s="41" t="s">
        <v>1362</v>
      </c>
      <c r="D700" s="87">
        <v>4183.1000000000004</v>
      </c>
      <c r="E700" s="35">
        <v>44658</v>
      </c>
      <c r="F700" s="87">
        <v>4183.1000000000004</v>
      </c>
      <c r="G700" s="91">
        <f>Tabla15[[#This Row],[Importe]]-Tabla15[[#This Row],[Pagado]]</f>
        <v>0</v>
      </c>
      <c r="H700" s="92" t="s">
        <v>10</v>
      </c>
    </row>
    <row r="701" spans="1:8" ht="21.75" customHeight="1" x14ac:dyDescent="0.25">
      <c r="A701" s="35">
        <v>44658</v>
      </c>
      <c r="B701" s="90" t="s">
        <v>11299</v>
      </c>
      <c r="C701" s="41" t="s">
        <v>175</v>
      </c>
      <c r="D701" s="87">
        <v>5897.6</v>
      </c>
      <c r="E701" s="35">
        <v>44658</v>
      </c>
      <c r="F701" s="87">
        <v>5897.6</v>
      </c>
      <c r="G701" s="91">
        <f>Tabla15[[#This Row],[Importe]]-Tabla15[[#This Row],[Pagado]]</f>
        <v>0</v>
      </c>
      <c r="H701" s="92" t="s">
        <v>10</v>
      </c>
    </row>
    <row r="702" spans="1:8" ht="21.75" customHeight="1" x14ac:dyDescent="0.25">
      <c r="A702" s="35">
        <v>44658</v>
      </c>
      <c r="B702" s="90" t="s">
        <v>11300</v>
      </c>
      <c r="C702" s="41" t="s">
        <v>135</v>
      </c>
      <c r="D702" s="87">
        <v>918.5</v>
      </c>
      <c r="E702" s="35">
        <v>44658</v>
      </c>
      <c r="F702" s="87">
        <v>918.5</v>
      </c>
      <c r="G702" s="91">
        <f>Tabla15[[#This Row],[Importe]]-Tabla15[[#This Row],[Pagado]]</f>
        <v>0</v>
      </c>
      <c r="H702" s="92" t="s">
        <v>10</v>
      </c>
    </row>
    <row r="703" spans="1:8" ht="21.75" customHeight="1" x14ac:dyDescent="0.25">
      <c r="A703" s="35">
        <v>44658</v>
      </c>
      <c r="B703" s="90" t="s">
        <v>11301</v>
      </c>
      <c r="C703" s="41" t="s">
        <v>87</v>
      </c>
      <c r="D703" s="87">
        <v>2224.4</v>
      </c>
      <c r="E703" s="35">
        <v>44658</v>
      </c>
      <c r="F703" s="87">
        <v>2224.4</v>
      </c>
      <c r="G703" s="91">
        <f>Tabla15[[#This Row],[Importe]]-Tabla15[[#This Row],[Pagado]]</f>
        <v>0</v>
      </c>
      <c r="H703" s="92" t="s">
        <v>10</v>
      </c>
    </row>
    <row r="704" spans="1:8" ht="21.75" customHeight="1" x14ac:dyDescent="0.25">
      <c r="A704" s="35">
        <v>44658</v>
      </c>
      <c r="B704" s="90" t="s">
        <v>11302</v>
      </c>
      <c r="C704" s="41" t="s">
        <v>664</v>
      </c>
      <c r="D704" s="87">
        <v>13475.3</v>
      </c>
      <c r="E704" s="35">
        <v>44658</v>
      </c>
      <c r="F704" s="87">
        <v>13475.3</v>
      </c>
      <c r="G704" s="91">
        <f>Tabla15[[#This Row],[Importe]]-Tabla15[[#This Row],[Pagado]]</f>
        <v>0</v>
      </c>
      <c r="H704" s="92" t="s">
        <v>10</v>
      </c>
    </row>
    <row r="705" spans="1:8" ht="21.75" customHeight="1" x14ac:dyDescent="0.25">
      <c r="A705" s="35">
        <v>44658</v>
      </c>
      <c r="B705" s="90" t="s">
        <v>11303</v>
      </c>
      <c r="C705" s="41" t="s">
        <v>216</v>
      </c>
      <c r="D705" s="87">
        <v>1944</v>
      </c>
      <c r="E705" s="35">
        <v>44658</v>
      </c>
      <c r="F705" s="87">
        <v>1944</v>
      </c>
      <c r="G705" s="91">
        <f>Tabla15[[#This Row],[Importe]]-Tabla15[[#This Row],[Pagado]]</f>
        <v>0</v>
      </c>
      <c r="H705" s="92" t="s">
        <v>10</v>
      </c>
    </row>
    <row r="706" spans="1:8" ht="21.75" customHeight="1" x14ac:dyDescent="0.25">
      <c r="A706" s="35">
        <v>44658</v>
      </c>
      <c r="B706" s="90" t="s">
        <v>11304</v>
      </c>
      <c r="C706" s="41" t="s">
        <v>49</v>
      </c>
      <c r="D706" s="87">
        <v>5112.3999999999996</v>
      </c>
      <c r="E706" s="35">
        <v>44658</v>
      </c>
      <c r="F706" s="87">
        <v>5112.3999999999996</v>
      </c>
      <c r="G706" s="91">
        <f>Tabla15[[#This Row],[Importe]]-Tabla15[[#This Row],[Pagado]]</f>
        <v>0</v>
      </c>
      <c r="H706" s="92" t="s">
        <v>10</v>
      </c>
    </row>
    <row r="707" spans="1:8" ht="21.75" customHeight="1" x14ac:dyDescent="0.25">
      <c r="A707" s="35">
        <v>44658</v>
      </c>
      <c r="B707" s="90" t="s">
        <v>11305</v>
      </c>
      <c r="C707" s="41" t="s">
        <v>49</v>
      </c>
      <c r="D707" s="87">
        <v>3400.8</v>
      </c>
      <c r="E707" s="35">
        <v>44658</v>
      </c>
      <c r="F707" s="87">
        <v>3400.8</v>
      </c>
      <c r="G707" s="91">
        <f>Tabla15[[#This Row],[Importe]]-Tabla15[[#This Row],[Pagado]]</f>
        <v>0</v>
      </c>
      <c r="H707" s="92" t="s">
        <v>10</v>
      </c>
    </row>
    <row r="708" spans="1:8" ht="21.75" customHeight="1" x14ac:dyDescent="0.25">
      <c r="A708" s="35">
        <v>44658</v>
      </c>
      <c r="B708" s="90" t="s">
        <v>11306</v>
      </c>
      <c r="C708" s="41" t="s">
        <v>27</v>
      </c>
      <c r="D708" s="87">
        <v>974.4</v>
      </c>
      <c r="E708" s="35">
        <v>44658</v>
      </c>
      <c r="F708" s="87">
        <v>974.4</v>
      </c>
      <c r="G708" s="91">
        <f>Tabla15[[#This Row],[Importe]]-Tabla15[[#This Row],[Pagado]]</f>
        <v>0</v>
      </c>
      <c r="H708" s="92" t="s">
        <v>10</v>
      </c>
    </row>
    <row r="709" spans="1:8" ht="21.75" customHeight="1" x14ac:dyDescent="0.25">
      <c r="A709" s="35">
        <v>44658</v>
      </c>
      <c r="B709" s="90" t="s">
        <v>11307</v>
      </c>
      <c r="C709" s="41" t="s">
        <v>56</v>
      </c>
      <c r="D709" s="87">
        <v>6650.5</v>
      </c>
      <c r="E709" s="35">
        <v>44658</v>
      </c>
      <c r="F709" s="87">
        <v>6650.5</v>
      </c>
      <c r="G709" s="91">
        <f>Tabla15[[#This Row],[Importe]]-Tabla15[[#This Row],[Pagado]]</f>
        <v>0</v>
      </c>
      <c r="H709" s="92" t="s">
        <v>10</v>
      </c>
    </row>
    <row r="710" spans="1:8" ht="21.75" customHeight="1" x14ac:dyDescent="0.25">
      <c r="A710" s="35">
        <v>44658</v>
      </c>
      <c r="B710" s="90" t="s">
        <v>11308</v>
      </c>
      <c r="C710" s="41" t="s">
        <v>230</v>
      </c>
      <c r="D710" s="87">
        <v>3711.3</v>
      </c>
      <c r="E710" s="35">
        <v>44658</v>
      </c>
      <c r="F710" s="87">
        <v>3711.3</v>
      </c>
      <c r="G710" s="91">
        <f>Tabla15[[#This Row],[Importe]]-Tabla15[[#This Row],[Pagado]]</f>
        <v>0</v>
      </c>
      <c r="H710" s="92" t="s">
        <v>10</v>
      </c>
    </row>
    <row r="711" spans="1:8" ht="21.75" customHeight="1" x14ac:dyDescent="0.25">
      <c r="A711" s="35">
        <v>44658</v>
      </c>
      <c r="B711" s="90" t="s">
        <v>11309</v>
      </c>
      <c r="C711" s="41" t="s">
        <v>230</v>
      </c>
      <c r="D711" s="87">
        <v>167.2</v>
      </c>
      <c r="E711" s="35">
        <v>44658</v>
      </c>
      <c r="F711" s="87">
        <v>167.2</v>
      </c>
      <c r="G711" s="91">
        <f>Tabla15[[#This Row],[Importe]]-Tabla15[[#This Row],[Pagado]]</f>
        <v>0</v>
      </c>
      <c r="H711" s="92" t="s">
        <v>10</v>
      </c>
    </row>
    <row r="712" spans="1:8" ht="21.75" customHeight="1" x14ac:dyDescent="0.25">
      <c r="A712" s="35">
        <v>44658</v>
      </c>
      <c r="B712" s="90" t="s">
        <v>11310</v>
      </c>
      <c r="C712" s="41" t="s">
        <v>484</v>
      </c>
      <c r="D712" s="87">
        <v>7000</v>
      </c>
      <c r="E712" s="35">
        <v>44658</v>
      </c>
      <c r="F712" s="87">
        <v>7000</v>
      </c>
      <c r="G712" s="91">
        <f>Tabla15[[#This Row],[Importe]]-Tabla15[[#This Row],[Pagado]]</f>
        <v>0</v>
      </c>
      <c r="H712" s="92" t="s">
        <v>10</v>
      </c>
    </row>
    <row r="713" spans="1:8" ht="21.75" customHeight="1" x14ac:dyDescent="0.25">
      <c r="A713" s="35">
        <v>44658</v>
      </c>
      <c r="B713" s="90" t="s">
        <v>11311</v>
      </c>
      <c r="C713" s="41" t="s">
        <v>703</v>
      </c>
      <c r="D713" s="87">
        <v>3646.4</v>
      </c>
      <c r="E713" s="35">
        <v>44658</v>
      </c>
      <c r="F713" s="87">
        <v>3646.4</v>
      </c>
      <c r="G713" s="91">
        <f>Tabla15[[#This Row],[Importe]]-Tabla15[[#This Row],[Pagado]]</f>
        <v>0</v>
      </c>
      <c r="H713" s="92" t="s">
        <v>10</v>
      </c>
    </row>
    <row r="714" spans="1:8" ht="21.75" customHeight="1" x14ac:dyDescent="0.25">
      <c r="A714" s="35">
        <v>44658</v>
      </c>
      <c r="B714" s="90" t="s">
        <v>11312</v>
      </c>
      <c r="C714" s="41" t="s">
        <v>878</v>
      </c>
      <c r="D714" s="87">
        <v>3010.4</v>
      </c>
      <c r="E714" s="35">
        <v>44658</v>
      </c>
      <c r="F714" s="87">
        <v>3010.4</v>
      </c>
      <c r="G714" s="91">
        <f>Tabla15[[#This Row],[Importe]]-Tabla15[[#This Row],[Pagado]]</f>
        <v>0</v>
      </c>
      <c r="H714" s="92" t="s">
        <v>10</v>
      </c>
    </row>
    <row r="715" spans="1:8" ht="21.75" customHeight="1" x14ac:dyDescent="0.25">
      <c r="A715" s="35">
        <v>44658</v>
      </c>
      <c r="B715" s="90" t="s">
        <v>11313</v>
      </c>
      <c r="C715" s="41" t="s">
        <v>11314</v>
      </c>
      <c r="D715" s="87">
        <v>0</v>
      </c>
      <c r="E715" s="39" t="s">
        <v>189</v>
      </c>
      <c r="F715" s="87">
        <v>0</v>
      </c>
      <c r="G715" s="91">
        <f>Tabla15[[#This Row],[Importe]]-Tabla15[[#This Row],[Pagado]]</f>
        <v>0</v>
      </c>
      <c r="H715" s="92" t="s">
        <v>189</v>
      </c>
    </row>
    <row r="716" spans="1:8" ht="21.75" customHeight="1" x14ac:dyDescent="0.25">
      <c r="A716" s="35">
        <v>44658</v>
      </c>
      <c r="B716" s="90" t="s">
        <v>11315</v>
      </c>
      <c r="C716" s="41" t="s">
        <v>6864</v>
      </c>
      <c r="D716" s="87">
        <v>14188.4</v>
      </c>
      <c r="E716" s="35">
        <v>44658</v>
      </c>
      <c r="F716" s="87">
        <v>14188.4</v>
      </c>
      <c r="G716" s="91">
        <f>Tabla15[[#This Row],[Importe]]-Tabla15[[#This Row],[Pagado]]</f>
        <v>0</v>
      </c>
      <c r="H716" s="92" t="s">
        <v>10</v>
      </c>
    </row>
    <row r="717" spans="1:8" ht="21.75" customHeight="1" x14ac:dyDescent="0.25">
      <c r="A717" s="35">
        <v>44658</v>
      </c>
      <c r="B717" s="90" t="s">
        <v>11316</v>
      </c>
      <c r="C717" s="41" t="s">
        <v>1505</v>
      </c>
      <c r="D717" s="87">
        <v>3167.5</v>
      </c>
      <c r="E717" s="35">
        <v>44658</v>
      </c>
      <c r="F717" s="87">
        <v>3167.5</v>
      </c>
      <c r="G717" s="91">
        <f>Tabla15[[#This Row],[Importe]]-Tabla15[[#This Row],[Pagado]]</f>
        <v>0</v>
      </c>
      <c r="H717" s="92" t="s">
        <v>10</v>
      </c>
    </row>
    <row r="718" spans="1:8" ht="21.75" customHeight="1" x14ac:dyDescent="0.25">
      <c r="A718" s="35">
        <v>44658</v>
      </c>
      <c r="B718" s="90" t="s">
        <v>11317</v>
      </c>
      <c r="C718" s="41" t="s">
        <v>129</v>
      </c>
      <c r="D718" s="87">
        <v>6223.9</v>
      </c>
      <c r="E718" s="35">
        <v>44658</v>
      </c>
      <c r="F718" s="87">
        <v>6223.9</v>
      </c>
      <c r="G718" s="91">
        <f>Tabla15[[#This Row],[Importe]]-Tabla15[[#This Row],[Pagado]]</f>
        <v>0</v>
      </c>
      <c r="H718" s="92" t="s">
        <v>10</v>
      </c>
    </row>
    <row r="719" spans="1:8" ht="21.75" customHeight="1" x14ac:dyDescent="0.25">
      <c r="A719" s="35">
        <v>44658</v>
      </c>
      <c r="B719" s="90" t="s">
        <v>11318</v>
      </c>
      <c r="C719" s="41" t="s">
        <v>3971</v>
      </c>
      <c r="D719" s="87">
        <v>1022</v>
      </c>
      <c r="E719" s="35">
        <v>44658</v>
      </c>
      <c r="F719" s="87">
        <v>1022</v>
      </c>
      <c r="G719" s="91">
        <f>Tabla15[[#This Row],[Importe]]-Tabla15[[#This Row],[Pagado]]</f>
        <v>0</v>
      </c>
      <c r="H719" s="92" t="s">
        <v>10</v>
      </c>
    </row>
    <row r="720" spans="1:8" ht="21.75" customHeight="1" x14ac:dyDescent="0.25">
      <c r="A720" s="35">
        <v>44658</v>
      </c>
      <c r="B720" s="90" t="s">
        <v>11319</v>
      </c>
      <c r="C720" s="41" t="s">
        <v>140</v>
      </c>
      <c r="D720" s="87">
        <v>1984.3</v>
      </c>
      <c r="E720" s="35">
        <v>44658</v>
      </c>
      <c r="F720" s="87">
        <v>1984.3</v>
      </c>
      <c r="G720" s="91">
        <f>Tabla15[[#This Row],[Importe]]-Tabla15[[#This Row],[Pagado]]</f>
        <v>0</v>
      </c>
      <c r="H720" s="92" t="s">
        <v>10</v>
      </c>
    </row>
    <row r="721" spans="1:8" ht="21.75" customHeight="1" x14ac:dyDescent="0.25">
      <c r="A721" s="35">
        <v>44658</v>
      </c>
      <c r="B721" s="90" t="s">
        <v>11320</v>
      </c>
      <c r="C721" s="41" t="s">
        <v>127</v>
      </c>
      <c r="D721" s="87">
        <v>1044.3</v>
      </c>
      <c r="E721" s="35">
        <v>44658</v>
      </c>
      <c r="F721" s="87">
        <v>1044.3</v>
      </c>
      <c r="G721" s="91">
        <f>Tabla15[[#This Row],[Importe]]-Tabla15[[#This Row],[Pagado]]</f>
        <v>0</v>
      </c>
      <c r="H721" s="92" t="s">
        <v>10</v>
      </c>
    </row>
    <row r="722" spans="1:8" ht="21.75" customHeight="1" x14ac:dyDescent="0.25">
      <c r="A722" s="35">
        <v>44658</v>
      </c>
      <c r="B722" s="90" t="s">
        <v>11321</v>
      </c>
      <c r="C722" s="41" t="s">
        <v>339</v>
      </c>
      <c r="D722" s="87">
        <v>666.7</v>
      </c>
      <c r="E722" s="35">
        <v>44658</v>
      </c>
      <c r="F722" s="87">
        <v>666.7</v>
      </c>
      <c r="G722" s="91">
        <f>Tabla15[[#This Row],[Importe]]-Tabla15[[#This Row],[Pagado]]</f>
        <v>0</v>
      </c>
      <c r="H722" s="92" t="s">
        <v>10</v>
      </c>
    </row>
    <row r="723" spans="1:8" ht="21.75" customHeight="1" x14ac:dyDescent="0.25">
      <c r="A723" s="35">
        <v>44658</v>
      </c>
      <c r="B723" s="90" t="s">
        <v>11322</v>
      </c>
      <c r="C723" s="41" t="s">
        <v>333</v>
      </c>
      <c r="D723" s="87">
        <v>626.52</v>
      </c>
      <c r="E723" s="35">
        <v>44658</v>
      </c>
      <c r="F723" s="87">
        <v>626.52</v>
      </c>
      <c r="G723" s="91">
        <f>Tabla15[[#This Row],[Importe]]-Tabla15[[#This Row],[Pagado]]</f>
        <v>0</v>
      </c>
      <c r="H723" s="92" t="s">
        <v>10</v>
      </c>
    </row>
    <row r="724" spans="1:8" ht="21.75" customHeight="1" x14ac:dyDescent="0.25">
      <c r="A724" s="35">
        <v>44658</v>
      </c>
      <c r="B724" s="90" t="s">
        <v>11323</v>
      </c>
      <c r="C724" s="41" t="s">
        <v>357</v>
      </c>
      <c r="D724" s="87">
        <v>3651.8</v>
      </c>
      <c r="E724" s="35">
        <v>44658</v>
      </c>
      <c r="F724" s="87">
        <v>3651.8</v>
      </c>
      <c r="G724" s="91">
        <f>Tabla15[[#This Row],[Importe]]-Tabla15[[#This Row],[Pagado]]</f>
        <v>0</v>
      </c>
      <c r="H724" s="92" t="s">
        <v>10</v>
      </c>
    </row>
    <row r="725" spans="1:8" ht="21.75" customHeight="1" x14ac:dyDescent="0.25">
      <c r="A725" s="35">
        <v>44658</v>
      </c>
      <c r="B725" s="90" t="s">
        <v>11324</v>
      </c>
      <c r="C725" s="41" t="s">
        <v>407</v>
      </c>
      <c r="D725" s="87">
        <v>21891.4</v>
      </c>
      <c r="E725" s="35">
        <v>44663</v>
      </c>
      <c r="F725" s="87">
        <v>21891.4</v>
      </c>
      <c r="G725" s="91">
        <f>Tabla15[[#This Row],[Importe]]-Tabla15[[#This Row],[Pagado]]</f>
        <v>0</v>
      </c>
      <c r="H725" s="92" t="s">
        <v>10</v>
      </c>
    </row>
    <row r="726" spans="1:8" ht="21.75" customHeight="1" x14ac:dyDescent="0.25">
      <c r="A726" s="35">
        <v>44658</v>
      </c>
      <c r="B726" s="90" t="s">
        <v>11325</v>
      </c>
      <c r="C726" s="41" t="s">
        <v>131</v>
      </c>
      <c r="D726" s="87">
        <v>16064.3</v>
      </c>
      <c r="E726" s="35">
        <v>44658</v>
      </c>
      <c r="F726" s="87">
        <v>16064.3</v>
      </c>
      <c r="G726" s="91">
        <f>Tabla15[[#This Row],[Importe]]-Tabla15[[#This Row],[Pagado]]</f>
        <v>0</v>
      </c>
      <c r="H726" s="92" t="s">
        <v>10</v>
      </c>
    </row>
    <row r="727" spans="1:8" ht="21.75" customHeight="1" x14ac:dyDescent="0.25">
      <c r="A727" s="35">
        <v>44658</v>
      </c>
      <c r="B727" s="90" t="s">
        <v>11326</v>
      </c>
      <c r="C727" s="41" t="s">
        <v>196</v>
      </c>
      <c r="D727" s="87">
        <v>98059.12</v>
      </c>
      <c r="E727" s="35">
        <v>44659</v>
      </c>
      <c r="F727" s="87">
        <v>98059.12</v>
      </c>
      <c r="G727" s="91">
        <f>Tabla15[[#This Row],[Importe]]-Tabla15[[#This Row],[Pagado]]</f>
        <v>0</v>
      </c>
      <c r="H727" s="92" t="s">
        <v>10</v>
      </c>
    </row>
    <row r="728" spans="1:8" ht="21.75" customHeight="1" x14ac:dyDescent="0.25">
      <c r="A728" s="35">
        <v>44658</v>
      </c>
      <c r="B728" s="90" t="s">
        <v>11327</v>
      </c>
      <c r="C728" s="41" t="s">
        <v>222</v>
      </c>
      <c r="D728" s="87">
        <v>9745.6</v>
      </c>
      <c r="E728" s="35">
        <v>44658</v>
      </c>
      <c r="F728" s="87">
        <v>9745.6</v>
      </c>
      <c r="G728" s="91">
        <f>Tabla15[[#This Row],[Importe]]-Tabla15[[#This Row],[Pagado]]</f>
        <v>0</v>
      </c>
      <c r="H728" s="92" t="s">
        <v>10</v>
      </c>
    </row>
    <row r="729" spans="1:8" ht="21.75" customHeight="1" x14ac:dyDescent="0.25">
      <c r="A729" s="35">
        <v>44658</v>
      </c>
      <c r="B729" s="90" t="s">
        <v>11328</v>
      </c>
      <c r="C729" s="41" t="s">
        <v>994</v>
      </c>
      <c r="D729" s="87">
        <v>1702.8</v>
      </c>
      <c r="E729" s="35">
        <v>44658</v>
      </c>
      <c r="F729" s="87">
        <v>1702.8</v>
      </c>
      <c r="G729" s="91">
        <f>Tabla15[[#This Row],[Importe]]-Tabla15[[#This Row],[Pagado]]</f>
        <v>0</v>
      </c>
      <c r="H729" s="92" t="s">
        <v>10</v>
      </c>
    </row>
    <row r="730" spans="1:8" ht="21.75" customHeight="1" x14ac:dyDescent="0.25">
      <c r="A730" s="35">
        <v>44658</v>
      </c>
      <c r="B730" s="90" t="s">
        <v>11329</v>
      </c>
      <c r="C730" s="41" t="s">
        <v>29</v>
      </c>
      <c r="D730" s="87">
        <v>6544.8</v>
      </c>
      <c r="E730" s="35">
        <v>44658</v>
      </c>
      <c r="F730" s="87">
        <v>6544.8</v>
      </c>
      <c r="G730" s="91">
        <f>Tabla15[[#This Row],[Importe]]-Tabla15[[#This Row],[Pagado]]</f>
        <v>0</v>
      </c>
      <c r="H730" s="92" t="s">
        <v>10</v>
      </c>
    </row>
    <row r="731" spans="1:8" ht="21.75" customHeight="1" x14ac:dyDescent="0.25">
      <c r="A731" s="35">
        <v>44658</v>
      </c>
      <c r="B731" s="90" t="s">
        <v>11330</v>
      </c>
      <c r="C731" s="41" t="s">
        <v>407</v>
      </c>
      <c r="D731" s="87">
        <v>7200</v>
      </c>
      <c r="E731" s="35">
        <v>44663</v>
      </c>
      <c r="F731" s="87">
        <v>7200</v>
      </c>
      <c r="G731" s="91">
        <f>Tabla15[[#This Row],[Importe]]-Tabla15[[#This Row],[Pagado]]</f>
        <v>0</v>
      </c>
      <c r="H731" s="92" t="s">
        <v>10</v>
      </c>
    </row>
    <row r="732" spans="1:8" ht="21.75" customHeight="1" x14ac:dyDescent="0.25">
      <c r="A732" s="35">
        <v>44658</v>
      </c>
      <c r="B732" s="90" t="s">
        <v>11331</v>
      </c>
      <c r="C732" s="41" t="s">
        <v>2020</v>
      </c>
      <c r="D732" s="87">
        <v>3553.2</v>
      </c>
      <c r="E732" s="35">
        <v>44658</v>
      </c>
      <c r="F732" s="87">
        <v>3553.2</v>
      </c>
      <c r="G732" s="91">
        <f>Tabla15[[#This Row],[Importe]]-Tabla15[[#This Row],[Pagado]]</f>
        <v>0</v>
      </c>
      <c r="H732" s="92" t="s">
        <v>10</v>
      </c>
    </row>
    <row r="733" spans="1:8" ht="21.75" customHeight="1" x14ac:dyDescent="0.25">
      <c r="A733" s="35">
        <v>44658</v>
      </c>
      <c r="B733" s="90" t="s">
        <v>11332</v>
      </c>
      <c r="C733" s="41" t="s">
        <v>144</v>
      </c>
      <c r="D733" s="87">
        <v>2380</v>
      </c>
      <c r="E733" s="35">
        <v>44658</v>
      </c>
      <c r="F733" s="87">
        <v>2380</v>
      </c>
      <c r="G733" s="91">
        <f>Tabla15[[#This Row],[Importe]]-Tabla15[[#This Row],[Pagado]]</f>
        <v>0</v>
      </c>
      <c r="H733" s="92" t="s">
        <v>10</v>
      </c>
    </row>
    <row r="734" spans="1:8" ht="21.75" customHeight="1" x14ac:dyDescent="0.25">
      <c r="A734" s="35">
        <v>44658</v>
      </c>
      <c r="B734" s="90" t="s">
        <v>11333</v>
      </c>
      <c r="C734" s="41" t="s">
        <v>226</v>
      </c>
      <c r="D734" s="87">
        <v>2363.6</v>
      </c>
      <c r="E734" s="35">
        <v>44658</v>
      </c>
      <c r="F734" s="87">
        <v>2363.6</v>
      </c>
      <c r="G734" s="91">
        <f>Tabla15[[#This Row],[Importe]]-Tabla15[[#This Row],[Pagado]]</f>
        <v>0</v>
      </c>
      <c r="H734" s="92" t="s">
        <v>10</v>
      </c>
    </row>
    <row r="735" spans="1:8" ht="21.75" customHeight="1" x14ac:dyDescent="0.25">
      <c r="A735" s="35">
        <v>44658</v>
      </c>
      <c r="B735" s="90" t="s">
        <v>11334</v>
      </c>
      <c r="C735" s="41" t="s">
        <v>373</v>
      </c>
      <c r="D735" s="87">
        <v>1795.5</v>
      </c>
      <c r="E735" s="35">
        <v>44658</v>
      </c>
      <c r="F735" s="87">
        <v>1795.5</v>
      </c>
      <c r="G735" s="91">
        <f>Tabla15[[#This Row],[Importe]]-Tabla15[[#This Row],[Pagado]]</f>
        <v>0</v>
      </c>
      <c r="H735" s="92" t="s">
        <v>10</v>
      </c>
    </row>
    <row r="736" spans="1:8" ht="21.75" customHeight="1" x14ac:dyDescent="0.25">
      <c r="A736" s="35">
        <v>44658</v>
      </c>
      <c r="B736" s="90" t="s">
        <v>11335</v>
      </c>
      <c r="C736" s="41" t="s">
        <v>226</v>
      </c>
      <c r="D736" s="87">
        <v>2612.4</v>
      </c>
      <c r="E736" s="35">
        <v>44658</v>
      </c>
      <c r="F736" s="87">
        <v>2612.4</v>
      </c>
      <c r="G736" s="91">
        <f>Tabla15[[#This Row],[Importe]]-Tabla15[[#This Row],[Pagado]]</f>
        <v>0</v>
      </c>
      <c r="H736" s="92" t="s">
        <v>10</v>
      </c>
    </row>
    <row r="737" spans="1:8" ht="21.75" customHeight="1" x14ac:dyDescent="0.25">
      <c r="A737" s="35">
        <v>44658</v>
      </c>
      <c r="B737" s="90" t="s">
        <v>11336</v>
      </c>
      <c r="C737" s="41" t="s">
        <v>11337</v>
      </c>
      <c r="D737" s="87">
        <v>0</v>
      </c>
      <c r="E737" s="39" t="s">
        <v>189</v>
      </c>
      <c r="F737" s="87">
        <v>0</v>
      </c>
      <c r="G737" s="91">
        <f>Tabla15[[#This Row],[Importe]]-Tabla15[[#This Row],[Pagado]]</f>
        <v>0</v>
      </c>
      <c r="H737" s="92" t="s">
        <v>189</v>
      </c>
    </row>
    <row r="738" spans="1:8" ht="21.75" customHeight="1" x14ac:dyDescent="0.25">
      <c r="A738" s="35">
        <v>44658</v>
      </c>
      <c r="B738" s="90" t="s">
        <v>11338</v>
      </c>
      <c r="C738" s="41" t="s">
        <v>214</v>
      </c>
      <c r="D738" s="87">
        <v>1026</v>
      </c>
      <c r="E738" s="35">
        <v>44658</v>
      </c>
      <c r="F738" s="87">
        <v>1026</v>
      </c>
      <c r="G738" s="91">
        <f>Tabla15[[#This Row],[Importe]]-Tabla15[[#This Row],[Pagado]]</f>
        <v>0</v>
      </c>
      <c r="H738" s="92" t="s">
        <v>10</v>
      </c>
    </row>
    <row r="739" spans="1:8" ht="21.75" customHeight="1" x14ac:dyDescent="0.25">
      <c r="A739" s="35">
        <v>44658</v>
      </c>
      <c r="B739" s="90" t="s">
        <v>11339</v>
      </c>
      <c r="C739" s="41" t="s">
        <v>224</v>
      </c>
      <c r="D739" s="87">
        <v>1083.2</v>
      </c>
      <c r="E739" s="35">
        <v>44658</v>
      </c>
      <c r="F739" s="87">
        <v>1083.2</v>
      </c>
      <c r="G739" s="91">
        <f>Tabla15[[#This Row],[Importe]]-Tabla15[[#This Row],[Pagado]]</f>
        <v>0</v>
      </c>
      <c r="H739" s="92" t="s">
        <v>10</v>
      </c>
    </row>
    <row r="740" spans="1:8" ht="21.75" customHeight="1" x14ac:dyDescent="0.25">
      <c r="A740" s="35">
        <v>44658</v>
      </c>
      <c r="B740" s="90" t="s">
        <v>11340</v>
      </c>
      <c r="C740" s="41" t="s">
        <v>45</v>
      </c>
      <c r="D740" s="87">
        <v>10969.6</v>
      </c>
      <c r="E740" s="35">
        <v>44658</v>
      </c>
      <c r="F740" s="87">
        <v>10969.6</v>
      </c>
      <c r="G740" s="91">
        <f>Tabla15[[#This Row],[Importe]]-Tabla15[[#This Row],[Pagado]]</f>
        <v>0</v>
      </c>
      <c r="H740" s="92" t="s">
        <v>10</v>
      </c>
    </row>
    <row r="741" spans="1:8" ht="21.75" customHeight="1" x14ac:dyDescent="0.25">
      <c r="A741" s="35">
        <v>44658</v>
      </c>
      <c r="B741" s="90" t="s">
        <v>11341</v>
      </c>
      <c r="C741" s="41" t="s">
        <v>45</v>
      </c>
      <c r="D741" s="87">
        <v>375</v>
      </c>
      <c r="E741" s="35">
        <v>44658</v>
      </c>
      <c r="F741" s="87">
        <v>375</v>
      </c>
      <c r="G741" s="91">
        <f>Tabla15[[#This Row],[Importe]]-Tabla15[[#This Row],[Pagado]]</f>
        <v>0</v>
      </c>
      <c r="H741" s="92" t="s">
        <v>10</v>
      </c>
    </row>
    <row r="742" spans="1:8" ht="21.75" customHeight="1" x14ac:dyDescent="0.25">
      <c r="A742" s="35">
        <v>44658</v>
      </c>
      <c r="B742" s="90" t="s">
        <v>11342</v>
      </c>
      <c r="C742" s="41" t="s">
        <v>16</v>
      </c>
      <c r="D742" s="87">
        <v>1230</v>
      </c>
      <c r="E742" s="35">
        <v>44658</v>
      </c>
      <c r="F742" s="87">
        <v>1230</v>
      </c>
      <c r="G742" s="91">
        <f>Tabla15[[#This Row],[Importe]]-Tabla15[[#This Row],[Pagado]]</f>
        <v>0</v>
      </c>
      <c r="H742" s="92" t="s">
        <v>10</v>
      </c>
    </row>
    <row r="743" spans="1:8" ht="21.75" customHeight="1" x14ac:dyDescent="0.25">
      <c r="A743" s="35">
        <v>44658</v>
      </c>
      <c r="B743" s="90" t="s">
        <v>11343</v>
      </c>
      <c r="C743" s="41" t="s">
        <v>62</v>
      </c>
      <c r="D743" s="87">
        <v>2847.6</v>
      </c>
      <c r="E743" s="35">
        <v>44658</v>
      </c>
      <c r="F743" s="87">
        <v>2847.6</v>
      </c>
      <c r="G743" s="91">
        <f>Tabla15[[#This Row],[Importe]]-Tabla15[[#This Row],[Pagado]]</f>
        <v>0</v>
      </c>
      <c r="H743" s="92" t="s">
        <v>10</v>
      </c>
    </row>
    <row r="744" spans="1:8" ht="21.75" customHeight="1" x14ac:dyDescent="0.25">
      <c r="A744" s="35">
        <v>44658</v>
      </c>
      <c r="B744" s="90" t="s">
        <v>11344</v>
      </c>
      <c r="C744" s="41" t="s">
        <v>24</v>
      </c>
      <c r="D744" s="87">
        <v>3356.4</v>
      </c>
      <c r="E744" s="35">
        <v>44658</v>
      </c>
      <c r="F744" s="87">
        <v>3356.4</v>
      </c>
      <c r="G744" s="91">
        <f>Tabla15[[#This Row],[Importe]]-Tabla15[[#This Row],[Pagado]]</f>
        <v>0</v>
      </c>
      <c r="H744" s="92" t="s">
        <v>10</v>
      </c>
    </row>
    <row r="745" spans="1:8" ht="21.75" customHeight="1" x14ac:dyDescent="0.25">
      <c r="A745" s="35">
        <v>44658</v>
      </c>
      <c r="B745" s="90" t="s">
        <v>11345</v>
      </c>
      <c r="C745" s="41" t="s">
        <v>382</v>
      </c>
      <c r="D745" s="87">
        <v>8051.4</v>
      </c>
      <c r="E745" s="35">
        <v>44658</v>
      </c>
      <c r="F745" s="87">
        <v>8051.4</v>
      </c>
      <c r="G745" s="91">
        <f>Tabla15[[#This Row],[Importe]]-Tabla15[[#This Row],[Pagado]]</f>
        <v>0</v>
      </c>
      <c r="H745" s="92" t="s">
        <v>10</v>
      </c>
    </row>
    <row r="746" spans="1:8" ht="21.75" customHeight="1" x14ac:dyDescent="0.25">
      <c r="A746" s="35">
        <v>44658</v>
      </c>
      <c r="B746" s="90" t="s">
        <v>11346</v>
      </c>
      <c r="C746" s="41" t="s">
        <v>562</v>
      </c>
      <c r="D746" s="87">
        <v>2048.4</v>
      </c>
      <c r="E746" s="35">
        <v>44658</v>
      </c>
      <c r="F746" s="87">
        <v>2048.4</v>
      </c>
      <c r="G746" s="91">
        <f>Tabla15[[#This Row],[Importe]]-Tabla15[[#This Row],[Pagado]]</f>
        <v>0</v>
      </c>
      <c r="H746" s="92" t="s">
        <v>10</v>
      </c>
    </row>
    <row r="747" spans="1:8" ht="21.75" customHeight="1" x14ac:dyDescent="0.25">
      <c r="A747" s="35">
        <v>44658</v>
      </c>
      <c r="B747" s="90" t="s">
        <v>11347</v>
      </c>
      <c r="C747" s="41" t="s">
        <v>11348</v>
      </c>
      <c r="D747" s="87">
        <v>436.8</v>
      </c>
      <c r="E747" s="35">
        <v>44658</v>
      </c>
      <c r="F747" s="87">
        <v>436.8</v>
      </c>
      <c r="G747" s="91">
        <f>Tabla15[[#This Row],[Importe]]-Tabla15[[#This Row],[Pagado]]</f>
        <v>0</v>
      </c>
      <c r="H747" s="92" t="s">
        <v>10</v>
      </c>
    </row>
    <row r="748" spans="1:8" ht="21.75" customHeight="1" x14ac:dyDescent="0.25">
      <c r="A748" s="35">
        <v>44658</v>
      </c>
      <c r="B748" s="90" t="s">
        <v>11349</v>
      </c>
      <c r="C748" s="41" t="s">
        <v>67</v>
      </c>
      <c r="D748" s="87">
        <v>9724.2000000000007</v>
      </c>
      <c r="E748" s="35">
        <v>44658</v>
      </c>
      <c r="F748" s="87">
        <v>9724.2000000000007</v>
      </c>
      <c r="G748" s="91">
        <f>Tabla15[[#This Row],[Importe]]-Tabla15[[#This Row],[Pagado]]</f>
        <v>0</v>
      </c>
      <c r="H748" s="92" t="s">
        <v>10</v>
      </c>
    </row>
    <row r="749" spans="1:8" ht="21.75" customHeight="1" x14ac:dyDescent="0.25">
      <c r="A749" s="35">
        <v>44658</v>
      </c>
      <c r="B749" s="90" t="s">
        <v>11350</v>
      </c>
      <c r="C749" s="41" t="s">
        <v>142</v>
      </c>
      <c r="D749" s="87">
        <v>59508.4</v>
      </c>
      <c r="E749" s="35">
        <v>44670</v>
      </c>
      <c r="F749" s="87">
        <v>59508.4</v>
      </c>
      <c r="G749" s="91">
        <f>Tabla15[[#This Row],[Importe]]-Tabla15[[#This Row],[Pagado]]</f>
        <v>0</v>
      </c>
      <c r="H749" s="92" t="s">
        <v>10</v>
      </c>
    </row>
    <row r="750" spans="1:8" ht="21.75" customHeight="1" x14ac:dyDescent="0.25">
      <c r="A750" s="35">
        <v>44658</v>
      </c>
      <c r="B750" s="90" t="s">
        <v>11351</v>
      </c>
      <c r="C750" s="41" t="s">
        <v>409</v>
      </c>
      <c r="D750" s="87">
        <v>8048.4</v>
      </c>
      <c r="E750" s="35">
        <v>44671</v>
      </c>
      <c r="F750" s="87">
        <v>8048.4</v>
      </c>
      <c r="G750" s="91">
        <f>Tabla15[[#This Row],[Importe]]-Tabla15[[#This Row],[Pagado]]</f>
        <v>0</v>
      </c>
      <c r="H750" s="92" t="s">
        <v>10</v>
      </c>
    </row>
    <row r="751" spans="1:8" ht="21.75" customHeight="1" x14ac:dyDescent="0.25">
      <c r="A751" s="35">
        <v>44658</v>
      </c>
      <c r="B751" s="90" t="s">
        <v>11352</v>
      </c>
      <c r="C751" s="41" t="s">
        <v>240</v>
      </c>
      <c r="D751" s="87">
        <v>4034.2</v>
      </c>
      <c r="E751" s="35">
        <v>44658</v>
      </c>
      <c r="F751" s="87">
        <v>4034.2</v>
      </c>
      <c r="G751" s="91">
        <f>Tabla15[[#This Row],[Importe]]-Tabla15[[#This Row],[Pagado]]</f>
        <v>0</v>
      </c>
      <c r="H751" s="92" t="s">
        <v>10</v>
      </c>
    </row>
    <row r="752" spans="1:8" ht="21.75" customHeight="1" x14ac:dyDescent="0.25">
      <c r="A752" s="35">
        <v>44658</v>
      </c>
      <c r="B752" s="90" t="s">
        <v>11353</v>
      </c>
      <c r="C752" s="41" t="s">
        <v>520</v>
      </c>
      <c r="D752" s="87">
        <v>2782.6</v>
      </c>
      <c r="E752" s="35">
        <v>44659</v>
      </c>
      <c r="F752" s="87">
        <v>2782.6</v>
      </c>
      <c r="G752" s="91">
        <f>Tabla15[[#This Row],[Importe]]-Tabla15[[#This Row],[Pagado]]</f>
        <v>0</v>
      </c>
      <c r="H752" s="92" t="s">
        <v>10</v>
      </c>
    </row>
    <row r="753" spans="1:8" ht="21.75" customHeight="1" x14ac:dyDescent="0.25">
      <c r="A753" s="35">
        <v>44658</v>
      </c>
      <c r="B753" s="90" t="s">
        <v>11354</v>
      </c>
      <c r="C753" s="41" t="s">
        <v>151</v>
      </c>
      <c r="D753" s="87">
        <v>11288</v>
      </c>
      <c r="E753" s="35">
        <v>44659</v>
      </c>
      <c r="F753" s="87">
        <v>11288</v>
      </c>
      <c r="G753" s="91">
        <f>Tabla15[[#This Row],[Importe]]-Tabla15[[#This Row],[Pagado]]</f>
        <v>0</v>
      </c>
      <c r="H753" s="92" t="s">
        <v>10</v>
      </c>
    </row>
    <row r="754" spans="1:8" ht="21.75" customHeight="1" x14ac:dyDescent="0.25">
      <c r="A754" s="35">
        <v>44658</v>
      </c>
      <c r="B754" s="90" t="s">
        <v>11355</v>
      </c>
      <c r="C754" s="41" t="s">
        <v>263</v>
      </c>
      <c r="D754" s="87">
        <v>34879</v>
      </c>
      <c r="E754" s="35">
        <v>44662</v>
      </c>
      <c r="F754" s="87">
        <v>34879</v>
      </c>
      <c r="G754" s="91">
        <f>Tabla15[[#This Row],[Importe]]-Tabla15[[#This Row],[Pagado]]</f>
        <v>0</v>
      </c>
      <c r="H754" s="92" t="s">
        <v>10</v>
      </c>
    </row>
    <row r="755" spans="1:8" ht="21.75" customHeight="1" x14ac:dyDescent="0.25">
      <c r="A755" s="35">
        <v>44658</v>
      </c>
      <c r="B755" s="90" t="s">
        <v>11356</v>
      </c>
      <c r="C755" s="41" t="s">
        <v>9827</v>
      </c>
      <c r="D755" s="87">
        <v>567</v>
      </c>
      <c r="E755" s="35">
        <v>44658</v>
      </c>
      <c r="F755" s="87">
        <v>567</v>
      </c>
      <c r="G755" s="91">
        <f>Tabla15[[#This Row],[Importe]]-Tabla15[[#This Row],[Pagado]]</f>
        <v>0</v>
      </c>
      <c r="H755" s="92" t="s">
        <v>10</v>
      </c>
    </row>
    <row r="756" spans="1:8" ht="21.75" customHeight="1" x14ac:dyDescent="0.25">
      <c r="A756" s="35">
        <v>44658</v>
      </c>
      <c r="B756" s="90" t="s">
        <v>11357</v>
      </c>
      <c r="C756" s="41" t="s">
        <v>151</v>
      </c>
      <c r="D756" s="87">
        <v>1980</v>
      </c>
      <c r="E756" s="35">
        <v>44659</v>
      </c>
      <c r="F756" s="87">
        <v>1980</v>
      </c>
      <c r="G756" s="91">
        <f>Tabla15[[#This Row],[Importe]]-Tabla15[[#This Row],[Pagado]]</f>
        <v>0</v>
      </c>
      <c r="H756" s="92" t="s">
        <v>10</v>
      </c>
    </row>
    <row r="757" spans="1:8" ht="21.75" customHeight="1" x14ac:dyDescent="0.25">
      <c r="A757" s="35">
        <v>44658</v>
      </c>
      <c r="B757" s="90" t="s">
        <v>11358</v>
      </c>
      <c r="C757" s="41" t="s">
        <v>58</v>
      </c>
      <c r="D757" s="87">
        <v>4200.3</v>
      </c>
      <c r="E757" s="35">
        <v>44658</v>
      </c>
      <c r="F757" s="87">
        <v>4200.3</v>
      </c>
      <c r="G757" s="91">
        <f>Tabla15[[#This Row],[Importe]]-Tabla15[[#This Row],[Pagado]]</f>
        <v>0</v>
      </c>
      <c r="H757" s="92" t="s">
        <v>10</v>
      </c>
    </row>
    <row r="758" spans="1:8" ht="21.75" customHeight="1" x14ac:dyDescent="0.25">
      <c r="A758" s="35">
        <v>44658</v>
      </c>
      <c r="B758" s="90" t="s">
        <v>11359</v>
      </c>
      <c r="C758" s="41" t="s">
        <v>289</v>
      </c>
      <c r="D758" s="87">
        <v>6205.2</v>
      </c>
      <c r="E758" s="35">
        <v>44658</v>
      </c>
      <c r="F758" s="87">
        <v>6205.2</v>
      </c>
      <c r="G758" s="91">
        <f>Tabla15[[#This Row],[Importe]]-Tabla15[[#This Row],[Pagado]]</f>
        <v>0</v>
      </c>
      <c r="H758" s="92" t="s">
        <v>10</v>
      </c>
    </row>
    <row r="759" spans="1:8" ht="21.75" customHeight="1" x14ac:dyDescent="0.25">
      <c r="A759" s="35">
        <v>44658</v>
      </c>
      <c r="B759" s="90" t="s">
        <v>11360</v>
      </c>
      <c r="C759" s="41" t="s">
        <v>484</v>
      </c>
      <c r="D759" s="87">
        <v>10584</v>
      </c>
      <c r="E759" s="35">
        <v>44658</v>
      </c>
      <c r="F759" s="87">
        <v>10584</v>
      </c>
      <c r="G759" s="91">
        <f>Tabla15[[#This Row],[Importe]]-Tabla15[[#This Row],[Pagado]]</f>
        <v>0</v>
      </c>
      <c r="H759" s="92" t="s">
        <v>10</v>
      </c>
    </row>
    <row r="760" spans="1:8" ht="21.75" customHeight="1" x14ac:dyDescent="0.25">
      <c r="A760" s="35">
        <v>44658</v>
      </c>
      <c r="B760" s="90" t="s">
        <v>11361</v>
      </c>
      <c r="C760" s="41" t="s">
        <v>934</v>
      </c>
      <c r="D760" s="87">
        <v>367.2</v>
      </c>
      <c r="E760" s="35">
        <v>44659</v>
      </c>
      <c r="F760" s="87">
        <v>367.2</v>
      </c>
      <c r="G760" s="91">
        <f>Tabla15[[#This Row],[Importe]]-Tabla15[[#This Row],[Pagado]]</f>
        <v>0</v>
      </c>
      <c r="H760" s="92" t="s">
        <v>10</v>
      </c>
    </row>
    <row r="761" spans="1:8" ht="21.75" customHeight="1" x14ac:dyDescent="0.25">
      <c r="A761" s="35">
        <v>44658</v>
      </c>
      <c r="B761" s="90" t="s">
        <v>11362</v>
      </c>
      <c r="C761" s="41" t="s">
        <v>419</v>
      </c>
      <c r="D761" s="87">
        <v>8313.5</v>
      </c>
      <c r="E761" s="35">
        <v>44658</v>
      </c>
      <c r="F761" s="87">
        <v>8313.5</v>
      </c>
      <c r="G761" s="91">
        <f>Tabla15[[#This Row],[Importe]]-Tabla15[[#This Row],[Pagado]]</f>
        <v>0</v>
      </c>
      <c r="H761" s="92" t="s">
        <v>10</v>
      </c>
    </row>
    <row r="762" spans="1:8" ht="21.75" customHeight="1" x14ac:dyDescent="0.25">
      <c r="A762" s="35">
        <v>44658</v>
      </c>
      <c r="B762" s="90" t="s">
        <v>11363</v>
      </c>
      <c r="C762" s="41" t="s">
        <v>157</v>
      </c>
      <c r="D762" s="87">
        <v>4714.1000000000004</v>
      </c>
      <c r="E762" s="35">
        <v>44659</v>
      </c>
      <c r="F762" s="87">
        <v>4714.1000000000004</v>
      </c>
      <c r="G762" s="91">
        <f>Tabla15[[#This Row],[Importe]]-Tabla15[[#This Row],[Pagado]]</f>
        <v>0</v>
      </c>
      <c r="H762" s="92" t="s">
        <v>10</v>
      </c>
    </row>
    <row r="763" spans="1:8" ht="21.75" customHeight="1" x14ac:dyDescent="0.25">
      <c r="A763" s="35">
        <v>44658</v>
      </c>
      <c r="B763" s="90" t="s">
        <v>11364</v>
      </c>
      <c r="C763" s="41" t="s">
        <v>79</v>
      </c>
      <c r="D763" s="87">
        <v>3634.2</v>
      </c>
      <c r="E763" s="35">
        <v>44659</v>
      </c>
      <c r="F763" s="87">
        <v>3634.2</v>
      </c>
      <c r="G763" s="91">
        <f>Tabla15[[#This Row],[Importe]]-Tabla15[[#This Row],[Pagado]]</f>
        <v>0</v>
      </c>
      <c r="H763" s="92" t="s">
        <v>10</v>
      </c>
    </row>
    <row r="764" spans="1:8" ht="21.75" customHeight="1" x14ac:dyDescent="0.25">
      <c r="A764" s="35">
        <v>44658</v>
      </c>
      <c r="B764" s="90" t="s">
        <v>11365</v>
      </c>
      <c r="C764" s="41" t="s">
        <v>159</v>
      </c>
      <c r="D764" s="87">
        <v>1390.4</v>
      </c>
      <c r="E764" s="35">
        <v>44659</v>
      </c>
      <c r="F764" s="87">
        <v>1390.4</v>
      </c>
      <c r="G764" s="91">
        <f>Tabla15[[#This Row],[Importe]]-Tabla15[[#This Row],[Pagado]]</f>
        <v>0</v>
      </c>
      <c r="H764" s="92" t="s">
        <v>10</v>
      </c>
    </row>
    <row r="765" spans="1:8" ht="21.75" customHeight="1" x14ac:dyDescent="0.25">
      <c r="A765" s="35">
        <v>44658</v>
      </c>
      <c r="B765" s="90" t="s">
        <v>11366</v>
      </c>
      <c r="C765" s="41" t="s">
        <v>157</v>
      </c>
      <c r="D765" s="87">
        <v>492.8</v>
      </c>
      <c r="E765" s="35">
        <v>44659</v>
      </c>
      <c r="F765" s="87">
        <v>492.8</v>
      </c>
      <c r="G765" s="91">
        <f>Tabla15[[#This Row],[Importe]]-Tabla15[[#This Row],[Pagado]]</f>
        <v>0</v>
      </c>
      <c r="H765" s="92" t="s">
        <v>10</v>
      </c>
    </row>
    <row r="766" spans="1:8" ht="21.75" customHeight="1" x14ac:dyDescent="0.25">
      <c r="A766" s="35">
        <v>44658</v>
      </c>
      <c r="B766" s="90" t="s">
        <v>11367</v>
      </c>
      <c r="C766" s="41" t="s">
        <v>396</v>
      </c>
      <c r="D766" s="87">
        <v>11873.2</v>
      </c>
      <c r="E766" s="35">
        <v>44663</v>
      </c>
      <c r="F766" s="87">
        <v>11873.2</v>
      </c>
      <c r="G766" s="91">
        <f>Tabla15[[#This Row],[Importe]]-Tabla15[[#This Row],[Pagado]]</f>
        <v>0</v>
      </c>
      <c r="H766" s="92" t="s">
        <v>10</v>
      </c>
    </row>
    <row r="767" spans="1:8" ht="21.75" customHeight="1" x14ac:dyDescent="0.25">
      <c r="A767" s="35">
        <v>44658</v>
      </c>
      <c r="B767" s="90" t="s">
        <v>11368</v>
      </c>
      <c r="C767" s="41" t="s">
        <v>79</v>
      </c>
      <c r="D767" s="87">
        <v>4584.6000000000004</v>
      </c>
      <c r="E767" s="35">
        <v>44659</v>
      </c>
      <c r="F767" s="87">
        <v>4584.6000000000004</v>
      </c>
      <c r="G767" s="91">
        <f>Tabla15[[#This Row],[Importe]]-Tabla15[[#This Row],[Pagado]]</f>
        <v>0</v>
      </c>
      <c r="H767" s="92" t="s">
        <v>10</v>
      </c>
    </row>
    <row r="768" spans="1:8" ht="21.75" customHeight="1" x14ac:dyDescent="0.25">
      <c r="A768" s="35">
        <v>44658</v>
      </c>
      <c r="B768" s="90" t="s">
        <v>11369</v>
      </c>
      <c r="C768" s="41" t="s">
        <v>448</v>
      </c>
      <c r="D768" s="87">
        <v>16243.2</v>
      </c>
      <c r="E768" s="35">
        <v>44659</v>
      </c>
      <c r="F768" s="87">
        <v>16243.2</v>
      </c>
      <c r="G768" s="91">
        <f>Tabla15[[#This Row],[Importe]]-Tabla15[[#This Row],[Pagado]]</f>
        <v>0</v>
      </c>
      <c r="H768" s="92" t="s">
        <v>10</v>
      </c>
    </row>
    <row r="769" spans="1:8" ht="21.75" customHeight="1" x14ac:dyDescent="0.25">
      <c r="A769" s="35">
        <v>44658</v>
      </c>
      <c r="B769" s="90" t="s">
        <v>11370</v>
      </c>
      <c r="C769" s="41" t="s">
        <v>31</v>
      </c>
      <c r="D769" s="87">
        <v>588.6</v>
      </c>
      <c r="E769" s="35">
        <v>44658</v>
      </c>
      <c r="F769" s="87">
        <v>588.6</v>
      </c>
      <c r="G769" s="91">
        <f>Tabla15[[#This Row],[Importe]]-Tabla15[[#This Row],[Pagado]]</f>
        <v>0</v>
      </c>
      <c r="H769" s="92" t="s">
        <v>10</v>
      </c>
    </row>
    <row r="770" spans="1:8" ht="21.75" customHeight="1" x14ac:dyDescent="0.25">
      <c r="A770" s="35">
        <v>44658</v>
      </c>
      <c r="B770" s="90" t="s">
        <v>11371</v>
      </c>
      <c r="C770" s="41" t="s">
        <v>107</v>
      </c>
      <c r="D770" s="87">
        <v>12921.3</v>
      </c>
      <c r="E770" s="35">
        <v>44658</v>
      </c>
      <c r="F770" s="87">
        <v>12921.3</v>
      </c>
      <c r="G770" s="91">
        <f>Tabla15[[#This Row],[Importe]]-Tabla15[[#This Row],[Pagado]]</f>
        <v>0</v>
      </c>
      <c r="H770" s="92" t="s">
        <v>10</v>
      </c>
    </row>
    <row r="771" spans="1:8" ht="21.75" customHeight="1" x14ac:dyDescent="0.25">
      <c r="A771" s="35">
        <v>44658</v>
      </c>
      <c r="B771" s="90" t="s">
        <v>11372</v>
      </c>
      <c r="C771" s="41" t="s">
        <v>402</v>
      </c>
      <c r="D771" s="87">
        <v>13083.5</v>
      </c>
      <c r="E771" s="35">
        <v>44663</v>
      </c>
      <c r="F771" s="87">
        <v>13083.5</v>
      </c>
      <c r="G771" s="91">
        <f>Tabla15[[#This Row],[Importe]]-Tabla15[[#This Row],[Pagado]]</f>
        <v>0</v>
      </c>
      <c r="H771" s="92" t="s">
        <v>10</v>
      </c>
    </row>
    <row r="772" spans="1:8" ht="21.75" customHeight="1" x14ac:dyDescent="0.25">
      <c r="A772" s="35">
        <v>44658</v>
      </c>
      <c r="B772" s="90" t="s">
        <v>11373</v>
      </c>
      <c r="C772" s="41" t="s">
        <v>414</v>
      </c>
      <c r="D772" s="87">
        <v>1584</v>
      </c>
      <c r="E772" s="35">
        <v>44658</v>
      </c>
      <c r="F772" s="87">
        <v>1584</v>
      </c>
      <c r="G772" s="91">
        <f>Tabla15[[#This Row],[Importe]]-Tabla15[[#This Row],[Pagado]]</f>
        <v>0</v>
      </c>
      <c r="H772" s="92" t="s">
        <v>10</v>
      </c>
    </row>
    <row r="773" spans="1:8" ht="21.75" customHeight="1" x14ac:dyDescent="0.25">
      <c r="A773" s="35">
        <v>44658</v>
      </c>
      <c r="B773" s="90" t="s">
        <v>11374</v>
      </c>
      <c r="C773" s="41" t="s">
        <v>275</v>
      </c>
      <c r="D773" s="87">
        <v>62888.4</v>
      </c>
      <c r="E773" s="35">
        <v>44670</v>
      </c>
      <c r="F773" s="87">
        <v>62888.4</v>
      </c>
      <c r="G773" s="91">
        <f>Tabla15[[#This Row],[Importe]]-Tabla15[[#This Row],[Pagado]]</f>
        <v>0</v>
      </c>
      <c r="H773" s="92" t="s">
        <v>10</v>
      </c>
    </row>
    <row r="774" spans="1:8" ht="21.75" customHeight="1" x14ac:dyDescent="0.25">
      <c r="A774" s="35">
        <v>44658</v>
      </c>
      <c r="B774" s="90" t="s">
        <v>11375</v>
      </c>
      <c r="C774" s="41" t="s">
        <v>179</v>
      </c>
      <c r="D774" s="87">
        <v>1047.5999999999999</v>
      </c>
      <c r="E774" s="35">
        <v>44658</v>
      </c>
      <c r="F774" s="87">
        <v>1047.5999999999999</v>
      </c>
      <c r="G774" s="91">
        <f>Tabla15[[#This Row],[Importe]]-Tabla15[[#This Row],[Pagado]]</f>
        <v>0</v>
      </c>
      <c r="H774" s="92" t="s">
        <v>10</v>
      </c>
    </row>
    <row r="775" spans="1:8" ht="21.75" customHeight="1" x14ac:dyDescent="0.25">
      <c r="A775" s="35">
        <v>44658</v>
      </c>
      <c r="B775" s="90" t="s">
        <v>11376</v>
      </c>
      <c r="C775" s="41" t="s">
        <v>31</v>
      </c>
      <c r="D775" s="87">
        <v>1120</v>
      </c>
      <c r="E775" s="35">
        <v>44658</v>
      </c>
      <c r="F775" s="87">
        <v>1120</v>
      </c>
      <c r="G775" s="91">
        <f>Tabla15[[#This Row],[Importe]]-Tabla15[[#This Row],[Pagado]]</f>
        <v>0</v>
      </c>
      <c r="H775" s="92" t="s">
        <v>10</v>
      </c>
    </row>
    <row r="776" spans="1:8" ht="21.75" customHeight="1" x14ac:dyDescent="0.25">
      <c r="A776" s="35">
        <v>44658</v>
      </c>
      <c r="B776" s="90" t="s">
        <v>11377</v>
      </c>
      <c r="C776" s="41" t="s">
        <v>843</v>
      </c>
      <c r="D776" s="87">
        <v>16458</v>
      </c>
      <c r="E776" s="35">
        <v>44660</v>
      </c>
      <c r="F776" s="87">
        <v>16458</v>
      </c>
      <c r="G776" s="91">
        <f>Tabla15[[#This Row],[Importe]]-Tabla15[[#This Row],[Pagado]]</f>
        <v>0</v>
      </c>
      <c r="H776" s="92" t="s">
        <v>10</v>
      </c>
    </row>
    <row r="777" spans="1:8" ht="21.75" customHeight="1" x14ac:dyDescent="0.25">
      <c r="A777" s="35">
        <v>44658</v>
      </c>
      <c r="B777" s="90" t="s">
        <v>11378</v>
      </c>
      <c r="C777" s="41" t="s">
        <v>31</v>
      </c>
      <c r="D777" s="87">
        <v>184.8</v>
      </c>
      <c r="E777" s="35">
        <v>44658</v>
      </c>
      <c r="F777" s="87">
        <v>184.8</v>
      </c>
      <c r="G777" s="91">
        <f>Tabla15[[#This Row],[Importe]]-Tabla15[[#This Row],[Pagado]]</f>
        <v>0</v>
      </c>
      <c r="H777" s="92" t="s">
        <v>10</v>
      </c>
    </row>
    <row r="778" spans="1:8" ht="21.75" customHeight="1" x14ac:dyDescent="0.25">
      <c r="A778" s="35">
        <v>44658</v>
      </c>
      <c r="B778" s="90" t="s">
        <v>11379</v>
      </c>
      <c r="C778" s="41" t="s">
        <v>31</v>
      </c>
      <c r="D778" s="87">
        <v>37</v>
      </c>
      <c r="E778" s="35">
        <v>44658</v>
      </c>
      <c r="F778" s="87">
        <v>37</v>
      </c>
      <c r="G778" s="91">
        <f>Tabla15[[#This Row],[Importe]]-Tabla15[[#This Row],[Pagado]]</f>
        <v>0</v>
      </c>
      <c r="H778" s="92" t="s">
        <v>10</v>
      </c>
    </row>
    <row r="779" spans="1:8" ht="21.75" customHeight="1" x14ac:dyDescent="0.25">
      <c r="A779" s="35">
        <v>44658</v>
      </c>
      <c r="B779" s="90" t="s">
        <v>11380</v>
      </c>
      <c r="C779" s="41" t="s">
        <v>11381</v>
      </c>
      <c r="D779" s="87">
        <v>0</v>
      </c>
      <c r="E779" s="39" t="s">
        <v>189</v>
      </c>
      <c r="F779" s="87">
        <v>0</v>
      </c>
      <c r="G779" s="91">
        <f>Tabla15[[#This Row],[Importe]]-Tabla15[[#This Row],[Pagado]]</f>
        <v>0</v>
      </c>
      <c r="H779" s="92" t="s">
        <v>189</v>
      </c>
    </row>
    <row r="780" spans="1:8" ht="21.75" customHeight="1" x14ac:dyDescent="0.25">
      <c r="A780" s="35">
        <v>44658</v>
      </c>
      <c r="B780" s="90" t="s">
        <v>11382</v>
      </c>
      <c r="C780" s="41" t="s">
        <v>11383</v>
      </c>
      <c r="D780" s="87">
        <v>5504.8</v>
      </c>
      <c r="E780" s="35">
        <v>44658</v>
      </c>
      <c r="F780" s="87">
        <v>5504.8</v>
      </c>
      <c r="G780" s="91">
        <f>Tabla15[[#This Row],[Importe]]-Tabla15[[#This Row],[Pagado]]</f>
        <v>0</v>
      </c>
      <c r="H780" s="92" t="s">
        <v>10</v>
      </c>
    </row>
    <row r="781" spans="1:8" ht="21.75" customHeight="1" x14ac:dyDescent="0.25">
      <c r="A781" s="35">
        <v>44658</v>
      </c>
      <c r="B781" s="90" t="s">
        <v>11384</v>
      </c>
      <c r="C781" s="41" t="s">
        <v>33</v>
      </c>
      <c r="D781" s="87">
        <v>16444.099999999999</v>
      </c>
      <c r="E781" s="35">
        <v>44658</v>
      </c>
      <c r="F781" s="87">
        <v>16444.099999999999</v>
      </c>
      <c r="G781" s="91">
        <f>Tabla15[[#This Row],[Importe]]-Tabla15[[#This Row],[Pagado]]</f>
        <v>0</v>
      </c>
      <c r="H781" s="92" t="s">
        <v>10</v>
      </c>
    </row>
    <row r="782" spans="1:8" ht="21.75" customHeight="1" x14ac:dyDescent="0.25">
      <c r="A782" s="35">
        <v>44658</v>
      </c>
      <c r="B782" s="90" t="s">
        <v>11385</v>
      </c>
      <c r="C782" s="41" t="s">
        <v>10678</v>
      </c>
      <c r="D782" s="87">
        <v>3481</v>
      </c>
      <c r="E782" s="35">
        <v>44658</v>
      </c>
      <c r="F782" s="87">
        <v>3481</v>
      </c>
      <c r="G782" s="91">
        <f>Tabla15[[#This Row],[Importe]]-Tabla15[[#This Row],[Pagado]]</f>
        <v>0</v>
      </c>
      <c r="H782" s="92" t="s">
        <v>10</v>
      </c>
    </row>
    <row r="783" spans="1:8" ht="21.75" customHeight="1" x14ac:dyDescent="0.25">
      <c r="A783" s="35">
        <v>44658</v>
      </c>
      <c r="B783" s="90" t="s">
        <v>11386</v>
      </c>
      <c r="C783" s="41" t="s">
        <v>4273</v>
      </c>
      <c r="D783" s="87">
        <v>27500</v>
      </c>
      <c r="E783" s="35">
        <v>44658</v>
      </c>
      <c r="F783" s="87">
        <v>27500</v>
      </c>
      <c r="G783" s="91">
        <f>Tabla15[[#This Row],[Importe]]-Tabla15[[#This Row],[Pagado]]</f>
        <v>0</v>
      </c>
      <c r="H783" s="92" t="s">
        <v>10</v>
      </c>
    </row>
    <row r="784" spans="1:8" ht="21.75" customHeight="1" x14ac:dyDescent="0.25">
      <c r="A784" s="35">
        <v>44658</v>
      </c>
      <c r="B784" s="90" t="s">
        <v>11387</v>
      </c>
      <c r="C784" s="41" t="s">
        <v>284</v>
      </c>
      <c r="D784" s="87">
        <v>1587.6</v>
      </c>
      <c r="E784" s="35">
        <v>44659</v>
      </c>
      <c r="F784" s="87">
        <v>1587.6</v>
      </c>
      <c r="G784" s="91">
        <f>Tabla15[[#This Row],[Importe]]-Tabla15[[#This Row],[Pagado]]</f>
        <v>0</v>
      </c>
      <c r="H784" s="92" t="s">
        <v>10</v>
      </c>
    </row>
    <row r="785" spans="1:8" ht="21.75" customHeight="1" x14ac:dyDescent="0.25">
      <c r="A785" s="35">
        <v>44658</v>
      </c>
      <c r="B785" s="90" t="s">
        <v>11388</v>
      </c>
      <c r="C785" s="41" t="s">
        <v>280</v>
      </c>
      <c r="D785" s="87">
        <v>577.79999999999995</v>
      </c>
      <c r="E785" s="35">
        <v>44659</v>
      </c>
      <c r="F785" s="87">
        <v>577.79999999999995</v>
      </c>
      <c r="G785" s="91">
        <f>Tabla15[[#This Row],[Importe]]-Tabla15[[#This Row],[Pagado]]</f>
        <v>0</v>
      </c>
      <c r="H785" s="92" t="s">
        <v>10</v>
      </c>
    </row>
    <row r="786" spans="1:8" ht="21.75" customHeight="1" x14ac:dyDescent="0.25">
      <c r="A786" s="35">
        <v>44658</v>
      </c>
      <c r="B786" s="90" t="s">
        <v>11389</v>
      </c>
      <c r="C786" s="41" t="s">
        <v>282</v>
      </c>
      <c r="D786" s="87">
        <v>2062.8000000000002</v>
      </c>
      <c r="E786" s="35">
        <v>44659</v>
      </c>
      <c r="F786" s="87">
        <v>2062.8000000000002</v>
      </c>
      <c r="G786" s="91">
        <f>Tabla15[[#This Row],[Importe]]-Tabla15[[#This Row],[Pagado]]</f>
        <v>0</v>
      </c>
      <c r="H786" s="92" t="s">
        <v>10</v>
      </c>
    </row>
    <row r="787" spans="1:8" ht="21.75" customHeight="1" x14ac:dyDescent="0.25">
      <c r="A787" s="35">
        <v>44658</v>
      </c>
      <c r="B787" s="90" t="s">
        <v>11390</v>
      </c>
      <c r="C787" s="41" t="s">
        <v>284</v>
      </c>
      <c r="D787" s="87">
        <v>8245.7999999999993</v>
      </c>
      <c r="E787" s="35">
        <v>44659</v>
      </c>
      <c r="F787" s="87">
        <v>8245.7999999999993</v>
      </c>
      <c r="G787" s="91">
        <f>Tabla15[[#This Row],[Importe]]-Tabla15[[#This Row],[Pagado]]</f>
        <v>0</v>
      </c>
      <c r="H787" s="92" t="s">
        <v>10</v>
      </c>
    </row>
    <row r="788" spans="1:8" ht="21.75" customHeight="1" x14ac:dyDescent="0.25">
      <c r="A788" s="35">
        <v>44658</v>
      </c>
      <c r="B788" s="90" t="s">
        <v>11391</v>
      </c>
      <c r="C788" s="41" t="s">
        <v>729</v>
      </c>
      <c r="D788" s="87">
        <v>19053.099999999999</v>
      </c>
      <c r="E788" s="35">
        <v>44659</v>
      </c>
      <c r="F788" s="87">
        <v>19053.099999999999</v>
      </c>
      <c r="G788" s="91">
        <f>Tabla15[[#This Row],[Importe]]-Tabla15[[#This Row],[Pagado]]</f>
        <v>0</v>
      </c>
      <c r="H788" s="92" t="s">
        <v>10</v>
      </c>
    </row>
    <row r="789" spans="1:8" ht="21.75" customHeight="1" x14ac:dyDescent="0.25">
      <c r="A789" s="35">
        <v>44658</v>
      </c>
      <c r="B789" s="90" t="s">
        <v>11392</v>
      </c>
      <c r="C789" s="41" t="s">
        <v>1265</v>
      </c>
      <c r="D789" s="87">
        <v>484</v>
      </c>
      <c r="E789" s="35">
        <v>44658</v>
      </c>
      <c r="F789" s="87">
        <v>484</v>
      </c>
      <c r="G789" s="91">
        <f>Tabla15[[#This Row],[Importe]]-Tabla15[[#This Row],[Pagado]]</f>
        <v>0</v>
      </c>
      <c r="H789" s="92" t="s">
        <v>10</v>
      </c>
    </row>
    <row r="790" spans="1:8" ht="21.75" customHeight="1" x14ac:dyDescent="0.25">
      <c r="A790" s="35">
        <v>44658</v>
      </c>
      <c r="B790" s="90" t="s">
        <v>11393</v>
      </c>
      <c r="C790" s="41" t="s">
        <v>69</v>
      </c>
      <c r="D790" s="87">
        <v>1803.6</v>
      </c>
      <c r="E790" s="35">
        <v>44658</v>
      </c>
      <c r="F790" s="87">
        <v>1803.6</v>
      </c>
      <c r="G790" s="91">
        <f>Tabla15[[#This Row],[Importe]]-Tabla15[[#This Row],[Pagado]]</f>
        <v>0</v>
      </c>
      <c r="H790" s="92" t="s">
        <v>10</v>
      </c>
    </row>
    <row r="791" spans="1:8" ht="21.75" customHeight="1" x14ac:dyDescent="0.25">
      <c r="A791" s="35">
        <v>44658</v>
      </c>
      <c r="B791" s="90" t="s">
        <v>11394</v>
      </c>
      <c r="C791" s="41" t="s">
        <v>31</v>
      </c>
      <c r="D791" s="87">
        <v>518.4</v>
      </c>
      <c r="E791" s="35">
        <v>44658</v>
      </c>
      <c r="F791" s="87">
        <v>518.4</v>
      </c>
      <c r="G791" s="91">
        <f>Tabla15[[#This Row],[Importe]]-Tabla15[[#This Row],[Pagado]]</f>
        <v>0</v>
      </c>
      <c r="H791" s="92" t="s">
        <v>10</v>
      </c>
    </row>
    <row r="792" spans="1:8" ht="21.75" customHeight="1" x14ac:dyDescent="0.25">
      <c r="A792" s="35">
        <v>44658</v>
      </c>
      <c r="B792" s="90" t="s">
        <v>11395</v>
      </c>
      <c r="C792" s="41" t="s">
        <v>1706</v>
      </c>
      <c r="D792" s="87">
        <v>8119.4</v>
      </c>
      <c r="E792" s="35">
        <v>44658</v>
      </c>
      <c r="F792" s="87">
        <v>8119.4</v>
      </c>
      <c r="G792" s="91">
        <f>Tabla15[[#This Row],[Importe]]-Tabla15[[#This Row],[Pagado]]</f>
        <v>0</v>
      </c>
      <c r="H792" s="92" t="s">
        <v>10</v>
      </c>
    </row>
    <row r="793" spans="1:8" ht="21.75" customHeight="1" x14ac:dyDescent="0.25">
      <c r="A793" s="35">
        <v>44658</v>
      </c>
      <c r="B793" s="90" t="s">
        <v>11396</v>
      </c>
      <c r="C793" s="41" t="s">
        <v>53</v>
      </c>
      <c r="D793" s="87">
        <v>1655.5</v>
      </c>
      <c r="E793" s="35">
        <v>44658</v>
      </c>
      <c r="F793" s="87">
        <v>1655.5</v>
      </c>
      <c r="G793" s="91">
        <f>Tabla15[[#This Row],[Importe]]-Tabla15[[#This Row],[Pagado]]</f>
        <v>0</v>
      </c>
      <c r="H793" s="92" t="s">
        <v>10</v>
      </c>
    </row>
    <row r="794" spans="1:8" ht="21.75" customHeight="1" x14ac:dyDescent="0.25">
      <c r="A794" s="35">
        <v>44658</v>
      </c>
      <c r="B794" s="90" t="s">
        <v>11397</v>
      </c>
      <c r="C794" s="41" t="s">
        <v>368</v>
      </c>
      <c r="D794" s="87">
        <v>2382.9</v>
      </c>
      <c r="E794" s="35">
        <v>44659</v>
      </c>
      <c r="F794" s="87">
        <v>2382.9</v>
      </c>
      <c r="G794" s="91">
        <f>Tabla15[[#This Row],[Importe]]-Tabla15[[#This Row],[Pagado]]</f>
        <v>0</v>
      </c>
      <c r="H794" s="92" t="s">
        <v>10</v>
      </c>
    </row>
    <row r="795" spans="1:8" ht="21.75" customHeight="1" x14ac:dyDescent="0.25">
      <c r="A795" s="35">
        <v>44658</v>
      </c>
      <c r="B795" s="90" t="s">
        <v>11398</v>
      </c>
      <c r="C795" s="41" t="s">
        <v>31</v>
      </c>
      <c r="D795" s="87">
        <v>5744</v>
      </c>
      <c r="E795" s="35">
        <v>44658</v>
      </c>
      <c r="F795" s="87">
        <v>5744</v>
      </c>
      <c r="G795" s="91">
        <f>Tabla15[[#This Row],[Importe]]-Tabla15[[#This Row],[Pagado]]</f>
        <v>0</v>
      </c>
      <c r="H795" s="92" t="s">
        <v>10</v>
      </c>
    </row>
    <row r="796" spans="1:8" ht="21.75" customHeight="1" x14ac:dyDescent="0.25">
      <c r="A796" s="35">
        <v>44658</v>
      </c>
      <c r="B796" s="90" t="s">
        <v>11399</v>
      </c>
      <c r="C796" s="41" t="s">
        <v>414</v>
      </c>
      <c r="D796" s="87">
        <v>36.42</v>
      </c>
      <c r="E796" s="35">
        <v>44663</v>
      </c>
      <c r="F796" s="87">
        <v>36.42</v>
      </c>
      <c r="G796" s="91">
        <f>Tabla15[[#This Row],[Importe]]-Tabla15[[#This Row],[Pagado]]</f>
        <v>0</v>
      </c>
      <c r="H796" s="92" t="s">
        <v>10</v>
      </c>
    </row>
    <row r="797" spans="1:8" ht="21.75" customHeight="1" x14ac:dyDescent="0.25">
      <c r="A797" s="35">
        <v>44658</v>
      </c>
      <c r="B797" s="90" t="s">
        <v>11400</v>
      </c>
      <c r="C797" s="41" t="s">
        <v>12</v>
      </c>
      <c r="D797" s="87">
        <v>175</v>
      </c>
      <c r="E797" s="35">
        <v>44659</v>
      </c>
      <c r="F797" s="87">
        <v>175</v>
      </c>
      <c r="G797" s="91">
        <f>Tabla15[[#This Row],[Importe]]-Tabla15[[#This Row],[Pagado]]</f>
        <v>0</v>
      </c>
      <c r="H797" s="92" t="s">
        <v>10</v>
      </c>
    </row>
    <row r="798" spans="1:8" ht="21.75" customHeight="1" x14ac:dyDescent="0.25">
      <c r="A798" s="35">
        <v>44658</v>
      </c>
      <c r="B798" s="90" t="s">
        <v>11401</v>
      </c>
      <c r="C798" s="41" t="s">
        <v>414</v>
      </c>
      <c r="D798" s="87">
        <v>18.54</v>
      </c>
      <c r="E798" s="35">
        <v>44663</v>
      </c>
      <c r="F798" s="87">
        <v>18.54</v>
      </c>
      <c r="G798" s="91">
        <f>Tabla15[[#This Row],[Importe]]-Tabla15[[#This Row],[Pagado]]</f>
        <v>0</v>
      </c>
      <c r="H798" s="92" t="s">
        <v>10</v>
      </c>
    </row>
    <row r="799" spans="1:8" ht="21.75" customHeight="1" x14ac:dyDescent="0.25">
      <c r="A799" s="35">
        <v>44658</v>
      </c>
      <c r="B799" s="90" t="s">
        <v>11402</v>
      </c>
      <c r="C799" s="41" t="s">
        <v>291</v>
      </c>
      <c r="D799" s="87">
        <v>1224.5999999999999</v>
      </c>
      <c r="E799" s="35">
        <v>44659</v>
      </c>
      <c r="F799" s="87">
        <v>1224.5999999999999</v>
      </c>
      <c r="G799" s="91">
        <f>Tabla15[[#This Row],[Importe]]-Tabla15[[#This Row],[Pagado]]</f>
        <v>0</v>
      </c>
      <c r="H799" s="92" t="s">
        <v>10</v>
      </c>
    </row>
    <row r="800" spans="1:8" ht="21.75" customHeight="1" x14ac:dyDescent="0.25">
      <c r="A800" s="35">
        <v>44659</v>
      </c>
      <c r="B800" s="90" t="s">
        <v>11403</v>
      </c>
      <c r="C800" s="41" t="s">
        <v>31</v>
      </c>
      <c r="D800" s="87">
        <v>3174.7</v>
      </c>
      <c r="E800" s="35">
        <v>44659</v>
      </c>
      <c r="F800" s="87">
        <v>3174.7</v>
      </c>
      <c r="G800" s="91">
        <f>Tabla15[[#This Row],[Importe]]-Tabla15[[#This Row],[Pagado]]</f>
        <v>0</v>
      </c>
      <c r="H800" s="92" t="s">
        <v>10</v>
      </c>
    </row>
    <row r="801" spans="1:8" ht="21.75" customHeight="1" x14ac:dyDescent="0.25">
      <c r="A801" s="35">
        <v>44659</v>
      </c>
      <c r="B801" s="90" t="s">
        <v>11404</v>
      </c>
      <c r="C801" s="41" t="s">
        <v>79</v>
      </c>
      <c r="D801" s="87">
        <v>11075.2</v>
      </c>
      <c r="E801" s="35">
        <v>44659</v>
      </c>
      <c r="F801" s="87">
        <v>11075.2</v>
      </c>
      <c r="G801" s="91">
        <f>Tabla15[[#This Row],[Importe]]-Tabla15[[#This Row],[Pagado]]</f>
        <v>0</v>
      </c>
      <c r="H801" s="92" t="s">
        <v>10</v>
      </c>
    </row>
    <row r="802" spans="1:8" ht="21.75" customHeight="1" x14ac:dyDescent="0.25">
      <c r="A802" s="35">
        <v>44659</v>
      </c>
      <c r="B802" s="90" t="s">
        <v>11405</v>
      </c>
      <c r="C802" s="41" t="s">
        <v>481</v>
      </c>
      <c r="D802" s="87">
        <v>2377.8000000000002</v>
      </c>
      <c r="E802" s="35">
        <v>44659</v>
      </c>
      <c r="F802" s="87">
        <v>2377.8000000000002</v>
      </c>
      <c r="G802" s="91">
        <f>Tabla15[[#This Row],[Importe]]-Tabla15[[#This Row],[Pagado]]</f>
        <v>0</v>
      </c>
      <c r="H802" s="92" t="s">
        <v>10</v>
      </c>
    </row>
    <row r="803" spans="1:8" ht="21.75" customHeight="1" x14ac:dyDescent="0.25">
      <c r="A803" s="35">
        <v>44659</v>
      </c>
      <c r="B803" s="90" t="s">
        <v>11406</v>
      </c>
      <c r="C803" s="41" t="s">
        <v>75</v>
      </c>
      <c r="D803" s="87">
        <v>5680.8</v>
      </c>
      <c r="E803" s="35">
        <v>44659</v>
      </c>
      <c r="F803" s="87">
        <v>5680.8</v>
      </c>
      <c r="G803" s="91">
        <f>Tabla15[[#This Row],[Importe]]-Tabla15[[#This Row],[Pagado]]</f>
        <v>0</v>
      </c>
      <c r="H803" s="92" t="s">
        <v>10</v>
      </c>
    </row>
    <row r="804" spans="1:8" ht="21.75" customHeight="1" x14ac:dyDescent="0.25">
      <c r="A804" s="35">
        <v>44659</v>
      </c>
      <c r="B804" s="90" t="s">
        <v>11407</v>
      </c>
      <c r="C804" s="41" t="s">
        <v>31</v>
      </c>
      <c r="D804" s="87">
        <v>450.36</v>
      </c>
      <c r="E804" s="35">
        <v>44659</v>
      </c>
      <c r="F804" s="87">
        <v>450.36</v>
      </c>
      <c r="G804" s="91">
        <f>Tabla15[[#This Row],[Importe]]-Tabla15[[#This Row],[Pagado]]</f>
        <v>0</v>
      </c>
      <c r="H804" s="92" t="s">
        <v>10</v>
      </c>
    </row>
    <row r="805" spans="1:8" ht="31.5" x14ac:dyDescent="0.25">
      <c r="A805" s="35">
        <v>44659</v>
      </c>
      <c r="B805" s="90" t="s">
        <v>11408</v>
      </c>
      <c r="C805" s="41" t="s">
        <v>475</v>
      </c>
      <c r="D805" s="87">
        <v>35160.699999999997</v>
      </c>
      <c r="E805" s="35" t="s">
        <v>11409</v>
      </c>
      <c r="F805" s="87">
        <f>4400+30760.7</f>
        <v>35160.699999999997</v>
      </c>
      <c r="G805" s="91">
        <f>Tabla15[[#This Row],[Importe]]-Tabla15[[#This Row],[Pagado]]</f>
        <v>0</v>
      </c>
      <c r="H805" s="92" t="s">
        <v>10</v>
      </c>
    </row>
    <row r="806" spans="1:8" ht="21.75" customHeight="1" x14ac:dyDescent="0.25">
      <c r="A806" s="35">
        <v>44659</v>
      </c>
      <c r="B806" s="90" t="s">
        <v>11410</v>
      </c>
      <c r="C806" s="41" t="s">
        <v>12</v>
      </c>
      <c r="D806" s="87">
        <v>17884.45</v>
      </c>
      <c r="E806" s="35">
        <v>44659</v>
      </c>
      <c r="F806" s="87">
        <v>17884.45</v>
      </c>
      <c r="G806" s="91">
        <f>Tabla15[[#This Row],[Importe]]-Tabla15[[#This Row],[Pagado]]</f>
        <v>0</v>
      </c>
      <c r="H806" s="92" t="s">
        <v>10</v>
      </c>
    </row>
    <row r="807" spans="1:8" ht="21.75" customHeight="1" x14ac:dyDescent="0.25">
      <c r="A807" s="35">
        <v>44659</v>
      </c>
      <c r="B807" s="90" t="s">
        <v>11411</v>
      </c>
      <c r="C807" s="41" t="s">
        <v>151</v>
      </c>
      <c r="D807" s="87">
        <v>10411.4</v>
      </c>
      <c r="E807" s="35">
        <v>44659</v>
      </c>
      <c r="F807" s="87">
        <v>10411.4</v>
      </c>
      <c r="G807" s="91">
        <f>Tabla15[[#This Row],[Importe]]-Tabla15[[#This Row],[Pagado]]</f>
        <v>0</v>
      </c>
      <c r="H807" s="92" t="s">
        <v>10</v>
      </c>
    </row>
    <row r="808" spans="1:8" ht="21.75" customHeight="1" x14ac:dyDescent="0.25">
      <c r="A808" s="35">
        <v>44659</v>
      </c>
      <c r="B808" s="90" t="s">
        <v>11412</v>
      </c>
      <c r="C808" s="41" t="s">
        <v>9</v>
      </c>
      <c r="D808" s="87">
        <v>3054.6</v>
      </c>
      <c r="E808" s="35">
        <v>44659</v>
      </c>
      <c r="F808" s="87">
        <v>3054.6</v>
      </c>
      <c r="G808" s="91">
        <f>Tabla15[[#This Row],[Importe]]-Tabla15[[#This Row],[Pagado]]</f>
        <v>0</v>
      </c>
      <c r="H808" s="92" t="s">
        <v>10</v>
      </c>
    </row>
    <row r="809" spans="1:8" ht="21.75" customHeight="1" x14ac:dyDescent="0.25">
      <c r="A809" s="35">
        <v>44659</v>
      </c>
      <c r="B809" s="90" t="s">
        <v>11413</v>
      </c>
      <c r="C809" s="41" t="s">
        <v>9</v>
      </c>
      <c r="D809" s="87">
        <v>2984</v>
      </c>
      <c r="E809" s="35">
        <v>44659</v>
      </c>
      <c r="F809" s="87">
        <v>2984</v>
      </c>
      <c r="G809" s="91">
        <f>Tabla15[[#This Row],[Importe]]-Tabla15[[#This Row],[Pagado]]</f>
        <v>0</v>
      </c>
      <c r="H809" s="92" t="s">
        <v>10</v>
      </c>
    </row>
    <row r="810" spans="1:8" ht="21.75" customHeight="1" x14ac:dyDescent="0.25">
      <c r="A810" s="35">
        <v>44659</v>
      </c>
      <c r="B810" s="90" t="s">
        <v>11414</v>
      </c>
      <c r="C810" s="41" t="s">
        <v>114</v>
      </c>
      <c r="D810" s="87">
        <v>9052.5</v>
      </c>
      <c r="E810" s="35">
        <v>44660</v>
      </c>
      <c r="F810" s="87">
        <v>9052.5</v>
      </c>
      <c r="G810" s="91">
        <f>Tabla15[[#This Row],[Importe]]-Tabla15[[#This Row],[Pagado]]</f>
        <v>0</v>
      </c>
      <c r="H810" s="92" t="s">
        <v>10</v>
      </c>
    </row>
    <row r="811" spans="1:8" ht="21.75" customHeight="1" x14ac:dyDescent="0.25">
      <c r="A811" s="35">
        <v>44659</v>
      </c>
      <c r="B811" s="90" t="s">
        <v>11415</v>
      </c>
      <c r="C811" s="41" t="s">
        <v>60</v>
      </c>
      <c r="D811" s="87">
        <v>4229.3999999999996</v>
      </c>
      <c r="E811" s="35">
        <v>44662</v>
      </c>
      <c r="F811" s="87">
        <v>4229.3999999999996</v>
      </c>
      <c r="G811" s="91">
        <f>Tabla15[[#This Row],[Importe]]-Tabla15[[#This Row],[Pagado]]</f>
        <v>0</v>
      </c>
      <c r="H811" s="92" t="s">
        <v>10</v>
      </c>
    </row>
    <row r="812" spans="1:8" ht="31.5" x14ac:dyDescent="0.25">
      <c r="A812" s="35">
        <v>44659</v>
      </c>
      <c r="B812" s="90" t="s">
        <v>11416</v>
      </c>
      <c r="C812" s="41" t="s">
        <v>345</v>
      </c>
      <c r="D812" s="87">
        <v>4732.2</v>
      </c>
      <c r="E812" s="35" t="s">
        <v>11261</v>
      </c>
      <c r="F812" s="87">
        <f>2500+2232.2</f>
        <v>4732.2</v>
      </c>
      <c r="G812" s="91">
        <f>Tabla15[[#This Row],[Importe]]-Tabla15[[#This Row],[Pagado]]</f>
        <v>0</v>
      </c>
      <c r="H812" s="92" t="s">
        <v>10</v>
      </c>
    </row>
    <row r="813" spans="1:8" ht="21.75" customHeight="1" x14ac:dyDescent="0.25">
      <c r="A813" s="35">
        <v>44659</v>
      </c>
      <c r="B813" s="90" t="s">
        <v>11417</v>
      </c>
      <c r="C813" s="41" t="s">
        <v>105</v>
      </c>
      <c r="D813" s="87">
        <v>5723.1</v>
      </c>
      <c r="E813" s="35">
        <v>44660</v>
      </c>
      <c r="F813" s="87">
        <v>5723.1</v>
      </c>
      <c r="G813" s="91">
        <f>Tabla15[[#This Row],[Importe]]-Tabla15[[#This Row],[Pagado]]</f>
        <v>0</v>
      </c>
      <c r="H813" s="92" t="s">
        <v>10</v>
      </c>
    </row>
    <row r="814" spans="1:8" ht="21.75" customHeight="1" x14ac:dyDescent="0.25">
      <c r="A814" s="35">
        <v>44659</v>
      </c>
      <c r="B814" s="90" t="s">
        <v>11418</v>
      </c>
      <c r="C814" s="41" t="s">
        <v>97</v>
      </c>
      <c r="D814" s="87">
        <v>10983.3</v>
      </c>
      <c r="E814" s="35">
        <v>44660</v>
      </c>
      <c r="F814" s="87">
        <v>10983.3</v>
      </c>
      <c r="G814" s="91">
        <f>Tabla15[[#This Row],[Importe]]-Tabla15[[#This Row],[Pagado]]</f>
        <v>0</v>
      </c>
      <c r="H814" s="92" t="s">
        <v>10</v>
      </c>
    </row>
    <row r="815" spans="1:8" ht="21.75" customHeight="1" x14ac:dyDescent="0.25">
      <c r="A815" s="35">
        <v>44659</v>
      </c>
      <c r="B815" s="90" t="s">
        <v>11419</v>
      </c>
      <c r="C815" s="41" t="s">
        <v>89</v>
      </c>
      <c r="D815" s="87">
        <v>9000</v>
      </c>
      <c r="E815" s="35">
        <v>44660</v>
      </c>
      <c r="F815" s="87">
        <v>9000</v>
      </c>
      <c r="G815" s="91">
        <f>Tabla15[[#This Row],[Importe]]-Tabla15[[#This Row],[Pagado]]</f>
        <v>0</v>
      </c>
      <c r="H815" s="92" t="s">
        <v>10</v>
      </c>
    </row>
    <row r="816" spans="1:8" ht="21.75" customHeight="1" x14ac:dyDescent="0.25">
      <c r="A816" s="35">
        <v>44659</v>
      </c>
      <c r="B816" s="90" t="s">
        <v>11420</v>
      </c>
      <c r="C816" s="41" t="s">
        <v>135</v>
      </c>
      <c r="D816" s="87">
        <v>880</v>
      </c>
      <c r="E816" s="35">
        <v>44659</v>
      </c>
      <c r="F816" s="87">
        <v>880</v>
      </c>
      <c r="G816" s="91">
        <f>Tabla15[[#This Row],[Importe]]-Tabla15[[#This Row],[Pagado]]</f>
        <v>0</v>
      </c>
      <c r="H816" s="92" t="s">
        <v>10</v>
      </c>
    </row>
    <row r="817" spans="1:8" ht="21.75" customHeight="1" x14ac:dyDescent="0.25">
      <c r="A817" s="35">
        <v>44659</v>
      </c>
      <c r="B817" s="90" t="s">
        <v>11421</v>
      </c>
      <c r="C817" s="41" t="s">
        <v>64</v>
      </c>
      <c r="D817" s="87">
        <v>9439.7999999999993</v>
      </c>
      <c r="E817" s="35">
        <v>44660</v>
      </c>
      <c r="F817" s="87">
        <v>9439.7999999999993</v>
      </c>
      <c r="G817" s="91">
        <f>Tabla15[[#This Row],[Importe]]-Tabla15[[#This Row],[Pagado]]</f>
        <v>0</v>
      </c>
      <c r="H817" s="92" t="s">
        <v>10</v>
      </c>
    </row>
    <row r="818" spans="1:8" ht="21.75" customHeight="1" x14ac:dyDescent="0.25">
      <c r="A818" s="35">
        <v>44659</v>
      </c>
      <c r="B818" s="90" t="s">
        <v>11422</v>
      </c>
      <c r="C818" s="41" t="s">
        <v>2151</v>
      </c>
      <c r="D818" s="87">
        <v>26172.1</v>
      </c>
      <c r="E818" s="35">
        <v>44659</v>
      </c>
      <c r="F818" s="87">
        <v>26172.1</v>
      </c>
      <c r="G818" s="91">
        <f>Tabla15[[#This Row],[Importe]]-Tabla15[[#This Row],[Pagado]]</f>
        <v>0</v>
      </c>
      <c r="H818" s="92" t="s">
        <v>10</v>
      </c>
    </row>
    <row r="819" spans="1:8" ht="21.75" customHeight="1" x14ac:dyDescent="0.25">
      <c r="A819" s="35">
        <v>44659</v>
      </c>
      <c r="B819" s="90" t="s">
        <v>11423</v>
      </c>
      <c r="C819" s="41" t="s">
        <v>93</v>
      </c>
      <c r="D819" s="87">
        <v>6008.2</v>
      </c>
      <c r="E819" s="35">
        <v>44660</v>
      </c>
      <c r="F819" s="87">
        <v>6008.2</v>
      </c>
      <c r="G819" s="91">
        <f>Tabla15[[#This Row],[Importe]]-Tabla15[[#This Row],[Pagado]]</f>
        <v>0</v>
      </c>
      <c r="H819" s="92" t="s">
        <v>10</v>
      </c>
    </row>
    <row r="820" spans="1:8" ht="21.75" customHeight="1" x14ac:dyDescent="0.25">
      <c r="A820" s="35">
        <v>44659</v>
      </c>
      <c r="B820" s="90" t="s">
        <v>11424</v>
      </c>
      <c r="C820" s="41" t="s">
        <v>11425</v>
      </c>
      <c r="D820" s="87">
        <v>0</v>
      </c>
      <c r="E820" s="39" t="s">
        <v>189</v>
      </c>
      <c r="F820" s="87">
        <v>0</v>
      </c>
      <c r="G820" s="91">
        <f>Tabla15[[#This Row],[Importe]]-Tabla15[[#This Row],[Pagado]]</f>
        <v>0</v>
      </c>
      <c r="H820" s="92" t="s">
        <v>189</v>
      </c>
    </row>
    <row r="821" spans="1:8" ht="21.75" customHeight="1" x14ac:dyDescent="0.25">
      <c r="A821" s="35">
        <v>44659</v>
      </c>
      <c r="B821" s="90" t="s">
        <v>11426</v>
      </c>
      <c r="C821" s="41" t="s">
        <v>9780</v>
      </c>
      <c r="D821" s="87">
        <v>35277.65</v>
      </c>
      <c r="E821" s="35">
        <v>44677</v>
      </c>
      <c r="F821" s="87">
        <v>35277.65</v>
      </c>
      <c r="G821" s="91">
        <f>Tabla15[[#This Row],[Importe]]-Tabla15[[#This Row],[Pagado]]</f>
        <v>0</v>
      </c>
      <c r="H821" s="92" t="s">
        <v>10</v>
      </c>
    </row>
    <row r="822" spans="1:8" ht="21.75" customHeight="1" x14ac:dyDescent="0.25">
      <c r="A822" s="35">
        <v>44659</v>
      </c>
      <c r="B822" s="90" t="s">
        <v>11427</v>
      </c>
      <c r="C822" s="41" t="s">
        <v>212</v>
      </c>
      <c r="D822" s="87">
        <v>37946.199999999997</v>
      </c>
      <c r="E822" s="35">
        <v>44663</v>
      </c>
      <c r="F822" s="87">
        <v>37946.199999999997</v>
      </c>
      <c r="G822" s="91">
        <f>Tabla15[[#This Row],[Importe]]-Tabla15[[#This Row],[Pagado]]</f>
        <v>0</v>
      </c>
      <c r="H822" s="92" t="s">
        <v>10</v>
      </c>
    </row>
    <row r="823" spans="1:8" ht="21.75" customHeight="1" x14ac:dyDescent="0.25">
      <c r="A823" s="35">
        <v>44659</v>
      </c>
      <c r="B823" s="90" t="s">
        <v>11428</v>
      </c>
      <c r="C823" s="41" t="s">
        <v>11033</v>
      </c>
      <c r="D823" s="87">
        <v>1766.4</v>
      </c>
      <c r="E823" s="35">
        <v>44659</v>
      </c>
      <c r="F823" s="87">
        <v>1766.4</v>
      </c>
      <c r="G823" s="91">
        <f>Tabla15[[#This Row],[Importe]]-Tabla15[[#This Row],[Pagado]]</f>
        <v>0</v>
      </c>
      <c r="H823" s="92" t="s">
        <v>10</v>
      </c>
    </row>
    <row r="824" spans="1:8" ht="21.75" customHeight="1" x14ac:dyDescent="0.25">
      <c r="A824" s="35">
        <v>44659</v>
      </c>
      <c r="B824" s="90" t="s">
        <v>11429</v>
      </c>
      <c r="C824" s="41" t="s">
        <v>206</v>
      </c>
      <c r="D824" s="87">
        <v>36701.199999999997</v>
      </c>
      <c r="E824" s="35">
        <v>44663</v>
      </c>
      <c r="F824" s="87">
        <v>36701.199999999997</v>
      </c>
      <c r="G824" s="91">
        <f>Tabla15[[#This Row],[Importe]]-Tabla15[[#This Row],[Pagado]]</f>
        <v>0</v>
      </c>
      <c r="H824" s="92" t="s">
        <v>10</v>
      </c>
    </row>
    <row r="825" spans="1:8" ht="31.5" x14ac:dyDescent="0.25">
      <c r="A825" s="35">
        <v>44659</v>
      </c>
      <c r="B825" s="90" t="s">
        <v>11430</v>
      </c>
      <c r="C825" s="41" t="s">
        <v>22</v>
      </c>
      <c r="D825" s="87">
        <v>21795.8</v>
      </c>
      <c r="E825" s="35" t="s">
        <v>11431</v>
      </c>
      <c r="F825" s="87">
        <f>13000+8795.8</f>
        <v>21795.8</v>
      </c>
      <c r="G825" s="91">
        <f>Tabla15[[#This Row],[Importe]]-Tabla15[[#This Row],[Pagado]]</f>
        <v>0</v>
      </c>
      <c r="H825" s="92" t="s">
        <v>10</v>
      </c>
    </row>
    <row r="826" spans="1:8" ht="21.75" customHeight="1" x14ac:dyDescent="0.25">
      <c r="A826" s="35">
        <v>44659</v>
      </c>
      <c r="B826" s="90" t="s">
        <v>11432</v>
      </c>
      <c r="C826" s="41" t="s">
        <v>154</v>
      </c>
      <c r="D826" s="87">
        <v>63906.8</v>
      </c>
      <c r="E826" s="35">
        <v>44663</v>
      </c>
      <c r="F826" s="87">
        <v>63906.8</v>
      </c>
      <c r="G826" s="91">
        <f>Tabla15[[#This Row],[Importe]]-Tabla15[[#This Row],[Pagado]]</f>
        <v>0</v>
      </c>
      <c r="H826" s="92" t="s">
        <v>10</v>
      </c>
    </row>
    <row r="827" spans="1:8" ht="21.75" customHeight="1" x14ac:dyDescent="0.25">
      <c r="A827" s="35">
        <v>44659</v>
      </c>
      <c r="B827" s="90" t="s">
        <v>11433</v>
      </c>
      <c r="C827" s="41" t="s">
        <v>314</v>
      </c>
      <c r="D827" s="87">
        <v>2651.4</v>
      </c>
      <c r="E827" s="35">
        <v>44659</v>
      </c>
      <c r="F827" s="87">
        <v>2651.4</v>
      </c>
      <c r="G827" s="91">
        <f>Tabla15[[#This Row],[Importe]]-Tabla15[[#This Row],[Pagado]]</f>
        <v>0</v>
      </c>
      <c r="H827" s="92" t="s">
        <v>10</v>
      </c>
    </row>
    <row r="828" spans="1:8" ht="21.75" customHeight="1" x14ac:dyDescent="0.25">
      <c r="A828" s="35">
        <v>44659</v>
      </c>
      <c r="B828" s="90" t="s">
        <v>11434</v>
      </c>
      <c r="C828" s="41" t="s">
        <v>131</v>
      </c>
      <c r="D828" s="87">
        <v>14029.1</v>
      </c>
      <c r="E828" s="35">
        <v>44659</v>
      </c>
      <c r="F828" s="87">
        <v>14029.1</v>
      </c>
      <c r="G828" s="91">
        <f>Tabla15[[#This Row],[Importe]]-Tabla15[[#This Row],[Pagado]]</f>
        <v>0</v>
      </c>
      <c r="H828" s="92" t="s">
        <v>10</v>
      </c>
    </row>
    <row r="829" spans="1:8" ht="21.75" customHeight="1" x14ac:dyDescent="0.25">
      <c r="A829" s="35">
        <v>44659</v>
      </c>
      <c r="B829" s="90" t="s">
        <v>11435</v>
      </c>
      <c r="C829" s="41" t="s">
        <v>87</v>
      </c>
      <c r="D829" s="87">
        <v>2294.6</v>
      </c>
      <c r="E829" s="35">
        <v>44659</v>
      </c>
      <c r="F829" s="87">
        <v>2294.6</v>
      </c>
      <c r="G829" s="91">
        <f>Tabla15[[#This Row],[Importe]]-Tabla15[[#This Row],[Pagado]]</f>
        <v>0</v>
      </c>
      <c r="H829" s="92" t="s">
        <v>10</v>
      </c>
    </row>
    <row r="830" spans="1:8" ht="21.75" customHeight="1" x14ac:dyDescent="0.25">
      <c r="A830" s="35">
        <v>44659</v>
      </c>
      <c r="B830" s="90" t="s">
        <v>11436</v>
      </c>
      <c r="C830" s="41" t="s">
        <v>125</v>
      </c>
      <c r="D830" s="87">
        <v>4111.3999999999996</v>
      </c>
      <c r="E830" s="35">
        <v>44659</v>
      </c>
      <c r="F830" s="87">
        <v>4111.3999999999996</v>
      </c>
      <c r="G830" s="91">
        <f>Tabla15[[#This Row],[Importe]]-Tabla15[[#This Row],[Pagado]]</f>
        <v>0</v>
      </c>
      <c r="H830" s="92" t="s">
        <v>10</v>
      </c>
    </row>
    <row r="831" spans="1:8" ht="21.75" customHeight="1" x14ac:dyDescent="0.25">
      <c r="A831" s="35">
        <v>44659</v>
      </c>
      <c r="B831" s="90" t="s">
        <v>11437</v>
      </c>
      <c r="C831" s="41" t="s">
        <v>1362</v>
      </c>
      <c r="D831" s="87">
        <v>5627.1</v>
      </c>
      <c r="E831" s="35">
        <v>44659</v>
      </c>
      <c r="F831" s="87">
        <v>5627.1</v>
      </c>
      <c r="G831" s="91">
        <f>Tabla15[[#This Row],[Importe]]-Tabla15[[#This Row],[Pagado]]</f>
        <v>0</v>
      </c>
      <c r="H831" s="92" t="s">
        <v>10</v>
      </c>
    </row>
    <row r="832" spans="1:8" ht="21.75" customHeight="1" x14ac:dyDescent="0.25">
      <c r="A832" s="35">
        <v>44659</v>
      </c>
      <c r="B832" s="90" t="s">
        <v>11438</v>
      </c>
      <c r="C832" s="41" t="s">
        <v>208</v>
      </c>
      <c r="D832" s="87">
        <v>7178.3</v>
      </c>
      <c r="E832" s="35">
        <v>44663</v>
      </c>
      <c r="F832" s="87">
        <v>7178.3</v>
      </c>
      <c r="G832" s="91">
        <f>Tabla15[[#This Row],[Importe]]-Tabla15[[#This Row],[Pagado]]</f>
        <v>0</v>
      </c>
      <c r="H832" s="92" t="s">
        <v>10</v>
      </c>
    </row>
    <row r="833" spans="1:8" ht="21.75" customHeight="1" x14ac:dyDescent="0.25">
      <c r="A833" s="35">
        <v>44659</v>
      </c>
      <c r="B833" s="90" t="s">
        <v>11439</v>
      </c>
      <c r="C833" s="41" t="s">
        <v>146</v>
      </c>
      <c r="D833" s="87">
        <v>7035.4</v>
      </c>
      <c r="E833" s="35">
        <v>44659</v>
      </c>
      <c r="F833" s="87">
        <v>7035.4</v>
      </c>
      <c r="G833" s="91">
        <f>Tabla15[[#This Row],[Importe]]-Tabla15[[#This Row],[Pagado]]</f>
        <v>0</v>
      </c>
      <c r="H833" s="92" t="s">
        <v>10</v>
      </c>
    </row>
    <row r="834" spans="1:8" ht="21.75" customHeight="1" x14ac:dyDescent="0.25">
      <c r="A834" s="35">
        <v>44659</v>
      </c>
      <c r="B834" s="90" t="s">
        <v>11440</v>
      </c>
      <c r="C834" s="41" t="s">
        <v>218</v>
      </c>
      <c r="D834" s="87">
        <v>23184.7</v>
      </c>
      <c r="E834" s="35">
        <v>44663</v>
      </c>
      <c r="F834" s="87">
        <v>23184.7</v>
      </c>
      <c r="G834" s="91">
        <f>Tabla15[[#This Row],[Importe]]-Tabla15[[#This Row],[Pagado]]</f>
        <v>0</v>
      </c>
      <c r="H834" s="92" t="s">
        <v>10</v>
      </c>
    </row>
    <row r="835" spans="1:8" ht="21.75" customHeight="1" x14ac:dyDescent="0.25">
      <c r="A835" s="35">
        <v>44659</v>
      </c>
      <c r="B835" s="90" t="s">
        <v>11441</v>
      </c>
      <c r="C835" s="41" t="s">
        <v>85</v>
      </c>
      <c r="D835" s="87">
        <v>3481.6</v>
      </c>
      <c r="E835" s="35">
        <v>44659</v>
      </c>
      <c r="F835" s="87">
        <v>3481.6</v>
      </c>
      <c r="G835" s="91">
        <f>Tabla15[[#This Row],[Importe]]-Tabla15[[#This Row],[Pagado]]</f>
        <v>0</v>
      </c>
      <c r="H835" s="92" t="s">
        <v>10</v>
      </c>
    </row>
    <row r="836" spans="1:8" ht="21.75" customHeight="1" x14ac:dyDescent="0.25">
      <c r="A836" s="35">
        <v>44659</v>
      </c>
      <c r="B836" s="90" t="s">
        <v>11442</v>
      </c>
      <c r="C836" s="41" t="s">
        <v>49</v>
      </c>
      <c r="D836" s="87">
        <v>3031.2</v>
      </c>
      <c r="E836" s="35">
        <v>44659</v>
      </c>
      <c r="F836" s="87">
        <v>3031.2</v>
      </c>
      <c r="G836" s="91">
        <f>Tabla15[[#This Row],[Importe]]-Tabla15[[#This Row],[Pagado]]</f>
        <v>0</v>
      </c>
      <c r="H836" s="92" t="s">
        <v>10</v>
      </c>
    </row>
    <row r="837" spans="1:8" ht="21.75" customHeight="1" x14ac:dyDescent="0.25">
      <c r="A837" s="35">
        <v>44659</v>
      </c>
      <c r="B837" s="90" t="s">
        <v>11443</v>
      </c>
      <c r="C837" s="41" t="s">
        <v>27</v>
      </c>
      <c r="D837" s="87">
        <v>1242.2</v>
      </c>
      <c r="E837" s="35">
        <v>44659</v>
      </c>
      <c r="F837" s="87">
        <v>1242.2</v>
      </c>
      <c r="G837" s="91">
        <f>Tabla15[[#This Row],[Importe]]-Tabla15[[#This Row],[Pagado]]</f>
        <v>0</v>
      </c>
      <c r="H837" s="92" t="s">
        <v>10</v>
      </c>
    </row>
    <row r="838" spans="1:8" ht="21.75" customHeight="1" x14ac:dyDescent="0.25">
      <c r="A838" s="35">
        <v>44659</v>
      </c>
      <c r="B838" s="90" t="s">
        <v>11444</v>
      </c>
      <c r="C838" s="41" t="s">
        <v>843</v>
      </c>
      <c r="D838" s="87">
        <v>1839.4</v>
      </c>
      <c r="E838" s="35">
        <v>44659</v>
      </c>
      <c r="F838" s="87">
        <v>1839.4</v>
      </c>
      <c r="G838" s="91">
        <f>Tabla15[[#This Row],[Importe]]-Tabla15[[#This Row],[Pagado]]</f>
        <v>0</v>
      </c>
      <c r="H838" s="92" t="s">
        <v>10</v>
      </c>
    </row>
    <row r="839" spans="1:8" ht="21.75" customHeight="1" x14ac:dyDescent="0.25">
      <c r="A839" s="35">
        <v>44659</v>
      </c>
      <c r="B839" s="90" t="s">
        <v>11445</v>
      </c>
      <c r="C839" s="41" t="s">
        <v>35</v>
      </c>
      <c r="D839" s="87">
        <v>2646.7</v>
      </c>
      <c r="E839" s="35">
        <v>44659</v>
      </c>
      <c r="F839" s="87">
        <v>2646.7</v>
      </c>
      <c r="G839" s="91">
        <f>Tabla15[[#This Row],[Importe]]-Tabla15[[#This Row],[Pagado]]</f>
        <v>0</v>
      </c>
      <c r="H839" s="92" t="s">
        <v>10</v>
      </c>
    </row>
    <row r="840" spans="1:8" ht="21.75" customHeight="1" x14ac:dyDescent="0.25">
      <c r="A840" s="35">
        <v>44659</v>
      </c>
      <c r="B840" s="90" t="s">
        <v>11446</v>
      </c>
      <c r="C840" s="41" t="s">
        <v>142</v>
      </c>
      <c r="D840" s="87">
        <v>69583.75</v>
      </c>
      <c r="E840" s="35">
        <v>44670</v>
      </c>
      <c r="F840" s="87">
        <v>69583.75</v>
      </c>
      <c r="G840" s="91">
        <f>Tabla15[[#This Row],[Importe]]-Tabla15[[#This Row],[Pagado]]</f>
        <v>0</v>
      </c>
      <c r="H840" s="92" t="s">
        <v>10</v>
      </c>
    </row>
    <row r="841" spans="1:8" ht="21.75" customHeight="1" x14ac:dyDescent="0.25">
      <c r="A841" s="35">
        <v>44659</v>
      </c>
      <c r="B841" s="90" t="s">
        <v>11447</v>
      </c>
      <c r="C841" s="41" t="s">
        <v>45</v>
      </c>
      <c r="D841" s="87">
        <v>12457.4</v>
      </c>
      <c r="E841" s="35">
        <v>44659</v>
      </c>
      <c r="F841" s="87">
        <v>12457.4</v>
      </c>
      <c r="G841" s="91">
        <f>Tabla15[[#This Row],[Importe]]-Tabla15[[#This Row],[Pagado]]</f>
        <v>0</v>
      </c>
      <c r="H841" s="92" t="s">
        <v>10</v>
      </c>
    </row>
    <row r="842" spans="1:8" ht="21.75" customHeight="1" x14ac:dyDescent="0.25">
      <c r="A842" s="35">
        <v>44659</v>
      </c>
      <c r="B842" s="90" t="s">
        <v>11448</v>
      </c>
      <c r="C842" s="41" t="s">
        <v>312</v>
      </c>
      <c r="D842" s="87">
        <v>4734.6000000000004</v>
      </c>
      <c r="E842" s="35">
        <v>44659</v>
      </c>
      <c r="F842" s="87">
        <v>4734.6000000000004</v>
      </c>
      <c r="G842" s="91">
        <f>Tabla15[[#This Row],[Importe]]-Tabla15[[#This Row],[Pagado]]</f>
        <v>0</v>
      </c>
      <c r="H842" s="92" t="s">
        <v>10</v>
      </c>
    </row>
    <row r="843" spans="1:8" ht="21.75" customHeight="1" x14ac:dyDescent="0.25">
      <c r="A843" s="35">
        <v>44659</v>
      </c>
      <c r="B843" s="90" t="s">
        <v>11449</v>
      </c>
      <c r="C843" s="41" t="s">
        <v>198</v>
      </c>
      <c r="D843" s="87">
        <v>3695.2</v>
      </c>
      <c r="E843" s="35">
        <v>44659</v>
      </c>
      <c r="F843" s="87">
        <v>3695.2</v>
      </c>
      <c r="G843" s="91">
        <f>Tabla15[[#This Row],[Importe]]-Tabla15[[#This Row],[Pagado]]</f>
        <v>0</v>
      </c>
      <c r="H843" s="92" t="s">
        <v>10</v>
      </c>
    </row>
    <row r="844" spans="1:8" ht="21.75" customHeight="1" x14ac:dyDescent="0.25">
      <c r="A844" s="35">
        <v>44659</v>
      </c>
      <c r="B844" s="90" t="s">
        <v>11450</v>
      </c>
      <c r="C844" s="41" t="s">
        <v>647</v>
      </c>
      <c r="D844" s="87">
        <v>910.2</v>
      </c>
      <c r="E844" s="35">
        <v>44659</v>
      </c>
      <c r="F844" s="87">
        <v>910.2</v>
      </c>
      <c r="G844" s="91">
        <f>Tabla15[[#This Row],[Importe]]-Tabla15[[#This Row],[Pagado]]</f>
        <v>0</v>
      </c>
      <c r="H844" s="92" t="s">
        <v>10</v>
      </c>
    </row>
    <row r="845" spans="1:8" ht="21.75" customHeight="1" x14ac:dyDescent="0.25">
      <c r="A845" s="35">
        <v>44659</v>
      </c>
      <c r="B845" s="90" t="s">
        <v>11451</v>
      </c>
      <c r="C845" s="41" t="s">
        <v>804</v>
      </c>
      <c r="D845" s="87">
        <v>11798.4</v>
      </c>
      <c r="E845" s="35">
        <v>44659</v>
      </c>
      <c r="F845" s="87">
        <v>11798.4</v>
      </c>
      <c r="G845" s="91">
        <f>Tabla15[[#This Row],[Importe]]-Tabla15[[#This Row],[Pagado]]</f>
        <v>0</v>
      </c>
      <c r="H845" s="92" t="s">
        <v>10</v>
      </c>
    </row>
    <row r="846" spans="1:8" ht="21.75" customHeight="1" x14ac:dyDescent="0.25">
      <c r="A846" s="35">
        <v>44659</v>
      </c>
      <c r="B846" s="90" t="s">
        <v>11452</v>
      </c>
      <c r="C846" s="41" t="s">
        <v>373</v>
      </c>
      <c r="D846" s="87">
        <v>330.7</v>
      </c>
      <c r="E846" s="35">
        <v>44659</v>
      </c>
      <c r="F846" s="87">
        <v>330.7</v>
      </c>
      <c r="G846" s="91">
        <f>Tabla15[[#This Row],[Importe]]-Tabla15[[#This Row],[Pagado]]</f>
        <v>0</v>
      </c>
      <c r="H846" s="92" t="s">
        <v>10</v>
      </c>
    </row>
    <row r="847" spans="1:8" ht="21.75" customHeight="1" x14ac:dyDescent="0.25">
      <c r="A847" s="35">
        <v>44659</v>
      </c>
      <c r="B847" s="90" t="s">
        <v>11453</v>
      </c>
      <c r="C847" s="41" t="s">
        <v>357</v>
      </c>
      <c r="D847" s="87">
        <v>979.4</v>
      </c>
      <c r="E847" s="35">
        <v>44659</v>
      </c>
      <c r="F847" s="87">
        <v>979.4</v>
      </c>
      <c r="G847" s="91">
        <f>Tabla15[[#This Row],[Importe]]-Tabla15[[#This Row],[Pagado]]</f>
        <v>0</v>
      </c>
      <c r="H847" s="92" t="s">
        <v>10</v>
      </c>
    </row>
    <row r="848" spans="1:8" ht="21.75" customHeight="1" x14ac:dyDescent="0.25">
      <c r="A848" s="35">
        <v>44659</v>
      </c>
      <c r="B848" s="90" t="s">
        <v>11454</v>
      </c>
      <c r="C848" s="41" t="s">
        <v>129</v>
      </c>
      <c r="D848" s="87">
        <v>2065.1</v>
      </c>
      <c r="E848" s="35">
        <v>44659</v>
      </c>
      <c r="F848" s="87">
        <v>2065.1</v>
      </c>
      <c r="G848" s="91">
        <f>Tabla15[[#This Row],[Importe]]-Tabla15[[#This Row],[Pagado]]</f>
        <v>0</v>
      </c>
      <c r="H848" s="92" t="s">
        <v>10</v>
      </c>
    </row>
    <row r="849" spans="1:8" ht="21.75" customHeight="1" x14ac:dyDescent="0.25">
      <c r="A849" s="35">
        <v>44659</v>
      </c>
      <c r="B849" s="90" t="s">
        <v>11455</v>
      </c>
      <c r="C849" s="41" t="s">
        <v>127</v>
      </c>
      <c r="D849" s="87">
        <v>3675.8</v>
      </c>
      <c r="E849" s="35">
        <v>44659</v>
      </c>
      <c r="F849" s="87">
        <v>3675.8</v>
      </c>
      <c r="G849" s="91">
        <f>Tabla15[[#This Row],[Importe]]-Tabla15[[#This Row],[Pagado]]</f>
        <v>0</v>
      </c>
      <c r="H849" s="92" t="s">
        <v>10</v>
      </c>
    </row>
    <row r="850" spans="1:8" ht="21.75" customHeight="1" x14ac:dyDescent="0.25">
      <c r="A850" s="35">
        <v>44659</v>
      </c>
      <c r="B850" s="90" t="s">
        <v>11456</v>
      </c>
      <c r="C850" s="41" t="s">
        <v>56</v>
      </c>
      <c r="D850" s="87">
        <v>8732.7999999999993</v>
      </c>
      <c r="E850" s="35">
        <v>44659</v>
      </c>
      <c r="F850" s="87">
        <v>8732.7999999999993</v>
      </c>
      <c r="G850" s="91">
        <f>Tabla15[[#This Row],[Importe]]-Tabla15[[#This Row],[Pagado]]</f>
        <v>0</v>
      </c>
      <c r="H850" s="92" t="s">
        <v>10</v>
      </c>
    </row>
    <row r="851" spans="1:8" ht="21.75" customHeight="1" x14ac:dyDescent="0.25">
      <c r="A851" s="35">
        <v>44659</v>
      </c>
      <c r="B851" s="90" t="s">
        <v>11457</v>
      </c>
      <c r="C851" s="41" t="s">
        <v>339</v>
      </c>
      <c r="D851" s="87">
        <v>495.6</v>
      </c>
      <c r="E851" s="35">
        <v>44659</v>
      </c>
      <c r="F851" s="87">
        <v>495.6</v>
      </c>
      <c r="G851" s="91">
        <f>Tabla15[[#This Row],[Importe]]-Tabla15[[#This Row],[Pagado]]</f>
        <v>0</v>
      </c>
      <c r="H851" s="92" t="s">
        <v>10</v>
      </c>
    </row>
    <row r="852" spans="1:8" ht="21.75" customHeight="1" x14ac:dyDescent="0.25">
      <c r="A852" s="35">
        <v>44659</v>
      </c>
      <c r="B852" s="90" t="s">
        <v>11458</v>
      </c>
      <c r="C852" s="41" t="s">
        <v>37</v>
      </c>
      <c r="D852" s="87">
        <v>2339.1</v>
      </c>
      <c r="E852" s="35">
        <v>44659</v>
      </c>
      <c r="F852" s="87">
        <v>2339.1</v>
      </c>
      <c r="G852" s="91">
        <f>Tabla15[[#This Row],[Importe]]-Tabla15[[#This Row],[Pagado]]</f>
        <v>0</v>
      </c>
      <c r="H852" s="92" t="s">
        <v>10</v>
      </c>
    </row>
    <row r="853" spans="1:8" ht="21.75" customHeight="1" x14ac:dyDescent="0.25">
      <c r="A853" s="35">
        <v>44659</v>
      </c>
      <c r="B853" s="90" t="s">
        <v>11459</v>
      </c>
      <c r="C853" s="41" t="s">
        <v>24</v>
      </c>
      <c r="D853" s="87">
        <v>755.2</v>
      </c>
      <c r="E853" s="35">
        <v>44659</v>
      </c>
      <c r="F853" s="87">
        <v>755.2</v>
      </c>
      <c r="G853" s="91">
        <f>Tabla15[[#This Row],[Importe]]-Tabla15[[#This Row],[Pagado]]</f>
        <v>0</v>
      </c>
      <c r="H853" s="92" t="s">
        <v>10</v>
      </c>
    </row>
    <row r="854" spans="1:8" ht="21.75" customHeight="1" x14ac:dyDescent="0.25">
      <c r="A854" s="35">
        <v>44659</v>
      </c>
      <c r="B854" s="90" t="s">
        <v>11460</v>
      </c>
      <c r="C854" s="41" t="s">
        <v>51</v>
      </c>
      <c r="D854" s="87">
        <v>3812.8</v>
      </c>
      <c r="E854" s="35">
        <v>44659</v>
      </c>
      <c r="F854" s="87">
        <v>3812.8</v>
      </c>
      <c r="G854" s="91">
        <f>Tabla15[[#This Row],[Importe]]-Tabla15[[#This Row],[Pagado]]</f>
        <v>0</v>
      </c>
      <c r="H854" s="92" t="s">
        <v>10</v>
      </c>
    </row>
    <row r="855" spans="1:8" ht="21.75" customHeight="1" x14ac:dyDescent="0.25">
      <c r="A855" s="35">
        <v>44659</v>
      </c>
      <c r="B855" s="90" t="s">
        <v>11461</v>
      </c>
      <c r="C855" s="41" t="s">
        <v>135</v>
      </c>
      <c r="D855" s="87">
        <v>1329.2</v>
      </c>
      <c r="E855" s="35">
        <v>44659</v>
      </c>
      <c r="F855" s="87">
        <v>1329.2</v>
      </c>
      <c r="G855" s="91">
        <f>Tabla15[[#This Row],[Importe]]-Tabla15[[#This Row],[Pagado]]</f>
        <v>0</v>
      </c>
      <c r="H855" s="92" t="s">
        <v>10</v>
      </c>
    </row>
    <row r="856" spans="1:8" ht="21.75" customHeight="1" x14ac:dyDescent="0.25">
      <c r="A856" s="35">
        <v>44659</v>
      </c>
      <c r="B856" s="90" t="s">
        <v>11462</v>
      </c>
      <c r="C856" s="41" t="s">
        <v>216</v>
      </c>
      <c r="D856" s="87">
        <v>1495.8</v>
      </c>
      <c r="E856" s="35">
        <v>44659</v>
      </c>
      <c r="F856" s="87">
        <v>1495.8</v>
      </c>
      <c r="G856" s="91">
        <f>Tabla15[[#This Row],[Importe]]-Tabla15[[#This Row],[Pagado]]</f>
        <v>0</v>
      </c>
      <c r="H856" s="92" t="s">
        <v>10</v>
      </c>
    </row>
    <row r="857" spans="1:8" ht="21.75" customHeight="1" x14ac:dyDescent="0.25">
      <c r="A857" s="35">
        <v>44659</v>
      </c>
      <c r="B857" s="90" t="s">
        <v>11463</v>
      </c>
      <c r="C857" s="41" t="s">
        <v>173</v>
      </c>
      <c r="D857" s="87">
        <v>39871.599999999999</v>
      </c>
      <c r="E857" s="35">
        <v>44660</v>
      </c>
      <c r="F857" s="87">
        <v>39871.599999999999</v>
      </c>
      <c r="G857" s="91">
        <f>Tabla15[[#This Row],[Importe]]-Tabla15[[#This Row],[Pagado]]</f>
        <v>0</v>
      </c>
      <c r="H857" s="92" t="s">
        <v>10</v>
      </c>
    </row>
    <row r="858" spans="1:8" ht="21.75" customHeight="1" x14ac:dyDescent="0.25">
      <c r="A858" s="35">
        <v>44659</v>
      </c>
      <c r="B858" s="90" t="s">
        <v>11464</v>
      </c>
      <c r="C858" s="41" t="s">
        <v>11383</v>
      </c>
      <c r="D858" s="87">
        <v>31249.599999999999</v>
      </c>
      <c r="E858" s="35">
        <v>44659</v>
      </c>
      <c r="F858" s="87">
        <v>31249.599999999999</v>
      </c>
      <c r="G858" s="91">
        <f>Tabla15[[#This Row],[Importe]]-Tabla15[[#This Row],[Pagado]]</f>
        <v>0</v>
      </c>
      <c r="H858" s="92" t="s">
        <v>10</v>
      </c>
    </row>
    <row r="859" spans="1:8" ht="21.75" customHeight="1" x14ac:dyDescent="0.25">
      <c r="A859" s="35">
        <v>44659</v>
      </c>
      <c r="B859" s="90" t="s">
        <v>11465</v>
      </c>
      <c r="C859" s="41" t="s">
        <v>10157</v>
      </c>
      <c r="D859" s="87">
        <v>10889.1</v>
      </c>
      <c r="E859" s="35">
        <v>44660</v>
      </c>
      <c r="F859" s="87">
        <v>10889.1</v>
      </c>
      <c r="G859" s="91">
        <f>Tabla15[[#This Row],[Importe]]-Tabla15[[#This Row],[Pagado]]</f>
        <v>0</v>
      </c>
      <c r="H859" s="92" t="s">
        <v>10</v>
      </c>
    </row>
    <row r="860" spans="1:8" ht="21.75" customHeight="1" x14ac:dyDescent="0.25">
      <c r="A860" s="35">
        <v>44659</v>
      </c>
      <c r="B860" s="90" t="s">
        <v>11466</v>
      </c>
      <c r="C860" s="41" t="s">
        <v>11383</v>
      </c>
      <c r="D860" s="87">
        <v>915.2</v>
      </c>
      <c r="E860" s="35">
        <v>44659</v>
      </c>
      <c r="F860" s="87">
        <v>915.2</v>
      </c>
      <c r="G860" s="91">
        <f>Tabla15[[#This Row],[Importe]]-Tabla15[[#This Row],[Pagado]]</f>
        <v>0</v>
      </c>
      <c r="H860" s="92" t="s">
        <v>10</v>
      </c>
    </row>
    <row r="861" spans="1:8" ht="21.75" customHeight="1" x14ac:dyDescent="0.25">
      <c r="A861" s="35">
        <v>44659</v>
      </c>
      <c r="B861" s="90" t="s">
        <v>11467</v>
      </c>
      <c r="C861" s="41" t="s">
        <v>133</v>
      </c>
      <c r="D861" s="87">
        <v>17852.400000000001</v>
      </c>
      <c r="E861" s="35">
        <v>44660</v>
      </c>
      <c r="F861" s="87">
        <v>17852.400000000001</v>
      </c>
      <c r="G861" s="91">
        <f>Tabla15[[#This Row],[Importe]]-Tabla15[[#This Row],[Pagado]]</f>
        <v>0</v>
      </c>
      <c r="H861" s="92" t="s">
        <v>10</v>
      </c>
    </row>
    <row r="862" spans="1:8" ht="21.75" customHeight="1" x14ac:dyDescent="0.25">
      <c r="A862" s="35">
        <v>44659</v>
      </c>
      <c r="B862" s="90" t="s">
        <v>11468</v>
      </c>
      <c r="C862" s="41" t="s">
        <v>5816</v>
      </c>
      <c r="D862" s="87">
        <v>8185.8</v>
      </c>
      <c r="E862" s="35">
        <v>44660</v>
      </c>
      <c r="F862" s="87">
        <v>8185.8</v>
      </c>
      <c r="G862" s="91">
        <f>Tabla15[[#This Row],[Importe]]-Tabla15[[#This Row],[Pagado]]</f>
        <v>0</v>
      </c>
      <c r="H862" s="92" t="s">
        <v>10</v>
      </c>
    </row>
    <row r="863" spans="1:8" ht="21.75" customHeight="1" x14ac:dyDescent="0.25">
      <c r="A863" s="35">
        <v>44659</v>
      </c>
      <c r="B863" s="90" t="s">
        <v>11469</v>
      </c>
      <c r="C863" s="41" t="s">
        <v>58</v>
      </c>
      <c r="D863" s="87">
        <v>2488</v>
      </c>
      <c r="E863" s="35">
        <v>44659</v>
      </c>
      <c r="F863" s="87">
        <v>2488</v>
      </c>
      <c r="G863" s="91">
        <f>Tabla15[[#This Row],[Importe]]-Tabla15[[#This Row],[Pagado]]</f>
        <v>0</v>
      </c>
      <c r="H863" s="92" t="s">
        <v>10</v>
      </c>
    </row>
    <row r="864" spans="1:8" ht="21.75" customHeight="1" x14ac:dyDescent="0.25">
      <c r="A864" s="35">
        <v>44659</v>
      </c>
      <c r="B864" s="90" t="s">
        <v>11470</v>
      </c>
      <c r="C864" s="41" t="s">
        <v>365</v>
      </c>
      <c r="D864" s="87">
        <v>700</v>
      </c>
      <c r="E864" s="35">
        <v>44659</v>
      </c>
      <c r="F864" s="87">
        <v>700</v>
      </c>
      <c r="G864" s="91">
        <f>Tabla15[[#This Row],[Importe]]-Tabla15[[#This Row],[Pagado]]</f>
        <v>0</v>
      </c>
      <c r="H864" s="92" t="s">
        <v>10</v>
      </c>
    </row>
    <row r="865" spans="1:8" ht="21.75" customHeight="1" x14ac:dyDescent="0.25">
      <c r="A865" s="35">
        <v>44659</v>
      </c>
      <c r="B865" s="90" t="s">
        <v>11471</v>
      </c>
      <c r="C865" s="41" t="s">
        <v>870</v>
      </c>
      <c r="D865" s="87">
        <v>37502.79</v>
      </c>
      <c r="E865" s="35">
        <v>44659</v>
      </c>
      <c r="F865" s="87">
        <v>37502.79</v>
      </c>
      <c r="G865" s="91">
        <f>Tabla15[[#This Row],[Importe]]-Tabla15[[#This Row],[Pagado]]</f>
        <v>0</v>
      </c>
      <c r="H865" s="92" t="s">
        <v>10</v>
      </c>
    </row>
    <row r="866" spans="1:8" ht="21.75" customHeight="1" x14ac:dyDescent="0.25">
      <c r="A866" s="35">
        <v>44659</v>
      </c>
      <c r="B866" s="90" t="s">
        <v>11472</v>
      </c>
      <c r="C866" s="41" t="s">
        <v>12</v>
      </c>
      <c r="D866" s="87">
        <v>4611.6000000000004</v>
      </c>
      <c r="E866" s="35">
        <v>44660</v>
      </c>
      <c r="F866" s="87">
        <v>4611.6000000000004</v>
      </c>
      <c r="G866" s="91">
        <f>Tabla15[[#This Row],[Importe]]-Tabla15[[#This Row],[Pagado]]</f>
        <v>0</v>
      </c>
      <c r="H866" s="92" t="s">
        <v>10</v>
      </c>
    </row>
    <row r="867" spans="1:8" ht="21.75" customHeight="1" x14ac:dyDescent="0.25">
      <c r="A867" s="35">
        <v>44659</v>
      </c>
      <c r="B867" s="90" t="s">
        <v>11473</v>
      </c>
      <c r="C867" s="41" t="s">
        <v>3402</v>
      </c>
      <c r="D867" s="87">
        <v>990</v>
      </c>
      <c r="E867" s="35">
        <v>44659</v>
      </c>
      <c r="F867" s="87">
        <v>990</v>
      </c>
      <c r="G867" s="91">
        <f>Tabla15[[#This Row],[Importe]]-Tabla15[[#This Row],[Pagado]]</f>
        <v>0</v>
      </c>
      <c r="H867" s="92" t="s">
        <v>10</v>
      </c>
    </row>
    <row r="868" spans="1:8" ht="21.75" customHeight="1" x14ac:dyDescent="0.25">
      <c r="A868" s="35">
        <v>44659</v>
      </c>
      <c r="B868" s="90" t="s">
        <v>11474</v>
      </c>
      <c r="C868" s="41" t="s">
        <v>592</v>
      </c>
      <c r="D868" s="87">
        <v>21654</v>
      </c>
      <c r="E868" s="35">
        <v>44660</v>
      </c>
      <c r="F868" s="87">
        <v>21654</v>
      </c>
      <c r="G868" s="91">
        <f>Tabla15[[#This Row],[Importe]]-Tabla15[[#This Row],[Pagado]]</f>
        <v>0</v>
      </c>
      <c r="H868" s="92" t="s">
        <v>10</v>
      </c>
    </row>
    <row r="869" spans="1:8" ht="21.75" customHeight="1" x14ac:dyDescent="0.25">
      <c r="A869" s="35">
        <v>44659</v>
      </c>
      <c r="B869" s="90" t="s">
        <v>11475</v>
      </c>
      <c r="C869" s="41" t="s">
        <v>200</v>
      </c>
      <c r="D869" s="87">
        <v>864</v>
      </c>
      <c r="E869" s="35">
        <v>44659</v>
      </c>
      <c r="F869" s="87">
        <v>864</v>
      </c>
      <c r="G869" s="91">
        <f>Tabla15[[#This Row],[Importe]]-Tabla15[[#This Row],[Pagado]]</f>
        <v>0</v>
      </c>
      <c r="H869" s="92" t="s">
        <v>10</v>
      </c>
    </row>
    <row r="870" spans="1:8" ht="21.75" customHeight="1" x14ac:dyDescent="0.25">
      <c r="A870" s="35">
        <v>44659</v>
      </c>
      <c r="B870" s="90" t="s">
        <v>11476</v>
      </c>
      <c r="C870" s="41" t="s">
        <v>9827</v>
      </c>
      <c r="D870" s="87">
        <v>480.6</v>
      </c>
      <c r="E870" s="35">
        <v>44659</v>
      </c>
      <c r="F870" s="87">
        <v>480.6</v>
      </c>
      <c r="G870" s="91">
        <f>Tabla15[[#This Row],[Importe]]-Tabla15[[#This Row],[Pagado]]</f>
        <v>0</v>
      </c>
      <c r="H870" s="92" t="s">
        <v>10</v>
      </c>
    </row>
    <row r="871" spans="1:8" ht="21.75" customHeight="1" x14ac:dyDescent="0.25">
      <c r="A871" s="35">
        <v>44659</v>
      </c>
      <c r="B871" s="90" t="s">
        <v>11477</v>
      </c>
      <c r="C871" s="41" t="s">
        <v>840</v>
      </c>
      <c r="D871" s="87">
        <v>44645.4</v>
      </c>
      <c r="E871" s="35">
        <v>44659</v>
      </c>
      <c r="F871" s="87">
        <v>44645.4</v>
      </c>
      <c r="G871" s="91">
        <f>Tabla15[[#This Row],[Importe]]-Tabla15[[#This Row],[Pagado]]</f>
        <v>0</v>
      </c>
      <c r="H871" s="92" t="s">
        <v>10</v>
      </c>
    </row>
    <row r="872" spans="1:8" ht="21.75" customHeight="1" x14ac:dyDescent="0.25">
      <c r="A872" s="35">
        <v>44659</v>
      </c>
      <c r="B872" s="90" t="s">
        <v>11478</v>
      </c>
      <c r="C872" s="41" t="s">
        <v>849</v>
      </c>
      <c r="D872" s="87">
        <v>5455.6</v>
      </c>
      <c r="E872" s="35">
        <v>44659</v>
      </c>
      <c r="F872" s="87">
        <v>5455.6</v>
      </c>
      <c r="G872" s="91">
        <f>Tabla15[[#This Row],[Importe]]-Tabla15[[#This Row],[Pagado]]</f>
        <v>0</v>
      </c>
      <c r="H872" s="92" t="s">
        <v>10</v>
      </c>
    </row>
    <row r="873" spans="1:8" ht="21.75" customHeight="1" x14ac:dyDescent="0.25">
      <c r="A873" s="35">
        <v>44659</v>
      </c>
      <c r="B873" s="90" t="s">
        <v>11479</v>
      </c>
      <c r="C873" s="41" t="s">
        <v>840</v>
      </c>
      <c r="D873" s="87">
        <v>5242</v>
      </c>
      <c r="E873" s="35">
        <v>44659</v>
      </c>
      <c r="F873" s="87">
        <v>5242</v>
      </c>
      <c r="G873" s="91">
        <f>Tabla15[[#This Row],[Importe]]-Tabla15[[#This Row],[Pagado]]</f>
        <v>0</v>
      </c>
      <c r="H873" s="92" t="s">
        <v>10</v>
      </c>
    </row>
    <row r="874" spans="1:8" ht="21.75" customHeight="1" x14ac:dyDescent="0.25">
      <c r="A874" s="35">
        <v>44659</v>
      </c>
      <c r="B874" s="90" t="s">
        <v>11480</v>
      </c>
      <c r="C874" s="41" t="s">
        <v>2114</v>
      </c>
      <c r="D874" s="87">
        <v>1236</v>
      </c>
      <c r="E874" s="35">
        <v>44659</v>
      </c>
      <c r="F874" s="87">
        <v>1236</v>
      </c>
      <c r="G874" s="91">
        <f>Tabla15[[#This Row],[Importe]]-Tabla15[[#This Row],[Pagado]]</f>
        <v>0</v>
      </c>
      <c r="H874" s="92" t="s">
        <v>10</v>
      </c>
    </row>
    <row r="875" spans="1:8" ht="21.75" customHeight="1" x14ac:dyDescent="0.25">
      <c r="A875" s="35">
        <v>44659</v>
      </c>
      <c r="B875" s="90" t="s">
        <v>11481</v>
      </c>
      <c r="C875" s="41" t="s">
        <v>414</v>
      </c>
      <c r="D875" s="87">
        <v>17686.099999999999</v>
      </c>
      <c r="E875" s="35">
        <v>44659</v>
      </c>
      <c r="F875" s="87">
        <v>17686.099999999999</v>
      </c>
      <c r="G875" s="91">
        <f>Tabla15[[#This Row],[Importe]]-Tabla15[[#This Row],[Pagado]]</f>
        <v>0</v>
      </c>
      <c r="H875" s="92" t="s">
        <v>10</v>
      </c>
    </row>
    <row r="876" spans="1:8" ht="21.75" customHeight="1" x14ac:dyDescent="0.25">
      <c r="A876" s="35">
        <v>44659</v>
      </c>
      <c r="B876" s="90" t="s">
        <v>11482</v>
      </c>
      <c r="C876" s="41" t="s">
        <v>67</v>
      </c>
      <c r="D876" s="87">
        <v>2019</v>
      </c>
      <c r="E876" s="35">
        <v>44659</v>
      </c>
      <c r="F876" s="87">
        <v>2019</v>
      </c>
      <c r="G876" s="91">
        <f>Tabla15[[#This Row],[Importe]]-Tabla15[[#This Row],[Pagado]]</f>
        <v>0</v>
      </c>
      <c r="H876" s="92" t="s">
        <v>10</v>
      </c>
    </row>
    <row r="877" spans="1:8" ht="21.75" customHeight="1" x14ac:dyDescent="0.25">
      <c r="A877" s="35">
        <v>44659</v>
      </c>
      <c r="B877" s="90" t="s">
        <v>11483</v>
      </c>
      <c r="C877" s="41" t="s">
        <v>244</v>
      </c>
      <c r="D877" s="87">
        <v>2808</v>
      </c>
      <c r="E877" s="35">
        <v>44659</v>
      </c>
      <c r="F877" s="87">
        <v>2808</v>
      </c>
      <c r="G877" s="91">
        <f>Tabla15[[#This Row],[Importe]]-Tabla15[[#This Row],[Pagado]]</f>
        <v>0</v>
      </c>
      <c r="H877" s="92" t="s">
        <v>10</v>
      </c>
    </row>
    <row r="878" spans="1:8" ht="21.75" customHeight="1" x14ac:dyDescent="0.25">
      <c r="A878" s="35">
        <v>44659</v>
      </c>
      <c r="B878" s="90" t="s">
        <v>11484</v>
      </c>
      <c r="C878" s="41" t="s">
        <v>520</v>
      </c>
      <c r="D878" s="87">
        <v>5597.2</v>
      </c>
      <c r="E878" s="35">
        <v>44659</v>
      </c>
      <c r="F878" s="87">
        <v>5597.2</v>
      </c>
      <c r="G878" s="91">
        <f>Tabla15[[#This Row],[Importe]]-Tabla15[[#This Row],[Pagado]]</f>
        <v>0</v>
      </c>
      <c r="H878" s="92" t="s">
        <v>10</v>
      </c>
    </row>
    <row r="879" spans="1:8" ht="21.75" customHeight="1" x14ac:dyDescent="0.25">
      <c r="A879" s="35">
        <v>44659</v>
      </c>
      <c r="B879" s="90" t="s">
        <v>11485</v>
      </c>
      <c r="C879" s="41" t="s">
        <v>7313</v>
      </c>
      <c r="D879" s="87">
        <v>1876.5</v>
      </c>
      <c r="E879" s="35">
        <v>44659</v>
      </c>
      <c r="F879" s="87">
        <v>1876.5</v>
      </c>
      <c r="G879" s="91">
        <f>Tabla15[[#This Row],[Importe]]-Tabla15[[#This Row],[Pagado]]</f>
        <v>0</v>
      </c>
      <c r="H879" s="92" t="s">
        <v>10</v>
      </c>
    </row>
    <row r="880" spans="1:8" ht="21.75" customHeight="1" x14ac:dyDescent="0.25">
      <c r="A880" s="35">
        <v>44659</v>
      </c>
      <c r="B880" s="90" t="s">
        <v>11486</v>
      </c>
      <c r="C880" s="41" t="s">
        <v>31</v>
      </c>
      <c r="D880" s="87">
        <v>4435.2</v>
      </c>
      <c r="E880" s="35">
        <v>44659</v>
      </c>
      <c r="F880" s="87">
        <v>4435.2</v>
      </c>
      <c r="G880" s="91">
        <f>Tabla15[[#This Row],[Importe]]-Tabla15[[#This Row],[Pagado]]</f>
        <v>0</v>
      </c>
      <c r="H880" s="92" t="s">
        <v>10</v>
      </c>
    </row>
    <row r="881" spans="1:8" ht="21.75" customHeight="1" x14ac:dyDescent="0.25">
      <c r="A881" s="35">
        <v>44659</v>
      </c>
      <c r="B881" s="90" t="s">
        <v>11487</v>
      </c>
      <c r="C881" s="41" t="s">
        <v>71</v>
      </c>
      <c r="D881" s="87">
        <v>4464</v>
      </c>
      <c r="E881" s="35">
        <v>44659</v>
      </c>
      <c r="F881" s="87">
        <v>4464</v>
      </c>
      <c r="G881" s="91">
        <f>Tabla15[[#This Row],[Importe]]-Tabla15[[#This Row],[Pagado]]</f>
        <v>0</v>
      </c>
      <c r="H881" s="92" t="s">
        <v>10</v>
      </c>
    </row>
    <row r="882" spans="1:8" ht="21.75" customHeight="1" x14ac:dyDescent="0.25">
      <c r="A882" s="35">
        <v>44659</v>
      </c>
      <c r="B882" s="90" t="s">
        <v>11488</v>
      </c>
      <c r="C882" s="41" t="s">
        <v>7444</v>
      </c>
      <c r="D882" s="87">
        <v>16353.8</v>
      </c>
      <c r="E882" s="35">
        <v>44661</v>
      </c>
      <c r="F882" s="87">
        <v>16353.8</v>
      </c>
      <c r="G882" s="91">
        <f>Tabla15[[#This Row],[Importe]]-Tabla15[[#This Row],[Pagado]]</f>
        <v>0</v>
      </c>
      <c r="H882" s="92" t="s">
        <v>10</v>
      </c>
    </row>
    <row r="883" spans="1:8" ht="21.75" customHeight="1" x14ac:dyDescent="0.25">
      <c r="A883" s="35">
        <v>44659</v>
      </c>
      <c r="B883" s="90" t="s">
        <v>11489</v>
      </c>
      <c r="C883" s="41" t="s">
        <v>296</v>
      </c>
      <c r="D883" s="87">
        <v>2217.3000000000002</v>
      </c>
      <c r="E883" s="35">
        <v>44659</v>
      </c>
      <c r="F883" s="87">
        <v>2217.3000000000002</v>
      </c>
      <c r="G883" s="91">
        <f>Tabla15[[#This Row],[Importe]]-Tabla15[[#This Row],[Pagado]]</f>
        <v>0</v>
      </c>
      <c r="H883" s="92" t="s">
        <v>10</v>
      </c>
    </row>
    <row r="884" spans="1:8" ht="21.75" customHeight="1" x14ac:dyDescent="0.25">
      <c r="A884" s="35">
        <v>44659</v>
      </c>
      <c r="B884" s="90" t="s">
        <v>11490</v>
      </c>
      <c r="C884" s="41" t="s">
        <v>179</v>
      </c>
      <c r="D884" s="87">
        <v>1058.4000000000001</v>
      </c>
      <c r="E884" s="35">
        <v>44659</v>
      </c>
      <c r="F884" s="87">
        <v>1058.4000000000001</v>
      </c>
      <c r="G884" s="91">
        <f>Tabla15[[#This Row],[Importe]]-Tabla15[[#This Row],[Pagado]]</f>
        <v>0</v>
      </c>
      <c r="H884" s="92" t="s">
        <v>10</v>
      </c>
    </row>
    <row r="885" spans="1:8" ht="21.75" customHeight="1" x14ac:dyDescent="0.25">
      <c r="A885" s="35">
        <v>44659</v>
      </c>
      <c r="B885" s="90" t="s">
        <v>11491</v>
      </c>
      <c r="C885" s="41" t="s">
        <v>31</v>
      </c>
      <c r="D885" s="87">
        <v>828.4</v>
      </c>
      <c r="E885" s="35">
        <v>44659</v>
      </c>
      <c r="F885" s="87">
        <v>828.4</v>
      </c>
      <c r="G885" s="91">
        <f>Tabla15[[#This Row],[Importe]]-Tabla15[[#This Row],[Pagado]]</f>
        <v>0</v>
      </c>
      <c r="H885" s="92" t="s">
        <v>10</v>
      </c>
    </row>
    <row r="886" spans="1:8" ht="21.75" customHeight="1" x14ac:dyDescent="0.25">
      <c r="A886" s="35">
        <v>44659</v>
      </c>
      <c r="B886" s="90" t="s">
        <v>11492</v>
      </c>
      <c r="C886" s="41" t="s">
        <v>9</v>
      </c>
      <c r="D886" s="87">
        <v>3001.3</v>
      </c>
      <c r="E886" s="35">
        <v>44659</v>
      </c>
      <c r="F886" s="87">
        <v>3001.3</v>
      </c>
      <c r="G886" s="91">
        <f>Tabla15[[#This Row],[Importe]]-Tabla15[[#This Row],[Pagado]]</f>
        <v>0</v>
      </c>
      <c r="H886" s="92" t="s">
        <v>10</v>
      </c>
    </row>
    <row r="887" spans="1:8" ht="21.75" customHeight="1" x14ac:dyDescent="0.25">
      <c r="A887" s="35">
        <v>44659</v>
      </c>
      <c r="B887" s="90" t="s">
        <v>11493</v>
      </c>
      <c r="C887" s="41" t="s">
        <v>71</v>
      </c>
      <c r="D887" s="87">
        <v>947.1</v>
      </c>
      <c r="E887" s="35">
        <v>44659</v>
      </c>
      <c r="F887" s="87">
        <v>947.1</v>
      </c>
      <c r="G887" s="91">
        <f>Tabla15[[#This Row],[Importe]]-Tabla15[[#This Row],[Pagado]]</f>
        <v>0</v>
      </c>
      <c r="H887" s="92" t="s">
        <v>10</v>
      </c>
    </row>
    <row r="888" spans="1:8" ht="21.75" customHeight="1" x14ac:dyDescent="0.25">
      <c r="A888" s="35">
        <v>44659</v>
      </c>
      <c r="B888" s="90" t="s">
        <v>11494</v>
      </c>
      <c r="C888" s="41" t="s">
        <v>6112</v>
      </c>
      <c r="D888" s="87">
        <v>6096</v>
      </c>
      <c r="E888" s="35">
        <v>44659</v>
      </c>
      <c r="F888" s="87">
        <v>6096</v>
      </c>
      <c r="G888" s="91">
        <f>Tabla15[[#This Row],[Importe]]-Tabla15[[#This Row],[Pagado]]</f>
        <v>0</v>
      </c>
      <c r="H888" s="92" t="s">
        <v>10</v>
      </c>
    </row>
    <row r="889" spans="1:8" ht="21.75" customHeight="1" x14ac:dyDescent="0.25">
      <c r="A889" s="35">
        <v>44659</v>
      </c>
      <c r="B889" s="90" t="s">
        <v>11495</v>
      </c>
      <c r="C889" s="41" t="s">
        <v>918</v>
      </c>
      <c r="D889" s="87">
        <v>4935.8</v>
      </c>
      <c r="E889" s="35">
        <v>44659</v>
      </c>
      <c r="F889" s="87">
        <v>4935.8</v>
      </c>
      <c r="G889" s="91">
        <f>Tabla15[[#This Row],[Importe]]-Tabla15[[#This Row],[Pagado]]</f>
        <v>0</v>
      </c>
      <c r="H889" s="92" t="s">
        <v>10</v>
      </c>
    </row>
    <row r="890" spans="1:8" ht="21.75" customHeight="1" x14ac:dyDescent="0.25">
      <c r="A890" s="35">
        <v>44659</v>
      </c>
      <c r="B890" s="90" t="s">
        <v>11496</v>
      </c>
      <c r="C890" s="41" t="s">
        <v>204</v>
      </c>
      <c r="D890" s="87">
        <v>904.8</v>
      </c>
      <c r="E890" s="35">
        <v>44659</v>
      </c>
      <c r="F890" s="87">
        <v>904.8</v>
      </c>
      <c r="G890" s="91">
        <f>Tabla15[[#This Row],[Importe]]-Tabla15[[#This Row],[Pagado]]</f>
        <v>0</v>
      </c>
      <c r="H890" s="92" t="s">
        <v>10</v>
      </c>
    </row>
    <row r="891" spans="1:8" ht="21.75" customHeight="1" x14ac:dyDescent="0.25">
      <c r="A891" s="35">
        <v>44659</v>
      </c>
      <c r="B891" s="90" t="s">
        <v>11497</v>
      </c>
      <c r="C891" s="41" t="s">
        <v>142</v>
      </c>
      <c r="D891" s="87">
        <v>49806</v>
      </c>
      <c r="E891" s="35">
        <v>44670</v>
      </c>
      <c r="F891" s="87">
        <v>49806</v>
      </c>
      <c r="G891" s="91">
        <f>Tabla15[[#This Row],[Importe]]-Tabla15[[#This Row],[Pagado]]</f>
        <v>0</v>
      </c>
      <c r="H891" s="92" t="s">
        <v>10</v>
      </c>
    </row>
    <row r="892" spans="1:8" ht="21.75" customHeight="1" x14ac:dyDescent="0.25">
      <c r="A892" s="35">
        <v>44659</v>
      </c>
      <c r="B892" s="90" t="s">
        <v>11498</v>
      </c>
      <c r="C892" s="41" t="s">
        <v>39</v>
      </c>
      <c r="D892" s="87">
        <v>14478.7</v>
      </c>
      <c r="E892" s="35">
        <v>44661</v>
      </c>
      <c r="F892" s="87">
        <v>14478.7</v>
      </c>
      <c r="G892" s="91">
        <f>Tabla15[[#This Row],[Importe]]-Tabla15[[#This Row],[Pagado]]</f>
        <v>0</v>
      </c>
      <c r="H892" s="92" t="s">
        <v>10</v>
      </c>
    </row>
    <row r="893" spans="1:8" ht="21.75" customHeight="1" x14ac:dyDescent="0.25">
      <c r="A893" s="35">
        <v>44659</v>
      </c>
      <c r="B893" s="90" t="s">
        <v>11499</v>
      </c>
      <c r="C893" s="41" t="s">
        <v>857</v>
      </c>
      <c r="D893" s="87">
        <v>970.1</v>
      </c>
      <c r="E893" s="35">
        <v>44659</v>
      </c>
      <c r="F893" s="87">
        <v>970.1</v>
      </c>
      <c r="G893" s="91">
        <f>Tabla15[[#This Row],[Importe]]-Tabla15[[#This Row],[Pagado]]</f>
        <v>0</v>
      </c>
      <c r="H893" s="92" t="s">
        <v>10</v>
      </c>
    </row>
    <row r="894" spans="1:8" ht="21.75" customHeight="1" x14ac:dyDescent="0.25">
      <c r="A894" s="35">
        <v>44659</v>
      </c>
      <c r="B894" s="90" t="s">
        <v>11500</v>
      </c>
      <c r="C894" s="41" t="s">
        <v>555</v>
      </c>
      <c r="D894" s="87">
        <v>23000</v>
      </c>
      <c r="E894" s="35">
        <v>44660</v>
      </c>
      <c r="F894" s="87">
        <v>23000</v>
      </c>
      <c r="G894" s="91">
        <f>Tabla15[[#This Row],[Importe]]-Tabla15[[#This Row],[Pagado]]</f>
        <v>0</v>
      </c>
      <c r="H894" s="92" t="s">
        <v>10</v>
      </c>
    </row>
    <row r="895" spans="1:8" ht="21.75" customHeight="1" x14ac:dyDescent="0.25">
      <c r="A895" s="35">
        <v>44659</v>
      </c>
      <c r="B895" s="90" t="s">
        <v>11501</v>
      </c>
      <c r="C895" s="41" t="s">
        <v>107</v>
      </c>
      <c r="D895" s="87">
        <v>8528.5</v>
      </c>
      <c r="E895" s="35">
        <v>44659</v>
      </c>
      <c r="F895" s="87">
        <v>8528.5</v>
      </c>
      <c r="G895" s="91">
        <f>Tabla15[[#This Row],[Importe]]-Tabla15[[#This Row],[Pagado]]</f>
        <v>0</v>
      </c>
      <c r="H895" s="92" t="s">
        <v>10</v>
      </c>
    </row>
    <row r="896" spans="1:8" ht="21.75" customHeight="1" x14ac:dyDescent="0.25">
      <c r="A896" s="35">
        <v>44659</v>
      </c>
      <c r="B896" s="90" t="s">
        <v>11502</v>
      </c>
      <c r="C896" s="41" t="s">
        <v>647</v>
      </c>
      <c r="D896" s="87">
        <v>5098.5</v>
      </c>
      <c r="E896" s="35">
        <v>44659</v>
      </c>
      <c r="F896" s="87">
        <v>5098.5</v>
      </c>
      <c r="G896" s="91">
        <f>Tabla15[[#This Row],[Importe]]-Tabla15[[#This Row],[Pagado]]</f>
        <v>0</v>
      </c>
      <c r="H896" s="92" t="s">
        <v>10</v>
      </c>
    </row>
    <row r="897" spans="1:8" ht="31.5" x14ac:dyDescent="0.25">
      <c r="A897" s="35">
        <v>44659</v>
      </c>
      <c r="B897" s="90" t="s">
        <v>11503</v>
      </c>
      <c r="C897" s="41" t="s">
        <v>11504</v>
      </c>
      <c r="D897" s="87">
        <v>0</v>
      </c>
      <c r="E897" s="39" t="s">
        <v>189</v>
      </c>
      <c r="F897" s="87">
        <v>0</v>
      </c>
      <c r="G897" s="91">
        <f>Tabla15[[#This Row],[Importe]]-Tabla15[[#This Row],[Pagado]]</f>
        <v>0</v>
      </c>
      <c r="H897" s="92" t="s">
        <v>189</v>
      </c>
    </row>
    <row r="898" spans="1:8" ht="31.5" x14ac:dyDescent="0.25">
      <c r="A898" s="35">
        <v>44659</v>
      </c>
      <c r="B898" s="90" t="s">
        <v>11505</v>
      </c>
      <c r="C898" s="41" t="s">
        <v>11506</v>
      </c>
      <c r="D898" s="87">
        <v>0</v>
      </c>
      <c r="E898" s="39" t="s">
        <v>189</v>
      </c>
      <c r="F898" s="87">
        <v>0</v>
      </c>
      <c r="G898" s="91">
        <f>Tabla15[[#This Row],[Importe]]-Tabla15[[#This Row],[Pagado]]</f>
        <v>0</v>
      </c>
      <c r="H898" s="92" t="s">
        <v>189</v>
      </c>
    </row>
    <row r="899" spans="1:8" ht="21.75" customHeight="1" x14ac:dyDescent="0.25">
      <c r="A899" s="35">
        <v>44659</v>
      </c>
      <c r="B899" s="90" t="s">
        <v>11507</v>
      </c>
      <c r="C899" s="41" t="s">
        <v>246</v>
      </c>
      <c r="D899" s="87">
        <v>44267.24</v>
      </c>
      <c r="E899" s="35">
        <v>44659</v>
      </c>
      <c r="F899" s="87">
        <v>44267.24</v>
      </c>
      <c r="G899" s="91">
        <f>Tabla15[[#This Row],[Importe]]-Tabla15[[#This Row],[Pagado]]</f>
        <v>0</v>
      </c>
      <c r="H899" s="92" t="s">
        <v>10</v>
      </c>
    </row>
    <row r="900" spans="1:8" ht="21.75" customHeight="1" x14ac:dyDescent="0.25">
      <c r="A900" s="35">
        <v>44659</v>
      </c>
      <c r="B900" s="90" t="s">
        <v>11508</v>
      </c>
      <c r="C900" s="41" t="s">
        <v>284</v>
      </c>
      <c r="D900" s="87">
        <v>8154</v>
      </c>
      <c r="E900" s="35">
        <v>44660</v>
      </c>
      <c r="F900" s="87">
        <v>8154</v>
      </c>
      <c r="G900" s="91">
        <f>Tabla15[[#This Row],[Importe]]-Tabla15[[#This Row],[Pagado]]</f>
        <v>0</v>
      </c>
      <c r="H900" s="92" t="s">
        <v>10</v>
      </c>
    </row>
    <row r="901" spans="1:8" ht="21.75" customHeight="1" x14ac:dyDescent="0.25">
      <c r="A901" s="35">
        <v>44659</v>
      </c>
      <c r="B901" s="90" t="s">
        <v>11509</v>
      </c>
      <c r="C901" s="41" t="s">
        <v>280</v>
      </c>
      <c r="D901" s="87">
        <v>507.6</v>
      </c>
      <c r="E901" s="35">
        <v>44660</v>
      </c>
      <c r="F901" s="87">
        <v>507.6</v>
      </c>
      <c r="G901" s="91">
        <f>Tabla15[[#This Row],[Importe]]-Tabla15[[#This Row],[Pagado]]</f>
        <v>0</v>
      </c>
      <c r="H901" s="92" t="s">
        <v>10</v>
      </c>
    </row>
    <row r="902" spans="1:8" ht="21.75" customHeight="1" x14ac:dyDescent="0.25">
      <c r="A902" s="35">
        <v>44659</v>
      </c>
      <c r="B902" s="90" t="s">
        <v>11510</v>
      </c>
      <c r="C902" s="41" t="s">
        <v>31</v>
      </c>
      <c r="D902" s="87">
        <v>6171.2</v>
      </c>
      <c r="E902" s="35">
        <v>44659</v>
      </c>
      <c r="F902" s="87">
        <v>6171.2</v>
      </c>
      <c r="G902" s="91">
        <f>Tabla15[[#This Row],[Importe]]-Tabla15[[#This Row],[Pagado]]</f>
        <v>0</v>
      </c>
      <c r="H902" s="92" t="s">
        <v>10</v>
      </c>
    </row>
    <row r="903" spans="1:8" ht="21.75" customHeight="1" x14ac:dyDescent="0.25">
      <c r="A903" s="35">
        <v>44659</v>
      </c>
      <c r="B903" s="90" t="s">
        <v>11511</v>
      </c>
      <c r="C903" s="41" t="s">
        <v>282</v>
      </c>
      <c r="D903" s="87">
        <v>2116.8000000000002</v>
      </c>
      <c r="E903" s="35">
        <v>44660</v>
      </c>
      <c r="F903" s="87">
        <v>2116.8000000000002</v>
      </c>
      <c r="G903" s="91">
        <f>Tabla15[[#This Row],[Importe]]-Tabla15[[#This Row],[Pagado]]</f>
        <v>0</v>
      </c>
      <c r="H903" s="92" t="s">
        <v>10</v>
      </c>
    </row>
    <row r="904" spans="1:8" ht="21.75" customHeight="1" x14ac:dyDescent="0.25">
      <c r="A904" s="35">
        <v>44659</v>
      </c>
      <c r="B904" s="90" t="s">
        <v>11512</v>
      </c>
      <c r="C904" s="41" t="s">
        <v>934</v>
      </c>
      <c r="D904" s="87">
        <v>3927</v>
      </c>
      <c r="E904" s="35">
        <v>44660</v>
      </c>
      <c r="F904" s="87">
        <v>3927</v>
      </c>
      <c r="G904" s="91">
        <f>Tabla15[[#This Row],[Importe]]-Tabla15[[#This Row],[Pagado]]</f>
        <v>0</v>
      </c>
      <c r="H904" s="92" t="s">
        <v>10</v>
      </c>
    </row>
    <row r="905" spans="1:8" ht="21.75" customHeight="1" x14ac:dyDescent="0.25">
      <c r="A905" s="35">
        <v>44659</v>
      </c>
      <c r="B905" s="90" t="s">
        <v>11513</v>
      </c>
      <c r="C905" s="41" t="s">
        <v>872</v>
      </c>
      <c r="D905" s="87">
        <v>3096</v>
      </c>
      <c r="E905" s="35">
        <v>44659</v>
      </c>
      <c r="F905" s="87">
        <v>3096</v>
      </c>
      <c r="G905" s="91">
        <f>Tabla15[[#This Row],[Importe]]-Tabla15[[#This Row],[Pagado]]</f>
        <v>0</v>
      </c>
      <c r="H905" s="92" t="s">
        <v>10</v>
      </c>
    </row>
    <row r="906" spans="1:8" ht="21.75" customHeight="1" x14ac:dyDescent="0.25">
      <c r="A906" s="35">
        <v>44659</v>
      </c>
      <c r="B906" s="90" t="s">
        <v>11514</v>
      </c>
      <c r="C906" s="41" t="s">
        <v>872</v>
      </c>
      <c r="D906" s="87">
        <v>570</v>
      </c>
      <c r="E906" s="35">
        <v>44659</v>
      </c>
      <c r="F906" s="87">
        <v>570</v>
      </c>
      <c r="G906" s="91">
        <f>Tabla15[[#This Row],[Importe]]-Tabla15[[#This Row],[Pagado]]</f>
        <v>0</v>
      </c>
      <c r="H906" s="92" t="s">
        <v>10</v>
      </c>
    </row>
    <row r="907" spans="1:8" ht="21.75" customHeight="1" x14ac:dyDescent="0.25">
      <c r="A907" s="35">
        <v>44659</v>
      </c>
      <c r="B907" s="90" t="s">
        <v>11515</v>
      </c>
      <c r="C907" s="41" t="s">
        <v>5345</v>
      </c>
      <c r="D907" s="87">
        <v>1209.5999999999999</v>
      </c>
      <c r="E907" s="35">
        <v>44660</v>
      </c>
      <c r="F907" s="87">
        <v>1209.5999999999999</v>
      </c>
      <c r="G907" s="91">
        <f>Tabla15[[#This Row],[Importe]]-Tabla15[[#This Row],[Pagado]]</f>
        <v>0</v>
      </c>
      <c r="H907" s="92" t="s">
        <v>10</v>
      </c>
    </row>
    <row r="908" spans="1:8" ht="21.75" customHeight="1" x14ac:dyDescent="0.25">
      <c r="A908" s="35">
        <v>44659</v>
      </c>
      <c r="B908" s="90" t="s">
        <v>11516</v>
      </c>
      <c r="C908" s="41" t="s">
        <v>872</v>
      </c>
      <c r="D908" s="87">
        <v>1273.5999999999999</v>
      </c>
      <c r="E908" s="35">
        <v>44659</v>
      </c>
      <c r="F908" s="87">
        <v>1273.5999999999999</v>
      </c>
      <c r="G908" s="91">
        <f>Tabla15[[#This Row],[Importe]]-Tabla15[[#This Row],[Pagado]]</f>
        <v>0</v>
      </c>
      <c r="H908" s="92" t="s">
        <v>10</v>
      </c>
    </row>
    <row r="909" spans="1:8" ht="21.75" customHeight="1" x14ac:dyDescent="0.25">
      <c r="A909" s="35">
        <v>44659</v>
      </c>
      <c r="B909" s="90" t="s">
        <v>11517</v>
      </c>
      <c r="C909" s="41" t="s">
        <v>214</v>
      </c>
      <c r="D909" s="87">
        <v>1290.5999999999999</v>
      </c>
      <c r="E909" s="35">
        <v>44659</v>
      </c>
      <c r="F909" s="87">
        <v>1290.5999999999999</v>
      </c>
      <c r="G909" s="91">
        <f>Tabla15[[#This Row],[Importe]]-Tabla15[[#This Row],[Pagado]]</f>
        <v>0</v>
      </c>
      <c r="H909" s="92" t="s">
        <v>10</v>
      </c>
    </row>
    <row r="910" spans="1:8" ht="21.75" customHeight="1" x14ac:dyDescent="0.25">
      <c r="A910" s="35">
        <v>44659</v>
      </c>
      <c r="B910" s="90" t="s">
        <v>11518</v>
      </c>
      <c r="C910" s="41" t="s">
        <v>452</v>
      </c>
      <c r="D910" s="87">
        <v>7279.2</v>
      </c>
      <c r="E910" s="35">
        <v>44659</v>
      </c>
      <c r="F910" s="87">
        <v>7279.2</v>
      </c>
      <c r="G910" s="91">
        <f>Tabla15[[#This Row],[Importe]]-Tabla15[[#This Row],[Pagado]]</f>
        <v>0</v>
      </c>
      <c r="H910" s="92" t="s">
        <v>10</v>
      </c>
    </row>
    <row r="911" spans="1:8" ht="21.75" customHeight="1" x14ac:dyDescent="0.25">
      <c r="A911" s="35">
        <v>44659</v>
      </c>
      <c r="B911" s="90" t="s">
        <v>11519</v>
      </c>
      <c r="C911" s="41" t="s">
        <v>31</v>
      </c>
      <c r="D911" s="87">
        <v>464</v>
      </c>
      <c r="E911" s="35">
        <v>44659</v>
      </c>
      <c r="F911" s="87">
        <v>464</v>
      </c>
      <c r="G911" s="91">
        <f>Tabla15[[#This Row],[Importe]]-Tabla15[[#This Row],[Pagado]]</f>
        <v>0</v>
      </c>
      <c r="H911" s="92" t="s">
        <v>10</v>
      </c>
    </row>
    <row r="912" spans="1:8" ht="21.75" customHeight="1" x14ac:dyDescent="0.25">
      <c r="A912" s="35">
        <v>44659</v>
      </c>
      <c r="B912" s="90" t="s">
        <v>11520</v>
      </c>
      <c r="C912" s="41" t="s">
        <v>31</v>
      </c>
      <c r="D912" s="87">
        <v>51</v>
      </c>
      <c r="E912" s="35">
        <v>44659</v>
      </c>
      <c r="F912" s="87">
        <v>51</v>
      </c>
      <c r="G912" s="91">
        <f>Tabla15[[#This Row],[Importe]]-Tabla15[[#This Row],[Pagado]]</f>
        <v>0</v>
      </c>
      <c r="H912" s="92" t="s">
        <v>10</v>
      </c>
    </row>
    <row r="913" spans="1:8" ht="21.75" customHeight="1" x14ac:dyDescent="0.25">
      <c r="A913" s="35">
        <v>44659</v>
      </c>
      <c r="B913" s="90" t="s">
        <v>11521</v>
      </c>
      <c r="C913" s="41" t="s">
        <v>31</v>
      </c>
      <c r="D913" s="87">
        <v>5655.6</v>
      </c>
      <c r="E913" s="35">
        <v>44659</v>
      </c>
      <c r="F913" s="87">
        <v>5655.6</v>
      </c>
      <c r="G913" s="91">
        <f>Tabla15[[#This Row],[Importe]]-Tabla15[[#This Row],[Pagado]]</f>
        <v>0</v>
      </c>
      <c r="H913" s="92" t="s">
        <v>10</v>
      </c>
    </row>
    <row r="914" spans="1:8" ht="21.75" customHeight="1" x14ac:dyDescent="0.25">
      <c r="A914" s="35">
        <v>44659</v>
      </c>
      <c r="B914" s="90" t="s">
        <v>11522</v>
      </c>
      <c r="C914" s="41" t="s">
        <v>454</v>
      </c>
      <c r="D914" s="87">
        <v>3597.2</v>
      </c>
      <c r="E914" s="35">
        <v>44659</v>
      </c>
      <c r="F914" s="87">
        <v>3597.2</v>
      </c>
      <c r="G914" s="91">
        <f>Tabla15[[#This Row],[Importe]]-Tabla15[[#This Row],[Pagado]]</f>
        <v>0</v>
      </c>
      <c r="H914" s="92" t="s">
        <v>10</v>
      </c>
    </row>
    <row r="915" spans="1:8" ht="21.75" customHeight="1" x14ac:dyDescent="0.25">
      <c r="A915" s="35">
        <v>44659</v>
      </c>
      <c r="B915" s="90" t="s">
        <v>11523</v>
      </c>
      <c r="C915" s="41" t="s">
        <v>31</v>
      </c>
      <c r="D915" s="87">
        <v>375</v>
      </c>
      <c r="E915" s="35">
        <v>44659</v>
      </c>
      <c r="F915" s="87">
        <v>375</v>
      </c>
      <c r="G915" s="91">
        <f>Tabla15[[#This Row],[Importe]]-Tabla15[[#This Row],[Pagado]]</f>
        <v>0</v>
      </c>
      <c r="H915" s="92" t="s">
        <v>10</v>
      </c>
    </row>
    <row r="916" spans="1:8" ht="21.75" customHeight="1" x14ac:dyDescent="0.25">
      <c r="A916" s="35">
        <v>44659</v>
      </c>
      <c r="B916" s="90" t="s">
        <v>11524</v>
      </c>
      <c r="C916" s="41" t="s">
        <v>31</v>
      </c>
      <c r="D916" s="87">
        <v>5418</v>
      </c>
      <c r="E916" s="35">
        <v>44659</v>
      </c>
      <c r="F916" s="87">
        <v>5418</v>
      </c>
      <c r="G916" s="91">
        <f>Tabla15[[#This Row],[Importe]]-Tabla15[[#This Row],[Pagado]]</f>
        <v>0</v>
      </c>
      <c r="H916" s="92" t="s">
        <v>10</v>
      </c>
    </row>
    <row r="917" spans="1:8" ht="21.75" customHeight="1" x14ac:dyDescent="0.25">
      <c r="A917" s="35">
        <v>44659</v>
      </c>
      <c r="B917" s="90" t="s">
        <v>11525</v>
      </c>
      <c r="C917" s="41" t="s">
        <v>843</v>
      </c>
      <c r="D917" s="87">
        <v>17095</v>
      </c>
      <c r="E917" s="35">
        <v>44660</v>
      </c>
      <c r="F917" s="87">
        <v>17095</v>
      </c>
      <c r="G917" s="91">
        <f>Tabla15[[#This Row],[Importe]]-Tabla15[[#This Row],[Pagado]]</f>
        <v>0</v>
      </c>
      <c r="H917" s="92" t="s">
        <v>10</v>
      </c>
    </row>
    <row r="918" spans="1:8" ht="21.75" customHeight="1" x14ac:dyDescent="0.25">
      <c r="A918" s="35">
        <v>44659</v>
      </c>
      <c r="B918" s="90" t="s">
        <v>11526</v>
      </c>
      <c r="C918" s="41" t="s">
        <v>10324</v>
      </c>
      <c r="D918" s="87">
        <v>2590</v>
      </c>
      <c r="E918" s="35">
        <v>44660</v>
      </c>
      <c r="F918" s="87">
        <v>2590</v>
      </c>
      <c r="G918" s="91">
        <f>Tabla15[[#This Row],[Importe]]-Tabla15[[#This Row],[Pagado]]</f>
        <v>0</v>
      </c>
      <c r="H918" s="92" t="s">
        <v>10</v>
      </c>
    </row>
    <row r="919" spans="1:8" ht="21.75" customHeight="1" x14ac:dyDescent="0.25">
      <c r="A919" s="35">
        <v>44659</v>
      </c>
      <c r="B919" s="90" t="s">
        <v>11527</v>
      </c>
      <c r="C919" s="41" t="s">
        <v>10324</v>
      </c>
      <c r="D919" s="87">
        <v>222.02</v>
      </c>
      <c r="E919" s="35">
        <v>44660</v>
      </c>
      <c r="F919" s="87">
        <v>222.02</v>
      </c>
      <c r="G919" s="91">
        <f>Tabla15[[#This Row],[Importe]]-Tabla15[[#This Row],[Pagado]]</f>
        <v>0</v>
      </c>
      <c r="H919" s="92" t="s">
        <v>10</v>
      </c>
    </row>
    <row r="920" spans="1:8" ht="21.75" customHeight="1" x14ac:dyDescent="0.25">
      <c r="A920" s="35">
        <v>44659</v>
      </c>
      <c r="B920" s="90" t="s">
        <v>11528</v>
      </c>
      <c r="C920" s="41" t="s">
        <v>31</v>
      </c>
      <c r="D920" s="87">
        <v>75</v>
      </c>
      <c r="E920" s="35">
        <v>44662</v>
      </c>
      <c r="F920" s="87">
        <v>75</v>
      </c>
      <c r="G920" s="91">
        <f>Tabla15[[#This Row],[Importe]]-Tabla15[[#This Row],[Pagado]]</f>
        <v>0</v>
      </c>
      <c r="H920" s="92" t="s">
        <v>10</v>
      </c>
    </row>
    <row r="921" spans="1:8" ht="21.75" customHeight="1" x14ac:dyDescent="0.25">
      <c r="A921" s="35">
        <v>44659</v>
      </c>
      <c r="B921" s="90" t="s">
        <v>11529</v>
      </c>
      <c r="C921" s="41" t="s">
        <v>275</v>
      </c>
      <c r="D921" s="87">
        <v>43587.4</v>
      </c>
      <c r="E921" s="35">
        <v>44670</v>
      </c>
      <c r="F921" s="87">
        <v>43587.4</v>
      </c>
      <c r="G921" s="91">
        <f>Tabla15[[#This Row],[Importe]]-Tabla15[[#This Row],[Pagado]]</f>
        <v>0</v>
      </c>
      <c r="H921" s="92" t="s">
        <v>10</v>
      </c>
    </row>
    <row r="922" spans="1:8" ht="21.75" customHeight="1" x14ac:dyDescent="0.25">
      <c r="A922" s="35">
        <v>44659</v>
      </c>
      <c r="B922" s="90" t="s">
        <v>11530</v>
      </c>
      <c r="C922" s="41" t="s">
        <v>196</v>
      </c>
      <c r="D922" s="87">
        <v>82352.600000000006</v>
      </c>
      <c r="E922" s="35">
        <v>44669</v>
      </c>
      <c r="F922" s="87">
        <v>82352.600000000006</v>
      </c>
      <c r="G922" s="91">
        <f>Tabla15[[#This Row],[Importe]]-Tabla15[[#This Row],[Pagado]]</f>
        <v>0</v>
      </c>
      <c r="H922" s="92" t="s">
        <v>10</v>
      </c>
    </row>
    <row r="923" spans="1:8" ht="21.75" customHeight="1" x14ac:dyDescent="0.25">
      <c r="A923" s="35">
        <v>44659</v>
      </c>
      <c r="B923" s="90" t="s">
        <v>11531</v>
      </c>
      <c r="C923" s="41" t="s">
        <v>31</v>
      </c>
      <c r="D923" s="87">
        <v>319.2</v>
      </c>
      <c r="E923" s="35">
        <v>44660</v>
      </c>
      <c r="F923" s="87">
        <v>319.2</v>
      </c>
      <c r="G923" s="91">
        <f>Tabla15[[#This Row],[Importe]]-Tabla15[[#This Row],[Pagado]]</f>
        <v>0</v>
      </c>
      <c r="H923" s="92" t="s">
        <v>10</v>
      </c>
    </row>
    <row r="924" spans="1:8" ht="21.75" customHeight="1" x14ac:dyDescent="0.25">
      <c r="A924" s="35">
        <v>44659</v>
      </c>
      <c r="B924" s="90" t="s">
        <v>11532</v>
      </c>
      <c r="C924" s="41" t="s">
        <v>4027</v>
      </c>
      <c r="D924" s="87">
        <v>100</v>
      </c>
      <c r="E924" s="35">
        <v>44660</v>
      </c>
      <c r="F924" s="87">
        <v>100</v>
      </c>
      <c r="G924" s="91">
        <f>Tabla15[[#This Row],[Importe]]-Tabla15[[#This Row],[Pagado]]</f>
        <v>0</v>
      </c>
      <c r="H924" s="92" t="s">
        <v>10</v>
      </c>
    </row>
    <row r="925" spans="1:8" ht="21.75" customHeight="1" x14ac:dyDescent="0.25">
      <c r="A925" s="35">
        <v>44660</v>
      </c>
      <c r="B925" s="90" t="s">
        <v>11533</v>
      </c>
      <c r="C925" s="41" t="s">
        <v>481</v>
      </c>
      <c r="D925" s="87">
        <v>1520.5</v>
      </c>
      <c r="E925" s="35">
        <v>44660</v>
      </c>
      <c r="F925" s="87">
        <v>1520.5</v>
      </c>
      <c r="G925" s="91">
        <f>Tabla15[[#This Row],[Importe]]-Tabla15[[#This Row],[Pagado]]</f>
        <v>0</v>
      </c>
      <c r="H925" s="92" t="s">
        <v>10</v>
      </c>
    </row>
    <row r="926" spans="1:8" ht="21.75" customHeight="1" x14ac:dyDescent="0.25">
      <c r="A926" s="35">
        <v>44660</v>
      </c>
      <c r="B926" s="90" t="s">
        <v>11534</v>
      </c>
      <c r="C926" s="41" t="s">
        <v>475</v>
      </c>
      <c r="D926" s="87">
        <v>55710.3</v>
      </c>
      <c r="E926" s="35">
        <v>44662</v>
      </c>
      <c r="F926" s="87">
        <v>55710.3</v>
      </c>
      <c r="G926" s="91">
        <f>Tabla15[[#This Row],[Importe]]-Tabla15[[#This Row],[Pagado]]</f>
        <v>0</v>
      </c>
      <c r="H926" s="92" t="s">
        <v>10</v>
      </c>
    </row>
    <row r="927" spans="1:8" ht="31.5" x14ac:dyDescent="0.25">
      <c r="A927" s="35">
        <v>44660</v>
      </c>
      <c r="B927" s="90" t="s">
        <v>11535</v>
      </c>
      <c r="C927" s="41" t="s">
        <v>22</v>
      </c>
      <c r="D927" s="87">
        <v>66592.899999999994</v>
      </c>
      <c r="E927" s="35" t="s">
        <v>11536</v>
      </c>
      <c r="F927" s="87">
        <f>50000+16592.9</f>
        <v>66592.899999999994</v>
      </c>
      <c r="G927" s="91">
        <f>Tabla15[[#This Row],[Importe]]-Tabla15[[#This Row],[Pagado]]</f>
        <v>0</v>
      </c>
      <c r="H927" s="92" t="s">
        <v>10</v>
      </c>
    </row>
    <row r="928" spans="1:8" ht="21.75" customHeight="1" x14ac:dyDescent="0.25">
      <c r="A928" s="35">
        <v>44660</v>
      </c>
      <c r="B928" s="90" t="s">
        <v>11537</v>
      </c>
      <c r="C928" s="41" t="s">
        <v>11538</v>
      </c>
      <c r="D928" s="87">
        <v>0</v>
      </c>
      <c r="E928" s="39" t="s">
        <v>189</v>
      </c>
      <c r="F928" s="87">
        <v>0</v>
      </c>
      <c r="G928" s="91">
        <f>Tabla15[[#This Row],[Importe]]-Tabla15[[#This Row],[Pagado]]</f>
        <v>0</v>
      </c>
      <c r="H928" s="92" t="s">
        <v>189</v>
      </c>
    </row>
    <row r="929" spans="1:8" ht="21.75" customHeight="1" x14ac:dyDescent="0.25">
      <c r="A929" s="35">
        <v>44660</v>
      </c>
      <c r="B929" s="90" t="s">
        <v>11539</v>
      </c>
      <c r="C929" s="41" t="s">
        <v>12</v>
      </c>
      <c r="D929" s="87">
        <v>42819.65</v>
      </c>
      <c r="E929" s="35">
        <v>44660</v>
      </c>
      <c r="F929" s="87">
        <v>42819.65</v>
      </c>
      <c r="G929" s="91">
        <f>Tabla15[[#This Row],[Importe]]-Tabla15[[#This Row],[Pagado]]</f>
        <v>0</v>
      </c>
      <c r="H929" s="92" t="s">
        <v>10</v>
      </c>
    </row>
    <row r="930" spans="1:8" ht="21.75" customHeight="1" x14ac:dyDescent="0.25">
      <c r="A930" s="35">
        <v>44660</v>
      </c>
      <c r="B930" s="90" t="s">
        <v>11540</v>
      </c>
      <c r="C930" s="41" t="s">
        <v>31</v>
      </c>
      <c r="D930" s="87">
        <v>2014.2</v>
      </c>
      <c r="E930" s="35">
        <v>44660</v>
      </c>
      <c r="F930" s="87">
        <v>2014.2</v>
      </c>
      <c r="G930" s="91">
        <f>Tabla15[[#This Row],[Importe]]-Tabla15[[#This Row],[Pagado]]</f>
        <v>0</v>
      </c>
      <c r="H930" s="92" t="s">
        <v>10</v>
      </c>
    </row>
    <row r="931" spans="1:8" ht="21.75" customHeight="1" x14ac:dyDescent="0.25">
      <c r="A931" s="35">
        <v>44660</v>
      </c>
      <c r="B931" s="90" t="s">
        <v>11541</v>
      </c>
      <c r="C931" s="41" t="s">
        <v>2166</v>
      </c>
      <c r="D931" s="87">
        <v>750</v>
      </c>
      <c r="E931" s="35">
        <v>44660</v>
      </c>
      <c r="F931" s="87">
        <v>750</v>
      </c>
      <c r="G931" s="91">
        <f>Tabla15[[#This Row],[Importe]]-Tabla15[[#This Row],[Pagado]]</f>
        <v>0</v>
      </c>
      <c r="H931" s="92" t="s">
        <v>10</v>
      </c>
    </row>
    <row r="932" spans="1:8" ht="21.75" customHeight="1" x14ac:dyDescent="0.25">
      <c r="A932" s="35">
        <v>44660</v>
      </c>
      <c r="B932" s="90" t="s">
        <v>11542</v>
      </c>
      <c r="C932" s="41" t="s">
        <v>11543</v>
      </c>
      <c r="D932" s="87">
        <v>0</v>
      </c>
      <c r="E932" s="39" t="s">
        <v>189</v>
      </c>
      <c r="F932" s="87">
        <v>0</v>
      </c>
      <c r="G932" s="91">
        <f>Tabla15[[#This Row],[Importe]]-Tabla15[[#This Row],[Pagado]]</f>
        <v>0</v>
      </c>
      <c r="H932" s="92" t="s">
        <v>189</v>
      </c>
    </row>
    <row r="933" spans="1:8" ht="21.75" customHeight="1" x14ac:dyDescent="0.25">
      <c r="A933" s="35">
        <v>44660</v>
      </c>
      <c r="B933" s="90" t="s">
        <v>11544</v>
      </c>
      <c r="C933" s="41" t="s">
        <v>9</v>
      </c>
      <c r="D933" s="87">
        <v>6579.3</v>
      </c>
      <c r="E933" s="35">
        <v>44660</v>
      </c>
      <c r="F933" s="87">
        <v>6579.3</v>
      </c>
      <c r="G933" s="91">
        <f>Tabla15[[#This Row],[Importe]]-Tabla15[[#This Row],[Pagado]]</f>
        <v>0</v>
      </c>
      <c r="H933" s="92" t="s">
        <v>10</v>
      </c>
    </row>
    <row r="934" spans="1:8" ht="21.75" customHeight="1" x14ac:dyDescent="0.25">
      <c r="A934" s="35">
        <v>44660</v>
      </c>
      <c r="B934" s="90" t="s">
        <v>11545</v>
      </c>
      <c r="C934" s="41" t="s">
        <v>9415</v>
      </c>
      <c r="D934" s="87">
        <v>17736.400000000001</v>
      </c>
      <c r="E934" s="35">
        <v>44660</v>
      </c>
      <c r="F934" s="87">
        <v>17736.400000000001</v>
      </c>
      <c r="G934" s="91">
        <f>Tabla15[[#This Row],[Importe]]-Tabla15[[#This Row],[Pagado]]</f>
        <v>0</v>
      </c>
      <c r="H934" s="92" t="s">
        <v>10</v>
      </c>
    </row>
    <row r="935" spans="1:8" ht="21.75" customHeight="1" x14ac:dyDescent="0.25">
      <c r="A935" s="35">
        <v>44660</v>
      </c>
      <c r="B935" s="90" t="s">
        <v>11546</v>
      </c>
      <c r="C935" s="41" t="s">
        <v>9</v>
      </c>
      <c r="D935" s="87">
        <v>850</v>
      </c>
      <c r="E935" s="35">
        <v>44660</v>
      </c>
      <c r="F935" s="87">
        <v>850</v>
      </c>
      <c r="G935" s="91">
        <f>Tabla15[[#This Row],[Importe]]-Tabla15[[#This Row],[Pagado]]</f>
        <v>0</v>
      </c>
      <c r="H935" s="92" t="s">
        <v>10</v>
      </c>
    </row>
    <row r="936" spans="1:8" ht="21.75" customHeight="1" x14ac:dyDescent="0.25">
      <c r="A936" s="35">
        <v>44660</v>
      </c>
      <c r="B936" s="90" t="s">
        <v>11547</v>
      </c>
      <c r="C936" s="41" t="s">
        <v>60</v>
      </c>
      <c r="D936" s="87">
        <v>3816</v>
      </c>
      <c r="E936" s="35">
        <v>44669</v>
      </c>
      <c r="F936" s="87">
        <v>3816</v>
      </c>
      <c r="G936" s="91">
        <f>Tabla15[[#This Row],[Importe]]-Tabla15[[#This Row],[Pagado]]</f>
        <v>0</v>
      </c>
      <c r="H936" s="92" t="s">
        <v>10</v>
      </c>
    </row>
    <row r="937" spans="1:8" ht="21.75" customHeight="1" x14ac:dyDescent="0.25">
      <c r="A937" s="35">
        <v>44660</v>
      </c>
      <c r="B937" s="90" t="s">
        <v>11548</v>
      </c>
      <c r="C937" s="41" t="s">
        <v>109</v>
      </c>
      <c r="D937" s="87">
        <v>8384.4</v>
      </c>
      <c r="E937" s="35">
        <v>44662</v>
      </c>
      <c r="F937" s="87">
        <v>8384.4</v>
      </c>
      <c r="G937" s="91">
        <f>Tabla15[[#This Row],[Importe]]-Tabla15[[#This Row],[Pagado]]</f>
        <v>0</v>
      </c>
      <c r="H937" s="92" t="s">
        <v>10</v>
      </c>
    </row>
    <row r="938" spans="1:8" ht="21.75" customHeight="1" x14ac:dyDescent="0.25">
      <c r="A938" s="35">
        <v>44660</v>
      </c>
      <c r="B938" s="90" t="s">
        <v>11549</v>
      </c>
      <c r="C938" s="41" t="s">
        <v>131</v>
      </c>
      <c r="D938" s="87">
        <v>14898.3</v>
      </c>
      <c r="E938" s="35">
        <v>44660</v>
      </c>
      <c r="F938" s="87">
        <v>14898.3</v>
      </c>
      <c r="G938" s="91">
        <f>Tabla15[[#This Row],[Importe]]-Tabla15[[#This Row],[Pagado]]</f>
        <v>0</v>
      </c>
      <c r="H938" s="92" t="s">
        <v>10</v>
      </c>
    </row>
    <row r="939" spans="1:8" ht="21.75" customHeight="1" x14ac:dyDescent="0.25">
      <c r="A939" s="35">
        <v>44660</v>
      </c>
      <c r="B939" s="90" t="s">
        <v>11550</v>
      </c>
      <c r="C939" s="41" t="s">
        <v>12</v>
      </c>
      <c r="D939" s="87">
        <v>500</v>
      </c>
      <c r="E939" s="35">
        <v>44660</v>
      </c>
      <c r="F939" s="87">
        <v>500</v>
      </c>
      <c r="G939" s="91">
        <f>Tabla15[[#This Row],[Importe]]-Tabla15[[#This Row],[Pagado]]</f>
        <v>0</v>
      </c>
      <c r="H939" s="92" t="s">
        <v>10</v>
      </c>
    </row>
    <row r="940" spans="1:8" ht="31.5" x14ac:dyDescent="0.25">
      <c r="A940" s="35">
        <v>44660</v>
      </c>
      <c r="B940" s="90" t="s">
        <v>11551</v>
      </c>
      <c r="C940" s="41" t="s">
        <v>99</v>
      </c>
      <c r="D940" s="87">
        <v>12749.4</v>
      </c>
      <c r="E940" s="35" t="s">
        <v>11552</v>
      </c>
      <c r="F940" s="87">
        <f>7000+5749.4</f>
        <v>12749.4</v>
      </c>
      <c r="G940" s="91">
        <f>Tabla15[[#This Row],[Importe]]-Tabla15[[#This Row],[Pagado]]</f>
        <v>0</v>
      </c>
      <c r="H940" s="92" t="s">
        <v>10</v>
      </c>
    </row>
    <row r="941" spans="1:8" ht="21.75" customHeight="1" x14ac:dyDescent="0.25">
      <c r="A941" s="35">
        <v>44660</v>
      </c>
      <c r="B941" s="90" t="s">
        <v>11553</v>
      </c>
      <c r="C941" s="41" t="s">
        <v>326</v>
      </c>
      <c r="D941" s="87">
        <v>12862.2</v>
      </c>
      <c r="E941" s="35">
        <v>44663</v>
      </c>
      <c r="F941" s="87">
        <v>12862.2</v>
      </c>
      <c r="G941" s="91">
        <f>Tabla15[[#This Row],[Importe]]-Tabla15[[#This Row],[Pagado]]</f>
        <v>0</v>
      </c>
      <c r="H941" s="92" t="s">
        <v>10</v>
      </c>
    </row>
    <row r="942" spans="1:8" ht="21.75" customHeight="1" x14ac:dyDescent="0.25">
      <c r="A942" s="35">
        <v>44660</v>
      </c>
      <c r="B942" s="90" t="s">
        <v>11554</v>
      </c>
      <c r="C942" s="41" t="s">
        <v>924</v>
      </c>
      <c r="D942" s="87">
        <v>4544.12</v>
      </c>
      <c r="E942" s="35">
        <v>44660</v>
      </c>
      <c r="F942" s="87">
        <v>4544.12</v>
      </c>
      <c r="G942" s="91">
        <f>Tabla15[[#This Row],[Importe]]-Tabla15[[#This Row],[Pagado]]</f>
        <v>0</v>
      </c>
      <c r="H942" s="92" t="s">
        <v>10</v>
      </c>
    </row>
    <row r="943" spans="1:8" ht="21.75" customHeight="1" x14ac:dyDescent="0.25">
      <c r="A943" s="35">
        <v>44660</v>
      </c>
      <c r="B943" s="90" t="s">
        <v>11555</v>
      </c>
      <c r="C943" s="41" t="s">
        <v>97</v>
      </c>
      <c r="D943" s="87">
        <v>15897.6</v>
      </c>
      <c r="E943" s="35">
        <v>44662</v>
      </c>
      <c r="F943" s="87">
        <v>15897.6</v>
      </c>
      <c r="G943" s="91">
        <f>Tabla15[[#This Row],[Importe]]-Tabla15[[#This Row],[Pagado]]</f>
        <v>0</v>
      </c>
      <c r="H943" s="92" t="s">
        <v>10</v>
      </c>
    </row>
    <row r="944" spans="1:8" ht="21.75" customHeight="1" x14ac:dyDescent="0.25">
      <c r="A944" s="35">
        <v>44660</v>
      </c>
      <c r="B944" s="90" t="s">
        <v>11556</v>
      </c>
      <c r="C944" s="41" t="s">
        <v>93</v>
      </c>
      <c r="D944" s="87">
        <v>12513.7</v>
      </c>
      <c r="E944" s="35">
        <v>44662</v>
      </c>
      <c r="F944" s="87">
        <v>12513.7</v>
      </c>
      <c r="G944" s="91">
        <f>Tabla15[[#This Row],[Importe]]-Tabla15[[#This Row],[Pagado]]</f>
        <v>0</v>
      </c>
      <c r="H944" s="92" t="s">
        <v>10</v>
      </c>
    </row>
    <row r="945" spans="1:8" ht="21.75" customHeight="1" x14ac:dyDescent="0.25">
      <c r="A945" s="35">
        <v>44660</v>
      </c>
      <c r="B945" s="90" t="s">
        <v>11557</v>
      </c>
      <c r="C945" s="41" t="s">
        <v>12</v>
      </c>
      <c r="D945" s="87">
        <v>3155.8</v>
      </c>
      <c r="E945" s="35">
        <v>44660</v>
      </c>
      <c r="F945" s="87">
        <v>3155.8</v>
      </c>
      <c r="G945" s="91">
        <f>Tabla15[[#This Row],[Importe]]-Tabla15[[#This Row],[Pagado]]</f>
        <v>0</v>
      </c>
      <c r="H945" s="92" t="s">
        <v>10</v>
      </c>
    </row>
    <row r="946" spans="1:8" ht="21.75" customHeight="1" x14ac:dyDescent="0.25">
      <c r="A946" s="35">
        <v>44660</v>
      </c>
      <c r="B946" s="90" t="s">
        <v>11558</v>
      </c>
      <c r="C946" s="41" t="s">
        <v>4136</v>
      </c>
      <c r="D946" s="87">
        <v>4077.6</v>
      </c>
      <c r="E946" s="35">
        <v>44660</v>
      </c>
      <c r="F946" s="87">
        <v>4077.6</v>
      </c>
      <c r="G946" s="91">
        <f>Tabla15[[#This Row],[Importe]]-Tabla15[[#This Row],[Pagado]]</f>
        <v>0</v>
      </c>
      <c r="H946" s="92" t="s">
        <v>10</v>
      </c>
    </row>
    <row r="947" spans="1:8" ht="21.75" customHeight="1" x14ac:dyDescent="0.25">
      <c r="A947" s="35">
        <v>44660</v>
      </c>
      <c r="B947" s="90" t="s">
        <v>11559</v>
      </c>
      <c r="C947" s="41" t="s">
        <v>89</v>
      </c>
      <c r="D947" s="87">
        <v>9096</v>
      </c>
      <c r="E947" s="35">
        <v>44662</v>
      </c>
      <c r="F947" s="87">
        <v>9096</v>
      </c>
      <c r="G947" s="91">
        <f>Tabla15[[#This Row],[Importe]]-Tabla15[[#This Row],[Pagado]]</f>
        <v>0</v>
      </c>
      <c r="H947" s="92" t="s">
        <v>10</v>
      </c>
    </row>
    <row r="948" spans="1:8" ht="21.75" customHeight="1" x14ac:dyDescent="0.25">
      <c r="A948" s="35">
        <v>44660</v>
      </c>
      <c r="B948" s="90" t="s">
        <v>11560</v>
      </c>
      <c r="C948" s="41" t="s">
        <v>11033</v>
      </c>
      <c r="D948" s="87">
        <v>1574.4</v>
      </c>
      <c r="E948" s="35">
        <v>44660</v>
      </c>
      <c r="F948" s="87">
        <v>1574.4</v>
      </c>
      <c r="G948" s="91">
        <f>Tabla15[[#This Row],[Importe]]-Tabla15[[#This Row],[Pagado]]</f>
        <v>0</v>
      </c>
      <c r="H948" s="92" t="s">
        <v>10</v>
      </c>
    </row>
    <row r="949" spans="1:8" ht="21.75" customHeight="1" x14ac:dyDescent="0.25">
      <c r="A949" s="35">
        <v>44660</v>
      </c>
      <c r="B949" s="90" t="s">
        <v>11561</v>
      </c>
      <c r="C949" s="41" t="s">
        <v>105</v>
      </c>
      <c r="D949" s="87">
        <v>19011.8</v>
      </c>
      <c r="E949" s="35">
        <v>44662</v>
      </c>
      <c r="F949" s="87">
        <v>19011.8</v>
      </c>
      <c r="G949" s="91">
        <f>Tabla15[[#This Row],[Importe]]-Tabla15[[#This Row],[Pagado]]</f>
        <v>0</v>
      </c>
      <c r="H949" s="92" t="s">
        <v>10</v>
      </c>
    </row>
    <row r="950" spans="1:8" ht="21.75" customHeight="1" x14ac:dyDescent="0.25">
      <c r="A950" s="35">
        <v>44660</v>
      </c>
      <c r="B950" s="90" t="s">
        <v>11562</v>
      </c>
      <c r="C950" s="41" t="s">
        <v>27</v>
      </c>
      <c r="D950" s="87">
        <v>2209.5</v>
      </c>
      <c r="E950" s="35">
        <v>44660</v>
      </c>
      <c r="F950" s="87">
        <v>2209.5</v>
      </c>
      <c r="G950" s="91">
        <f>Tabla15[[#This Row],[Importe]]-Tabla15[[#This Row],[Pagado]]</f>
        <v>0</v>
      </c>
      <c r="H950" s="92" t="s">
        <v>10</v>
      </c>
    </row>
    <row r="951" spans="1:8" ht="21.75" customHeight="1" x14ac:dyDescent="0.25">
      <c r="A951" s="35">
        <v>44660</v>
      </c>
      <c r="B951" s="90" t="s">
        <v>11563</v>
      </c>
      <c r="C951" s="41" t="s">
        <v>2151</v>
      </c>
      <c r="D951" s="87">
        <v>29868.3</v>
      </c>
      <c r="E951" s="35">
        <v>44660</v>
      </c>
      <c r="F951" s="87">
        <v>29868.3</v>
      </c>
      <c r="G951" s="91">
        <f>Tabla15[[#This Row],[Importe]]-Tabla15[[#This Row],[Pagado]]</f>
        <v>0</v>
      </c>
      <c r="H951" s="92" t="s">
        <v>10</v>
      </c>
    </row>
    <row r="952" spans="1:8" ht="21.75" customHeight="1" x14ac:dyDescent="0.25">
      <c r="A952" s="35">
        <v>44660</v>
      </c>
      <c r="B952" s="90" t="s">
        <v>11564</v>
      </c>
      <c r="C952" s="41" t="s">
        <v>114</v>
      </c>
      <c r="D952" s="87">
        <v>1364</v>
      </c>
      <c r="E952" s="35">
        <v>44662</v>
      </c>
      <c r="F952" s="87">
        <v>1364</v>
      </c>
      <c r="G952" s="91">
        <f>Tabla15[[#This Row],[Importe]]-Tabla15[[#This Row],[Pagado]]</f>
        <v>0</v>
      </c>
      <c r="H952" s="92" t="s">
        <v>10</v>
      </c>
    </row>
    <row r="953" spans="1:8" ht="21.75" customHeight="1" x14ac:dyDescent="0.25">
      <c r="A953" s="35">
        <v>44660</v>
      </c>
      <c r="B953" s="90" t="s">
        <v>11565</v>
      </c>
      <c r="C953" s="41" t="s">
        <v>348</v>
      </c>
      <c r="D953" s="87">
        <v>3700</v>
      </c>
      <c r="E953" s="35">
        <v>44660</v>
      </c>
      <c r="F953" s="87">
        <v>3700</v>
      </c>
      <c r="G953" s="91">
        <f>Tabla15[[#This Row],[Importe]]-Tabla15[[#This Row],[Pagado]]</f>
        <v>0</v>
      </c>
      <c r="H953" s="92" t="s">
        <v>10</v>
      </c>
    </row>
    <row r="954" spans="1:8" ht="21.75" customHeight="1" x14ac:dyDescent="0.25">
      <c r="A954" s="35">
        <v>44660</v>
      </c>
      <c r="B954" s="90" t="s">
        <v>11566</v>
      </c>
      <c r="C954" s="41" t="s">
        <v>120</v>
      </c>
      <c r="D954" s="87">
        <v>4478.5</v>
      </c>
      <c r="E954" s="35">
        <v>44662</v>
      </c>
      <c r="F954" s="87">
        <v>4478.5</v>
      </c>
      <c r="G954" s="91">
        <f>Tabla15[[#This Row],[Importe]]-Tabla15[[#This Row],[Pagado]]</f>
        <v>0</v>
      </c>
      <c r="H954" s="92" t="s">
        <v>10</v>
      </c>
    </row>
    <row r="955" spans="1:8" ht="21.75" customHeight="1" x14ac:dyDescent="0.25">
      <c r="A955" s="35">
        <v>44660</v>
      </c>
      <c r="B955" s="90" t="s">
        <v>11567</v>
      </c>
      <c r="C955" s="41" t="s">
        <v>116</v>
      </c>
      <c r="D955" s="87">
        <v>4870.7</v>
      </c>
      <c r="E955" s="35">
        <v>44663</v>
      </c>
      <c r="F955" s="87">
        <v>4870.7</v>
      </c>
      <c r="G955" s="91">
        <f>Tabla15[[#This Row],[Importe]]-Tabla15[[#This Row],[Pagado]]</f>
        <v>0</v>
      </c>
      <c r="H955" s="92" t="s">
        <v>10</v>
      </c>
    </row>
    <row r="956" spans="1:8" ht="21.75" customHeight="1" x14ac:dyDescent="0.25">
      <c r="A956" s="35">
        <v>44660</v>
      </c>
      <c r="B956" s="90" t="s">
        <v>11568</v>
      </c>
      <c r="C956" s="41" t="s">
        <v>47</v>
      </c>
      <c r="D956" s="87">
        <v>31501.34</v>
      </c>
      <c r="E956" s="35">
        <v>44660</v>
      </c>
      <c r="F956" s="87">
        <v>31501.34</v>
      </c>
      <c r="G956" s="91">
        <f>Tabla15[[#This Row],[Importe]]-Tabla15[[#This Row],[Pagado]]</f>
        <v>0</v>
      </c>
      <c r="H956" s="92" t="s">
        <v>10</v>
      </c>
    </row>
    <row r="957" spans="1:8" ht="21.75" customHeight="1" x14ac:dyDescent="0.25">
      <c r="A957" s="35">
        <v>44660</v>
      </c>
      <c r="B957" s="90" t="s">
        <v>11569</v>
      </c>
      <c r="C957" s="41" t="s">
        <v>2563</v>
      </c>
      <c r="D957" s="87">
        <v>4526.2</v>
      </c>
      <c r="E957" s="35">
        <v>44660</v>
      </c>
      <c r="F957" s="87">
        <v>4526.2</v>
      </c>
      <c r="G957" s="91">
        <f>Tabla15[[#This Row],[Importe]]-Tabla15[[#This Row],[Pagado]]</f>
        <v>0</v>
      </c>
      <c r="H957" s="92" t="s">
        <v>10</v>
      </c>
    </row>
    <row r="958" spans="1:8" ht="21.75" customHeight="1" x14ac:dyDescent="0.25">
      <c r="A958" s="35">
        <v>44660</v>
      </c>
      <c r="B958" s="90" t="s">
        <v>11570</v>
      </c>
      <c r="C958" s="41" t="s">
        <v>111</v>
      </c>
      <c r="D958" s="87">
        <v>7996.8</v>
      </c>
      <c r="E958" s="35">
        <v>44662</v>
      </c>
      <c r="F958" s="87">
        <v>7996.8</v>
      </c>
      <c r="G958" s="91">
        <f>Tabla15[[#This Row],[Importe]]-Tabla15[[#This Row],[Pagado]]</f>
        <v>0</v>
      </c>
      <c r="H958" s="92" t="s">
        <v>10</v>
      </c>
    </row>
    <row r="959" spans="1:8" ht="21.75" customHeight="1" x14ac:dyDescent="0.25">
      <c r="A959" s="35">
        <v>44660</v>
      </c>
      <c r="B959" s="90" t="s">
        <v>11571</v>
      </c>
      <c r="C959" s="41" t="s">
        <v>27</v>
      </c>
      <c r="D959" s="87">
        <v>523.6</v>
      </c>
      <c r="E959" s="35">
        <v>44660</v>
      </c>
      <c r="F959" s="87">
        <v>523.6</v>
      </c>
      <c r="G959" s="91">
        <f>Tabla15[[#This Row],[Importe]]-Tabla15[[#This Row],[Pagado]]</f>
        <v>0</v>
      </c>
      <c r="H959" s="92" t="s">
        <v>10</v>
      </c>
    </row>
    <row r="960" spans="1:8" ht="31.5" x14ac:dyDescent="0.25">
      <c r="A960" s="35">
        <v>44660</v>
      </c>
      <c r="B960" s="90" t="s">
        <v>11572</v>
      </c>
      <c r="C960" s="41" t="s">
        <v>39</v>
      </c>
      <c r="D960" s="87">
        <v>33468.5</v>
      </c>
      <c r="E960" s="35" t="s">
        <v>11573</v>
      </c>
      <c r="F960" s="87">
        <f>10000+23468.5</f>
        <v>33468.5</v>
      </c>
      <c r="G960" s="91">
        <f>Tabla15[[#This Row],[Importe]]-Tabla15[[#This Row],[Pagado]]</f>
        <v>0</v>
      </c>
      <c r="H960" s="92" t="s">
        <v>10</v>
      </c>
    </row>
    <row r="961" spans="1:8" ht="21.75" customHeight="1" x14ac:dyDescent="0.25">
      <c r="A961" s="35">
        <v>44660</v>
      </c>
      <c r="B961" s="90" t="s">
        <v>11574</v>
      </c>
      <c r="C961" s="41" t="s">
        <v>64</v>
      </c>
      <c r="D961" s="87">
        <v>8595.5</v>
      </c>
      <c r="E961" s="35">
        <v>44662</v>
      </c>
      <c r="F961" s="87">
        <v>8595.5</v>
      </c>
      <c r="G961" s="91">
        <f>Tabla15[[#This Row],[Importe]]-Tabla15[[#This Row],[Pagado]]</f>
        <v>0</v>
      </c>
      <c r="H961" s="92" t="s">
        <v>10</v>
      </c>
    </row>
    <row r="962" spans="1:8" ht="21.75" customHeight="1" x14ac:dyDescent="0.25">
      <c r="A962" s="35">
        <v>44660</v>
      </c>
      <c r="B962" s="90" t="s">
        <v>11575</v>
      </c>
      <c r="C962" s="41" t="s">
        <v>135</v>
      </c>
      <c r="D962" s="87">
        <v>852.5</v>
      </c>
      <c r="E962" s="35">
        <v>44660</v>
      </c>
      <c r="F962" s="87">
        <v>852.5</v>
      </c>
      <c r="G962" s="91">
        <f>Tabla15[[#This Row],[Importe]]-Tabla15[[#This Row],[Pagado]]</f>
        <v>0</v>
      </c>
      <c r="H962" s="92" t="s">
        <v>10</v>
      </c>
    </row>
    <row r="963" spans="1:8" ht="31.5" x14ac:dyDescent="0.25">
      <c r="A963" s="35">
        <v>44660</v>
      </c>
      <c r="B963" s="90" t="s">
        <v>11576</v>
      </c>
      <c r="C963" s="41" t="s">
        <v>196</v>
      </c>
      <c r="D963" s="87">
        <v>10483.23</v>
      </c>
      <c r="E963" s="35">
        <v>44669</v>
      </c>
      <c r="F963" s="87">
        <v>10483.23</v>
      </c>
      <c r="G963" s="91">
        <f>Tabla15[[#This Row],[Importe]]-Tabla15[[#This Row],[Pagado]]</f>
        <v>0</v>
      </c>
      <c r="H963" s="92" t="s">
        <v>10</v>
      </c>
    </row>
    <row r="964" spans="1:8" ht="21.75" customHeight="1" x14ac:dyDescent="0.25">
      <c r="A964" s="35">
        <v>44660</v>
      </c>
      <c r="B964" s="90" t="s">
        <v>11577</v>
      </c>
      <c r="C964" s="41" t="s">
        <v>407</v>
      </c>
      <c r="D964" s="87">
        <v>23066</v>
      </c>
      <c r="E964" s="35">
        <v>44663</v>
      </c>
      <c r="F964" s="87">
        <v>23066</v>
      </c>
      <c r="G964" s="91">
        <f>Tabla15[[#This Row],[Importe]]-Tabla15[[#This Row],[Pagado]]</f>
        <v>0</v>
      </c>
      <c r="H964" s="92" t="s">
        <v>10</v>
      </c>
    </row>
    <row r="965" spans="1:8" ht="31.5" x14ac:dyDescent="0.25">
      <c r="A965" s="35">
        <v>44660</v>
      </c>
      <c r="B965" s="90" t="s">
        <v>11578</v>
      </c>
      <c r="C965" s="41" t="s">
        <v>196</v>
      </c>
      <c r="D965" s="87">
        <v>58975.89</v>
      </c>
      <c r="E965" s="35">
        <v>44669</v>
      </c>
      <c r="F965" s="87">
        <v>58975.89</v>
      </c>
      <c r="G965" s="91">
        <f>Tabla15[[#This Row],[Importe]]-Tabla15[[#This Row],[Pagado]]</f>
        <v>0</v>
      </c>
      <c r="H965" s="92" t="s">
        <v>10</v>
      </c>
    </row>
    <row r="966" spans="1:8" ht="21.75" customHeight="1" x14ac:dyDescent="0.25">
      <c r="A966" s="35">
        <v>44660</v>
      </c>
      <c r="B966" s="90" t="s">
        <v>11579</v>
      </c>
      <c r="C966" s="41" t="s">
        <v>16</v>
      </c>
      <c r="D966" s="87">
        <v>4916.1000000000004</v>
      </c>
      <c r="E966" s="35">
        <v>44660</v>
      </c>
      <c r="F966" s="87">
        <v>4916.1000000000004</v>
      </c>
      <c r="G966" s="91">
        <f>Tabla15[[#This Row],[Importe]]-Tabla15[[#This Row],[Pagado]]</f>
        <v>0</v>
      </c>
      <c r="H966" s="92" t="s">
        <v>10</v>
      </c>
    </row>
    <row r="967" spans="1:8" ht="21.75" customHeight="1" x14ac:dyDescent="0.25">
      <c r="A967" s="35">
        <v>44660</v>
      </c>
      <c r="B967" s="90" t="s">
        <v>11580</v>
      </c>
      <c r="C967" s="41" t="s">
        <v>1239</v>
      </c>
      <c r="D967" s="87">
        <v>7200</v>
      </c>
      <c r="E967" s="35">
        <v>44660</v>
      </c>
      <c r="F967" s="87">
        <v>7200</v>
      </c>
      <c r="G967" s="91">
        <f>Tabla15[[#This Row],[Importe]]-Tabla15[[#This Row],[Pagado]]</f>
        <v>0</v>
      </c>
      <c r="H967" s="92" t="s">
        <v>10</v>
      </c>
    </row>
    <row r="968" spans="1:8" ht="21.75" customHeight="1" x14ac:dyDescent="0.25">
      <c r="A968" s="35">
        <v>44660</v>
      </c>
      <c r="B968" s="90" t="s">
        <v>11581</v>
      </c>
      <c r="C968" s="41" t="s">
        <v>11582</v>
      </c>
      <c r="D968" s="87">
        <v>0</v>
      </c>
      <c r="E968" s="39" t="s">
        <v>189</v>
      </c>
      <c r="F968" s="87">
        <v>0</v>
      </c>
      <c r="G968" s="91">
        <f>Tabla15[[#This Row],[Importe]]-Tabla15[[#This Row],[Pagado]]</f>
        <v>0</v>
      </c>
      <c r="H968" s="92" t="s">
        <v>189</v>
      </c>
    </row>
    <row r="969" spans="1:8" ht="21.75" customHeight="1" x14ac:dyDescent="0.25">
      <c r="A969" s="35">
        <v>44660</v>
      </c>
      <c r="B969" s="90" t="s">
        <v>11583</v>
      </c>
      <c r="C969" s="41" t="s">
        <v>49</v>
      </c>
      <c r="D969" s="87">
        <v>3604.6</v>
      </c>
      <c r="E969" s="35">
        <v>44660</v>
      </c>
      <c r="F969" s="87">
        <v>3604.6</v>
      </c>
      <c r="G969" s="91">
        <f>Tabla15[[#This Row],[Importe]]-Tabla15[[#This Row],[Pagado]]</f>
        <v>0</v>
      </c>
      <c r="H969" s="92" t="s">
        <v>10</v>
      </c>
    </row>
    <row r="970" spans="1:8" ht="21.75" customHeight="1" x14ac:dyDescent="0.25">
      <c r="A970" s="35">
        <v>44660</v>
      </c>
      <c r="B970" s="90" t="s">
        <v>11584</v>
      </c>
      <c r="C970" s="41" t="s">
        <v>224</v>
      </c>
      <c r="D970" s="87">
        <v>2382.8000000000002</v>
      </c>
      <c r="E970" s="35">
        <v>44660</v>
      </c>
      <c r="F970" s="87">
        <v>2382.8000000000002</v>
      </c>
      <c r="G970" s="91">
        <f>Tabla15[[#This Row],[Importe]]-Tabla15[[#This Row],[Pagado]]</f>
        <v>0</v>
      </c>
      <c r="H970" s="92" t="s">
        <v>10</v>
      </c>
    </row>
    <row r="971" spans="1:8" ht="21.75" customHeight="1" x14ac:dyDescent="0.25">
      <c r="A971" s="35">
        <v>44660</v>
      </c>
      <c r="B971" s="90" t="s">
        <v>11585</v>
      </c>
      <c r="C971" s="41" t="s">
        <v>49</v>
      </c>
      <c r="D971" s="87">
        <v>8715.2000000000007</v>
      </c>
      <c r="E971" s="35">
        <v>44660</v>
      </c>
      <c r="F971" s="87">
        <v>8715.2000000000007</v>
      </c>
      <c r="G971" s="91">
        <f>Tabla15[[#This Row],[Importe]]-Tabla15[[#This Row],[Pagado]]</f>
        <v>0</v>
      </c>
      <c r="H971" s="92" t="s">
        <v>10</v>
      </c>
    </row>
    <row r="972" spans="1:8" ht="21.75" customHeight="1" x14ac:dyDescent="0.25">
      <c r="A972" s="35">
        <v>44660</v>
      </c>
      <c r="B972" s="90" t="s">
        <v>11586</v>
      </c>
      <c r="C972" s="41" t="s">
        <v>161</v>
      </c>
      <c r="D972" s="87">
        <v>4080.9</v>
      </c>
      <c r="E972" s="35">
        <v>44660</v>
      </c>
      <c r="F972" s="87">
        <v>4080.9</v>
      </c>
      <c r="G972" s="91">
        <f>Tabla15[[#This Row],[Importe]]-Tabla15[[#This Row],[Pagado]]</f>
        <v>0</v>
      </c>
      <c r="H972" s="92" t="s">
        <v>10</v>
      </c>
    </row>
    <row r="973" spans="1:8" ht="21.75" customHeight="1" x14ac:dyDescent="0.25">
      <c r="A973" s="35">
        <v>44660</v>
      </c>
      <c r="B973" s="90" t="s">
        <v>11587</v>
      </c>
      <c r="C973" s="41" t="s">
        <v>216</v>
      </c>
      <c r="D973" s="87">
        <v>1976</v>
      </c>
      <c r="E973" s="35">
        <v>44660</v>
      </c>
      <c r="F973" s="87">
        <v>1976</v>
      </c>
      <c r="G973" s="91">
        <f>Tabla15[[#This Row],[Importe]]-Tabla15[[#This Row],[Pagado]]</f>
        <v>0</v>
      </c>
      <c r="H973" s="92" t="s">
        <v>10</v>
      </c>
    </row>
    <row r="974" spans="1:8" ht="21.75" customHeight="1" x14ac:dyDescent="0.25">
      <c r="A974" s="35">
        <v>44660</v>
      </c>
      <c r="B974" s="90" t="s">
        <v>11588</v>
      </c>
      <c r="C974" s="41" t="s">
        <v>664</v>
      </c>
      <c r="D974" s="87">
        <v>2453.4</v>
      </c>
      <c r="E974" s="35">
        <v>44660</v>
      </c>
      <c r="F974" s="87">
        <v>2453.4</v>
      </c>
      <c r="G974" s="91">
        <f>Tabla15[[#This Row],[Importe]]-Tabla15[[#This Row],[Pagado]]</f>
        <v>0</v>
      </c>
      <c r="H974" s="92" t="s">
        <v>10</v>
      </c>
    </row>
    <row r="975" spans="1:8" ht="21.75" customHeight="1" x14ac:dyDescent="0.25">
      <c r="A975" s="35">
        <v>44660</v>
      </c>
      <c r="B975" s="90" t="s">
        <v>11589</v>
      </c>
      <c r="C975" s="41" t="s">
        <v>62</v>
      </c>
      <c r="D975" s="87">
        <v>3950.1</v>
      </c>
      <c r="E975" s="35">
        <v>44660</v>
      </c>
      <c r="F975" s="87">
        <v>3950.1</v>
      </c>
      <c r="G975" s="91">
        <f>Tabla15[[#This Row],[Importe]]-Tabla15[[#This Row],[Pagado]]</f>
        <v>0</v>
      </c>
      <c r="H975" s="92" t="s">
        <v>10</v>
      </c>
    </row>
    <row r="976" spans="1:8" ht="21.75" customHeight="1" x14ac:dyDescent="0.25">
      <c r="A976" s="35">
        <v>44660</v>
      </c>
      <c r="B976" s="90" t="s">
        <v>11590</v>
      </c>
      <c r="C976" s="41" t="s">
        <v>146</v>
      </c>
      <c r="D976" s="87">
        <v>5092.3999999999996</v>
      </c>
      <c r="E976" s="35">
        <v>44660</v>
      </c>
      <c r="F976" s="87">
        <v>5092.3999999999996</v>
      </c>
      <c r="G976" s="91">
        <f>Tabla15[[#This Row],[Importe]]-Tabla15[[#This Row],[Pagado]]</f>
        <v>0</v>
      </c>
      <c r="H976" s="92" t="s">
        <v>10</v>
      </c>
    </row>
    <row r="977" spans="1:8" ht="21.75" customHeight="1" x14ac:dyDescent="0.25">
      <c r="A977" s="35">
        <v>44660</v>
      </c>
      <c r="B977" s="90" t="s">
        <v>11591</v>
      </c>
      <c r="C977" s="41" t="s">
        <v>1362</v>
      </c>
      <c r="D977" s="87">
        <v>4708.5</v>
      </c>
      <c r="E977" s="35">
        <v>44660</v>
      </c>
      <c r="F977" s="87">
        <v>4708.5</v>
      </c>
      <c r="G977" s="91">
        <f>Tabla15[[#This Row],[Importe]]-Tabla15[[#This Row],[Pagado]]</f>
        <v>0</v>
      </c>
      <c r="H977" s="92" t="s">
        <v>10</v>
      </c>
    </row>
    <row r="978" spans="1:8" ht="21.75" customHeight="1" x14ac:dyDescent="0.25">
      <c r="A978" s="35">
        <v>44660</v>
      </c>
      <c r="B978" s="90" t="s">
        <v>11592</v>
      </c>
      <c r="C978" s="41" t="s">
        <v>140</v>
      </c>
      <c r="D978" s="87">
        <v>4593.3999999999996</v>
      </c>
      <c r="E978" s="35">
        <v>44660</v>
      </c>
      <c r="F978" s="87">
        <v>4593.3999999999996</v>
      </c>
      <c r="G978" s="91">
        <f>Tabla15[[#This Row],[Importe]]-Tabla15[[#This Row],[Pagado]]</f>
        <v>0</v>
      </c>
      <c r="H978" s="92" t="s">
        <v>10</v>
      </c>
    </row>
    <row r="979" spans="1:8" ht="21.75" customHeight="1" x14ac:dyDescent="0.25">
      <c r="A979" s="35">
        <v>44660</v>
      </c>
      <c r="B979" s="90" t="s">
        <v>11593</v>
      </c>
      <c r="C979" s="41" t="s">
        <v>151</v>
      </c>
      <c r="D979" s="87">
        <v>3665.2</v>
      </c>
      <c r="E979" s="35">
        <v>44661</v>
      </c>
      <c r="F979" s="87">
        <v>3665.2</v>
      </c>
      <c r="G979" s="91">
        <f>Tabla15[[#This Row],[Importe]]-Tabla15[[#This Row],[Pagado]]</f>
        <v>0</v>
      </c>
      <c r="H979" s="92" t="s">
        <v>10</v>
      </c>
    </row>
    <row r="980" spans="1:8" ht="21.75" customHeight="1" x14ac:dyDescent="0.25">
      <c r="A980" s="35">
        <v>44660</v>
      </c>
      <c r="B980" s="90" t="s">
        <v>11594</v>
      </c>
      <c r="C980" s="41" t="s">
        <v>29</v>
      </c>
      <c r="D980" s="87">
        <v>7808.4</v>
      </c>
      <c r="E980" s="35">
        <v>44660</v>
      </c>
      <c r="F980" s="87">
        <v>7808.4</v>
      </c>
      <c r="G980" s="91">
        <f>Tabla15[[#This Row],[Importe]]-Tabla15[[#This Row],[Pagado]]</f>
        <v>0</v>
      </c>
      <c r="H980" s="92" t="s">
        <v>10</v>
      </c>
    </row>
    <row r="981" spans="1:8" ht="21.75" customHeight="1" x14ac:dyDescent="0.25">
      <c r="A981" s="35">
        <v>44660</v>
      </c>
      <c r="B981" s="90" t="s">
        <v>11595</v>
      </c>
      <c r="C981" s="41" t="s">
        <v>31</v>
      </c>
      <c r="D981" s="87">
        <v>1021.3</v>
      </c>
      <c r="E981" s="35">
        <v>44660</v>
      </c>
      <c r="F981" s="87">
        <v>1021.3</v>
      </c>
      <c r="G981" s="91">
        <f>Tabla15[[#This Row],[Importe]]-Tabla15[[#This Row],[Pagado]]</f>
        <v>0</v>
      </c>
      <c r="H981" s="92" t="s">
        <v>10</v>
      </c>
    </row>
    <row r="982" spans="1:8" ht="21.75" customHeight="1" x14ac:dyDescent="0.25">
      <c r="A982" s="35">
        <v>44660</v>
      </c>
      <c r="B982" s="90" t="s">
        <v>11596</v>
      </c>
      <c r="C982" s="41" t="s">
        <v>79</v>
      </c>
      <c r="D982" s="87">
        <v>15001.2</v>
      </c>
      <c r="E982" s="35">
        <v>44661</v>
      </c>
      <c r="F982" s="87">
        <v>15001.2</v>
      </c>
      <c r="G982" s="91">
        <f>Tabla15[[#This Row],[Importe]]-Tabla15[[#This Row],[Pagado]]</f>
        <v>0</v>
      </c>
      <c r="H982" s="92" t="s">
        <v>10</v>
      </c>
    </row>
    <row r="983" spans="1:8" ht="21.75" customHeight="1" x14ac:dyDescent="0.25">
      <c r="A983" s="35">
        <v>44660</v>
      </c>
      <c r="B983" s="90" t="s">
        <v>11597</v>
      </c>
      <c r="C983" s="41" t="s">
        <v>142</v>
      </c>
      <c r="D983" s="87">
        <v>67001.67</v>
      </c>
      <c r="E983" s="35">
        <v>44706</v>
      </c>
      <c r="F983" s="87">
        <v>67001.67</v>
      </c>
      <c r="G983" s="91">
        <f>Tabla15[[#This Row],[Importe]]-Tabla15[[#This Row],[Pagado]]</f>
        <v>0</v>
      </c>
      <c r="H983" s="92" t="s">
        <v>10</v>
      </c>
    </row>
    <row r="984" spans="1:8" ht="21.75" customHeight="1" x14ac:dyDescent="0.25">
      <c r="A984" s="35">
        <v>44660</v>
      </c>
      <c r="B984" s="90" t="s">
        <v>11598</v>
      </c>
      <c r="C984" s="41" t="s">
        <v>127</v>
      </c>
      <c r="D984" s="87">
        <v>4398.3</v>
      </c>
      <c r="E984" s="35">
        <v>44660</v>
      </c>
      <c r="F984" s="87">
        <v>4398.3</v>
      </c>
      <c r="G984" s="91">
        <f>Tabla15[[#This Row],[Importe]]-Tabla15[[#This Row],[Pagado]]</f>
        <v>0</v>
      </c>
      <c r="H984" s="92" t="s">
        <v>10</v>
      </c>
    </row>
    <row r="985" spans="1:8" ht="21.75" customHeight="1" x14ac:dyDescent="0.25">
      <c r="A985" s="35">
        <v>44660</v>
      </c>
      <c r="B985" s="90" t="s">
        <v>11599</v>
      </c>
      <c r="C985" s="41" t="s">
        <v>918</v>
      </c>
      <c r="D985" s="87">
        <v>5057.6000000000004</v>
      </c>
      <c r="E985" s="35">
        <v>44660</v>
      </c>
      <c r="F985" s="87">
        <v>5057.6000000000004</v>
      </c>
      <c r="G985" s="91">
        <f>Tabla15[[#This Row],[Importe]]-Tabla15[[#This Row],[Pagado]]</f>
        <v>0</v>
      </c>
      <c r="H985" s="92" t="s">
        <v>10</v>
      </c>
    </row>
    <row r="986" spans="1:8" ht="21.75" customHeight="1" x14ac:dyDescent="0.25">
      <c r="A986" s="35">
        <v>44660</v>
      </c>
      <c r="B986" s="90" t="s">
        <v>11600</v>
      </c>
      <c r="C986" s="41" t="s">
        <v>373</v>
      </c>
      <c r="D986" s="87">
        <v>448.2</v>
      </c>
      <c r="E986" s="35">
        <v>44660</v>
      </c>
      <c r="F986" s="87">
        <v>448.2</v>
      </c>
      <c r="G986" s="91">
        <f>Tabla15[[#This Row],[Importe]]-Tabla15[[#This Row],[Pagado]]</f>
        <v>0</v>
      </c>
      <c r="H986" s="92" t="s">
        <v>10</v>
      </c>
    </row>
    <row r="987" spans="1:8" ht="21.75" customHeight="1" x14ac:dyDescent="0.25">
      <c r="A987" s="35">
        <v>44660</v>
      </c>
      <c r="B987" s="90" t="s">
        <v>11601</v>
      </c>
      <c r="C987" s="41" t="s">
        <v>11602</v>
      </c>
      <c r="D987" s="87">
        <v>0</v>
      </c>
      <c r="E987" s="39" t="s">
        <v>189</v>
      </c>
      <c r="F987" s="87">
        <v>0</v>
      </c>
      <c r="G987" s="91">
        <f>Tabla15[[#This Row],[Importe]]-Tabla15[[#This Row],[Pagado]]</f>
        <v>0</v>
      </c>
      <c r="H987" s="92" t="s">
        <v>189</v>
      </c>
    </row>
    <row r="988" spans="1:8" ht="21.75" customHeight="1" x14ac:dyDescent="0.25">
      <c r="A988" s="35">
        <v>44660</v>
      </c>
      <c r="B988" s="90" t="s">
        <v>11603</v>
      </c>
      <c r="C988" s="41" t="s">
        <v>129</v>
      </c>
      <c r="D988" s="87">
        <v>3592.6</v>
      </c>
      <c r="E988" s="35">
        <v>44660</v>
      </c>
      <c r="F988" s="87">
        <v>3592.6</v>
      </c>
      <c r="G988" s="91">
        <f>Tabla15[[#This Row],[Importe]]-Tabla15[[#This Row],[Pagado]]</f>
        <v>0</v>
      </c>
      <c r="H988" s="92" t="s">
        <v>10</v>
      </c>
    </row>
    <row r="989" spans="1:8" ht="21.75" customHeight="1" x14ac:dyDescent="0.25">
      <c r="A989" s="35">
        <v>44660</v>
      </c>
      <c r="B989" s="90" t="s">
        <v>11604</v>
      </c>
      <c r="C989" s="41" t="s">
        <v>79</v>
      </c>
      <c r="D989" s="87">
        <v>4460.3999999999996</v>
      </c>
      <c r="E989" s="35">
        <v>44661</v>
      </c>
      <c r="F989" s="87">
        <v>4460.3999999999996</v>
      </c>
      <c r="G989" s="91">
        <f>Tabla15[[#This Row],[Importe]]-Tabla15[[#This Row],[Pagado]]</f>
        <v>0</v>
      </c>
      <c r="H989" s="92" t="s">
        <v>10</v>
      </c>
    </row>
    <row r="990" spans="1:8" ht="21.75" customHeight="1" x14ac:dyDescent="0.25">
      <c r="A990" s="35">
        <v>44660</v>
      </c>
      <c r="B990" s="90" t="s">
        <v>11605</v>
      </c>
      <c r="C990" s="41" t="s">
        <v>314</v>
      </c>
      <c r="D990" s="87">
        <v>4449.6000000000004</v>
      </c>
      <c r="E990" s="35">
        <v>44660</v>
      </c>
      <c r="F990" s="87">
        <v>4449.6000000000004</v>
      </c>
      <c r="G990" s="91">
        <f>Tabla15[[#This Row],[Importe]]-Tabla15[[#This Row],[Pagado]]</f>
        <v>0</v>
      </c>
      <c r="H990" s="92" t="s">
        <v>10</v>
      </c>
    </row>
    <row r="991" spans="1:8" ht="21.75" customHeight="1" x14ac:dyDescent="0.25">
      <c r="A991" s="35">
        <v>44660</v>
      </c>
      <c r="B991" s="90" t="s">
        <v>11606</v>
      </c>
      <c r="C991" s="41" t="s">
        <v>45</v>
      </c>
      <c r="D991" s="87">
        <v>10832.2</v>
      </c>
      <c r="E991" s="35">
        <v>44660</v>
      </c>
      <c r="F991" s="87">
        <v>10832.2</v>
      </c>
      <c r="G991" s="91">
        <f>Tabla15[[#This Row],[Importe]]-Tabla15[[#This Row],[Pagado]]</f>
        <v>0</v>
      </c>
      <c r="H991" s="92" t="s">
        <v>10</v>
      </c>
    </row>
    <row r="992" spans="1:8" ht="21.75" customHeight="1" x14ac:dyDescent="0.25">
      <c r="A992" s="35">
        <v>44660</v>
      </c>
      <c r="B992" s="90" t="s">
        <v>11607</v>
      </c>
      <c r="C992" s="41" t="s">
        <v>87</v>
      </c>
      <c r="D992" s="87">
        <v>2982.8</v>
      </c>
      <c r="E992" s="35">
        <v>44660</v>
      </c>
      <c r="F992" s="87">
        <v>2982.8</v>
      </c>
      <c r="G992" s="91">
        <f>Tabla15[[#This Row],[Importe]]-Tabla15[[#This Row],[Pagado]]</f>
        <v>0</v>
      </c>
      <c r="H992" s="92" t="s">
        <v>10</v>
      </c>
    </row>
    <row r="993" spans="1:8" ht="21.75" customHeight="1" x14ac:dyDescent="0.25">
      <c r="A993" s="35">
        <v>44660</v>
      </c>
      <c r="B993" s="90" t="s">
        <v>11608</v>
      </c>
      <c r="C993" s="41" t="s">
        <v>230</v>
      </c>
      <c r="D993" s="87">
        <v>2775.9</v>
      </c>
      <c r="E993" s="35">
        <v>44660</v>
      </c>
      <c r="F993" s="87">
        <v>2775.9</v>
      </c>
      <c r="G993" s="91">
        <f>Tabla15[[#This Row],[Importe]]-Tabla15[[#This Row],[Pagado]]</f>
        <v>0</v>
      </c>
      <c r="H993" s="92" t="s">
        <v>10</v>
      </c>
    </row>
    <row r="994" spans="1:8" ht="21.75" customHeight="1" x14ac:dyDescent="0.25">
      <c r="A994" s="35">
        <v>44660</v>
      </c>
      <c r="B994" s="90" t="s">
        <v>11609</v>
      </c>
      <c r="C994" s="41" t="s">
        <v>157</v>
      </c>
      <c r="D994" s="87">
        <v>4678.8</v>
      </c>
      <c r="E994" s="35">
        <v>44661</v>
      </c>
      <c r="F994" s="87">
        <v>4678.8</v>
      </c>
      <c r="G994" s="91">
        <f>Tabla15[[#This Row],[Importe]]-Tabla15[[#This Row],[Pagado]]</f>
        <v>0</v>
      </c>
      <c r="H994" s="92" t="s">
        <v>10</v>
      </c>
    </row>
    <row r="995" spans="1:8" ht="21.75" customHeight="1" x14ac:dyDescent="0.25">
      <c r="A995" s="35">
        <v>44660</v>
      </c>
      <c r="B995" s="90" t="s">
        <v>11610</v>
      </c>
      <c r="C995" s="41" t="s">
        <v>10678</v>
      </c>
      <c r="D995" s="87">
        <v>1339.8</v>
      </c>
      <c r="E995" s="35">
        <v>44660</v>
      </c>
      <c r="F995" s="87">
        <v>1339.8</v>
      </c>
      <c r="G995" s="91">
        <f>Tabla15[[#This Row],[Importe]]-Tabla15[[#This Row],[Pagado]]</f>
        <v>0</v>
      </c>
      <c r="H995" s="92" t="s">
        <v>10</v>
      </c>
    </row>
    <row r="996" spans="1:8" ht="21.75" customHeight="1" x14ac:dyDescent="0.25">
      <c r="A996" s="35">
        <v>44660</v>
      </c>
      <c r="B996" s="90" t="s">
        <v>11611</v>
      </c>
      <c r="C996" s="41" t="s">
        <v>159</v>
      </c>
      <c r="D996" s="87">
        <v>1368</v>
      </c>
      <c r="E996" s="35">
        <v>44661</v>
      </c>
      <c r="F996" s="87">
        <v>1368</v>
      </c>
      <c r="G996" s="91">
        <f>Tabla15[[#This Row],[Importe]]-Tabla15[[#This Row],[Pagado]]</f>
        <v>0</v>
      </c>
      <c r="H996" s="92" t="s">
        <v>10</v>
      </c>
    </row>
    <row r="997" spans="1:8" ht="21.75" customHeight="1" x14ac:dyDescent="0.25">
      <c r="A997" s="35">
        <v>44660</v>
      </c>
      <c r="B997" s="90" t="s">
        <v>11612</v>
      </c>
      <c r="C997" s="41" t="s">
        <v>520</v>
      </c>
      <c r="D997" s="87">
        <v>7391</v>
      </c>
      <c r="E997" s="35">
        <v>44661</v>
      </c>
      <c r="F997" s="87">
        <v>7391</v>
      </c>
      <c r="G997" s="91">
        <f>Tabla15[[#This Row],[Importe]]-Tabla15[[#This Row],[Pagado]]</f>
        <v>0</v>
      </c>
      <c r="H997" s="92" t="s">
        <v>10</v>
      </c>
    </row>
    <row r="998" spans="1:8" ht="21.75" customHeight="1" x14ac:dyDescent="0.25">
      <c r="A998" s="35">
        <v>44660</v>
      </c>
      <c r="B998" s="90" t="s">
        <v>11613</v>
      </c>
      <c r="C998" s="41" t="s">
        <v>319</v>
      </c>
      <c r="D998" s="87">
        <v>10873.98</v>
      </c>
      <c r="E998" s="35">
        <v>44661</v>
      </c>
      <c r="F998" s="87">
        <v>10873.98</v>
      </c>
      <c r="G998" s="91">
        <f>Tabla15[[#This Row],[Importe]]-Tabla15[[#This Row],[Pagado]]</f>
        <v>0</v>
      </c>
      <c r="H998" s="92" t="s">
        <v>10</v>
      </c>
    </row>
    <row r="999" spans="1:8" ht="21.75" customHeight="1" x14ac:dyDescent="0.25">
      <c r="A999" s="35">
        <v>44660</v>
      </c>
      <c r="B999" s="90" t="s">
        <v>11614</v>
      </c>
      <c r="C999" s="41" t="s">
        <v>555</v>
      </c>
      <c r="D999" s="87">
        <v>27500</v>
      </c>
      <c r="E999" s="35">
        <v>44661</v>
      </c>
      <c r="F999" s="87">
        <v>27500</v>
      </c>
      <c r="G999" s="91">
        <f>Tabla15[[#This Row],[Importe]]-Tabla15[[#This Row],[Pagado]]</f>
        <v>0</v>
      </c>
      <c r="H999" s="92" t="s">
        <v>10</v>
      </c>
    </row>
    <row r="1000" spans="1:8" ht="21.75" customHeight="1" x14ac:dyDescent="0.25">
      <c r="A1000" s="35">
        <v>44660</v>
      </c>
      <c r="B1000" s="90" t="s">
        <v>11615</v>
      </c>
      <c r="C1000" s="41" t="s">
        <v>85</v>
      </c>
      <c r="D1000" s="87">
        <v>5615.6</v>
      </c>
      <c r="E1000" s="35">
        <v>44660</v>
      </c>
      <c r="F1000" s="87">
        <v>5615.6</v>
      </c>
      <c r="G1000" s="91">
        <f>Tabla15[[#This Row],[Importe]]-Tabla15[[#This Row],[Pagado]]</f>
        <v>0</v>
      </c>
      <c r="H1000" s="92" t="s">
        <v>10</v>
      </c>
    </row>
    <row r="1001" spans="1:8" ht="21.75" customHeight="1" x14ac:dyDescent="0.25">
      <c r="A1001" s="35">
        <v>44660</v>
      </c>
      <c r="B1001" s="90" t="s">
        <v>11616</v>
      </c>
      <c r="C1001" s="41" t="s">
        <v>698</v>
      </c>
      <c r="D1001" s="87">
        <v>4762.8</v>
      </c>
      <c r="E1001" s="35">
        <v>44660</v>
      </c>
      <c r="F1001" s="87">
        <v>4762.8</v>
      </c>
      <c r="G1001" s="91">
        <f>Tabla15[[#This Row],[Importe]]-Tabla15[[#This Row],[Pagado]]</f>
        <v>0</v>
      </c>
      <c r="H1001" s="92" t="s">
        <v>10</v>
      </c>
    </row>
    <row r="1002" spans="1:8" ht="21.75" customHeight="1" x14ac:dyDescent="0.25">
      <c r="A1002" s="35">
        <v>44660</v>
      </c>
      <c r="B1002" s="90" t="s">
        <v>11617</v>
      </c>
      <c r="C1002" s="41" t="s">
        <v>181</v>
      </c>
      <c r="D1002" s="87">
        <v>15277.8</v>
      </c>
      <c r="E1002" s="35">
        <v>44660</v>
      </c>
      <c r="F1002" s="87">
        <v>15277.8</v>
      </c>
      <c r="G1002" s="91">
        <f>Tabla15[[#This Row],[Importe]]-Tabla15[[#This Row],[Pagado]]</f>
        <v>0</v>
      </c>
      <c r="H1002" s="92" t="s">
        <v>10</v>
      </c>
    </row>
    <row r="1003" spans="1:8" ht="21.75" customHeight="1" x14ac:dyDescent="0.25">
      <c r="A1003" s="35">
        <v>44660</v>
      </c>
      <c r="B1003" s="90" t="s">
        <v>11618</v>
      </c>
      <c r="C1003" s="41" t="s">
        <v>191</v>
      </c>
      <c r="D1003" s="87">
        <v>1886.9</v>
      </c>
      <c r="E1003" s="35">
        <v>44660</v>
      </c>
      <c r="F1003" s="87">
        <v>1886.9</v>
      </c>
      <c r="G1003" s="91">
        <f>Tabla15[[#This Row],[Importe]]-Tabla15[[#This Row],[Pagado]]</f>
        <v>0</v>
      </c>
      <c r="H1003" s="92" t="s">
        <v>10</v>
      </c>
    </row>
    <row r="1004" spans="1:8" ht="31.5" x14ac:dyDescent="0.25">
      <c r="A1004" s="35">
        <v>44660</v>
      </c>
      <c r="B1004" s="90" t="s">
        <v>11619</v>
      </c>
      <c r="C1004" s="41" t="s">
        <v>196</v>
      </c>
      <c r="D1004" s="87">
        <v>8687</v>
      </c>
      <c r="E1004" s="35">
        <v>44669</v>
      </c>
      <c r="F1004" s="87">
        <v>8687</v>
      </c>
      <c r="G1004" s="91">
        <f>Tabla15[[#This Row],[Importe]]-Tabla15[[#This Row],[Pagado]]</f>
        <v>0</v>
      </c>
      <c r="H1004" s="92" t="s">
        <v>10</v>
      </c>
    </row>
    <row r="1005" spans="1:8" ht="21.75" customHeight="1" x14ac:dyDescent="0.25">
      <c r="A1005" s="35">
        <v>44660</v>
      </c>
      <c r="B1005" s="90" t="s">
        <v>11620</v>
      </c>
      <c r="C1005" s="41" t="s">
        <v>183</v>
      </c>
      <c r="D1005" s="87">
        <v>628.79999999999995</v>
      </c>
      <c r="E1005" s="35">
        <v>44661</v>
      </c>
      <c r="F1005" s="87">
        <v>628.79999999999995</v>
      </c>
      <c r="G1005" s="91">
        <f>Tabla15[[#This Row],[Importe]]-Tabla15[[#This Row],[Pagado]]</f>
        <v>0</v>
      </c>
      <c r="H1005" s="92" t="s">
        <v>10</v>
      </c>
    </row>
    <row r="1006" spans="1:8" ht="21.75" customHeight="1" x14ac:dyDescent="0.25">
      <c r="A1006" s="35">
        <v>44660</v>
      </c>
      <c r="B1006" s="90" t="s">
        <v>11621</v>
      </c>
      <c r="C1006" s="41" t="s">
        <v>518</v>
      </c>
      <c r="D1006" s="87">
        <v>1571.4</v>
      </c>
      <c r="E1006" s="35">
        <v>44661</v>
      </c>
      <c r="F1006" s="87">
        <v>1571.4</v>
      </c>
      <c r="G1006" s="91">
        <f>Tabla15[[#This Row],[Importe]]-Tabla15[[#This Row],[Pagado]]</f>
        <v>0</v>
      </c>
      <c r="H1006" s="92" t="s">
        <v>10</v>
      </c>
    </row>
    <row r="1007" spans="1:8" ht="31.5" x14ac:dyDescent="0.25">
      <c r="A1007" s="35">
        <v>44660</v>
      </c>
      <c r="B1007" s="90" t="s">
        <v>11622</v>
      </c>
      <c r="C1007" s="41" t="s">
        <v>966</v>
      </c>
      <c r="D1007" s="87">
        <v>18802.8</v>
      </c>
      <c r="E1007" s="35" t="s">
        <v>11431</v>
      </c>
      <c r="F1007" s="87">
        <f>9450+9352.8</f>
        <v>18802.8</v>
      </c>
      <c r="G1007" s="91">
        <f>Tabla15[[#This Row],[Importe]]-Tabla15[[#This Row],[Pagado]]</f>
        <v>0</v>
      </c>
      <c r="H1007" s="92" t="s">
        <v>10</v>
      </c>
    </row>
    <row r="1008" spans="1:8" ht="31.5" x14ac:dyDescent="0.25">
      <c r="A1008" s="35">
        <v>44660</v>
      </c>
      <c r="B1008" s="90" t="s">
        <v>11623</v>
      </c>
      <c r="C1008" s="41" t="s">
        <v>11624</v>
      </c>
      <c r="D1008" s="87">
        <v>0</v>
      </c>
      <c r="E1008" s="39" t="s">
        <v>189</v>
      </c>
      <c r="F1008" s="87">
        <v>0</v>
      </c>
      <c r="G1008" s="91">
        <f>Tabla15[[#This Row],[Importe]]-Tabla15[[#This Row],[Pagado]]</f>
        <v>0</v>
      </c>
      <c r="H1008" s="92" t="s">
        <v>189</v>
      </c>
    </row>
    <row r="1009" spans="1:8" ht="21.75" customHeight="1" x14ac:dyDescent="0.25">
      <c r="A1009" s="35">
        <v>44660</v>
      </c>
      <c r="B1009" s="90" t="s">
        <v>11625</v>
      </c>
      <c r="C1009" s="41" t="s">
        <v>24</v>
      </c>
      <c r="D1009" s="87">
        <v>3129.6</v>
      </c>
      <c r="E1009" s="35">
        <v>44660</v>
      </c>
      <c r="F1009" s="87">
        <v>3129.6</v>
      </c>
      <c r="G1009" s="91">
        <f>Tabla15[[#This Row],[Importe]]-Tabla15[[#This Row],[Pagado]]</f>
        <v>0</v>
      </c>
      <c r="H1009" s="92" t="s">
        <v>10</v>
      </c>
    </row>
    <row r="1010" spans="1:8" ht="21.75" customHeight="1" x14ac:dyDescent="0.25">
      <c r="A1010" s="35">
        <v>44660</v>
      </c>
      <c r="B1010" s="90" t="s">
        <v>11626</v>
      </c>
      <c r="C1010" s="41" t="s">
        <v>233</v>
      </c>
      <c r="D1010" s="87">
        <v>5022</v>
      </c>
      <c r="E1010" s="35">
        <v>44660</v>
      </c>
      <c r="F1010" s="87">
        <v>5022</v>
      </c>
      <c r="G1010" s="91">
        <f>Tabla15[[#This Row],[Importe]]-Tabla15[[#This Row],[Pagado]]</f>
        <v>0</v>
      </c>
      <c r="H1010" s="92" t="s">
        <v>10</v>
      </c>
    </row>
    <row r="1011" spans="1:8" ht="21.75" customHeight="1" x14ac:dyDescent="0.25">
      <c r="A1011" s="35">
        <v>44660</v>
      </c>
      <c r="B1011" s="90" t="s">
        <v>11627</v>
      </c>
      <c r="C1011" s="41" t="s">
        <v>200</v>
      </c>
      <c r="D1011" s="87">
        <v>1819.8</v>
      </c>
      <c r="E1011" s="35">
        <v>44660</v>
      </c>
      <c r="F1011" s="87">
        <v>1819.8</v>
      </c>
      <c r="G1011" s="91">
        <f>Tabla15[[#This Row],[Importe]]-Tabla15[[#This Row],[Pagado]]</f>
        <v>0</v>
      </c>
      <c r="H1011" s="92" t="s">
        <v>10</v>
      </c>
    </row>
    <row r="1012" spans="1:8" ht="21.75" customHeight="1" x14ac:dyDescent="0.25">
      <c r="A1012" s="35">
        <v>44660</v>
      </c>
      <c r="B1012" s="90" t="s">
        <v>11628</v>
      </c>
      <c r="C1012" s="41" t="s">
        <v>24</v>
      </c>
      <c r="D1012" s="87">
        <v>392</v>
      </c>
      <c r="E1012" s="35">
        <v>44660</v>
      </c>
      <c r="F1012" s="87">
        <v>392</v>
      </c>
      <c r="G1012" s="91">
        <f>Tabla15[[#This Row],[Importe]]-Tabla15[[#This Row],[Pagado]]</f>
        <v>0</v>
      </c>
      <c r="H1012" s="92" t="s">
        <v>10</v>
      </c>
    </row>
    <row r="1013" spans="1:8" ht="21.75" customHeight="1" x14ac:dyDescent="0.25">
      <c r="A1013" s="35">
        <v>44660</v>
      </c>
      <c r="B1013" s="90" t="s">
        <v>11629</v>
      </c>
      <c r="C1013" s="41" t="s">
        <v>233</v>
      </c>
      <c r="D1013" s="87">
        <v>160</v>
      </c>
      <c r="E1013" s="35">
        <v>44660</v>
      </c>
      <c r="F1013" s="87">
        <v>160</v>
      </c>
      <c r="G1013" s="91">
        <f>Tabla15[[#This Row],[Importe]]-Tabla15[[#This Row],[Pagado]]</f>
        <v>0</v>
      </c>
      <c r="H1013" s="92" t="s">
        <v>10</v>
      </c>
    </row>
    <row r="1014" spans="1:8" ht="21.75" customHeight="1" x14ac:dyDescent="0.25">
      <c r="A1014" s="35">
        <v>44660</v>
      </c>
      <c r="B1014" s="90" t="s">
        <v>11630</v>
      </c>
      <c r="C1014" s="41" t="s">
        <v>275</v>
      </c>
      <c r="D1014" s="87">
        <v>127120.62</v>
      </c>
      <c r="E1014" s="35">
        <v>44670</v>
      </c>
      <c r="F1014" s="87">
        <v>127120.62</v>
      </c>
      <c r="G1014" s="91">
        <f>Tabla15[[#This Row],[Importe]]-Tabla15[[#This Row],[Pagado]]</f>
        <v>0</v>
      </c>
      <c r="H1014" s="92" t="s">
        <v>10</v>
      </c>
    </row>
    <row r="1015" spans="1:8" ht="21.75" customHeight="1" x14ac:dyDescent="0.25">
      <c r="A1015" s="35">
        <v>44660</v>
      </c>
      <c r="B1015" s="90" t="s">
        <v>11631</v>
      </c>
      <c r="C1015" s="41" t="s">
        <v>359</v>
      </c>
      <c r="D1015" s="87">
        <v>1055</v>
      </c>
      <c r="E1015" s="35">
        <v>44660</v>
      </c>
      <c r="F1015" s="87">
        <v>1055</v>
      </c>
      <c r="G1015" s="91">
        <f>Tabla15[[#This Row],[Importe]]-Tabla15[[#This Row],[Pagado]]</f>
        <v>0</v>
      </c>
      <c r="H1015" s="92" t="s">
        <v>10</v>
      </c>
    </row>
    <row r="1016" spans="1:8" ht="21.75" customHeight="1" x14ac:dyDescent="0.25">
      <c r="A1016" s="35">
        <v>44660</v>
      </c>
      <c r="B1016" s="90" t="s">
        <v>11632</v>
      </c>
      <c r="C1016" s="41" t="s">
        <v>419</v>
      </c>
      <c r="D1016" s="87">
        <v>3910.5</v>
      </c>
      <c r="E1016" s="35">
        <v>44660</v>
      </c>
      <c r="F1016" s="87">
        <v>3910.5</v>
      </c>
      <c r="G1016" s="91">
        <f>Tabla15[[#This Row],[Importe]]-Tabla15[[#This Row],[Pagado]]</f>
        <v>0</v>
      </c>
      <c r="H1016" s="92" t="s">
        <v>10</v>
      </c>
    </row>
    <row r="1017" spans="1:8" ht="21.75" customHeight="1" x14ac:dyDescent="0.25">
      <c r="A1017" s="35">
        <v>44660</v>
      </c>
      <c r="B1017" s="90" t="s">
        <v>11633</v>
      </c>
      <c r="C1017" s="41" t="s">
        <v>107</v>
      </c>
      <c r="D1017" s="87">
        <v>20875.3</v>
      </c>
      <c r="E1017" s="35">
        <v>44660</v>
      </c>
      <c r="F1017" s="87">
        <v>20875.3</v>
      </c>
      <c r="G1017" s="91">
        <f>Tabla15[[#This Row],[Importe]]-Tabla15[[#This Row],[Pagado]]</f>
        <v>0</v>
      </c>
      <c r="H1017" s="92" t="s">
        <v>10</v>
      </c>
    </row>
    <row r="1018" spans="1:8" ht="21.75" customHeight="1" x14ac:dyDescent="0.25">
      <c r="A1018" s="35">
        <v>44660</v>
      </c>
      <c r="B1018" s="90" t="s">
        <v>11634</v>
      </c>
      <c r="C1018" s="41" t="s">
        <v>179</v>
      </c>
      <c r="D1018" s="87">
        <v>1836</v>
      </c>
      <c r="E1018" s="35">
        <v>44660</v>
      </c>
      <c r="F1018" s="87">
        <v>1836</v>
      </c>
      <c r="G1018" s="91">
        <f>Tabla15[[#This Row],[Importe]]-Tabla15[[#This Row],[Pagado]]</f>
        <v>0</v>
      </c>
      <c r="H1018" s="92" t="s">
        <v>10</v>
      </c>
    </row>
    <row r="1019" spans="1:8" ht="21.75" customHeight="1" x14ac:dyDescent="0.25">
      <c r="A1019" s="35">
        <v>44660</v>
      </c>
      <c r="B1019" s="90" t="s">
        <v>11635</v>
      </c>
      <c r="C1019" s="41" t="s">
        <v>64</v>
      </c>
      <c r="D1019" s="87">
        <v>3263.5</v>
      </c>
      <c r="E1019" s="35">
        <v>44660</v>
      </c>
      <c r="F1019" s="87">
        <v>3263.5</v>
      </c>
      <c r="G1019" s="91">
        <f>Tabla15[[#This Row],[Importe]]-Tabla15[[#This Row],[Pagado]]</f>
        <v>0</v>
      </c>
      <c r="H1019" s="92" t="s">
        <v>10</v>
      </c>
    </row>
    <row r="1020" spans="1:8" ht="21.75" customHeight="1" x14ac:dyDescent="0.25">
      <c r="A1020" s="35">
        <v>44660</v>
      </c>
      <c r="B1020" s="90" t="s">
        <v>11636</v>
      </c>
      <c r="C1020" s="41" t="s">
        <v>58</v>
      </c>
      <c r="D1020" s="87">
        <v>2696</v>
      </c>
      <c r="E1020" s="35">
        <v>44660</v>
      </c>
      <c r="F1020" s="87">
        <v>2696</v>
      </c>
      <c r="G1020" s="91">
        <f>Tabla15[[#This Row],[Importe]]-Tabla15[[#This Row],[Pagado]]</f>
        <v>0</v>
      </c>
      <c r="H1020" s="92" t="s">
        <v>10</v>
      </c>
    </row>
    <row r="1021" spans="1:8" ht="21.75" customHeight="1" x14ac:dyDescent="0.25">
      <c r="A1021" s="35">
        <v>44660</v>
      </c>
      <c r="B1021" s="90" t="s">
        <v>11637</v>
      </c>
      <c r="C1021" s="41" t="s">
        <v>53</v>
      </c>
      <c r="D1021" s="87">
        <v>1041.7</v>
      </c>
      <c r="E1021" s="35">
        <v>44660</v>
      </c>
      <c r="F1021" s="87">
        <v>1041.7</v>
      </c>
      <c r="G1021" s="91">
        <f>Tabla15[[#This Row],[Importe]]-Tabla15[[#This Row],[Pagado]]</f>
        <v>0</v>
      </c>
      <c r="H1021" s="92" t="s">
        <v>10</v>
      </c>
    </row>
    <row r="1022" spans="1:8" ht="21.75" customHeight="1" x14ac:dyDescent="0.25">
      <c r="A1022" s="35">
        <v>44660</v>
      </c>
      <c r="B1022" s="90" t="s">
        <v>11638</v>
      </c>
      <c r="C1022" s="41" t="s">
        <v>994</v>
      </c>
      <c r="D1022" s="87">
        <v>1780</v>
      </c>
      <c r="E1022" s="35">
        <v>44660</v>
      </c>
      <c r="F1022" s="87">
        <v>1780</v>
      </c>
      <c r="G1022" s="91">
        <f>Tabla15[[#This Row],[Importe]]-Tabla15[[#This Row],[Pagado]]</f>
        <v>0</v>
      </c>
      <c r="H1022" s="92" t="s">
        <v>10</v>
      </c>
    </row>
    <row r="1023" spans="1:8" ht="21.75" customHeight="1" x14ac:dyDescent="0.25">
      <c r="A1023" s="35">
        <v>44660</v>
      </c>
      <c r="B1023" s="90" t="s">
        <v>11639</v>
      </c>
      <c r="C1023" s="41" t="s">
        <v>414</v>
      </c>
      <c r="D1023" s="87">
        <v>15984.8</v>
      </c>
      <c r="E1023" s="35">
        <v>44660</v>
      </c>
      <c r="F1023" s="87">
        <v>15984.8</v>
      </c>
      <c r="G1023" s="91">
        <f>Tabla15[[#This Row],[Importe]]-Tabla15[[#This Row],[Pagado]]</f>
        <v>0</v>
      </c>
      <c r="H1023" s="92" t="s">
        <v>10</v>
      </c>
    </row>
    <row r="1024" spans="1:8" ht="21.75" customHeight="1" x14ac:dyDescent="0.25">
      <c r="A1024" s="35">
        <v>44660</v>
      </c>
      <c r="B1024" s="90" t="s">
        <v>11640</v>
      </c>
      <c r="C1024" s="41" t="s">
        <v>31</v>
      </c>
      <c r="D1024" s="87">
        <v>486</v>
      </c>
      <c r="E1024" s="35">
        <v>44660</v>
      </c>
      <c r="F1024" s="87">
        <v>486</v>
      </c>
      <c r="G1024" s="91">
        <f>Tabla15[[#This Row],[Importe]]-Tabla15[[#This Row],[Pagado]]</f>
        <v>0</v>
      </c>
      <c r="H1024" s="92" t="s">
        <v>10</v>
      </c>
    </row>
    <row r="1025" spans="1:8" ht="21.75" customHeight="1" x14ac:dyDescent="0.25">
      <c r="A1025" s="35">
        <v>44660</v>
      </c>
      <c r="B1025" s="90" t="s">
        <v>11641</v>
      </c>
      <c r="C1025" s="41" t="s">
        <v>67</v>
      </c>
      <c r="D1025" s="87">
        <v>1921.8</v>
      </c>
      <c r="E1025" s="35">
        <v>44660</v>
      </c>
      <c r="F1025" s="87">
        <v>1921.8</v>
      </c>
      <c r="G1025" s="91">
        <f>Tabla15[[#This Row],[Importe]]-Tabla15[[#This Row],[Pagado]]</f>
        <v>0</v>
      </c>
      <c r="H1025" s="92" t="s">
        <v>10</v>
      </c>
    </row>
    <row r="1026" spans="1:8" ht="21.75" customHeight="1" x14ac:dyDescent="0.25">
      <c r="A1026" s="35">
        <v>44660</v>
      </c>
      <c r="B1026" s="90" t="s">
        <v>11642</v>
      </c>
      <c r="C1026" s="41" t="s">
        <v>1421</v>
      </c>
      <c r="D1026" s="87">
        <v>35211.599999999999</v>
      </c>
      <c r="E1026" s="35">
        <v>44660</v>
      </c>
      <c r="F1026" s="87">
        <v>35211.599999999999</v>
      </c>
      <c r="G1026" s="91">
        <f>Tabla15[[#This Row],[Importe]]-Tabla15[[#This Row],[Pagado]]</f>
        <v>0</v>
      </c>
      <c r="H1026" s="92" t="s">
        <v>10</v>
      </c>
    </row>
    <row r="1027" spans="1:8" ht="21.75" customHeight="1" x14ac:dyDescent="0.25">
      <c r="A1027" s="35">
        <v>44660</v>
      </c>
      <c r="B1027" s="90" t="s">
        <v>11643</v>
      </c>
      <c r="C1027" s="41" t="s">
        <v>31</v>
      </c>
      <c r="D1027" s="87">
        <v>1242.8</v>
      </c>
      <c r="E1027" s="35">
        <v>44660</v>
      </c>
      <c r="F1027" s="87">
        <v>1242.8</v>
      </c>
      <c r="G1027" s="91">
        <f>Tabla15[[#This Row],[Importe]]-Tabla15[[#This Row],[Pagado]]</f>
        <v>0</v>
      </c>
      <c r="H1027" s="92" t="s">
        <v>10</v>
      </c>
    </row>
    <row r="1028" spans="1:8" ht="21.75" customHeight="1" x14ac:dyDescent="0.25">
      <c r="A1028" s="35">
        <v>44660</v>
      </c>
      <c r="B1028" s="90" t="s">
        <v>11644</v>
      </c>
      <c r="C1028" s="41" t="s">
        <v>475</v>
      </c>
      <c r="D1028" s="87">
        <v>14261.5</v>
      </c>
      <c r="E1028" s="35">
        <v>44662</v>
      </c>
      <c r="F1028" s="87">
        <v>14261.5</v>
      </c>
      <c r="G1028" s="91">
        <f>Tabla15[[#This Row],[Importe]]-Tabla15[[#This Row],[Pagado]]</f>
        <v>0</v>
      </c>
      <c r="H1028" s="92" t="s">
        <v>10</v>
      </c>
    </row>
    <row r="1029" spans="1:8" ht="21.75" customHeight="1" x14ac:dyDescent="0.25">
      <c r="A1029" s="35">
        <v>44660</v>
      </c>
      <c r="B1029" s="90" t="s">
        <v>11645</v>
      </c>
      <c r="C1029" s="41" t="s">
        <v>31</v>
      </c>
      <c r="D1029" s="87">
        <v>2883.2</v>
      </c>
      <c r="E1029" s="35">
        <v>44660</v>
      </c>
      <c r="F1029" s="87">
        <v>2883.2</v>
      </c>
      <c r="G1029" s="91">
        <f>Tabla15[[#This Row],[Importe]]-Tabla15[[#This Row],[Pagado]]</f>
        <v>0</v>
      </c>
      <c r="H1029" s="92" t="s">
        <v>10</v>
      </c>
    </row>
    <row r="1030" spans="1:8" ht="21.75" customHeight="1" x14ac:dyDescent="0.25">
      <c r="A1030" s="35">
        <v>44660</v>
      </c>
      <c r="B1030" s="90" t="s">
        <v>11646</v>
      </c>
      <c r="C1030" s="41" t="s">
        <v>214</v>
      </c>
      <c r="D1030" s="87">
        <v>1339.2</v>
      </c>
      <c r="E1030" s="35">
        <v>44660</v>
      </c>
      <c r="F1030" s="87">
        <v>1339.2</v>
      </c>
      <c r="G1030" s="91">
        <f>Tabla15[[#This Row],[Importe]]-Tabla15[[#This Row],[Pagado]]</f>
        <v>0</v>
      </c>
      <c r="H1030" s="92" t="s">
        <v>10</v>
      </c>
    </row>
    <row r="1031" spans="1:8" ht="21.75" customHeight="1" x14ac:dyDescent="0.25">
      <c r="A1031" s="35">
        <v>44660</v>
      </c>
      <c r="B1031" s="90" t="s">
        <v>11647</v>
      </c>
      <c r="C1031" s="41" t="s">
        <v>16</v>
      </c>
      <c r="D1031" s="87">
        <v>1164.4000000000001</v>
      </c>
      <c r="E1031" s="35">
        <v>44660</v>
      </c>
      <c r="F1031" s="87">
        <v>1164.4000000000001</v>
      </c>
      <c r="G1031" s="91">
        <f>Tabla15[[#This Row],[Importe]]-Tabla15[[#This Row],[Pagado]]</f>
        <v>0</v>
      </c>
      <c r="H1031" s="92" t="s">
        <v>10</v>
      </c>
    </row>
    <row r="1032" spans="1:8" ht="21.75" customHeight="1" x14ac:dyDescent="0.25">
      <c r="A1032" s="35">
        <v>44660</v>
      </c>
      <c r="B1032" s="90" t="s">
        <v>11648</v>
      </c>
      <c r="C1032" s="41" t="s">
        <v>1174</v>
      </c>
      <c r="D1032" s="87">
        <v>39181.599999999999</v>
      </c>
      <c r="E1032" s="35">
        <v>44660</v>
      </c>
      <c r="F1032" s="87">
        <v>39181.599999999999</v>
      </c>
      <c r="G1032" s="91">
        <f>Tabla15[[#This Row],[Importe]]-Tabla15[[#This Row],[Pagado]]</f>
        <v>0</v>
      </c>
      <c r="H1032" s="92" t="s">
        <v>10</v>
      </c>
    </row>
    <row r="1033" spans="1:8" ht="21.75" customHeight="1" x14ac:dyDescent="0.25">
      <c r="A1033" s="35">
        <v>44660</v>
      </c>
      <c r="B1033" s="90" t="s">
        <v>11649</v>
      </c>
      <c r="C1033" s="41" t="s">
        <v>31</v>
      </c>
      <c r="D1033" s="87">
        <v>1414.5</v>
      </c>
      <c r="E1033" s="35">
        <v>44660</v>
      </c>
      <c r="F1033" s="87">
        <v>1414.5</v>
      </c>
      <c r="G1033" s="91">
        <f>Tabla15[[#This Row],[Importe]]-Tabla15[[#This Row],[Pagado]]</f>
        <v>0</v>
      </c>
      <c r="H1033" s="92" t="s">
        <v>10</v>
      </c>
    </row>
    <row r="1034" spans="1:8" ht="21.75" customHeight="1" x14ac:dyDescent="0.25">
      <c r="A1034" s="35">
        <v>44660</v>
      </c>
      <c r="B1034" s="90" t="s">
        <v>11650</v>
      </c>
      <c r="C1034" s="41" t="s">
        <v>71</v>
      </c>
      <c r="D1034" s="87">
        <v>1048</v>
      </c>
      <c r="E1034" s="35">
        <v>44660</v>
      </c>
      <c r="F1034" s="87">
        <v>1048</v>
      </c>
      <c r="G1034" s="91">
        <f>Tabla15[[#This Row],[Importe]]-Tabla15[[#This Row],[Pagado]]</f>
        <v>0</v>
      </c>
      <c r="H1034" s="92" t="s">
        <v>10</v>
      </c>
    </row>
    <row r="1035" spans="1:8" ht="21.75" customHeight="1" x14ac:dyDescent="0.25">
      <c r="A1035" s="35">
        <v>44660</v>
      </c>
      <c r="B1035" s="90" t="s">
        <v>11651</v>
      </c>
      <c r="C1035" s="41" t="s">
        <v>10826</v>
      </c>
      <c r="D1035" s="87">
        <v>4111.3999999999996</v>
      </c>
      <c r="E1035" s="35">
        <v>44660</v>
      </c>
      <c r="F1035" s="87">
        <v>4111.3999999999996</v>
      </c>
      <c r="G1035" s="91">
        <f>Tabla15[[#This Row],[Importe]]-Tabla15[[#This Row],[Pagado]]</f>
        <v>0</v>
      </c>
      <c r="H1035" s="92" t="s">
        <v>10</v>
      </c>
    </row>
    <row r="1036" spans="1:8" ht="21.75" customHeight="1" x14ac:dyDescent="0.25">
      <c r="A1036" s="35">
        <v>44660</v>
      </c>
      <c r="B1036" s="90" t="s">
        <v>11652</v>
      </c>
      <c r="C1036" s="41" t="s">
        <v>51</v>
      </c>
      <c r="D1036" s="87">
        <v>3628.8</v>
      </c>
      <c r="E1036" s="35">
        <v>44660</v>
      </c>
      <c r="F1036" s="87">
        <v>3628.8</v>
      </c>
      <c r="G1036" s="91">
        <f>Tabla15[[#This Row],[Importe]]-Tabla15[[#This Row],[Pagado]]</f>
        <v>0</v>
      </c>
      <c r="H1036" s="92" t="s">
        <v>10</v>
      </c>
    </row>
    <row r="1037" spans="1:8" ht="21.75" customHeight="1" x14ac:dyDescent="0.25">
      <c r="A1037" s="35">
        <v>44660</v>
      </c>
      <c r="B1037" s="90" t="s">
        <v>11653</v>
      </c>
      <c r="C1037" s="41" t="s">
        <v>11121</v>
      </c>
      <c r="D1037" s="87">
        <v>35911.199999999997</v>
      </c>
      <c r="E1037" s="35">
        <v>44660</v>
      </c>
      <c r="F1037" s="87">
        <v>35911.199999999997</v>
      </c>
      <c r="G1037" s="91">
        <f>Tabla15[[#This Row],[Importe]]-Tabla15[[#This Row],[Pagado]]</f>
        <v>0</v>
      </c>
      <c r="H1037" s="92" t="s">
        <v>10</v>
      </c>
    </row>
    <row r="1038" spans="1:8" ht="21.75" customHeight="1" x14ac:dyDescent="0.25">
      <c r="A1038" s="35">
        <v>44660</v>
      </c>
      <c r="B1038" s="90" t="s">
        <v>11654</v>
      </c>
      <c r="C1038" s="41" t="s">
        <v>51</v>
      </c>
      <c r="D1038" s="87">
        <v>700</v>
      </c>
      <c r="E1038" s="35">
        <v>44660</v>
      </c>
      <c r="F1038" s="87">
        <v>700</v>
      </c>
      <c r="G1038" s="91">
        <f>Tabla15[[#This Row],[Importe]]-Tabla15[[#This Row],[Pagado]]</f>
        <v>0</v>
      </c>
      <c r="H1038" s="92" t="s">
        <v>10</v>
      </c>
    </row>
    <row r="1039" spans="1:8" ht="21.75" customHeight="1" x14ac:dyDescent="0.25">
      <c r="A1039" s="35">
        <v>44660</v>
      </c>
      <c r="B1039" s="90" t="s">
        <v>11655</v>
      </c>
      <c r="C1039" s="41" t="s">
        <v>16</v>
      </c>
      <c r="D1039" s="87">
        <v>910.2</v>
      </c>
      <c r="E1039" s="35">
        <v>44660</v>
      </c>
      <c r="F1039" s="87">
        <v>910.2</v>
      </c>
      <c r="G1039" s="91">
        <f>Tabla15[[#This Row],[Importe]]-Tabla15[[#This Row],[Pagado]]</f>
        <v>0</v>
      </c>
      <c r="H1039" s="92" t="s">
        <v>10</v>
      </c>
    </row>
    <row r="1040" spans="1:8" ht="21.75" customHeight="1" x14ac:dyDescent="0.25">
      <c r="A1040" s="35">
        <v>44660</v>
      </c>
      <c r="B1040" s="90" t="s">
        <v>11656</v>
      </c>
      <c r="C1040" s="41" t="s">
        <v>1421</v>
      </c>
      <c r="D1040" s="87">
        <v>559</v>
      </c>
      <c r="E1040" s="35">
        <v>44660</v>
      </c>
      <c r="F1040" s="87">
        <v>559</v>
      </c>
      <c r="G1040" s="91">
        <f>Tabla15[[#This Row],[Importe]]-Tabla15[[#This Row],[Pagado]]</f>
        <v>0</v>
      </c>
      <c r="H1040" s="92" t="s">
        <v>10</v>
      </c>
    </row>
    <row r="1041" spans="1:8" ht="21.75" customHeight="1" x14ac:dyDescent="0.25">
      <c r="A1041" s="35">
        <v>44660</v>
      </c>
      <c r="B1041" s="90" t="s">
        <v>11657</v>
      </c>
      <c r="C1041" s="41" t="s">
        <v>2139</v>
      </c>
      <c r="D1041" s="87">
        <v>992.2</v>
      </c>
      <c r="E1041" s="35">
        <v>44660</v>
      </c>
      <c r="F1041" s="87">
        <v>992.2</v>
      </c>
      <c r="G1041" s="91">
        <f>Tabla15[[#This Row],[Importe]]-Tabla15[[#This Row],[Pagado]]</f>
        <v>0</v>
      </c>
      <c r="H1041" s="92" t="s">
        <v>10</v>
      </c>
    </row>
    <row r="1042" spans="1:8" ht="21.75" customHeight="1" x14ac:dyDescent="0.25">
      <c r="A1042" s="35">
        <v>44660</v>
      </c>
      <c r="B1042" s="90" t="s">
        <v>11658</v>
      </c>
      <c r="C1042" s="41" t="s">
        <v>31</v>
      </c>
      <c r="D1042" s="87">
        <v>875.8</v>
      </c>
      <c r="E1042" s="35">
        <v>44660</v>
      </c>
      <c r="F1042" s="87">
        <v>875.8</v>
      </c>
      <c r="G1042" s="91">
        <f>Tabla15[[#This Row],[Importe]]-Tabla15[[#This Row],[Pagado]]</f>
        <v>0</v>
      </c>
      <c r="H1042" s="92" t="s">
        <v>10</v>
      </c>
    </row>
    <row r="1043" spans="1:8" ht="21.75" customHeight="1" x14ac:dyDescent="0.25">
      <c r="A1043" s="35">
        <v>44660</v>
      </c>
      <c r="B1043" s="90" t="s">
        <v>11659</v>
      </c>
      <c r="C1043" s="41" t="s">
        <v>27</v>
      </c>
      <c r="D1043" s="87">
        <v>707.6</v>
      </c>
      <c r="E1043" s="35">
        <v>44660</v>
      </c>
      <c r="F1043" s="87">
        <v>707.6</v>
      </c>
      <c r="G1043" s="91">
        <f>Tabla15[[#This Row],[Importe]]-Tabla15[[#This Row],[Pagado]]</f>
        <v>0</v>
      </c>
      <c r="H1043" s="92" t="s">
        <v>10</v>
      </c>
    </row>
    <row r="1044" spans="1:8" ht="21.75" customHeight="1" x14ac:dyDescent="0.25">
      <c r="A1044" s="35">
        <v>44660</v>
      </c>
      <c r="B1044" s="90" t="s">
        <v>11660</v>
      </c>
      <c r="C1044" s="41" t="s">
        <v>463</v>
      </c>
      <c r="D1044" s="87">
        <v>550</v>
      </c>
      <c r="E1044" s="35">
        <v>44671</v>
      </c>
      <c r="F1044" s="87">
        <v>550</v>
      </c>
      <c r="G1044" s="91">
        <f>Tabla15[[#This Row],[Importe]]-Tabla15[[#This Row],[Pagado]]</f>
        <v>0</v>
      </c>
      <c r="H1044" s="92" t="s">
        <v>10</v>
      </c>
    </row>
    <row r="1045" spans="1:8" ht="21.75" customHeight="1" x14ac:dyDescent="0.25">
      <c r="A1045" s="35">
        <v>44660</v>
      </c>
      <c r="B1045" s="90" t="s">
        <v>11661</v>
      </c>
      <c r="C1045" s="41" t="s">
        <v>461</v>
      </c>
      <c r="D1045" s="87">
        <v>394</v>
      </c>
      <c r="E1045" s="35">
        <v>44661</v>
      </c>
      <c r="F1045" s="87">
        <v>394</v>
      </c>
      <c r="G1045" s="91">
        <f>Tabla15[[#This Row],[Importe]]-Tabla15[[#This Row],[Pagado]]</f>
        <v>0</v>
      </c>
      <c r="H1045" s="92" t="s">
        <v>10</v>
      </c>
    </row>
    <row r="1046" spans="1:8" ht="21.75" customHeight="1" x14ac:dyDescent="0.25">
      <c r="A1046" s="35">
        <v>44660</v>
      </c>
      <c r="B1046" s="90" t="s">
        <v>11662</v>
      </c>
      <c r="C1046" s="41" t="s">
        <v>457</v>
      </c>
      <c r="D1046" s="87">
        <v>198</v>
      </c>
      <c r="E1046" s="35">
        <v>44660</v>
      </c>
      <c r="F1046" s="87">
        <v>198</v>
      </c>
      <c r="G1046" s="91">
        <f>Tabla15[[#This Row],[Importe]]-Tabla15[[#This Row],[Pagado]]</f>
        <v>0</v>
      </c>
      <c r="H1046" s="92" t="s">
        <v>10</v>
      </c>
    </row>
    <row r="1047" spans="1:8" ht="21.75" customHeight="1" x14ac:dyDescent="0.25">
      <c r="A1047" s="35">
        <v>44660</v>
      </c>
      <c r="B1047" s="90" t="s">
        <v>11663</v>
      </c>
      <c r="C1047" s="41" t="s">
        <v>459</v>
      </c>
      <c r="D1047" s="87">
        <v>213</v>
      </c>
      <c r="E1047" s="35">
        <v>44660</v>
      </c>
      <c r="F1047" s="87">
        <v>213</v>
      </c>
      <c r="G1047" s="91">
        <f>Tabla15[[#This Row],[Importe]]-Tabla15[[#This Row],[Pagado]]</f>
        <v>0</v>
      </c>
      <c r="H1047" s="92" t="s">
        <v>10</v>
      </c>
    </row>
    <row r="1048" spans="1:8" ht="21.75" customHeight="1" x14ac:dyDescent="0.25">
      <c r="A1048" s="35">
        <v>44660</v>
      </c>
      <c r="B1048" s="90" t="s">
        <v>11664</v>
      </c>
      <c r="C1048" s="41" t="s">
        <v>58</v>
      </c>
      <c r="D1048" s="87">
        <v>2700</v>
      </c>
      <c r="E1048" s="35">
        <v>44660</v>
      </c>
      <c r="F1048" s="87">
        <v>2700</v>
      </c>
      <c r="G1048" s="91">
        <f>Tabla15[[#This Row],[Importe]]-Tabla15[[#This Row],[Pagado]]</f>
        <v>0</v>
      </c>
      <c r="H1048" s="92" t="s">
        <v>10</v>
      </c>
    </row>
    <row r="1049" spans="1:8" ht="21.75" customHeight="1" x14ac:dyDescent="0.25">
      <c r="A1049" s="35">
        <v>44660</v>
      </c>
      <c r="B1049" s="90" t="s">
        <v>11665</v>
      </c>
      <c r="C1049" s="41" t="s">
        <v>191</v>
      </c>
      <c r="D1049" s="87">
        <v>1664</v>
      </c>
      <c r="E1049" s="35">
        <v>44660</v>
      </c>
      <c r="F1049" s="87">
        <v>1664</v>
      </c>
      <c r="G1049" s="91">
        <f>Tabla15[[#This Row],[Importe]]-Tabla15[[#This Row],[Pagado]]</f>
        <v>0</v>
      </c>
      <c r="H1049" s="92" t="s">
        <v>10</v>
      </c>
    </row>
    <row r="1050" spans="1:8" ht="21.75" customHeight="1" x14ac:dyDescent="0.25">
      <c r="A1050" s="35">
        <v>44660</v>
      </c>
      <c r="B1050" s="90" t="s">
        <v>11666</v>
      </c>
      <c r="C1050" s="41" t="s">
        <v>69</v>
      </c>
      <c r="D1050" s="87">
        <v>1593</v>
      </c>
      <c r="E1050" s="35">
        <v>44660</v>
      </c>
      <c r="F1050" s="87">
        <v>1593</v>
      </c>
      <c r="G1050" s="91">
        <f>Tabla15[[#This Row],[Importe]]-Tabla15[[#This Row],[Pagado]]</f>
        <v>0</v>
      </c>
      <c r="H1050" s="92" t="s">
        <v>10</v>
      </c>
    </row>
    <row r="1051" spans="1:8" ht="21.75" customHeight="1" x14ac:dyDescent="0.25">
      <c r="A1051" s="35">
        <v>44660</v>
      </c>
      <c r="B1051" s="90" t="s">
        <v>11667</v>
      </c>
      <c r="C1051" s="41" t="s">
        <v>31</v>
      </c>
      <c r="D1051" s="87">
        <v>286</v>
      </c>
      <c r="E1051" s="35">
        <v>44660</v>
      </c>
      <c r="F1051" s="87">
        <v>286</v>
      </c>
      <c r="G1051" s="91">
        <f>Tabla15[[#This Row],[Importe]]-Tabla15[[#This Row],[Pagado]]</f>
        <v>0</v>
      </c>
      <c r="H1051" s="92" t="s">
        <v>10</v>
      </c>
    </row>
    <row r="1052" spans="1:8" ht="21.75" customHeight="1" x14ac:dyDescent="0.25">
      <c r="A1052" s="35">
        <v>44660</v>
      </c>
      <c r="B1052" s="90" t="s">
        <v>11668</v>
      </c>
      <c r="C1052" s="41" t="s">
        <v>280</v>
      </c>
      <c r="D1052" s="87">
        <v>3634.2</v>
      </c>
      <c r="E1052" s="35">
        <v>44661</v>
      </c>
      <c r="F1052" s="87">
        <v>3634.2</v>
      </c>
      <c r="G1052" s="91">
        <f>Tabla15[[#This Row],[Importe]]-Tabla15[[#This Row],[Pagado]]</f>
        <v>0</v>
      </c>
      <c r="H1052" s="92" t="s">
        <v>10</v>
      </c>
    </row>
    <row r="1053" spans="1:8" ht="21.75" customHeight="1" x14ac:dyDescent="0.25">
      <c r="A1053" s="35">
        <v>44660</v>
      </c>
      <c r="B1053" s="90" t="s">
        <v>11669</v>
      </c>
      <c r="C1053" s="41" t="s">
        <v>5345</v>
      </c>
      <c r="D1053" s="87">
        <v>2160</v>
      </c>
      <c r="E1053" s="35">
        <v>44661</v>
      </c>
      <c r="F1053" s="87">
        <v>2160</v>
      </c>
      <c r="G1053" s="91">
        <f>Tabla15[[#This Row],[Importe]]-Tabla15[[#This Row],[Pagado]]</f>
        <v>0</v>
      </c>
      <c r="H1053" s="92" t="s">
        <v>10</v>
      </c>
    </row>
    <row r="1054" spans="1:8" ht="21.75" customHeight="1" x14ac:dyDescent="0.25">
      <c r="A1054" s="35">
        <v>44660</v>
      </c>
      <c r="B1054" s="90" t="s">
        <v>11670</v>
      </c>
      <c r="C1054" s="41" t="s">
        <v>282</v>
      </c>
      <c r="D1054" s="87">
        <v>8337.6</v>
      </c>
      <c r="E1054" s="35">
        <v>44661</v>
      </c>
      <c r="F1054" s="87">
        <v>8337.6</v>
      </c>
      <c r="G1054" s="91">
        <f>Tabla15[[#This Row],[Importe]]-Tabla15[[#This Row],[Pagado]]</f>
        <v>0</v>
      </c>
      <c r="H1054" s="92" t="s">
        <v>10</v>
      </c>
    </row>
    <row r="1055" spans="1:8" ht="21.75" customHeight="1" x14ac:dyDescent="0.25">
      <c r="A1055" s="35">
        <v>44660</v>
      </c>
      <c r="B1055" s="90" t="s">
        <v>11671</v>
      </c>
      <c r="C1055" s="41" t="s">
        <v>142</v>
      </c>
      <c r="D1055" s="87">
        <v>5256</v>
      </c>
      <c r="E1055" s="35">
        <v>44706</v>
      </c>
      <c r="F1055" s="87">
        <v>5256</v>
      </c>
      <c r="G1055" s="91">
        <f>Tabla15[[#This Row],[Importe]]-Tabla15[[#This Row],[Pagado]]</f>
        <v>0</v>
      </c>
      <c r="H1055" s="92" t="s">
        <v>10</v>
      </c>
    </row>
    <row r="1056" spans="1:8" ht="21.75" customHeight="1" x14ac:dyDescent="0.25">
      <c r="A1056" s="35">
        <v>44660</v>
      </c>
      <c r="B1056" s="90" t="s">
        <v>11672</v>
      </c>
      <c r="C1056" s="41" t="s">
        <v>284</v>
      </c>
      <c r="D1056" s="87">
        <v>10902.6</v>
      </c>
      <c r="E1056" s="35">
        <v>44661</v>
      </c>
      <c r="F1056" s="87">
        <v>10902.6</v>
      </c>
      <c r="G1056" s="91">
        <f>Tabla15[[#This Row],[Importe]]-Tabla15[[#This Row],[Pagado]]</f>
        <v>0</v>
      </c>
      <c r="H1056" s="92" t="s">
        <v>10</v>
      </c>
    </row>
    <row r="1057" spans="1:8" ht="21.75" customHeight="1" x14ac:dyDescent="0.25">
      <c r="A1057" s="35">
        <v>44660</v>
      </c>
      <c r="B1057" s="90" t="s">
        <v>11673</v>
      </c>
      <c r="C1057" s="41" t="s">
        <v>75</v>
      </c>
      <c r="D1057" s="87">
        <v>1053</v>
      </c>
      <c r="E1057" s="35">
        <v>44660</v>
      </c>
      <c r="F1057" s="87">
        <v>1053</v>
      </c>
      <c r="G1057" s="91">
        <f>Tabla15[[#This Row],[Importe]]-Tabla15[[#This Row],[Pagado]]</f>
        <v>0</v>
      </c>
      <c r="H1057" s="92" t="s">
        <v>10</v>
      </c>
    </row>
    <row r="1058" spans="1:8" ht="21.75" customHeight="1" x14ac:dyDescent="0.25">
      <c r="A1058" s="35">
        <v>44660</v>
      </c>
      <c r="B1058" s="90" t="s">
        <v>11674</v>
      </c>
      <c r="C1058" s="41" t="s">
        <v>11675</v>
      </c>
      <c r="D1058" s="87">
        <v>0</v>
      </c>
      <c r="E1058" s="39" t="s">
        <v>189</v>
      </c>
      <c r="F1058" s="87">
        <v>0</v>
      </c>
      <c r="G1058" s="91">
        <f>Tabla15[[#This Row],[Importe]]-Tabla15[[#This Row],[Pagado]]</f>
        <v>0</v>
      </c>
      <c r="H1058" s="92" t="s">
        <v>189</v>
      </c>
    </row>
    <row r="1059" spans="1:8" ht="21.75" customHeight="1" x14ac:dyDescent="0.25">
      <c r="A1059" s="35">
        <v>44660</v>
      </c>
      <c r="B1059" s="90" t="s">
        <v>11676</v>
      </c>
      <c r="C1059" s="41" t="s">
        <v>10819</v>
      </c>
      <c r="D1059" s="87">
        <v>4276.8</v>
      </c>
      <c r="E1059" s="35">
        <v>44661</v>
      </c>
      <c r="F1059" s="87">
        <v>4276.8</v>
      </c>
      <c r="G1059" s="91">
        <f>Tabla15[[#This Row],[Importe]]-Tabla15[[#This Row],[Pagado]]</f>
        <v>0</v>
      </c>
      <c r="H1059" s="92" t="s">
        <v>10</v>
      </c>
    </row>
    <row r="1060" spans="1:8" ht="21.75" customHeight="1" x14ac:dyDescent="0.25">
      <c r="A1060" s="35">
        <v>44660</v>
      </c>
      <c r="B1060" s="90" t="s">
        <v>11677</v>
      </c>
      <c r="C1060" s="41" t="s">
        <v>35</v>
      </c>
      <c r="D1060" s="87">
        <v>2771.6</v>
      </c>
      <c r="E1060" s="35">
        <v>44660</v>
      </c>
      <c r="F1060" s="87">
        <v>2771.6</v>
      </c>
      <c r="G1060" s="91">
        <f>Tabla15[[#This Row],[Importe]]-Tabla15[[#This Row],[Pagado]]</f>
        <v>0</v>
      </c>
      <c r="H1060" s="92" t="s">
        <v>10</v>
      </c>
    </row>
    <row r="1061" spans="1:8" ht="21.75" customHeight="1" x14ac:dyDescent="0.25">
      <c r="A1061" s="35">
        <v>44660</v>
      </c>
      <c r="B1061" s="90" t="s">
        <v>11678</v>
      </c>
      <c r="C1061" s="41" t="s">
        <v>9175</v>
      </c>
      <c r="D1061" s="87">
        <v>11167.3</v>
      </c>
      <c r="E1061" s="35">
        <v>44660</v>
      </c>
      <c r="F1061" s="87">
        <v>11167.3</v>
      </c>
      <c r="G1061" s="91">
        <f>Tabla15[[#This Row],[Importe]]-Tabla15[[#This Row],[Pagado]]</f>
        <v>0</v>
      </c>
      <c r="H1061" s="92" t="s">
        <v>10</v>
      </c>
    </row>
    <row r="1062" spans="1:8" ht="21.75" customHeight="1" x14ac:dyDescent="0.25">
      <c r="A1062" s="35">
        <v>44660</v>
      </c>
      <c r="B1062" s="90" t="s">
        <v>11679</v>
      </c>
      <c r="C1062" s="41" t="s">
        <v>49</v>
      </c>
      <c r="D1062" s="87">
        <v>1098.8</v>
      </c>
      <c r="E1062" s="35">
        <v>44660</v>
      </c>
      <c r="F1062" s="87">
        <v>1098.8</v>
      </c>
      <c r="G1062" s="91">
        <f>Tabla15[[#This Row],[Importe]]-Tabla15[[#This Row],[Pagado]]</f>
        <v>0</v>
      </c>
      <c r="H1062" s="92" t="s">
        <v>10</v>
      </c>
    </row>
    <row r="1063" spans="1:8" ht="21.75" customHeight="1" x14ac:dyDescent="0.25">
      <c r="A1063" s="35">
        <v>44660</v>
      </c>
      <c r="B1063" s="90" t="s">
        <v>11680</v>
      </c>
      <c r="C1063" s="41" t="s">
        <v>10840</v>
      </c>
      <c r="D1063" s="87">
        <v>6314.2</v>
      </c>
      <c r="E1063" s="35">
        <v>44660</v>
      </c>
      <c r="F1063" s="87">
        <v>6314.2</v>
      </c>
      <c r="G1063" s="91">
        <f>Tabla15[[#This Row],[Importe]]-Tabla15[[#This Row],[Pagado]]</f>
        <v>0</v>
      </c>
      <c r="H1063" s="92" t="s">
        <v>10</v>
      </c>
    </row>
    <row r="1064" spans="1:8" ht="21.75" customHeight="1" x14ac:dyDescent="0.25">
      <c r="A1064" s="35">
        <v>44660</v>
      </c>
      <c r="B1064" s="90" t="s">
        <v>11681</v>
      </c>
      <c r="C1064" s="41" t="s">
        <v>1706</v>
      </c>
      <c r="D1064" s="87">
        <v>14947.2</v>
      </c>
      <c r="E1064" s="35">
        <v>44660</v>
      </c>
      <c r="F1064" s="87">
        <v>14947.2</v>
      </c>
      <c r="G1064" s="91">
        <f>Tabla15[[#This Row],[Importe]]-Tabla15[[#This Row],[Pagado]]</f>
        <v>0</v>
      </c>
      <c r="H1064" s="92" t="s">
        <v>10</v>
      </c>
    </row>
    <row r="1065" spans="1:8" ht="21.75" customHeight="1" x14ac:dyDescent="0.25">
      <c r="A1065" s="35">
        <v>44660</v>
      </c>
      <c r="B1065" s="90" t="s">
        <v>11682</v>
      </c>
      <c r="C1065" s="41" t="s">
        <v>214</v>
      </c>
      <c r="D1065" s="87">
        <v>437</v>
      </c>
      <c r="E1065" s="35">
        <v>44661</v>
      </c>
      <c r="F1065" s="87">
        <v>437</v>
      </c>
      <c r="G1065" s="91">
        <f>Tabla15[[#This Row],[Importe]]-Tabla15[[#This Row],[Pagado]]</f>
        <v>0</v>
      </c>
      <c r="H1065" s="92" t="s">
        <v>10</v>
      </c>
    </row>
    <row r="1066" spans="1:8" ht="21.75" customHeight="1" x14ac:dyDescent="0.25">
      <c r="A1066" s="35">
        <v>44660</v>
      </c>
      <c r="B1066" s="90" t="s">
        <v>11683</v>
      </c>
      <c r="C1066" s="41" t="s">
        <v>31</v>
      </c>
      <c r="D1066" s="87">
        <v>350.2</v>
      </c>
      <c r="E1066" s="35">
        <v>44660</v>
      </c>
      <c r="F1066" s="87">
        <v>350.2</v>
      </c>
      <c r="G1066" s="91">
        <f>Tabla15[[#This Row],[Importe]]-Tabla15[[#This Row],[Pagado]]</f>
        <v>0</v>
      </c>
      <c r="H1066" s="92" t="s">
        <v>10</v>
      </c>
    </row>
    <row r="1067" spans="1:8" ht="21.75" customHeight="1" x14ac:dyDescent="0.25">
      <c r="A1067" s="35">
        <v>44660</v>
      </c>
      <c r="B1067" s="90" t="s">
        <v>11684</v>
      </c>
      <c r="C1067" s="41" t="s">
        <v>11685</v>
      </c>
      <c r="D1067" s="87">
        <v>1700</v>
      </c>
      <c r="E1067" s="35">
        <v>44660</v>
      </c>
      <c r="F1067" s="87">
        <v>1700</v>
      </c>
      <c r="G1067" s="91">
        <f>Tabla15[[#This Row],[Importe]]-Tabla15[[#This Row],[Pagado]]</f>
        <v>0</v>
      </c>
      <c r="H1067" s="92" t="s">
        <v>10</v>
      </c>
    </row>
    <row r="1068" spans="1:8" ht="21.75" customHeight="1" x14ac:dyDescent="0.25">
      <c r="A1068" s="35">
        <v>44660</v>
      </c>
      <c r="B1068" s="90" t="s">
        <v>11686</v>
      </c>
      <c r="C1068" s="41" t="s">
        <v>857</v>
      </c>
      <c r="D1068" s="87">
        <v>1456.8</v>
      </c>
      <c r="E1068" s="35">
        <v>44660</v>
      </c>
      <c r="F1068" s="87">
        <v>1456.8</v>
      </c>
      <c r="G1068" s="91">
        <f>Tabla15[[#This Row],[Importe]]-Tabla15[[#This Row],[Pagado]]</f>
        <v>0</v>
      </c>
      <c r="H1068" s="92" t="s">
        <v>10</v>
      </c>
    </row>
    <row r="1069" spans="1:8" ht="21.75" customHeight="1" x14ac:dyDescent="0.25">
      <c r="A1069" s="35">
        <v>44660</v>
      </c>
      <c r="B1069" s="90" t="s">
        <v>11687</v>
      </c>
      <c r="C1069" s="41" t="s">
        <v>14</v>
      </c>
      <c r="D1069" s="87">
        <v>18232</v>
      </c>
      <c r="E1069" s="35">
        <v>44660</v>
      </c>
      <c r="F1069" s="87">
        <v>18232</v>
      </c>
      <c r="G1069" s="91">
        <f>Tabla15[[#This Row],[Importe]]-Tabla15[[#This Row],[Pagado]]</f>
        <v>0</v>
      </c>
      <c r="H1069" s="92" t="s">
        <v>10</v>
      </c>
    </row>
    <row r="1070" spans="1:8" ht="21.75" customHeight="1" x14ac:dyDescent="0.25">
      <c r="A1070" s="35">
        <v>44660</v>
      </c>
      <c r="B1070" s="90" t="s">
        <v>11688</v>
      </c>
      <c r="C1070" s="41" t="s">
        <v>681</v>
      </c>
      <c r="D1070" s="87">
        <v>2.72</v>
      </c>
      <c r="E1070" s="35">
        <v>44667</v>
      </c>
      <c r="F1070" s="87">
        <v>2.72</v>
      </c>
      <c r="G1070" s="91">
        <f>Tabla15[[#This Row],[Importe]]-Tabla15[[#This Row],[Pagado]]</f>
        <v>0</v>
      </c>
      <c r="H1070" s="92" t="s">
        <v>10</v>
      </c>
    </row>
    <row r="1071" spans="1:8" ht="21.75" customHeight="1" x14ac:dyDescent="0.25">
      <c r="A1071" s="35">
        <v>44660</v>
      </c>
      <c r="B1071" s="90" t="s">
        <v>11689</v>
      </c>
      <c r="C1071" s="41" t="s">
        <v>275</v>
      </c>
      <c r="D1071" s="87">
        <v>2308.5</v>
      </c>
      <c r="E1071" s="35">
        <v>44670</v>
      </c>
      <c r="F1071" s="87">
        <v>2308.5</v>
      </c>
      <c r="G1071" s="91">
        <f>Tabla15[[#This Row],[Importe]]-Tabla15[[#This Row],[Pagado]]</f>
        <v>0</v>
      </c>
      <c r="H1071" s="92" t="s">
        <v>10</v>
      </c>
    </row>
    <row r="1072" spans="1:8" ht="21.75" customHeight="1" x14ac:dyDescent="0.25">
      <c r="A1072" s="35">
        <v>44660</v>
      </c>
      <c r="B1072" s="90" t="s">
        <v>11690</v>
      </c>
      <c r="C1072" s="41" t="s">
        <v>67</v>
      </c>
      <c r="D1072" s="87">
        <v>1096.2</v>
      </c>
      <c r="E1072" s="35">
        <v>44661</v>
      </c>
      <c r="F1072" s="87">
        <v>1096.2</v>
      </c>
      <c r="G1072" s="91">
        <f>Tabla15[[#This Row],[Importe]]-Tabla15[[#This Row],[Pagado]]</f>
        <v>0</v>
      </c>
      <c r="H1072" s="92" t="s">
        <v>10</v>
      </c>
    </row>
    <row r="1073" spans="1:8" ht="21.75" customHeight="1" x14ac:dyDescent="0.25">
      <c r="A1073" s="35">
        <v>44661</v>
      </c>
      <c r="B1073" s="90" t="s">
        <v>11691</v>
      </c>
      <c r="C1073" s="41" t="s">
        <v>9</v>
      </c>
      <c r="D1073" s="87">
        <v>6370</v>
      </c>
      <c r="E1073" s="35">
        <v>44661</v>
      </c>
      <c r="F1073" s="87">
        <v>6370</v>
      </c>
      <c r="G1073" s="91">
        <f>Tabla15[[#This Row],[Importe]]-Tabla15[[#This Row],[Pagado]]</f>
        <v>0</v>
      </c>
      <c r="H1073" s="92" t="s">
        <v>10</v>
      </c>
    </row>
    <row r="1074" spans="1:8" ht="21.75" customHeight="1" x14ac:dyDescent="0.25">
      <c r="A1074" s="35">
        <v>44661</v>
      </c>
      <c r="B1074" s="90" t="s">
        <v>11692</v>
      </c>
      <c r="C1074" s="41" t="s">
        <v>12</v>
      </c>
      <c r="D1074" s="87">
        <v>50633.8</v>
      </c>
      <c r="E1074" s="35">
        <v>44661</v>
      </c>
      <c r="F1074" s="87">
        <v>50633.8</v>
      </c>
      <c r="G1074" s="91">
        <f>Tabla15[[#This Row],[Importe]]-Tabla15[[#This Row],[Pagado]]</f>
        <v>0</v>
      </c>
      <c r="H1074" s="92" t="s">
        <v>10</v>
      </c>
    </row>
    <row r="1075" spans="1:8" ht="21.75" customHeight="1" x14ac:dyDescent="0.25">
      <c r="A1075" s="35">
        <v>44661</v>
      </c>
      <c r="B1075" s="90" t="s">
        <v>11693</v>
      </c>
      <c r="C1075" s="41" t="s">
        <v>33</v>
      </c>
      <c r="D1075" s="87">
        <v>13054.8</v>
      </c>
      <c r="E1075" s="35">
        <v>44661</v>
      </c>
      <c r="F1075" s="87">
        <v>13054.8</v>
      </c>
      <c r="G1075" s="91">
        <f>Tabla15[[#This Row],[Importe]]-Tabla15[[#This Row],[Pagado]]</f>
        <v>0</v>
      </c>
      <c r="H1075" s="92" t="s">
        <v>10</v>
      </c>
    </row>
    <row r="1076" spans="1:8" ht="21.75" customHeight="1" x14ac:dyDescent="0.25">
      <c r="A1076" s="35">
        <v>44661</v>
      </c>
      <c r="B1076" s="90" t="s">
        <v>11694</v>
      </c>
      <c r="C1076" s="41" t="s">
        <v>1187</v>
      </c>
      <c r="D1076" s="87">
        <v>747.3</v>
      </c>
      <c r="E1076" s="35">
        <v>44661</v>
      </c>
      <c r="F1076" s="87">
        <v>747.3</v>
      </c>
      <c r="G1076" s="91">
        <f>Tabla15[[#This Row],[Importe]]-Tabla15[[#This Row],[Pagado]]</f>
        <v>0</v>
      </c>
      <c r="H1076" s="92" t="s">
        <v>10</v>
      </c>
    </row>
    <row r="1077" spans="1:8" ht="21.75" customHeight="1" x14ac:dyDescent="0.25">
      <c r="A1077" s="35">
        <v>44661</v>
      </c>
      <c r="B1077" s="90" t="s">
        <v>11695</v>
      </c>
      <c r="C1077" s="41" t="s">
        <v>22</v>
      </c>
      <c r="D1077" s="87">
        <v>49917.1</v>
      </c>
      <c r="E1077" s="35">
        <v>44662</v>
      </c>
      <c r="F1077" s="87">
        <v>49917.1</v>
      </c>
      <c r="G1077" s="91">
        <f>Tabla15[[#This Row],[Importe]]-Tabla15[[#This Row],[Pagado]]</f>
        <v>0</v>
      </c>
      <c r="H1077" s="92" t="s">
        <v>10</v>
      </c>
    </row>
    <row r="1078" spans="1:8" ht="31.5" x14ac:dyDescent="0.25">
      <c r="A1078" s="35">
        <v>44661</v>
      </c>
      <c r="B1078" s="90" t="s">
        <v>11696</v>
      </c>
      <c r="C1078" s="41" t="s">
        <v>475</v>
      </c>
      <c r="D1078" s="87">
        <v>68076.399999999994</v>
      </c>
      <c r="E1078" s="35" t="s">
        <v>11697</v>
      </c>
      <c r="F1078" s="87">
        <f>58700+9376.4</f>
        <v>68076.399999999994</v>
      </c>
      <c r="G1078" s="91">
        <f>Tabla15[[#This Row],[Importe]]-Tabla15[[#This Row],[Pagado]]</f>
        <v>0</v>
      </c>
      <c r="H1078" s="92" t="s">
        <v>10</v>
      </c>
    </row>
    <row r="1079" spans="1:8" ht="21.75" customHeight="1" x14ac:dyDescent="0.25">
      <c r="A1079" s="35">
        <v>44661</v>
      </c>
      <c r="B1079" s="90" t="s">
        <v>11698</v>
      </c>
      <c r="C1079" s="41" t="s">
        <v>27</v>
      </c>
      <c r="D1079" s="87">
        <v>3038.4</v>
      </c>
      <c r="E1079" s="35">
        <v>44661</v>
      </c>
      <c r="F1079" s="87">
        <v>3038.4</v>
      </c>
      <c r="G1079" s="91">
        <f>Tabla15[[#This Row],[Importe]]-Tabla15[[#This Row],[Pagado]]</f>
        <v>0</v>
      </c>
      <c r="H1079" s="92" t="s">
        <v>10</v>
      </c>
    </row>
    <row r="1080" spans="1:8" ht="21.75" customHeight="1" x14ac:dyDescent="0.25">
      <c r="A1080" s="35">
        <v>44661</v>
      </c>
      <c r="B1080" s="90" t="s">
        <v>11699</v>
      </c>
      <c r="C1080" s="41" t="s">
        <v>33</v>
      </c>
      <c r="D1080" s="87">
        <v>3622.5</v>
      </c>
      <c r="E1080" s="35">
        <v>44661</v>
      </c>
      <c r="F1080" s="87">
        <v>3622.5</v>
      </c>
      <c r="G1080" s="91">
        <f>Tabla15[[#This Row],[Importe]]-Tabla15[[#This Row],[Pagado]]</f>
        <v>0</v>
      </c>
      <c r="H1080" s="92" t="s">
        <v>10</v>
      </c>
    </row>
    <row r="1081" spans="1:8" ht="21.75" customHeight="1" x14ac:dyDescent="0.25">
      <c r="A1081" s="35">
        <v>44661</v>
      </c>
      <c r="B1081" s="90" t="s">
        <v>11700</v>
      </c>
      <c r="C1081" s="41" t="s">
        <v>16</v>
      </c>
      <c r="D1081" s="87">
        <v>7814</v>
      </c>
      <c r="E1081" s="35">
        <v>44661</v>
      </c>
      <c r="F1081" s="87">
        <v>7814</v>
      </c>
      <c r="G1081" s="91">
        <f>Tabla15[[#This Row],[Importe]]-Tabla15[[#This Row],[Pagado]]</f>
        <v>0</v>
      </c>
      <c r="H1081" s="92" t="s">
        <v>10</v>
      </c>
    </row>
    <row r="1082" spans="1:8" ht="21.75" customHeight="1" x14ac:dyDescent="0.25">
      <c r="A1082" s="35">
        <v>44661</v>
      </c>
      <c r="B1082" s="90" t="s">
        <v>11701</v>
      </c>
      <c r="C1082" s="41" t="s">
        <v>373</v>
      </c>
      <c r="D1082" s="87">
        <v>2879.1</v>
      </c>
      <c r="E1082" s="35">
        <v>44661</v>
      </c>
      <c r="F1082" s="87">
        <v>2879.1</v>
      </c>
      <c r="G1082" s="91">
        <f>Tabla15[[#This Row],[Importe]]-Tabla15[[#This Row],[Pagado]]</f>
        <v>0</v>
      </c>
      <c r="H1082" s="92" t="s">
        <v>10</v>
      </c>
    </row>
    <row r="1083" spans="1:8" ht="21.75" customHeight="1" x14ac:dyDescent="0.25">
      <c r="A1083" s="35">
        <v>44661</v>
      </c>
      <c r="B1083" s="90" t="s">
        <v>11702</v>
      </c>
      <c r="C1083" s="41" t="s">
        <v>1038</v>
      </c>
      <c r="D1083" s="87">
        <v>5393</v>
      </c>
      <c r="E1083" s="35">
        <v>44661</v>
      </c>
      <c r="F1083" s="87">
        <v>5393</v>
      </c>
      <c r="G1083" s="91">
        <f>Tabla15[[#This Row],[Importe]]-Tabla15[[#This Row],[Pagado]]</f>
        <v>0</v>
      </c>
      <c r="H1083" s="92" t="s">
        <v>10</v>
      </c>
    </row>
    <row r="1084" spans="1:8" ht="21.75" customHeight="1" x14ac:dyDescent="0.25">
      <c r="A1084" s="35">
        <v>44661</v>
      </c>
      <c r="B1084" s="90" t="s">
        <v>11703</v>
      </c>
      <c r="C1084" s="41" t="s">
        <v>2151</v>
      </c>
      <c r="D1084" s="87">
        <v>6103.6</v>
      </c>
      <c r="E1084" s="35">
        <v>44661</v>
      </c>
      <c r="F1084" s="87">
        <v>6103.6</v>
      </c>
      <c r="G1084" s="91">
        <f>Tabla15[[#This Row],[Importe]]-Tabla15[[#This Row],[Pagado]]</f>
        <v>0</v>
      </c>
      <c r="H1084" s="92" t="s">
        <v>10</v>
      </c>
    </row>
    <row r="1085" spans="1:8" ht="21.75" customHeight="1" x14ac:dyDescent="0.25">
      <c r="A1085" s="35">
        <v>44661</v>
      </c>
      <c r="B1085" s="90" t="s">
        <v>11704</v>
      </c>
      <c r="C1085" s="41" t="s">
        <v>224</v>
      </c>
      <c r="D1085" s="87">
        <v>1484.4</v>
      </c>
      <c r="E1085" s="35">
        <v>44661</v>
      </c>
      <c r="F1085" s="87">
        <v>1484.4</v>
      </c>
      <c r="G1085" s="91">
        <f>Tabla15[[#This Row],[Importe]]-Tabla15[[#This Row],[Pagado]]</f>
        <v>0</v>
      </c>
      <c r="H1085" s="92" t="s">
        <v>10</v>
      </c>
    </row>
    <row r="1086" spans="1:8" ht="21.75" customHeight="1" x14ac:dyDescent="0.25">
      <c r="A1086" s="35">
        <v>44661</v>
      </c>
      <c r="B1086" s="90" t="s">
        <v>11705</v>
      </c>
      <c r="C1086" s="41" t="s">
        <v>37</v>
      </c>
      <c r="D1086" s="87">
        <v>2054.1</v>
      </c>
      <c r="E1086" s="35">
        <v>44661</v>
      </c>
      <c r="F1086" s="87">
        <v>2054.1</v>
      </c>
      <c r="G1086" s="91">
        <f>Tabla15[[#This Row],[Importe]]-Tabla15[[#This Row],[Pagado]]</f>
        <v>0</v>
      </c>
      <c r="H1086" s="92" t="s">
        <v>10</v>
      </c>
    </row>
    <row r="1087" spans="1:8" ht="21.75" customHeight="1" x14ac:dyDescent="0.25">
      <c r="A1087" s="35">
        <v>44661</v>
      </c>
      <c r="B1087" s="90" t="s">
        <v>11706</v>
      </c>
      <c r="C1087" s="41" t="s">
        <v>56</v>
      </c>
      <c r="D1087" s="87">
        <v>9471</v>
      </c>
      <c r="E1087" s="35">
        <v>44661</v>
      </c>
      <c r="F1087" s="87">
        <v>9471</v>
      </c>
      <c r="G1087" s="91">
        <f>Tabla15[[#This Row],[Importe]]-Tabla15[[#This Row],[Pagado]]</f>
        <v>0</v>
      </c>
      <c r="H1087" s="92" t="s">
        <v>10</v>
      </c>
    </row>
    <row r="1088" spans="1:8" ht="21.75" customHeight="1" x14ac:dyDescent="0.25">
      <c r="A1088" s="35">
        <v>44661</v>
      </c>
      <c r="B1088" s="90" t="s">
        <v>11707</v>
      </c>
      <c r="C1088" s="41" t="s">
        <v>29</v>
      </c>
      <c r="D1088" s="87">
        <v>6728.4</v>
      </c>
      <c r="E1088" s="35">
        <v>44661</v>
      </c>
      <c r="F1088" s="87">
        <v>6728.4</v>
      </c>
      <c r="G1088" s="91">
        <f>Tabla15[[#This Row],[Importe]]-Tabla15[[#This Row],[Pagado]]</f>
        <v>0</v>
      </c>
      <c r="H1088" s="92" t="s">
        <v>10</v>
      </c>
    </row>
    <row r="1089" spans="1:8" ht="21.75" customHeight="1" x14ac:dyDescent="0.25">
      <c r="A1089" s="35">
        <v>44661</v>
      </c>
      <c r="B1089" s="90" t="s">
        <v>11708</v>
      </c>
      <c r="C1089" s="41" t="s">
        <v>105</v>
      </c>
      <c r="D1089" s="87">
        <v>2840.8</v>
      </c>
      <c r="E1089" s="35">
        <v>44661</v>
      </c>
      <c r="F1089" s="87">
        <v>2840.8</v>
      </c>
      <c r="G1089" s="91">
        <f>Tabla15[[#This Row],[Importe]]-Tabla15[[#This Row],[Pagado]]</f>
        <v>0</v>
      </c>
      <c r="H1089" s="92" t="s">
        <v>10</v>
      </c>
    </row>
    <row r="1090" spans="1:8" ht="21.75" customHeight="1" x14ac:dyDescent="0.25">
      <c r="A1090" s="35">
        <v>44661</v>
      </c>
      <c r="B1090" s="90" t="s">
        <v>11709</v>
      </c>
      <c r="C1090" s="41" t="s">
        <v>289</v>
      </c>
      <c r="D1090" s="87">
        <v>9593.9</v>
      </c>
      <c r="E1090" s="35">
        <v>44661</v>
      </c>
      <c r="F1090" s="87">
        <v>9593.9</v>
      </c>
      <c r="G1090" s="91">
        <f>Tabla15[[#This Row],[Importe]]-Tabla15[[#This Row],[Pagado]]</f>
        <v>0</v>
      </c>
      <c r="H1090" s="92" t="s">
        <v>10</v>
      </c>
    </row>
    <row r="1091" spans="1:8" ht="21.75" customHeight="1" x14ac:dyDescent="0.25">
      <c r="A1091" s="35">
        <v>44661</v>
      </c>
      <c r="B1091" s="90" t="s">
        <v>11710</v>
      </c>
      <c r="C1091" s="41" t="s">
        <v>214</v>
      </c>
      <c r="D1091" s="87">
        <v>1015.2</v>
      </c>
      <c r="E1091" s="35">
        <v>44661</v>
      </c>
      <c r="F1091" s="87">
        <v>1015.2</v>
      </c>
      <c r="G1091" s="91">
        <f>Tabla15[[#This Row],[Importe]]-Tabla15[[#This Row],[Pagado]]</f>
        <v>0</v>
      </c>
      <c r="H1091" s="92" t="s">
        <v>10</v>
      </c>
    </row>
    <row r="1092" spans="1:8" ht="21.75" customHeight="1" x14ac:dyDescent="0.25">
      <c r="A1092" s="35">
        <v>44661</v>
      </c>
      <c r="B1092" s="90" t="s">
        <v>11711</v>
      </c>
      <c r="C1092" s="41" t="s">
        <v>20</v>
      </c>
      <c r="D1092" s="87">
        <v>5003</v>
      </c>
      <c r="E1092" s="35">
        <v>44661</v>
      </c>
      <c r="F1092" s="87">
        <v>5003</v>
      </c>
      <c r="G1092" s="91">
        <f>Tabla15[[#This Row],[Importe]]-Tabla15[[#This Row],[Pagado]]</f>
        <v>0</v>
      </c>
      <c r="H1092" s="92" t="s">
        <v>10</v>
      </c>
    </row>
    <row r="1093" spans="1:8" ht="21.75" customHeight="1" x14ac:dyDescent="0.25">
      <c r="A1093" s="35">
        <v>44661</v>
      </c>
      <c r="B1093" s="90" t="s">
        <v>11712</v>
      </c>
      <c r="C1093" s="41" t="s">
        <v>501</v>
      </c>
      <c r="D1093" s="87">
        <v>8172</v>
      </c>
      <c r="E1093" s="35">
        <v>44661</v>
      </c>
      <c r="F1093" s="87">
        <v>8172</v>
      </c>
      <c r="G1093" s="91">
        <f>Tabla15[[#This Row],[Importe]]-Tabla15[[#This Row],[Pagado]]</f>
        <v>0</v>
      </c>
      <c r="H1093" s="92" t="s">
        <v>10</v>
      </c>
    </row>
    <row r="1094" spans="1:8" ht="21.75" customHeight="1" x14ac:dyDescent="0.25">
      <c r="A1094" s="35">
        <v>44661</v>
      </c>
      <c r="B1094" s="90" t="s">
        <v>11713</v>
      </c>
      <c r="C1094" s="41" t="s">
        <v>216</v>
      </c>
      <c r="D1094" s="87">
        <v>2359.8000000000002</v>
      </c>
      <c r="E1094" s="35">
        <v>44661</v>
      </c>
      <c r="F1094" s="87">
        <v>2359.8000000000002</v>
      </c>
      <c r="G1094" s="91">
        <f>Tabla15[[#This Row],[Importe]]-Tabla15[[#This Row],[Pagado]]</f>
        <v>0</v>
      </c>
      <c r="H1094" s="92" t="s">
        <v>10</v>
      </c>
    </row>
    <row r="1095" spans="1:8" ht="21.75" customHeight="1" x14ac:dyDescent="0.25">
      <c r="A1095" s="35">
        <v>44661</v>
      </c>
      <c r="B1095" s="90" t="s">
        <v>11714</v>
      </c>
      <c r="C1095" s="41" t="s">
        <v>51</v>
      </c>
      <c r="D1095" s="87">
        <v>1183.5999999999999</v>
      </c>
      <c r="E1095" s="35">
        <v>44661</v>
      </c>
      <c r="F1095" s="87">
        <v>1183.5999999999999</v>
      </c>
      <c r="G1095" s="91">
        <f>Tabla15[[#This Row],[Importe]]-Tabla15[[#This Row],[Pagado]]</f>
        <v>0</v>
      </c>
      <c r="H1095" s="92" t="s">
        <v>10</v>
      </c>
    </row>
    <row r="1096" spans="1:8" ht="21.75" customHeight="1" x14ac:dyDescent="0.25">
      <c r="A1096" s="35">
        <v>44661</v>
      </c>
      <c r="B1096" s="90" t="s">
        <v>11715</v>
      </c>
      <c r="C1096" s="41" t="s">
        <v>45</v>
      </c>
      <c r="D1096" s="87">
        <v>9901.2999999999993</v>
      </c>
      <c r="E1096" s="35">
        <v>44661</v>
      </c>
      <c r="F1096" s="87">
        <v>9901.2999999999993</v>
      </c>
      <c r="G1096" s="91">
        <f>Tabla15[[#This Row],[Importe]]-Tabla15[[#This Row],[Pagado]]</f>
        <v>0</v>
      </c>
      <c r="H1096" s="92" t="s">
        <v>10</v>
      </c>
    </row>
    <row r="1097" spans="1:8" ht="21.75" customHeight="1" x14ac:dyDescent="0.25">
      <c r="A1097" s="35">
        <v>44661</v>
      </c>
      <c r="B1097" s="90" t="s">
        <v>11716</v>
      </c>
      <c r="C1097" s="41" t="s">
        <v>481</v>
      </c>
      <c r="D1097" s="87">
        <v>208</v>
      </c>
      <c r="E1097" s="35">
        <v>44661</v>
      </c>
      <c r="F1097" s="87">
        <v>208</v>
      </c>
      <c r="G1097" s="91">
        <f>Tabla15[[#This Row],[Importe]]-Tabla15[[#This Row],[Pagado]]</f>
        <v>0</v>
      </c>
      <c r="H1097" s="92" t="s">
        <v>10</v>
      </c>
    </row>
    <row r="1098" spans="1:8" ht="21.75" customHeight="1" x14ac:dyDescent="0.25">
      <c r="A1098" s="35">
        <v>44661</v>
      </c>
      <c r="B1098" s="90" t="s">
        <v>11717</v>
      </c>
      <c r="C1098" s="41" t="s">
        <v>12</v>
      </c>
      <c r="D1098" s="87">
        <v>7022.5</v>
      </c>
      <c r="E1098" s="35">
        <v>44661</v>
      </c>
      <c r="F1098" s="87">
        <v>7022.5</v>
      </c>
      <c r="G1098" s="91">
        <f>Tabla15[[#This Row],[Importe]]-Tabla15[[#This Row],[Pagado]]</f>
        <v>0</v>
      </c>
      <c r="H1098" s="92" t="s">
        <v>10</v>
      </c>
    </row>
    <row r="1099" spans="1:8" ht="21.75" customHeight="1" x14ac:dyDescent="0.25">
      <c r="A1099" s="35">
        <v>44661</v>
      </c>
      <c r="B1099" s="90" t="s">
        <v>11718</v>
      </c>
      <c r="C1099" s="41" t="s">
        <v>49</v>
      </c>
      <c r="D1099" s="87">
        <v>4355.3999999999996</v>
      </c>
      <c r="E1099" s="35">
        <v>44661</v>
      </c>
      <c r="F1099" s="87">
        <v>4355.3999999999996</v>
      </c>
      <c r="G1099" s="91">
        <f>Tabla15[[#This Row],[Importe]]-Tabla15[[#This Row],[Pagado]]</f>
        <v>0</v>
      </c>
      <c r="H1099" s="92" t="s">
        <v>10</v>
      </c>
    </row>
    <row r="1100" spans="1:8" ht="21.75" customHeight="1" x14ac:dyDescent="0.25">
      <c r="A1100" s="35">
        <v>44661</v>
      </c>
      <c r="B1100" s="90" t="s">
        <v>11719</v>
      </c>
      <c r="C1100" s="41" t="s">
        <v>24</v>
      </c>
      <c r="D1100" s="87">
        <v>1787.4</v>
      </c>
      <c r="E1100" s="35">
        <v>44661</v>
      </c>
      <c r="F1100" s="87">
        <v>1787.4</v>
      </c>
      <c r="G1100" s="91">
        <f>Tabla15[[#This Row],[Importe]]-Tabla15[[#This Row],[Pagado]]</f>
        <v>0</v>
      </c>
      <c r="H1100" s="92" t="s">
        <v>10</v>
      </c>
    </row>
    <row r="1101" spans="1:8" ht="21.75" customHeight="1" x14ac:dyDescent="0.25">
      <c r="A1101" s="35">
        <v>44661</v>
      </c>
      <c r="B1101" s="90" t="s">
        <v>11720</v>
      </c>
      <c r="C1101" s="41" t="s">
        <v>24</v>
      </c>
      <c r="D1101" s="87">
        <v>580</v>
      </c>
      <c r="E1101" s="35">
        <v>44661</v>
      </c>
      <c r="F1101" s="87">
        <v>580</v>
      </c>
      <c r="G1101" s="91">
        <f>Tabla15[[#This Row],[Importe]]-Tabla15[[#This Row],[Pagado]]</f>
        <v>0</v>
      </c>
      <c r="H1101" s="92" t="s">
        <v>10</v>
      </c>
    </row>
    <row r="1102" spans="1:8" ht="21.75" customHeight="1" x14ac:dyDescent="0.25">
      <c r="A1102" s="35">
        <v>44661</v>
      </c>
      <c r="B1102" s="90" t="s">
        <v>11721</v>
      </c>
      <c r="C1102" s="41" t="s">
        <v>244</v>
      </c>
      <c r="D1102" s="87">
        <v>2043.8</v>
      </c>
      <c r="E1102" s="35">
        <v>44661</v>
      </c>
      <c r="F1102" s="87">
        <v>2043.8</v>
      </c>
      <c r="G1102" s="91">
        <f>Tabla15[[#This Row],[Importe]]-Tabla15[[#This Row],[Pagado]]</f>
        <v>0</v>
      </c>
      <c r="H1102" s="92" t="s">
        <v>10</v>
      </c>
    </row>
    <row r="1103" spans="1:8" ht="21.75" customHeight="1" x14ac:dyDescent="0.25">
      <c r="A1103" s="35">
        <v>44661</v>
      </c>
      <c r="B1103" s="90" t="s">
        <v>11722</v>
      </c>
      <c r="C1103" s="41" t="s">
        <v>58</v>
      </c>
      <c r="D1103" s="87">
        <v>4483.3</v>
      </c>
      <c r="E1103" s="35">
        <v>44661</v>
      </c>
      <c r="F1103" s="87">
        <v>4483.3</v>
      </c>
      <c r="G1103" s="91">
        <f>Tabla15[[#This Row],[Importe]]-Tabla15[[#This Row],[Pagado]]</f>
        <v>0</v>
      </c>
      <c r="H1103" s="92" t="s">
        <v>10</v>
      </c>
    </row>
    <row r="1104" spans="1:8" ht="21.75" customHeight="1" x14ac:dyDescent="0.25">
      <c r="A1104" s="35">
        <v>44661</v>
      </c>
      <c r="B1104" s="90" t="s">
        <v>11723</v>
      </c>
      <c r="C1104" s="41" t="s">
        <v>804</v>
      </c>
      <c r="D1104" s="87">
        <v>15293.2</v>
      </c>
      <c r="E1104" s="35">
        <v>44661</v>
      </c>
      <c r="F1104" s="87">
        <v>15293.2</v>
      </c>
      <c r="G1104" s="91">
        <f>Tabla15[[#This Row],[Importe]]-Tabla15[[#This Row],[Pagado]]</f>
        <v>0</v>
      </c>
      <c r="H1104" s="92" t="s">
        <v>10</v>
      </c>
    </row>
    <row r="1105" spans="1:8" ht="21.75" customHeight="1" x14ac:dyDescent="0.25">
      <c r="A1105" s="35">
        <v>44661</v>
      </c>
      <c r="B1105" s="90" t="s">
        <v>11724</v>
      </c>
      <c r="C1105" s="41" t="s">
        <v>83</v>
      </c>
      <c r="D1105" s="87">
        <v>1400</v>
      </c>
      <c r="E1105" s="35">
        <v>44661</v>
      </c>
      <c r="F1105" s="87">
        <v>1400</v>
      </c>
      <c r="G1105" s="91">
        <f>Tabla15[[#This Row],[Importe]]-Tabla15[[#This Row],[Pagado]]</f>
        <v>0</v>
      </c>
      <c r="H1105" s="92" t="s">
        <v>10</v>
      </c>
    </row>
    <row r="1106" spans="1:8" ht="21.75" customHeight="1" x14ac:dyDescent="0.25">
      <c r="A1106" s="35">
        <v>44661</v>
      </c>
      <c r="B1106" s="90" t="s">
        <v>11725</v>
      </c>
      <c r="C1106" s="41" t="s">
        <v>421</v>
      </c>
      <c r="D1106" s="87">
        <v>9308.5</v>
      </c>
      <c r="E1106" s="35">
        <v>44661</v>
      </c>
      <c r="F1106" s="87">
        <v>9308.5</v>
      </c>
      <c r="G1106" s="91">
        <f>Tabla15[[#This Row],[Importe]]-Tabla15[[#This Row],[Pagado]]</f>
        <v>0</v>
      </c>
      <c r="H1106" s="92" t="s">
        <v>10</v>
      </c>
    </row>
    <row r="1107" spans="1:8" ht="21.75" customHeight="1" x14ac:dyDescent="0.25">
      <c r="A1107" s="35">
        <v>44661</v>
      </c>
      <c r="B1107" s="90" t="s">
        <v>11726</v>
      </c>
      <c r="C1107" s="41" t="s">
        <v>67</v>
      </c>
      <c r="D1107" s="87">
        <v>3805</v>
      </c>
      <c r="E1107" s="35">
        <v>44661</v>
      </c>
      <c r="F1107" s="87">
        <v>3805</v>
      </c>
      <c r="G1107" s="91">
        <f>Tabla15[[#This Row],[Importe]]-Tabla15[[#This Row],[Pagado]]</f>
        <v>0</v>
      </c>
      <c r="H1107" s="92" t="s">
        <v>10</v>
      </c>
    </row>
    <row r="1108" spans="1:8" ht="21.75" customHeight="1" x14ac:dyDescent="0.25">
      <c r="A1108" s="35">
        <v>44661</v>
      </c>
      <c r="B1108" s="90" t="s">
        <v>11727</v>
      </c>
      <c r="C1108" s="41" t="s">
        <v>670</v>
      </c>
      <c r="D1108" s="87">
        <v>3873.9</v>
      </c>
      <c r="E1108" s="35">
        <v>44661</v>
      </c>
      <c r="F1108" s="87">
        <v>3873.9</v>
      </c>
      <c r="G1108" s="91">
        <f>Tabla15[[#This Row],[Importe]]-Tabla15[[#This Row],[Pagado]]</f>
        <v>0</v>
      </c>
      <c r="H1108" s="92" t="s">
        <v>10</v>
      </c>
    </row>
    <row r="1109" spans="1:8" ht="21.75" customHeight="1" x14ac:dyDescent="0.25">
      <c r="A1109" s="35">
        <v>44661</v>
      </c>
      <c r="B1109" s="90" t="s">
        <v>11728</v>
      </c>
      <c r="C1109" s="41" t="s">
        <v>31</v>
      </c>
      <c r="D1109" s="87">
        <v>475.2</v>
      </c>
      <c r="E1109" s="35">
        <v>44661</v>
      </c>
      <c r="F1109" s="87">
        <v>475.2</v>
      </c>
      <c r="G1109" s="91">
        <f>Tabla15[[#This Row],[Importe]]-Tabla15[[#This Row],[Pagado]]</f>
        <v>0</v>
      </c>
      <c r="H1109" s="92" t="s">
        <v>10</v>
      </c>
    </row>
    <row r="1110" spans="1:8" ht="21.75" customHeight="1" x14ac:dyDescent="0.25">
      <c r="A1110" s="35">
        <v>44661</v>
      </c>
      <c r="B1110" s="90" t="s">
        <v>11729</v>
      </c>
      <c r="C1110" s="41" t="s">
        <v>71</v>
      </c>
      <c r="D1110" s="87">
        <v>3464.5</v>
      </c>
      <c r="E1110" s="35">
        <v>44661</v>
      </c>
      <c r="F1110" s="87">
        <v>3464.5</v>
      </c>
      <c r="G1110" s="91">
        <f>Tabla15[[#This Row],[Importe]]-Tabla15[[#This Row],[Pagado]]</f>
        <v>0</v>
      </c>
      <c r="H1110" s="92" t="s">
        <v>10</v>
      </c>
    </row>
    <row r="1111" spans="1:8" ht="21.75" customHeight="1" x14ac:dyDescent="0.25">
      <c r="A1111" s="35">
        <v>44661</v>
      </c>
      <c r="B1111" s="90" t="s">
        <v>11730</v>
      </c>
      <c r="C1111" s="41" t="s">
        <v>191</v>
      </c>
      <c r="D1111" s="87">
        <v>2088.1999999999998</v>
      </c>
      <c r="E1111" s="35">
        <v>44661</v>
      </c>
      <c r="F1111" s="87">
        <v>2088.1999999999998</v>
      </c>
      <c r="G1111" s="91">
        <f>Tabla15[[#This Row],[Importe]]-Tabla15[[#This Row],[Pagado]]</f>
        <v>0</v>
      </c>
      <c r="H1111" s="92" t="s">
        <v>10</v>
      </c>
    </row>
    <row r="1112" spans="1:8" ht="21.75" customHeight="1" x14ac:dyDescent="0.25">
      <c r="A1112" s="35">
        <v>44661</v>
      </c>
      <c r="B1112" s="90" t="s">
        <v>11731</v>
      </c>
      <c r="C1112" s="41" t="s">
        <v>53</v>
      </c>
      <c r="D1112" s="87">
        <v>1003</v>
      </c>
      <c r="E1112" s="35">
        <v>44661</v>
      </c>
      <c r="F1112" s="87">
        <v>1003</v>
      </c>
      <c r="G1112" s="91">
        <f>Tabla15[[#This Row],[Importe]]-Tabla15[[#This Row],[Pagado]]</f>
        <v>0</v>
      </c>
      <c r="H1112" s="92" t="s">
        <v>10</v>
      </c>
    </row>
    <row r="1113" spans="1:8" ht="21.75" customHeight="1" x14ac:dyDescent="0.25">
      <c r="A1113" s="35">
        <v>44661</v>
      </c>
      <c r="B1113" s="90" t="s">
        <v>11732</v>
      </c>
      <c r="C1113" s="41" t="s">
        <v>5217</v>
      </c>
      <c r="D1113" s="87">
        <v>244.8</v>
      </c>
      <c r="E1113" s="35">
        <v>44661</v>
      </c>
      <c r="F1113" s="87">
        <v>244.8</v>
      </c>
      <c r="G1113" s="91">
        <f>Tabla15[[#This Row],[Importe]]-Tabla15[[#This Row],[Pagado]]</f>
        <v>0</v>
      </c>
      <c r="H1113" s="92" t="s">
        <v>10</v>
      </c>
    </row>
    <row r="1114" spans="1:8" ht="21.75" customHeight="1" x14ac:dyDescent="0.25">
      <c r="A1114" s="35">
        <v>44661</v>
      </c>
      <c r="B1114" s="90" t="s">
        <v>11733</v>
      </c>
      <c r="C1114" s="41" t="s">
        <v>69</v>
      </c>
      <c r="D1114" s="87">
        <v>2597.4</v>
      </c>
      <c r="E1114" s="35">
        <v>44661</v>
      </c>
      <c r="F1114" s="87">
        <v>2597.4</v>
      </c>
      <c r="G1114" s="91">
        <f>Tabla15[[#This Row],[Importe]]-Tabla15[[#This Row],[Pagado]]</f>
        <v>0</v>
      </c>
      <c r="H1114" s="92" t="s">
        <v>10</v>
      </c>
    </row>
    <row r="1115" spans="1:8" ht="21.75" customHeight="1" x14ac:dyDescent="0.25">
      <c r="A1115" s="35">
        <v>44661</v>
      </c>
      <c r="B1115" s="90" t="s">
        <v>11734</v>
      </c>
      <c r="C1115" s="41" t="s">
        <v>16</v>
      </c>
      <c r="D1115" s="87">
        <v>2189.4</v>
      </c>
      <c r="E1115" s="35">
        <v>44661</v>
      </c>
      <c r="F1115" s="87">
        <v>2189.4</v>
      </c>
      <c r="G1115" s="91">
        <f>Tabla15[[#This Row],[Importe]]-Tabla15[[#This Row],[Pagado]]</f>
        <v>0</v>
      </c>
      <c r="H1115" s="92" t="s">
        <v>10</v>
      </c>
    </row>
    <row r="1116" spans="1:8" ht="21.75" customHeight="1" x14ac:dyDescent="0.25">
      <c r="A1116" s="35">
        <v>44661</v>
      </c>
      <c r="B1116" s="90" t="s">
        <v>11735</v>
      </c>
      <c r="C1116" s="41" t="s">
        <v>16</v>
      </c>
      <c r="D1116" s="87">
        <v>541.20000000000005</v>
      </c>
      <c r="E1116" s="35">
        <v>44661</v>
      </c>
      <c r="F1116" s="87">
        <v>541.20000000000005</v>
      </c>
      <c r="G1116" s="91">
        <f>Tabla15[[#This Row],[Importe]]-Tabla15[[#This Row],[Pagado]]</f>
        <v>0</v>
      </c>
      <c r="H1116" s="92" t="s">
        <v>10</v>
      </c>
    </row>
    <row r="1117" spans="1:8" ht="21.75" customHeight="1" x14ac:dyDescent="0.25">
      <c r="A1117" s="35">
        <v>44661</v>
      </c>
      <c r="B1117" s="90" t="s">
        <v>11736</v>
      </c>
      <c r="C1117" s="41" t="s">
        <v>71</v>
      </c>
      <c r="D1117" s="87">
        <v>7524</v>
      </c>
      <c r="E1117" s="35">
        <v>44661</v>
      </c>
      <c r="F1117" s="87">
        <v>7524</v>
      </c>
      <c r="G1117" s="91">
        <f>Tabla15[[#This Row],[Importe]]-Tabla15[[#This Row],[Pagado]]</f>
        <v>0</v>
      </c>
      <c r="H1117" s="92" t="s">
        <v>10</v>
      </c>
    </row>
    <row r="1118" spans="1:8" ht="21.75" customHeight="1" x14ac:dyDescent="0.25">
      <c r="A1118" s="35">
        <v>44661</v>
      </c>
      <c r="B1118" s="90" t="s">
        <v>11737</v>
      </c>
      <c r="C1118" s="41" t="s">
        <v>31</v>
      </c>
      <c r="D1118" s="87">
        <v>250</v>
      </c>
      <c r="E1118" s="35">
        <v>44661</v>
      </c>
      <c r="F1118" s="87">
        <v>250</v>
      </c>
      <c r="G1118" s="91">
        <f>Tabla15[[#This Row],[Importe]]-Tabla15[[#This Row],[Pagado]]</f>
        <v>0</v>
      </c>
      <c r="H1118" s="92" t="s">
        <v>10</v>
      </c>
    </row>
    <row r="1119" spans="1:8" ht="21.75" customHeight="1" x14ac:dyDescent="0.25">
      <c r="A1119" s="35">
        <v>44662</v>
      </c>
      <c r="B1119" s="90" t="s">
        <v>11738</v>
      </c>
      <c r="C1119" s="41" t="s">
        <v>887</v>
      </c>
      <c r="D1119" s="87">
        <v>9603.6</v>
      </c>
      <c r="E1119" s="35">
        <v>44663</v>
      </c>
      <c r="F1119" s="87">
        <v>9603.6</v>
      </c>
      <c r="G1119" s="91">
        <f>Tabla15[[#This Row],[Importe]]-Tabla15[[#This Row],[Pagado]]</f>
        <v>0</v>
      </c>
      <c r="H1119" s="92" t="s">
        <v>10</v>
      </c>
    </row>
    <row r="1120" spans="1:8" ht="21.75" customHeight="1" x14ac:dyDescent="0.25">
      <c r="A1120" s="35">
        <v>44662</v>
      </c>
      <c r="B1120" s="90" t="s">
        <v>11739</v>
      </c>
      <c r="C1120" s="41" t="s">
        <v>475</v>
      </c>
      <c r="D1120" s="87">
        <v>63358.400000000001</v>
      </c>
      <c r="E1120" s="35">
        <v>44664</v>
      </c>
      <c r="F1120" s="87">
        <v>63358.400000000001</v>
      </c>
      <c r="G1120" s="91">
        <f>Tabla15[[#This Row],[Importe]]-Tabla15[[#This Row],[Pagado]]</f>
        <v>0</v>
      </c>
      <c r="H1120" s="92" t="s">
        <v>10</v>
      </c>
    </row>
    <row r="1121" spans="1:8" ht="21.75" customHeight="1" x14ac:dyDescent="0.25">
      <c r="A1121" s="35">
        <v>44662</v>
      </c>
      <c r="B1121" s="90" t="s">
        <v>11740</v>
      </c>
      <c r="C1121" s="41" t="s">
        <v>353</v>
      </c>
      <c r="D1121" s="87">
        <v>1254.4000000000001</v>
      </c>
      <c r="E1121" s="35">
        <v>44662</v>
      </c>
      <c r="F1121" s="87">
        <v>1254.4000000000001</v>
      </c>
      <c r="G1121" s="91">
        <f>Tabla15[[#This Row],[Importe]]-Tabla15[[#This Row],[Pagado]]</f>
        <v>0</v>
      </c>
      <c r="H1121" s="92" t="s">
        <v>10</v>
      </c>
    </row>
    <row r="1122" spans="1:8" ht="21.75" customHeight="1" x14ac:dyDescent="0.25">
      <c r="A1122" s="35">
        <v>44662</v>
      </c>
      <c r="B1122" s="90" t="s">
        <v>11741</v>
      </c>
      <c r="C1122" s="41" t="s">
        <v>481</v>
      </c>
      <c r="D1122" s="87">
        <v>895</v>
      </c>
      <c r="E1122" s="35">
        <v>44662</v>
      </c>
      <c r="F1122" s="87">
        <v>895</v>
      </c>
      <c r="G1122" s="91">
        <f>Tabla15[[#This Row],[Importe]]-Tabla15[[#This Row],[Pagado]]</f>
        <v>0</v>
      </c>
      <c r="H1122" s="92" t="s">
        <v>10</v>
      </c>
    </row>
    <row r="1123" spans="1:8" ht="21.75" customHeight="1" x14ac:dyDescent="0.25">
      <c r="A1123" s="35">
        <v>44662</v>
      </c>
      <c r="B1123" s="90" t="s">
        <v>11742</v>
      </c>
      <c r="C1123" s="41" t="s">
        <v>9</v>
      </c>
      <c r="D1123" s="87">
        <v>4310</v>
      </c>
      <c r="E1123" s="35">
        <v>44662</v>
      </c>
      <c r="F1123" s="87">
        <v>4310</v>
      </c>
      <c r="G1123" s="91">
        <f>Tabla15[[#This Row],[Importe]]-Tabla15[[#This Row],[Pagado]]</f>
        <v>0</v>
      </c>
      <c r="H1123" s="92" t="s">
        <v>10</v>
      </c>
    </row>
    <row r="1124" spans="1:8" ht="21.75" customHeight="1" x14ac:dyDescent="0.25">
      <c r="A1124" s="35">
        <v>44662</v>
      </c>
      <c r="B1124" s="90" t="s">
        <v>11743</v>
      </c>
      <c r="C1124" s="41" t="s">
        <v>12</v>
      </c>
      <c r="D1124" s="87">
        <v>38797.300000000003</v>
      </c>
      <c r="E1124" s="35">
        <v>44662</v>
      </c>
      <c r="F1124" s="87">
        <v>38797.300000000003</v>
      </c>
      <c r="G1124" s="91">
        <f>Tabla15[[#This Row],[Importe]]-Tabla15[[#This Row],[Pagado]]</f>
        <v>0</v>
      </c>
      <c r="H1124" s="92" t="s">
        <v>10</v>
      </c>
    </row>
    <row r="1125" spans="1:8" ht="21.75" customHeight="1" x14ac:dyDescent="0.25">
      <c r="A1125" s="35">
        <v>44662</v>
      </c>
      <c r="B1125" s="90" t="s">
        <v>11744</v>
      </c>
      <c r="C1125" s="41" t="s">
        <v>87</v>
      </c>
      <c r="D1125" s="87">
        <v>2515.8000000000002</v>
      </c>
      <c r="E1125" s="35">
        <v>44662</v>
      </c>
      <c r="F1125" s="87">
        <v>2515.8000000000002</v>
      </c>
      <c r="G1125" s="91">
        <f>Tabla15[[#This Row],[Importe]]-Tabla15[[#This Row],[Pagado]]</f>
        <v>0</v>
      </c>
      <c r="H1125" s="92" t="s">
        <v>10</v>
      </c>
    </row>
    <row r="1126" spans="1:8" ht="21.75" customHeight="1" x14ac:dyDescent="0.25">
      <c r="A1126" s="35">
        <v>44662</v>
      </c>
      <c r="B1126" s="90" t="s">
        <v>11745</v>
      </c>
      <c r="C1126" s="41" t="s">
        <v>83</v>
      </c>
      <c r="D1126" s="87">
        <v>10238.799999999999</v>
      </c>
      <c r="E1126" s="35">
        <v>44662</v>
      </c>
      <c r="F1126" s="87">
        <v>10238.799999999999</v>
      </c>
      <c r="G1126" s="91">
        <f>Tabla15[[#This Row],[Importe]]-Tabla15[[#This Row],[Pagado]]</f>
        <v>0</v>
      </c>
      <c r="H1126" s="92" t="s">
        <v>10</v>
      </c>
    </row>
    <row r="1127" spans="1:8" ht="21.75" customHeight="1" x14ac:dyDescent="0.25">
      <c r="A1127" s="35">
        <v>44662</v>
      </c>
      <c r="B1127" s="90" t="s">
        <v>11746</v>
      </c>
      <c r="C1127" s="41" t="s">
        <v>314</v>
      </c>
      <c r="D1127" s="87">
        <v>1209.2</v>
      </c>
      <c r="E1127" s="35">
        <v>44662</v>
      </c>
      <c r="F1127" s="87">
        <v>1209.2</v>
      </c>
      <c r="G1127" s="91">
        <f>Tabla15[[#This Row],[Importe]]-Tabla15[[#This Row],[Pagado]]</f>
        <v>0</v>
      </c>
      <c r="H1127" s="92" t="s">
        <v>10</v>
      </c>
    </row>
    <row r="1128" spans="1:8" ht="21.75" customHeight="1" x14ac:dyDescent="0.25">
      <c r="A1128" s="35">
        <v>44662</v>
      </c>
      <c r="B1128" s="90" t="s">
        <v>11747</v>
      </c>
      <c r="C1128" s="41" t="s">
        <v>93</v>
      </c>
      <c r="D1128" s="87">
        <v>4345.2</v>
      </c>
      <c r="E1128" s="35">
        <v>44663</v>
      </c>
      <c r="F1128" s="87">
        <v>4345.2</v>
      </c>
      <c r="G1128" s="91">
        <f>Tabla15[[#This Row],[Importe]]-Tabla15[[#This Row],[Pagado]]</f>
        <v>0</v>
      </c>
      <c r="H1128" s="92" t="s">
        <v>10</v>
      </c>
    </row>
    <row r="1129" spans="1:8" ht="21.75" customHeight="1" x14ac:dyDescent="0.25">
      <c r="A1129" s="35">
        <v>44662</v>
      </c>
      <c r="B1129" s="90" t="s">
        <v>11748</v>
      </c>
      <c r="C1129" s="41" t="s">
        <v>60</v>
      </c>
      <c r="D1129" s="87">
        <v>4171.1000000000004</v>
      </c>
      <c r="E1129" s="35">
        <v>44669</v>
      </c>
      <c r="F1129" s="87">
        <v>4171.1000000000004</v>
      </c>
      <c r="G1129" s="91">
        <f>Tabla15[[#This Row],[Importe]]-Tabla15[[#This Row],[Pagado]]</f>
        <v>0</v>
      </c>
      <c r="H1129" s="92" t="s">
        <v>10</v>
      </c>
    </row>
    <row r="1130" spans="1:8" ht="21.75" customHeight="1" x14ac:dyDescent="0.25">
      <c r="A1130" s="35">
        <v>44662</v>
      </c>
      <c r="B1130" s="90" t="s">
        <v>11749</v>
      </c>
      <c r="C1130" s="41" t="s">
        <v>89</v>
      </c>
      <c r="D1130" s="87">
        <v>8724</v>
      </c>
      <c r="E1130" s="35">
        <v>44663</v>
      </c>
      <c r="F1130" s="87">
        <v>8724</v>
      </c>
      <c r="G1130" s="91">
        <f>Tabla15[[#This Row],[Importe]]-Tabla15[[#This Row],[Pagado]]</f>
        <v>0</v>
      </c>
      <c r="H1130" s="92" t="s">
        <v>10</v>
      </c>
    </row>
    <row r="1131" spans="1:8" ht="21.75" customHeight="1" x14ac:dyDescent="0.25">
      <c r="A1131" s="35">
        <v>44662</v>
      </c>
      <c r="B1131" s="90" t="s">
        <v>11750</v>
      </c>
      <c r="C1131" s="41" t="s">
        <v>2151</v>
      </c>
      <c r="D1131" s="87">
        <v>7667.6</v>
      </c>
      <c r="E1131" s="35">
        <v>44662</v>
      </c>
      <c r="F1131" s="87">
        <v>7667.6</v>
      </c>
      <c r="G1131" s="91">
        <f>Tabla15[[#This Row],[Importe]]-Tabla15[[#This Row],[Pagado]]</f>
        <v>0</v>
      </c>
      <c r="H1131" s="92" t="s">
        <v>10</v>
      </c>
    </row>
    <row r="1132" spans="1:8" ht="21.75" customHeight="1" x14ac:dyDescent="0.25">
      <c r="A1132" s="35">
        <v>44662</v>
      </c>
      <c r="B1132" s="90" t="s">
        <v>11751</v>
      </c>
      <c r="C1132" s="41" t="s">
        <v>111</v>
      </c>
      <c r="D1132" s="87">
        <v>4080</v>
      </c>
      <c r="E1132" s="35">
        <v>44663</v>
      </c>
      <c r="F1132" s="87">
        <v>4080</v>
      </c>
      <c r="G1132" s="91">
        <f>Tabla15[[#This Row],[Importe]]-Tabla15[[#This Row],[Pagado]]</f>
        <v>0</v>
      </c>
      <c r="H1132" s="92" t="s">
        <v>10</v>
      </c>
    </row>
    <row r="1133" spans="1:8" ht="21.75" customHeight="1" x14ac:dyDescent="0.25">
      <c r="A1133" s="35">
        <v>44662</v>
      </c>
      <c r="B1133" s="90" t="s">
        <v>11752</v>
      </c>
      <c r="C1133" s="41" t="s">
        <v>348</v>
      </c>
      <c r="D1133" s="87">
        <v>4040.5</v>
      </c>
      <c r="E1133" s="35">
        <v>44662</v>
      </c>
      <c r="F1133" s="87">
        <v>4040.5</v>
      </c>
      <c r="G1133" s="91">
        <f>Tabla15[[#This Row],[Importe]]-Tabla15[[#This Row],[Pagado]]</f>
        <v>0</v>
      </c>
      <c r="H1133" s="92" t="s">
        <v>10</v>
      </c>
    </row>
    <row r="1134" spans="1:8" ht="21.75" customHeight="1" x14ac:dyDescent="0.25">
      <c r="A1134" s="35">
        <v>44662</v>
      </c>
      <c r="B1134" s="90" t="s">
        <v>11753</v>
      </c>
      <c r="C1134" s="41" t="s">
        <v>11033</v>
      </c>
      <c r="D1134" s="87">
        <v>1561.6</v>
      </c>
      <c r="E1134" s="35">
        <v>44662</v>
      </c>
      <c r="F1134" s="87">
        <v>1561.6</v>
      </c>
      <c r="G1134" s="91">
        <f>Tabla15[[#This Row],[Importe]]-Tabla15[[#This Row],[Pagado]]</f>
        <v>0</v>
      </c>
      <c r="H1134" s="92" t="s">
        <v>10</v>
      </c>
    </row>
    <row r="1135" spans="1:8" ht="21.75" customHeight="1" x14ac:dyDescent="0.25">
      <c r="A1135" s="35">
        <v>44662</v>
      </c>
      <c r="B1135" s="90" t="s">
        <v>11754</v>
      </c>
      <c r="C1135" s="41" t="s">
        <v>64</v>
      </c>
      <c r="D1135" s="87">
        <v>8512.2000000000007</v>
      </c>
      <c r="E1135" s="35">
        <v>44663</v>
      </c>
      <c r="F1135" s="87">
        <v>8512.2000000000007</v>
      </c>
      <c r="G1135" s="91">
        <f>Tabla15[[#This Row],[Importe]]-Tabla15[[#This Row],[Pagado]]</f>
        <v>0</v>
      </c>
      <c r="H1135" s="92" t="s">
        <v>10</v>
      </c>
    </row>
    <row r="1136" spans="1:8" ht="21.75" customHeight="1" x14ac:dyDescent="0.25">
      <c r="A1136" s="35">
        <v>44662</v>
      </c>
      <c r="B1136" s="90" t="s">
        <v>11755</v>
      </c>
      <c r="C1136" s="41" t="s">
        <v>99</v>
      </c>
      <c r="D1136" s="87">
        <v>2710.8</v>
      </c>
      <c r="E1136" s="35">
        <v>44663</v>
      </c>
      <c r="F1136" s="87">
        <v>2710.8</v>
      </c>
      <c r="G1136" s="91">
        <f>Tabla15[[#This Row],[Importe]]-Tabla15[[#This Row],[Pagado]]</f>
        <v>0</v>
      </c>
      <c r="H1136" s="92" t="s">
        <v>10</v>
      </c>
    </row>
    <row r="1137" spans="1:8" ht="21.75" customHeight="1" x14ac:dyDescent="0.25">
      <c r="A1137" s="35">
        <v>44662</v>
      </c>
      <c r="B1137" s="90" t="s">
        <v>11756</v>
      </c>
      <c r="C1137" s="41" t="s">
        <v>97</v>
      </c>
      <c r="D1137" s="87">
        <v>828.9</v>
      </c>
      <c r="E1137" s="35">
        <v>44663</v>
      </c>
      <c r="F1137" s="87">
        <v>828.9</v>
      </c>
      <c r="G1137" s="91">
        <f>Tabla15[[#This Row],[Importe]]-Tabla15[[#This Row],[Pagado]]</f>
        <v>0</v>
      </c>
      <c r="H1137" s="92" t="s">
        <v>10</v>
      </c>
    </row>
    <row r="1138" spans="1:8" ht="21.75" customHeight="1" x14ac:dyDescent="0.25">
      <c r="A1138" s="35">
        <v>44662</v>
      </c>
      <c r="B1138" s="90" t="s">
        <v>11757</v>
      </c>
      <c r="C1138" s="41" t="s">
        <v>39</v>
      </c>
      <c r="D1138" s="87">
        <v>25650.9</v>
      </c>
      <c r="E1138" s="35">
        <v>44669</v>
      </c>
      <c r="F1138" s="87">
        <v>25650.9</v>
      </c>
      <c r="G1138" s="91">
        <f>Tabla15[[#This Row],[Importe]]-Tabla15[[#This Row],[Pagado]]</f>
        <v>0</v>
      </c>
      <c r="H1138" s="92" t="s">
        <v>10</v>
      </c>
    </row>
    <row r="1139" spans="1:8" ht="21.75" customHeight="1" x14ac:dyDescent="0.25">
      <c r="A1139" s="35">
        <v>44662</v>
      </c>
      <c r="B1139" s="90" t="s">
        <v>11758</v>
      </c>
      <c r="C1139" s="41" t="s">
        <v>105</v>
      </c>
      <c r="D1139" s="87">
        <v>5720.9</v>
      </c>
      <c r="E1139" s="35">
        <v>44664</v>
      </c>
      <c r="F1139" s="87">
        <v>5720.9</v>
      </c>
      <c r="G1139" s="91">
        <f>Tabla15[[#This Row],[Importe]]-Tabla15[[#This Row],[Pagado]]</f>
        <v>0</v>
      </c>
      <c r="H1139" s="92" t="s">
        <v>10</v>
      </c>
    </row>
    <row r="1140" spans="1:8" ht="21.75" customHeight="1" x14ac:dyDescent="0.25">
      <c r="A1140" s="35">
        <v>44662</v>
      </c>
      <c r="B1140" s="90" t="s">
        <v>11759</v>
      </c>
      <c r="C1140" s="41" t="s">
        <v>114</v>
      </c>
      <c r="D1140" s="87">
        <v>5884.6</v>
      </c>
      <c r="E1140" s="35">
        <v>44663</v>
      </c>
      <c r="F1140" s="87">
        <v>5884.6</v>
      </c>
      <c r="G1140" s="91">
        <f>Tabla15[[#This Row],[Importe]]-Tabla15[[#This Row],[Pagado]]</f>
        <v>0</v>
      </c>
      <c r="H1140" s="92" t="s">
        <v>10</v>
      </c>
    </row>
    <row r="1141" spans="1:8" ht="21.75" customHeight="1" x14ac:dyDescent="0.25">
      <c r="A1141" s="35">
        <v>44662</v>
      </c>
      <c r="B1141" s="90" t="s">
        <v>11760</v>
      </c>
      <c r="C1141" s="41" t="s">
        <v>16</v>
      </c>
      <c r="D1141" s="87">
        <v>5455.8</v>
      </c>
      <c r="E1141" s="35">
        <v>44662</v>
      </c>
      <c r="F1141" s="87">
        <v>5455.8</v>
      </c>
      <c r="G1141" s="91">
        <f>Tabla15[[#This Row],[Importe]]-Tabla15[[#This Row],[Pagado]]</f>
        <v>0</v>
      </c>
      <c r="H1141" s="92" t="s">
        <v>10</v>
      </c>
    </row>
    <row r="1142" spans="1:8" ht="21.75" customHeight="1" x14ac:dyDescent="0.25">
      <c r="A1142" s="35">
        <v>44662</v>
      </c>
      <c r="B1142" s="90" t="s">
        <v>11761</v>
      </c>
      <c r="C1142" s="41" t="s">
        <v>326</v>
      </c>
      <c r="D1142" s="87">
        <v>4360.5</v>
      </c>
      <c r="E1142" s="35">
        <v>44667</v>
      </c>
      <c r="F1142" s="87">
        <v>4360.5</v>
      </c>
      <c r="G1142" s="91">
        <f>Tabla15[[#This Row],[Importe]]-Tabla15[[#This Row],[Pagado]]</f>
        <v>0</v>
      </c>
      <c r="H1142" s="92" t="s">
        <v>10</v>
      </c>
    </row>
    <row r="1143" spans="1:8" ht="21.75" customHeight="1" x14ac:dyDescent="0.25">
      <c r="A1143" s="35">
        <v>44662</v>
      </c>
      <c r="B1143" s="90" t="s">
        <v>11762</v>
      </c>
      <c r="C1143" s="41" t="s">
        <v>22</v>
      </c>
      <c r="D1143" s="87">
        <v>50716.9</v>
      </c>
      <c r="E1143" s="35">
        <v>44663</v>
      </c>
      <c r="F1143" s="87">
        <v>50716.9</v>
      </c>
      <c r="G1143" s="91">
        <f>Tabla15[[#This Row],[Importe]]-Tabla15[[#This Row],[Pagado]]</f>
        <v>0</v>
      </c>
      <c r="H1143" s="92" t="s">
        <v>10</v>
      </c>
    </row>
    <row r="1144" spans="1:8" ht="21.75" customHeight="1" x14ac:dyDescent="0.25">
      <c r="A1144" s="35">
        <v>44662</v>
      </c>
      <c r="B1144" s="90" t="s">
        <v>11763</v>
      </c>
      <c r="C1144" s="41" t="s">
        <v>135</v>
      </c>
      <c r="D1144" s="87">
        <v>1301.0999999999999</v>
      </c>
      <c r="E1144" s="35">
        <v>44662</v>
      </c>
      <c r="F1144" s="87">
        <v>1301.0999999999999</v>
      </c>
      <c r="G1144" s="91">
        <f>Tabla15[[#This Row],[Importe]]-Tabla15[[#This Row],[Pagado]]</f>
        <v>0</v>
      </c>
      <c r="H1144" s="92" t="s">
        <v>10</v>
      </c>
    </row>
    <row r="1145" spans="1:8" ht="21.75" customHeight="1" x14ac:dyDescent="0.25">
      <c r="A1145" s="35">
        <v>44662</v>
      </c>
      <c r="B1145" s="90" t="s">
        <v>11764</v>
      </c>
      <c r="C1145" s="41" t="s">
        <v>137</v>
      </c>
      <c r="D1145" s="87">
        <v>2800</v>
      </c>
      <c r="E1145" s="35">
        <v>44662</v>
      </c>
      <c r="F1145" s="87">
        <v>2800</v>
      </c>
      <c r="G1145" s="91">
        <f>Tabla15[[#This Row],[Importe]]-Tabla15[[#This Row],[Pagado]]</f>
        <v>0</v>
      </c>
      <c r="H1145" s="92" t="s">
        <v>10</v>
      </c>
    </row>
    <row r="1146" spans="1:8" ht="21.75" customHeight="1" x14ac:dyDescent="0.25">
      <c r="A1146" s="35">
        <v>44662</v>
      </c>
      <c r="B1146" s="90" t="s">
        <v>11765</v>
      </c>
      <c r="C1146" s="41" t="s">
        <v>27</v>
      </c>
      <c r="D1146" s="87">
        <v>2351.6999999999998</v>
      </c>
      <c r="E1146" s="35">
        <v>44662</v>
      </c>
      <c r="F1146" s="87">
        <v>2351.6999999999998</v>
      </c>
      <c r="G1146" s="91">
        <f>Tabla15[[#This Row],[Importe]]-Tabla15[[#This Row],[Pagado]]</f>
        <v>0</v>
      </c>
      <c r="H1146" s="92" t="s">
        <v>10</v>
      </c>
    </row>
    <row r="1147" spans="1:8" ht="21.75" customHeight="1" x14ac:dyDescent="0.25">
      <c r="A1147" s="35">
        <v>44662</v>
      </c>
      <c r="B1147" s="90" t="s">
        <v>11766</v>
      </c>
      <c r="C1147" s="41" t="s">
        <v>224</v>
      </c>
      <c r="D1147" s="87">
        <v>13517.1</v>
      </c>
      <c r="E1147" s="35">
        <v>44672</v>
      </c>
      <c r="F1147" s="87">
        <v>13517.1</v>
      </c>
      <c r="G1147" s="91">
        <f>Tabla15[[#This Row],[Importe]]-Tabla15[[#This Row],[Pagado]]</f>
        <v>0</v>
      </c>
      <c r="H1147" s="92" t="s">
        <v>10</v>
      </c>
    </row>
    <row r="1148" spans="1:8" ht="31.5" x14ac:dyDescent="0.25">
      <c r="A1148" s="35">
        <v>44662</v>
      </c>
      <c r="B1148" s="90" t="s">
        <v>11767</v>
      </c>
      <c r="C1148" s="41" t="s">
        <v>11506</v>
      </c>
      <c r="D1148" s="87">
        <v>0</v>
      </c>
      <c r="E1148" s="39" t="s">
        <v>189</v>
      </c>
      <c r="F1148" s="87">
        <v>0</v>
      </c>
      <c r="G1148" s="91">
        <f>Tabla15[[#This Row],[Importe]]-Tabla15[[#This Row],[Pagado]]</f>
        <v>0</v>
      </c>
      <c r="H1148" s="92" t="s">
        <v>189</v>
      </c>
    </row>
    <row r="1149" spans="1:8" ht="21.75" customHeight="1" x14ac:dyDescent="0.25">
      <c r="A1149" s="35">
        <v>44662</v>
      </c>
      <c r="B1149" s="90" t="s">
        <v>11768</v>
      </c>
      <c r="C1149" s="41" t="s">
        <v>49</v>
      </c>
      <c r="D1149" s="87">
        <v>2991.5</v>
      </c>
      <c r="E1149" s="35">
        <v>44662</v>
      </c>
      <c r="F1149" s="87">
        <v>2991.5</v>
      </c>
      <c r="G1149" s="91">
        <f>Tabla15[[#This Row],[Importe]]-Tabla15[[#This Row],[Pagado]]</f>
        <v>0</v>
      </c>
      <c r="H1149" s="92" t="s">
        <v>10</v>
      </c>
    </row>
    <row r="1150" spans="1:8" ht="21.75" customHeight="1" x14ac:dyDescent="0.25">
      <c r="A1150" s="35">
        <v>44662</v>
      </c>
      <c r="B1150" s="90" t="s">
        <v>11769</v>
      </c>
      <c r="C1150" s="41" t="s">
        <v>167</v>
      </c>
      <c r="D1150" s="87">
        <v>11109.2</v>
      </c>
      <c r="E1150" s="35">
        <v>44662</v>
      </c>
      <c r="F1150" s="87">
        <v>11109.2</v>
      </c>
      <c r="G1150" s="91">
        <f>Tabla15[[#This Row],[Importe]]-Tabla15[[#This Row],[Pagado]]</f>
        <v>0</v>
      </c>
      <c r="H1150" s="92" t="s">
        <v>10</v>
      </c>
    </row>
    <row r="1151" spans="1:8" ht="21.75" customHeight="1" x14ac:dyDescent="0.25">
      <c r="A1151" s="35">
        <v>44662</v>
      </c>
      <c r="B1151" s="90" t="s">
        <v>11770</v>
      </c>
      <c r="C1151" s="41" t="s">
        <v>47</v>
      </c>
      <c r="D1151" s="87">
        <v>15913.8</v>
      </c>
      <c r="E1151" s="35">
        <v>44662</v>
      </c>
      <c r="F1151" s="87">
        <v>15913.8</v>
      </c>
      <c r="G1151" s="91">
        <f>Tabla15[[#This Row],[Importe]]-Tabla15[[#This Row],[Pagado]]</f>
        <v>0</v>
      </c>
      <c r="H1151" s="92" t="s">
        <v>10</v>
      </c>
    </row>
    <row r="1152" spans="1:8" ht="21.75" customHeight="1" x14ac:dyDescent="0.25">
      <c r="A1152" s="35">
        <v>44662</v>
      </c>
      <c r="B1152" s="90" t="s">
        <v>11771</v>
      </c>
      <c r="C1152" s="41" t="s">
        <v>135</v>
      </c>
      <c r="D1152" s="87">
        <v>3923.1</v>
      </c>
      <c r="E1152" s="35">
        <v>44662</v>
      </c>
      <c r="F1152" s="87">
        <v>3923.1</v>
      </c>
      <c r="G1152" s="91">
        <f>Tabla15[[#This Row],[Importe]]-Tabla15[[#This Row],[Pagado]]</f>
        <v>0</v>
      </c>
      <c r="H1152" s="92" t="s">
        <v>10</v>
      </c>
    </row>
    <row r="1153" spans="1:8" ht="21.75" customHeight="1" x14ac:dyDescent="0.25">
      <c r="A1153" s="35">
        <v>44662</v>
      </c>
      <c r="B1153" s="90" t="s">
        <v>11772</v>
      </c>
      <c r="C1153" s="41" t="s">
        <v>924</v>
      </c>
      <c r="D1153" s="87">
        <v>7768.6</v>
      </c>
      <c r="E1153" s="35">
        <v>44662</v>
      </c>
      <c r="F1153" s="87">
        <v>7768.6</v>
      </c>
      <c r="G1153" s="91">
        <f>Tabla15[[#This Row],[Importe]]-Tabla15[[#This Row],[Pagado]]</f>
        <v>0</v>
      </c>
      <c r="H1153" s="92" t="s">
        <v>10</v>
      </c>
    </row>
    <row r="1154" spans="1:8" ht="31.5" x14ac:dyDescent="0.25">
      <c r="A1154" s="35">
        <v>44662</v>
      </c>
      <c r="B1154" s="90" t="s">
        <v>11773</v>
      </c>
      <c r="C1154" s="41" t="s">
        <v>196</v>
      </c>
      <c r="D1154" s="87">
        <v>66983.399999999994</v>
      </c>
      <c r="E1154" s="35">
        <v>44669</v>
      </c>
      <c r="F1154" s="87">
        <v>66983.399999999994</v>
      </c>
      <c r="G1154" s="91">
        <f>Tabla15[[#This Row],[Importe]]-Tabla15[[#This Row],[Pagado]]</f>
        <v>0</v>
      </c>
      <c r="H1154" s="92" t="s">
        <v>10</v>
      </c>
    </row>
    <row r="1155" spans="1:8" ht="21.75" customHeight="1" x14ac:dyDescent="0.25">
      <c r="A1155" s="35">
        <v>44662</v>
      </c>
      <c r="B1155" s="90" t="s">
        <v>11774</v>
      </c>
      <c r="C1155" s="41" t="s">
        <v>146</v>
      </c>
      <c r="D1155" s="87">
        <v>1896.6</v>
      </c>
      <c r="E1155" s="35">
        <v>44662</v>
      </c>
      <c r="F1155" s="87">
        <v>1896.6</v>
      </c>
      <c r="G1155" s="91">
        <f>Tabla15[[#This Row],[Importe]]-Tabla15[[#This Row],[Pagado]]</f>
        <v>0</v>
      </c>
      <c r="H1155" s="92" t="s">
        <v>10</v>
      </c>
    </row>
    <row r="1156" spans="1:8" ht="21.75" customHeight="1" x14ac:dyDescent="0.25">
      <c r="A1156" s="35">
        <v>44662</v>
      </c>
      <c r="B1156" s="90" t="s">
        <v>11775</v>
      </c>
      <c r="C1156" s="41" t="s">
        <v>107</v>
      </c>
      <c r="D1156" s="87">
        <v>4399.8</v>
      </c>
      <c r="E1156" s="35">
        <v>44662</v>
      </c>
      <c r="F1156" s="87">
        <v>4399.8</v>
      </c>
      <c r="G1156" s="91">
        <f>Tabla15[[#This Row],[Importe]]-Tabla15[[#This Row],[Pagado]]</f>
        <v>0</v>
      </c>
      <c r="H1156" s="92" t="s">
        <v>10</v>
      </c>
    </row>
    <row r="1157" spans="1:8" ht="21.75" customHeight="1" x14ac:dyDescent="0.25">
      <c r="A1157" s="35">
        <v>44662</v>
      </c>
      <c r="B1157" s="90" t="s">
        <v>11776</v>
      </c>
      <c r="C1157" s="41" t="s">
        <v>131</v>
      </c>
      <c r="D1157" s="87">
        <v>12084</v>
      </c>
      <c r="E1157" s="35">
        <v>44662</v>
      </c>
      <c r="F1157" s="87">
        <v>12084</v>
      </c>
      <c r="G1157" s="91">
        <f>Tabla15[[#This Row],[Importe]]-Tabla15[[#This Row],[Pagado]]</f>
        <v>0</v>
      </c>
      <c r="H1157" s="92" t="s">
        <v>10</v>
      </c>
    </row>
    <row r="1158" spans="1:8" ht="21.75" customHeight="1" x14ac:dyDescent="0.25">
      <c r="A1158" s="35">
        <v>44662</v>
      </c>
      <c r="B1158" s="90" t="s">
        <v>11777</v>
      </c>
      <c r="C1158" s="41" t="s">
        <v>11778</v>
      </c>
      <c r="D1158" s="87">
        <v>0</v>
      </c>
      <c r="E1158" s="39" t="s">
        <v>189</v>
      </c>
      <c r="F1158" s="87">
        <v>0</v>
      </c>
      <c r="G1158" s="91">
        <f>Tabla15[[#This Row],[Importe]]-Tabla15[[#This Row],[Pagado]]</f>
        <v>0</v>
      </c>
      <c r="H1158" s="92" t="s">
        <v>189</v>
      </c>
    </row>
    <row r="1159" spans="1:8" ht="21.75" customHeight="1" x14ac:dyDescent="0.25">
      <c r="A1159" s="35">
        <v>44662</v>
      </c>
      <c r="B1159" s="90" t="s">
        <v>11779</v>
      </c>
      <c r="C1159" s="41" t="s">
        <v>373</v>
      </c>
      <c r="D1159" s="87">
        <v>469.8</v>
      </c>
      <c r="E1159" s="35">
        <v>44662</v>
      </c>
      <c r="F1159" s="87">
        <v>469.8</v>
      </c>
      <c r="G1159" s="91">
        <f>Tabla15[[#This Row],[Importe]]-Tabla15[[#This Row],[Pagado]]</f>
        <v>0</v>
      </c>
      <c r="H1159" s="92" t="s">
        <v>10</v>
      </c>
    </row>
    <row r="1160" spans="1:8" ht="21.75" customHeight="1" x14ac:dyDescent="0.25">
      <c r="A1160" s="35">
        <v>44662</v>
      </c>
      <c r="B1160" s="90" t="s">
        <v>11780</v>
      </c>
      <c r="C1160" s="41" t="s">
        <v>11781</v>
      </c>
      <c r="D1160" s="87">
        <v>0</v>
      </c>
      <c r="E1160" s="39" t="s">
        <v>189</v>
      </c>
      <c r="F1160" s="87">
        <v>0</v>
      </c>
      <c r="G1160" s="91">
        <f>Tabla15[[#This Row],[Importe]]-Tabla15[[#This Row],[Pagado]]</f>
        <v>0</v>
      </c>
      <c r="H1160" s="92" t="s">
        <v>189</v>
      </c>
    </row>
    <row r="1161" spans="1:8" ht="21.75" customHeight="1" x14ac:dyDescent="0.25">
      <c r="A1161" s="35">
        <v>44662</v>
      </c>
      <c r="B1161" s="90" t="s">
        <v>11782</v>
      </c>
      <c r="C1161" s="41" t="s">
        <v>14</v>
      </c>
      <c r="D1161" s="87">
        <v>30826.7</v>
      </c>
      <c r="E1161" s="35">
        <v>44662</v>
      </c>
      <c r="F1161" s="87">
        <v>30826.7</v>
      </c>
      <c r="G1161" s="91">
        <f>Tabla15[[#This Row],[Importe]]-Tabla15[[#This Row],[Pagado]]</f>
        <v>0</v>
      </c>
      <c r="H1161" s="92" t="s">
        <v>10</v>
      </c>
    </row>
    <row r="1162" spans="1:8" ht="21.75" customHeight="1" x14ac:dyDescent="0.25">
      <c r="A1162" s="35">
        <v>44662</v>
      </c>
      <c r="B1162" s="90" t="s">
        <v>11783</v>
      </c>
      <c r="C1162" s="41" t="s">
        <v>1239</v>
      </c>
      <c r="D1162" s="87">
        <v>13005</v>
      </c>
      <c r="E1162" s="35">
        <v>44662</v>
      </c>
      <c r="F1162" s="87">
        <v>13005</v>
      </c>
      <c r="G1162" s="91">
        <f>Tabla15[[#This Row],[Importe]]-Tabla15[[#This Row],[Pagado]]</f>
        <v>0</v>
      </c>
      <c r="H1162" s="92" t="s">
        <v>10</v>
      </c>
    </row>
    <row r="1163" spans="1:8" ht="21.75" customHeight="1" x14ac:dyDescent="0.25">
      <c r="A1163" s="35">
        <v>44662</v>
      </c>
      <c r="B1163" s="90" t="s">
        <v>11784</v>
      </c>
      <c r="C1163" s="41" t="s">
        <v>1302</v>
      </c>
      <c r="D1163" s="87">
        <v>35661.599999999999</v>
      </c>
      <c r="E1163" s="35">
        <v>44662</v>
      </c>
      <c r="F1163" s="87">
        <v>35661.599999999999</v>
      </c>
      <c r="G1163" s="91">
        <f>Tabla15[[#This Row],[Importe]]-Tabla15[[#This Row],[Pagado]]</f>
        <v>0</v>
      </c>
      <c r="H1163" s="92" t="s">
        <v>10</v>
      </c>
    </row>
    <row r="1164" spans="1:8" ht="21.75" customHeight="1" x14ac:dyDescent="0.25">
      <c r="A1164" s="35">
        <v>44662</v>
      </c>
      <c r="B1164" s="90" t="s">
        <v>11785</v>
      </c>
      <c r="C1164" s="41" t="s">
        <v>142</v>
      </c>
      <c r="D1164" s="87">
        <v>40472.6</v>
      </c>
      <c r="E1164" s="35">
        <v>44706</v>
      </c>
      <c r="F1164" s="87">
        <v>40472.6</v>
      </c>
      <c r="G1164" s="91">
        <f>Tabla15[[#This Row],[Importe]]-Tabla15[[#This Row],[Pagado]]</f>
        <v>0</v>
      </c>
      <c r="H1164" s="92" t="s">
        <v>10</v>
      </c>
    </row>
    <row r="1165" spans="1:8" ht="21.75" customHeight="1" x14ac:dyDescent="0.25">
      <c r="A1165" s="35">
        <v>44662</v>
      </c>
      <c r="B1165" s="90" t="s">
        <v>11786</v>
      </c>
      <c r="C1165" s="41" t="s">
        <v>142</v>
      </c>
      <c r="D1165" s="87">
        <v>3906</v>
      </c>
      <c r="E1165" s="35">
        <v>44706</v>
      </c>
      <c r="F1165" s="87">
        <v>3906</v>
      </c>
      <c r="G1165" s="91">
        <f>Tabla15[[#This Row],[Importe]]-Tabla15[[#This Row],[Pagado]]</f>
        <v>0</v>
      </c>
      <c r="H1165" s="92" t="s">
        <v>10</v>
      </c>
    </row>
    <row r="1166" spans="1:8" ht="21.75" customHeight="1" x14ac:dyDescent="0.25">
      <c r="A1166" s="35">
        <v>44662</v>
      </c>
      <c r="B1166" s="90" t="s">
        <v>11787</v>
      </c>
      <c r="C1166" s="41" t="s">
        <v>45</v>
      </c>
      <c r="D1166" s="87">
        <v>13432.4</v>
      </c>
      <c r="E1166" s="35">
        <v>44662</v>
      </c>
      <c r="F1166" s="87">
        <v>13432.4</v>
      </c>
      <c r="G1166" s="91">
        <f>Tabla15[[#This Row],[Importe]]-Tabla15[[#This Row],[Pagado]]</f>
        <v>0</v>
      </c>
      <c r="H1166" s="92" t="s">
        <v>10</v>
      </c>
    </row>
    <row r="1167" spans="1:8" ht="31.5" x14ac:dyDescent="0.25">
      <c r="A1167" s="35">
        <v>44662</v>
      </c>
      <c r="B1167" s="90" t="s">
        <v>11788</v>
      </c>
      <c r="C1167" s="41" t="s">
        <v>392</v>
      </c>
      <c r="D1167" s="87">
        <v>12770.4</v>
      </c>
      <c r="E1167" s="35" t="s">
        <v>11789</v>
      </c>
      <c r="F1167" s="87">
        <f>7000+5770.4</f>
        <v>12770.4</v>
      </c>
      <c r="G1167" s="91">
        <f>Tabla15[[#This Row],[Importe]]-Tabla15[[#This Row],[Pagado]]</f>
        <v>0</v>
      </c>
      <c r="H1167" s="92" t="s">
        <v>10</v>
      </c>
    </row>
    <row r="1168" spans="1:8" ht="21.75" customHeight="1" x14ac:dyDescent="0.25">
      <c r="A1168" s="35">
        <v>44662</v>
      </c>
      <c r="B1168" s="90" t="s">
        <v>11790</v>
      </c>
      <c r="C1168" s="41" t="s">
        <v>56</v>
      </c>
      <c r="D1168" s="87">
        <v>6628.4</v>
      </c>
      <c r="E1168" s="35">
        <v>44662</v>
      </c>
      <c r="F1168" s="87">
        <v>6628.4</v>
      </c>
      <c r="G1168" s="91">
        <f>Tabla15[[#This Row],[Importe]]-Tabla15[[#This Row],[Pagado]]</f>
        <v>0</v>
      </c>
      <c r="H1168" s="92" t="s">
        <v>10</v>
      </c>
    </row>
    <row r="1169" spans="1:8" ht="21.75" customHeight="1" x14ac:dyDescent="0.25">
      <c r="A1169" s="35">
        <v>44662</v>
      </c>
      <c r="B1169" s="90" t="s">
        <v>11791</v>
      </c>
      <c r="C1169" s="41" t="s">
        <v>357</v>
      </c>
      <c r="D1169" s="87">
        <v>1043.4000000000001</v>
      </c>
      <c r="E1169" s="35">
        <v>44662</v>
      </c>
      <c r="F1169" s="87">
        <v>1043.4000000000001</v>
      </c>
      <c r="G1169" s="91">
        <f>Tabla15[[#This Row],[Importe]]-Tabla15[[#This Row],[Pagado]]</f>
        <v>0</v>
      </c>
      <c r="H1169" s="92" t="s">
        <v>10</v>
      </c>
    </row>
    <row r="1170" spans="1:8" ht="21.75" customHeight="1" x14ac:dyDescent="0.25">
      <c r="A1170" s="35">
        <v>44662</v>
      </c>
      <c r="B1170" s="90" t="s">
        <v>11792</v>
      </c>
      <c r="C1170" s="41" t="s">
        <v>140</v>
      </c>
      <c r="D1170" s="87">
        <v>946</v>
      </c>
      <c r="E1170" s="35">
        <v>44662</v>
      </c>
      <c r="F1170" s="87">
        <v>946</v>
      </c>
      <c r="G1170" s="91">
        <f>Tabla15[[#This Row],[Importe]]-Tabla15[[#This Row],[Pagado]]</f>
        <v>0</v>
      </c>
      <c r="H1170" s="92" t="s">
        <v>10</v>
      </c>
    </row>
    <row r="1171" spans="1:8" ht="21.75" customHeight="1" x14ac:dyDescent="0.25">
      <c r="A1171" s="35">
        <v>44662</v>
      </c>
      <c r="B1171" s="90" t="s">
        <v>11793</v>
      </c>
      <c r="C1171" s="41" t="s">
        <v>129</v>
      </c>
      <c r="D1171" s="87">
        <v>1804</v>
      </c>
      <c r="E1171" s="35">
        <v>44662</v>
      </c>
      <c r="F1171" s="87">
        <v>1804</v>
      </c>
      <c r="G1171" s="91">
        <f>Tabla15[[#This Row],[Importe]]-Tabla15[[#This Row],[Pagado]]</f>
        <v>0</v>
      </c>
      <c r="H1171" s="92" t="s">
        <v>10</v>
      </c>
    </row>
    <row r="1172" spans="1:8" ht="21.75" customHeight="1" x14ac:dyDescent="0.25">
      <c r="A1172" s="35">
        <v>44662</v>
      </c>
      <c r="B1172" s="90" t="s">
        <v>11794</v>
      </c>
      <c r="C1172" s="41" t="s">
        <v>24</v>
      </c>
      <c r="D1172" s="87">
        <v>2982.4</v>
      </c>
      <c r="E1172" s="35">
        <v>44662</v>
      </c>
      <c r="F1172" s="87">
        <v>2982.4</v>
      </c>
      <c r="G1172" s="91">
        <f>Tabla15[[#This Row],[Importe]]-Tabla15[[#This Row],[Pagado]]</f>
        <v>0</v>
      </c>
      <c r="H1172" s="92" t="s">
        <v>10</v>
      </c>
    </row>
    <row r="1173" spans="1:8" ht="21.75" customHeight="1" x14ac:dyDescent="0.25">
      <c r="A1173" s="35">
        <v>44662</v>
      </c>
      <c r="B1173" s="90" t="s">
        <v>11795</v>
      </c>
      <c r="C1173" s="41" t="s">
        <v>214</v>
      </c>
      <c r="D1173" s="87">
        <v>15683</v>
      </c>
      <c r="E1173" s="35">
        <v>44662</v>
      </c>
      <c r="F1173" s="87">
        <v>15683</v>
      </c>
      <c r="G1173" s="91">
        <f>Tabla15[[#This Row],[Importe]]-Tabla15[[#This Row],[Pagado]]</f>
        <v>0</v>
      </c>
      <c r="H1173" s="92" t="s">
        <v>10</v>
      </c>
    </row>
    <row r="1174" spans="1:8" ht="21.75" customHeight="1" x14ac:dyDescent="0.25">
      <c r="A1174" s="35">
        <v>44662</v>
      </c>
      <c r="B1174" s="90" t="s">
        <v>11796</v>
      </c>
      <c r="C1174" s="41" t="s">
        <v>24</v>
      </c>
      <c r="D1174" s="87">
        <v>517</v>
      </c>
      <c r="E1174" s="35">
        <v>44662</v>
      </c>
      <c r="F1174" s="87">
        <v>517</v>
      </c>
      <c r="G1174" s="91">
        <f>Tabla15[[#This Row],[Importe]]-Tabla15[[#This Row],[Pagado]]</f>
        <v>0</v>
      </c>
      <c r="H1174" s="92" t="s">
        <v>10</v>
      </c>
    </row>
    <row r="1175" spans="1:8" ht="21.75" customHeight="1" x14ac:dyDescent="0.25">
      <c r="A1175" s="35">
        <v>44662</v>
      </c>
      <c r="B1175" s="90" t="s">
        <v>11797</v>
      </c>
      <c r="C1175" s="41" t="s">
        <v>382</v>
      </c>
      <c r="D1175" s="87">
        <v>8586</v>
      </c>
      <c r="E1175" s="35">
        <v>44662</v>
      </c>
      <c r="F1175" s="87">
        <v>8586</v>
      </c>
      <c r="G1175" s="91">
        <f>Tabla15[[#This Row],[Importe]]-Tabla15[[#This Row],[Pagado]]</f>
        <v>0</v>
      </c>
      <c r="H1175" s="92" t="s">
        <v>10</v>
      </c>
    </row>
    <row r="1176" spans="1:8" ht="21.75" customHeight="1" x14ac:dyDescent="0.25">
      <c r="A1176" s="35">
        <v>44662</v>
      </c>
      <c r="B1176" s="90" t="s">
        <v>11798</v>
      </c>
      <c r="C1176" s="41" t="s">
        <v>240</v>
      </c>
      <c r="D1176" s="87">
        <v>10915.6</v>
      </c>
      <c r="E1176" s="35">
        <v>44662</v>
      </c>
      <c r="F1176" s="87">
        <v>10915.6</v>
      </c>
      <c r="G1176" s="91">
        <f>Tabla15[[#This Row],[Importe]]-Tabla15[[#This Row],[Pagado]]</f>
        <v>0</v>
      </c>
      <c r="H1176" s="92" t="s">
        <v>10</v>
      </c>
    </row>
    <row r="1177" spans="1:8" ht="21.75" customHeight="1" x14ac:dyDescent="0.25">
      <c r="A1177" s="35">
        <v>44662</v>
      </c>
      <c r="B1177" s="90" t="s">
        <v>11799</v>
      </c>
      <c r="C1177" s="41" t="s">
        <v>127</v>
      </c>
      <c r="D1177" s="87">
        <v>4056</v>
      </c>
      <c r="E1177" s="35">
        <v>44662</v>
      </c>
      <c r="F1177" s="87">
        <v>4056</v>
      </c>
      <c r="G1177" s="91">
        <f>Tabla15[[#This Row],[Importe]]-Tabla15[[#This Row],[Pagado]]</f>
        <v>0</v>
      </c>
      <c r="H1177" s="92" t="s">
        <v>10</v>
      </c>
    </row>
    <row r="1178" spans="1:8" ht="21.75" customHeight="1" x14ac:dyDescent="0.25">
      <c r="A1178" s="35">
        <v>44662</v>
      </c>
      <c r="B1178" s="90" t="s">
        <v>11800</v>
      </c>
      <c r="C1178" s="41" t="s">
        <v>175</v>
      </c>
      <c r="D1178" s="87">
        <v>5320</v>
      </c>
      <c r="E1178" s="35">
        <v>44663</v>
      </c>
      <c r="F1178" s="87">
        <v>5320</v>
      </c>
      <c r="G1178" s="91">
        <f>Tabla15[[#This Row],[Importe]]-Tabla15[[#This Row],[Pagado]]</f>
        <v>0</v>
      </c>
      <c r="H1178" s="92" t="s">
        <v>10</v>
      </c>
    </row>
    <row r="1179" spans="1:8" ht="21.75" customHeight="1" x14ac:dyDescent="0.25">
      <c r="A1179" s="35">
        <v>44662</v>
      </c>
      <c r="B1179" s="90" t="s">
        <v>11801</v>
      </c>
      <c r="C1179" s="41" t="s">
        <v>181</v>
      </c>
      <c r="D1179" s="87">
        <v>10216.6</v>
      </c>
      <c r="E1179" s="35">
        <v>44663</v>
      </c>
      <c r="F1179" s="87">
        <v>10216.6</v>
      </c>
      <c r="G1179" s="91">
        <f>Tabla15[[#This Row],[Importe]]-Tabla15[[#This Row],[Pagado]]</f>
        <v>0</v>
      </c>
      <c r="H1179" s="92" t="s">
        <v>10</v>
      </c>
    </row>
    <row r="1180" spans="1:8" ht="21.75" customHeight="1" x14ac:dyDescent="0.25">
      <c r="A1180" s="35">
        <v>44662</v>
      </c>
      <c r="B1180" s="90" t="s">
        <v>11802</v>
      </c>
      <c r="C1180" s="41" t="s">
        <v>212</v>
      </c>
      <c r="D1180" s="87">
        <v>39319.199999999997</v>
      </c>
      <c r="E1180" s="35">
        <v>44664</v>
      </c>
      <c r="F1180" s="87">
        <v>39319.199999999997</v>
      </c>
      <c r="G1180" s="91">
        <f>Tabla15[[#This Row],[Importe]]-Tabla15[[#This Row],[Pagado]]</f>
        <v>0</v>
      </c>
      <c r="H1180" s="92" t="s">
        <v>10</v>
      </c>
    </row>
    <row r="1181" spans="1:8" ht="21.75" customHeight="1" x14ac:dyDescent="0.25">
      <c r="A1181" s="35">
        <v>44662</v>
      </c>
      <c r="B1181" s="90" t="s">
        <v>11803</v>
      </c>
      <c r="C1181" s="41" t="s">
        <v>473</v>
      </c>
      <c r="D1181" s="87">
        <v>9610.7999999999993</v>
      </c>
      <c r="E1181" s="35">
        <v>44663</v>
      </c>
      <c r="F1181" s="87">
        <v>9610.7999999999993</v>
      </c>
      <c r="G1181" s="91">
        <f>Tabla15[[#This Row],[Importe]]-Tabla15[[#This Row],[Pagado]]</f>
        <v>0</v>
      </c>
      <c r="H1181" s="92" t="s">
        <v>10</v>
      </c>
    </row>
    <row r="1182" spans="1:8" ht="21.75" customHeight="1" x14ac:dyDescent="0.25">
      <c r="A1182" s="35">
        <v>44662</v>
      </c>
      <c r="B1182" s="90" t="s">
        <v>11804</v>
      </c>
      <c r="C1182" s="41" t="s">
        <v>426</v>
      </c>
      <c r="D1182" s="87">
        <v>2820</v>
      </c>
      <c r="E1182" s="35">
        <v>44663</v>
      </c>
      <c r="F1182" s="87">
        <v>2820</v>
      </c>
      <c r="G1182" s="91">
        <f>Tabla15[[#This Row],[Importe]]-Tabla15[[#This Row],[Pagado]]</f>
        <v>0</v>
      </c>
      <c r="H1182" s="92" t="s">
        <v>10</v>
      </c>
    </row>
    <row r="1183" spans="1:8" ht="21.75" customHeight="1" x14ac:dyDescent="0.25">
      <c r="A1183" s="35">
        <v>44662</v>
      </c>
      <c r="B1183" s="90" t="s">
        <v>11805</v>
      </c>
      <c r="C1183" s="41" t="s">
        <v>208</v>
      </c>
      <c r="D1183" s="87">
        <v>7022.2</v>
      </c>
      <c r="E1183" s="35">
        <v>44667</v>
      </c>
      <c r="F1183" s="87">
        <v>7022.2</v>
      </c>
      <c r="G1183" s="91">
        <f>Tabla15[[#This Row],[Importe]]-Tabla15[[#This Row],[Pagado]]</f>
        <v>0</v>
      </c>
      <c r="H1183" s="92" t="s">
        <v>10</v>
      </c>
    </row>
    <row r="1184" spans="1:8" ht="21.75" customHeight="1" x14ac:dyDescent="0.25">
      <c r="A1184" s="35">
        <v>44662</v>
      </c>
      <c r="B1184" s="90" t="s">
        <v>11806</v>
      </c>
      <c r="C1184" s="41" t="s">
        <v>53</v>
      </c>
      <c r="D1184" s="87">
        <v>473</v>
      </c>
      <c r="E1184" s="35">
        <v>44662</v>
      </c>
      <c r="F1184" s="87">
        <v>473</v>
      </c>
      <c r="G1184" s="91">
        <f>Tabla15[[#This Row],[Importe]]-Tabla15[[#This Row],[Pagado]]</f>
        <v>0</v>
      </c>
      <c r="H1184" s="92" t="s">
        <v>10</v>
      </c>
    </row>
    <row r="1185" spans="1:8" ht="21.75" customHeight="1" x14ac:dyDescent="0.25">
      <c r="A1185" s="35">
        <v>44662</v>
      </c>
      <c r="B1185" s="90" t="s">
        <v>11807</v>
      </c>
      <c r="C1185" s="41" t="s">
        <v>216</v>
      </c>
      <c r="D1185" s="87">
        <v>728.8</v>
      </c>
      <c r="E1185" s="35">
        <v>44662</v>
      </c>
      <c r="F1185" s="87">
        <v>728.8</v>
      </c>
      <c r="G1185" s="91">
        <f>Tabla15[[#This Row],[Importe]]-Tabla15[[#This Row],[Pagado]]</f>
        <v>0</v>
      </c>
      <c r="H1185" s="92" t="s">
        <v>10</v>
      </c>
    </row>
    <row r="1186" spans="1:8" ht="21.75" customHeight="1" x14ac:dyDescent="0.25">
      <c r="A1186" s="35">
        <v>44662</v>
      </c>
      <c r="B1186" s="90" t="s">
        <v>11808</v>
      </c>
      <c r="C1186" s="41" t="s">
        <v>1481</v>
      </c>
      <c r="D1186" s="87">
        <v>944</v>
      </c>
      <c r="E1186" s="35">
        <v>44663</v>
      </c>
      <c r="F1186" s="87">
        <v>944</v>
      </c>
      <c r="G1186" s="91">
        <f>Tabla15[[#This Row],[Importe]]-Tabla15[[#This Row],[Pagado]]</f>
        <v>0</v>
      </c>
      <c r="H1186" s="92" t="s">
        <v>10</v>
      </c>
    </row>
    <row r="1187" spans="1:8" ht="21.75" customHeight="1" x14ac:dyDescent="0.25">
      <c r="A1187" s="35">
        <v>44662</v>
      </c>
      <c r="B1187" s="90" t="s">
        <v>11809</v>
      </c>
      <c r="C1187" s="41" t="s">
        <v>58</v>
      </c>
      <c r="D1187" s="87">
        <v>5871.8</v>
      </c>
      <c r="E1187" s="35">
        <v>44662</v>
      </c>
      <c r="F1187" s="87">
        <v>5871.8</v>
      </c>
      <c r="G1187" s="91">
        <f>Tabla15[[#This Row],[Importe]]-Tabla15[[#This Row],[Pagado]]</f>
        <v>0</v>
      </c>
      <c r="H1187" s="92" t="s">
        <v>10</v>
      </c>
    </row>
    <row r="1188" spans="1:8" ht="21.75" customHeight="1" x14ac:dyDescent="0.25">
      <c r="A1188" s="35">
        <v>44662</v>
      </c>
      <c r="B1188" s="90" t="s">
        <v>11810</v>
      </c>
      <c r="C1188" s="41" t="s">
        <v>216</v>
      </c>
      <c r="D1188" s="87">
        <v>84</v>
      </c>
      <c r="E1188" s="35">
        <v>44662</v>
      </c>
      <c r="F1188" s="87">
        <v>84</v>
      </c>
      <c r="G1188" s="91">
        <f>Tabla15[[#This Row],[Importe]]-Tabla15[[#This Row],[Pagado]]</f>
        <v>0</v>
      </c>
      <c r="H1188" s="92" t="s">
        <v>10</v>
      </c>
    </row>
    <row r="1189" spans="1:8" ht="21.75" customHeight="1" x14ac:dyDescent="0.25">
      <c r="A1189" s="35">
        <v>44662</v>
      </c>
      <c r="B1189" s="90" t="s">
        <v>11811</v>
      </c>
      <c r="C1189" s="41" t="s">
        <v>75</v>
      </c>
      <c r="D1189" s="87">
        <v>7171.2</v>
      </c>
      <c r="E1189" s="35">
        <v>44663</v>
      </c>
      <c r="F1189" s="87">
        <v>7171.2</v>
      </c>
      <c r="G1189" s="91">
        <f>Tabla15[[#This Row],[Importe]]-Tabla15[[#This Row],[Pagado]]</f>
        <v>0</v>
      </c>
      <c r="H1189" s="92" t="s">
        <v>10</v>
      </c>
    </row>
    <row r="1190" spans="1:8" ht="21.75" customHeight="1" x14ac:dyDescent="0.25">
      <c r="A1190" s="35">
        <v>44662</v>
      </c>
      <c r="B1190" s="90" t="s">
        <v>11812</v>
      </c>
      <c r="C1190" s="41" t="s">
        <v>179</v>
      </c>
      <c r="D1190" s="87">
        <v>896.4</v>
      </c>
      <c r="E1190" s="35">
        <v>44663</v>
      </c>
      <c r="F1190" s="87">
        <v>896.4</v>
      </c>
      <c r="G1190" s="91">
        <f>Tabla15[[#This Row],[Importe]]-Tabla15[[#This Row],[Pagado]]</f>
        <v>0</v>
      </c>
      <c r="H1190" s="92" t="s">
        <v>10</v>
      </c>
    </row>
    <row r="1191" spans="1:8" ht="21.75" customHeight="1" x14ac:dyDescent="0.25">
      <c r="A1191" s="35">
        <v>44662</v>
      </c>
      <c r="B1191" s="90" t="s">
        <v>11813</v>
      </c>
      <c r="C1191" s="41" t="s">
        <v>154</v>
      </c>
      <c r="D1191" s="87">
        <v>44958.76</v>
      </c>
      <c r="E1191" s="35">
        <v>44665</v>
      </c>
      <c r="F1191" s="87">
        <v>44958.76</v>
      </c>
      <c r="G1191" s="91">
        <f>Tabla15[[#This Row],[Importe]]-Tabla15[[#This Row],[Pagado]]</f>
        <v>0</v>
      </c>
      <c r="H1191" s="92" t="s">
        <v>10</v>
      </c>
    </row>
    <row r="1192" spans="1:8" ht="21.75" customHeight="1" x14ac:dyDescent="0.25">
      <c r="A1192" s="35">
        <v>44662</v>
      </c>
      <c r="B1192" s="90" t="s">
        <v>11814</v>
      </c>
      <c r="C1192" s="41" t="s">
        <v>1965</v>
      </c>
      <c r="D1192" s="87">
        <v>6751.7</v>
      </c>
      <c r="E1192" s="35">
        <v>44662</v>
      </c>
      <c r="F1192" s="87">
        <v>6751.7</v>
      </c>
      <c r="G1192" s="91">
        <f>Tabla15[[#This Row],[Importe]]-Tabla15[[#This Row],[Pagado]]</f>
        <v>0</v>
      </c>
      <c r="H1192" s="92" t="s">
        <v>10</v>
      </c>
    </row>
    <row r="1193" spans="1:8" ht="21.75" customHeight="1" x14ac:dyDescent="0.25">
      <c r="A1193" s="35">
        <v>44662</v>
      </c>
      <c r="B1193" s="90" t="s">
        <v>11815</v>
      </c>
      <c r="C1193" s="41" t="s">
        <v>282</v>
      </c>
      <c r="D1193" s="87">
        <v>2008.8</v>
      </c>
      <c r="E1193" s="35">
        <v>44663</v>
      </c>
      <c r="F1193" s="87">
        <v>2008.8</v>
      </c>
      <c r="G1193" s="91">
        <f>Tabla15[[#This Row],[Importe]]-Tabla15[[#This Row],[Pagado]]</f>
        <v>0</v>
      </c>
      <c r="H1193" s="92" t="s">
        <v>10</v>
      </c>
    </row>
    <row r="1194" spans="1:8" ht="21.75" customHeight="1" x14ac:dyDescent="0.25">
      <c r="A1194" s="35">
        <v>44662</v>
      </c>
      <c r="B1194" s="90" t="s">
        <v>11816</v>
      </c>
      <c r="C1194" s="41" t="s">
        <v>280</v>
      </c>
      <c r="D1194" s="87">
        <v>572.4</v>
      </c>
      <c r="E1194" s="35">
        <v>44663</v>
      </c>
      <c r="F1194" s="87">
        <v>572.4</v>
      </c>
      <c r="G1194" s="91">
        <f>Tabla15[[#This Row],[Importe]]-Tabla15[[#This Row],[Pagado]]</f>
        <v>0</v>
      </c>
      <c r="H1194" s="92" t="s">
        <v>10</v>
      </c>
    </row>
    <row r="1195" spans="1:8" ht="21.75" customHeight="1" x14ac:dyDescent="0.25">
      <c r="A1195" s="35">
        <v>44662</v>
      </c>
      <c r="B1195" s="90" t="s">
        <v>11817</v>
      </c>
      <c r="C1195" s="41" t="s">
        <v>284</v>
      </c>
      <c r="D1195" s="87">
        <v>3034.8</v>
      </c>
      <c r="E1195" s="35">
        <v>44663</v>
      </c>
      <c r="F1195" s="87">
        <v>3034.8</v>
      </c>
      <c r="G1195" s="91">
        <f>Tabla15[[#This Row],[Importe]]-Tabla15[[#This Row],[Pagado]]</f>
        <v>0</v>
      </c>
      <c r="H1195" s="92" t="s">
        <v>10</v>
      </c>
    </row>
    <row r="1196" spans="1:8" ht="21.75" customHeight="1" x14ac:dyDescent="0.25">
      <c r="A1196" s="35">
        <v>44662</v>
      </c>
      <c r="B1196" s="90" t="s">
        <v>11818</v>
      </c>
      <c r="C1196" s="41" t="s">
        <v>5345</v>
      </c>
      <c r="D1196" s="87">
        <v>1571.4</v>
      </c>
      <c r="E1196" s="35">
        <v>44663</v>
      </c>
      <c r="F1196" s="87">
        <v>1571.4</v>
      </c>
      <c r="G1196" s="91">
        <f>Tabla15[[#This Row],[Importe]]-Tabla15[[#This Row],[Pagado]]</f>
        <v>0</v>
      </c>
      <c r="H1196" s="92" t="s">
        <v>10</v>
      </c>
    </row>
    <row r="1197" spans="1:8" ht="21.75" customHeight="1" x14ac:dyDescent="0.25">
      <c r="A1197" s="35">
        <v>44662</v>
      </c>
      <c r="B1197" s="90" t="s">
        <v>11819</v>
      </c>
      <c r="C1197" s="41" t="s">
        <v>9415</v>
      </c>
      <c r="D1197" s="87">
        <v>10503</v>
      </c>
      <c r="E1197" s="35">
        <v>44663</v>
      </c>
      <c r="F1197" s="87">
        <v>10503</v>
      </c>
      <c r="G1197" s="91">
        <f>Tabla15[[#This Row],[Importe]]-Tabla15[[#This Row],[Pagado]]</f>
        <v>0</v>
      </c>
      <c r="H1197" s="92" t="s">
        <v>10</v>
      </c>
    </row>
    <row r="1198" spans="1:8" ht="21.75" customHeight="1" x14ac:dyDescent="0.25">
      <c r="A1198" s="35">
        <v>44662</v>
      </c>
      <c r="B1198" s="90" t="s">
        <v>11820</v>
      </c>
      <c r="C1198" s="41" t="s">
        <v>218</v>
      </c>
      <c r="D1198" s="87">
        <v>16395.599999999999</v>
      </c>
      <c r="E1198" s="35">
        <v>44665</v>
      </c>
      <c r="F1198" s="87">
        <v>16395.599999999999</v>
      </c>
      <c r="G1198" s="91">
        <f>Tabla15[[#This Row],[Importe]]-Tabla15[[#This Row],[Pagado]]</f>
        <v>0</v>
      </c>
      <c r="H1198" s="92" t="s">
        <v>10</v>
      </c>
    </row>
    <row r="1199" spans="1:8" ht="21.75" customHeight="1" x14ac:dyDescent="0.25">
      <c r="A1199" s="35">
        <v>44662</v>
      </c>
      <c r="B1199" s="90" t="s">
        <v>11821</v>
      </c>
      <c r="C1199" s="41" t="s">
        <v>191</v>
      </c>
      <c r="D1199" s="87">
        <v>1568</v>
      </c>
      <c r="E1199" s="35">
        <v>44662</v>
      </c>
      <c r="F1199" s="87">
        <v>1568</v>
      </c>
      <c r="G1199" s="91">
        <f>Tabla15[[#This Row],[Importe]]-Tabla15[[#This Row],[Pagado]]</f>
        <v>0</v>
      </c>
      <c r="H1199" s="92" t="s">
        <v>10</v>
      </c>
    </row>
    <row r="1200" spans="1:8" ht="21.75" customHeight="1" x14ac:dyDescent="0.25">
      <c r="A1200" s="35">
        <v>44662</v>
      </c>
      <c r="B1200" s="90" t="s">
        <v>11822</v>
      </c>
      <c r="C1200" s="41" t="s">
        <v>698</v>
      </c>
      <c r="D1200" s="87">
        <v>6117.3</v>
      </c>
      <c r="E1200" s="35">
        <v>44662</v>
      </c>
      <c r="F1200" s="87">
        <v>6117.3</v>
      </c>
      <c r="G1200" s="91">
        <f>Tabla15[[#This Row],[Importe]]-Tabla15[[#This Row],[Pagado]]</f>
        <v>0</v>
      </c>
      <c r="H1200" s="92" t="s">
        <v>10</v>
      </c>
    </row>
    <row r="1201" spans="1:8" ht="21.75" customHeight="1" x14ac:dyDescent="0.25">
      <c r="A1201" s="35">
        <v>44662</v>
      </c>
      <c r="B1201" s="90" t="s">
        <v>11823</v>
      </c>
      <c r="C1201" s="41" t="s">
        <v>4136</v>
      </c>
      <c r="D1201" s="87">
        <v>1711.2</v>
      </c>
      <c r="E1201" s="35">
        <v>44662</v>
      </c>
      <c r="F1201" s="87">
        <v>1711.2</v>
      </c>
      <c r="G1201" s="91">
        <f>Tabla15[[#This Row],[Importe]]-Tabla15[[#This Row],[Pagado]]</f>
        <v>0</v>
      </c>
      <c r="H1201" s="92" t="s">
        <v>10</v>
      </c>
    </row>
    <row r="1202" spans="1:8" ht="21.75" customHeight="1" x14ac:dyDescent="0.25">
      <c r="A1202" s="35">
        <v>44662</v>
      </c>
      <c r="B1202" s="90" t="s">
        <v>11824</v>
      </c>
      <c r="C1202" s="41" t="s">
        <v>133</v>
      </c>
      <c r="D1202" s="87">
        <v>13413.6</v>
      </c>
      <c r="E1202" s="35">
        <v>44663</v>
      </c>
      <c r="F1202" s="87">
        <v>13413.6</v>
      </c>
      <c r="G1202" s="91">
        <f>Tabla15[[#This Row],[Importe]]-Tabla15[[#This Row],[Pagado]]</f>
        <v>0</v>
      </c>
      <c r="H1202" s="92" t="s">
        <v>10</v>
      </c>
    </row>
    <row r="1203" spans="1:8" ht="21.75" customHeight="1" x14ac:dyDescent="0.25">
      <c r="A1203" s="35">
        <v>44662</v>
      </c>
      <c r="B1203" s="90" t="s">
        <v>11825</v>
      </c>
      <c r="C1203" s="41" t="s">
        <v>541</v>
      </c>
      <c r="D1203" s="87">
        <v>18792</v>
      </c>
      <c r="E1203" s="35">
        <v>44668</v>
      </c>
      <c r="F1203" s="87">
        <v>18792</v>
      </c>
      <c r="G1203" s="91">
        <f>Tabla15[[#This Row],[Importe]]-Tabla15[[#This Row],[Pagado]]</f>
        <v>0</v>
      </c>
      <c r="H1203" s="92" t="s">
        <v>10</v>
      </c>
    </row>
    <row r="1204" spans="1:8" ht="21.75" customHeight="1" x14ac:dyDescent="0.25">
      <c r="A1204" s="35">
        <v>44662</v>
      </c>
      <c r="B1204" s="90" t="s">
        <v>11826</v>
      </c>
      <c r="C1204" s="41" t="s">
        <v>3402</v>
      </c>
      <c r="D1204" s="87">
        <v>3019.5</v>
      </c>
      <c r="E1204" s="35">
        <v>44662</v>
      </c>
      <c r="F1204" s="87">
        <v>3019.5</v>
      </c>
      <c r="G1204" s="91">
        <f>Tabla15[[#This Row],[Importe]]-Tabla15[[#This Row],[Pagado]]</f>
        <v>0</v>
      </c>
      <c r="H1204" s="92" t="s">
        <v>10</v>
      </c>
    </row>
    <row r="1205" spans="1:8" ht="21.75" customHeight="1" x14ac:dyDescent="0.25">
      <c r="A1205" s="35">
        <v>44662</v>
      </c>
      <c r="B1205" s="90" t="s">
        <v>11827</v>
      </c>
      <c r="C1205" s="41" t="s">
        <v>10157</v>
      </c>
      <c r="D1205" s="87">
        <v>3043.9</v>
      </c>
      <c r="E1205" s="35">
        <v>44663</v>
      </c>
      <c r="F1205" s="87">
        <v>3043.9</v>
      </c>
      <c r="G1205" s="91">
        <f>Tabla15[[#This Row],[Importe]]-Tabla15[[#This Row],[Pagado]]</f>
        <v>0</v>
      </c>
      <c r="H1205" s="92" t="s">
        <v>10</v>
      </c>
    </row>
    <row r="1206" spans="1:8" ht="21.75" customHeight="1" x14ac:dyDescent="0.25">
      <c r="A1206" s="35">
        <v>44662</v>
      </c>
      <c r="B1206" s="90" t="s">
        <v>11828</v>
      </c>
      <c r="C1206" s="41" t="s">
        <v>173</v>
      </c>
      <c r="D1206" s="87">
        <v>36937.4</v>
      </c>
      <c r="E1206" s="35">
        <v>44663</v>
      </c>
      <c r="F1206" s="87">
        <v>36937.4</v>
      </c>
      <c r="G1206" s="91">
        <f>Tabla15[[#This Row],[Importe]]-Tabla15[[#This Row],[Pagado]]</f>
        <v>0</v>
      </c>
      <c r="H1206" s="92" t="s">
        <v>10</v>
      </c>
    </row>
    <row r="1207" spans="1:8" ht="21.75" customHeight="1" x14ac:dyDescent="0.25">
      <c r="A1207" s="35">
        <v>44662</v>
      </c>
      <c r="B1207" s="90" t="s">
        <v>11829</v>
      </c>
      <c r="C1207" s="41" t="s">
        <v>5816</v>
      </c>
      <c r="D1207" s="87">
        <v>7040</v>
      </c>
      <c r="E1207" s="35">
        <v>44663</v>
      </c>
      <c r="F1207" s="87">
        <v>7040</v>
      </c>
      <c r="G1207" s="91">
        <f>Tabla15[[#This Row],[Importe]]-Tabla15[[#This Row],[Pagado]]</f>
        <v>0</v>
      </c>
      <c r="H1207" s="92" t="s">
        <v>10</v>
      </c>
    </row>
    <row r="1208" spans="1:8" ht="21.75" customHeight="1" x14ac:dyDescent="0.25">
      <c r="A1208" s="35">
        <v>44662</v>
      </c>
      <c r="B1208" s="90" t="s">
        <v>11830</v>
      </c>
      <c r="C1208" s="41" t="s">
        <v>206</v>
      </c>
      <c r="D1208" s="87">
        <v>29717.66</v>
      </c>
      <c r="E1208" s="35">
        <v>44665</v>
      </c>
      <c r="F1208" s="87">
        <v>29717.66</v>
      </c>
      <c r="G1208" s="91">
        <f>Tabla15[[#This Row],[Importe]]-Tabla15[[#This Row],[Pagado]]</f>
        <v>0</v>
      </c>
      <c r="H1208" s="92" t="s">
        <v>10</v>
      </c>
    </row>
    <row r="1209" spans="1:8" ht="21.75" customHeight="1" x14ac:dyDescent="0.25">
      <c r="A1209" s="35">
        <v>44662</v>
      </c>
      <c r="B1209" s="90" t="s">
        <v>11831</v>
      </c>
      <c r="C1209" s="41" t="s">
        <v>857</v>
      </c>
      <c r="D1209" s="87">
        <v>803.2</v>
      </c>
      <c r="E1209" s="35">
        <v>44662</v>
      </c>
      <c r="F1209" s="87">
        <v>803.2</v>
      </c>
      <c r="G1209" s="91">
        <f>Tabla15[[#This Row],[Importe]]-Tabla15[[#This Row],[Pagado]]</f>
        <v>0</v>
      </c>
      <c r="H1209" s="92" t="s">
        <v>10</v>
      </c>
    </row>
    <row r="1210" spans="1:8" ht="21.75" customHeight="1" x14ac:dyDescent="0.25">
      <c r="A1210" s="35">
        <v>44662</v>
      </c>
      <c r="B1210" s="90" t="s">
        <v>11832</v>
      </c>
      <c r="C1210" s="41" t="s">
        <v>592</v>
      </c>
      <c r="D1210" s="87">
        <v>30510</v>
      </c>
      <c r="E1210" s="35">
        <v>44674</v>
      </c>
      <c r="F1210" s="87">
        <v>30510</v>
      </c>
      <c r="G1210" s="91">
        <f>Tabla15[[#This Row],[Importe]]-Tabla15[[#This Row],[Pagado]]</f>
        <v>0</v>
      </c>
      <c r="H1210" s="92" t="s">
        <v>10</v>
      </c>
    </row>
    <row r="1211" spans="1:8" ht="21.75" customHeight="1" x14ac:dyDescent="0.25">
      <c r="A1211" s="35">
        <v>44662</v>
      </c>
      <c r="B1211" s="90" t="s">
        <v>11833</v>
      </c>
      <c r="C1211" s="41" t="s">
        <v>31</v>
      </c>
      <c r="D1211" s="87">
        <v>10827</v>
      </c>
      <c r="E1211" s="35">
        <v>44662</v>
      </c>
      <c r="F1211" s="87">
        <v>10827</v>
      </c>
      <c r="G1211" s="91">
        <f>Tabla15[[#This Row],[Importe]]-Tabla15[[#This Row],[Pagado]]</f>
        <v>0</v>
      </c>
      <c r="H1211" s="92" t="s">
        <v>10</v>
      </c>
    </row>
    <row r="1212" spans="1:8" ht="21.75" customHeight="1" x14ac:dyDescent="0.25">
      <c r="A1212" s="35">
        <v>44662</v>
      </c>
      <c r="B1212" s="90" t="s">
        <v>11834</v>
      </c>
      <c r="C1212" s="41" t="s">
        <v>69</v>
      </c>
      <c r="D1212" s="87">
        <v>2084.4</v>
      </c>
      <c r="E1212" s="35">
        <v>44662</v>
      </c>
      <c r="F1212" s="87">
        <v>2084.4</v>
      </c>
      <c r="G1212" s="91">
        <f>Tabla15[[#This Row],[Importe]]-Tabla15[[#This Row],[Pagado]]</f>
        <v>0</v>
      </c>
      <c r="H1212" s="92" t="s">
        <v>10</v>
      </c>
    </row>
    <row r="1213" spans="1:8" ht="21.75" customHeight="1" x14ac:dyDescent="0.25">
      <c r="A1213" s="35">
        <v>44662</v>
      </c>
      <c r="B1213" s="90" t="s">
        <v>11835</v>
      </c>
      <c r="C1213" s="41" t="s">
        <v>214</v>
      </c>
      <c r="D1213" s="87">
        <v>1031.4000000000001</v>
      </c>
      <c r="E1213" s="35">
        <v>44662</v>
      </c>
      <c r="F1213" s="87">
        <v>1031.4000000000001</v>
      </c>
      <c r="G1213" s="91">
        <f>Tabla15[[#This Row],[Importe]]-Tabla15[[#This Row],[Pagado]]</f>
        <v>0</v>
      </c>
      <c r="H1213" s="92" t="s">
        <v>10</v>
      </c>
    </row>
    <row r="1214" spans="1:8" ht="21.75" customHeight="1" x14ac:dyDescent="0.25">
      <c r="A1214" s="35">
        <v>44662</v>
      </c>
      <c r="B1214" s="90" t="s">
        <v>11836</v>
      </c>
      <c r="C1214" s="41" t="s">
        <v>263</v>
      </c>
      <c r="D1214" s="87">
        <v>118840.8</v>
      </c>
      <c r="E1214" s="35">
        <v>44663</v>
      </c>
      <c r="F1214" s="87">
        <v>118840.8</v>
      </c>
      <c r="G1214" s="91">
        <f>Tabla15[[#This Row],[Importe]]-Tabla15[[#This Row],[Pagado]]</f>
        <v>0</v>
      </c>
      <c r="H1214" s="92" t="s">
        <v>10</v>
      </c>
    </row>
    <row r="1215" spans="1:8" ht="21.75" customHeight="1" x14ac:dyDescent="0.25">
      <c r="A1215" s="35">
        <v>44662</v>
      </c>
      <c r="B1215" s="90" t="s">
        <v>11837</v>
      </c>
      <c r="C1215" s="41" t="s">
        <v>8792</v>
      </c>
      <c r="D1215" s="87">
        <v>0</v>
      </c>
      <c r="E1215" s="39" t="s">
        <v>189</v>
      </c>
      <c r="F1215" s="87">
        <v>0</v>
      </c>
      <c r="G1215" s="91">
        <f>Tabla15[[#This Row],[Importe]]-Tabla15[[#This Row],[Pagado]]</f>
        <v>0</v>
      </c>
      <c r="H1215" s="92" t="s">
        <v>189</v>
      </c>
    </row>
    <row r="1216" spans="1:8" ht="21.75" customHeight="1" x14ac:dyDescent="0.25">
      <c r="A1216" s="35">
        <v>44662</v>
      </c>
      <c r="B1216" s="90" t="s">
        <v>11838</v>
      </c>
      <c r="C1216" s="41" t="s">
        <v>27</v>
      </c>
      <c r="D1216" s="87">
        <v>2099.4</v>
      </c>
      <c r="E1216" s="35">
        <v>44662</v>
      </c>
      <c r="F1216" s="87">
        <v>2099.4</v>
      </c>
      <c r="G1216" s="91">
        <f>Tabla15[[#This Row],[Importe]]-Tabla15[[#This Row],[Pagado]]</f>
        <v>0</v>
      </c>
      <c r="H1216" s="92" t="s">
        <v>10</v>
      </c>
    </row>
    <row r="1217" spans="1:8" ht="21.75" customHeight="1" x14ac:dyDescent="0.25">
      <c r="A1217" s="35">
        <v>44662</v>
      </c>
      <c r="B1217" s="90" t="s">
        <v>11839</v>
      </c>
      <c r="C1217" s="41" t="s">
        <v>2383</v>
      </c>
      <c r="D1217" s="87">
        <v>4630.8999999999996</v>
      </c>
      <c r="E1217" s="35">
        <v>44662</v>
      </c>
      <c r="F1217" s="87">
        <v>4630.8999999999996</v>
      </c>
      <c r="G1217" s="91">
        <f>Tabla15[[#This Row],[Importe]]-Tabla15[[#This Row],[Pagado]]</f>
        <v>0</v>
      </c>
      <c r="H1217" s="92" t="s">
        <v>10</v>
      </c>
    </row>
    <row r="1218" spans="1:8" ht="21.75" customHeight="1" x14ac:dyDescent="0.25">
      <c r="A1218" s="35">
        <v>44662</v>
      </c>
      <c r="B1218" s="90" t="s">
        <v>11840</v>
      </c>
      <c r="C1218" s="41" t="s">
        <v>31</v>
      </c>
      <c r="D1218" s="87">
        <v>1634.4</v>
      </c>
      <c r="E1218" s="35">
        <v>44662</v>
      </c>
      <c r="F1218" s="87">
        <v>1634.4</v>
      </c>
      <c r="G1218" s="91">
        <f>Tabla15[[#This Row],[Importe]]-Tabla15[[#This Row],[Pagado]]</f>
        <v>0</v>
      </c>
      <c r="H1218" s="92" t="s">
        <v>10</v>
      </c>
    </row>
    <row r="1219" spans="1:8" ht="21.75" customHeight="1" x14ac:dyDescent="0.25">
      <c r="A1219" s="35">
        <v>44662</v>
      </c>
      <c r="B1219" s="90" t="s">
        <v>11841</v>
      </c>
      <c r="C1219" s="41" t="s">
        <v>6528</v>
      </c>
      <c r="D1219" s="87">
        <v>40000</v>
      </c>
      <c r="E1219" s="35">
        <v>44662</v>
      </c>
      <c r="F1219" s="87">
        <v>40000</v>
      </c>
      <c r="G1219" s="91">
        <f>Tabla15[[#This Row],[Importe]]-Tabla15[[#This Row],[Pagado]]</f>
        <v>0</v>
      </c>
      <c r="H1219" s="92" t="s">
        <v>10</v>
      </c>
    </row>
    <row r="1220" spans="1:8" ht="21.75" customHeight="1" x14ac:dyDescent="0.25">
      <c r="A1220" s="35">
        <v>44662</v>
      </c>
      <c r="B1220" s="90" t="s">
        <v>11842</v>
      </c>
      <c r="C1220" s="41" t="s">
        <v>414</v>
      </c>
      <c r="D1220" s="87">
        <v>1.39</v>
      </c>
      <c r="E1220" s="35">
        <v>44691</v>
      </c>
      <c r="F1220" s="87">
        <v>1.39</v>
      </c>
      <c r="G1220" s="91">
        <f>Tabla15[[#This Row],[Importe]]-Tabla15[[#This Row],[Pagado]]</f>
        <v>0</v>
      </c>
      <c r="H1220" s="92" t="s">
        <v>10</v>
      </c>
    </row>
    <row r="1221" spans="1:8" ht="21.75" customHeight="1" x14ac:dyDescent="0.25">
      <c r="A1221" s="35">
        <v>44662</v>
      </c>
      <c r="B1221" s="90" t="s">
        <v>11843</v>
      </c>
      <c r="C1221" s="41" t="s">
        <v>31</v>
      </c>
      <c r="D1221" s="87">
        <v>5300</v>
      </c>
      <c r="E1221" s="35">
        <v>44662</v>
      </c>
      <c r="F1221" s="87">
        <v>5300</v>
      </c>
      <c r="G1221" s="91">
        <f>Tabla15[[#This Row],[Importe]]-Tabla15[[#This Row],[Pagado]]</f>
        <v>0</v>
      </c>
      <c r="H1221" s="92" t="s">
        <v>10</v>
      </c>
    </row>
    <row r="1222" spans="1:8" ht="21.75" customHeight="1" x14ac:dyDescent="0.25">
      <c r="A1222" s="35">
        <v>44662</v>
      </c>
      <c r="B1222" s="90" t="s">
        <v>11844</v>
      </c>
      <c r="C1222" s="41" t="s">
        <v>246</v>
      </c>
      <c r="D1222" s="87">
        <v>46028.2</v>
      </c>
      <c r="E1222" s="35">
        <v>44662</v>
      </c>
      <c r="F1222" s="87">
        <v>46028.2</v>
      </c>
      <c r="G1222" s="91">
        <f>Tabla15[[#This Row],[Importe]]-Tabla15[[#This Row],[Pagado]]</f>
        <v>0</v>
      </c>
      <c r="H1222" s="92" t="s">
        <v>10</v>
      </c>
    </row>
    <row r="1223" spans="1:8" ht="21.75" customHeight="1" x14ac:dyDescent="0.25">
      <c r="A1223" s="35">
        <v>44662</v>
      </c>
      <c r="B1223" s="90" t="s">
        <v>11845</v>
      </c>
      <c r="C1223" s="41" t="s">
        <v>10678</v>
      </c>
      <c r="D1223" s="87">
        <v>1290.5999999999999</v>
      </c>
      <c r="E1223" s="35">
        <v>44662</v>
      </c>
      <c r="F1223" s="87">
        <v>1290.5999999999999</v>
      </c>
      <c r="G1223" s="91">
        <f>Tabla15[[#This Row],[Importe]]-Tabla15[[#This Row],[Pagado]]</f>
        <v>0</v>
      </c>
      <c r="H1223" s="92" t="s">
        <v>10</v>
      </c>
    </row>
    <row r="1224" spans="1:8" ht="21.75" customHeight="1" x14ac:dyDescent="0.25">
      <c r="A1224" s="35">
        <v>44662</v>
      </c>
      <c r="B1224" s="90" t="s">
        <v>11846</v>
      </c>
      <c r="C1224" s="41" t="s">
        <v>414</v>
      </c>
      <c r="D1224" s="87">
        <v>4.22</v>
      </c>
      <c r="E1224" s="35">
        <v>44661</v>
      </c>
      <c r="F1224" s="87">
        <v>4.22</v>
      </c>
      <c r="G1224" s="91">
        <f>Tabla15[[#This Row],[Importe]]-Tabla15[[#This Row],[Pagado]]</f>
        <v>0</v>
      </c>
      <c r="H1224" s="92" t="s">
        <v>10</v>
      </c>
    </row>
    <row r="1225" spans="1:8" ht="21.75" customHeight="1" x14ac:dyDescent="0.25">
      <c r="A1225" s="35">
        <v>44662</v>
      </c>
      <c r="B1225" s="90" t="s">
        <v>11847</v>
      </c>
      <c r="C1225" s="41" t="s">
        <v>664</v>
      </c>
      <c r="D1225" s="87">
        <v>14651</v>
      </c>
      <c r="E1225" s="35">
        <v>44663</v>
      </c>
      <c r="F1225" s="87">
        <v>14651</v>
      </c>
      <c r="G1225" s="91">
        <f>Tabla15[[#This Row],[Importe]]-Tabla15[[#This Row],[Pagado]]</f>
        <v>0</v>
      </c>
      <c r="H1225" s="92" t="s">
        <v>10</v>
      </c>
    </row>
    <row r="1226" spans="1:8" ht="21.75" customHeight="1" x14ac:dyDescent="0.25">
      <c r="A1226" s="35">
        <v>44662</v>
      </c>
      <c r="B1226" s="90" t="s">
        <v>11848</v>
      </c>
      <c r="C1226" s="41" t="s">
        <v>11685</v>
      </c>
      <c r="D1226" s="87">
        <v>3400</v>
      </c>
      <c r="E1226" s="35">
        <v>44662</v>
      </c>
      <c r="F1226" s="87">
        <v>3400</v>
      </c>
      <c r="G1226" s="91">
        <f>Tabla15[[#This Row],[Importe]]-Tabla15[[#This Row],[Pagado]]</f>
        <v>0</v>
      </c>
      <c r="H1226" s="92" t="s">
        <v>10</v>
      </c>
    </row>
    <row r="1227" spans="1:8" ht="21.75" customHeight="1" x14ac:dyDescent="0.25">
      <c r="A1227" s="35">
        <v>44662</v>
      </c>
      <c r="B1227" s="90" t="s">
        <v>11849</v>
      </c>
      <c r="C1227" s="41" t="s">
        <v>296</v>
      </c>
      <c r="D1227" s="87">
        <v>492.8</v>
      </c>
      <c r="E1227" s="35">
        <v>44662</v>
      </c>
      <c r="F1227" s="87">
        <v>492.8</v>
      </c>
      <c r="G1227" s="91">
        <f>Tabla15[[#This Row],[Importe]]-Tabla15[[#This Row],[Pagado]]</f>
        <v>0</v>
      </c>
      <c r="H1227" s="92" t="s">
        <v>10</v>
      </c>
    </row>
    <row r="1228" spans="1:8" ht="21.75" customHeight="1" x14ac:dyDescent="0.25">
      <c r="A1228" s="35">
        <v>44662</v>
      </c>
      <c r="B1228" s="90" t="s">
        <v>11850</v>
      </c>
      <c r="C1228" s="41" t="s">
        <v>275</v>
      </c>
      <c r="D1228" s="87">
        <v>24825.8</v>
      </c>
      <c r="E1228" s="35">
        <v>44670</v>
      </c>
      <c r="F1228" s="87">
        <v>24825.8</v>
      </c>
      <c r="G1228" s="91">
        <f>Tabla15[[#This Row],[Importe]]-Tabla15[[#This Row],[Pagado]]</f>
        <v>0</v>
      </c>
      <c r="H1228" s="92" t="s">
        <v>10</v>
      </c>
    </row>
    <row r="1229" spans="1:8" ht="21.75" customHeight="1" x14ac:dyDescent="0.25">
      <c r="A1229" s="35">
        <v>44662</v>
      </c>
      <c r="B1229" s="90" t="s">
        <v>11851</v>
      </c>
      <c r="C1229" s="41" t="s">
        <v>2151</v>
      </c>
      <c r="D1229" s="87">
        <v>6924</v>
      </c>
      <c r="E1229" s="35">
        <v>44662</v>
      </c>
      <c r="F1229" s="87">
        <v>6924</v>
      </c>
      <c r="G1229" s="91">
        <f>Tabla15[[#This Row],[Importe]]-Tabla15[[#This Row],[Pagado]]</f>
        <v>0</v>
      </c>
      <c r="H1229" s="92" t="s">
        <v>10</v>
      </c>
    </row>
    <row r="1230" spans="1:8" ht="21.75" customHeight="1" x14ac:dyDescent="0.25">
      <c r="A1230" s="35">
        <v>44662</v>
      </c>
      <c r="B1230" s="90" t="s">
        <v>11852</v>
      </c>
      <c r="C1230" s="41" t="s">
        <v>1174</v>
      </c>
      <c r="D1230" s="87">
        <v>28208</v>
      </c>
      <c r="E1230" s="35">
        <v>44662</v>
      </c>
      <c r="F1230" s="87">
        <v>28208</v>
      </c>
      <c r="G1230" s="91">
        <f>Tabla15[[#This Row],[Importe]]-Tabla15[[#This Row],[Pagado]]</f>
        <v>0</v>
      </c>
      <c r="H1230" s="92" t="s">
        <v>10</v>
      </c>
    </row>
    <row r="1231" spans="1:8" ht="21.75" customHeight="1" x14ac:dyDescent="0.25">
      <c r="A1231" s="35">
        <v>44662</v>
      </c>
      <c r="B1231" s="90" t="s">
        <v>11853</v>
      </c>
      <c r="C1231" s="41" t="s">
        <v>5620</v>
      </c>
      <c r="D1231" s="87">
        <v>35762.400000000001</v>
      </c>
      <c r="E1231" s="35">
        <v>44663</v>
      </c>
      <c r="F1231" s="87">
        <v>35762.400000000001</v>
      </c>
      <c r="G1231" s="91">
        <f>Tabla15[[#This Row],[Importe]]-Tabla15[[#This Row],[Pagado]]</f>
        <v>0</v>
      </c>
      <c r="H1231" s="92" t="s">
        <v>10</v>
      </c>
    </row>
    <row r="1232" spans="1:8" ht="21.75" customHeight="1" x14ac:dyDescent="0.25">
      <c r="A1232" s="35">
        <v>44662</v>
      </c>
      <c r="B1232" s="90" t="s">
        <v>11854</v>
      </c>
      <c r="C1232" s="41" t="s">
        <v>31</v>
      </c>
      <c r="D1232" s="87">
        <v>589.6</v>
      </c>
      <c r="E1232" s="35">
        <v>44662</v>
      </c>
      <c r="F1232" s="87">
        <v>589.6</v>
      </c>
      <c r="G1232" s="91">
        <f>Tabla15[[#This Row],[Importe]]-Tabla15[[#This Row],[Pagado]]</f>
        <v>0</v>
      </c>
      <c r="H1232" s="92" t="s">
        <v>10</v>
      </c>
    </row>
    <row r="1233" spans="1:8" ht="21.75" customHeight="1" x14ac:dyDescent="0.25">
      <c r="A1233" s="35">
        <v>44662</v>
      </c>
      <c r="B1233" s="90" t="s">
        <v>11855</v>
      </c>
      <c r="C1233" s="41" t="s">
        <v>31</v>
      </c>
      <c r="D1233" s="87">
        <v>5106</v>
      </c>
      <c r="E1233" s="35">
        <v>44662</v>
      </c>
      <c r="F1233" s="87">
        <v>5106</v>
      </c>
      <c r="G1233" s="91">
        <f>Tabla15[[#This Row],[Importe]]-Tabla15[[#This Row],[Pagado]]</f>
        <v>0</v>
      </c>
      <c r="H1233" s="92" t="s">
        <v>10</v>
      </c>
    </row>
    <row r="1234" spans="1:8" ht="21.75" customHeight="1" x14ac:dyDescent="0.25">
      <c r="A1234" s="35">
        <v>44662</v>
      </c>
      <c r="B1234" s="90" t="s">
        <v>11856</v>
      </c>
      <c r="C1234" s="41" t="s">
        <v>24</v>
      </c>
      <c r="D1234" s="87">
        <v>280</v>
      </c>
      <c r="E1234" s="35">
        <v>44662</v>
      </c>
      <c r="F1234" s="87">
        <v>280</v>
      </c>
      <c r="G1234" s="91">
        <f>Tabla15[[#This Row],[Importe]]-Tabla15[[#This Row],[Pagado]]</f>
        <v>0</v>
      </c>
      <c r="H1234" s="92" t="s">
        <v>10</v>
      </c>
    </row>
    <row r="1235" spans="1:8" ht="21.75" customHeight="1" x14ac:dyDescent="0.25">
      <c r="A1235" s="35">
        <v>44662</v>
      </c>
      <c r="B1235" s="90" t="s">
        <v>11857</v>
      </c>
      <c r="C1235" s="41" t="s">
        <v>5694</v>
      </c>
      <c r="D1235" s="87">
        <v>104</v>
      </c>
      <c r="E1235" s="35">
        <v>44662</v>
      </c>
      <c r="F1235" s="87">
        <v>104</v>
      </c>
      <c r="G1235" s="91">
        <f>Tabla15[[#This Row],[Importe]]-Tabla15[[#This Row],[Pagado]]</f>
        <v>0</v>
      </c>
      <c r="H1235" s="92" t="s">
        <v>10</v>
      </c>
    </row>
    <row r="1236" spans="1:8" ht="21.75" customHeight="1" x14ac:dyDescent="0.25">
      <c r="A1236" s="35">
        <v>44662</v>
      </c>
      <c r="B1236" s="90" t="s">
        <v>11858</v>
      </c>
      <c r="C1236" s="41" t="s">
        <v>10840</v>
      </c>
      <c r="D1236" s="87">
        <v>33551.199999999997</v>
      </c>
      <c r="E1236" s="35">
        <v>44670</v>
      </c>
      <c r="F1236" s="87">
        <v>33551.199999999997</v>
      </c>
      <c r="G1236" s="91">
        <f>Tabla15[[#This Row],[Importe]]-Tabla15[[#This Row],[Pagado]]</f>
        <v>0</v>
      </c>
      <c r="H1236" s="92" t="s">
        <v>10</v>
      </c>
    </row>
    <row r="1237" spans="1:8" ht="21.75" customHeight="1" x14ac:dyDescent="0.25">
      <c r="A1237" s="35">
        <v>44662</v>
      </c>
      <c r="B1237" s="90" t="s">
        <v>11859</v>
      </c>
      <c r="C1237" s="41" t="s">
        <v>31</v>
      </c>
      <c r="D1237" s="87">
        <v>943</v>
      </c>
      <c r="E1237" s="35">
        <v>44662</v>
      </c>
      <c r="F1237" s="87">
        <v>943</v>
      </c>
      <c r="G1237" s="91">
        <f>Tabla15[[#This Row],[Importe]]-Tabla15[[#This Row],[Pagado]]</f>
        <v>0</v>
      </c>
      <c r="H1237" s="92" t="s">
        <v>10</v>
      </c>
    </row>
    <row r="1238" spans="1:8" ht="21.75" customHeight="1" x14ac:dyDescent="0.25">
      <c r="A1238" s="35">
        <v>44662</v>
      </c>
      <c r="B1238" s="90" t="s">
        <v>11860</v>
      </c>
      <c r="C1238" s="41" t="s">
        <v>10273</v>
      </c>
      <c r="D1238" s="87">
        <v>144</v>
      </c>
      <c r="E1238" s="35">
        <v>44662</v>
      </c>
      <c r="F1238" s="87">
        <v>144</v>
      </c>
      <c r="G1238" s="91">
        <f>Tabla15[[#This Row],[Importe]]-Tabla15[[#This Row],[Pagado]]</f>
        <v>0</v>
      </c>
      <c r="H1238" s="92" t="s">
        <v>10</v>
      </c>
    </row>
    <row r="1239" spans="1:8" ht="21.75" customHeight="1" x14ac:dyDescent="0.25">
      <c r="A1239" s="35">
        <v>44662</v>
      </c>
      <c r="B1239" s="90" t="s">
        <v>11861</v>
      </c>
      <c r="C1239" s="41" t="s">
        <v>31</v>
      </c>
      <c r="D1239" s="87">
        <v>34</v>
      </c>
      <c r="E1239" s="35">
        <v>44662</v>
      </c>
      <c r="F1239" s="87">
        <v>34</v>
      </c>
      <c r="G1239" s="91">
        <f>Tabla15[[#This Row],[Importe]]-Tabla15[[#This Row],[Pagado]]</f>
        <v>0</v>
      </c>
      <c r="H1239" s="92" t="s">
        <v>10</v>
      </c>
    </row>
    <row r="1240" spans="1:8" ht="21.75" customHeight="1" x14ac:dyDescent="0.25">
      <c r="A1240" s="35">
        <v>44663</v>
      </c>
      <c r="B1240" s="90" t="s">
        <v>11862</v>
      </c>
      <c r="C1240" s="41" t="s">
        <v>887</v>
      </c>
      <c r="D1240" s="87">
        <v>9778.5</v>
      </c>
      <c r="E1240" s="35">
        <v>44670</v>
      </c>
      <c r="F1240" s="87">
        <v>9778.5</v>
      </c>
      <c r="G1240" s="91">
        <f>Tabla15[[#This Row],[Importe]]-Tabla15[[#This Row],[Pagado]]</f>
        <v>0</v>
      </c>
      <c r="H1240" s="92" t="s">
        <v>10</v>
      </c>
    </row>
    <row r="1241" spans="1:8" ht="21.75" customHeight="1" x14ac:dyDescent="0.25">
      <c r="A1241" s="35">
        <v>44663</v>
      </c>
      <c r="B1241" s="90" t="s">
        <v>11863</v>
      </c>
      <c r="C1241" s="41" t="s">
        <v>75</v>
      </c>
      <c r="D1241" s="87">
        <v>5880.6</v>
      </c>
      <c r="E1241" s="35">
        <v>44663</v>
      </c>
      <c r="F1241" s="87">
        <v>5880.6</v>
      </c>
      <c r="G1241" s="91">
        <f>Tabla15[[#This Row],[Importe]]-Tabla15[[#This Row],[Pagado]]</f>
        <v>0</v>
      </c>
      <c r="H1241" s="92" t="s">
        <v>10</v>
      </c>
    </row>
    <row r="1242" spans="1:8" ht="21.75" customHeight="1" x14ac:dyDescent="0.25">
      <c r="A1242" s="35">
        <v>44663</v>
      </c>
      <c r="B1242" s="90" t="s">
        <v>11864</v>
      </c>
      <c r="C1242" s="41" t="s">
        <v>481</v>
      </c>
      <c r="D1242" s="87">
        <v>1612.8</v>
      </c>
      <c r="E1242" s="35">
        <v>44663</v>
      </c>
      <c r="F1242" s="87">
        <v>1612.8</v>
      </c>
      <c r="G1242" s="91">
        <f>Tabla15[[#This Row],[Importe]]-Tabla15[[#This Row],[Pagado]]</f>
        <v>0</v>
      </c>
      <c r="H1242" s="92" t="s">
        <v>10</v>
      </c>
    </row>
    <row r="1243" spans="1:8" ht="21.75" customHeight="1" x14ac:dyDescent="0.25">
      <c r="A1243" s="35">
        <v>44663</v>
      </c>
      <c r="B1243" s="90" t="s">
        <v>11865</v>
      </c>
      <c r="C1243" s="41" t="s">
        <v>85</v>
      </c>
      <c r="D1243" s="87">
        <v>1593</v>
      </c>
      <c r="E1243" s="35">
        <v>44663</v>
      </c>
      <c r="F1243" s="87">
        <v>1593</v>
      </c>
      <c r="G1243" s="91">
        <f>Tabla15[[#This Row],[Importe]]-Tabla15[[#This Row],[Pagado]]</f>
        <v>0</v>
      </c>
      <c r="H1243" s="92" t="s">
        <v>10</v>
      </c>
    </row>
    <row r="1244" spans="1:8" ht="21.75" customHeight="1" x14ac:dyDescent="0.25">
      <c r="A1244" s="35">
        <v>44663</v>
      </c>
      <c r="B1244" s="90" t="s">
        <v>11866</v>
      </c>
      <c r="C1244" s="41" t="s">
        <v>31</v>
      </c>
      <c r="D1244" s="87">
        <v>2238.1</v>
      </c>
      <c r="E1244" s="35">
        <v>44663</v>
      </c>
      <c r="F1244" s="87">
        <v>2238.1</v>
      </c>
      <c r="G1244" s="91">
        <f>Tabla15[[#This Row],[Importe]]-Tabla15[[#This Row],[Pagado]]</f>
        <v>0</v>
      </c>
      <c r="H1244" s="92" t="s">
        <v>10</v>
      </c>
    </row>
    <row r="1245" spans="1:8" ht="21.75" customHeight="1" x14ac:dyDescent="0.25">
      <c r="A1245" s="35">
        <v>44663</v>
      </c>
      <c r="B1245" s="90" t="s">
        <v>11867</v>
      </c>
      <c r="C1245" s="41" t="s">
        <v>9</v>
      </c>
      <c r="D1245" s="87">
        <v>6352.8</v>
      </c>
      <c r="E1245" s="35">
        <v>44663</v>
      </c>
      <c r="F1245" s="87">
        <v>6352.8</v>
      </c>
      <c r="G1245" s="91">
        <f>Tabla15[[#This Row],[Importe]]-Tabla15[[#This Row],[Pagado]]</f>
        <v>0</v>
      </c>
      <c r="H1245" s="92" t="s">
        <v>10</v>
      </c>
    </row>
    <row r="1246" spans="1:8" ht="21.75" customHeight="1" x14ac:dyDescent="0.25">
      <c r="A1246" s="35">
        <v>44663</v>
      </c>
      <c r="B1246" s="90" t="s">
        <v>11868</v>
      </c>
      <c r="C1246" s="41" t="s">
        <v>520</v>
      </c>
      <c r="D1246" s="87">
        <v>9953</v>
      </c>
      <c r="E1246" s="35">
        <v>44663</v>
      </c>
      <c r="F1246" s="87">
        <v>9953</v>
      </c>
      <c r="G1246" s="91">
        <f>Tabla15[[#This Row],[Importe]]-Tabla15[[#This Row],[Pagado]]</f>
        <v>0</v>
      </c>
      <c r="H1246" s="92" t="s">
        <v>10</v>
      </c>
    </row>
    <row r="1247" spans="1:8" ht="21.75" customHeight="1" x14ac:dyDescent="0.25">
      <c r="A1247" s="35">
        <v>44663</v>
      </c>
      <c r="B1247" s="90" t="s">
        <v>11869</v>
      </c>
      <c r="C1247" s="41" t="s">
        <v>83</v>
      </c>
      <c r="D1247" s="87">
        <v>15664</v>
      </c>
      <c r="E1247" s="35">
        <v>44663</v>
      </c>
      <c r="F1247" s="87">
        <v>15664</v>
      </c>
      <c r="G1247" s="91">
        <f>Tabla15[[#This Row],[Importe]]-Tabla15[[#This Row],[Pagado]]</f>
        <v>0</v>
      </c>
      <c r="H1247" s="92" t="s">
        <v>10</v>
      </c>
    </row>
    <row r="1248" spans="1:8" ht="21.75" customHeight="1" x14ac:dyDescent="0.25">
      <c r="A1248" s="35">
        <v>44663</v>
      </c>
      <c r="B1248" s="90" t="s">
        <v>11870</v>
      </c>
      <c r="C1248" s="41" t="s">
        <v>9</v>
      </c>
      <c r="D1248" s="87">
        <v>616</v>
      </c>
      <c r="E1248" s="35">
        <v>44663</v>
      </c>
      <c r="F1248" s="87">
        <v>616</v>
      </c>
      <c r="G1248" s="91">
        <f>Tabla15[[#This Row],[Importe]]-Tabla15[[#This Row],[Pagado]]</f>
        <v>0</v>
      </c>
      <c r="H1248" s="92" t="s">
        <v>10</v>
      </c>
    </row>
    <row r="1249" spans="1:8" ht="21.75" customHeight="1" x14ac:dyDescent="0.25">
      <c r="A1249" s="35">
        <v>44663</v>
      </c>
      <c r="B1249" s="90" t="s">
        <v>11871</v>
      </c>
      <c r="C1249" s="41" t="s">
        <v>95</v>
      </c>
      <c r="D1249" s="87">
        <v>19840.400000000001</v>
      </c>
      <c r="E1249" s="35">
        <v>44663</v>
      </c>
      <c r="F1249" s="87">
        <v>19840.400000000001</v>
      </c>
      <c r="G1249" s="91">
        <f>Tabla15[[#This Row],[Importe]]-Tabla15[[#This Row],[Pagado]]</f>
        <v>0</v>
      </c>
      <c r="H1249" s="92" t="s">
        <v>10</v>
      </c>
    </row>
    <row r="1250" spans="1:8" ht="21.75" customHeight="1" x14ac:dyDescent="0.25">
      <c r="A1250" s="35">
        <v>44663</v>
      </c>
      <c r="B1250" s="90" t="s">
        <v>11872</v>
      </c>
      <c r="C1250" s="41" t="s">
        <v>31</v>
      </c>
      <c r="D1250" s="87">
        <v>1992.6</v>
      </c>
      <c r="E1250" s="35">
        <v>44663</v>
      </c>
      <c r="F1250" s="87">
        <v>1992.6</v>
      </c>
      <c r="G1250" s="91">
        <f>Tabla15[[#This Row],[Importe]]-Tabla15[[#This Row],[Pagado]]</f>
        <v>0</v>
      </c>
      <c r="H1250" s="92" t="s">
        <v>10</v>
      </c>
    </row>
    <row r="1251" spans="1:8" ht="47.25" x14ac:dyDescent="0.25">
      <c r="A1251" s="35">
        <v>44663</v>
      </c>
      <c r="B1251" s="90" t="s">
        <v>11873</v>
      </c>
      <c r="C1251" s="41" t="s">
        <v>475</v>
      </c>
      <c r="D1251" s="87">
        <v>118132.1</v>
      </c>
      <c r="E1251" s="35" t="s">
        <v>11874</v>
      </c>
      <c r="F1251" s="87">
        <f>61000+20000+37132.1</f>
        <v>118132.1</v>
      </c>
      <c r="G1251" s="91">
        <f>Tabla15[[#This Row],[Importe]]-Tabla15[[#This Row],[Pagado]]</f>
        <v>0</v>
      </c>
      <c r="H1251" s="92" t="s">
        <v>10</v>
      </c>
    </row>
    <row r="1252" spans="1:8" ht="21.75" customHeight="1" x14ac:dyDescent="0.25">
      <c r="A1252" s="35">
        <v>44663</v>
      </c>
      <c r="B1252" s="90" t="s">
        <v>11875</v>
      </c>
      <c r="C1252" s="41" t="s">
        <v>924</v>
      </c>
      <c r="D1252" s="87">
        <v>6855.16</v>
      </c>
      <c r="E1252" s="35">
        <v>44663</v>
      </c>
      <c r="F1252" s="87">
        <v>6855.16</v>
      </c>
      <c r="G1252" s="91">
        <f>Tabla15[[#This Row],[Importe]]-Tabla15[[#This Row],[Pagado]]</f>
        <v>0</v>
      </c>
      <c r="H1252" s="92" t="s">
        <v>10</v>
      </c>
    </row>
    <row r="1253" spans="1:8" ht="21.75" customHeight="1" x14ac:dyDescent="0.25">
      <c r="A1253" s="35">
        <v>44663</v>
      </c>
      <c r="B1253" s="90" t="s">
        <v>11876</v>
      </c>
      <c r="C1253" s="41" t="s">
        <v>87</v>
      </c>
      <c r="D1253" s="87">
        <v>1690.8</v>
      </c>
      <c r="E1253" s="35">
        <v>44663</v>
      </c>
      <c r="F1253" s="87">
        <v>1690.8</v>
      </c>
      <c r="G1253" s="91">
        <f>Tabla15[[#This Row],[Importe]]-Tabla15[[#This Row],[Pagado]]</f>
        <v>0</v>
      </c>
      <c r="H1253" s="92" t="s">
        <v>10</v>
      </c>
    </row>
    <row r="1254" spans="1:8" ht="21.75" customHeight="1" x14ac:dyDescent="0.25">
      <c r="A1254" s="35">
        <v>44663</v>
      </c>
      <c r="B1254" s="90" t="s">
        <v>11877</v>
      </c>
      <c r="C1254" s="41" t="s">
        <v>314</v>
      </c>
      <c r="D1254" s="87">
        <v>2052</v>
      </c>
      <c r="E1254" s="35">
        <v>44663</v>
      </c>
      <c r="F1254" s="87">
        <v>2052</v>
      </c>
      <c r="G1254" s="91">
        <f>Tabla15[[#This Row],[Importe]]-Tabla15[[#This Row],[Pagado]]</f>
        <v>0</v>
      </c>
      <c r="H1254" s="92" t="s">
        <v>10</v>
      </c>
    </row>
    <row r="1255" spans="1:8" ht="21.75" customHeight="1" x14ac:dyDescent="0.25">
      <c r="A1255" s="35">
        <v>44663</v>
      </c>
      <c r="B1255" s="90" t="s">
        <v>11878</v>
      </c>
      <c r="C1255" s="41" t="s">
        <v>319</v>
      </c>
      <c r="D1255" s="87">
        <v>3824.1</v>
      </c>
      <c r="E1255" s="35">
        <v>44663</v>
      </c>
      <c r="F1255" s="87">
        <v>3824.1</v>
      </c>
      <c r="G1255" s="91">
        <f>Tabla15[[#This Row],[Importe]]-Tabla15[[#This Row],[Pagado]]</f>
        <v>0</v>
      </c>
      <c r="H1255" s="92" t="s">
        <v>10</v>
      </c>
    </row>
    <row r="1256" spans="1:8" ht="21.75" customHeight="1" x14ac:dyDescent="0.25">
      <c r="A1256" s="35">
        <v>44663</v>
      </c>
      <c r="B1256" s="90" t="s">
        <v>11879</v>
      </c>
      <c r="C1256" s="41" t="s">
        <v>157</v>
      </c>
      <c r="D1256" s="87">
        <v>4776</v>
      </c>
      <c r="E1256" s="35">
        <v>44663</v>
      </c>
      <c r="F1256" s="87">
        <v>4776</v>
      </c>
      <c r="G1256" s="91">
        <f>Tabla15[[#This Row],[Importe]]-Tabla15[[#This Row],[Pagado]]</f>
        <v>0</v>
      </c>
      <c r="H1256" s="92" t="s">
        <v>10</v>
      </c>
    </row>
    <row r="1257" spans="1:8" ht="21.75" customHeight="1" x14ac:dyDescent="0.25">
      <c r="A1257" s="35">
        <v>44663</v>
      </c>
      <c r="B1257" s="90" t="s">
        <v>11880</v>
      </c>
      <c r="C1257" s="41" t="s">
        <v>12</v>
      </c>
      <c r="D1257" s="87">
        <v>42013.95</v>
      </c>
      <c r="E1257" s="35">
        <v>44663</v>
      </c>
      <c r="F1257" s="87">
        <v>42013.95</v>
      </c>
      <c r="G1257" s="91">
        <f>Tabla15[[#This Row],[Importe]]-Tabla15[[#This Row],[Pagado]]</f>
        <v>0</v>
      </c>
      <c r="H1257" s="92" t="s">
        <v>10</v>
      </c>
    </row>
    <row r="1258" spans="1:8" ht="21.75" customHeight="1" x14ac:dyDescent="0.25">
      <c r="A1258" s="35">
        <v>44663</v>
      </c>
      <c r="B1258" s="90" t="s">
        <v>11881</v>
      </c>
      <c r="C1258" s="41" t="s">
        <v>114</v>
      </c>
      <c r="D1258" s="87">
        <v>8160</v>
      </c>
      <c r="E1258" s="35">
        <v>44667</v>
      </c>
      <c r="F1258" s="87">
        <v>8160</v>
      </c>
      <c r="G1258" s="91">
        <f>Tabla15[[#This Row],[Importe]]-Tabla15[[#This Row],[Pagado]]</f>
        <v>0</v>
      </c>
      <c r="H1258" s="92" t="s">
        <v>10</v>
      </c>
    </row>
    <row r="1259" spans="1:8" ht="31.5" x14ac:dyDescent="0.25">
      <c r="A1259" s="35">
        <v>44663</v>
      </c>
      <c r="B1259" s="90" t="s">
        <v>11882</v>
      </c>
      <c r="C1259" s="41" t="s">
        <v>22</v>
      </c>
      <c r="D1259" s="87">
        <v>19586.8</v>
      </c>
      <c r="E1259" s="35" t="s">
        <v>11883</v>
      </c>
      <c r="F1259" s="87">
        <f>12500+7086.8</f>
        <v>19586.8</v>
      </c>
      <c r="G1259" s="91">
        <f>Tabla15[[#This Row],[Importe]]-Tabla15[[#This Row],[Pagado]]</f>
        <v>0</v>
      </c>
      <c r="H1259" s="92" t="s">
        <v>10</v>
      </c>
    </row>
    <row r="1260" spans="1:8" ht="21.75" customHeight="1" x14ac:dyDescent="0.25">
      <c r="A1260" s="35">
        <v>44663</v>
      </c>
      <c r="B1260" s="90" t="s">
        <v>11884</v>
      </c>
      <c r="C1260" s="41" t="s">
        <v>16</v>
      </c>
      <c r="D1260" s="87">
        <v>4757.7</v>
      </c>
      <c r="E1260" s="35">
        <v>44663</v>
      </c>
      <c r="F1260" s="87">
        <v>4757.7</v>
      </c>
      <c r="G1260" s="91">
        <f>Tabla15[[#This Row],[Importe]]-Tabla15[[#This Row],[Pagado]]</f>
        <v>0</v>
      </c>
      <c r="H1260" s="92" t="s">
        <v>10</v>
      </c>
    </row>
    <row r="1261" spans="1:8" ht="21.75" customHeight="1" x14ac:dyDescent="0.25">
      <c r="A1261" s="35">
        <v>44663</v>
      </c>
      <c r="B1261" s="90" t="s">
        <v>11885</v>
      </c>
      <c r="C1261" s="41" t="s">
        <v>64</v>
      </c>
      <c r="D1261" s="87">
        <v>8453.5</v>
      </c>
      <c r="E1261" s="35">
        <v>44667</v>
      </c>
      <c r="F1261" s="87">
        <v>8453.5</v>
      </c>
      <c r="G1261" s="91">
        <f>Tabla15[[#This Row],[Importe]]-Tabla15[[#This Row],[Pagado]]</f>
        <v>0</v>
      </c>
      <c r="H1261" s="92" t="s">
        <v>10</v>
      </c>
    </row>
    <row r="1262" spans="1:8" ht="21.75" customHeight="1" x14ac:dyDescent="0.25">
      <c r="A1262" s="35">
        <v>44663</v>
      </c>
      <c r="B1262" s="90" t="s">
        <v>11886</v>
      </c>
      <c r="C1262" s="41" t="s">
        <v>39</v>
      </c>
      <c r="D1262" s="87">
        <v>19351</v>
      </c>
      <c r="E1262" s="35">
        <v>44663</v>
      </c>
      <c r="F1262" s="87">
        <v>19351</v>
      </c>
      <c r="G1262" s="91">
        <f>Tabla15[[#This Row],[Importe]]-Tabla15[[#This Row],[Pagado]]</f>
        <v>0</v>
      </c>
      <c r="H1262" s="92" t="s">
        <v>10</v>
      </c>
    </row>
    <row r="1263" spans="1:8" ht="21.75" customHeight="1" x14ac:dyDescent="0.25">
      <c r="A1263" s="35">
        <v>44663</v>
      </c>
      <c r="B1263" s="90" t="s">
        <v>11887</v>
      </c>
      <c r="C1263" s="41" t="s">
        <v>99</v>
      </c>
      <c r="D1263" s="87">
        <v>2516.4</v>
      </c>
      <c r="E1263" s="35">
        <v>44664</v>
      </c>
      <c r="F1263" s="87">
        <v>2516.4</v>
      </c>
      <c r="G1263" s="91">
        <f>Tabla15[[#This Row],[Importe]]-Tabla15[[#This Row],[Pagado]]</f>
        <v>0</v>
      </c>
      <c r="H1263" s="92" t="s">
        <v>10</v>
      </c>
    </row>
    <row r="1264" spans="1:8" ht="21.75" customHeight="1" x14ac:dyDescent="0.25">
      <c r="A1264" s="35">
        <v>44663</v>
      </c>
      <c r="B1264" s="90" t="s">
        <v>11888</v>
      </c>
      <c r="C1264" s="41" t="s">
        <v>111</v>
      </c>
      <c r="D1264" s="87">
        <v>4605.3</v>
      </c>
      <c r="E1264" s="35">
        <v>44667</v>
      </c>
      <c r="F1264" s="87">
        <v>4605.3</v>
      </c>
      <c r="G1264" s="91">
        <f>Tabla15[[#This Row],[Importe]]-Tabla15[[#This Row],[Pagado]]</f>
        <v>0</v>
      </c>
      <c r="H1264" s="92" t="s">
        <v>10</v>
      </c>
    </row>
    <row r="1265" spans="1:8" ht="21.75" customHeight="1" x14ac:dyDescent="0.25">
      <c r="A1265" s="35">
        <v>44663</v>
      </c>
      <c r="B1265" s="90" t="s">
        <v>11889</v>
      </c>
      <c r="C1265" s="41" t="s">
        <v>116</v>
      </c>
      <c r="D1265" s="87">
        <v>4913.1000000000004</v>
      </c>
      <c r="E1265" s="35">
        <v>44669</v>
      </c>
      <c r="F1265" s="87">
        <v>4913.1000000000004</v>
      </c>
      <c r="G1265" s="91">
        <f>Tabla15[[#This Row],[Importe]]-Tabla15[[#This Row],[Pagado]]</f>
        <v>0</v>
      </c>
      <c r="H1265" s="92" t="s">
        <v>10</v>
      </c>
    </row>
    <row r="1266" spans="1:8" ht="21.75" customHeight="1" x14ac:dyDescent="0.25">
      <c r="A1266" s="35">
        <v>44663</v>
      </c>
      <c r="B1266" s="90" t="s">
        <v>11890</v>
      </c>
      <c r="C1266" s="41" t="s">
        <v>105</v>
      </c>
      <c r="D1266" s="87">
        <v>7714.5</v>
      </c>
      <c r="E1266" s="35">
        <v>44667</v>
      </c>
      <c r="F1266" s="87">
        <v>7714.5</v>
      </c>
      <c r="G1266" s="91">
        <f>Tabla15[[#This Row],[Importe]]-Tabla15[[#This Row],[Pagado]]</f>
        <v>0</v>
      </c>
      <c r="H1266" s="92" t="s">
        <v>10</v>
      </c>
    </row>
    <row r="1267" spans="1:8" ht="21.75" customHeight="1" x14ac:dyDescent="0.25">
      <c r="A1267" s="35">
        <v>44663</v>
      </c>
      <c r="B1267" s="90" t="s">
        <v>11891</v>
      </c>
      <c r="C1267" s="41" t="s">
        <v>109</v>
      </c>
      <c r="D1267" s="87">
        <v>13076.4</v>
      </c>
      <c r="E1267" s="35">
        <v>44667</v>
      </c>
      <c r="F1267" s="87">
        <v>13076.4</v>
      </c>
      <c r="G1267" s="91">
        <f>Tabla15[[#This Row],[Importe]]-Tabla15[[#This Row],[Pagado]]</f>
        <v>0</v>
      </c>
      <c r="H1267" s="92" t="s">
        <v>10</v>
      </c>
    </row>
    <row r="1268" spans="1:8" x14ac:dyDescent="0.25">
      <c r="A1268" s="35">
        <v>44663</v>
      </c>
      <c r="B1268" s="90" t="s">
        <v>11892</v>
      </c>
      <c r="C1268" s="41" t="s">
        <v>11893</v>
      </c>
      <c r="D1268" s="87">
        <v>0</v>
      </c>
      <c r="E1268" s="39" t="s">
        <v>189</v>
      </c>
      <c r="F1268" s="87">
        <v>0</v>
      </c>
      <c r="G1268" s="91">
        <f>Tabla15[[#This Row],[Importe]]-Tabla15[[#This Row],[Pagado]]</f>
        <v>0</v>
      </c>
      <c r="H1268" s="93" t="s">
        <v>11894</v>
      </c>
    </row>
    <row r="1269" spans="1:8" ht="21.75" customHeight="1" x14ac:dyDescent="0.25">
      <c r="A1269" s="35">
        <v>44663</v>
      </c>
      <c r="B1269" s="90" t="s">
        <v>11895</v>
      </c>
      <c r="C1269" s="41" t="s">
        <v>97</v>
      </c>
      <c r="D1269" s="87">
        <v>6227.1</v>
      </c>
      <c r="E1269" s="35">
        <v>44667</v>
      </c>
      <c r="F1269" s="87">
        <v>6227.1</v>
      </c>
      <c r="G1269" s="91">
        <f>Tabla15[[#This Row],[Importe]]-Tabla15[[#This Row],[Pagado]]</f>
        <v>0</v>
      </c>
      <c r="H1269" s="92" t="s">
        <v>10</v>
      </c>
    </row>
    <row r="1270" spans="1:8" ht="21.75" customHeight="1" x14ac:dyDescent="0.25">
      <c r="A1270" s="35">
        <v>44663</v>
      </c>
      <c r="B1270" s="90" t="s">
        <v>11896</v>
      </c>
      <c r="C1270" s="41" t="s">
        <v>89</v>
      </c>
      <c r="D1270" s="87">
        <v>13568</v>
      </c>
      <c r="E1270" s="35">
        <v>44667</v>
      </c>
      <c r="F1270" s="87">
        <v>13568</v>
      </c>
      <c r="G1270" s="91">
        <f>Tabla15[[#This Row],[Importe]]-Tabla15[[#This Row],[Pagado]]</f>
        <v>0</v>
      </c>
      <c r="H1270" s="92" t="s">
        <v>10</v>
      </c>
    </row>
    <row r="1271" spans="1:8" ht="21.75" customHeight="1" x14ac:dyDescent="0.25">
      <c r="A1271" s="35">
        <v>44663</v>
      </c>
      <c r="B1271" s="90" t="s">
        <v>11897</v>
      </c>
      <c r="C1271" s="41" t="s">
        <v>135</v>
      </c>
      <c r="D1271" s="87">
        <v>2575</v>
      </c>
      <c r="E1271" s="35">
        <v>44663</v>
      </c>
      <c r="F1271" s="87">
        <v>2575</v>
      </c>
      <c r="G1271" s="91">
        <f>Tabla15[[#This Row],[Importe]]-Tabla15[[#This Row],[Pagado]]</f>
        <v>0</v>
      </c>
      <c r="H1271" s="92" t="s">
        <v>10</v>
      </c>
    </row>
    <row r="1272" spans="1:8" ht="21.75" customHeight="1" x14ac:dyDescent="0.25">
      <c r="A1272" s="35">
        <v>44663</v>
      </c>
      <c r="B1272" s="90" t="s">
        <v>11898</v>
      </c>
      <c r="C1272" s="41" t="s">
        <v>24</v>
      </c>
      <c r="D1272" s="87">
        <v>3428.2</v>
      </c>
      <c r="E1272" s="35">
        <v>44663</v>
      </c>
      <c r="F1272" s="87">
        <v>3428.2</v>
      </c>
      <c r="G1272" s="91">
        <f>Tabla15[[#This Row],[Importe]]-Tabla15[[#This Row],[Pagado]]</f>
        <v>0</v>
      </c>
      <c r="H1272" s="92" t="s">
        <v>10</v>
      </c>
    </row>
    <row r="1273" spans="1:8" ht="21.75" customHeight="1" x14ac:dyDescent="0.25">
      <c r="A1273" s="35">
        <v>44663</v>
      </c>
      <c r="B1273" s="90" t="s">
        <v>11899</v>
      </c>
      <c r="C1273" s="41" t="s">
        <v>319</v>
      </c>
      <c r="D1273" s="87">
        <v>1125</v>
      </c>
      <c r="E1273" s="35">
        <v>44663</v>
      </c>
      <c r="F1273" s="87">
        <v>1125</v>
      </c>
      <c r="G1273" s="91">
        <f>Tabla15[[#This Row],[Importe]]-Tabla15[[#This Row],[Pagado]]</f>
        <v>0</v>
      </c>
      <c r="H1273" s="92" t="s">
        <v>10</v>
      </c>
    </row>
    <row r="1274" spans="1:8" ht="21.75" customHeight="1" x14ac:dyDescent="0.25">
      <c r="A1274" s="35">
        <v>44663</v>
      </c>
      <c r="B1274" s="90" t="s">
        <v>11900</v>
      </c>
      <c r="C1274" s="41" t="s">
        <v>1038</v>
      </c>
      <c r="D1274" s="87">
        <v>7005</v>
      </c>
      <c r="E1274" s="35">
        <v>44663</v>
      </c>
      <c r="F1274" s="87">
        <v>7005</v>
      </c>
      <c r="G1274" s="91">
        <f>Tabla15[[#This Row],[Importe]]-Tabla15[[#This Row],[Pagado]]</f>
        <v>0</v>
      </c>
      <c r="H1274" s="92" t="s">
        <v>10</v>
      </c>
    </row>
    <row r="1275" spans="1:8" ht="21.75" customHeight="1" x14ac:dyDescent="0.25">
      <c r="A1275" s="35">
        <v>44663</v>
      </c>
      <c r="B1275" s="90" t="s">
        <v>11901</v>
      </c>
      <c r="C1275" s="41" t="s">
        <v>27</v>
      </c>
      <c r="D1275" s="87">
        <v>2998.8</v>
      </c>
      <c r="E1275" s="35">
        <v>44663</v>
      </c>
      <c r="F1275" s="87">
        <v>2998.8</v>
      </c>
      <c r="G1275" s="91">
        <f>Tabla15[[#This Row],[Importe]]-Tabla15[[#This Row],[Pagado]]</f>
        <v>0</v>
      </c>
      <c r="H1275" s="92" t="s">
        <v>10</v>
      </c>
    </row>
    <row r="1276" spans="1:8" ht="21.75" customHeight="1" x14ac:dyDescent="0.25">
      <c r="A1276" s="35">
        <v>44663</v>
      </c>
      <c r="B1276" s="90" t="s">
        <v>11902</v>
      </c>
      <c r="C1276" s="41" t="s">
        <v>161</v>
      </c>
      <c r="D1276" s="87">
        <v>3306.2</v>
      </c>
      <c r="E1276" s="35">
        <v>44663</v>
      </c>
      <c r="F1276" s="87">
        <v>3306.2</v>
      </c>
      <c r="G1276" s="91">
        <f>Tabla15[[#This Row],[Importe]]-Tabla15[[#This Row],[Pagado]]</f>
        <v>0</v>
      </c>
      <c r="H1276" s="92" t="s">
        <v>10</v>
      </c>
    </row>
    <row r="1277" spans="1:8" ht="21.75" customHeight="1" x14ac:dyDescent="0.25">
      <c r="A1277" s="35">
        <v>44663</v>
      </c>
      <c r="B1277" s="90" t="s">
        <v>11903</v>
      </c>
      <c r="C1277" s="41" t="s">
        <v>966</v>
      </c>
      <c r="D1277" s="87">
        <v>17400</v>
      </c>
      <c r="E1277" s="35">
        <v>44663</v>
      </c>
      <c r="F1277" s="87">
        <v>17400</v>
      </c>
      <c r="G1277" s="91">
        <f>Tabla15[[#This Row],[Importe]]-Tabla15[[#This Row],[Pagado]]</f>
        <v>0</v>
      </c>
      <c r="H1277" s="92" t="s">
        <v>10</v>
      </c>
    </row>
    <row r="1278" spans="1:8" ht="21.75" customHeight="1" x14ac:dyDescent="0.25">
      <c r="A1278" s="35">
        <v>44663</v>
      </c>
      <c r="B1278" s="90" t="s">
        <v>11904</v>
      </c>
      <c r="C1278" s="41" t="s">
        <v>47</v>
      </c>
      <c r="D1278" s="87">
        <v>53558.68</v>
      </c>
      <c r="E1278" s="35">
        <v>44663</v>
      </c>
      <c r="F1278" s="87">
        <v>53558.68</v>
      </c>
      <c r="G1278" s="91">
        <f>Tabla15[[#This Row],[Importe]]-Tabla15[[#This Row],[Pagado]]</f>
        <v>0</v>
      </c>
      <c r="H1278" s="92" t="s">
        <v>10</v>
      </c>
    </row>
    <row r="1279" spans="1:8" ht="21.75" customHeight="1" x14ac:dyDescent="0.25">
      <c r="A1279" s="35">
        <v>44663</v>
      </c>
      <c r="B1279" s="90" t="s">
        <v>11905</v>
      </c>
      <c r="C1279" s="41" t="s">
        <v>196</v>
      </c>
      <c r="D1279" s="87">
        <v>35876.1</v>
      </c>
      <c r="E1279" s="35">
        <v>44669</v>
      </c>
      <c r="F1279" s="87">
        <v>35876.1</v>
      </c>
      <c r="G1279" s="91">
        <f>Tabla15[[#This Row],[Importe]]-Tabla15[[#This Row],[Pagado]]</f>
        <v>0</v>
      </c>
      <c r="H1279" s="92" t="s">
        <v>10</v>
      </c>
    </row>
    <row r="1280" spans="1:8" ht="21.75" customHeight="1" x14ac:dyDescent="0.25">
      <c r="A1280" s="35">
        <v>44663</v>
      </c>
      <c r="B1280" s="90" t="s">
        <v>11906</v>
      </c>
      <c r="C1280" s="41" t="s">
        <v>159</v>
      </c>
      <c r="D1280" s="87">
        <v>2468.5</v>
      </c>
      <c r="E1280" s="35">
        <v>44663</v>
      </c>
      <c r="F1280" s="87">
        <v>2468.5</v>
      </c>
      <c r="G1280" s="91">
        <f>Tabla15[[#This Row],[Importe]]-Tabla15[[#This Row],[Pagado]]</f>
        <v>0</v>
      </c>
      <c r="H1280" s="92" t="s">
        <v>10</v>
      </c>
    </row>
    <row r="1281" spans="1:8" ht="21.75" customHeight="1" x14ac:dyDescent="0.25">
      <c r="A1281" s="35">
        <v>44663</v>
      </c>
      <c r="B1281" s="90" t="s">
        <v>11907</v>
      </c>
      <c r="C1281" s="41" t="s">
        <v>131</v>
      </c>
      <c r="D1281" s="87">
        <v>17951.099999999999</v>
      </c>
      <c r="E1281" s="35">
        <v>44663</v>
      </c>
      <c r="F1281" s="87">
        <v>17951.099999999999</v>
      </c>
      <c r="G1281" s="91">
        <f>Tabla15[[#This Row],[Importe]]-Tabla15[[#This Row],[Pagado]]</f>
        <v>0</v>
      </c>
      <c r="H1281" s="92" t="s">
        <v>10</v>
      </c>
    </row>
    <row r="1282" spans="1:8" ht="21.75" customHeight="1" x14ac:dyDescent="0.25">
      <c r="A1282" s="35">
        <v>44663</v>
      </c>
      <c r="B1282" s="90" t="s">
        <v>11908</v>
      </c>
      <c r="C1282" s="41" t="s">
        <v>396</v>
      </c>
      <c r="D1282" s="87">
        <v>7331.2</v>
      </c>
      <c r="E1282" s="35">
        <v>44673</v>
      </c>
      <c r="F1282" s="87">
        <v>7331.2</v>
      </c>
      <c r="G1282" s="91">
        <f>Tabla15[[#This Row],[Importe]]-Tabla15[[#This Row],[Pagado]]</f>
        <v>0</v>
      </c>
      <c r="H1282" s="92" t="s">
        <v>10</v>
      </c>
    </row>
    <row r="1283" spans="1:8" ht="21.75" customHeight="1" x14ac:dyDescent="0.25">
      <c r="A1283" s="35">
        <v>44663</v>
      </c>
      <c r="B1283" s="90" t="s">
        <v>11909</v>
      </c>
      <c r="C1283" s="41" t="s">
        <v>9780</v>
      </c>
      <c r="D1283" s="87">
        <v>33111.300000000003</v>
      </c>
      <c r="E1283" s="35">
        <v>44670</v>
      </c>
      <c r="F1283" s="87">
        <v>33111.300000000003</v>
      </c>
      <c r="G1283" s="91">
        <f>Tabla15[[#This Row],[Importe]]-Tabla15[[#This Row],[Pagado]]</f>
        <v>0</v>
      </c>
      <c r="H1283" s="92" t="s">
        <v>10</v>
      </c>
    </row>
    <row r="1284" spans="1:8" ht="21.75" customHeight="1" x14ac:dyDescent="0.25">
      <c r="A1284" s="35">
        <v>44663</v>
      </c>
      <c r="B1284" s="90" t="s">
        <v>11910</v>
      </c>
      <c r="C1284" s="41" t="s">
        <v>373</v>
      </c>
      <c r="D1284" s="87">
        <v>1699.1</v>
      </c>
      <c r="E1284" s="35">
        <v>44663</v>
      </c>
      <c r="F1284" s="87">
        <v>1699.1</v>
      </c>
      <c r="G1284" s="91">
        <f>Tabla15[[#This Row],[Importe]]-Tabla15[[#This Row],[Pagado]]</f>
        <v>0</v>
      </c>
      <c r="H1284" s="92" t="s">
        <v>10</v>
      </c>
    </row>
    <row r="1285" spans="1:8" ht="21.75" customHeight="1" x14ac:dyDescent="0.25">
      <c r="A1285" s="35">
        <v>44663</v>
      </c>
      <c r="B1285" s="90" t="s">
        <v>11911</v>
      </c>
      <c r="C1285" s="41" t="s">
        <v>396</v>
      </c>
      <c r="D1285" s="87">
        <v>179.2</v>
      </c>
      <c r="E1285" s="35">
        <v>44673</v>
      </c>
      <c r="F1285" s="87">
        <v>179.2</v>
      </c>
      <c r="G1285" s="91">
        <f>Tabla15[[#This Row],[Importe]]-Tabla15[[#This Row],[Pagado]]</f>
        <v>0</v>
      </c>
      <c r="H1285" s="92" t="s">
        <v>10</v>
      </c>
    </row>
    <row r="1286" spans="1:8" ht="21.75" customHeight="1" x14ac:dyDescent="0.25">
      <c r="A1286" s="35">
        <v>44663</v>
      </c>
      <c r="B1286" s="90" t="s">
        <v>11912</v>
      </c>
      <c r="C1286" s="41" t="s">
        <v>1706</v>
      </c>
      <c r="D1286" s="87">
        <v>9158.4</v>
      </c>
      <c r="E1286" s="35">
        <v>44663</v>
      </c>
      <c r="F1286" s="87">
        <v>9158.4</v>
      </c>
      <c r="G1286" s="91">
        <f>Tabla15[[#This Row],[Importe]]-Tabla15[[#This Row],[Pagado]]</f>
        <v>0</v>
      </c>
      <c r="H1286" s="92" t="s">
        <v>10</v>
      </c>
    </row>
    <row r="1287" spans="1:8" ht="21.75" customHeight="1" x14ac:dyDescent="0.25">
      <c r="A1287" s="35">
        <v>44663</v>
      </c>
      <c r="B1287" s="90" t="s">
        <v>11913</v>
      </c>
      <c r="C1287" s="41" t="s">
        <v>140</v>
      </c>
      <c r="D1287" s="87">
        <v>4712.2</v>
      </c>
      <c r="E1287" s="35">
        <v>44663</v>
      </c>
      <c r="F1287" s="87">
        <v>4712.2</v>
      </c>
      <c r="G1287" s="91">
        <f>Tabla15[[#This Row],[Importe]]-Tabla15[[#This Row],[Pagado]]</f>
        <v>0</v>
      </c>
      <c r="H1287" s="92" t="s">
        <v>10</v>
      </c>
    </row>
    <row r="1288" spans="1:8" ht="21.75" customHeight="1" x14ac:dyDescent="0.25">
      <c r="A1288" s="35">
        <v>44663</v>
      </c>
      <c r="B1288" s="90" t="s">
        <v>11914</v>
      </c>
      <c r="C1288" s="41" t="s">
        <v>129</v>
      </c>
      <c r="D1288" s="87">
        <v>4289.6000000000004</v>
      </c>
      <c r="E1288" s="35">
        <v>44663</v>
      </c>
      <c r="F1288" s="87">
        <v>4289.6000000000004</v>
      </c>
      <c r="G1288" s="91">
        <f>Tabla15[[#This Row],[Importe]]-Tabla15[[#This Row],[Pagado]]</f>
        <v>0</v>
      </c>
      <c r="H1288" s="92" t="s">
        <v>10</v>
      </c>
    </row>
    <row r="1289" spans="1:8" ht="21.75" customHeight="1" x14ac:dyDescent="0.25">
      <c r="A1289" s="35">
        <v>44663</v>
      </c>
      <c r="B1289" s="90" t="s">
        <v>11915</v>
      </c>
      <c r="C1289" s="41" t="s">
        <v>127</v>
      </c>
      <c r="D1289" s="87">
        <v>1817.2</v>
      </c>
      <c r="E1289" s="35">
        <v>44663</v>
      </c>
      <c r="F1289" s="87">
        <v>1817.2</v>
      </c>
      <c r="G1289" s="91">
        <f>Tabla15[[#This Row],[Importe]]-Tabla15[[#This Row],[Pagado]]</f>
        <v>0</v>
      </c>
      <c r="H1289" s="92" t="s">
        <v>10</v>
      </c>
    </row>
    <row r="1290" spans="1:8" ht="21.75" customHeight="1" x14ac:dyDescent="0.25">
      <c r="A1290" s="35">
        <v>44663</v>
      </c>
      <c r="B1290" s="90" t="s">
        <v>11916</v>
      </c>
      <c r="C1290" s="41" t="s">
        <v>3971</v>
      </c>
      <c r="D1290" s="87">
        <v>2244.8000000000002</v>
      </c>
      <c r="E1290" s="35">
        <v>44663</v>
      </c>
      <c r="F1290" s="87">
        <v>2244.8000000000002</v>
      </c>
      <c r="G1290" s="91">
        <f>Tabla15[[#This Row],[Importe]]-Tabla15[[#This Row],[Pagado]]</f>
        <v>0</v>
      </c>
      <c r="H1290" s="92" t="s">
        <v>10</v>
      </c>
    </row>
    <row r="1291" spans="1:8" ht="21.75" customHeight="1" x14ac:dyDescent="0.25">
      <c r="A1291" s="35">
        <v>44663</v>
      </c>
      <c r="B1291" s="90" t="s">
        <v>11917</v>
      </c>
      <c r="C1291" s="41" t="s">
        <v>230</v>
      </c>
      <c r="D1291" s="87">
        <v>2206.1999999999998</v>
      </c>
      <c r="E1291" s="35">
        <v>44663</v>
      </c>
      <c r="F1291" s="87">
        <v>2206.1999999999998</v>
      </c>
      <c r="G1291" s="91">
        <f>Tabla15[[#This Row],[Importe]]-Tabla15[[#This Row],[Pagado]]</f>
        <v>0</v>
      </c>
      <c r="H1291" s="92" t="s">
        <v>10</v>
      </c>
    </row>
    <row r="1292" spans="1:8" ht="21.75" customHeight="1" x14ac:dyDescent="0.25">
      <c r="A1292" s="35">
        <v>44663</v>
      </c>
      <c r="B1292" s="90" t="s">
        <v>11918</v>
      </c>
      <c r="C1292" s="41" t="s">
        <v>11919</v>
      </c>
      <c r="D1292" s="87">
        <v>11550</v>
      </c>
      <c r="E1292" s="35">
        <v>44663</v>
      </c>
      <c r="F1292" s="87">
        <v>11550</v>
      </c>
      <c r="G1292" s="91">
        <f>Tabla15[[#This Row],[Importe]]-Tabla15[[#This Row],[Pagado]]</f>
        <v>0</v>
      </c>
      <c r="H1292" s="92" t="s">
        <v>10</v>
      </c>
    </row>
    <row r="1293" spans="1:8" ht="21.75" customHeight="1" x14ac:dyDescent="0.25">
      <c r="A1293" s="35">
        <v>44663</v>
      </c>
      <c r="B1293" s="90" t="s">
        <v>11920</v>
      </c>
      <c r="C1293" s="41" t="s">
        <v>45</v>
      </c>
      <c r="D1293" s="87">
        <v>13792</v>
      </c>
      <c r="E1293" s="35">
        <v>44663</v>
      </c>
      <c r="F1293" s="87">
        <v>13792</v>
      </c>
      <c r="G1293" s="91">
        <f>Tabla15[[#This Row],[Importe]]-Tabla15[[#This Row],[Pagado]]</f>
        <v>0</v>
      </c>
      <c r="H1293" s="92" t="s">
        <v>10</v>
      </c>
    </row>
    <row r="1294" spans="1:8" ht="21.75" customHeight="1" x14ac:dyDescent="0.25">
      <c r="A1294" s="35">
        <v>44663</v>
      </c>
      <c r="B1294" s="90" t="s">
        <v>11921</v>
      </c>
      <c r="C1294" s="41" t="s">
        <v>49</v>
      </c>
      <c r="D1294" s="87">
        <v>2698.7</v>
      </c>
      <c r="E1294" s="35">
        <v>44663</v>
      </c>
      <c r="F1294" s="87">
        <v>2698.7</v>
      </c>
      <c r="G1294" s="91">
        <f>Tabla15[[#This Row],[Importe]]-Tabla15[[#This Row],[Pagado]]</f>
        <v>0</v>
      </c>
      <c r="H1294" s="92" t="s">
        <v>10</v>
      </c>
    </row>
    <row r="1295" spans="1:8" ht="21.75" customHeight="1" x14ac:dyDescent="0.25">
      <c r="A1295" s="35">
        <v>44663</v>
      </c>
      <c r="B1295" s="90" t="s">
        <v>11922</v>
      </c>
      <c r="C1295" s="41" t="s">
        <v>216</v>
      </c>
      <c r="D1295" s="87">
        <v>1101.5999999999999</v>
      </c>
      <c r="E1295" s="35">
        <v>44663</v>
      </c>
      <c r="F1295" s="87">
        <v>1101.5999999999999</v>
      </c>
      <c r="G1295" s="91">
        <f>Tabla15[[#This Row],[Importe]]-Tabla15[[#This Row],[Pagado]]</f>
        <v>0</v>
      </c>
      <c r="H1295" s="92" t="s">
        <v>10</v>
      </c>
    </row>
    <row r="1296" spans="1:8" ht="21.75" customHeight="1" x14ac:dyDescent="0.25">
      <c r="A1296" s="35">
        <v>44663</v>
      </c>
      <c r="B1296" s="90" t="s">
        <v>11923</v>
      </c>
      <c r="C1296" s="41" t="s">
        <v>12</v>
      </c>
      <c r="D1296" s="87">
        <v>1920</v>
      </c>
      <c r="E1296" s="35">
        <v>44663</v>
      </c>
      <c r="F1296" s="87">
        <v>1920</v>
      </c>
      <c r="G1296" s="91">
        <f>Tabla15[[#This Row],[Importe]]-Tabla15[[#This Row],[Pagado]]</f>
        <v>0</v>
      </c>
      <c r="H1296" s="92" t="s">
        <v>10</v>
      </c>
    </row>
    <row r="1297" spans="1:8" ht="21.75" customHeight="1" x14ac:dyDescent="0.25">
      <c r="A1297" s="35">
        <v>44663</v>
      </c>
      <c r="B1297" s="90" t="s">
        <v>11924</v>
      </c>
      <c r="C1297" s="41" t="s">
        <v>562</v>
      </c>
      <c r="D1297" s="87">
        <v>2623.9</v>
      </c>
      <c r="E1297" s="35">
        <v>44663</v>
      </c>
      <c r="F1297" s="87">
        <v>2623.9</v>
      </c>
      <c r="G1297" s="91">
        <f>Tabla15[[#This Row],[Importe]]-Tabla15[[#This Row],[Pagado]]</f>
        <v>0</v>
      </c>
      <c r="H1297" s="92" t="s">
        <v>10</v>
      </c>
    </row>
    <row r="1298" spans="1:8" ht="21.75" customHeight="1" x14ac:dyDescent="0.25">
      <c r="A1298" s="35">
        <v>44663</v>
      </c>
      <c r="B1298" s="90" t="s">
        <v>11925</v>
      </c>
      <c r="C1298" s="41" t="s">
        <v>562</v>
      </c>
      <c r="D1298" s="87">
        <v>140.6</v>
      </c>
      <c r="E1298" s="35">
        <v>44663</v>
      </c>
      <c r="F1298" s="87">
        <v>140.6</v>
      </c>
      <c r="G1298" s="91">
        <f>Tabla15[[#This Row],[Importe]]-Tabla15[[#This Row],[Pagado]]</f>
        <v>0</v>
      </c>
      <c r="H1298" s="92" t="s">
        <v>10</v>
      </c>
    </row>
    <row r="1299" spans="1:8" ht="21.75" customHeight="1" x14ac:dyDescent="0.25">
      <c r="A1299" s="35">
        <v>44663</v>
      </c>
      <c r="B1299" s="90" t="s">
        <v>11926</v>
      </c>
      <c r="C1299" s="41" t="s">
        <v>204</v>
      </c>
      <c r="D1299" s="87">
        <v>1224.5999999999999</v>
      </c>
      <c r="E1299" s="35">
        <v>44663</v>
      </c>
      <c r="F1299" s="87">
        <v>1224.5999999999999</v>
      </c>
      <c r="G1299" s="91">
        <f>Tabla15[[#This Row],[Importe]]-Tabla15[[#This Row],[Pagado]]</f>
        <v>0</v>
      </c>
      <c r="H1299" s="92" t="s">
        <v>10</v>
      </c>
    </row>
    <row r="1300" spans="1:8" ht="21.75" customHeight="1" x14ac:dyDescent="0.25">
      <c r="A1300" s="35">
        <v>44663</v>
      </c>
      <c r="B1300" s="90" t="s">
        <v>11927</v>
      </c>
      <c r="C1300" s="41" t="s">
        <v>419</v>
      </c>
      <c r="D1300" s="87">
        <v>8781.7999999999993</v>
      </c>
      <c r="E1300" s="35">
        <v>44663</v>
      </c>
      <c r="F1300" s="87">
        <v>8781.7999999999993</v>
      </c>
      <c r="G1300" s="91">
        <f>Tabla15[[#This Row],[Importe]]-Tabla15[[#This Row],[Pagado]]</f>
        <v>0</v>
      </c>
      <c r="H1300" s="92" t="s">
        <v>10</v>
      </c>
    </row>
    <row r="1301" spans="1:8" ht="21.75" customHeight="1" x14ac:dyDescent="0.25">
      <c r="A1301" s="35">
        <v>44663</v>
      </c>
      <c r="B1301" s="90" t="s">
        <v>11928</v>
      </c>
      <c r="C1301" s="41" t="s">
        <v>1362</v>
      </c>
      <c r="D1301" s="87">
        <v>8187.4</v>
      </c>
      <c r="E1301" s="35">
        <v>44663</v>
      </c>
      <c r="F1301" s="87">
        <v>8187.4</v>
      </c>
      <c r="G1301" s="91">
        <f>Tabla15[[#This Row],[Importe]]-Tabla15[[#This Row],[Pagado]]</f>
        <v>0</v>
      </c>
      <c r="H1301" s="92" t="s">
        <v>10</v>
      </c>
    </row>
    <row r="1302" spans="1:8" ht="21.75" customHeight="1" x14ac:dyDescent="0.25">
      <c r="A1302" s="35">
        <v>44663</v>
      </c>
      <c r="B1302" s="90" t="s">
        <v>11929</v>
      </c>
      <c r="C1302" s="41" t="s">
        <v>146</v>
      </c>
      <c r="D1302" s="87">
        <v>2662.2</v>
      </c>
      <c r="E1302" s="35">
        <v>44663</v>
      </c>
      <c r="F1302" s="87">
        <v>2662.2</v>
      </c>
      <c r="G1302" s="91">
        <f>Tabla15[[#This Row],[Importe]]-Tabla15[[#This Row],[Pagado]]</f>
        <v>0</v>
      </c>
      <c r="H1302" s="92" t="s">
        <v>10</v>
      </c>
    </row>
    <row r="1303" spans="1:8" ht="21.75" customHeight="1" x14ac:dyDescent="0.25">
      <c r="A1303" s="35">
        <v>44663</v>
      </c>
      <c r="B1303" s="90" t="s">
        <v>11930</v>
      </c>
      <c r="C1303" s="41" t="s">
        <v>664</v>
      </c>
      <c r="D1303" s="87">
        <v>2534.6</v>
      </c>
      <c r="E1303" s="35">
        <v>44663</v>
      </c>
      <c r="F1303" s="87">
        <v>2534.6</v>
      </c>
      <c r="G1303" s="91">
        <f>Tabla15[[#This Row],[Importe]]-Tabla15[[#This Row],[Pagado]]</f>
        <v>0</v>
      </c>
      <c r="H1303" s="92" t="s">
        <v>10</v>
      </c>
    </row>
    <row r="1304" spans="1:8" ht="21.75" customHeight="1" x14ac:dyDescent="0.25">
      <c r="A1304" s="35">
        <v>44663</v>
      </c>
      <c r="B1304" s="90" t="s">
        <v>11931</v>
      </c>
      <c r="C1304" s="41" t="s">
        <v>191</v>
      </c>
      <c r="D1304" s="87">
        <v>1523.2</v>
      </c>
      <c r="E1304" s="35">
        <v>44663</v>
      </c>
      <c r="F1304" s="87">
        <v>1523.2</v>
      </c>
      <c r="G1304" s="91">
        <f>Tabla15[[#This Row],[Importe]]-Tabla15[[#This Row],[Pagado]]</f>
        <v>0</v>
      </c>
      <c r="H1304" s="92" t="s">
        <v>10</v>
      </c>
    </row>
    <row r="1305" spans="1:8" ht="21.75" customHeight="1" x14ac:dyDescent="0.25">
      <c r="A1305" s="35">
        <v>44663</v>
      </c>
      <c r="B1305" s="90" t="s">
        <v>11932</v>
      </c>
      <c r="C1305" s="41" t="s">
        <v>289</v>
      </c>
      <c r="D1305" s="87">
        <v>6058.8</v>
      </c>
      <c r="E1305" s="35">
        <v>44663</v>
      </c>
      <c r="F1305" s="87">
        <v>6058.8</v>
      </c>
      <c r="G1305" s="91">
        <f>Tabla15[[#This Row],[Importe]]-Tabla15[[#This Row],[Pagado]]</f>
        <v>0</v>
      </c>
      <c r="H1305" s="92" t="s">
        <v>10</v>
      </c>
    </row>
    <row r="1306" spans="1:8" ht="21.75" customHeight="1" x14ac:dyDescent="0.25">
      <c r="A1306" s="35">
        <v>44663</v>
      </c>
      <c r="B1306" s="90" t="s">
        <v>11933</v>
      </c>
      <c r="C1306" s="41" t="s">
        <v>333</v>
      </c>
      <c r="D1306" s="87">
        <v>1758.2</v>
      </c>
      <c r="E1306" s="35">
        <v>44663</v>
      </c>
      <c r="F1306" s="87">
        <v>1758.2</v>
      </c>
      <c r="G1306" s="91">
        <f>Tabla15[[#This Row],[Importe]]-Tabla15[[#This Row],[Pagado]]</f>
        <v>0</v>
      </c>
      <c r="H1306" s="92" t="s">
        <v>10</v>
      </c>
    </row>
    <row r="1307" spans="1:8" ht="21.75" customHeight="1" x14ac:dyDescent="0.25">
      <c r="A1307" s="35">
        <v>44663</v>
      </c>
      <c r="B1307" s="90" t="s">
        <v>11934</v>
      </c>
      <c r="C1307" s="41" t="s">
        <v>131</v>
      </c>
      <c r="D1307" s="87">
        <v>969.9</v>
      </c>
      <c r="E1307" s="35">
        <v>44663</v>
      </c>
      <c r="F1307" s="87">
        <v>969.9</v>
      </c>
      <c r="G1307" s="91">
        <f>Tabla15[[#This Row],[Importe]]-Tabla15[[#This Row],[Pagado]]</f>
        <v>0</v>
      </c>
      <c r="H1307" s="92" t="s">
        <v>10</v>
      </c>
    </row>
    <row r="1308" spans="1:8" ht="21.75" customHeight="1" x14ac:dyDescent="0.25">
      <c r="A1308" s="35">
        <v>44663</v>
      </c>
      <c r="B1308" s="90" t="s">
        <v>11935</v>
      </c>
      <c r="C1308" s="41" t="s">
        <v>107</v>
      </c>
      <c r="D1308" s="87">
        <v>8172.6</v>
      </c>
      <c r="E1308" s="35">
        <v>44663</v>
      </c>
      <c r="F1308" s="87">
        <v>8172.6</v>
      </c>
      <c r="G1308" s="91">
        <f>Tabla15[[#This Row],[Importe]]-Tabla15[[#This Row],[Pagado]]</f>
        <v>0</v>
      </c>
      <c r="H1308" s="92" t="s">
        <v>10</v>
      </c>
    </row>
    <row r="1309" spans="1:8" ht="21.75" customHeight="1" x14ac:dyDescent="0.25">
      <c r="A1309" s="35">
        <v>44663</v>
      </c>
      <c r="B1309" s="90" t="s">
        <v>11936</v>
      </c>
      <c r="C1309" s="41" t="s">
        <v>2139</v>
      </c>
      <c r="D1309" s="87">
        <v>2747</v>
      </c>
      <c r="E1309" s="35">
        <v>44663</v>
      </c>
      <c r="F1309" s="87">
        <v>2747</v>
      </c>
      <c r="G1309" s="91">
        <f>Tabla15[[#This Row],[Importe]]-Tabla15[[#This Row],[Pagado]]</f>
        <v>0</v>
      </c>
      <c r="H1309" s="92" t="s">
        <v>10</v>
      </c>
    </row>
    <row r="1310" spans="1:8" ht="21.75" customHeight="1" x14ac:dyDescent="0.25">
      <c r="A1310" s="35">
        <v>44663</v>
      </c>
      <c r="B1310" s="90" t="s">
        <v>11937</v>
      </c>
      <c r="C1310" s="41" t="s">
        <v>670</v>
      </c>
      <c r="D1310" s="87">
        <v>3458.7</v>
      </c>
      <c r="E1310" s="35">
        <v>44663</v>
      </c>
      <c r="F1310" s="87">
        <v>3458.7</v>
      </c>
      <c r="G1310" s="91">
        <f>Tabla15[[#This Row],[Importe]]-Tabla15[[#This Row],[Pagado]]</f>
        <v>0</v>
      </c>
      <c r="H1310" s="92" t="s">
        <v>10</v>
      </c>
    </row>
    <row r="1311" spans="1:8" ht="21.75" customHeight="1" x14ac:dyDescent="0.25">
      <c r="A1311" s="35">
        <v>44663</v>
      </c>
      <c r="B1311" s="90" t="s">
        <v>11938</v>
      </c>
      <c r="C1311" s="41" t="s">
        <v>142</v>
      </c>
      <c r="D1311" s="87">
        <v>33820.800000000003</v>
      </c>
      <c r="E1311" s="35">
        <v>44706</v>
      </c>
      <c r="F1311" s="87">
        <v>33820.800000000003</v>
      </c>
      <c r="G1311" s="91">
        <f>Tabla15[[#This Row],[Importe]]-Tabla15[[#This Row],[Pagado]]</f>
        <v>0</v>
      </c>
      <c r="H1311" s="92" t="s">
        <v>10</v>
      </c>
    </row>
    <row r="1312" spans="1:8" ht="21.75" customHeight="1" x14ac:dyDescent="0.25">
      <c r="A1312" s="35">
        <v>44663</v>
      </c>
      <c r="B1312" s="90" t="s">
        <v>11939</v>
      </c>
      <c r="C1312" s="41" t="s">
        <v>414</v>
      </c>
      <c r="D1312" s="87">
        <v>1152</v>
      </c>
      <c r="E1312" s="35">
        <v>44672</v>
      </c>
      <c r="F1312" s="87">
        <v>1152</v>
      </c>
      <c r="G1312" s="91">
        <f>Tabla15[[#This Row],[Importe]]-Tabla15[[#This Row],[Pagado]]</f>
        <v>0</v>
      </c>
      <c r="H1312" s="92" t="s">
        <v>10</v>
      </c>
    </row>
    <row r="1313" spans="1:8" ht="21.75" customHeight="1" x14ac:dyDescent="0.25">
      <c r="A1313" s="35">
        <v>44663</v>
      </c>
      <c r="B1313" s="90" t="s">
        <v>11940</v>
      </c>
      <c r="C1313" s="41" t="s">
        <v>9827</v>
      </c>
      <c r="D1313" s="87">
        <v>486</v>
      </c>
      <c r="E1313" s="35">
        <v>44663</v>
      </c>
      <c r="F1313" s="87">
        <v>486</v>
      </c>
      <c r="G1313" s="91">
        <f>Tabla15[[#This Row],[Importe]]-Tabla15[[#This Row],[Pagado]]</f>
        <v>0</v>
      </c>
      <c r="H1313" s="92" t="s">
        <v>10</v>
      </c>
    </row>
    <row r="1314" spans="1:8" ht="21.75" customHeight="1" x14ac:dyDescent="0.25">
      <c r="A1314" s="35">
        <v>44663</v>
      </c>
      <c r="B1314" s="90" t="s">
        <v>11941</v>
      </c>
      <c r="C1314" s="41" t="s">
        <v>407</v>
      </c>
      <c r="D1314" s="87">
        <v>7200</v>
      </c>
      <c r="E1314" s="35">
        <v>44663</v>
      </c>
      <c r="F1314" s="87">
        <v>7200</v>
      </c>
      <c r="G1314" s="91">
        <f>Tabla15[[#This Row],[Importe]]-Tabla15[[#This Row],[Pagado]]</f>
        <v>0</v>
      </c>
      <c r="H1314" s="92" t="s">
        <v>10</v>
      </c>
    </row>
    <row r="1315" spans="1:8" ht="21.75" customHeight="1" x14ac:dyDescent="0.25">
      <c r="A1315" s="35">
        <v>44663</v>
      </c>
      <c r="B1315" s="90" t="s">
        <v>11942</v>
      </c>
      <c r="C1315" s="41" t="s">
        <v>16</v>
      </c>
      <c r="D1315" s="87">
        <v>1868.4</v>
      </c>
      <c r="E1315" s="35">
        <v>44663</v>
      </c>
      <c r="F1315" s="87">
        <v>1868.4</v>
      </c>
      <c r="G1315" s="91">
        <f>Tabla15[[#This Row],[Importe]]-Tabla15[[#This Row],[Pagado]]</f>
        <v>0</v>
      </c>
      <c r="H1315" s="92" t="s">
        <v>10</v>
      </c>
    </row>
    <row r="1316" spans="1:8" ht="21.75" customHeight="1" x14ac:dyDescent="0.25">
      <c r="A1316" s="35">
        <v>44663</v>
      </c>
      <c r="B1316" s="90" t="s">
        <v>11943</v>
      </c>
      <c r="C1316" s="41" t="s">
        <v>484</v>
      </c>
      <c r="D1316" s="87">
        <v>9303</v>
      </c>
      <c r="E1316" s="35">
        <v>44663</v>
      </c>
      <c r="F1316" s="87">
        <v>9303</v>
      </c>
      <c r="G1316" s="91">
        <f>Tabla15[[#This Row],[Importe]]-Tabla15[[#This Row],[Pagado]]</f>
        <v>0</v>
      </c>
      <c r="H1316" s="92" t="s">
        <v>10</v>
      </c>
    </row>
    <row r="1317" spans="1:8" ht="21.75" customHeight="1" x14ac:dyDescent="0.25">
      <c r="A1317" s="35">
        <v>44663</v>
      </c>
      <c r="B1317" s="90" t="s">
        <v>11944</v>
      </c>
      <c r="C1317" s="41" t="s">
        <v>198</v>
      </c>
      <c r="D1317" s="87">
        <v>1242.8</v>
      </c>
      <c r="E1317" s="35">
        <v>44663</v>
      </c>
      <c r="F1317" s="87">
        <v>1242.8</v>
      </c>
      <c r="G1317" s="91">
        <f>Tabla15[[#This Row],[Importe]]-Tabla15[[#This Row],[Pagado]]</f>
        <v>0</v>
      </c>
      <c r="H1317" s="92" t="s">
        <v>10</v>
      </c>
    </row>
    <row r="1318" spans="1:8" ht="21.75" customHeight="1" x14ac:dyDescent="0.25">
      <c r="A1318" s="35">
        <v>44663</v>
      </c>
      <c r="B1318" s="90" t="s">
        <v>11945</v>
      </c>
      <c r="C1318" s="41" t="s">
        <v>312</v>
      </c>
      <c r="D1318" s="87">
        <v>2389.1999999999998</v>
      </c>
      <c r="E1318" s="35">
        <v>44663</v>
      </c>
      <c r="F1318" s="87">
        <v>2389.1999999999998</v>
      </c>
      <c r="G1318" s="91">
        <f>Tabla15[[#This Row],[Importe]]-Tabla15[[#This Row],[Pagado]]</f>
        <v>0</v>
      </c>
      <c r="H1318" s="92" t="s">
        <v>10</v>
      </c>
    </row>
    <row r="1319" spans="1:8" ht="21.75" customHeight="1" x14ac:dyDescent="0.25">
      <c r="A1319" s="35">
        <v>44663</v>
      </c>
      <c r="B1319" s="90" t="s">
        <v>11946</v>
      </c>
      <c r="C1319" s="41" t="s">
        <v>698</v>
      </c>
      <c r="D1319" s="87">
        <v>5166</v>
      </c>
      <c r="E1319" s="35">
        <v>44663</v>
      </c>
      <c r="F1319" s="87">
        <v>5166</v>
      </c>
      <c r="G1319" s="91">
        <f>Tabla15[[#This Row],[Importe]]-Tabla15[[#This Row],[Pagado]]</f>
        <v>0</v>
      </c>
      <c r="H1319" s="92" t="s">
        <v>10</v>
      </c>
    </row>
    <row r="1320" spans="1:8" ht="21.75" customHeight="1" x14ac:dyDescent="0.25">
      <c r="A1320" s="35">
        <v>44663</v>
      </c>
      <c r="B1320" s="90" t="s">
        <v>11947</v>
      </c>
      <c r="C1320" s="41" t="s">
        <v>263</v>
      </c>
      <c r="D1320" s="87">
        <v>29445</v>
      </c>
      <c r="E1320" s="35">
        <v>44670</v>
      </c>
      <c r="F1320" s="87">
        <v>29445</v>
      </c>
      <c r="G1320" s="91">
        <f>Tabla15[[#This Row],[Importe]]-Tabla15[[#This Row],[Pagado]]</f>
        <v>0</v>
      </c>
      <c r="H1320" s="92" t="s">
        <v>10</v>
      </c>
    </row>
    <row r="1321" spans="1:8" ht="21.75" customHeight="1" x14ac:dyDescent="0.25">
      <c r="A1321" s="35">
        <v>44663</v>
      </c>
      <c r="B1321" s="90" t="s">
        <v>11948</v>
      </c>
      <c r="C1321" s="41" t="s">
        <v>11383</v>
      </c>
      <c r="D1321" s="87">
        <v>29019</v>
      </c>
      <c r="E1321" s="35">
        <v>44663</v>
      </c>
      <c r="F1321" s="87">
        <v>29019</v>
      </c>
      <c r="G1321" s="91">
        <f>Tabla15[[#This Row],[Importe]]-Tabla15[[#This Row],[Pagado]]</f>
        <v>0</v>
      </c>
      <c r="H1321" s="92" t="s">
        <v>10</v>
      </c>
    </row>
    <row r="1322" spans="1:8" ht="21.75" customHeight="1" x14ac:dyDescent="0.25">
      <c r="A1322" s="35">
        <v>44663</v>
      </c>
      <c r="B1322" s="90" t="s">
        <v>11949</v>
      </c>
      <c r="C1322" s="41" t="s">
        <v>179</v>
      </c>
      <c r="D1322" s="87">
        <v>1058.4000000000001</v>
      </c>
      <c r="E1322" s="35">
        <v>44663</v>
      </c>
      <c r="F1322" s="87">
        <v>1058.4000000000001</v>
      </c>
      <c r="G1322" s="91">
        <f>Tabla15[[#This Row],[Importe]]-Tabla15[[#This Row],[Pagado]]</f>
        <v>0</v>
      </c>
      <c r="H1322" s="92" t="s">
        <v>10</v>
      </c>
    </row>
    <row r="1323" spans="1:8" ht="21.75" customHeight="1" x14ac:dyDescent="0.25">
      <c r="A1323" s="35">
        <v>44663</v>
      </c>
      <c r="B1323" s="90" t="s">
        <v>11950</v>
      </c>
      <c r="C1323" s="41" t="s">
        <v>440</v>
      </c>
      <c r="D1323" s="87">
        <v>23740.5</v>
      </c>
      <c r="E1323" s="35">
        <v>44679</v>
      </c>
      <c r="F1323" s="87">
        <v>23740.5</v>
      </c>
      <c r="G1323" s="91">
        <f>Tabla15[[#This Row],[Importe]]-Tabla15[[#This Row],[Pagado]]</f>
        <v>0</v>
      </c>
      <c r="H1323" s="92" t="s">
        <v>10</v>
      </c>
    </row>
    <row r="1324" spans="1:8" ht="21.75" customHeight="1" x14ac:dyDescent="0.25">
      <c r="A1324" s="35">
        <v>44663</v>
      </c>
      <c r="B1324" s="90" t="s">
        <v>11951</v>
      </c>
      <c r="C1324" s="41" t="s">
        <v>71</v>
      </c>
      <c r="D1324" s="87">
        <v>3862.6</v>
      </c>
      <c r="E1324" s="35">
        <v>44663</v>
      </c>
      <c r="F1324" s="87">
        <v>3862.6</v>
      </c>
      <c r="G1324" s="91">
        <f>Tabla15[[#This Row],[Importe]]-Tabla15[[#This Row],[Pagado]]</f>
        <v>0</v>
      </c>
      <c r="H1324" s="92" t="s">
        <v>10</v>
      </c>
    </row>
    <row r="1325" spans="1:8" ht="21.75" customHeight="1" x14ac:dyDescent="0.25">
      <c r="A1325" s="35">
        <v>44663</v>
      </c>
      <c r="B1325" s="90" t="s">
        <v>11952</v>
      </c>
      <c r="C1325" s="41" t="s">
        <v>67</v>
      </c>
      <c r="D1325" s="87">
        <v>790.8</v>
      </c>
      <c r="E1325" s="35">
        <v>44663</v>
      </c>
      <c r="F1325" s="87">
        <v>790.8</v>
      </c>
      <c r="G1325" s="91">
        <f>Tabla15[[#This Row],[Importe]]-Tabla15[[#This Row],[Pagado]]</f>
        <v>0</v>
      </c>
      <c r="H1325" s="92" t="s">
        <v>10</v>
      </c>
    </row>
    <row r="1326" spans="1:8" ht="21.75" customHeight="1" x14ac:dyDescent="0.25">
      <c r="A1326" s="35">
        <v>44663</v>
      </c>
      <c r="B1326" s="90" t="s">
        <v>11953</v>
      </c>
      <c r="C1326" s="41" t="s">
        <v>7862</v>
      </c>
      <c r="D1326" s="87">
        <v>9338.1</v>
      </c>
      <c r="E1326" s="35">
        <v>44663</v>
      </c>
      <c r="F1326" s="87">
        <v>9338.1</v>
      </c>
      <c r="G1326" s="91">
        <f>Tabla15[[#This Row],[Importe]]-Tabla15[[#This Row],[Pagado]]</f>
        <v>0</v>
      </c>
      <c r="H1326" s="92" t="s">
        <v>10</v>
      </c>
    </row>
    <row r="1327" spans="1:8" ht="21.75" customHeight="1" x14ac:dyDescent="0.25">
      <c r="A1327" s="35">
        <v>44663</v>
      </c>
      <c r="B1327" s="90" t="s">
        <v>11954</v>
      </c>
      <c r="C1327" s="41" t="s">
        <v>214</v>
      </c>
      <c r="D1327" s="87">
        <v>1004.4</v>
      </c>
      <c r="E1327" s="35">
        <v>44663</v>
      </c>
      <c r="F1327" s="87">
        <v>1004.4</v>
      </c>
      <c r="G1327" s="91">
        <f>Tabla15[[#This Row],[Importe]]-Tabla15[[#This Row],[Pagado]]</f>
        <v>0</v>
      </c>
      <c r="H1327" s="92" t="s">
        <v>10</v>
      </c>
    </row>
    <row r="1328" spans="1:8" ht="21.75" customHeight="1" x14ac:dyDescent="0.25">
      <c r="A1328" s="35">
        <v>44663</v>
      </c>
      <c r="B1328" s="90" t="s">
        <v>11955</v>
      </c>
      <c r="C1328" s="41" t="s">
        <v>7862</v>
      </c>
      <c r="D1328" s="87">
        <v>3759.6</v>
      </c>
      <c r="E1328" s="35">
        <v>44663</v>
      </c>
      <c r="F1328" s="87">
        <v>3759.6</v>
      </c>
      <c r="G1328" s="91">
        <f>Tabla15[[#This Row],[Importe]]-Tabla15[[#This Row],[Pagado]]</f>
        <v>0</v>
      </c>
      <c r="H1328" s="92" t="s">
        <v>10</v>
      </c>
    </row>
    <row r="1329" spans="1:8" ht="21.75" customHeight="1" x14ac:dyDescent="0.25">
      <c r="A1329" s="35">
        <v>44663</v>
      </c>
      <c r="B1329" s="90" t="s">
        <v>11956</v>
      </c>
      <c r="C1329" s="41" t="s">
        <v>11957</v>
      </c>
      <c r="D1329" s="87">
        <v>0</v>
      </c>
      <c r="E1329" s="39" t="s">
        <v>189</v>
      </c>
      <c r="F1329" s="87">
        <v>0</v>
      </c>
      <c r="G1329" s="91">
        <f>Tabla15[[#This Row],[Importe]]-Tabla15[[#This Row],[Pagado]]</f>
        <v>0</v>
      </c>
      <c r="H1329" s="92" t="s">
        <v>189</v>
      </c>
    </row>
    <row r="1330" spans="1:8" ht="21.75" customHeight="1" x14ac:dyDescent="0.25">
      <c r="A1330" s="35">
        <v>44663</v>
      </c>
      <c r="B1330" s="90" t="s">
        <v>11958</v>
      </c>
      <c r="C1330" s="41" t="s">
        <v>466</v>
      </c>
      <c r="D1330" s="87">
        <v>16200</v>
      </c>
      <c r="E1330" s="35">
        <v>44663</v>
      </c>
      <c r="F1330" s="87">
        <v>16200</v>
      </c>
      <c r="G1330" s="91">
        <f>Tabla15[[#This Row],[Importe]]-Tabla15[[#This Row],[Pagado]]</f>
        <v>0</v>
      </c>
      <c r="H1330" s="92" t="s">
        <v>10</v>
      </c>
    </row>
    <row r="1331" spans="1:8" ht="31.5" x14ac:dyDescent="0.25">
      <c r="A1331" s="35">
        <v>44663</v>
      </c>
      <c r="B1331" s="90" t="s">
        <v>11959</v>
      </c>
      <c r="C1331" s="41" t="s">
        <v>2151</v>
      </c>
      <c r="D1331" s="87">
        <v>21726</v>
      </c>
      <c r="E1331" s="35" t="s">
        <v>11960</v>
      </c>
      <c r="F1331" s="87">
        <f>10000+11726</f>
        <v>21726</v>
      </c>
      <c r="G1331" s="91">
        <f>Tabla15[[#This Row],[Importe]]-Tabla15[[#This Row],[Pagado]]</f>
        <v>0</v>
      </c>
      <c r="H1331" s="92" t="s">
        <v>10</v>
      </c>
    </row>
    <row r="1332" spans="1:8" ht="21.75" customHeight="1" x14ac:dyDescent="0.25">
      <c r="A1332" s="35">
        <v>44663</v>
      </c>
      <c r="B1332" s="90" t="s">
        <v>11961</v>
      </c>
      <c r="C1332" s="41" t="s">
        <v>7862</v>
      </c>
      <c r="D1332" s="87">
        <v>1022.4</v>
      </c>
      <c r="E1332" s="35">
        <v>44663</v>
      </c>
      <c r="F1332" s="87">
        <v>1022.4</v>
      </c>
      <c r="G1332" s="91">
        <f>Tabla15[[#This Row],[Importe]]-Tabla15[[#This Row],[Pagado]]</f>
        <v>0</v>
      </c>
      <c r="H1332" s="92" t="s">
        <v>10</v>
      </c>
    </row>
    <row r="1333" spans="1:8" ht="21.75" customHeight="1" x14ac:dyDescent="0.25">
      <c r="A1333" s="35">
        <v>44663</v>
      </c>
      <c r="B1333" s="90" t="s">
        <v>11962</v>
      </c>
      <c r="C1333" s="41" t="s">
        <v>275</v>
      </c>
      <c r="D1333" s="87">
        <v>58393.08</v>
      </c>
      <c r="E1333" s="35">
        <v>44670</v>
      </c>
      <c r="F1333" s="87">
        <v>58393.08</v>
      </c>
      <c r="G1333" s="91">
        <f>Tabla15[[#This Row],[Importe]]-Tabla15[[#This Row],[Pagado]]</f>
        <v>0</v>
      </c>
      <c r="H1333" s="92" t="s">
        <v>10</v>
      </c>
    </row>
    <row r="1334" spans="1:8" ht="21.75" customHeight="1" x14ac:dyDescent="0.25">
      <c r="A1334" s="35">
        <v>44663</v>
      </c>
      <c r="B1334" s="90" t="s">
        <v>11963</v>
      </c>
      <c r="C1334" s="41" t="s">
        <v>249</v>
      </c>
      <c r="D1334" s="87">
        <v>1463</v>
      </c>
      <c r="E1334" s="35">
        <v>44663</v>
      </c>
      <c r="F1334" s="87">
        <v>1463</v>
      </c>
      <c r="G1334" s="91">
        <f>Tabla15[[#This Row],[Importe]]-Tabla15[[#This Row],[Pagado]]</f>
        <v>0</v>
      </c>
      <c r="H1334" s="92" t="s">
        <v>10</v>
      </c>
    </row>
    <row r="1335" spans="1:8" ht="21.75" customHeight="1" x14ac:dyDescent="0.25">
      <c r="A1335" s="35">
        <v>44663</v>
      </c>
      <c r="B1335" s="90" t="s">
        <v>11964</v>
      </c>
      <c r="C1335" s="41" t="s">
        <v>9577</v>
      </c>
      <c r="D1335" s="87">
        <v>16330</v>
      </c>
      <c r="E1335" s="35">
        <v>44663</v>
      </c>
      <c r="F1335" s="87">
        <v>16330</v>
      </c>
      <c r="G1335" s="91">
        <f>Tabla15[[#This Row],[Importe]]-Tabla15[[#This Row],[Pagado]]</f>
        <v>0</v>
      </c>
      <c r="H1335" s="92" t="s">
        <v>10</v>
      </c>
    </row>
    <row r="1336" spans="1:8" ht="21.75" customHeight="1" x14ac:dyDescent="0.25">
      <c r="A1336" s="35">
        <v>44663</v>
      </c>
      <c r="B1336" s="90" t="s">
        <v>11965</v>
      </c>
      <c r="C1336" s="41" t="s">
        <v>11121</v>
      </c>
      <c r="D1336" s="87">
        <v>26038.6</v>
      </c>
      <c r="E1336" s="35">
        <v>44663</v>
      </c>
      <c r="F1336" s="87">
        <v>26038.6</v>
      </c>
      <c r="G1336" s="91">
        <f>Tabla15[[#This Row],[Importe]]-Tabla15[[#This Row],[Pagado]]</f>
        <v>0</v>
      </c>
      <c r="H1336" s="92" t="s">
        <v>10</v>
      </c>
    </row>
    <row r="1337" spans="1:8" ht="21.75" customHeight="1" x14ac:dyDescent="0.25">
      <c r="A1337" s="35">
        <v>44663</v>
      </c>
      <c r="B1337" s="90" t="s">
        <v>11966</v>
      </c>
      <c r="C1337" s="41" t="s">
        <v>433</v>
      </c>
      <c r="D1337" s="87">
        <v>27000</v>
      </c>
      <c r="E1337" s="35">
        <v>44663</v>
      </c>
      <c r="F1337" s="87">
        <v>27000</v>
      </c>
      <c r="G1337" s="91">
        <f>Tabla15[[#This Row],[Importe]]-Tabla15[[#This Row],[Pagado]]</f>
        <v>0</v>
      </c>
      <c r="H1337" s="92" t="s">
        <v>10</v>
      </c>
    </row>
    <row r="1338" spans="1:8" ht="21.75" customHeight="1" x14ac:dyDescent="0.25">
      <c r="A1338" s="35">
        <v>44663</v>
      </c>
      <c r="B1338" s="90" t="s">
        <v>11967</v>
      </c>
      <c r="C1338" s="41" t="s">
        <v>27</v>
      </c>
      <c r="D1338" s="87">
        <v>981.6</v>
      </c>
      <c r="E1338" s="35">
        <v>44663</v>
      </c>
      <c r="F1338" s="87">
        <v>981.6</v>
      </c>
      <c r="G1338" s="91">
        <f>Tabla15[[#This Row],[Importe]]-Tabla15[[#This Row],[Pagado]]</f>
        <v>0</v>
      </c>
      <c r="H1338" s="92" t="s">
        <v>10</v>
      </c>
    </row>
    <row r="1339" spans="1:8" ht="21.75" customHeight="1" x14ac:dyDescent="0.25">
      <c r="A1339" s="35">
        <v>44663</v>
      </c>
      <c r="B1339" s="90" t="s">
        <v>11968</v>
      </c>
      <c r="C1339" s="41" t="s">
        <v>58</v>
      </c>
      <c r="D1339" s="87">
        <v>1892</v>
      </c>
      <c r="E1339" s="35">
        <v>44663</v>
      </c>
      <c r="F1339" s="87">
        <v>1892</v>
      </c>
      <c r="G1339" s="91">
        <f>Tabla15[[#This Row],[Importe]]-Tabla15[[#This Row],[Pagado]]</f>
        <v>0</v>
      </c>
      <c r="H1339" s="92" t="s">
        <v>10</v>
      </c>
    </row>
    <row r="1340" spans="1:8" ht="21.75" customHeight="1" x14ac:dyDescent="0.25">
      <c r="A1340" s="35">
        <v>44663</v>
      </c>
      <c r="B1340" s="90" t="s">
        <v>11969</v>
      </c>
      <c r="C1340" s="41" t="s">
        <v>31</v>
      </c>
      <c r="D1340" s="87">
        <v>299.60000000000002</v>
      </c>
      <c r="E1340" s="35">
        <v>44663</v>
      </c>
      <c r="F1340" s="87">
        <v>299.60000000000002</v>
      </c>
      <c r="G1340" s="91">
        <f>Tabla15[[#This Row],[Importe]]-Tabla15[[#This Row],[Pagado]]</f>
        <v>0</v>
      </c>
      <c r="H1340" s="92" t="s">
        <v>10</v>
      </c>
    </row>
    <row r="1341" spans="1:8" ht="21.75" customHeight="1" x14ac:dyDescent="0.25">
      <c r="A1341" s="35">
        <v>44663</v>
      </c>
      <c r="B1341" s="90" t="s">
        <v>11970</v>
      </c>
      <c r="C1341" s="41" t="s">
        <v>43</v>
      </c>
      <c r="D1341" s="87">
        <v>70617.3</v>
      </c>
      <c r="E1341" s="35">
        <v>44664</v>
      </c>
      <c r="F1341" s="87">
        <v>70617.3</v>
      </c>
      <c r="G1341" s="91">
        <f>Tabla15[[#This Row],[Importe]]-Tabla15[[#This Row],[Pagado]]</f>
        <v>0</v>
      </c>
      <c r="H1341" s="92" t="s">
        <v>10</v>
      </c>
    </row>
    <row r="1342" spans="1:8" ht="21.75" customHeight="1" x14ac:dyDescent="0.25">
      <c r="A1342" s="35">
        <v>44663</v>
      </c>
      <c r="B1342" s="90" t="s">
        <v>11971</v>
      </c>
      <c r="C1342" s="41" t="s">
        <v>273</v>
      </c>
      <c r="D1342" s="87">
        <v>36192</v>
      </c>
      <c r="E1342" s="35">
        <v>44663</v>
      </c>
      <c r="F1342" s="87">
        <v>36192</v>
      </c>
      <c r="G1342" s="91">
        <f>Tabla15[[#This Row],[Importe]]-Tabla15[[#This Row],[Pagado]]</f>
        <v>0</v>
      </c>
      <c r="H1342" s="92" t="s">
        <v>10</v>
      </c>
    </row>
    <row r="1343" spans="1:8" ht="21.75" customHeight="1" x14ac:dyDescent="0.25">
      <c r="A1343" s="35">
        <v>44663</v>
      </c>
      <c r="B1343" s="90" t="s">
        <v>11972</v>
      </c>
      <c r="C1343" s="41" t="s">
        <v>11973</v>
      </c>
      <c r="D1343" s="87">
        <v>0</v>
      </c>
      <c r="E1343" s="39" t="s">
        <v>189</v>
      </c>
      <c r="F1343" s="87">
        <v>0</v>
      </c>
      <c r="G1343" s="91">
        <f>Tabla15[[#This Row],[Importe]]-Tabla15[[#This Row],[Pagado]]</f>
        <v>0</v>
      </c>
      <c r="H1343" s="92" t="s">
        <v>189</v>
      </c>
    </row>
    <row r="1344" spans="1:8" ht="21.75" customHeight="1" x14ac:dyDescent="0.25">
      <c r="A1344" s="35">
        <v>44663</v>
      </c>
      <c r="B1344" s="90" t="s">
        <v>11974</v>
      </c>
      <c r="C1344" s="41" t="s">
        <v>282</v>
      </c>
      <c r="D1344" s="87">
        <v>2554.1999999999998</v>
      </c>
      <c r="E1344" s="35">
        <v>44664</v>
      </c>
      <c r="F1344" s="87">
        <v>2554.1999999999998</v>
      </c>
      <c r="G1344" s="91">
        <f>Tabla15[[#This Row],[Importe]]-Tabla15[[#This Row],[Pagado]]</f>
        <v>0</v>
      </c>
      <c r="H1344" s="92" t="s">
        <v>10</v>
      </c>
    </row>
    <row r="1345" spans="1:8" ht="21.75" customHeight="1" x14ac:dyDescent="0.25">
      <c r="A1345" s="35">
        <v>44663</v>
      </c>
      <c r="B1345" s="90" t="s">
        <v>11975</v>
      </c>
      <c r="C1345" s="41" t="s">
        <v>5345</v>
      </c>
      <c r="D1345" s="87">
        <v>1744.2</v>
      </c>
      <c r="E1345" s="35">
        <v>44664</v>
      </c>
      <c r="F1345" s="87">
        <v>1744.2</v>
      </c>
      <c r="G1345" s="91">
        <f>Tabla15[[#This Row],[Importe]]-Tabla15[[#This Row],[Pagado]]</f>
        <v>0</v>
      </c>
      <c r="H1345" s="92" t="s">
        <v>10</v>
      </c>
    </row>
    <row r="1346" spans="1:8" ht="21.75" customHeight="1" x14ac:dyDescent="0.25">
      <c r="A1346" s="35">
        <v>44663</v>
      </c>
      <c r="B1346" s="90" t="s">
        <v>11976</v>
      </c>
      <c r="C1346" s="41" t="s">
        <v>280</v>
      </c>
      <c r="D1346" s="87">
        <v>534.6</v>
      </c>
      <c r="E1346" s="35">
        <v>44664</v>
      </c>
      <c r="F1346" s="87">
        <v>534.6</v>
      </c>
      <c r="G1346" s="91">
        <f>Tabla15[[#This Row],[Importe]]-Tabla15[[#This Row],[Pagado]]</f>
        <v>0</v>
      </c>
      <c r="H1346" s="92" t="s">
        <v>10</v>
      </c>
    </row>
    <row r="1347" spans="1:8" ht="21.75" customHeight="1" x14ac:dyDescent="0.25">
      <c r="A1347" s="35">
        <v>44663</v>
      </c>
      <c r="B1347" s="90" t="s">
        <v>11977</v>
      </c>
      <c r="C1347" s="41" t="s">
        <v>284</v>
      </c>
      <c r="D1347" s="87">
        <v>10638</v>
      </c>
      <c r="E1347" s="35">
        <v>44664</v>
      </c>
      <c r="F1347" s="87">
        <v>10638</v>
      </c>
      <c r="G1347" s="91">
        <f>Tabla15[[#This Row],[Importe]]-Tabla15[[#This Row],[Pagado]]</f>
        <v>0</v>
      </c>
      <c r="H1347" s="92" t="s">
        <v>10</v>
      </c>
    </row>
    <row r="1348" spans="1:8" ht="21.75" customHeight="1" x14ac:dyDescent="0.25">
      <c r="A1348" s="35">
        <v>44663</v>
      </c>
      <c r="B1348" s="90" t="s">
        <v>11978</v>
      </c>
      <c r="C1348" s="41" t="s">
        <v>9780</v>
      </c>
      <c r="D1348" s="87">
        <v>32778.75</v>
      </c>
      <c r="E1348" s="35">
        <v>44686</v>
      </c>
      <c r="F1348" s="87">
        <v>32778.75</v>
      </c>
      <c r="G1348" s="91">
        <f>Tabla15[[#This Row],[Importe]]-Tabla15[[#This Row],[Pagado]]</f>
        <v>0</v>
      </c>
      <c r="H1348" s="92" t="s">
        <v>4814</v>
      </c>
    </row>
    <row r="1349" spans="1:8" ht="21.75" customHeight="1" x14ac:dyDescent="0.25">
      <c r="A1349" s="35">
        <v>44663</v>
      </c>
      <c r="B1349" s="90" t="s">
        <v>11979</v>
      </c>
      <c r="C1349" s="41" t="s">
        <v>732</v>
      </c>
      <c r="D1349" s="87">
        <v>3696</v>
      </c>
      <c r="E1349" s="35">
        <v>44663</v>
      </c>
      <c r="F1349" s="87">
        <v>3696</v>
      </c>
      <c r="G1349" s="91">
        <f>Tabla15[[#This Row],[Importe]]-Tabla15[[#This Row],[Pagado]]</f>
        <v>0</v>
      </c>
      <c r="H1349" s="92" t="s">
        <v>10</v>
      </c>
    </row>
    <row r="1350" spans="1:8" ht="21.75" customHeight="1" x14ac:dyDescent="0.25">
      <c r="A1350" s="35">
        <v>44663</v>
      </c>
      <c r="B1350" s="90" t="s">
        <v>11980</v>
      </c>
      <c r="C1350" s="41" t="s">
        <v>175</v>
      </c>
      <c r="D1350" s="87">
        <v>15876.3</v>
      </c>
      <c r="E1350" s="35">
        <v>44664</v>
      </c>
      <c r="F1350" s="87">
        <v>15876.3</v>
      </c>
      <c r="G1350" s="91">
        <f>Tabla15[[#This Row],[Importe]]-Tabla15[[#This Row],[Pagado]]</f>
        <v>0</v>
      </c>
      <c r="H1350" s="92" t="s">
        <v>10</v>
      </c>
    </row>
    <row r="1351" spans="1:8" ht="21.75" customHeight="1" x14ac:dyDescent="0.25">
      <c r="A1351" s="35">
        <v>44663</v>
      </c>
      <c r="B1351" s="90" t="s">
        <v>11981</v>
      </c>
      <c r="C1351" s="41" t="s">
        <v>200</v>
      </c>
      <c r="D1351" s="87">
        <v>561.6</v>
      </c>
      <c r="E1351" s="35">
        <v>44664</v>
      </c>
      <c r="F1351" s="87">
        <v>561.6</v>
      </c>
      <c r="G1351" s="91">
        <f>Tabla15[[#This Row],[Importe]]-Tabla15[[#This Row],[Pagado]]</f>
        <v>0</v>
      </c>
      <c r="H1351" s="92" t="s">
        <v>10</v>
      </c>
    </row>
    <row r="1352" spans="1:8" ht="21.75" customHeight="1" x14ac:dyDescent="0.25">
      <c r="A1352" s="35">
        <v>44663</v>
      </c>
      <c r="B1352" s="90" t="s">
        <v>11982</v>
      </c>
      <c r="C1352" s="41" t="s">
        <v>426</v>
      </c>
      <c r="D1352" s="87">
        <v>3185.8</v>
      </c>
      <c r="E1352" s="35">
        <v>44664</v>
      </c>
      <c r="F1352" s="87">
        <v>3185.8</v>
      </c>
      <c r="G1352" s="91">
        <f>Tabla15[[#This Row],[Importe]]-Tabla15[[#This Row],[Pagado]]</f>
        <v>0</v>
      </c>
      <c r="H1352" s="92" t="s">
        <v>10</v>
      </c>
    </row>
    <row r="1353" spans="1:8" ht="21.75" customHeight="1" x14ac:dyDescent="0.25">
      <c r="A1353" s="35">
        <v>44663</v>
      </c>
      <c r="B1353" s="90" t="s">
        <v>11983</v>
      </c>
      <c r="C1353" s="41" t="s">
        <v>31</v>
      </c>
      <c r="D1353" s="87">
        <v>72</v>
      </c>
      <c r="E1353" s="35">
        <v>44663</v>
      </c>
      <c r="F1353" s="87">
        <v>72</v>
      </c>
      <c r="G1353" s="91">
        <f>Tabla15[[#This Row],[Importe]]-Tabla15[[#This Row],[Pagado]]</f>
        <v>0</v>
      </c>
      <c r="H1353" s="92" t="s">
        <v>10</v>
      </c>
    </row>
    <row r="1354" spans="1:8" ht="21.75" customHeight="1" x14ac:dyDescent="0.25">
      <c r="A1354" s="35">
        <v>44663</v>
      </c>
      <c r="B1354" s="90" t="s">
        <v>11984</v>
      </c>
      <c r="C1354" s="41" t="s">
        <v>857</v>
      </c>
      <c r="D1354" s="87">
        <v>511.2</v>
      </c>
      <c r="E1354" s="35">
        <v>44663</v>
      </c>
      <c r="F1354" s="87">
        <v>511.2</v>
      </c>
      <c r="G1354" s="91">
        <f>Tabla15[[#This Row],[Importe]]-Tabla15[[#This Row],[Pagado]]</f>
        <v>0</v>
      </c>
      <c r="H1354" s="92" t="s">
        <v>10</v>
      </c>
    </row>
    <row r="1355" spans="1:8" ht="21.75" customHeight="1" x14ac:dyDescent="0.25">
      <c r="A1355" s="35">
        <v>44663</v>
      </c>
      <c r="B1355" s="90" t="s">
        <v>11985</v>
      </c>
      <c r="C1355" s="41" t="s">
        <v>31</v>
      </c>
      <c r="D1355" s="87">
        <v>826</v>
      </c>
      <c r="E1355" s="35">
        <v>44663</v>
      </c>
      <c r="F1355" s="87">
        <v>826</v>
      </c>
      <c r="G1355" s="91">
        <f>Tabla15[[#This Row],[Importe]]-Tabla15[[#This Row],[Pagado]]</f>
        <v>0</v>
      </c>
      <c r="H1355" s="92" t="s">
        <v>10</v>
      </c>
    </row>
    <row r="1356" spans="1:8" ht="21.75" customHeight="1" x14ac:dyDescent="0.25">
      <c r="A1356" s="35">
        <v>44663</v>
      </c>
      <c r="B1356" s="90" t="s">
        <v>11986</v>
      </c>
      <c r="C1356" s="41" t="s">
        <v>31</v>
      </c>
      <c r="D1356" s="87">
        <v>80</v>
      </c>
      <c r="E1356" s="35">
        <v>44663</v>
      </c>
      <c r="F1356" s="87">
        <v>80</v>
      </c>
      <c r="G1356" s="91">
        <f>Tabla15[[#This Row],[Importe]]-Tabla15[[#This Row],[Pagado]]</f>
        <v>0</v>
      </c>
      <c r="H1356" s="92" t="s">
        <v>10</v>
      </c>
    </row>
    <row r="1357" spans="1:8" ht="21.75" customHeight="1" x14ac:dyDescent="0.25">
      <c r="A1357" s="35">
        <v>44663</v>
      </c>
      <c r="B1357" s="90" t="s">
        <v>11987</v>
      </c>
      <c r="C1357" s="41" t="s">
        <v>5217</v>
      </c>
      <c r="D1357" s="87">
        <v>540</v>
      </c>
      <c r="E1357" s="35">
        <v>44663</v>
      </c>
      <c r="F1357" s="87">
        <v>540</v>
      </c>
      <c r="G1357" s="91">
        <f>Tabla15[[#This Row],[Importe]]-Tabla15[[#This Row],[Pagado]]</f>
        <v>0</v>
      </c>
      <c r="H1357" s="92" t="s">
        <v>10</v>
      </c>
    </row>
    <row r="1358" spans="1:8" ht="21.75" customHeight="1" x14ac:dyDescent="0.25">
      <c r="A1358" s="35">
        <v>44663</v>
      </c>
      <c r="B1358" s="90" t="s">
        <v>11988</v>
      </c>
      <c r="C1358" s="41" t="s">
        <v>31</v>
      </c>
      <c r="D1358" s="87">
        <v>156.6</v>
      </c>
      <c r="E1358" s="35">
        <v>44663</v>
      </c>
      <c r="F1358" s="87">
        <v>156.6</v>
      </c>
      <c r="G1358" s="91">
        <f>Tabla15[[#This Row],[Importe]]-Tabla15[[#This Row],[Pagado]]</f>
        <v>0</v>
      </c>
      <c r="H1358" s="92" t="s">
        <v>10</v>
      </c>
    </row>
    <row r="1359" spans="1:8" ht="21.75" customHeight="1" x14ac:dyDescent="0.25">
      <c r="A1359" s="35">
        <v>44663</v>
      </c>
      <c r="B1359" s="90" t="s">
        <v>11989</v>
      </c>
      <c r="C1359" s="41" t="s">
        <v>3177</v>
      </c>
      <c r="D1359" s="87">
        <v>14076</v>
      </c>
      <c r="E1359" s="35">
        <v>44663</v>
      </c>
      <c r="F1359" s="87">
        <v>14076</v>
      </c>
      <c r="G1359" s="91">
        <f>Tabla15[[#This Row],[Importe]]-Tabla15[[#This Row],[Pagado]]</f>
        <v>0</v>
      </c>
      <c r="H1359" s="92" t="s">
        <v>10</v>
      </c>
    </row>
    <row r="1360" spans="1:8" ht="21.75" customHeight="1" x14ac:dyDescent="0.25">
      <c r="A1360" s="35">
        <v>44663</v>
      </c>
      <c r="B1360" s="90" t="s">
        <v>11990</v>
      </c>
      <c r="C1360" s="41" t="s">
        <v>843</v>
      </c>
      <c r="D1360" s="87">
        <v>34224.06</v>
      </c>
      <c r="E1360" s="35">
        <v>44664</v>
      </c>
      <c r="F1360" s="87">
        <v>34224.06</v>
      </c>
      <c r="G1360" s="91">
        <f>Tabla15[[#This Row],[Importe]]-Tabla15[[#This Row],[Pagado]]</f>
        <v>0</v>
      </c>
      <c r="H1360" s="92" t="s">
        <v>10</v>
      </c>
    </row>
    <row r="1361" spans="1:8" ht="21.75" customHeight="1" x14ac:dyDescent="0.25">
      <c r="A1361" s="35">
        <v>44663</v>
      </c>
      <c r="B1361" s="90" t="s">
        <v>11991</v>
      </c>
      <c r="C1361" s="41" t="s">
        <v>681</v>
      </c>
      <c r="D1361" s="87">
        <v>4.21</v>
      </c>
      <c r="E1361" s="35">
        <v>44669</v>
      </c>
      <c r="F1361" s="87">
        <v>4.21</v>
      </c>
      <c r="G1361" s="91">
        <f>Tabla15[[#This Row],[Importe]]-Tabla15[[#This Row],[Pagado]]</f>
        <v>0</v>
      </c>
      <c r="H1361" s="92" t="s">
        <v>10</v>
      </c>
    </row>
    <row r="1362" spans="1:8" ht="21.75" customHeight="1" x14ac:dyDescent="0.25">
      <c r="A1362" s="35">
        <v>44664</v>
      </c>
      <c r="B1362" s="90" t="s">
        <v>11992</v>
      </c>
      <c r="C1362" s="41" t="s">
        <v>353</v>
      </c>
      <c r="D1362" s="87">
        <v>448.4</v>
      </c>
      <c r="E1362" s="35">
        <v>44664</v>
      </c>
      <c r="F1362" s="87">
        <v>448.4</v>
      </c>
      <c r="G1362" s="91">
        <f>Tabla15[[#This Row],[Importe]]-Tabla15[[#This Row],[Pagado]]</f>
        <v>0</v>
      </c>
      <c r="H1362" s="92" t="s">
        <v>10</v>
      </c>
    </row>
    <row r="1363" spans="1:8" ht="21.75" customHeight="1" x14ac:dyDescent="0.25">
      <c r="A1363" s="35">
        <v>44664</v>
      </c>
      <c r="B1363" s="90" t="s">
        <v>11993</v>
      </c>
      <c r="C1363" s="41" t="s">
        <v>481</v>
      </c>
      <c r="D1363" s="87">
        <v>879.6</v>
      </c>
      <c r="E1363" s="35">
        <v>44664</v>
      </c>
      <c r="F1363" s="87">
        <v>879.6</v>
      </c>
      <c r="G1363" s="91">
        <f>Tabla15[[#This Row],[Importe]]-Tabla15[[#This Row],[Pagado]]</f>
        <v>0</v>
      </c>
      <c r="H1363" s="92" t="s">
        <v>10</v>
      </c>
    </row>
    <row r="1364" spans="1:8" ht="21.75" customHeight="1" x14ac:dyDescent="0.25">
      <c r="A1364" s="35">
        <v>44664</v>
      </c>
      <c r="B1364" s="90" t="s">
        <v>11994</v>
      </c>
      <c r="C1364" s="41" t="s">
        <v>22</v>
      </c>
      <c r="D1364" s="87">
        <v>73398.8</v>
      </c>
      <c r="E1364" s="35">
        <v>44667</v>
      </c>
      <c r="F1364" s="87">
        <f>60549.2+12849.6</f>
        <v>73398.8</v>
      </c>
      <c r="G1364" s="91">
        <f>Tabla15[[#This Row],[Importe]]-Tabla15[[#This Row],[Pagado]]</f>
        <v>0</v>
      </c>
      <c r="H1364" s="92" t="s">
        <v>10</v>
      </c>
    </row>
    <row r="1365" spans="1:8" ht="21.75" customHeight="1" x14ac:dyDescent="0.25">
      <c r="A1365" s="35">
        <v>44664</v>
      </c>
      <c r="B1365" s="90" t="s">
        <v>11995</v>
      </c>
      <c r="C1365" s="41" t="s">
        <v>9</v>
      </c>
      <c r="D1365" s="87">
        <v>6961.3</v>
      </c>
      <c r="E1365" s="35">
        <v>44664</v>
      </c>
      <c r="F1365" s="87">
        <v>6961.3</v>
      </c>
      <c r="G1365" s="91">
        <f>Tabla15[[#This Row],[Importe]]-Tabla15[[#This Row],[Pagado]]</f>
        <v>0</v>
      </c>
      <c r="H1365" s="92" t="s">
        <v>10</v>
      </c>
    </row>
    <row r="1366" spans="1:8" ht="21.75" customHeight="1" x14ac:dyDescent="0.25">
      <c r="A1366" s="35">
        <v>44664</v>
      </c>
      <c r="B1366" s="90" t="s">
        <v>11996</v>
      </c>
      <c r="C1366" s="41" t="s">
        <v>12</v>
      </c>
      <c r="D1366" s="87">
        <v>20783.2</v>
      </c>
      <c r="E1366" s="35">
        <v>44664</v>
      </c>
      <c r="F1366" s="87">
        <v>20783.2</v>
      </c>
      <c r="G1366" s="91">
        <f>Tabla15[[#This Row],[Importe]]-Tabla15[[#This Row],[Pagado]]</f>
        <v>0</v>
      </c>
      <c r="H1366" s="92" t="s">
        <v>10</v>
      </c>
    </row>
    <row r="1367" spans="1:8" ht="21.75" customHeight="1" x14ac:dyDescent="0.25">
      <c r="A1367" s="35">
        <v>44664</v>
      </c>
      <c r="B1367" s="90" t="s">
        <v>11997</v>
      </c>
      <c r="C1367" s="41" t="s">
        <v>9415</v>
      </c>
      <c r="D1367" s="87">
        <v>20479.8</v>
      </c>
      <c r="E1367" s="35">
        <v>44664</v>
      </c>
      <c r="F1367" s="87">
        <v>20479.8</v>
      </c>
      <c r="G1367" s="91">
        <f>Tabla15[[#This Row],[Importe]]-Tabla15[[#This Row],[Pagado]]</f>
        <v>0</v>
      </c>
      <c r="H1367" s="92" t="s">
        <v>10</v>
      </c>
    </row>
    <row r="1368" spans="1:8" ht="21.75" customHeight="1" x14ac:dyDescent="0.25">
      <c r="A1368" s="35">
        <v>44664</v>
      </c>
      <c r="B1368" s="90" t="s">
        <v>11998</v>
      </c>
      <c r="C1368" s="41" t="s">
        <v>12</v>
      </c>
      <c r="D1368" s="87">
        <v>3413.2</v>
      </c>
      <c r="E1368" s="35">
        <v>44664</v>
      </c>
      <c r="F1368" s="87">
        <v>3413.2</v>
      </c>
      <c r="G1368" s="91">
        <f>Tabla15[[#This Row],[Importe]]-Tabla15[[#This Row],[Pagado]]</f>
        <v>0</v>
      </c>
      <c r="H1368" s="92" t="s">
        <v>10</v>
      </c>
    </row>
    <row r="1369" spans="1:8" ht="21.75" customHeight="1" x14ac:dyDescent="0.25">
      <c r="A1369" s="35">
        <v>44664</v>
      </c>
      <c r="B1369" s="90" t="s">
        <v>11999</v>
      </c>
      <c r="C1369" s="41" t="s">
        <v>87</v>
      </c>
      <c r="D1369" s="87">
        <v>2315.1</v>
      </c>
      <c r="E1369" s="35">
        <v>44664</v>
      </c>
      <c r="F1369" s="87">
        <v>2315.1</v>
      </c>
      <c r="G1369" s="91">
        <f>Tabla15[[#This Row],[Importe]]-Tabla15[[#This Row],[Pagado]]</f>
        <v>0</v>
      </c>
      <c r="H1369" s="92" t="s">
        <v>10</v>
      </c>
    </row>
    <row r="1370" spans="1:8" ht="31.5" x14ac:dyDescent="0.25">
      <c r="A1370" s="35">
        <v>44664</v>
      </c>
      <c r="B1370" s="90" t="s">
        <v>12000</v>
      </c>
      <c r="C1370" s="41" t="s">
        <v>196</v>
      </c>
      <c r="D1370" s="87">
        <v>68255.100000000006</v>
      </c>
      <c r="E1370" s="35">
        <v>44669</v>
      </c>
      <c r="F1370" s="87">
        <v>68255.100000000006</v>
      </c>
      <c r="G1370" s="91">
        <f>Tabla15[[#This Row],[Importe]]-Tabla15[[#This Row],[Pagado]]</f>
        <v>0</v>
      </c>
      <c r="H1370" s="92" t="s">
        <v>10</v>
      </c>
    </row>
    <row r="1371" spans="1:8" ht="21.75" customHeight="1" x14ac:dyDescent="0.25">
      <c r="A1371" s="35">
        <v>44664</v>
      </c>
      <c r="B1371" s="90" t="s">
        <v>12001</v>
      </c>
      <c r="C1371" s="41" t="s">
        <v>146</v>
      </c>
      <c r="D1371" s="87">
        <v>6525</v>
      </c>
      <c r="E1371" s="35">
        <v>44664</v>
      </c>
      <c r="F1371" s="87">
        <v>6525</v>
      </c>
      <c r="G1371" s="91">
        <f>Tabla15[[#This Row],[Importe]]-Tabla15[[#This Row],[Pagado]]</f>
        <v>0</v>
      </c>
      <c r="H1371" s="92" t="s">
        <v>10</v>
      </c>
    </row>
    <row r="1372" spans="1:8" ht="21.75" customHeight="1" x14ac:dyDescent="0.25">
      <c r="A1372" s="35">
        <v>44664</v>
      </c>
      <c r="B1372" s="90" t="s">
        <v>12002</v>
      </c>
      <c r="C1372" s="41" t="s">
        <v>273</v>
      </c>
      <c r="D1372" s="87">
        <v>1579.92</v>
      </c>
      <c r="E1372" s="35">
        <v>44664</v>
      </c>
      <c r="F1372" s="87">
        <v>1579.92</v>
      </c>
      <c r="G1372" s="91">
        <f>Tabla15[[#This Row],[Importe]]-Tabla15[[#This Row],[Pagado]]</f>
        <v>0</v>
      </c>
      <c r="H1372" s="92" t="s">
        <v>10</v>
      </c>
    </row>
    <row r="1373" spans="1:8" ht="21.75" customHeight="1" x14ac:dyDescent="0.25">
      <c r="A1373" s="35">
        <v>44664</v>
      </c>
      <c r="B1373" s="90" t="s">
        <v>12003</v>
      </c>
      <c r="C1373" s="41" t="s">
        <v>16</v>
      </c>
      <c r="D1373" s="87">
        <v>2577</v>
      </c>
      <c r="E1373" s="35">
        <v>44664</v>
      </c>
      <c r="F1373" s="87">
        <v>2577</v>
      </c>
      <c r="G1373" s="91">
        <f>Tabla15[[#This Row],[Importe]]-Tabla15[[#This Row],[Pagado]]</f>
        <v>0</v>
      </c>
      <c r="H1373" s="92" t="s">
        <v>10</v>
      </c>
    </row>
    <row r="1374" spans="1:8" ht="21.75" customHeight="1" x14ac:dyDescent="0.25">
      <c r="A1374" s="35">
        <v>44664</v>
      </c>
      <c r="B1374" s="90" t="s">
        <v>12004</v>
      </c>
      <c r="C1374" s="41" t="s">
        <v>129</v>
      </c>
      <c r="D1374" s="87">
        <v>855.5</v>
      </c>
      <c r="E1374" s="35">
        <v>44664</v>
      </c>
      <c r="F1374" s="87">
        <v>855.5</v>
      </c>
      <c r="G1374" s="91">
        <f>Tabla15[[#This Row],[Importe]]-Tabla15[[#This Row],[Pagado]]</f>
        <v>0</v>
      </c>
      <c r="H1374" s="92" t="s">
        <v>10</v>
      </c>
    </row>
    <row r="1375" spans="1:8" ht="21.75" customHeight="1" x14ac:dyDescent="0.25">
      <c r="A1375" s="35">
        <v>44664</v>
      </c>
      <c r="B1375" s="90" t="s">
        <v>12005</v>
      </c>
      <c r="C1375" s="41" t="s">
        <v>31</v>
      </c>
      <c r="D1375" s="87">
        <v>697.2</v>
      </c>
      <c r="E1375" s="35">
        <v>44664</v>
      </c>
      <c r="F1375" s="87">
        <v>697.2</v>
      </c>
      <c r="G1375" s="91">
        <f>Tabla15[[#This Row],[Importe]]-Tabla15[[#This Row],[Pagado]]</f>
        <v>0</v>
      </c>
      <c r="H1375" s="92" t="s">
        <v>10</v>
      </c>
    </row>
    <row r="1376" spans="1:8" ht="21.75" customHeight="1" x14ac:dyDescent="0.25">
      <c r="A1376" s="35">
        <v>44664</v>
      </c>
      <c r="B1376" s="90" t="s">
        <v>12006</v>
      </c>
      <c r="C1376" s="41" t="s">
        <v>131</v>
      </c>
      <c r="D1376" s="87">
        <v>17042.400000000001</v>
      </c>
      <c r="E1376" s="35">
        <v>44664</v>
      </c>
      <c r="F1376" s="87">
        <v>17042.400000000001</v>
      </c>
      <c r="G1376" s="91">
        <f>Tabla15[[#This Row],[Importe]]-Tabla15[[#This Row],[Pagado]]</f>
        <v>0</v>
      </c>
      <c r="H1376" s="92" t="s">
        <v>10</v>
      </c>
    </row>
    <row r="1377" spans="1:8" ht="21.75" customHeight="1" x14ac:dyDescent="0.25">
      <c r="A1377" s="35">
        <v>44664</v>
      </c>
      <c r="B1377" s="90" t="s">
        <v>12007</v>
      </c>
      <c r="C1377" s="41" t="s">
        <v>373</v>
      </c>
      <c r="D1377" s="87">
        <v>1556.1</v>
      </c>
      <c r="E1377" s="35">
        <v>44664</v>
      </c>
      <c r="F1377" s="87">
        <v>1556.1</v>
      </c>
      <c r="G1377" s="91">
        <f>Tabla15[[#This Row],[Importe]]-Tabla15[[#This Row],[Pagado]]</f>
        <v>0</v>
      </c>
      <c r="H1377" s="92" t="s">
        <v>10</v>
      </c>
    </row>
    <row r="1378" spans="1:8" ht="21.75" customHeight="1" x14ac:dyDescent="0.25">
      <c r="A1378" s="35">
        <v>44664</v>
      </c>
      <c r="B1378" s="90" t="s">
        <v>12008</v>
      </c>
      <c r="C1378" s="41" t="s">
        <v>230</v>
      </c>
      <c r="D1378" s="87">
        <v>3704.9</v>
      </c>
      <c r="E1378" s="35">
        <v>44664</v>
      </c>
      <c r="F1378" s="87">
        <v>3704.9</v>
      </c>
      <c r="G1378" s="91">
        <f>Tabla15[[#This Row],[Importe]]-Tabla15[[#This Row],[Pagado]]</f>
        <v>0</v>
      </c>
      <c r="H1378" s="92" t="s">
        <v>10</v>
      </c>
    </row>
    <row r="1379" spans="1:8" ht="21.75" customHeight="1" x14ac:dyDescent="0.25">
      <c r="A1379" s="35">
        <v>44664</v>
      </c>
      <c r="B1379" s="90" t="s">
        <v>12009</v>
      </c>
      <c r="C1379" s="41" t="s">
        <v>12010</v>
      </c>
      <c r="D1379" s="87">
        <v>0</v>
      </c>
      <c r="E1379" s="39" t="s">
        <v>189</v>
      </c>
      <c r="F1379" s="87">
        <v>0</v>
      </c>
      <c r="G1379" s="91">
        <f>Tabla15[[#This Row],[Importe]]-Tabla15[[#This Row],[Pagado]]</f>
        <v>0</v>
      </c>
      <c r="H1379" s="92" t="s">
        <v>189</v>
      </c>
    </row>
    <row r="1380" spans="1:8" ht="21.75" customHeight="1" x14ac:dyDescent="0.25">
      <c r="A1380" s="35">
        <v>44664</v>
      </c>
      <c r="B1380" s="90" t="s">
        <v>12011</v>
      </c>
      <c r="C1380" s="41" t="s">
        <v>49</v>
      </c>
      <c r="D1380" s="87">
        <v>2550</v>
      </c>
      <c r="E1380" s="35">
        <v>44664</v>
      </c>
      <c r="F1380" s="87">
        <v>2550</v>
      </c>
      <c r="G1380" s="91">
        <f>Tabla15[[#This Row],[Importe]]-Tabla15[[#This Row],[Pagado]]</f>
        <v>0</v>
      </c>
      <c r="H1380" s="92" t="s">
        <v>10</v>
      </c>
    </row>
    <row r="1381" spans="1:8" ht="21.75" customHeight="1" x14ac:dyDescent="0.25">
      <c r="A1381" s="35">
        <v>44664</v>
      </c>
      <c r="B1381" s="90" t="s">
        <v>12012</v>
      </c>
      <c r="C1381" s="41" t="s">
        <v>127</v>
      </c>
      <c r="D1381" s="87">
        <v>1568.4</v>
      </c>
      <c r="E1381" s="35">
        <v>44664</v>
      </c>
      <c r="F1381" s="87">
        <v>1568.4</v>
      </c>
      <c r="G1381" s="91">
        <f>Tabla15[[#This Row],[Importe]]-Tabla15[[#This Row],[Pagado]]</f>
        <v>0</v>
      </c>
      <c r="H1381" s="92" t="s">
        <v>10</v>
      </c>
    </row>
    <row r="1382" spans="1:8" ht="21.75" customHeight="1" x14ac:dyDescent="0.25">
      <c r="A1382" s="35">
        <v>44664</v>
      </c>
      <c r="B1382" s="90" t="s">
        <v>12013</v>
      </c>
      <c r="C1382" s="41" t="s">
        <v>357</v>
      </c>
      <c r="D1382" s="87">
        <v>3620.8</v>
      </c>
      <c r="E1382" s="35">
        <v>44664</v>
      </c>
      <c r="F1382" s="87">
        <v>3620.8</v>
      </c>
      <c r="G1382" s="91">
        <f>Tabla15[[#This Row],[Importe]]-Tabla15[[#This Row],[Pagado]]</f>
        <v>0</v>
      </c>
      <c r="H1382" s="92" t="s">
        <v>10</v>
      </c>
    </row>
    <row r="1383" spans="1:8" ht="31.5" x14ac:dyDescent="0.25">
      <c r="A1383" s="35">
        <v>44664</v>
      </c>
      <c r="B1383" s="90" t="s">
        <v>12014</v>
      </c>
      <c r="C1383" s="41" t="s">
        <v>99</v>
      </c>
      <c r="D1383" s="87">
        <v>7856.9</v>
      </c>
      <c r="E1383" s="35" t="s">
        <v>12015</v>
      </c>
      <c r="F1383" s="87">
        <f>2800+5056.9</f>
        <v>7856.9</v>
      </c>
      <c r="G1383" s="91">
        <f>Tabla15[[#This Row],[Importe]]-Tabla15[[#This Row],[Pagado]]</f>
        <v>0</v>
      </c>
      <c r="H1383" s="92" t="s">
        <v>10</v>
      </c>
    </row>
    <row r="1384" spans="1:8" ht="21.75" customHeight="1" x14ac:dyDescent="0.25">
      <c r="A1384" s="35">
        <v>44664</v>
      </c>
      <c r="B1384" s="90" t="s">
        <v>12016</v>
      </c>
      <c r="C1384" s="41" t="s">
        <v>64</v>
      </c>
      <c r="D1384" s="87">
        <v>8582</v>
      </c>
      <c r="E1384" s="35">
        <v>44667</v>
      </c>
      <c r="F1384" s="87">
        <v>8582</v>
      </c>
      <c r="G1384" s="91">
        <f>Tabla15[[#This Row],[Importe]]-Tabla15[[#This Row],[Pagado]]</f>
        <v>0</v>
      </c>
      <c r="H1384" s="92" t="s">
        <v>10</v>
      </c>
    </row>
    <row r="1385" spans="1:8" ht="21.75" customHeight="1" x14ac:dyDescent="0.25">
      <c r="A1385" s="35">
        <v>44664</v>
      </c>
      <c r="B1385" s="90" t="s">
        <v>12017</v>
      </c>
      <c r="C1385" s="41" t="s">
        <v>326</v>
      </c>
      <c r="D1385" s="87">
        <v>16781.599999999999</v>
      </c>
      <c r="E1385" s="35">
        <v>44667</v>
      </c>
      <c r="F1385" s="87">
        <v>16781.599999999999</v>
      </c>
      <c r="G1385" s="91">
        <f>Tabla15[[#This Row],[Importe]]-Tabla15[[#This Row],[Pagado]]</f>
        <v>0</v>
      </c>
      <c r="H1385" s="92" t="s">
        <v>10</v>
      </c>
    </row>
    <row r="1386" spans="1:8" ht="21.75" customHeight="1" x14ac:dyDescent="0.25">
      <c r="A1386" s="35">
        <v>44664</v>
      </c>
      <c r="B1386" s="90" t="s">
        <v>12018</v>
      </c>
      <c r="C1386" s="41" t="s">
        <v>326</v>
      </c>
      <c r="D1386" s="87">
        <v>999</v>
      </c>
      <c r="E1386" s="35">
        <v>44667</v>
      </c>
      <c r="F1386" s="87">
        <v>999</v>
      </c>
      <c r="G1386" s="91">
        <f>Tabla15[[#This Row],[Importe]]-Tabla15[[#This Row],[Pagado]]</f>
        <v>0</v>
      </c>
      <c r="H1386" s="92" t="s">
        <v>10</v>
      </c>
    </row>
    <row r="1387" spans="1:8" ht="21.75" customHeight="1" x14ac:dyDescent="0.25">
      <c r="A1387" s="35">
        <v>44664</v>
      </c>
      <c r="B1387" s="90" t="s">
        <v>12019</v>
      </c>
      <c r="C1387" s="41" t="s">
        <v>339</v>
      </c>
      <c r="D1387" s="87">
        <v>392</v>
      </c>
      <c r="E1387" s="35">
        <v>44664</v>
      </c>
      <c r="F1387" s="87">
        <v>392</v>
      </c>
      <c r="G1387" s="91">
        <f>Tabla15[[#This Row],[Importe]]-Tabla15[[#This Row],[Pagado]]</f>
        <v>0</v>
      </c>
      <c r="H1387" s="92" t="s">
        <v>10</v>
      </c>
    </row>
    <row r="1388" spans="1:8" ht="21.75" customHeight="1" x14ac:dyDescent="0.25">
      <c r="A1388" s="35">
        <v>44664</v>
      </c>
      <c r="B1388" s="90" t="s">
        <v>12020</v>
      </c>
      <c r="C1388" s="41" t="s">
        <v>93</v>
      </c>
      <c r="D1388" s="87">
        <v>22480.3</v>
      </c>
      <c r="E1388" s="35">
        <v>44667</v>
      </c>
      <c r="F1388" s="87">
        <v>22480.3</v>
      </c>
      <c r="G1388" s="91">
        <f>Tabla15[[#This Row],[Importe]]-Tabla15[[#This Row],[Pagado]]</f>
        <v>0</v>
      </c>
      <c r="H1388" s="92" t="s">
        <v>10</v>
      </c>
    </row>
    <row r="1389" spans="1:8" ht="21.75" customHeight="1" x14ac:dyDescent="0.25">
      <c r="A1389" s="35">
        <v>44664</v>
      </c>
      <c r="B1389" s="90" t="s">
        <v>12021</v>
      </c>
      <c r="C1389" s="41" t="s">
        <v>83</v>
      </c>
      <c r="D1389" s="87">
        <v>6827.8</v>
      </c>
      <c r="E1389" s="35">
        <v>44664</v>
      </c>
      <c r="F1389" s="87">
        <v>6827.8</v>
      </c>
      <c r="G1389" s="91">
        <f>Tabla15[[#This Row],[Importe]]-Tabla15[[#This Row],[Pagado]]</f>
        <v>0</v>
      </c>
      <c r="H1389" s="92" t="s">
        <v>10</v>
      </c>
    </row>
    <row r="1390" spans="1:8" ht="21.75" customHeight="1" x14ac:dyDescent="0.25">
      <c r="A1390" s="35">
        <v>44664</v>
      </c>
      <c r="B1390" s="90" t="s">
        <v>12022</v>
      </c>
      <c r="C1390" s="41" t="s">
        <v>56</v>
      </c>
      <c r="D1390" s="87">
        <v>8331</v>
      </c>
      <c r="E1390" s="35">
        <v>44664</v>
      </c>
      <c r="F1390" s="87">
        <v>8331</v>
      </c>
      <c r="G1390" s="91">
        <f>Tabla15[[#This Row],[Importe]]-Tabla15[[#This Row],[Pagado]]</f>
        <v>0</v>
      </c>
      <c r="H1390" s="92" t="s">
        <v>10</v>
      </c>
    </row>
    <row r="1391" spans="1:8" ht="21.75" customHeight="1" x14ac:dyDescent="0.25">
      <c r="A1391" s="35">
        <v>44664</v>
      </c>
      <c r="B1391" s="90" t="s">
        <v>12023</v>
      </c>
      <c r="C1391" s="41" t="s">
        <v>1421</v>
      </c>
      <c r="D1391" s="87">
        <v>19051.2</v>
      </c>
      <c r="E1391" s="35">
        <v>44664</v>
      </c>
      <c r="F1391" s="87">
        <v>19051.2</v>
      </c>
      <c r="G1391" s="91">
        <f>Tabla15[[#This Row],[Importe]]-Tabla15[[#This Row],[Pagado]]</f>
        <v>0</v>
      </c>
      <c r="H1391" s="92" t="s">
        <v>10</v>
      </c>
    </row>
    <row r="1392" spans="1:8" ht="21.75" customHeight="1" x14ac:dyDescent="0.25">
      <c r="A1392" s="35">
        <v>44664</v>
      </c>
      <c r="B1392" s="90" t="s">
        <v>12024</v>
      </c>
      <c r="C1392" s="41" t="s">
        <v>27</v>
      </c>
      <c r="D1392" s="87">
        <v>3550.2</v>
      </c>
      <c r="E1392" s="35">
        <v>44664</v>
      </c>
      <c r="F1392" s="87">
        <v>3550.2</v>
      </c>
      <c r="G1392" s="91">
        <f>Tabla15[[#This Row],[Importe]]-Tabla15[[#This Row],[Pagado]]</f>
        <v>0</v>
      </c>
      <c r="H1392" s="92" t="s">
        <v>10</v>
      </c>
    </row>
    <row r="1393" spans="1:8" ht="21.75" customHeight="1" x14ac:dyDescent="0.25">
      <c r="A1393" s="35">
        <v>44664</v>
      </c>
      <c r="B1393" s="90" t="s">
        <v>12025</v>
      </c>
      <c r="C1393" s="41" t="s">
        <v>140</v>
      </c>
      <c r="D1393" s="87">
        <v>313.26</v>
      </c>
      <c r="E1393" s="35">
        <v>44664</v>
      </c>
      <c r="F1393" s="87">
        <v>313.26</v>
      </c>
      <c r="G1393" s="91">
        <f>Tabla15[[#This Row],[Importe]]-Tabla15[[#This Row],[Pagado]]</f>
        <v>0</v>
      </c>
      <c r="H1393" s="92" t="s">
        <v>10</v>
      </c>
    </row>
    <row r="1394" spans="1:8" ht="21.75" customHeight="1" x14ac:dyDescent="0.25">
      <c r="A1394" s="35">
        <v>44664</v>
      </c>
      <c r="B1394" s="90" t="s">
        <v>12026</v>
      </c>
      <c r="C1394" s="41" t="s">
        <v>45</v>
      </c>
      <c r="D1394" s="87">
        <v>6698</v>
      </c>
      <c r="E1394" s="35">
        <v>44664</v>
      </c>
      <c r="F1394" s="87">
        <v>6698</v>
      </c>
      <c r="G1394" s="91">
        <f>Tabla15[[#This Row],[Importe]]-Tabla15[[#This Row],[Pagado]]</f>
        <v>0</v>
      </c>
      <c r="H1394" s="92" t="s">
        <v>10</v>
      </c>
    </row>
    <row r="1395" spans="1:8" ht="21.75" customHeight="1" x14ac:dyDescent="0.25">
      <c r="A1395" s="35">
        <v>44664</v>
      </c>
      <c r="B1395" s="90" t="s">
        <v>12027</v>
      </c>
      <c r="C1395" s="41" t="s">
        <v>75</v>
      </c>
      <c r="D1395" s="87">
        <v>5478</v>
      </c>
      <c r="E1395" s="35">
        <v>44664</v>
      </c>
      <c r="F1395" s="87">
        <v>5478</v>
      </c>
      <c r="G1395" s="91">
        <f>Tabla15[[#This Row],[Importe]]-Tabla15[[#This Row],[Pagado]]</f>
        <v>0</v>
      </c>
      <c r="H1395" s="92" t="s">
        <v>10</v>
      </c>
    </row>
    <row r="1396" spans="1:8" ht="21.75" customHeight="1" x14ac:dyDescent="0.25">
      <c r="A1396" s="35">
        <v>44664</v>
      </c>
      <c r="B1396" s="90" t="s">
        <v>12028</v>
      </c>
      <c r="C1396" s="41" t="s">
        <v>224</v>
      </c>
      <c r="D1396" s="87">
        <v>683.2</v>
      </c>
      <c r="E1396" s="35">
        <v>44664</v>
      </c>
      <c r="F1396" s="87">
        <v>683.2</v>
      </c>
      <c r="G1396" s="91">
        <f>Tabla15[[#This Row],[Importe]]-Tabla15[[#This Row],[Pagado]]</f>
        <v>0</v>
      </c>
      <c r="H1396" s="92" t="s">
        <v>10</v>
      </c>
    </row>
    <row r="1397" spans="1:8" ht="21.75" customHeight="1" x14ac:dyDescent="0.25">
      <c r="A1397" s="35">
        <v>44664</v>
      </c>
      <c r="B1397" s="90" t="s">
        <v>12029</v>
      </c>
      <c r="C1397" s="41" t="s">
        <v>85</v>
      </c>
      <c r="D1397" s="87">
        <v>2061.3000000000002</v>
      </c>
      <c r="E1397" s="35">
        <v>44664</v>
      </c>
      <c r="F1397" s="87">
        <v>2061.3000000000002</v>
      </c>
      <c r="G1397" s="91">
        <f>Tabla15[[#This Row],[Importe]]-Tabla15[[#This Row],[Pagado]]</f>
        <v>0</v>
      </c>
      <c r="H1397" s="92" t="s">
        <v>10</v>
      </c>
    </row>
    <row r="1398" spans="1:8" ht="21.75" customHeight="1" x14ac:dyDescent="0.25">
      <c r="A1398" s="35">
        <v>44664</v>
      </c>
      <c r="B1398" s="90" t="s">
        <v>12030</v>
      </c>
      <c r="C1398" s="41" t="s">
        <v>373</v>
      </c>
      <c r="D1398" s="87">
        <v>537</v>
      </c>
      <c r="E1398" s="35">
        <v>44664</v>
      </c>
      <c r="F1398" s="87">
        <v>537</v>
      </c>
      <c r="G1398" s="91">
        <f>Tabla15[[#This Row],[Importe]]-Tabla15[[#This Row],[Pagado]]</f>
        <v>0</v>
      </c>
      <c r="H1398" s="92" t="s">
        <v>10</v>
      </c>
    </row>
    <row r="1399" spans="1:8" ht="21.75" customHeight="1" x14ac:dyDescent="0.25">
      <c r="A1399" s="35">
        <v>44664</v>
      </c>
      <c r="B1399" s="90" t="s">
        <v>12031</v>
      </c>
      <c r="C1399" s="41" t="s">
        <v>31</v>
      </c>
      <c r="D1399" s="87">
        <v>16192</v>
      </c>
      <c r="E1399" s="35">
        <v>44664</v>
      </c>
      <c r="F1399" s="87">
        <v>16192</v>
      </c>
      <c r="G1399" s="91">
        <f>Tabla15[[#This Row],[Importe]]-Tabla15[[#This Row],[Pagado]]</f>
        <v>0</v>
      </c>
      <c r="H1399" s="92" t="s">
        <v>10</v>
      </c>
    </row>
    <row r="1400" spans="1:8" ht="21.75" customHeight="1" x14ac:dyDescent="0.25">
      <c r="A1400" s="35">
        <v>44664</v>
      </c>
      <c r="B1400" s="90" t="s">
        <v>12032</v>
      </c>
      <c r="C1400" s="41" t="s">
        <v>1421</v>
      </c>
      <c r="D1400" s="87">
        <v>12645.92</v>
      </c>
      <c r="E1400" s="35">
        <v>44664</v>
      </c>
      <c r="F1400" s="87">
        <v>12645.92</v>
      </c>
      <c r="G1400" s="91">
        <f>Tabla15[[#This Row],[Importe]]-Tabla15[[#This Row],[Pagado]]</f>
        <v>0</v>
      </c>
      <c r="H1400" s="92" t="s">
        <v>10</v>
      </c>
    </row>
    <row r="1401" spans="1:8" ht="21.75" customHeight="1" x14ac:dyDescent="0.25">
      <c r="A1401" s="35">
        <v>44664</v>
      </c>
      <c r="B1401" s="90" t="s">
        <v>12033</v>
      </c>
      <c r="C1401" s="41" t="s">
        <v>20</v>
      </c>
      <c r="D1401" s="87">
        <v>1084.5999999999999</v>
      </c>
      <c r="E1401" s="35">
        <v>44664</v>
      </c>
      <c r="F1401" s="87">
        <v>1084.5999999999999</v>
      </c>
      <c r="G1401" s="91">
        <f>Tabla15[[#This Row],[Importe]]-Tabla15[[#This Row],[Pagado]]</f>
        <v>0</v>
      </c>
      <c r="H1401" s="92" t="s">
        <v>10</v>
      </c>
    </row>
    <row r="1402" spans="1:8" ht="21.75" customHeight="1" x14ac:dyDescent="0.25">
      <c r="A1402" s="35">
        <v>44664</v>
      </c>
      <c r="B1402" s="90" t="s">
        <v>12034</v>
      </c>
      <c r="C1402" s="41" t="s">
        <v>348</v>
      </c>
      <c r="D1402" s="87">
        <v>3698.2</v>
      </c>
      <c r="E1402" s="35">
        <v>44664</v>
      </c>
      <c r="F1402" s="87">
        <v>3698.2</v>
      </c>
      <c r="G1402" s="91">
        <f>Tabla15[[#This Row],[Importe]]-Tabla15[[#This Row],[Pagado]]</f>
        <v>0</v>
      </c>
      <c r="H1402" s="92" t="s">
        <v>10</v>
      </c>
    </row>
    <row r="1403" spans="1:8" ht="21.75" customHeight="1" x14ac:dyDescent="0.25">
      <c r="A1403" s="35">
        <v>44664</v>
      </c>
      <c r="B1403" s="90" t="s">
        <v>12035</v>
      </c>
      <c r="C1403" s="41" t="s">
        <v>777</v>
      </c>
      <c r="D1403" s="87">
        <v>5882.36</v>
      </c>
      <c r="E1403" s="35">
        <v>44664</v>
      </c>
      <c r="F1403" s="87">
        <v>5882.36</v>
      </c>
      <c r="G1403" s="91">
        <f>Tabla15[[#This Row],[Importe]]-Tabla15[[#This Row],[Pagado]]</f>
        <v>0</v>
      </c>
      <c r="H1403" s="92" t="s">
        <v>10</v>
      </c>
    </row>
    <row r="1404" spans="1:8" ht="21.75" customHeight="1" x14ac:dyDescent="0.25">
      <c r="A1404" s="35">
        <v>44664</v>
      </c>
      <c r="B1404" s="90" t="s">
        <v>12036</v>
      </c>
      <c r="C1404" s="41" t="s">
        <v>97</v>
      </c>
      <c r="D1404" s="87">
        <v>5759.6</v>
      </c>
      <c r="E1404" s="35">
        <v>44664</v>
      </c>
      <c r="F1404" s="87">
        <v>5759.6</v>
      </c>
      <c r="G1404" s="91">
        <f>Tabla15[[#This Row],[Importe]]-Tabla15[[#This Row],[Pagado]]</f>
        <v>0</v>
      </c>
      <c r="H1404" s="92" t="s">
        <v>10</v>
      </c>
    </row>
    <row r="1405" spans="1:8" ht="21.75" customHeight="1" x14ac:dyDescent="0.25">
      <c r="A1405" s="35">
        <v>44664</v>
      </c>
      <c r="B1405" s="90" t="s">
        <v>12037</v>
      </c>
      <c r="C1405" s="41" t="s">
        <v>664</v>
      </c>
      <c r="D1405" s="87">
        <v>8955.2000000000007</v>
      </c>
      <c r="E1405" s="35">
        <v>44664</v>
      </c>
      <c r="F1405" s="87">
        <v>8955.2000000000007</v>
      </c>
      <c r="G1405" s="91">
        <f>Tabla15[[#This Row],[Importe]]-Tabla15[[#This Row],[Pagado]]</f>
        <v>0</v>
      </c>
      <c r="H1405" s="92" t="s">
        <v>10</v>
      </c>
    </row>
    <row r="1406" spans="1:8" ht="21.75" customHeight="1" x14ac:dyDescent="0.25">
      <c r="A1406" s="35">
        <v>44664</v>
      </c>
      <c r="B1406" s="90" t="s">
        <v>12038</v>
      </c>
      <c r="C1406" s="41" t="s">
        <v>31</v>
      </c>
      <c r="D1406" s="87">
        <v>1749</v>
      </c>
      <c r="E1406" s="35">
        <v>44664</v>
      </c>
      <c r="F1406" s="87">
        <v>1749</v>
      </c>
      <c r="G1406" s="91">
        <f>Tabla15[[#This Row],[Importe]]-Tabla15[[#This Row],[Pagado]]</f>
        <v>0</v>
      </c>
      <c r="H1406" s="92" t="s">
        <v>10</v>
      </c>
    </row>
    <row r="1407" spans="1:8" ht="21.75" customHeight="1" x14ac:dyDescent="0.25">
      <c r="A1407" s="35">
        <v>44664</v>
      </c>
      <c r="B1407" s="90" t="s">
        <v>12039</v>
      </c>
      <c r="C1407" s="41" t="s">
        <v>664</v>
      </c>
      <c r="D1407" s="87">
        <v>3045</v>
      </c>
      <c r="E1407" s="35">
        <v>44664</v>
      </c>
      <c r="F1407" s="87">
        <v>3045</v>
      </c>
      <c r="G1407" s="91">
        <f>Tabla15[[#This Row],[Importe]]-Tabla15[[#This Row],[Pagado]]</f>
        <v>0</v>
      </c>
      <c r="H1407" s="92" t="s">
        <v>10</v>
      </c>
    </row>
    <row r="1408" spans="1:8" ht="21.75" customHeight="1" x14ac:dyDescent="0.25">
      <c r="A1408" s="35">
        <v>44664</v>
      </c>
      <c r="B1408" s="90" t="s">
        <v>12040</v>
      </c>
      <c r="C1408" s="41" t="s">
        <v>1505</v>
      </c>
      <c r="D1408" s="87">
        <v>4315.7</v>
      </c>
      <c r="E1408" s="35">
        <v>44664</v>
      </c>
      <c r="F1408" s="87">
        <v>4315.7</v>
      </c>
      <c r="G1408" s="91">
        <f>Tabla15[[#This Row],[Importe]]-Tabla15[[#This Row],[Pagado]]</f>
        <v>0</v>
      </c>
      <c r="H1408" s="92" t="s">
        <v>10</v>
      </c>
    </row>
    <row r="1409" spans="1:8" ht="21.75" customHeight="1" x14ac:dyDescent="0.25">
      <c r="A1409" s="35">
        <v>44664</v>
      </c>
      <c r="B1409" s="90" t="s">
        <v>12041</v>
      </c>
      <c r="C1409" s="41" t="s">
        <v>212</v>
      </c>
      <c r="D1409" s="87">
        <v>16941.599999999999</v>
      </c>
      <c r="E1409" s="35">
        <v>44670</v>
      </c>
      <c r="F1409" s="87">
        <v>16941.599999999999</v>
      </c>
      <c r="G1409" s="91">
        <f>Tabla15[[#This Row],[Importe]]-Tabla15[[#This Row],[Pagado]]</f>
        <v>0</v>
      </c>
      <c r="H1409" s="92" t="s">
        <v>10</v>
      </c>
    </row>
    <row r="1410" spans="1:8" ht="21.75" customHeight="1" x14ac:dyDescent="0.25">
      <c r="A1410" s="35">
        <v>44664</v>
      </c>
      <c r="B1410" s="90" t="s">
        <v>12042</v>
      </c>
      <c r="C1410" s="41" t="s">
        <v>24</v>
      </c>
      <c r="D1410" s="87">
        <v>2993.2</v>
      </c>
      <c r="E1410" s="35">
        <v>44664</v>
      </c>
      <c r="F1410" s="87">
        <v>2993.2</v>
      </c>
      <c r="G1410" s="91">
        <f>Tabla15[[#This Row],[Importe]]-Tabla15[[#This Row],[Pagado]]</f>
        <v>0</v>
      </c>
      <c r="H1410" s="92" t="s">
        <v>10</v>
      </c>
    </row>
    <row r="1411" spans="1:8" ht="21.75" customHeight="1" x14ac:dyDescent="0.25">
      <c r="A1411" s="35">
        <v>44664</v>
      </c>
      <c r="B1411" s="90" t="s">
        <v>12043</v>
      </c>
      <c r="C1411" s="41" t="s">
        <v>24</v>
      </c>
      <c r="D1411" s="87">
        <v>176.4</v>
      </c>
      <c r="E1411" s="35">
        <v>44664</v>
      </c>
      <c r="F1411" s="87">
        <v>176.4</v>
      </c>
      <c r="G1411" s="91">
        <f>Tabla15[[#This Row],[Importe]]-Tabla15[[#This Row],[Pagado]]</f>
        <v>0</v>
      </c>
      <c r="H1411" s="92" t="s">
        <v>10</v>
      </c>
    </row>
    <row r="1412" spans="1:8" ht="21.75" customHeight="1" x14ac:dyDescent="0.25">
      <c r="A1412" s="35">
        <v>44664</v>
      </c>
      <c r="B1412" s="90" t="s">
        <v>12044</v>
      </c>
      <c r="C1412" s="41" t="s">
        <v>840</v>
      </c>
      <c r="D1412" s="87">
        <v>65474.1</v>
      </c>
      <c r="E1412" s="35">
        <v>44664</v>
      </c>
      <c r="F1412" s="87">
        <v>65474.1</v>
      </c>
      <c r="G1412" s="91">
        <f>Tabla15[[#This Row],[Importe]]-Tabla15[[#This Row],[Pagado]]</f>
        <v>0</v>
      </c>
      <c r="H1412" s="92" t="s">
        <v>10</v>
      </c>
    </row>
    <row r="1413" spans="1:8" ht="21.75" customHeight="1" x14ac:dyDescent="0.25">
      <c r="A1413" s="35">
        <v>44664</v>
      </c>
      <c r="B1413" s="90" t="s">
        <v>12045</v>
      </c>
      <c r="C1413" s="41" t="s">
        <v>216</v>
      </c>
      <c r="D1413" s="87">
        <v>1023</v>
      </c>
      <c r="E1413" s="35">
        <v>44664</v>
      </c>
      <c r="F1413" s="87">
        <v>1023</v>
      </c>
      <c r="G1413" s="91">
        <f>Tabla15[[#This Row],[Importe]]-Tabla15[[#This Row],[Pagado]]</f>
        <v>0</v>
      </c>
      <c r="H1413" s="92" t="s">
        <v>10</v>
      </c>
    </row>
    <row r="1414" spans="1:8" ht="21.75" customHeight="1" x14ac:dyDescent="0.25">
      <c r="A1414" s="35">
        <v>44664</v>
      </c>
      <c r="B1414" s="90" t="s">
        <v>12046</v>
      </c>
      <c r="C1414" s="41" t="s">
        <v>154</v>
      </c>
      <c r="D1414" s="87">
        <v>45978.400000000001</v>
      </c>
      <c r="E1414" s="35">
        <v>44670</v>
      </c>
      <c r="F1414" s="87">
        <v>45978.400000000001</v>
      </c>
      <c r="G1414" s="91">
        <f>Tabla15[[#This Row],[Importe]]-Tabla15[[#This Row],[Pagado]]</f>
        <v>0</v>
      </c>
      <c r="H1414" s="92" t="s">
        <v>10</v>
      </c>
    </row>
    <row r="1415" spans="1:8" ht="21.75" customHeight="1" x14ac:dyDescent="0.25">
      <c r="A1415" s="35">
        <v>44664</v>
      </c>
      <c r="B1415" s="90" t="s">
        <v>12047</v>
      </c>
      <c r="C1415" s="41" t="s">
        <v>142</v>
      </c>
      <c r="D1415" s="87">
        <v>36277.25</v>
      </c>
      <c r="E1415" s="35">
        <v>44706</v>
      </c>
      <c r="F1415" s="87">
        <v>36277.25</v>
      </c>
      <c r="G1415" s="91">
        <f>Tabla15[[#This Row],[Importe]]-Tabla15[[#This Row],[Pagado]]</f>
        <v>0</v>
      </c>
      <c r="H1415" s="92" t="s">
        <v>10</v>
      </c>
    </row>
    <row r="1416" spans="1:8" ht="21.75" customHeight="1" x14ac:dyDescent="0.25">
      <c r="A1416" s="35">
        <v>44664</v>
      </c>
      <c r="B1416" s="90" t="s">
        <v>12048</v>
      </c>
      <c r="C1416" s="41" t="s">
        <v>175</v>
      </c>
      <c r="D1416" s="87">
        <v>25425</v>
      </c>
      <c r="E1416" s="35">
        <v>44664</v>
      </c>
      <c r="F1416" s="87">
        <v>25425</v>
      </c>
      <c r="G1416" s="91">
        <f>Tabla15[[#This Row],[Importe]]-Tabla15[[#This Row],[Pagado]]</f>
        <v>0</v>
      </c>
      <c r="H1416" s="92" t="s">
        <v>10</v>
      </c>
    </row>
    <row r="1417" spans="1:8" ht="21.75" customHeight="1" x14ac:dyDescent="0.25">
      <c r="A1417" s="35">
        <v>44664</v>
      </c>
      <c r="B1417" s="90" t="s">
        <v>12049</v>
      </c>
      <c r="C1417" s="41" t="s">
        <v>175</v>
      </c>
      <c r="D1417" s="87">
        <v>847</v>
      </c>
      <c r="E1417" s="35">
        <v>44664</v>
      </c>
      <c r="F1417" s="87">
        <v>847</v>
      </c>
      <c r="G1417" s="91">
        <f>Tabla15[[#This Row],[Importe]]-Tabla15[[#This Row],[Pagado]]</f>
        <v>0</v>
      </c>
      <c r="H1417" s="92" t="s">
        <v>10</v>
      </c>
    </row>
    <row r="1418" spans="1:8" ht="21.75" customHeight="1" x14ac:dyDescent="0.25">
      <c r="A1418" s="35">
        <v>44664</v>
      </c>
      <c r="B1418" s="90" t="s">
        <v>12050</v>
      </c>
      <c r="C1418" s="41" t="s">
        <v>208</v>
      </c>
      <c r="D1418" s="87">
        <v>7897.2</v>
      </c>
      <c r="E1418" s="35">
        <v>44668</v>
      </c>
      <c r="F1418" s="87">
        <v>7897.2</v>
      </c>
      <c r="G1418" s="91">
        <f>Tabla15[[#This Row],[Importe]]-Tabla15[[#This Row],[Pagado]]</f>
        <v>0</v>
      </c>
      <c r="H1418" s="92" t="s">
        <v>10</v>
      </c>
    </row>
    <row r="1419" spans="1:8" ht="21.75" customHeight="1" x14ac:dyDescent="0.25">
      <c r="A1419" s="35">
        <v>44664</v>
      </c>
      <c r="B1419" s="90" t="s">
        <v>12051</v>
      </c>
      <c r="C1419" s="41" t="s">
        <v>218</v>
      </c>
      <c r="D1419" s="87">
        <v>8070.3</v>
      </c>
      <c r="E1419" s="35">
        <v>44670</v>
      </c>
      <c r="F1419" s="87">
        <v>8070.3</v>
      </c>
      <c r="G1419" s="91">
        <f>Tabla15[[#This Row],[Importe]]-Tabla15[[#This Row],[Pagado]]</f>
        <v>0</v>
      </c>
      <c r="H1419" s="92" t="s">
        <v>10</v>
      </c>
    </row>
    <row r="1420" spans="1:8" ht="21.75" customHeight="1" x14ac:dyDescent="0.25">
      <c r="A1420" s="35">
        <v>44664</v>
      </c>
      <c r="B1420" s="90" t="s">
        <v>12052</v>
      </c>
      <c r="C1420" s="41" t="s">
        <v>426</v>
      </c>
      <c r="D1420" s="87">
        <v>3815.5</v>
      </c>
      <c r="E1420" s="35">
        <v>44664</v>
      </c>
      <c r="F1420" s="87">
        <v>3815.5</v>
      </c>
      <c r="G1420" s="91">
        <f>Tabla15[[#This Row],[Importe]]-Tabla15[[#This Row],[Pagado]]</f>
        <v>0</v>
      </c>
      <c r="H1420" s="92" t="s">
        <v>10</v>
      </c>
    </row>
    <row r="1421" spans="1:8" ht="21.75" customHeight="1" x14ac:dyDescent="0.25">
      <c r="A1421" s="35">
        <v>44664</v>
      </c>
      <c r="B1421" s="90" t="s">
        <v>12053</v>
      </c>
      <c r="C1421" s="41" t="s">
        <v>181</v>
      </c>
      <c r="D1421" s="87">
        <v>10663.2</v>
      </c>
      <c r="E1421" s="35">
        <v>44664</v>
      </c>
      <c r="F1421" s="87">
        <v>10663.2</v>
      </c>
      <c r="G1421" s="91">
        <f>Tabla15[[#This Row],[Importe]]-Tabla15[[#This Row],[Pagado]]</f>
        <v>0</v>
      </c>
      <c r="H1421" s="92" t="s">
        <v>10</v>
      </c>
    </row>
    <row r="1422" spans="1:8" ht="21.75" customHeight="1" x14ac:dyDescent="0.25">
      <c r="A1422" s="35">
        <v>44664</v>
      </c>
      <c r="B1422" s="90" t="s">
        <v>12054</v>
      </c>
      <c r="C1422" s="41" t="s">
        <v>198</v>
      </c>
      <c r="D1422" s="87">
        <v>4484.8999999999996</v>
      </c>
      <c r="E1422" s="35">
        <v>44664</v>
      </c>
      <c r="F1422" s="87">
        <v>4484.8999999999996</v>
      </c>
      <c r="G1422" s="91">
        <f>Tabla15[[#This Row],[Importe]]-Tabla15[[#This Row],[Pagado]]</f>
        <v>0</v>
      </c>
      <c r="H1422" s="92" t="s">
        <v>10</v>
      </c>
    </row>
    <row r="1423" spans="1:8" ht="21.75" customHeight="1" x14ac:dyDescent="0.25">
      <c r="A1423" s="35">
        <v>44664</v>
      </c>
      <c r="B1423" s="90" t="s">
        <v>12055</v>
      </c>
      <c r="C1423" s="41" t="s">
        <v>10157</v>
      </c>
      <c r="D1423" s="87">
        <v>11534</v>
      </c>
      <c r="E1423" s="35">
        <v>44665</v>
      </c>
      <c r="F1423" s="87">
        <v>11534</v>
      </c>
      <c r="G1423" s="91">
        <f>Tabla15[[#This Row],[Importe]]-Tabla15[[#This Row],[Pagado]]</f>
        <v>0</v>
      </c>
      <c r="H1423" s="92" t="s">
        <v>10</v>
      </c>
    </row>
    <row r="1424" spans="1:8" ht="21.75" customHeight="1" x14ac:dyDescent="0.25">
      <c r="A1424" s="35">
        <v>44664</v>
      </c>
      <c r="B1424" s="90" t="s">
        <v>12056</v>
      </c>
      <c r="C1424" s="41" t="s">
        <v>173</v>
      </c>
      <c r="D1424" s="87">
        <v>20743.599999999999</v>
      </c>
      <c r="E1424" s="35">
        <v>44665</v>
      </c>
      <c r="F1424" s="87">
        <v>20743.599999999999</v>
      </c>
      <c r="G1424" s="91">
        <f>Tabla15[[#This Row],[Importe]]-Tabla15[[#This Row],[Pagado]]</f>
        <v>0</v>
      </c>
      <c r="H1424" s="92" t="s">
        <v>10</v>
      </c>
    </row>
    <row r="1425" spans="1:8" ht="21.75" customHeight="1" x14ac:dyDescent="0.25">
      <c r="A1425" s="35">
        <v>44664</v>
      </c>
      <c r="B1425" s="90" t="s">
        <v>12057</v>
      </c>
      <c r="C1425" s="41" t="s">
        <v>5816</v>
      </c>
      <c r="D1425" s="87">
        <v>13959.9</v>
      </c>
      <c r="E1425" s="35">
        <v>44665</v>
      </c>
      <c r="F1425" s="87">
        <v>13959.9</v>
      </c>
      <c r="G1425" s="91">
        <f>Tabla15[[#This Row],[Importe]]-Tabla15[[#This Row],[Pagado]]</f>
        <v>0</v>
      </c>
      <c r="H1425" s="92" t="s">
        <v>10</v>
      </c>
    </row>
    <row r="1426" spans="1:8" ht="21.75" customHeight="1" x14ac:dyDescent="0.25">
      <c r="A1426" s="35">
        <v>44664</v>
      </c>
      <c r="B1426" s="90" t="s">
        <v>12058</v>
      </c>
      <c r="C1426" s="41" t="s">
        <v>133</v>
      </c>
      <c r="D1426" s="87">
        <v>11715</v>
      </c>
      <c r="E1426" s="35">
        <v>44665</v>
      </c>
      <c r="F1426" s="87">
        <v>11715</v>
      </c>
      <c r="G1426" s="91">
        <f>Tabla15[[#This Row],[Importe]]-Tabla15[[#This Row],[Pagado]]</f>
        <v>0</v>
      </c>
      <c r="H1426" s="92" t="s">
        <v>10</v>
      </c>
    </row>
    <row r="1427" spans="1:8" ht="21.75" customHeight="1" x14ac:dyDescent="0.25">
      <c r="A1427" s="35">
        <v>44664</v>
      </c>
      <c r="B1427" s="90" t="s">
        <v>12059</v>
      </c>
      <c r="C1427" s="41" t="s">
        <v>845</v>
      </c>
      <c r="D1427" s="87">
        <v>1403.6</v>
      </c>
      <c r="E1427" s="35">
        <v>44664</v>
      </c>
      <c r="F1427" s="87">
        <v>1403.6</v>
      </c>
      <c r="G1427" s="91">
        <f>Tabla15[[#This Row],[Importe]]-Tabla15[[#This Row],[Pagado]]</f>
        <v>0</v>
      </c>
      <c r="H1427" s="92" t="s">
        <v>10</v>
      </c>
    </row>
    <row r="1428" spans="1:8" ht="21.75" customHeight="1" x14ac:dyDescent="0.25">
      <c r="A1428" s="35">
        <v>44664</v>
      </c>
      <c r="B1428" s="90" t="s">
        <v>12060</v>
      </c>
      <c r="C1428" s="41" t="s">
        <v>419</v>
      </c>
      <c r="D1428" s="87">
        <v>9964.4</v>
      </c>
      <c r="E1428" s="35">
        <v>44664</v>
      </c>
      <c r="F1428" s="87">
        <v>9964.4</v>
      </c>
      <c r="G1428" s="91">
        <f>Tabla15[[#This Row],[Importe]]-Tabla15[[#This Row],[Pagado]]</f>
        <v>0</v>
      </c>
      <c r="H1428" s="92" t="s">
        <v>10</v>
      </c>
    </row>
    <row r="1429" spans="1:8" ht="21.75" customHeight="1" x14ac:dyDescent="0.25">
      <c r="A1429" s="35">
        <v>44664</v>
      </c>
      <c r="B1429" s="90" t="s">
        <v>12061</v>
      </c>
      <c r="C1429" s="41" t="s">
        <v>698</v>
      </c>
      <c r="D1429" s="87">
        <v>5714.1</v>
      </c>
      <c r="E1429" s="35">
        <v>44664</v>
      </c>
      <c r="F1429" s="87">
        <v>5714.1</v>
      </c>
      <c r="G1429" s="91">
        <f>Tabla15[[#This Row],[Importe]]-Tabla15[[#This Row],[Pagado]]</f>
        <v>0</v>
      </c>
      <c r="H1429" s="92" t="s">
        <v>10</v>
      </c>
    </row>
    <row r="1430" spans="1:8" ht="21.75" customHeight="1" x14ac:dyDescent="0.25">
      <c r="A1430" s="35">
        <v>44664</v>
      </c>
      <c r="B1430" s="90" t="s">
        <v>12062</v>
      </c>
      <c r="C1430" s="41" t="s">
        <v>9827</v>
      </c>
      <c r="D1430" s="87">
        <v>489.5</v>
      </c>
      <c r="E1430" s="35">
        <v>44664</v>
      </c>
      <c r="F1430" s="87">
        <v>489.5</v>
      </c>
      <c r="G1430" s="91">
        <f>Tabla15[[#This Row],[Importe]]-Tabla15[[#This Row],[Pagado]]</f>
        <v>0</v>
      </c>
      <c r="H1430" s="92" t="s">
        <v>10</v>
      </c>
    </row>
    <row r="1431" spans="1:8" ht="21.75" customHeight="1" x14ac:dyDescent="0.25">
      <c r="A1431" s="35">
        <v>44664</v>
      </c>
      <c r="B1431" s="90" t="s">
        <v>12063</v>
      </c>
      <c r="C1431" s="41" t="s">
        <v>804</v>
      </c>
      <c r="D1431" s="87">
        <v>13798.9</v>
      </c>
      <c r="E1431" s="35">
        <v>44664</v>
      </c>
      <c r="F1431" s="87">
        <v>13798.9</v>
      </c>
      <c r="G1431" s="91">
        <f>Tabla15[[#This Row],[Importe]]-Tabla15[[#This Row],[Pagado]]</f>
        <v>0</v>
      </c>
      <c r="H1431" s="92" t="s">
        <v>10</v>
      </c>
    </row>
    <row r="1432" spans="1:8" ht="21.75" customHeight="1" x14ac:dyDescent="0.25">
      <c r="A1432" s="35">
        <v>44664</v>
      </c>
      <c r="B1432" s="90" t="s">
        <v>12064</v>
      </c>
      <c r="C1432" s="41" t="s">
        <v>4136</v>
      </c>
      <c r="D1432" s="87">
        <v>2677.6</v>
      </c>
      <c r="E1432" s="35">
        <v>44664</v>
      </c>
      <c r="F1432" s="87">
        <v>2677.6</v>
      </c>
      <c r="G1432" s="91">
        <f>Tabla15[[#This Row],[Importe]]-Tabla15[[#This Row],[Pagado]]</f>
        <v>0</v>
      </c>
      <c r="H1432" s="92" t="s">
        <v>10</v>
      </c>
    </row>
    <row r="1433" spans="1:8" ht="21.75" customHeight="1" x14ac:dyDescent="0.25">
      <c r="A1433" s="35">
        <v>44664</v>
      </c>
      <c r="B1433" s="90" t="s">
        <v>12065</v>
      </c>
      <c r="C1433" s="41" t="s">
        <v>58</v>
      </c>
      <c r="D1433" s="87">
        <v>2328.8000000000002</v>
      </c>
      <c r="E1433" s="35">
        <v>44664</v>
      </c>
      <c r="F1433" s="87">
        <v>2328.8000000000002</v>
      </c>
      <c r="G1433" s="91">
        <f>Tabla15[[#This Row],[Importe]]-Tabla15[[#This Row],[Pagado]]</f>
        <v>0</v>
      </c>
      <c r="H1433" s="92" t="s">
        <v>10</v>
      </c>
    </row>
    <row r="1434" spans="1:8" ht="21.75" customHeight="1" x14ac:dyDescent="0.25">
      <c r="A1434" s="35">
        <v>44664</v>
      </c>
      <c r="B1434" s="90" t="s">
        <v>12066</v>
      </c>
      <c r="C1434" s="41" t="s">
        <v>67</v>
      </c>
      <c r="D1434" s="87">
        <v>748</v>
      </c>
      <c r="E1434" s="35">
        <v>44664</v>
      </c>
      <c r="F1434" s="87">
        <v>748</v>
      </c>
      <c r="G1434" s="91">
        <f>Tabla15[[#This Row],[Importe]]-Tabla15[[#This Row],[Pagado]]</f>
        <v>0</v>
      </c>
      <c r="H1434" s="92" t="s">
        <v>10</v>
      </c>
    </row>
    <row r="1435" spans="1:8" ht="21.75" customHeight="1" x14ac:dyDescent="0.25">
      <c r="A1435" s="35">
        <v>44664</v>
      </c>
      <c r="B1435" s="90" t="s">
        <v>12067</v>
      </c>
      <c r="C1435" s="41" t="s">
        <v>670</v>
      </c>
      <c r="D1435" s="87">
        <v>1460.8</v>
      </c>
      <c r="E1435" s="35">
        <v>44664</v>
      </c>
      <c r="F1435" s="87">
        <v>1460.8</v>
      </c>
      <c r="G1435" s="91">
        <f>Tabla15[[#This Row],[Importe]]-Tabla15[[#This Row],[Pagado]]</f>
        <v>0</v>
      </c>
      <c r="H1435" s="92" t="s">
        <v>10</v>
      </c>
    </row>
    <row r="1436" spans="1:8" ht="21.75" customHeight="1" x14ac:dyDescent="0.25">
      <c r="A1436" s="35">
        <v>44664</v>
      </c>
      <c r="B1436" s="90" t="s">
        <v>12068</v>
      </c>
      <c r="C1436" s="41" t="s">
        <v>3823</v>
      </c>
      <c r="D1436" s="87">
        <v>0</v>
      </c>
      <c r="E1436" s="39" t="s">
        <v>189</v>
      </c>
      <c r="F1436" s="87">
        <v>0</v>
      </c>
      <c r="G1436" s="91">
        <f>Tabla15[[#This Row],[Importe]]-Tabla15[[#This Row],[Pagado]]</f>
        <v>0</v>
      </c>
      <c r="H1436" s="92" t="s">
        <v>189</v>
      </c>
    </row>
    <row r="1437" spans="1:8" ht="21.75" customHeight="1" x14ac:dyDescent="0.25">
      <c r="A1437" s="35">
        <v>44664</v>
      </c>
      <c r="B1437" s="90" t="s">
        <v>12069</v>
      </c>
      <c r="C1437" s="41" t="s">
        <v>31</v>
      </c>
      <c r="D1437" s="87">
        <v>21714.2</v>
      </c>
      <c r="E1437" s="35">
        <v>44664</v>
      </c>
      <c r="F1437" s="87">
        <v>21714.2</v>
      </c>
      <c r="G1437" s="91">
        <f>Tabla15[[#This Row],[Importe]]-Tabla15[[#This Row],[Pagado]]</f>
        <v>0</v>
      </c>
      <c r="H1437" s="92" t="s">
        <v>10</v>
      </c>
    </row>
    <row r="1438" spans="1:8" ht="21.75" customHeight="1" x14ac:dyDescent="0.25">
      <c r="A1438" s="35">
        <v>44664</v>
      </c>
      <c r="B1438" s="90" t="s">
        <v>12070</v>
      </c>
      <c r="C1438" s="41" t="s">
        <v>31</v>
      </c>
      <c r="D1438" s="87">
        <v>3794.4</v>
      </c>
      <c r="E1438" s="35">
        <v>44664</v>
      </c>
      <c r="F1438" s="87">
        <v>3794.4</v>
      </c>
      <c r="G1438" s="91">
        <f>Tabla15[[#This Row],[Importe]]-Tabla15[[#This Row],[Pagado]]</f>
        <v>0</v>
      </c>
      <c r="H1438" s="92" t="s">
        <v>10</v>
      </c>
    </row>
    <row r="1439" spans="1:8" ht="21.75" customHeight="1" x14ac:dyDescent="0.25">
      <c r="A1439" s="35">
        <v>44664</v>
      </c>
      <c r="B1439" s="90" t="s">
        <v>12071</v>
      </c>
      <c r="C1439" s="41" t="s">
        <v>31</v>
      </c>
      <c r="D1439" s="87">
        <v>17100</v>
      </c>
      <c r="E1439" s="35">
        <v>44664</v>
      </c>
      <c r="F1439" s="87">
        <v>17100</v>
      </c>
      <c r="G1439" s="91">
        <f>Tabla15[[#This Row],[Importe]]-Tabla15[[#This Row],[Pagado]]</f>
        <v>0</v>
      </c>
      <c r="H1439" s="92" t="s">
        <v>10</v>
      </c>
    </row>
    <row r="1440" spans="1:8" ht="21.75" customHeight="1" x14ac:dyDescent="0.25">
      <c r="A1440" s="35">
        <v>44664</v>
      </c>
      <c r="B1440" s="90" t="s">
        <v>12072</v>
      </c>
      <c r="C1440" s="41" t="s">
        <v>31</v>
      </c>
      <c r="D1440" s="87">
        <v>12414.8</v>
      </c>
      <c r="E1440" s="35">
        <v>44664</v>
      </c>
      <c r="F1440" s="87">
        <v>12414.8</v>
      </c>
      <c r="G1440" s="91">
        <f>Tabla15[[#This Row],[Importe]]-Tabla15[[#This Row],[Pagado]]</f>
        <v>0</v>
      </c>
      <c r="H1440" s="92" t="s">
        <v>10</v>
      </c>
    </row>
    <row r="1441" spans="1:8" ht="21.75" customHeight="1" x14ac:dyDescent="0.25">
      <c r="A1441" s="35">
        <v>44664</v>
      </c>
      <c r="B1441" s="90" t="s">
        <v>12073</v>
      </c>
      <c r="C1441" s="41" t="s">
        <v>804</v>
      </c>
      <c r="D1441" s="87">
        <v>1760</v>
      </c>
      <c r="E1441" s="35">
        <v>44664</v>
      </c>
      <c r="F1441" s="87">
        <v>1760</v>
      </c>
      <c r="G1441" s="91">
        <f>Tabla15[[#This Row],[Importe]]-Tabla15[[#This Row],[Pagado]]</f>
        <v>0</v>
      </c>
      <c r="H1441" s="92" t="s">
        <v>10</v>
      </c>
    </row>
    <row r="1442" spans="1:8" ht="21.75" customHeight="1" x14ac:dyDescent="0.25">
      <c r="A1442" s="35">
        <v>44664</v>
      </c>
      <c r="B1442" s="90" t="s">
        <v>12074</v>
      </c>
      <c r="C1442" s="41" t="s">
        <v>22</v>
      </c>
      <c r="D1442" s="87">
        <v>4086.3</v>
      </c>
      <c r="E1442" s="35">
        <v>44667</v>
      </c>
      <c r="F1442" s="87">
        <v>4086.3</v>
      </c>
      <c r="G1442" s="91">
        <f>Tabla15[[#This Row],[Importe]]-Tabla15[[#This Row],[Pagado]]</f>
        <v>0</v>
      </c>
      <c r="H1442" s="92" t="s">
        <v>10</v>
      </c>
    </row>
    <row r="1443" spans="1:8" ht="21.75" customHeight="1" x14ac:dyDescent="0.25">
      <c r="A1443" s="35">
        <v>44664</v>
      </c>
      <c r="B1443" s="90" t="s">
        <v>12075</v>
      </c>
      <c r="C1443" s="41" t="s">
        <v>22</v>
      </c>
      <c r="D1443" s="87">
        <v>364.5</v>
      </c>
      <c r="E1443" s="35">
        <v>44667</v>
      </c>
      <c r="F1443" s="87">
        <v>364.5</v>
      </c>
      <c r="G1443" s="91">
        <f>Tabla15[[#This Row],[Importe]]-Tabla15[[#This Row],[Pagado]]</f>
        <v>0</v>
      </c>
      <c r="H1443" s="92" t="s">
        <v>10</v>
      </c>
    </row>
    <row r="1444" spans="1:8" ht="21.75" customHeight="1" x14ac:dyDescent="0.25">
      <c r="A1444" s="35">
        <v>44664</v>
      </c>
      <c r="B1444" s="90" t="s">
        <v>12076</v>
      </c>
      <c r="C1444" s="41" t="s">
        <v>6112</v>
      </c>
      <c r="D1444" s="87">
        <v>5594.8</v>
      </c>
      <c r="E1444" s="35">
        <v>44664</v>
      </c>
      <c r="F1444" s="87">
        <v>5594.8</v>
      </c>
      <c r="G1444" s="91">
        <f>Tabla15[[#This Row],[Importe]]-Tabla15[[#This Row],[Pagado]]</f>
        <v>0</v>
      </c>
      <c r="H1444" s="92" t="s">
        <v>10</v>
      </c>
    </row>
    <row r="1445" spans="1:8" ht="21.75" customHeight="1" x14ac:dyDescent="0.25">
      <c r="A1445" s="35">
        <v>44664</v>
      </c>
      <c r="B1445" s="90" t="s">
        <v>12077</v>
      </c>
      <c r="C1445" s="41" t="s">
        <v>10190</v>
      </c>
      <c r="D1445" s="87">
        <v>4262.3999999999996</v>
      </c>
      <c r="E1445" s="35">
        <v>44664</v>
      </c>
      <c r="F1445" s="87">
        <v>4262.3999999999996</v>
      </c>
      <c r="G1445" s="91">
        <f>Tabla15[[#This Row],[Importe]]-Tabla15[[#This Row],[Pagado]]</f>
        <v>0</v>
      </c>
      <c r="H1445" s="92" t="s">
        <v>10</v>
      </c>
    </row>
    <row r="1446" spans="1:8" ht="21.75" customHeight="1" x14ac:dyDescent="0.25">
      <c r="A1446" s="35">
        <v>44664</v>
      </c>
      <c r="B1446" s="90" t="s">
        <v>12078</v>
      </c>
      <c r="C1446" s="41" t="s">
        <v>402</v>
      </c>
      <c r="D1446" s="87">
        <v>12944.9</v>
      </c>
      <c r="E1446" s="35">
        <v>44673</v>
      </c>
      <c r="F1446" s="87">
        <v>12944.9</v>
      </c>
      <c r="G1446" s="91">
        <f>Tabla15[[#This Row],[Importe]]-Tabla15[[#This Row],[Pagado]]</f>
        <v>0</v>
      </c>
      <c r="H1446" s="92" t="s">
        <v>10</v>
      </c>
    </row>
    <row r="1447" spans="1:8" ht="21.75" customHeight="1" x14ac:dyDescent="0.25">
      <c r="A1447" s="35">
        <v>44664</v>
      </c>
      <c r="B1447" s="90" t="s">
        <v>12079</v>
      </c>
      <c r="C1447" s="41" t="s">
        <v>71</v>
      </c>
      <c r="D1447" s="87">
        <v>1045.8</v>
      </c>
      <c r="E1447" s="35">
        <v>44664</v>
      </c>
      <c r="F1447" s="87">
        <v>1045.8</v>
      </c>
      <c r="G1447" s="91">
        <f>Tabla15[[#This Row],[Importe]]-Tabla15[[#This Row],[Pagado]]</f>
        <v>0</v>
      </c>
      <c r="H1447" s="92" t="s">
        <v>10</v>
      </c>
    </row>
    <row r="1448" spans="1:8" ht="31.5" x14ac:dyDescent="0.25">
      <c r="A1448" s="35">
        <v>44664</v>
      </c>
      <c r="B1448" s="90" t="s">
        <v>12080</v>
      </c>
      <c r="C1448" s="41" t="s">
        <v>275</v>
      </c>
      <c r="D1448" s="87">
        <v>92217.23</v>
      </c>
      <c r="E1448" s="35" t="s">
        <v>12081</v>
      </c>
      <c r="F1448" s="87">
        <f>51424.32+40792.91</f>
        <v>92217.23000000001</v>
      </c>
      <c r="G1448" s="91">
        <f>Tabla15[[#This Row],[Importe]]-Tabla15[[#This Row],[Pagado]]</f>
        <v>0</v>
      </c>
      <c r="H1448" s="92" t="s">
        <v>10</v>
      </c>
    </row>
    <row r="1449" spans="1:8" ht="21.75" customHeight="1" x14ac:dyDescent="0.25">
      <c r="A1449" s="35">
        <v>44664</v>
      </c>
      <c r="B1449" s="90" t="s">
        <v>12082</v>
      </c>
      <c r="C1449" s="41" t="s">
        <v>400</v>
      </c>
      <c r="D1449" s="87">
        <v>9688.5</v>
      </c>
      <c r="E1449" s="35">
        <v>44673</v>
      </c>
      <c r="F1449" s="87">
        <v>9688.5</v>
      </c>
      <c r="G1449" s="91">
        <f>Tabla15[[#This Row],[Importe]]-Tabla15[[#This Row],[Pagado]]</f>
        <v>0</v>
      </c>
      <c r="H1449" s="92" t="s">
        <v>10</v>
      </c>
    </row>
    <row r="1450" spans="1:8" ht="21.75" customHeight="1" x14ac:dyDescent="0.25">
      <c r="A1450" s="35">
        <v>44664</v>
      </c>
      <c r="B1450" s="90" t="s">
        <v>12083</v>
      </c>
      <c r="C1450" s="41" t="s">
        <v>135</v>
      </c>
      <c r="D1450" s="87">
        <v>2167.1999999999998</v>
      </c>
      <c r="E1450" s="35">
        <v>44664</v>
      </c>
      <c r="F1450" s="87">
        <v>2167.1999999999998</v>
      </c>
      <c r="G1450" s="91">
        <f>Tabla15[[#This Row],[Importe]]-Tabla15[[#This Row],[Pagado]]</f>
        <v>0</v>
      </c>
      <c r="H1450" s="92" t="s">
        <v>10</v>
      </c>
    </row>
    <row r="1451" spans="1:8" ht="21.75" customHeight="1" x14ac:dyDescent="0.25">
      <c r="A1451" s="35">
        <v>44664</v>
      </c>
      <c r="B1451" s="90" t="s">
        <v>12084</v>
      </c>
      <c r="C1451" s="41" t="s">
        <v>275</v>
      </c>
      <c r="D1451" s="87">
        <v>1000</v>
      </c>
      <c r="E1451" s="35">
        <v>44677</v>
      </c>
      <c r="F1451" s="87">
        <v>1000</v>
      </c>
      <c r="G1451" s="91">
        <f>Tabla15[[#This Row],[Importe]]-Tabla15[[#This Row],[Pagado]]</f>
        <v>0</v>
      </c>
      <c r="H1451" s="92" t="s">
        <v>10</v>
      </c>
    </row>
    <row r="1452" spans="1:8" ht="21.75" customHeight="1" x14ac:dyDescent="0.25">
      <c r="A1452" s="35">
        <v>44664</v>
      </c>
      <c r="B1452" s="90" t="s">
        <v>12085</v>
      </c>
      <c r="C1452" s="41" t="s">
        <v>179</v>
      </c>
      <c r="D1452" s="87">
        <v>1199</v>
      </c>
      <c r="E1452" s="35">
        <v>44664</v>
      </c>
      <c r="F1452" s="87">
        <v>1199</v>
      </c>
      <c r="G1452" s="91">
        <f>Tabla15[[#This Row],[Importe]]-Tabla15[[#This Row],[Pagado]]</f>
        <v>0</v>
      </c>
      <c r="H1452" s="92" t="s">
        <v>10</v>
      </c>
    </row>
    <row r="1453" spans="1:8" ht="21.75" customHeight="1" x14ac:dyDescent="0.25">
      <c r="A1453" s="35">
        <v>44664</v>
      </c>
      <c r="B1453" s="90" t="s">
        <v>12086</v>
      </c>
      <c r="C1453" s="41" t="s">
        <v>2383</v>
      </c>
      <c r="D1453" s="87">
        <v>3110.4</v>
      </c>
      <c r="E1453" s="35">
        <v>44664</v>
      </c>
      <c r="F1453" s="87">
        <v>3110.4</v>
      </c>
      <c r="G1453" s="91">
        <f>Tabla15[[#This Row],[Importe]]-Tabla15[[#This Row],[Pagado]]</f>
        <v>0</v>
      </c>
      <c r="H1453" s="92" t="s">
        <v>10</v>
      </c>
    </row>
    <row r="1454" spans="1:8" ht="21.75" customHeight="1" x14ac:dyDescent="0.25">
      <c r="A1454" s="35">
        <v>44664</v>
      </c>
      <c r="B1454" s="90" t="s">
        <v>12087</v>
      </c>
      <c r="C1454" s="41" t="s">
        <v>31</v>
      </c>
      <c r="D1454" s="87">
        <v>1316.6</v>
      </c>
      <c r="E1454" s="35">
        <v>44664</v>
      </c>
      <c r="F1454" s="87">
        <v>1316.6</v>
      </c>
      <c r="G1454" s="91">
        <f>Tabla15[[#This Row],[Importe]]-Tabla15[[#This Row],[Pagado]]</f>
        <v>0</v>
      </c>
      <c r="H1454" s="92" t="s">
        <v>10</v>
      </c>
    </row>
    <row r="1455" spans="1:8" ht="21.75" customHeight="1" x14ac:dyDescent="0.25">
      <c r="A1455" s="35">
        <v>44664</v>
      </c>
      <c r="B1455" s="90" t="s">
        <v>12088</v>
      </c>
      <c r="C1455" s="41" t="s">
        <v>6252</v>
      </c>
      <c r="D1455" s="87">
        <v>0</v>
      </c>
      <c r="E1455" s="39" t="s">
        <v>189</v>
      </c>
      <c r="F1455" s="87">
        <v>0</v>
      </c>
      <c r="G1455" s="91">
        <f>Tabla15[[#This Row],[Importe]]-Tabla15[[#This Row],[Pagado]]</f>
        <v>0</v>
      </c>
      <c r="H1455" s="92" t="s">
        <v>189</v>
      </c>
    </row>
    <row r="1456" spans="1:8" ht="21.75" customHeight="1" x14ac:dyDescent="0.25">
      <c r="A1456" s="35">
        <v>44664</v>
      </c>
      <c r="B1456" s="90" t="s">
        <v>12089</v>
      </c>
      <c r="C1456" s="41" t="s">
        <v>275</v>
      </c>
      <c r="D1456" s="87">
        <v>71856.899999999994</v>
      </c>
      <c r="E1456" s="35">
        <v>44677</v>
      </c>
      <c r="F1456" s="87">
        <v>71856.899999999994</v>
      </c>
      <c r="G1456" s="91">
        <f>Tabla15[[#This Row],[Importe]]-Tabla15[[#This Row],[Pagado]]</f>
        <v>0</v>
      </c>
      <c r="H1456" s="92" t="s">
        <v>10</v>
      </c>
    </row>
    <row r="1457" spans="1:8" ht="21.75" customHeight="1" x14ac:dyDescent="0.25">
      <c r="A1457" s="35">
        <v>44664</v>
      </c>
      <c r="B1457" s="90" t="s">
        <v>12090</v>
      </c>
      <c r="C1457" s="41" t="s">
        <v>31</v>
      </c>
      <c r="D1457" s="87">
        <v>11613</v>
      </c>
      <c r="E1457" s="35">
        <v>44664</v>
      </c>
      <c r="F1457" s="87">
        <v>11613</v>
      </c>
      <c r="G1457" s="91">
        <f>Tabla15[[#This Row],[Importe]]-Tabla15[[#This Row],[Pagado]]</f>
        <v>0</v>
      </c>
      <c r="H1457" s="92" t="s">
        <v>10</v>
      </c>
    </row>
    <row r="1458" spans="1:8" ht="21.75" customHeight="1" x14ac:dyDescent="0.25">
      <c r="A1458" s="35">
        <v>44664</v>
      </c>
      <c r="B1458" s="90" t="s">
        <v>12091</v>
      </c>
      <c r="C1458" s="41" t="s">
        <v>107</v>
      </c>
      <c r="D1458" s="87">
        <v>7796.3</v>
      </c>
      <c r="E1458" s="35">
        <v>44664</v>
      </c>
      <c r="F1458" s="87">
        <v>7796.3</v>
      </c>
      <c r="G1458" s="91">
        <f>Tabla15[[#This Row],[Importe]]-Tabla15[[#This Row],[Pagado]]</f>
        <v>0</v>
      </c>
      <c r="H1458" s="92" t="s">
        <v>10</v>
      </c>
    </row>
    <row r="1459" spans="1:8" ht="21.75" customHeight="1" x14ac:dyDescent="0.25">
      <c r="A1459" s="35">
        <v>44664</v>
      </c>
      <c r="B1459" s="90" t="s">
        <v>12092</v>
      </c>
      <c r="C1459" s="41" t="s">
        <v>435</v>
      </c>
      <c r="D1459" s="87">
        <v>2478</v>
      </c>
      <c r="E1459" s="35">
        <v>44664</v>
      </c>
      <c r="F1459" s="87">
        <v>2478</v>
      </c>
      <c r="G1459" s="91">
        <f>Tabla15[[#This Row],[Importe]]-Tabla15[[#This Row],[Pagado]]</f>
        <v>0</v>
      </c>
      <c r="H1459" s="92" t="s">
        <v>10</v>
      </c>
    </row>
    <row r="1460" spans="1:8" ht="21.75" customHeight="1" x14ac:dyDescent="0.25">
      <c r="A1460" s="35">
        <v>44664</v>
      </c>
      <c r="B1460" s="90" t="s">
        <v>12093</v>
      </c>
      <c r="C1460" s="41" t="s">
        <v>1558</v>
      </c>
      <c r="D1460" s="87">
        <v>1740</v>
      </c>
      <c r="E1460" s="35">
        <v>44664</v>
      </c>
      <c r="F1460" s="87">
        <v>1740</v>
      </c>
      <c r="G1460" s="91">
        <f>Tabla15[[#This Row],[Importe]]-Tabla15[[#This Row],[Pagado]]</f>
        <v>0</v>
      </c>
      <c r="H1460" s="92" t="s">
        <v>10</v>
      </c>
    </row>
    <row r="1461" spans="1:8" ht="21.75" customHeight="1" x14ac:dyDescent="0.25">
      <c r="A1461" s="35">
        <v>44664</v>
      </c>
      <c r="B1461" s="90" t="s">
        <v>12094</v>
      </c>
      <c r="C1461" s="41" t="s">
        <v>5345</v>
      </c>
      <c r="D1461" s="87">
        <v>2420</v>
      </c>
      <c r="E1461" s="35">
        <v>44664</v>
      </c>
      <c r="F1461" s="87">
        <v>2420</v>
      </c>
      <c r="G1461" s="91">
        <f>Tabla15[[#This Row],[Importe]]-Tabla15[[#This Row],[Pagado]]</f>
        <v>0</v>
      </c>
      <c r="H1461" s="92" t="s">
        <v>10</v>
      </c>
    </row>
    <row r="1462" spans="1:8" ht="21.75" customHeight="1" x14ac:dyDescent="0.25">
      <c r="A1462" s="35">
        <v>44664</v>
      </c>
      <c r="B1462" s="90" t="s">
        <v>12095</v>
      </c>
      <c r="C1462" s="41" t="s">
        <v>282</v>
      </c>
      <c r="D1462" s="87">
        <v>1853.5</v>
      </c>
      <c r="E1462" s="35">
        <v>44664</v>
      </c>
      <c r="F1462" s="87">
        <v>1853.5</v>
      </c>
      <c r="G1462" s="91">
        <f>Tabla15[[#This Row],[Importe]]-Tabla15[[#This Row],[Pagado]]</f>
        <v>0</v>
      </c>
      <c r="H1462" s="92" t="s">
        <v>10</v>
      </c>
    </row>
    <row r="1463" spans="1:8" ht="21.75" customHeight="1" x14ac:dyDescent="0.25">
      <c r="A1463" s="35">
        <v>44664</v>
      </c>
      <c r="B1463" s="90" t="s">
        <v>12096</v>
      </c>
      <c r="C1463" s="41" t="s">
        <v>280</v>
      </c>
      <c r="D1463" s="87">
        <v>698.5</v>
      </c>
      <c r="E1463" s="35">
        <v>44664</v>
      </c>
      <c r="F1463" s="87">
        <v>698.5</v>
      </c>
      <c r="G1463" s="91">
        <f>Tabla15[[#This Row],[Importe]]-Tabla15[[#This Row],[Pagado]]</f>
        <v>0</v>
      </c>
      <c r="H1463" s="92" t="s">
        <v>10</v>
      </c>
    </row>
    <row r="1464" spans="1:8" ht="21.75" customHeight="1" x14ac:dyDescent="0.25">
      <c r="A1464" s="35">
        <v>44664</v>
      </c>
      <c r="B1464" s="90" t="s">
        <v>12097</v>
      </c>
      <c r="C1464" s="41" t="s">
        <v>284</v>
      </c>
      <c r="D1464" s="87">
        <v>8525</v>
      </c>
      <c r="E1464" s="35">
        <v>44664</v>
      </c>
      <c r="F1464" s="87">
        <v>8525</v>
      </c>
      <c r="G1464" s="91">
        <f>Tabla15[[#This Row],[Importe]]-Tabla15[[#This Row],[Pagado]]</f>
        <v>0</v>
      </c>
      <c r="H1464" s="92" t="s">
        <v>10</v>
      </c>
    </row>
    <row r="1465" spans="1:8" ht="21.75" customHeight="1" x14ac:dyDescent="0.25">
      <c r="A1465" s="35">
        <v>44664</v>
      </c>
      <c r="B1465" s="90" t="s">
        <v>12098</v>
      </c>
      <c r="C1465" s="41" t="s">
        <v>31</v>
      </c>
      <c r="D1465" s="87">
        <v>15186.7</v>
      </c>
      <c r="E1465" s="35">
        <v>44664</v>
      </c>
      <c r="F1465" s="87">
        <v>15186.7</v>
      </c>
      <c r="G1465" s="91">
        <f>Tabla15[[#This Row],[Importe]]-Tabla15[[#This Row],[Pagado]]</f>
        <v>0</v>
      </c>
      <c r="H1465" s="92" t="s">
        <v>10</v>
      </c>
    </row>
    <row r="1466" spans="1:8" ht="21.75" customHeight="1" x14ac:dyDescent="0.25">
      <c r="A1466" s="35">
        <v>44664</v>
      </c>
      <c r="B1466" s="90" t="s">
        <v>12099</v>
      </c>
      <c r="C1466" s="41" t="s">
        <v>14</v>
      </c>
      <c r="D1466" s="87">
        <v>3773</v>
      </c>
      <c r="E1466" s="35">
        <v>44664</v>
      </c>
      <c r="F1466" s="87">
        <v>3773</v>
      </c>
      <c r="G1466" s="91">
        <f>Tabla15[[#This Row],[Importe]]-Tabla15[[#This Row],[Pagado]]</f>
        <v>0</v>
      </c>
      <c r="H1466" s="92" t="s">
        <v>10</v>
      </c>
    </row>
    <row r="1467" spans="1:8" ht="21.75" customHeight="1" x14ac:dyDescent="0.25">
      <c r="A1467" s="35">
        <v>44664</v>
      </c>
      <c r="B1467" s="90" t="s">
        <v>12100</v>
      </c>
      <c r="C1467" s="41" t="s">
        <v>53</v>
      </c>
      <c r="D1467" s="87">
        <v>1058.4000000000001</v>
      </c>
      <c r="E1467" s="35">
        <v>44664</v>
      </c>
      <c r="F1467" s="87">
        <v>1058.4000000000001</v>
      </c>
      <c r="G1467" s="91">
        <f>Tabla15[[#This Row],[Importe]]-Tabla15[[#This Row],[Pagado]]</f>
        <v>0</v>
      </c>
      <c r="H1467" s="92" t="s">
        <v>10</v>
      </c>
    </row>
    <row r="1468" spans="1:8" ht="21.75" customHeight="1" x14ac:dyDescent="0.25">
      <c r="A1468" s="35">
        <v>44664</v>
      </c>
      <c r="B1468" s="90" t="s">
        <v>12101</v>
      </c>
      <c r="C1468" s="41" t="s">
        <v>14</v>
      </c>
      <c r="D1468" s="87">
        <v>750</v>
      </c>
      <c r="E1468" s="35">
        <v>44664</v>
      </c>
      <c r="F1468" s="87">
        <v>750</v>
      </c>
      <c r="G1468" s="91">
        <f>Tabla15[[#This Row],[Importe]]-Tabla15[[#This Row],[Pagado]]</f>
        <v>0</v>
      </c>
      <c r="H1468" s="92" t="s">
        <v>10</v>
      </c>
    </row>
    <row r="1469" spans="1:8" ht="21.75" customHeight="1" x14ac:dyDescent="0.25">
      <c r="A1469" s="35">
        <v>44664</v>
      </c>
      <c r="B1469" s="90" t="s">
        <v>12102</v>
      </c>
      <c r="C1469" s="41" t="s">
        <v>31</v>
      </c>
      <c r="D1469" s="87">
        <v>1960.4</v>
      </c>
      <c r="E1469" s="35">
        <v>44664</v>
      </c>
      <c r="F1469" s="87">
        <v>1960.4</v>
      </c>
      <c r="G1469" s="91">
        <f>Tabla15[[#This Row],[Importe]]-Tabla15[[#This Row],[Pagado]]</f>
        <v>0</v>
      </c>
      <c r="H1469" s="92" t="s">
        <v>10</v>
      </c>
    </row>
    <row r="1470" spans="1:8" ht="21.75" customHeight="1" x14ac:dyDescent="0.25">
      <c r="A1470" s="35">
        <v>44664</v>
      </c>
      <c r="B1470" s="90" t="s">
        <v>12103</v>
      </c>
      <c r="C1470" s="41" t="s">
        <v>31</v>
      </c>
      <c r="D1470" s="87">
        <v>599.20000000000005</v>
      </c>
      <c r="E1470" s="35">
        <v>44664</v>
      </c>
      <c r="F1470" s="87">
        <v>599.20000000000005</v>
      </c>
      <c r="G1470" s="91">
        <f>Tabla15[[#This Row],[Importe]]-Tabla15[[#This Row],[Pagado]]</f>
        <v>0</v>
      </c>
      <c r="H1470" s="92" t="s">
        <v>10</v>
      </c>
    </row>
    <row r="1471" spans="1:8" ht="21.75" customHeight="1" x14ac:dyDescent="0.25">
      <c r="A1471" s="35">
        <v>44664</v>
      </c>
      <c r="B1471" s="90" t="s">
        <v>12104</v>
      </c>
      <c r="C1471" s="41" t="s">
        <v>5694</v>
      </c>
      <c r="D1471" s="87">
        <v>2063.4</v>
      </c>
      <c r="E1471" s="35">
        <v>44664</v>
      </c>
      <c r="F1471" s="87">
        <v>2063.4</v>
      </c>
      <c r="G1471" s="91">
        <f>Tabla15[[#This Row],[Importe]]-Tabla15[[#This Row],[Pagado]]</f>
        <v>0</v>
      </c>
      <c r="H1471" s="92" t="s">
        <v>10</v>
      </c>
    </row>
    <row r="1472" spans="1:8" ht="21.75" customHeight="1" x14ac:dyDescent="0.25">
      <c r="A1472" s="35">
        <v>44664</v>
      </c>
      <c r="B1472" s="90" t="s">
        <v>12105</v>
      </c>
      <c r="C1472" s="41" t="s">
        <v>69</v>
      </c>
      <c r="D1472" s="87">
        <v>2244</v>
      </c>
      <c r="E1472" s="35">
        <v>44664</v>
      </c>
      <c r="F1472" s="87">
        <v>2244</v>
      </c>
      <c r="G1472" s="91">
        <f>Tabla15[[#This Row],[Importe]]-Tabla15[[#This Row],[Pagado]]</f>
        <v>0</v>
      </c>
      <c r="H1472" s="92" t="s">
        <v>10</v>
      </c>
    </row>
    <row r="1473" spans="1:8" ht="21.75" customHeight="1" x14ac:dyDescent="0.25">
      <c r="A1473" s="35">
        <v>44664</v>
      </c>
      <c r="B1473" s="90" t="s">
        <v>12106</v>
      </c>
      <c r="C1473" s="41" t="s">
        <v>12107</v>
      </c>
      <c r="D1473" s="87">
        <v>1960</v>
      </c>
      <c r="E1473" s="35">
        <v>44664</v>
      </c>
      <c r="F1473" s="87">
        <v>1960</v>
      </c>
      <c r="G1473" s="91">
        <f>Tabla15[[#This Row],[Importe]]-Tabla15[[#This Row],[Pagado]]</f>
        <v>0</v>
      </c>
      <c r="H1473" s="92" t="s">
        <v>10</v>
      </c>
    </row>
    <row r="1474" spans="1:8" ht="21.75" customHeight="1" x14ac:dyDescent="0.25">
      <c r="A1474" s="35">
        <v>44664</v>
      </c>
      <c r="B1474" s="90" t="s">
        <v>12108</v>
      </c>
      <c r="C1474" s="41" t="s">
        <v>214</v>
      </c>
      <c r="D1474" s="87">
        <v>1226.5</v>
      </c>
      <c r="E1474" s="35">
        <v>44664</v>
      </c>
      <c r="F1474" s="87">
        <v>1226.5</v>
      </c>
      <c r="G1474" s="91">
        <f>Tabla15[[#This Row],[Importe]]-Tabla15[[#This Row],[Pagado]]</f>
        <v>0</v>
      </c>
      <c r="H1474" s="92" t="s">
        <v>10</v>
      </c>
    </row>
    <row r="1475" spans="1:8" ht="21.75" customHeight="1" x14ac:dyDescent="0.25">
      <c r="A1475" s="35">
        <v>44664</v>
      </c>
      <c r="B1475" s="90" t="s">
        <v>12109</v>
      </c>
      <c r="C1475" s="41" t="s">
        <v>610</v>
      </c>
      <c r="D1475" s="87">
        <v>20886.2</v>
      </c>
      <c r="E1475" s="35">
        <v>44664</v>
      </c>
      <c r="F1475" s="87">
        <v>20886.2</v>
      </c>
      <c r="G1475" s="91">
        <f>Tabla15[[#This Row],[Importe]]-Tabla15[[#This Row],[Pagado]]</f>
        <v>0</v>
      </c>
      <c r="H1475" s="92" t="s">
        <v>10</v>
      </c>
    </row>
    <row r="1476" spans="1:8" ht="21.75" customHeight="1" x14ac:dyDescent="0.25">
      <c r="A1476" s="35">
        <v>44664</v>
      </c>
      <c r="B1476" s="90" t="s">
        <v>12110</v>
      </c>
      <c r="C1476" s="41" t="s">
        <v>31</v>
      </c>
      <c r="D1476" s="87">
        <v>8606.7999999999993</v>
      </c>
      <c r="E1476" s="35">
        <v>44664</v>
      </c>
      <c r="F1476" s="87">
        <v>8606.7999999999993</v>
      </c>
      <c r="G1476" s="91">
        <f>Tabla15[[#This Row],[Importe]]-Tabla15[[#This Row],[Pagado]]</f>
        <v>0</v>
      </c>
      <c r="H1476" s="92" t="s">
        <v>10</v>
      </c>
    </row>
    <row r="1477" spans="1:8" ht="21.75" customHeight="1" x14ac:dyDescent="0.25">
      <c r="A1477" s="35">
        <v>44664</v>
      </c>
      <c r="B1477" s="90" t="s">
        <v>12111</v>
      </c>
      <c r="C1477" s="41" t="s">
        <v>191</v>
      </c>
      <c r="D1477" s="87">
        <v>550.20000000000005</v>
      </c>
      <c r="E1477" s="35">
        <v>44664</v>
      </c>
      <c r="F1477" s="87">
        <v>550.20000000000005</v>
      </c>
      <c r="G1477" s="91">
        <f>Tabla15[[#This Row],[Importe]]-Tabla15[[#This Row],[Pagado]]</f>
        <v>0</v>
      </c>
      <c r="H1477" s="92" t="s">
        <v>10</v>
      </c>
    </row>
    <row r="1478" spans="1:8" ht="21.75" customHeight="1" x14ac:dyDescent="0.25">
      <c r="A1478" s="35">
        <v>44664</v>
      </c>
      <c r="B1478" s="90" t="s">
        <v>12112</v>
      </c>
      <c r="C1478" s="41" t="s">
        <v>3177</v>
      </c>
      <c r="D1478" s="87">
        <v>14922.4</v>
      </c>
      <c r="E1478" s="35">
        <v>44664</v>
      </c>
      <c r="F1478" s="87">
        <v>14922.4</v>
      </c>
      <c r="G1478" s="91">
        <f>Tabla15[[#This Row],[Importe]]-Tabla15[[#This Row],[Pagado]]</f>
        <v>0</v>
      </c>
      <c r="H1478" s="92" t="s">
        <v>10</v>
      </c>
    </row>
    <row r="1479" spans="1:8" ht="21.75" customHeight="1" x14ac:dyDescent="0.25">
      <c r="A1479" s="35">
        <v>44664</v>
      </c>
      <c r="B1479" s="90" t="s">
        <v>12113</v>
      </c>
      <c r="C1479" s="41" t="s">
        <v>31</v>
      </c>
      <c r="D1479" s="87">
        <v>700</v>
      </c>
      <c r="E1479" s="35">
        <v>44664</v>
      </c>
      <c r="F1479" s="87">
        <v>700</v>
      </c>
      <c r="G1479" s="91">
        <f>Tabla15[[#This Row],[Importe]]-Tabla15[[#This Row],[Pagado]]</f>
        <v>0</v>
      </c>
      <c r="H1479" s="92" t="s">
        <v>10</v>
      </c>
    </row>
    <row r="1480" spans="1:8" ht="21.75" customHeight="1" x14ac:dyDescent="0.25">
      <c r="A1480" s="35">
        <v>44664</v>
      </c>
      <c r="B1480" s="90" t="s">
        <v>12114</v>
      </c>
      <c r="C1480" s="41" t="s">
        <v>454</v>
      </c>
      <c r="D1480" s="87">
        <v>4379.2</v>
      </c>
      <c r="E1480" s="35">
        <v>44664</v>
      </c>
      <c r="F1480" s="87">
        <v>4379.2</v>
      </c>
      <c r="G1480" s="91">
        <f>Tabla15[[#This Row],[Importe]]-Tabla15[[#This Row],[Pagado]]</f>
        <v>0</v>
      </c>
      <c r="H1480" s="92" t="s">
        <v>10</v>
      </c>
    </row>
    <row r="1481" spans="1:8" ht="21.75" customHeight="1" x14ac:dyDescent="0.25">
      <c r="A1481" s="35">
        <v>44664</v>
      </c>
      <c r="B1481" s="90" t="s">
        <v>12115</v>
      </c>
      <c r="C1481" s="41" t="s">
        <v>612</v>
      </c>
      <c r="D1481" s="87">
        <v>216.6</v>
      </c>
      <c r="E1481" s="35">
        <v>44664</v>
      </c>
      <c r="F1481" s="87">
        <v>216.6</v>
      </c>
      <c r="G1481" s="91">
        <f>Tabla15[[#This Row],[Importe]]-Tabla15[[#This Row],[Pagado]]</f>
        <v>0</v>
      </c>
      <c r="H1481" s="92" t="s">
        <v>10</v>
      </c>
    </row>
    <row r="1482" spans="1:8" ht="21.75" customHeight="1" x14ac:dyDescent="0.25">
      <c r="A1482" s="35">
        <v>44664</v>
      </c>
      <c r="B1482" s="90" t="s">
        <v>12116</v>
      </c>
      <c r="C1482" s="41" t="s">
        <v>12</v>
      </c>
      <c r="D1482" s="87">
        <v>132.5</v>
      </c>
      <c r="E1482" s="35">
        <v>44664</v>
      </c>
      <c r="F1482" s="87">
        <v>132.5</v>
      </c>
      <c r="G1482" s="91">
        <f>Tabla15[[#This Row],[Importe]]-Tabla15[[#This Row],[Pagado]]</f>
        <v>0</v>
      </c>
      <c r="H1482" s="92" t="s">
        <v>10</v>
      </c>
    </row>
    <row r="1483" spans="1:8" ht="21.75" customHeight="1" x14ac:dyDescent="0.25">
      <c r="A1483" s="35">
        <v>44664</v>
      </c>
      <c r="B1483" s="90" t="s">
        <v>12117</v>
      </c>
      <c r="C1483" s="41" t="s">
        <v>612</v>
      </c>
      <c r="D1483" s="87">
        <v>884</v>
      </c>
      <c r="E1483" s="35">
        <v>44665</v>
      </c>
      <c r="F1483" s="87">
        <v>884</v>
      </c>
      <c r="G1483" s="91">
        <f>Tabla15[[#This Row],[Importe]]-Tabla15[[#This Row],[Pagado]]</f>
        <v>0</v>
      </c>
      <c r="H1483" s="92" t="s">
        <v>10</v>
      </c>
    </row>
    <row r="1484" spans="1:8" ht="21.75" customHeight="1" x14ac:dyDescent="0.25">
      <c r="A1484" s="35">
        <v>44664</v>
      </c>
      <c r="B1484" s="90" t="s">
        <v>12118</v>
      </c>
      <c r="C1484" s="41" t="s">
        <v>612</v>
      </c>
      <c r="D1484" s="87">
        <v>91</v>
      </c>
      <c r="E1484" s="35">
        <v>44665</v>
      </c>
      <c r="F1484" s="87">
        <v>91</v>
      </c>
      <c r="G1484" s="91">
        <f>Tabla15[[#This Row],[Importe]]-Tabla15[[#This Row],[Pagado]]</f>
        <v>0</v>
      </c>
      <c r="H1484" s="92" t="s">
        <v>10</v>
      </c>
    </row>
    <row r="1485" spans="1:8" ht="21.75" customHeight="1" x14ac:dyDescent="0.25">
      <c r="A1485" s="35">
        <v>44665</v>
      </c>
      <c r="B1485" s="90" t="s">
        <v>12119</v>
      </c>
      <c r="C1485" s="41" t="s">
        <v>481</v>
      </c>
      <c r="D1485" s="87">
        <v>515.20000000000005</v>
      </c>
      <c r="E1485" s="35">
        <v>44665</v>
      </c>
      <c r="F1485" s="87">
        <v>515.20000000000005</v>
      </c>
      <c r="G1485" s="91">
        <f>Tabla15[[#This Row],[Importe]]-Tabla15[[#This Row],[Pagado]]</f>
        <v>0</v>
      </c>
      <c r="H1485" s="92" t="s">
        <v>10</v>
      </c>
    </row>
    <row r="1486" spans="1:8" ht="21.75" customHeight="1" x14ac:dyDescent="0.25">
      <c r="A1486" s="35">
        <v>44665</v>
      </c>
      <c r="B1486" s="90" t="s">
        <v>12120</v>
      </c>
      <c r="C1486" s="41" t="s">
        <v>75</v>
      </c>
      <c r="D1486" s="87">
        <v>8860.5</v>
      </c>
      <c r="E1486" s="35">
        <v>44665</v>
      </c>
      <c r="F1486" s="87">
        <v>8860.5</v>
      </c>
      <c r="G1486" s="91">
        <f>Tabla15[[#This Row],[Importe]]-Tabla15[[#This Row],[Pagado]]</f>
        <v>0</v>
      </c>
      <c r="H1486" s="92" t="s">
        <v>10</v>
      </c>
    </row>
    <row r="1487" spans="1:8" ht="21.75" customHeight="1" x14ac:dyDescent="0.25">
      <c r="A1487" s="35">
        <v>44665</v>
      </c>
      <c r="B1487" s="90" t="s">
        <v>12121</v>
      </c>
      <c r="C1487" s="41" t="s">
        <v>9</v>
      </c>
      <c r="D1487" s="87">
        <v>7743</v>
      </c>
      <c r="E1487" s="35">
        <v>44665</v>
      </c>
      <c r="F1487" s="87">
        <v>7743</v>
      </c>
      <c r="G1487" s="91">
        <f>Tabla15[[#This Row],[Importe]]-Tabla15[[#This Row],[Pagado]]</f>
        <v>0</v>
      </c>
      <c r="H1487" s="92" t="s">
        <v>10</v>
      </c>
    </row>
    <row r="1488" spans="1:8" ht="21.75" customHeight="1" x14ac:dyDescent="0.25">
      <c r="A1488" s="35">
        <v>44665</v>
      </c>
      <c r="B1488" s="90" t="s">
        <v>12122</v>
      </c>
      <c r="C1488" s="41" t="s">
        <v>151</v>
      </c>
      <c r="D1488" s="87">
        <v>36396</v>
      </c>
      <c r="E1488" s="35">
        <v>44665</v>
      </c>
      <c r="F1488" s="87">
        <v>36396</v>
      </c>
      <c r="G1488" s="91">
        <f>Tabla15[[#This Row],[Importe]]-Tabla15[[#This Row],[Pagado]]</f>
        <v>0</v>
      </c>
      <c r="H1488" s="92" t="s">
        <v>10</v>
      </c>
    </row>
    <row r="1489" spans="1:8" ht="21.75" customHeight="1" x14ac:dyDescent="0.25">
      <c r="A1489" s="35">
        <v>44665</v>
      </c>
      <c r="B1489" s="90" t="s">
        <v>12123</v>
      </c>
      <c r="C1489" s="41" t="s">
        <v>146</v>
      </c>
      <c r="D1489" s="87">
        <v>7603.8</v>
      </c>
      <c r="E1489" s="35">
        <v>44665</v>
      </c>
      <c r="F1489" s="87">
        <v>7603.8</v>
      </c>
      <c r="G1489" s="91">
        <f>Tabla15[[#This Row],[Importe]]-Tabla15[[#This Row],[Pagado]]</f>
        <v>0</v>
      </c>
      <c r="H1489" s="92" t="s">
        <v>10</v>
      </c>
    </row>
    <row r="1490" spans="1:8" ht="21.75" customHeight="1" x14ac:dyDescent="0.25">
      <c r="A1490" s="35">
        <v>44665</v>
      </c>
      <c r="B1490" s="90" t="s">
        <v>12124</v>
      </c>
      <c r="C1490" s="41" t="s">
        <v>173</v>
      </c>
      <c r="D1490" s="87">
        <v>23678</v>
      </c>
      <c r="E1490" s="35">
        <v>44667</v>
      </c>
      <c r="F1490" s="87">
        <v>23678</v>
      </c>
      <c r="G1490" s="91">
        <f>Tabla15[[#This Row],[Importe]]-Tabla15[[#This Row],[Pagado]]</f>
        <v>0</v>
      </c>
      <c r="H1490" s="92" t="s">
        <v>10</v>
      </c>
    </row>
    <row r="1491" spans="1:8" ht="21.75" customHeight="1" x14ac:dyDescent="0.25">
      <c r="A1491" s="35">
        <v>44665</v>
      </c>
      <c r="B1491" s="90" t="s">
        <v>12125</v>
      </c>
      <c r="C1491" s="41" t="s">
        <v>31</v>
      </c>
      <c r="D1491" s="87">
        <v>3500</v>
      </c>
      <c r="E1491" s="35">
        <v>44665</v>
      </c>
      <c r="F1491" s="87">
        <v>3500</v>
      </c>
      <c r="G1491" s="91">
        <f>Tabla15[[#This Row],[Importe]]-Tabla15[[#This Row],[Pagado]]</f>
        <v>0</v>
      </c>
      <c r="H1491" s="92" t="s">
        <v>10</v>
      </c>
    </row>
    <row r="1492" spans="1:8" ht="21.75" customHeight="1" x14ac:dyDescent="0.25">
      <c r="A1492" s="35">
        <v>44665</v>
      </c>
      <c r="B1492" s="90" t="s">
        <v>12126</v>
      </c>
      <c r="C1492" s="41" t="s">
        <v>131</v>
      </c>
      <c r="D1492" s="87">
        <v>21859.200000000001</v>
      </c>
      <c r="E1492" s="35">
        <v>44665</v>
      </c>
      <c r="F1492" s="87">
        <v>21859.200000000001</v>
      </c>
      <c r="G1492" s="91">
        <f>Tabla15[[#This Row],[Importe]]-Tabla15[[#This Row],[Pagado]]</f>
        <v>0</v>
      </c>
      <c r="H1492" s="92" t="s">
        <v>10</v>
      </c>
    </row>
    <row r="1493" spans="1:8" ht="21.75" customHeight="1" x14ac:dyDescent="0.25">
      <c r="A1493" s="35">
        <v>44665</v>
      </c>
      <c r="B1493" s="90" t="s">
        <v>12127</v>
      </c>
      <c r="C1493" s="41" t="s">
        <v>144</v>
      </c>
      <c r="D1493" s="87">
        <v>4773.6000000000004</v>
      </c>
      <c r="E1493" s="35">
        <v>44665</v>
      </c>
      <c r="F1493" s="87">
        <v>4773.6000000000004</v>
      </c>
      <c r="G1493" s="91">
        <f>Tabla15[[#This Row],[Importe]]-Tabla15[[#This Row],[Pagado]]</f>
        <v>0</v>
      </c>
      <c r="H1493" s="92" t="s">
        <v>10</v>
      </c>
    </row>
    <row r="1494" spans="1:8" ht="31.5" x14ac:dyDescent="0.25">
      <c r="A1494" s="35">
        <v>44665</v>
      </c>
      <c r="B1494" s="90" t="s">
        <v>12128</v>
      </c>
      <c r="C1494" s="41" t="s">
        <v>475</v>
      </c>
      <c r="D1494" s="87">
        <v>42251.6</v>
      </c>
      <c r="E1494" s="35" t="s">
        <v>12129</v>
      </c>
      <c r="F1494" s="87">
        <f>6868+35383.6</f>
        <v>42251.6</v>
      </c>
      <c r="G1494" s="91">
        <f>Tabla15[[#This Row],[Importe]]-Tabla15[[#This Row],[Pagado]]</f>
        <v>0</v>
      </c>
      <c r="H1494" s="92" t="s">
        <v>10</v>
      </c>
    </row>
    <row r="1495" spans="1:8" ht="21.75" customHeight="1" x14ac:dyDescent="0.25">
      <c r="A1495" s="35">
        <v>44665</v>
      </c>
      <c r="B1495" s="90" t="s">
        <v>12130</v>
      </c>
      <c r="C1495" s="41" t="s">
        <v>31</v>
      </c>
      <c r="D1495" s="87">
        <v>1386</v>
      </c>
      <c r="E1495" s="35">
        <v>44665</v>
      </c>
      <c r="F1495" s="87">
        <v>1386</v>
      </c>
      <c r="G1495" s="91">
        <f>Tabla15[[#This Row],[Importe]]-Tabla15[[#This Row],[Pagado]]</f>
        <v>0</v>
      </c>
      <c r="H1495" s="92" t="s">
        <v>10</v>
      </c>
    </row>
    <row r="1496" spans="1:8" ht="21.75" customHeight="1" x14ac:dyDescent="0.25">
      <c r="A1496" s="35">
        <v>44665</v>
      </c>
      <c r="B1496" s="90" t="s">
        <v>12131</v>
      </c>
      <c r="C1496" s="41" t="s">
        <v>87</v>
      </c>
      <c r="D1496" s="87">
        <v>2100.8000000000002</v>
      </c>
      <c r="E1496" s="35">
        <v>44665</v>
      </c>
      <c r="F1496" s="87">
        <v>2100.8000000000002</v>
      </c>
      <c r="G1496" s="91">
        <f>Tabla15[[#This Row],[Importe]]-Tabla15[[#This Row],[Pagado]]</f>
        <v>0</v>
      </c>
      <c r="H1496" s="92" t="s">
        <v>10</v>
      </c>
    </row>
    <row r="1497" spans="1:8" ht="21.75" customHeight="1" x14ac:dyDescent="0.25">
      <c r="A1497" s="35">
        <v>44665</v>
      </c>
      <c r="B1497" s="90" t="s">
        <v>12132</v>
      </c>
      <c r="C1497" s="41" t="s">
        <v>161</v>
      </c>
      <c r="D1497" s="87">
        <v>2308.8000000000002</v>
      </c>
      <c r="E1497" s="35">
        <v>44665</v>
      </c>
      <c r="F1497" s="87">
        <v>2308.8000000000002</v>
      </c>
      <c r="G1497" s="91">
        <f>Tabla15[[#This Row],[Importe]]-Tabla15[[#This Row],[Pagado]]</f>
        <v>0</v>
      </c>
      <c r="H1497" s="92" t="s">
        <v>10</v>
      </c>
    </row>
    <row r="1498" spans="1:8" ht="21.75" customHeight="1" x14ac:dyDescent="0.25">
      <c r="A1498" s="35">
        <v>44665</v>
      </c>
      <c r="B1498" s="90" t="s">
        <v>12133</v>
      </c>
      <c r="C1498" s="41" t="s">
        <v>161</v>
      </c>
      <c r="D1498" s="87">
        <v>200</v>
      </c>
      <c r="E1498" s="35">
        <v>44665</v>
      </c>
      <c r="F1498" s="87">
        <v>200</v>
      </c>
      <c r="G1498" s="91">
        <f>Tabla15[[#This Row],[Importe]]-Tabla15[[#This Row],[Pagado]]</f>
        <v>0</v>
      </c>
      <c r="H1498" s="92" t="s">
        <v>10</v>
      </c>
    </row>
    <row r="1499" spans="1:8" ht="21.75" customHeight="1" x14ac:dyDescent="0.25">
      <c r="A1499" s="35">
        <v>44665</v>
      </c>
      <c r="B1499" s="90" t="s">
        <v>12134</v>
      </c>
      <c r="C1499" s="41" t="s">
        <v>212</v>
      </c>
      <c r="D1499" s="87">
        <v>53413.5</v>
      </c>
      <c r="E1499" s="35">
        <v>44671</v>
      </c>
      <c r="F1499" s="87">
        <v>53413.5</v>
      </c>
      <c r="G1499" s="91">
        <f>Tabla15[[#This Row],[Importe]]-Tabla15[[#This Row],[Pagado]]</f>
        <v>0</v>
      </c>
      <c r="H1499" s="92" t="s">
        <v>10</v>
      </c>
    </row>
    <row r="1500" spans="1:8" ht="21.75" customHeight="1" x14ac:dyDescent="0.25">
      <c r="A1500" s="35">
        <v>44665</v>
      </c>
      <c r="B1500" s="90" t="s">
        <v>12135</v>
      </c>
      <c r="C1500" s="41" t="s">
        <v>208</v>
      </c>
      <c r="D1500" s="87">
        <v>14440.92</v>
      </c>
      <c r="E1500" s="35">
        <v>44669</v>
      </c>
      <c r="F1500" s="87">
        <v>14440.92</v>
      </c>
      <c r="G1500" s="91">
        <f>Tabla15[[#This Row],[Importe]]-Tabla15[[#This Row],[Pagado]]</f>
        <v>0</v>
      </c>
      <c r="H1500" s="92" t="s">
        <v>10</v>
      </c>
    </row>
    <row r="1501" spans="1:8" ht="21.75" customHeight="1" x14ac:dyDescent="0.25">
      <c r="A1501" s="35">
        <v>44665</v>
      </c>
      <c r="B1501" s="90" t="s">
        <v>12136</v>
      </c>
      <c r="C1501" s="41" t="s">
        <v>924</v>
      </c>
      <c r="D1501" s="87">
        <v>17981.2</v>
      </c>
      <c r="E1501" s="35">
        <v>44665</v>
      </c>
      <c r="F1501" s="87">
        <v>17981.2</v>
      </c>
      <c r="G1501" s="91">
        <f>Tabla15[[#This Row],[Importe]]-Tabla15[[#This Row],[Pagado]]</f>
        <v>0</v>
      </c>
      <c r="H1501" s="92" t="s">
        <v>10</v>
      </c>
    </row>
    <row r="1502" spans="1:8" ht="21.75" customHeight="1" x14ac:dyDescent="0.25">
      <c r="A1502" s="35">
        <v>44665</v>
      </c>
      <c r="B1502" s="90" t="s">
        <v>12137</v>
      </c>
      <c r="C1502" s="41" t="s">
        <v>275</v>
      </c>
      <c r="D1502" s="87">
        <v>74859.88</v>
      </c>
      <c r="E1502" s="35">
        <v>44677</v>
      </c>
      <c r="F1502" s="87">
        <v>74859.88</v>
      </c>
      <c r="G1502" s="91">
        <f>Tabla15[[#This Row],[Importe]]-Tabla15[[#This Row],[Pagado]]</f>
        <v>0</v>
      </c>
      <c r="H1502" s="92" t="s">
        <v>10</v>
      </c>
    </row>
    <row r="1503" spans="1:8" ht="21.75" customHeight="1" x14ac:dyDescent="0.25">
      <c r="A1503" s="35">
        <v>44665</v>
      </c>
      <c r="B1503" s="90" t="s">
        <v>12138</v>
      </c>
      <c r="C1503" s="41" t="s">
        <v>484</v>
      </c>
      <c r="D1503" s="87">
        <v>12530</v>
      </c>
      <c r="E1503" s="35">
        <v>44665</v>
      </c>
      <c r="F1503" s="87">
        <v>12530</v>
      </c>
      <c r="G1503" s="91">
        <f>Tabla15[[#This Row],[Importe]]-Tabla15[[#This Row],[Pagado]]</f>
        <v>0</v>
      </c>
      <c r="H1503" s="92" t="s">
        <v>10</v>
      </c>
    </row>
    <row r="1504" spans="1:8" ht="21.75" customHeight="1" x14ac:dyDescent="0.25">
      <c r="A1504" s="35">
        <v>44665</v>
      </c>
      <c r="B1504" s="90" t="s">
        <v>12139</v>
      </c>
      <c r="C1504" s="41" t="s">
        <v>89</v>
      </c>
      <c r="D1504" s="87">
        <v>4722.6000000000004</v>
      </c>
      <c r="E1504" s="35">
        <v>44665</v>
      </c>
      <c r="F1504" s="87">
        <v>4722.6000000000004</v>
      </c>
      <c r="G1504" s="91">
        <f>Tabla15[[#This Row],[Importe]]-Tabla15[[#This Row],[Pagado]]</f>
        <v>0</v>
      </c>
      <c r="H1504" s="92" t="s">
        <v>10</v>
      </c>
    </row>
    <row r="1505" spans="1:8" ht="21.75" customHeight="1" x14ac:dyDescent="0.25">
      <c r="A1505" s="35">
        <v>44665</v>
      </c>
      <c r="B1505" s="90" t="s">
        <v>12140</v>
      </c>
      <c r="C1505" s="41" t="s">
        <v>206</v>
      </c>
      <c r="D1505" s="87">
        <v>43077.04</v>
      </c>
      <c r="E1505" s="35">
        <v>44670</v>
      </c>
      <c r="F1505" s="87">
        <v>43077.04</v>
      </c>
      <c r="G1505" s="91">
        <f>Tabla15[[#This Row],[Importe]]-Tabla15[[#This Row],[Pagado]]</f>
        <v>0</v>
      </c>
      <c r="H1505" s="92" t="s">
        <v>10</v>
      </c>
    </row>
    <row r="1506" spans="1:8" ht="21.75" customHeight="1" x14ac:dyDescent="0.25">
      <c r="A1506" s="35">
        <v>44665</v>
      </c>
      <c r="B1506" s="90" t="s">
        <v>12141</v>
      </c>
      <c r="C1506" s="41" t="s">
        <v>191</v>
      </c>
      <c r="D1506" s="87">
        <v>1805.6</v>
      </c>
      <c r="E1506" s="35">
        <v>44665</v>
      </c>
      <c r="F1506" s="87">
        <v>1805.6</v>
      </c>
      <c r="G1506" s="91">
        <f>Tabla15[[#This Row],[Importe]]-Tabla15[[#This Row],[Pagado]]</f>
        <v>0</v>
      </c>
      <c r="H1506" s="92" t="s">
        <v>10</v>
      </c>
    </row>
    <row r="1507" spans="1:8" ht="21.75" customHeight="1" x14ac:dyDescent="0.25">
      <c r="A1507" s="35">
        <v>44665</v>
      </c>
      <c r="B1507" s="90" t="s">
        <v>12142</v>
      </c>
      <c r="C1507" s="41" t="s">
        <v>27</v>
      </c>
      <c r="D1507" s="87">
        <v>1829.2</v>
      </c>
      <c r="E1507" s="35">
        <v>44665</v>
      </c>
      <c r="F1507" s="87">
        <v>1829.2</v>
      </c>
      <c r="G1507" s="91">
        <f>Tabla15[[#This Row],[Importe]]-Tabla15[[#This Row],[Pagado]]</f>
        <v>0</v>
      </c>
      <c r="H1507" s="92" t="s">
        <v>10</v>
      </c>
    </row>
    <row r="1508" spans="1:8" ht="21.75" customHeight="1" x14ac:dyDescent="0.25">
      <c r="A1508" s="35">
        <v>44665</v>
      </c>
      <c r="B1508" s="90" t="s">
        <v>12143</v>
      </c>
      <c r="C1508" s="41" t="s">
        <v>3971</v>
      </c>
      <c r="D1508" s="87">
        <v>5271.2</v>
      </c>
      <c r="E1508" s="35">
        <v>44665</v>
      </c>
      <c r="F1508" s="87">
        <v>5271.2</v>
      </c>
      <c r="G1508" s="91">
        <f>Tabla15[[#This Row],[Importe]]-Tabla15[[#This Row],[Pagado]]</f>
        <v>0</v>
      </c>
      <c r="H1508" s="92" t="s">
        <v>10</v>
      </c>
    </row>
    <row r="1509" spans="1:8" ht="21.75" customHeight="1" x14ac:dyDescent="0.25">
      <c r="A1509" s="35">
        <v>44665</v>
      </c>
      <c r="B1509" s="90" t="s">
        <v>12144</v>
      </c>
      <c r="C1509" s="41" t="s">
        <v>35</v>
      </c>
      <c r="D1509" s="87">
        <v>3175.2</v>
      </c>
      <c r="E1509" s="35">
        <v>44665</v>
      </c>
      <c r="F1509" s="87">
        <v>3175.2</v>
      </c>
      <c r="G1509" s="91">
        <f>Tabla15[[#This Row],[Importe]]-Tabla15[[#This Row],[Pagado]]</f>
        <v>0</v>
      </c>
      <c r="H1509" s="92" t="s">
        <v>10</v>
      </c>
    </row>
    <row r="1510" spans="1:8" ht="21.75" customHeight="1" x14ac:dyDescent="0.25">
      <c r="A1510" s="35">
        <v>44665</v>
      </c>
      <c r="B1510" s="90" t="s">
        <v>12145</v>
      </c>
      <c r="C1510" s="41" t="s">
        <v>218</v>
      </c>
      <c r="D1510" s="87">
        <v>29297.8</v>
      </c>
      <c r="E1510" s="35">
        <v>44670</v>
      </c>
      <c r="F1510" s="87">
        <v>29297.8</v>
      </c>
      <c r="G1510" s="91">
        <f>Tabla15[[#This Row],[Importe]]-Tabla15[[#This Row],[Pagado]]</f>
        <v>0</v>
      </c>
      <c r="H1510" s="92" t="s">
        <v>10</v>
      </c>
    </row>
    <row r="1511" spans="1:8" ht="21.75" customHeight="1" x14ac:dyDescent="0.25">
      <c r="A1511" s="35">
        <v>44665</v>
      </c>
      <c r="B1511" s="90" t="s">
        <v>12146</v>
      </c>
      <c r="C1511" s="41" t="s">
        <v>49</v>
      </c>
      <c r="D1511" s="87">
        <v>1260</v>
      </c>
      <c r="E1511" s="35">
        <v>44665</v>
      </c>
      <c r="F1511" s="87">
        <v>1260</v>
      </c>
      <c r="G1511" s="91">
        <f>Tabla15[[#This Row],[Importe]]-Tabla15[[#This Row],[Pagado]]</f>
        <v>0</v>
      </c>
      <c r="H1511" s="92" t="s">
        <v>10</v>
      </c>
    </row>
    <row r="1512" spans="1:8" ht="21.75" customHeight="1" x14ac:dyDescent="0.25">
      <c r="A1512" s="35">
        <v>44665</v>
      </c>
      <c r="B1512" s="90" t="s">
        <v>12147</v>
      </c>
      <c r="C1512" s="41" t="s">
        <v>592</v>
      </c>
      <c r="D1512" s="87">
        <v>8672.2000000000007</v>
      </c>
      <c r="E1512" s="35">
        <v>44667</v>
      </c>
      <c r="F1512" s="87">
        <v>8672.2000000000007</v>
      </c>
      <c r="G1512" s="91">
        <f>Tabla15[[#This Row],[Importe]]-Tabla15[[#This Row],[Pagado]]</f>
        <v>0</v>
      </c>
      <c r="H1512" s="92" t="s">
        <v>10</v>
      </c>
    </row>
    <row r="1513" spans="1:8" ht="21.75" customHeight="1" x14ac:dyDescent="0.25">
      <c r="A1513" s="35">
        <v>44665</v>
      </c>
      <c r="B1513" s="90" t="s">
        <v>12148</v>
      </c>
      <c r="C1513" s="41" t="s">
        <v>1239</v>
      </c>
      <c r="D1513" s="87">
        <v>8884.7999999999993</v>
      </c>
      <c r="E1513" s="35">
        <v>44665</v>
      </c>
      <c r="F1513" s="87">
        <v>8884.7999999999993</v>
      </c>
      <c r="G1513" s="91">
        <f>Tabla15[[#This Row],[Importe]]-Tabla15[[#This Row],[Pagado]]</f>
        <v>0</v>
      </c>
      <c r="H1513" s="92" t="s">
        <v>10</v>
      </c>
    </row>
    <row r="1514" spans="1:8" ht="21.75" customHeight="1" x14ac:dyDescent="0.25">
      <c r="A1514" s="35">
        <v>44665</v>
      </c>
      <c r="B1514" s="90" t="s">
        <v>12149</v>
      </c>
      <c r="C1514" s="41" t="s">
        <v>326</v>
      </c>
      <c r="D1514" s="87">
        <v>5372.1</v>
      </c>
      <c r="E1514" s="35">
        <v>44665</v>
      </c>
      <c r="F1514" s="87">
        <v>5372.1</v>
      </c>
      <c r="G1514" s="91">
        <f>Tabla15[[#This Row],[Importe]]-Tabla15[[#This Row],[Pagado]]</f>
        <v>0</v>
      </c>
      <c r="H1514" s="92" t="s">
        <v>10</v>
      </c>
    </row>
    <row r="1515" spans="1:8" ht="21.75" customHeight="1" x14ac:dyDescent="0.25">
      <c r="A1515" s="35">
        <v>44665</v>
      </c>
      <c r="B1515" s="90" t="s">
        <v>12150</v>
      </c>
      <c r="C1515" s="41" t="s">
        <v>49</v>
      </c>
      <c r="D1515" s="87">
        <v>1146.5999999999999</v>
      </c>
      <c r="E1515" s="35">
        <v>44665</v>
      </c>
      <c r="F1515" s="87">
        <v>1146.5999999999999</v>
      </c>
      <c r="G1515" s="91">
        <f>Tabla15[[#This Row],[Importe]]-Tabla15[[#This Row],[Pagado]]</f>
        <v>0</v>
      </c>
      <c r="H1515" s="92" t="s">
        <v>10</v>
      </c>
    </row>
    <row r="1516" spans="1:8" ht="21.75" customHeight="1" x14ac:dyDescent="0.25">
      <c r="A1516" s="35">
        <v>44665</v>
      </c>
      <c r="B1516" s="90" t="s">
        <v>12151</v>
      </c>
      <c r="C1516" s="41" t="s">
        <v>373</v>
      </c>
      <c r="D1516" s="87">
        <v>713.2</v>
      </c>
      <c r="E1516" s="35">
        <v>44665</v>
      </c>
      <c r="F1516" s="87">
        <v>713.2</v>
      </c>
      <c r="G1516" s="91">
        <f>Tabla15[[#This Row],[Importe]]-Tabla15[[#This Row],[Pagado]]</f>
        <v>0</v>
      </c>
      <c r="H1516" s="92" t="s">
        <v>10</v>
      </c>
    </row>
    <row r="1517" spans="1:8" ht="21.75" customHeight="1" x14ac:dyDescent="0.25">
      <c r="A1517" s="35">
        <v>44665</v>
      </c>
      <c r="B1517" s="90" t="s">
        <v>12152</v>
      </c>
      <c r="C1517" s="41" t="s">
        <v>3971</v>
      </c>
      <c r="D1517" s="87">
        <v>686.4</v>
      </c>
      <c r="E1517" s="35">
        <v>44665</v>
      </c>
      <c r="F1517" s="87">
        <v>686.4</v>
      </c>
      <c r="G1517" s="91">
        <f>Tabla15[[#This Row],[Importe]]-Tabla15[[#This Row],[Pagado]]</f>
        <v>0</v>
      </c>
      <c r="H1517" s="92" t="s">
        <v>10</v>
      </c>
    </row>
    <row r="1518" spans="1:8" ht="21.75" customHeight="1" x14ac:dyDescent="0.25">
      <c r="A1518" s="35">
        <v>44665</v>
      </c>
      <c r="B1518" s="90" t="s">
        <v>12153</v>
      </c>
      <c r="C1518" s="41" t="s">
        <v>233</v>
      </c>
      <c r="D1518" s="87">
        <v>600</v>
      </c>
      <c r="E1518" s="35">
        <v>44665</v>
      </c>
      <c r="F1518" s="87">
        <v>600</v>
      </c>
      <c r="G1518" s="91">
        <f>Tabla15[[#This Row],[Importe]]-Tabla15[[#This Row],[Pagado]]</f>
        <v>0</v>
      </c>
      <c r="H1518" s="92" t="s">
        <v>10</v>
      </c>
    </row>
    <row r="1519" spans="1:8" ht="21.75" customHeight="1" x14ac:dyDescent="0.25">
      <c r="A1519" s="35">
        <v>44665</v>
      </c>
      <c r="B1519" s="90" t="s">
        <v>12154</v>
      </c>
      <c r="C1519" s="41" t="s">
        <v>233</v>
      </c>
      <c r="D1519" s="87">
        <v>4554</v>
      </c>
      <c r="E1519" s="35">
        <v>44665</v>
      </c>
      <c r="F1519" s="87">
        <v>4554</v>
      </c>
      <c r="G1519" s="91">
        <f>Tabla15[[#This Row],[Importe]]-Tabla15[[#This Row],[Pagado]]</f>
        <v>0</v>
      </c>
      <c r="H1519" s="92" t="s">
        <v>10</v>
      </c>
    </row>
    <row r="1520" spans="1:8" ht="21.75" customHeight="1" x14ac:dyDescent="0.25">
      <c r="A1520" s="35">
        <v>44665</v>
      </c>
      <c r="B1520" s="90" t="s">
        <v>12155</v>
      </c>
      <c r="C1520" s="41" t="s">
        <v>9415</v>
      </c>
      <c r="D1520" s="87">
        <v>4447.3</v>
      </c>
      <c r="E1520" s="35">
        <v>44665</v>
      </c>
      <c r="F1520" s="87">
        <v>4447.3</v>
      </c>
      <c r="G1520" s="91">
        <f>Tabla15[[#This Row],[Importe]]-Tabla15[[#This Row],[Pagado]]</f>
        <v>0</v>
      </c>
      <c r="H1520" s="92" t="s">
        <v>10</v>
      </c>
    </row>
    <row r="1521" spans="1:8" x14ac:dyDescent="0.25">
      <c r="A1521" s="35">
        <v>44665</v>
      </c>
      <c r="B1521" s="90" t="s">
        <v>12156</v>
      </c>
      <c r="C1521" s="41" t="s">
        <v>12157</v>
      </c>
      <c r="D1521" s="87">
        <v>0</v>
      </c>
      <c r="E1521" s="39" t="s">
        <v>189</v>
      </c>
      <c r="F1521" s="87">
        <v>0</v>
      </c>
      <c r="G1521" s="91">
        <f>Tabla15[[#This Row],[Importe]]-Tabla15[[#This Row],[Pagado]]</f>
        <v>0</v>
      </c>
      <c r="H1521" s="94" t="s">
        <v>12158</v>
      </c>
    </row>
    <row r="1522" spans="1:8" ht="21.75" customHeight="1" x14ac:dyDescent="0.25">
      <c r="A1522" s="35">
        <v>44665</v>
      </c>
      <c r="B1522" s="90" t="s">
        <v>12159</v>
      </c>
      <c r="C1522" s="41" t="s">
        <v>520</v>
      </c>
      <c r="D1522" s="87">
        <v>13351.2</v>
      </c>
      <c r="E1522" s="35">
        <v>44665</v>
      </c>
      <c r="F1522" s="87">
        <v>13351.2</v>
      </c>
      <c r="G1522" s="91">
        <f>Tabla15[[#This Row],[Importe]]-Tabla15[[#This Row],[Pagado]]</f>
        <v>0</v>
      </c>
      <c r="H1522" s="92" t="s">
        <v>10</v>
      </c>
    </row>
    <row r="1523" spans="1:8" ht="21.75" customHeight="1" x14ac:dyDescent="0.25">
      <c r="A1523" s="35">
        <v>44665</v>
      </c>
      <c r="B1523" s="90" t="s">
        <v>12160</v>
      </c>
      <c r="C1523" s="41" t="s">
        <v>142</v>
      </c>
      <c r="D1523" s="87">
        <v>61531.34</v>
      </c>
      <c r="E1523" s="35">
        <v>44706</v>
      </c>
      <c r="F1523" s="87">
        <v>61531.34</v>
      </c>
      <c r="G1523" s="91">
        <f>Tabla15[[#This Row],[Importe]]-Tabla15[[#This Row],[Pagado]]</f>
        <v>0</v>
      </c>
      <c r="H1523" s="92" t="s">
        <v>10</v>
      </c>
    </row>
    <row r="1524" spans="1:8" ht="21.75" customHeight="1" x14ac:dyDescent="0.25">
      <c r="A1524" s="35">
        <v>44665</v>
      </c>
      <c r="B1524" s="90" t="s">
        <v>12161</v>
      </c>
      <c r="C1524" s="41" t="s">
        <v>37</v>
      </c>
      <c r="D1524" s="87">
        <v>6167.2</v>
      </c>
      <c r="E1524" s="35">
        <v>44665</v>
      </c>
      <c r="F1524" s="87">
        <v>6167.2</v>
      </c>
      <c r="G1524" s="91">
        <f>Tabla15[[#This Row],[Importe]]-Tabla15[[#This Row],[Pagado]]</f>
        <v>0</v>
      </c>
      <c r="H1524" s="92" t="s">
        <v>10</v>
      </c>
    </row>
    <row r="1525" spans="1:8" ht="21.75" customHeight="1" x14ac:dyDescent="0.25">
      <c r="A1525" s="35">
        <v>44665</v>
      </c>
      <c r="B1525" s="90" t="s">
        <v>12162</v>
      </c>
      <c r="C1525" s="41" t="s">
        <v>183</v>
      </c>
      <c r="D1525" s="87">
        <v>2323.8000000000002</v>
      </c>
      <c r="E1525" s="35">
        <v>44665</v>
      </c>
      <c r="F1525" s="87">
        <v>2323.8000000000002</v>
      </c>
      <c r="G1525" s="91">
        <f>Tabla15[[#This Row],[Importe]]-Tabla15[[#This Row],[Pagado]]</f>
        <v>0</v>
      </c>
      <c r="H1525" s="92" t="s">
        <v>10</v>
      </c>
    </row>
    <row r="1526" spans="1:8" ht="21.75" customHeight="1" x14ac:dyDescent="0.25">
      <c r="A1526" s="35">
        <v>44665</v>
      </c>
      <c r="B1526" s="90" t="s">
        <v>12163</v>
      </c>
      <c r="C1526" s="41" t="s">
        <v>157</v>
      </c>
      <c r="D1526" s="87">
        <v>5260.8</v>
      </c>
      <c r="E1526" s="35">
        <v>44665</v>
      </c>
      <c r="F1526" s="87">
        <v>5260.8</v>
      </c>
      <c r="G1526" s="91">
        <f>Tabla15[[#This Row],[Importe]]-Tabla15[[#This Row],[Pagado]]</f>
        <v>0</v>
      </c>
      <c r="H1526" s="92" t="s">
        <v>10</v>
      </c>
    </row>
    <row r="1527" spans="1:8" ht="21.75" customHeight="1" x14ac:dyDescent="0.25">
      <c r="A1527" s="35">
        <v>44665</v>
      </c>
      <c r="B1527" s="90" t="s">
        <v>12164</v>
      </c>
      <c r="C1527" s="41" t="s">
        <v>159</v>
      </c>
      <c r="D1527" s="87">
        <v>1517</v>
      </c>
      <c r="E1527" s="35">
        <v>44665</v>
      </c>
      <c r="F1527" s="87">
        <v>1517</v>
      </c>
      <c r="G1527" s="91">
        <f>Tabla15[[#This Row],[Importe]]-Tabla15[[#This Row],[Pagado]]</f>
        <v>0</v>
      </c>
      <c r="H1527" s="92" t="s">
        <v>10</v>
      </c>
    </row>
    <row r="1528" spans="1:8" ht="21.75" customHeight="1" x14ac:dyDescent="0.25">
      <c r="A1528" s="35">
        <v>44665</v>
      </c>
      <c r="B1528" s="90" t="s">
        <v>12165</v>
      </c>
      <c r="C1528" s="41" t="s">
        <v>319</v>
      </c>
      <c r="D1528" s="87">
        <v>17950.3</v>
      </c>
      <c r="E1528" s="35">
        <v>44665</v>
      </c>
      <c r="F1528" s="87">
        <v>17950.3</v>
      </c>
      <c r="G1528" s="91">
        <f>Tabla15[[#This Row],[Importe]]-Tabla15[[#This Row],[Pagado]]</f>
        <v>0</v>
      </c>
      <c r="H1528" s="92" t="s">
        <v>10</v>
      </c>
    </row>
    <row r="1529" spans="1:8" ht="21.75" customHeight="1" x14ac:dyDescent="0.25">
      <c r="A1529" s="35">
        <v>44665</v>
      </c>
      <c r="B1529" s="90" t="s">
        <v>12166</v>
      </c>
      <c r="C1529" s="41" t="s">
        <v>1265</v>
      </c>
      <c r="D1529" s="87">
        <v>519.20000000000005</v>
      </c>
      <c r="E1529" s="35">
        <v>44665</v>
      </c>
      <c r="F1529" s="87">
        <v>519.20000000000005</v>
      </c>
      <c r="G1529" s="91">
        <f>Tabla15[[#This Row],[Importe]]-Tabla15[[#This Row],[Pagado]]</f>
        <v>0</v>
      </c>
      <c r="H1529" s="92" t="s">
        <v>10</v>
      </c>
    </row>
    <row r="1530" spans="1:8" ht="21.75" customHeight="1" x14ac:dyDescent="0.25">
      <c r="A1530" s="35">
        <v>44665</v>
      </c>
      <c r="B1530" s="90" t="s">
        <v>12167</v>
      </c>
      <c r="C1530" s="41" t="s">
        <v>67</v>
      </c>
      <c r="D1530" s="87">
        <v>6550.8</v>
      </c>
      <c r="E1530" s="35">
        <v>44665</v>
      </c>
      <c r="F1530" s="87">
        <v>6550.8</v>
      </c>
      <c r="G1530" s="91">
        <f>Tabla15[[#This Row],[Importe]]-Tabla15[[#This Row],[Pagado]]</f>
        <v>0</v>
      </c>
      <c r="H1530" s="92" t="s">
        <v>10</v>
      </c>
    </row>
    <row r="1531" spans="1:8" ht="21.75" customHeight="1" x14ac:dyDescent="0.25">
      <c r="A1531" s="35">
        <v>44665</v>
      </c>
      <c r="B1531" s="90" t="s">
        <v>12168</v>
      </c>
      <c r="C1531" s="41" t="s">
        <v>618</v>
      </c>
      <c r="D1531" s="87">
        <v>9302.4</v>
      </c>
      <c r="E1531" s="35">
        <v>44665</v>
      </c>
      <c r="F1531" s="87">
        <v>9302.4</v>
      </c>
      <c r="G1531" s="91">
        <f>Tabla15[[#This Row],[Importe]]-Tabla15[[#This Row],[Pagado]]</f>
        <v>0</v>
      </c>
      <c r="H1531" s="92" t="s">
        <v>10</v>
      </c>
    </row>
    <row r="1532" spans="1:8" ht="21.75" customHeight="1" x14ac:dyDescent="0.25">
      <c r="A1532" s="35">
        <v>44665</v>
      </c>
      <c r="B1532" s="90" t="s">
        <v>12169</v>
      </c>
      <c r="C1532" s="41" t="s">
        <v>473</v>
      </c>
      <c r="D1532" s="87">
        <v>13728</v>
      </c>
      <c r="E1532" s="35">
        <v>44665</v>
      </c>
      <c r="F1532" s="87">
        <v>13728</v>
      </c>
      <c r="G1532" s="91">
        <f>Tabla15[[#This Row],[Importe]]-Tabla15[[#This Row],[Pagado]]</f>
        <v>0</v>
      </c>
      <c r="H1532" s="92" t="s">
        <v>10</v>
      </c>
    </row>
    <row r="1533" spans="1:8" ht="21.75" customHeight="1" x14ac:dyDescent="0.25">
      <c r="A1533" s="35">
        <v>44665</v>
      </c>
      <c r="B1533" s="90" t="s">
        <v>12170</v>
      </c>
      <c r="C1533" s="41" t="s">
        <v>181</v>
      </c>
      <c r="D1533" s="87">
        <v>7059.8</v>
      </c>
      <c r="E1533" s="35">
        <v>44665</v>
      </c>
      <c r="F1533" s="87">
        <v>7059.8</v>
      </c>
      <c r="G1533" s="91">
        <f>Tabla15[[#This Row],[Importe]]-Tabla15[[#This Row],[Pagado]]</f>
        <v>0</v>
      </c>
      <c r="H1533" s="92" t="s">
        <v>10</v>
      </c>
    </row>
    <row r="1534" spans="1:8" ht="21.75" customHeight="1" x14ac:dyDescent="0.25">
      <c r="A1534" s="35">
        <v>44665</v>
      </c>
      <c r="B1534" s="90" t="s">
        <v>12171</v>
      </c>
      <c r="C1534" s="41" t="s">
        <v>426</v>
      </c>
      <c r="D1534" s="87">
        <v>3042.4</v>
      </c>
      <c r="E1534" s="35">
        <v>44665</v>
      </c>
      <c r="F1534" s="87">
        <v>3042.4</v>
      </c>
      <c r="G1534" s="91">
        <f>Tabla15[[#This Row],[Importe]]-Tabla15[[#This Row],[Pagado]]</f>
        <v>0</v>
      </c>
      <c r="H1534" s="92" t="s">
        <v>10</v>
      </c>
    </row>
    <row r="1535" spans="1:8" ht="21.75" customHeight="1" x14ac:dyDescent="0.25">
      <c r="A1535" s="35">
        <v>44665</v>
      </c>
      <c r="B1535" s="90" t="s">
        <v>12172</v>
      </c>
      <c r="C1535" s="41" t="s">
        <v>11383</v>
      </c>
      <c r="D1535" s="87">
        <v>6021.6</v>
      </c>
      <c r="E1535" s="35">
        <v>44665</v>
      </c>
      <c r="F1535" s="87">
        <v>6021.6</v>
      </c>
      <c r="G1535" s="91">
        <f>Tabla15[[#This Row],[Importe]]-Tabla15[[#This Row],[Pagado]]</f>
        <v>0</v>
      </c>
      <c r="H1535" s="92" t="s">
        <v>10</v>
      </c>
    </row>
    <row r="1536" spans="1:8" ht="21.75" customHeight="1" x14ac:dyDescent="0.25">
      <c r="A1536" s="35">
        <v>44665</v>
      </c>
      <c r="B1536" s="90" t="s">
        <v>12173</v>
      </c>
      <c r="C1536" s="41" t="s">
        <v>31</v>
      </c>
      <c r="D1536" s="87">
        <v>4148.22</v>
      </c>
      <c r="E1536" s="35">
        <v>44665</v>
      </c>
      <c r="F1536" s="87">
        <v>4148.22</v>
      </c>
      <c r="G1536" s="91">
        <f>Tabla15[[#This Row],[Importe]]-Tabla15[[#This Row],[Pagado]]</f>
        <v>0</v>
      </c>
      <c r="H1536" s="92" t="s">
        <v>10</v>
      </c>
    </row>
    <row r="1537" spans="1:8" ht="21.75" customHeight="1" x14ac:dyDescent="0.25">
      <c r="A1537" s="35">
        <v>44665</v>
      </c>
      <c r="B1537" s="90" t="s">
        <v>12174</v>
      </c>
      <c r="C1537" s="41" t="s">
        <v>407</v>
      </c>
      <c r="D1537" s="87">
        <v>16470</v>
      </c>
      <c r="E1537" s="35">
        <v>44668</v>
      </c>
      <c r="F1537" s="87">
        <v>16470</v>
      </c>
      <c r="G1537" s="91">
        <f>Tabla15[[#This Row],[Importe]]-Tabla15[[#This Row],[Pagado]]</f>
        <v>0</v>
      </c>
      <c r="H1537" s="92" t="s">
        <v>10</v>
      </c>
    </row>
    <row r="1538" spans="1:8" ht="21.75" customHeight="1" x14ac:dyDescent="0.25">
      <c r="A1538" s="35">
        <v>44665</v>
      </c>
      <c r="B1538" s="90" t="s">
        <v>12175</v>
      </c>
      <c r="C1538" s="41" t="s">
        <v>196</v>
      </c>
      <c r="D1538" s="87">
        <v>82981.11</v>
      </c>
      <c r="E1538" s="35">
        <v>44669</v>
      </c>
      <c r="F1538" s="87">
        <v>82981.11</v>
      </c>
      <c r="G1538" s="91">
        <f>Tabla15[[#This Row],[Importe]]-Tabla15[[#This Row],[Pagado]]</f>
        <v>0</v>
      </c>
      <c r="H1538" s="92" t="s">
        <v>10</v>
      </c>
    </row>
    <row r="1539" spans="1:8" ht="21.75" customHeight="1" x14ac:dyDescent="0.25">
      <c r="A1539" s="35">
        <v>44665</v>
      </c>
      <c r="B1539" s="90" t="s">
        <v>12176</v>
      </c>
      <c r="C1539" s="41" t="s">
        <v>414</v>
      </c>
      <c r="D1539" s="87">
        <v>16254</v>
      </c>
      <c r="E1539" s="35">
        <v>44672</v>
      </c>
      <c r="F1539" s="87">
        <v>16254</v>
      </c>
      <c r="G1539" s="91">
        <f>Tabla15[[#This Row],[Importe]]-Tabla15[[#This Row],[Pagado]]</f>
        <v>0</v>
      </c>
      <c r="H1539" s="92" t="s">
        <v>10</v>
      </c>
    </row>
    <row r="1540" spans="1:8" ht="21.75" customHeight="1" x14ac:dyDescent="0.25">
      <c r="A1540" s="35">
        <v>44665</v>
      </c>
      <c r="B1540" s="90" t="s">
        <v>12177</v>
      </c>
      <c r="C1540" s="41" t="s">
        <v>56</v>
      </c>
      <c r="D1540" s="87">
        <v>3559.5</v>
      </c>
      <c r="E1540" s="35">
        <v>44665</v>
      </c>
      <c r="F1540" s="87">
        <v>3559.5</v>
      </c>
      <c r="G1540" s="91">
        <f>Tabla15[[#This Row],[Importe]]-Tabla15[[#This Row],[Pagado]]</f>
        <v>0</v>
      </c>
      <c r="H1540" s="92" t="s">
        <v>10</v>
      </c>
    </row>
    <row r="1541" spans="1:8" ht="21.75" customHeight="1" x14ac:dyDescent="0.25">
      <c r="A1541" s="35">
        <v>44665</v>
      </c>
      <c r="B1541" s="90" t="s">
        <v>12178</v>
      </c>
      <c r="C1541" s="41" t="s">
        <v>56</v>
      </c>
      <c r="D1541" s="87">
        <v>938.6</v>
      </c>
      <c r="E1541" s="35">
        <v>44665</v>
      </c>
      <c r="F1541" s="87">
        <v>938.6</v>
      </c>
      <c r="G1541" s="91">
        <f>Tabla15[[#This Row],[Importe]]-Tabla15[[#This Row],[Pagado]]</f>
        <v>0</v>
      </c>
      <c r="H1541" s="92" t="s">
        <v>10</v>
      </c>
    </row>
    <row r="1542" spans="1:8" ht="21.75" customHeight="1" x14ac:dyDescent="0.25">
      <c r="A1542" s="35">
        <v>44665</v>
      </c>
      <c r="B1542" s="90" t="s">
        <v>12179</v>
      </c>
      <c r="C1542" s="41" t="s">
        <v>216</v>
      </c>
      <c r="D1542" s="87">
        <v>1661</v>
      </c>
      <c r="E1542" s="35">
        <v>44665</v>
      </c>
      <c r="F1542" s="87">
        <v>1661</v>
      </c>
      <c r="G1542" s="91">
        <f>Tabla15[[#This Row],[Importe]]-Tabla15[[#This Row],[Pagado]]</f>
        <v>0</v>
      </c>
      <c r="H1542" s="92" t="s">
        <v>10</v>
      </c>
    </row>
    <row r="1543" spans="1:8" ht="21.75" customHeight="1" x14ac:dyDescent="0.25">
      <c r="A1543" s="35">
        <v>44665</v>
      </c>
      <c r="B1543" s="90" t="s">
        <v>12180</v>
      </c>
      <c r="C1543" s="41" t="s">
        <v>47</v>
      </c>
      <c r="D1543" s="87">
        <v>60597.96</v>
      </c>
      <c r="E1543" s="35">
        <v>44665</v>
      </c>
      <c r="F1543" s="87">
        <v>60597.96</v>
      </c>
      <c r="G1543" s="91">
        <f>Tabla15[[#This Row],[Importe]]-Tabla15[[#This Row],[Pagado]]</f>
        <v>0</v>
      </c>
      <c r="H1543" s="92" t="s">
        <v>10</v>
      </c>
    </row>
    <row r="1544" spans="1:8" ht="21.75" customHeight="1" x14ac:dyDescent="0.25">
      <c r="A1544" s="35">
        <v>44665</v>
      </c>
      <c r="B1544" s="90" t="s">
        <v>12181</v>
      </c>
      <c r="C1544" s="41" t="s">
        <v>95</v>
      </c>
      <c r="D1544" s="87">
        <v>36105.599999999999</v>
      </c>
      <c r="E1544" s="35">
        <v>44665</v>
      </c>
      <c r="F1544" s="87">
        <v>36105.599999999999</v>
      </c>
      <c r="G1544" s="91">
        <f>Tabla15[[#This Row],[Importe]]-Tabla15[[#This Row],[Pagado]]</f>
        <v>0</v>
      </c>
      <c r="H1544" s="92" t="s">
        <v>10</v>
      </c>
    </row>
    <row r="1545" spans="1:8" ht="21.75" customHeight="1" x14ac:dyDescent="0.25">
      <c r="A1545" s="35">
        <v>44665</v>
      </c>
      <c r="B1545" s="90" t="s">
        <v>12182</v>
      </c>
      <c r="C1545" s="41" t="s">
        <v>419</v>
      </c>
      <c r="D1545" s="87">
        <v>8573.6200000000008</v>
      </c>
      <c r="E1545" s="35">
        <v>44665</v>
      </c>
      <c r="F1545" s="87">
        <v>8573.6200000000008</v>
      </c>
      <c r="G1545" s="91">
        <f>Tabla15[[#This Row],[Importe]]-Tabla15[[#This Row],[Pagado]]</f>
        <v>0</v>
      </c>
      <c r="H1545" s="92" t="s">
        <v>10</v>
      </c>
    </row>
    <row r="1546" spans="1:8" ht="21.75" customHeight="1" x14ac:dyDescent="0.25">
      <c r="A1546" s="35">
        <v>44665</v>
      </c>
      <c r="B1546" s="90" t="s">
        <v>12183</v>
      </c>
      <c r="C1546" s="41" t="s">
        <v>9</v>
      </c>
      <c r="D1546" s="87">
        <v>2376.1</v>
      </c>
      <c r="E1546" s="35">
        <v>44665</v>
      </c>
      <c r="F1546" s="87">
        <v>2376.1</v>
      </c>
      <c r="G1546" s="91">
        <f>Tabla15[[#This Row],[Importe]]-Tabla15[[#This Row],[Pagado]]</f>
        <v>0</v>
      </c>
      <c r="H1546" s="92" t="s">
        <v>10</v>
      </c>
    </row>
    <row r="1547" spans="1:8" ht="21.75" customHeight="1" x14ac:dyDescent="0.25">
      <c r="A1547" s="35">
        <v>44665</v>
      </c>
      <c r="B1547" s="90" t="s">
        <v>12184</v>
      </c>
      <c r="C1547" s="41" t="s">
        <v>69</v>
      </c>
      <c r="D1547" s="87">
        <v>2249.5</v>
      </c>
      <c r="E1547" s="35">
        <v>44665</v>
      </c>
      <c r="F1547" s="87">
        <v>2249.5</v>
      </c>
      <c r="G1547" s="91">
        <f>Tabla15[[#This Row],[Importe]]-Tabla15[[#This Row],[Pagado]]</f>
        <v>0</v>
      </c>
      <c r="H1547" s="92" t="s">
        <v>10</v>
      </c>
    </row>
    <row r="1548" spans="1:8" ht="21.75" customHeight="1" x14ac:dyDescent="0.25">
      <c r="A1548" s="35">
        <v>44665</v>
      </c>
      <c r="B1548" s="90" t="s">
        <v>12185</v>
      </c>
      <c r="C1548" s="41" t="s">
        <v>31</v>
      </c>
      <c r="D1548" s="87">
        <v>7682.4</v>
      </c>
      <c r="E1548" s="35">
        <v>44665</v>
      </c>
      <c r="F1548" s="87">
        <v>7682.4</v>
      </c>
      <c r="G1548" s="91">
        <f>Tabla15[[#This Row],[Importe]]-Tabla15[[#This Row],[Pagado]]</f>
        <v>0</v>
      </c>
      <c r="H1548" s="92" t="s">
        <v>10</v>
      </c>
    </row>
    <row r="1549" spans="1:8" ht="21.75" customHeight="1" x14ac:dyDescent="0.25">
      <c r="A1549" s="35">
        <v>44665</v>
      </c>
      <c r="B1549" s="90" t="s">
        <v>12186</v>
      </c>
      <c r="C1549" s="41" t="s">
        <v>1008</v>
      </c>
      <c r="D1549" s="87">
        <v>2898</v>
      </c>
      <c r="E1549" s="35">
        <v>44665</v>
      </c>
      <c r="F1549" s="87">
        <v>2898</v>
      </c>
      <c r="G1549" s="91">
        <f>Tabla15[[#This Row],[Importe]]-Tabla15[[#This Row],[Pagado]]</f>
        <v>0</v>
      </c>
      <c r="H1549" s="92" t="s">
        <v>10</v>
      </c>
    </row>
    <row r="1550" spans="1:8" ht="21.75" customHeight="1" x14ac:dyDescent="0.25">
      <c r="A1550" s="35">
        <v>44665</v>
      </c>
      <c r="B1550" s="90" t="s">
        <v>12187</v>
      </c>
      <c r="C1550" s="41" t="s">
        <v>10678</v>
      </c>
      <c r="D1550" s="87">
        <v>3904.2</v>
      </c>
      <c r="E1550" s="35">
        <v>44665</v>
      </c>
      <c r="F1550" s="87">
        <v>3904.2</v>
      </c>
      <c r="G1550" s="91">
        <f>Tabla15[[#This Row],[Importe]]-Tabla15[[#This Row],[Pagado]]</f>
        <v>0</v>
      </c>
      <c r="H1550" s="92" t="s">
        <v>10</v>
      </c>
    </row>
    <row r="1551" spans="1:8" ht="21.75" customHeight="1" x14ac:dyDescent="0.25">
      <c r="A1551" s="35">
        <v>44665</v>
      </c>
      <c r="B1551" s="90" t="s">
        <v>12188</v>
      </c>
      <c r="C1551" s="41" t="s">
        <v>31</v>
      </c>
      <c r="D1551" s="87">
        <v>302.5</v>
      </c>
      <c r="E1551" s="35">
        <v>44665</v>
      </c>
      <c r="F1551" s="87">
        <v>302.5</v>
      </c>
      <c r="G1551" s="91">
        <f>Tabla15[[#This Row],[Importe]]-Tabla15[[#This Row],[Pagado]]</f>
        <v>0</v>
      </c>
      <c r="H1551" s="92" t="s">
        <v>10</v>
      </c>
    </row>
    <row r="1552" spans="1:8" ht="21.75" customHeight="1" x14ac:dyDescent="0.25">
      <c r="A1552" s="35">
        <v>44665</v>
      </c>
      <c r="B1552" s="90" t="s">
        <v>12189</v>
      </c>
      <c r="C1552" s="41" t="s">
        <v>5345</v>
      </c>
      <c r="D1552" s="87">
        <v>2178</v>
      </c>
      <c r="E1552" s="35">
        <v>44667</v>
      </c>
      <c r="F1552" s="87">
        <v>2178</v>
      </c>
      <c r="G1552" s="91">
        <f>Tabla15[[#This Row],[Importe]]-Tabla15[[#This Row],[Pagado]]</f>
        <v>0</v>
      </c>
      <c r="H1552" s="92" t="s">
        <v>10</v>
      </c>
    </row>
    <row r="1553" spans="1:8" ht="21.75" customHeight="1" x14ac:dyDescent="0.25">
      <c r="A1553" s="35">
        <v>44665</v>
      </c>
      <c r="B1553" s="90" t="s">
        <v>12190</v>
      </c>
      <c r="C1553" s="41" t="s">
        <v>280</v>
      </c>
      <c r="D1553" s="87">
        <v>2992</v>
      </c>
      <c r="E1553" s="35">
        <v>44667</v>
      </c>
      <c r="F1553" s="87">
        <v>2992</v>
      </c>
      <c r="G1553" s="91">
        <f>Tabla15[[#This Row],[Importe]]-Tabla15[[#This Row],[Pagado]]</f>
        <v>0</v>
      </c>
      <c r="H1553" s="92" t="s">
        <v>10</v>
      </c>
    </row>
    <row r="1554" spans="1:8" ht="21.75" customHeight="1" x14ac:dyDescent="0.25">
      <c r="A1554" s="35">
        <v>44665</v>
      </c>
      <c r="B1554" s="90" t="s">
        <v>12191</v>
      </c>
      <c r="C1554" s="41" t="s">
        <v>282</v>
      </c>
      <c r="D1554" s="87">
        <v>6693.5</v>
      </c>
      <c r="E1554" s="35">
        <v>44667</v>
      </c>
      <c r="F1554" s="87">
        <v>6693.5</v>
      </c>
      <c r="G1554" s="91">
        <f>Tabla15[[#This Row],[Importe]]-Tabla15[[#This Row],[Pagado]]</f>
        <v>0</v>
      </c>
      <c r="H1554" s="92" t="s">
        <v>10</v>
      </c>
    </row>
    <row r="1555" spans="1:8" ht="21.75" customHeight="1" x14ac:dyDescent="0.25">
      <c r="A1555" s="35">
        <v>44665</v>
      </c>
      <c r="B1555" s="90" t="s">
        <v>12192</v>
      </c>
      <c r="C1555" s="41" t="s">
        <v>284</v>
      </c>
      <c r="D1555" s="87">
        <v>8470</v>
      </c>
      <c r="E1555" s="35">
        <v>44667</v>
      </c>
      <c r="F1555" s="87">
        <v>8470</v>
      </c>
      <c r="G1555" s="91">
        <f>Tabla15[[#This Row],[Importe]]-Tabla15[[#This Row],[Pagado]]</f>
        <v>0</v>
      </c>
      <c r="H1555" s="92" t="s">
        <v>10</v>
      </c>
    </row>
    <row r="1556" spans="1:8" ht="21.75" customHeight="1" x14ac:dyDescent="0.25">
      <c r="A1556" s="35">
        <v>44665</v>
      </c>
      <c r="B1556" s="90" t="s">
        <v>12193</v>
      </c>
      <c r="C1556" s="41" t="s">
        <v>431</v>
      </c>
      <c r="D1556" s="87">
        <v>550</v>
      </c>
      <c r="E1556" s="35">
        <v>44667</v>
      </c>
      <c r="F1556" s="87">
        <v>550</v>
      </c>
      <c r="G1556" s="91">
        <f>Tabla15[[#This Row],[Importe]]-Tabla15[[#This Row],[Pagado]]</f>
        <v>0</v>
      </c>
      <c r="H1556" s="92" t="s">
        <v>10</v>
      </c>
    </row>
    <row r="1557" spans="1:8" ht="21.75" customHeight="1" x14ac:dyDescent="0.25">
      <c r="A1557" s="35">
        <v>44665</v>
      </c>
      <c r="B1557" s="90" t="s">
        <v>12194</v>
      </c>
      <c r="C1557" s="41" t="s">
        <v>849</v>
      </c>
      <c r="D1557" s="87">
        <v>4627.2</v>
      </c>
      <c r="E1557" s="35">
        <v>44665</v>
      </c>
      <c r="F1557" s="87">
        <v>4627.2</v>
      </c>
      <c r="G1557" s="91">
        <f>Tabla15[[#This Row],[Importe]]-Tabla15[[#This Row],[Pagado]]</f>
        <v>0</v>
      </c>
      <c r="H1557" s="92" t="s">
        <v>10</v>
      </c>
    </row>
    <row r="1558" spans="1:8" ht="21.75" customHeight="1" x14ac:dyDescent="0.25">
      <c r="A1558" s="35">
        <v>44665</v>
      </c>
      <c r="B1558" s="90" t="s">
        <v>12195</v>
      </c>
      <c r="C1558" s="41" t="s">
        <v>371</v>
      </c>
      <c r="D1558" s="87">
        <v>37248.800000000003</v>
      </c>
      <c r="E1558" s="35">
        <v>44665</v>
      </c>
      <c r="F1558" s="87">
        <v>37248.800000000003</v>
      </c>
      <c r="G1558" s="91">
        <f>Tabla15[[#This Row],[Importe]]-Tabla15[[#This Row],[Pagado]]</f>
        <v>0</v>
      </c>
      <c r="H1558" s="92" t="s">
        <v>10</v>
      </c>
    </row>
    <row r="1559" spans="1:8" ht="21.75" customHeight="1" x14ac:dyDescent="0.25">
      <c r="A1559" s="35">
        <v>44665</v>
      </c>
      <c r="B1559" s="90" t="s">
        <v>12196</v>
      </c>
      <c r="C1559" s="41" t="s">
        <v>31</v>
      </c>
      <c r="D1559" s="87">
        <v>1605.6</v>
      </c>
      <c r="E1559" s="35">
        <v>44665</v>
      </c>
      <c r="F1559" s="87">
        <v>1605.6</v>
      </c>
      <c r="G1559" s="91">
        <f>Tabla15[[#This Row],[Importe]]-Tabla15[[#This Row],[Pagado]]</f>
        <v>0</v>
      </c>
      <c r="H1559" s="92" t="s">
        <v>10</v>
      </c>
    </row>
    <row r="1560" spans="1:8" ht="21.75" customHeight="1" x14ac:dyDescent="0.25">
      <c r="A1560" s="35">
        <v>44665</v>
      </c>
      <c r="B1560" s="90" t="s">
        <v>12197</v>
      </c>
      <c r="C1560" s="41" t="s">
        <v>196</v>
      </c>
      <c r="D1560" s="87">
        <v>8015.15</v>
      </c>
      <c r="E1560" s="35">
        <v>44669</v>
      </c>
      <c r="F1560" s="87">
        <v>8015.15</v>
      </c>
      <c r="G1560" s="91">
        <f>Tabla15[[#This Row],[Importe]]-Tabla15[[#This Row],[Pagado]]</f>
        <v>0</v>
      </c>
      <c r="H1560" s="92" t="s">
        <v>10</v>
      </c>
    </row>
    <row r="1561" spans="1:8" ht="21.75" customHeight="1" x14ac:dyDescent="0.25">
      <c r="A1561" s="35">
        <v>44665</v>
      </c>
      <c r="B1561" s="90" t="s">
        <v>12198</v>
      </c>
      <c r="C1561" s="41" t="s">
        <v>31</v>
      </c>
      <c r="D1561" s="87">
        <v>471.5</v>
      </c>
      <c r="E1561" s="35">
        <v>44665</v>
      </c>
      <c r="F1561" s="87">
        <v>471.5</v>
      </c>
      <c r="G1561" s="91">
        <f>Tabla15[[#This Row],[Importe]]-Tabla15[[#This Row],[Pagado]]</f>
        <v>0</v>
      </c>
      <c r="H1561" s="92" t="s">
        <v>10</v>
      </c>
    </row>
    <row r="1562" spans="1:8" ht="21.75" customHeight="1" x14ac:dyDescent="0.25">
      <c r="A1562" s="35">
        <v>44665</v>
      </c>
      <c r="B1562" s="90" t="s">
        <v>12199</v>
      </c>
      <c r="C1562" s="41" t="s">
        <v>275</v>
      </c>
      <c r="D1562" s="87">
        <v>120627.1</v>
      </c>
      <c r="E1562" s="35">
        <v>44677</v>
      </c>
      <c r="F1562" s="87">
        <v>120627.1</v>
      </c>
      <c r="G1562" s="91">
        <f>Tabla15[[#This Row],[Importe]]-Tabla15[[#This Row],[Pagado]]</f>
        <v>0</v>
      </c>
      <c r="H1562" s="92" t="s">
        <v>10</v>
      </c>
    </row>
    <row r="1563" spans="1:8" ht="21.75" customHeight="1" x14ac:dyDescent="0.25">
      <c r="A1563" s="35">
        <v>44665</v>
      </c>
      <c r="B1563" s="90" t="s">
        <v>12200</v>
      </c>
      <c r="C1563" s="41" t="s">
        <v>71</v>
      </c>
      <c r="D1563" s="87">
        <v>1818.6</v>
      </c>
      <c r="E1563" s="35">
        <v>44665</v>
      </c>
      <c r="F1563" s="87">
        <v>1818.6</v>
      </c>
      <c r="G1563" s="91">
        <f>Tabla15[[#This Row],[Importe]]-Tabla15[[#This Row],[Pagado]]</f>
        <v>0</v>
      </c>
      <c r="H1563" s="92" t="s">
        <v>10</v>
      </c>
    </row>
    <row r="1564" spans="1:8" ht="21.75" customHeight="1" x14ac:dyDescent="0.25">
      <c r="A1564" s="35">
        <v>44665</v>
      </c>
      <c r="B1564" s="90" t="s">
        <v>12201</v>
      </c>
      <c r="C1564" s="41" t="s">
        <v>12202</v>
      </c>
      <c r="D1564" s="87">
        <v>7000</v>
      </c>
      <c r="E1564" s="35">
        <v>44667</v>
      </c>
      <c r="F1564" s="87">
        <v>7000</v>
      </c>
      <c r="G1564" s="91">
        <f>Tabla15[[#This Row],[Importe]]-Tabla15[[#This Row],[Pagado]]</f>
        <v>0</v>
      </c>
      <c r="H1564" s="92" t="s">
        <v>10</v>
      </c>
    </row>
    <row r="1565" spans="1:8" ht="21.75" customHeight="1" x14ac:dyDescent="0.25">
      <c r="A1565" s="35">
        <v>44665</v>
      </c>
      <c r="B1565" s="90" t="s">
        <v>12203</v>
      </c>
      <c r="C1565" s="41" t="s">
        <v>12202</v>
      </c>
      <c r="D1565" s="87">
        <v>1400</v>
      </c>
      <c r="E1565" s="35">
        <v>44667</v>
      </c>
      <c r="F1565" s="87">
        <v>1400</v>
      </c>
      <c r="G1565" s="91">
        <f>Tabla15[[#This Row],[Importe]]-Tabla15[[#This Row],[Pagado]]</f>
        <v>0</v>
      </c>
      <c r="H1565" s="92" t="s">
        <v>10</v>
      </c>
    </row>
    <row r="1566" spans="1:8" ht="21.75" customHeight="1" x14ac:dyDescent="0.25">
      <c r="A1566" s="35">
        <v>44665</v>
      </c>
      <c r="B1566" s="90" t="s">
        <v>12204</v>
      </c>
      <c r="C1566" s="41" t="s">
        <v>142</v>
      </c>
      <c r="D1566" s="87">
        <v>12189.9</v>
      </c>
      <c r="E1566" s="35">
        <v>44706</v>
      </c>
      <c r="F1566" s="87">
        <v>12189.9</v>
      </c>
      <c r="G1566" s="91">
        <f>Tabla15[[#This Row],[Importe]]-Tabla15[[#This Row],[Pagado]]</f>
        <v>0</v>
      </c>
      <c r="H1566" s="92" t="s">
        <v>10</v>
      </c>
    </row>
    <row r="1567" spans="1:8" ht="21.75" customHeight="1" x14ac:dyDescent="0.25">
      <c r="A1567" s="35">
        <v>44665</v>
      </c>
      <c r="B1567" s="90" t="s">
        <v>12205</v>
      </c>
      <c r="C1567" s="41" t="s">
        <v>179</v>
      </c>
      <c r="D1567" s="87">
        <v>1358.5</v>
      </c>
      <c r="E1567" s="35">
        <v>44667</v>
      </c>
      <c r="F1567" s="87">
        <v>1358.5</v>
      </c>
      <c r="G1567" s="91">
        <f>Tabla15[[#This Row],[Importe]]-Tabla15[[#This Row],[Pagado]]</f>
        <v>0</v>
      </c>
      <c r="H1567" s="92" t="s">
        <v>10</v>
      </c>
    </row>
    <row r="1568" spans="1:8" ht="21.75" customHeight="1" x14ac:dyDescent="0.25">
      <c r="A1568" s="35">
        <v>44665</v>
      </c>
      <c r="B1568" s="90" t="s">
        <v>12206</v>
      </c>
      <c r="C1568" s="41" t="s">
        <v>31</v>
      </c>
      <c r="D1568" s="87">
        <v>900</v>
      </c>
      <c r="E1568" s="35">
        <v>44667</v>
      </c>
      <c r="F1568" s="87">
        <v>900</v>
      </c>
      <c r="G1568" s="91">
        <f>Tabla15[[#This Row],[Importe]]-Tabla15[[#This Row],[Pagado]]</f>
        <v>0</v>
      </c>
      <c r="H1568" s="92" t="s">
        <v>10</v>
      </c>
    </row>
    <row r="1569" spans="1:8" ht="21.75" customHeight="1" x14ac:dyDescent="0.25">
      <c r="A1569" s="35">
        <v>44666</v>
      </c>
      <c r="B1569" s="90" t="s">
        <v>12207</v>
      </c>
      <c r="C1569" s="41" t="s">
        <v>85</v>
      </c>
      <c r="D1569" s="87">
        <v>3360.5</v>
      </c>
      <c r="E1569" s="35">
        <v>44667</v>
      </c>
      <c r="F1569" s="87">
        <v>3360.5</v>
      </c>
      <c r="G1569" s="91">
        <f>Tabla15[[#This Row],[Importe]]-Tabla15[[#This Row],[Pagado]]</f>
        <v>0</v>
      </c>
      <c r="H1569" s="92" t="s">
        <v>10</v>
      </c>
    </row>
    <row r="1570" spans="1:8" ht="21.75" customHeight="1" x14ac:dyDescent="0.25">
      <c r="A1570" s="35">
        <v>44666</v>
      </c>
      <c r="B1570" s="90" t="s">
        <v>12208</v>
      </c>
      <c r="C1570" s="41" t="s">
        <v>85</v>
      </c>
      <c r="D1570" s="87">
        <v>140</v>
      </c>
      <c r="E1570" s="35">
        <v>44667</v>
      </c>
      <c r="F1570" s="87">
        <v>140</v>
      </c>
      <c r="G1570" s="91">
        <f>Tabla15[[#This Row],[Importe]]-Tabla15[[#This Row],[Pagado]]</f>
        <v>0</v>
      </c>
      <c r="H1570" s="92" t="s">
        <v>10</v>
      </c>
    </row>
    <row r="1571" spans="1:8" ht="21.75" customHeight="1" x14ac:dyDescent="0.25">
      <c r="A1571" s="35">
        <v>44666</v>
      </c>
      <c r="B1571" s="90" t="s">
        <v>12209</v>
      </c>
      <c r="C1571" s="41" t="s">
        <v>12</v>
      </c>
      <c r="D1571" s="87">
        <v>4576.1000000000004</v>
      </c>
      <c r="E1571" s="35">
        <v>44667</v>
      </c>
      <c r="F1571" s="87">
        <v>4576.1000000000004</v>
      </c>
      <c r="G1571" s="91">
        <f>Tabla15[[#This Row],[Importe]]-Tabla15[[#This Row],[Pagado]]</f>
        <v>0</v>
      </c>
      <c r="H1571" s="92" t="s">
        <v>10</v>
      </c>
    </row>
    <row r="1572" spans="1:8" ht="21.75" customHeight="1" x14ac:dyDescent="0.25">
      <c r="A1572" s="35">
        <v>44666</v>
      </c>
      <c r="B1572" s="90" t="s">
        <v>12210</v>
      </c>
      <c r="C1572" s="41" t="s">
        <v>51</v>
      </c>
      <c r="D1572" s="87">
        <v>4232.8</v>
      </c>
      <c r="E1572" s="35">
        <v>44667</v>
      </c>
      <c r="F1572" s="87">
        <v>4232.8</v>
      </c>
      <c r="G1572" s="91">
        <f>Tabla15[[#This Row],[Importe]]-Tabla15[[#This Row],[Pagado]]</f>
        <v>0</v>
      </c>
      <c r="H1572" s="92" t="s">
        <v>10</v>
      </c>
    </row>
    <row r="1573" spans="1:8" ht="21.75" customHeight="1" x14ac:dyDescent="0.25">
      <c r="A1573" s="35">
        <v>44666</v>
      </c>
      <c r="B1573" s="90" t="s">
        <v>12211</v>
      </c>
      <c r="C1573" s="41" t="s">
        <v>31</v>
      </c>
      <c r="D1573" s="87">
        <v>1176</v>
      </c>
      <c r="E1573" s="35">
        <v>44667</v>
      </c>
      <c r="F1573" s="87">
        <v>1176</v>
      </c>
      <c r="G1573" s="91">
        <f>Tabla15[[#This Row],[Importe]]-Tabla15[[#This Row],[Pagado]]</f>
        <v>0</v>
      </c>
      <c r="H1573" s="92" t="s">
        <v>10</v>
      </c>
    </row>
    <row r="1574" spans="1:8" ht="21.75" customHeight="1" x14ac:dyDescent="0.25">
      <c r="A1574" s="35">
        <v>44666</v>
      </c>
      <c r="B1574" s="90" t="s">
        <v>12212</v>
      </c>
      <c r="C1574" s="41" t="s">
        <v>53</v>
      </c>
      <c r="D1574" s="87">
        <v>817.6</v>
      </c>
      <c r="E1574" s="35">
        <v>44667</v>
      </c>
      <c r="F1574" s="87">
        <v>817.6</v>
      </c>
      <c r="G1574" s="91">
        <f>Tabla15[[#This Row],[Importe]]-Tabla15[[#This Row],[Pagado]]</f>
        <v>0</v>
      </c>
      <c r="H1574" s="92" t="s">
        <v>10</v>
      </c>
    </row>
    <row r="1575" spans="1:8" ht="21.75" customHeight="1" x14ac:dyDescent="0.25">
      <c r="A1575" s="35">
        <v>44666</v>
      </c>
      <c r="B1575" s="90" t="s">
        <v>12213</v>
      </c>
      <c r="C1575" s="41" t="s">
        <v>11033</v>
      </c>
      <c r="D1575" s="87">
        <v>2905.6</v>
      </c>
      <c r="E1575" s="35">
        <v>44667</v>
      </c>
      <c r="F1575" s="87">
        <v>2905.6</v>
      </c>
      <c r="G1575" s="91">
        <f>Tabla15[[#This Row],[Importe]]-Tabla15[[#This Row],[Pagado]]</f>
        <v>0</v>
      </c>
      <c r="H1575" s="92" t="s">
        <v>10</v>
      </c>
    </row>
    <row r="1576" spans="1:8" ht="21.75" customHeight="1" x14ac:dyDescent="0.25">
      <c r="A1576" s="35">
        <v>44666</v>
      </c>
      <c r="B1576" s="90" t="s">
        <v>12214</v>
      </c>
      <c r="C1576" s="41" t="s">
        <v>58</v>
      </c>
      <c r="D1576" s="87">
        <v>3218.5</v>
      </c>
      <c r="E1576" s="35">
        <v>44667</v>
      </c>
      <c r="F1576" s="87">
        <v>3218.5</v>
      </c>
      <c r="G1576" s="91">
        <f>Tabla15[[#This Row],[Importe]]-Tabla15[[#This Row],[Pagado]]</f>
        <v>0</v>
      </c>
      <c r="H1576" s="92" t="s">
        <v>10</v>
      </c>
    </row>
    <row r="1577" spans="1:8" ht="21.75" customHeight="1" x14ac:dyDescent="0.25">
      <c r="A1577" s="35">
        <v>44666</v>
      </c>
      <c r="B1577" s="90" t="s">
        <v>12215</v>
      </c>
      <c r="C1577" s="41" t="s">
        <v>275</v>
      </c>
      <c r="D1577" s="87">
        <v>87207.24</v>
      </c>
      <c r="E1577" s="35">
        <v>44677</v>
      </c>
      <c r="F1577" s="87">
        <v>87207.24</v>
      </c>
      <c r="G1577" s="91">
        <f>Tabla15[[#This Row],[Importe]]-Tabla15[[#This Row],[Pagado]]</f>
        <v>0</v>
      </c>
      <c r="H1577" s="92" t="s">
        <v>10</v>
      </c>
    </row>
    <row r="1578" spans="1:8" ht="21.75" customHeight="1" x14ac:dyDescent="0.25">
      <c r="A1578" s="35">
        <v>44667</v>
      </c>
      <c r="B1578" s="90" t="s">
        <v>12216</v>
      </c>
      <c r="C1578" s="41" t="s">
        <v>475</v>
      </c>
      <c r="D1578" s="87">
        <v>49742.3</v>
      </c>
      <c r="E1578" s="35">
        <v>44668</v>
      </c>
      <c r="F1578" s="87">
        <v>49742.3</v>
      </c>
      <c r="G1578" s="91">
        <f>Tabla15[[#This Row],[Importe]]-Tabla15[[#This Row],[Pagado]]</f>
        <v>0</v>
      </c>
      <c r="H1578" s="92" t="s">
        <v>10</v>
      </c>
    </row>
    <row r="1579" spans="1:8" ht="21.75" customHeight="1" x14ac:dyDescent="0.25">
      <c r="A1579" s="35">
        <v>44667</v>
      </c>
      <c r="B1579" s="90" t="s">
        <v>12217</v>
      </c>
      <c r="C1579" s="41" t="s">
        <v>481</v>
      </c>
      <c r="D1579" s="87">
        <v>1966</v>
      </c>
      <c r="E1579" s="35">
        <v>44667</v>
      </c>
      <c r="F1579" s="87">
        <v>1966</v>
      </c>
      <c r="G1579" s="91">
        <f>Tabla15[[#This Row],[Importe]]-Tabla15[[#This Row],[Pagado]]</f>
        <v>0</v>
      </c>
      <c r="H1579" s="92" t="s">
        <v>10</v>
      </c>
    </row>
    <row r="1580" spans="1:8" ht="21.75" customHeight="1" x14ac:dyDescent="0.25">
      <c r="A1580" s="35">
        <v>44667</v>
      </c>
      <c r="B1580" s="90" t="s">
        <v>12218</v>
      </c>
      <c r="C1580" s="41" t="s">
        <v>9</v>
      </c>
      <c r="D1580" s="87">
        <v>9449.5</v>
      </c>
      <c r="E1580" s="35">
        <v>44667</v>
      </c>
      <c r="F1580" s="87">
        <v>9449.5</v>
      </c>
      <c r="G1580" s="91">
        <f>Tabla15[[#This Row],[Importe]]-Tabla15[[#This Row],[Pagado]]</f>
        <v>0</v>
      </c>
      <c r="H1580" s="92" t="s">
        <v>10</v>
      </c>
    </row>
    <row r="1581" spans="1:8" ht="21.75" customHeight="1" x14ac:dyDescent="0.25">
      <c r="A1581" s="35">
        <v>44667</v>
      </c>
      <c r="B1581" s="90" t="s">
        <v>12219</v>
      </c>
      <c r="C1581" s="41" t="s">
        <v>31</v>
      </c>
      <c r="D1581" s="87">
        <v>5095.2</v>
      </c>
      <c r="E1581" s="35">
        <v>44667</v>
      </c>
      <c r="F1581" s="87">
        <v>5095.2</v>
      </c>
      <c r="G1581" s="91">
        <f>Tabla15[[#This Row],[Importe]]-Tabla15[[#This Row],[Pagado]]</f>
        <v>0</v>
      </c>
      <c r="H1581" s="92" t="s">
        <v>10</v>
      </c>
    </row>
    <row r="1582" spans="1:8" ht="21.75" customHeight="1" x14ac:dyDescent="0.25">
      <c r="A1582" s="35">
        <v>44667</v>
      </c>
      <c r="B1582" s="90" t="s">
        <v>12220</v>
      </c>
      <c r="C1582" s="41" t="s">
        <v>12</v>
      </c>
      <c r="D1582" s="87">
        <v>500</v>
      </c>
      <c r="E1582" s="35">
        <v>44668</v>
      </c>
      <c r="F1582" s="87">
        <v>500</v>
      </c>
      <c r="G1582" s="91">
        <f>Tabla15[[#This Row],[Importe]]-Tabla15[[#This Row],[Pagado]]</f>
        <v>0</v>
      </c>
      <c r="H1582" s="92" t="s">
        <v>10</v>
      </c>
    </row>
    <row r="1583" spans="1:8" ht="21.75" customHeight="1" x14ac:dyDescent="0.25">
      <c r="A1583" s="35">
        <v>44667</v>
      </c>
      <c r="B1583" s="90" t="s">
        <v>12221</v>
      </c>
      <c r="C1583" s="41" t="s">
        <v>2166</v>
      </c>
      <c r="D1583" s="87">
        <v>5692.5</v>
      </c>
      <c r="E1583" s="35">
        <v>44667</v>
      </c>
      <c r="F1583" s="87">
        <v>5692.5</v>
      </c>
      <c r="G1583" s="91">
        <f>Tabla15[[#This Row],[Importe]]-Tabla15[[#This Row],[Pagado]]</f>
        <v>0</v>
      </c>
      <c r="H1583" s="92" t="s">
        <v>10</v>
      </c>
    </row>
    <row r="1584" spans="1:8" ht="31.5" x14ac:dyDescent="0.25">
      <c r="A1584" s="35">
        <v>44667</v>
      </c>
      <c r="B1584" s="90" t="s">
        <v>12222</v>
      </c>
      <c r="C1584" s="41" t="s">
        <v>22</v>
      </c>
      <c r="D1584" s="87">
        <v>73664.899999999994</v>
      </c>
      <c r="E1584" s="35" t="s">
        <v>12223</v>
      </c>
      <c r="F1584" s="87">
        <f>60000+13664.9</f>
        <v>73664.899999999994</v>
      </c>
      <c r="G1584" s="91">
        <f>Tabla15[[#This Row],[Importe]]-Tabla15[[#This Row],[Pagado]]</f>
        <v>0</v>
      </c>
      <c r="H1584" s="92" t="s">
        <v>10</v>
      </c>
    </row>
    <row r="1585" spans="1:8" ht="21.75" customHeight="1" x14ac:dyDescent="0.25">
      <c r="A1585" s="35">
        <v>44667</v>
      </c>
      <c r="B1585" s="90" t="s">
        <v>12224</v>
      </c>
      <c r="C1585" s="41" t="s">
        <v>51</v>
      </c>
      <c r="D1585" s="87">
        <v>562.79999999999995</v>
      </c>
      <c r="E1585" s="35">
        <v>44667</v>
      </c>
      <c r="F1585" s="87">
        <v>562.79999999999995</v>
      </c>
      <c r="G1585" s="91">
        <f>Tabla15[[#This Row],[Importe]]-Tabla15[[#This Row],[Pagado]]</f>
        <v>0</v>
      </c>
      <c r="H1585" s="92" t="s">
        <v>10</v>
      </c>
    </row>
    <row r="1586" spans="1:8" ht="21.75" customHeight="1" x14ac:dyDescent="0.25">
      <c r="A1586" s="35">
        <v>44667</v>
      </c>
      <c r="B1586" s="90" t="s">
        <v>12225</v>
      </c>
      <c r="C1586" s="41" t="s">
        <v>804</v>
      </c>
      <c r="D1586" s="87">
        <v>25783.5</v>
      </c>
      <c r="E1586" s="35">
        <v>44667</v>
      </c>
      <c r="F1586" s="87">
        <v>25783.5</v>
      </c>
      <c r="G1586" s="91">
        <f>Tabla15[[#This Row],[Importe]]-Tabla15[[#This Row],[Pagado]]</f>
        <v>0</v>
      </c>
      <c r="H1586" s="92" t="s">
        <v>10</v>
      </c>
    </row>
    <row r="1587" spans="1:8" ht="21.75" customHeight="1" x14ac:dyDescent="0.25">
      <c r="A1587" s="35">
        <v>44667</v>
      </c>
      <c r="B1587" s="90" t="s">
        <v>12226</v>
      </c>
      <c r="C1587" s="41" t="s">
        <v>31</v>
      </c>
      <c r="D1587" s="87">
        <v>1807.3</v>
      </c>
      <c r="E1587" s="35">
        <v>44667</v>
      </c>
      <c r="F1587" s="87">
        <v>1807.3</v>
      </c>
      <c r="G1587" s="91">
        <f>Tabla15[[#This Row],[Importe]]-Tabla15[[#This Row],[Pagado]]</f>
        <v>0</v>
      </c>
      <c r="H1587" s="92" t="s">
        <v>10</v>
      </c>
    </row>
    <row r="1588" spans="1:8" ht="21.75" customHeight="1" x14ac:dyDescent="0.25">
      <c r="A1588" s="35">
        <v>44667</v>
      </c>
      <c r="B1588" s="90" t="s">
        <v>12227</v>
      </c>
      <c r="C1588" s="41" t="s">
        <v>31</v>
      </c>
      <c r="D1588" s="87">
        <v>302.10000000000002</v>
      </c>
      <c r="E1588" s="35">
        <v>44667</v>
      </c>
      <c r="F1588" s="87">
        <v>302.10000000000002</v>
      </c>
      <c r="G1588" s="91">
        <f>Tabla15[[#This Row],[Importe]]-Tabla15[[#This Row],[Pagado]]</f>
        <v>0</v>
      </c>
      <c r="H1588" s="92" t="s">
        <v>10</v>
      </c>
    </row>
    <row r="1589" spans="1:8" ht="21.75" customHeight="1" x14ac:dyDescent="0.25">
      <c r="A1589" s="35">
        <v>44667</v>
      </c>
      <c r="B1589" s="90" t="s">
        <v>12228</v>
      </c>
      <c r="C1589" s="41" t="s">
        <v>12</v>
      </c>
      <c r="D1589" s="87">
        <v>75732.350000000006</v>
      </c>
      <c r="E1589" s="35">
        <v>44667</v>
      </c>
      <c r="F1589" s="87">
        <v>75732.350000000006</v>
      </c>
      <c r="G1589" s="91">
        <f>Tabla15[[#This Row],[Importe]]-Tabla15[[#This Row],[Pagado]]</f>
        <v>0</v>
      </c>
      <c r="H1589" s="92" t="s">
        <v>10</v>
      </c>
    </row>
    <row r="1590" spans="1:8" ht="21.75" customHeight="1" x14ac:dyDescent="0.25">
      <c r="A1590" s="35">
        <v>44667</v>
      </c>
      <c r="B1590" s="90" t="s">
        <v>12229</v>
      </c>
      <c r="C1590" s="41" t="s">
        <v>47</v>
      </c>
      <c r="D1590" s="87">
        <v>45377.919999999998</v>
      </c>
      <c r="E1590" s="35">
        <v>44667</v>
      </c>
      <c r="F1590" s="87">
        <v>45377.919999999998</v>
      </c>
      <c r="G1590" s="91">
        <f>Tabla15[[#This Row],[Importe]]-Tabla15[[#This Row],[Pagado]]</f>
        <v>0</v>
      </c>
      <c r="H1590" s="92" t="s">
        <v>10</v>
      </c>
    </row>
    <row r="1591" spans="1:8" ht="21.75" customHeight="1" x14ac:dyDescent="0.25">
      <c r="A1591" s="35">
        <v>44667</v>
      </c>
      <c r="B1591" s="90" t="s">
        <v>12230</v>
      </c>
      <c r="C1591" s="41" t="s">
        <v>16</v>
      </c>
      <c r="D1591" s="87">
        <v>6013.4</v>
      </c>
      <c r="E1591" s="35">
        <v>44667</v>
      </c>
      <c r="F1591" s="87">
        <v>6013.4</v>
      </c>
      <c r="G1591" s="91">
        <f>Tabla15[[#This Row],[Importe]]-Tabla15[[#This Row],[Pagado]]</f>
        <v>0</v>
      </c>
      <c r="H1591" s="92" t="s">
        <v>10</v>
      </c>
    </row>
    <row r="1592" spans="1:8" ht="21.75" customHeight="1" x14ac:dyDescent="0.25">
      <c r="A1592" s="35">
        <v>44667</v>
      </c>
      <c r="B1592" s="90" t="s">
        <v>12231</v>
      </c>
      <c r="C1592" s="41" t="s">
        <v>161</v>
      </c>
      <c r="D1592" s="87">
        <v>4270</v>
      </c>
      <c r="E1592" s="35">
        <v>44667</v>
      </c>
      <c r="F1592" s="87">
        <v>4270</v>
      </c>
      <c r="G1592" s="91">
        <f>Tabla15[[#This Row],[Importe]]-Tabla15[[#This Row],[Pagado]]</f>
        <v>0</v>
      </c>
      <c r="H1592" s="92" t="s">
        <v>10</v>
      </c>
    </row>
    <row r="1593" spans="1:8" ht="21.75" customHeight="1" x14ac:dyDescent="0.25">
      <c r="A1593" s="35">
        <v>44667</v>
      </c>
      <c r="B1593" s="90" t="s">
        <v>12232</v>
      </c>
      <c r="C1593" s="41" t="s">
        <v>27</v>
      </c>
      <c r="D1593" s="87">
        <v>3105</v>
      </c>
      <c r="E1593" s="35">
        <v>44667</v>
      </c>
      <c r="F1593" s="87">
        <v>3105</v>
      </c>
      <c r="G1593" s="91">
        <f>Tabla15[[#This Row],[Importe]]-Tabla15[[#This Row],[Pagado]]</f>
        <v>0</v>
      </c>
      <c r="H1593" s="92" t="s">
        <v>10</v>
      </c>
    </row>
    <row r="1594" spans="1:8" ht="21.75" customHeight="1" x14ac:dyDescent="0.25">
      <c r="A1594" s="35">
        <v>44667</v>
      </c>
      <c r="B1594" s="90" t="s">
        <v>12233</v>
      </c>
      <c r="C1594" s="41" t="s">
        <v>224</v>
      </c>
      <c r="D1594" s="87">
        <v>620</v>
      </c>
      <c r="E1594" s="35">
        <v>44667</v>
      </c>
      <c r="F1594" s="87">
        <v>620</v>
      </c>
      <c r="G1594" s="91">
        <f>Tabla15[[#This Row],[Importe]]-Tabla15[[#This Row],[Pagado]]</f>
        <v>0</v>
      </c>
      <c r="H1594" s="92" t="s">
        <v>10</v>
      </c>
    </row>
    <row r="1595" spans="1:8" ht="21.75" customHeight="1" x14ac:dyDescent="0.25">
      <c r="A1595" s="35">
        <v>44667</v>
      </c>
      <c r="B1595" s="90" t="s">
        <v>12234</v>
      </c>
      <c r="C1595" s="41" t="s">
        <v>62</v>
      </c>
      <c r="D1595" s="87">
        <v>3849.3</v>
      </c>
      <c r="E1595" s="35">
        <v>44667</v>
      </c>
      <c r="F1595" s="87">
        <v>3849.3</v>
      </c>
      <c r="G1595" s="91">
        <f>Tabla15[[#This Row],[Importe]]-Tabla15[[#This Row],[Pagado]]</f>
        <v>0</v>
      </c>
      <c r="H1595" s="92" t="s">
        <v>10</v>
      </c>
    </row>
    <row r="1596" spans="1:8" ht="21.75" customHeight="1" x14ac:dyDescent="0.25">
      <c r="A1596" s="35">
        <v>44667</v>
      </c>
      <c r="B1596" s="90" t="s">
        <v>12235</v>
      </c>
      <c r="C1596" s="41" t="s">
        <v>382</v>
      </c>
      <c r="D1596" s="87">
        <v>9394</v>
      </c>
      <c r="E1596" s="35">
        <v>44667</v>
      </c>
      <c r="F1596" s="87">
        <v>9394</v>
      </c>
      <c r="G1596" s="91">
        <f>Tabla15[[#This Row],[Importe]]-Tabla15[[#This Row],[Pagado]]</f>
        <v>0</v>
      </c>
      <c r="H1596" s="92" t="s">
        <v>10</v>
      </c>
    </row>
    <row r="1597" spans="1:8" ht="21.75" customHeight="1" x14ac:dyDescent="0.25">
      <c r="A1597" s="35">
        <v>44667</v>
      </c>
      <c r="B1597" s="90" t="s">
        <v>12236</v>
      </c>
      <c r="C1597" s="41" t="s">
        <v>2151</v>
      </c>
      <c r="D1597" s="87">
        <v>27693</v>
      </c>
      <c r="E1597" s="35">
        <v>44667</v>
      </c>
      <c r="F1597" s="87">
        <v>27693</v>
      </c>
      <c r="G1597" s="91">
        <f>Tabla15[[#This Row],[Importe]]-Tabla15[[#This Row],[Pagado]]</f>
        <v>0</v>
      </c>
      <c r="H1597" s="92" t="s">
        <v>10</v>
      </c>
    </row>
    <row r="1598" spans="1:8" ht="21.75" customHeight="1" x14ac:dyDescent="0.25">
      <c r="A1598" s="35">
        <v>44667</v>
      </c>
      <c r="B1598" s="90" t="s">
        <v>12237</v>
      </c>
      <c r="C1598" s="41" t="s">
        <v>62</v>
      </c>
      <c r="D1598" s="87">
        <v>408</v>
      </c>
      <c r="E1598" s="35">
        <v>44667</v>
      </c>
      <c r="F1598" s="87">
        <v>408</v>
      </c>
      <c r="G1598" s="91">
        <f>Tabla15[[#This Row],[Importe]]-Tabla15[[#This Row],[Pagado]]</f>
        <v>0</v>
      </c>
      <c r="H1598" s="92" t="s">
        <v>10</v>
      </c>
    </row>
    <row r="1599" spans="1:8" ht="21.75" customHeight="1" x14ac:dyDescent="0.25">
      <c r="A1599" s="35">
        <v>44667</v>
      </c>
      <c r="B1599" s="90" t="s">
        <v>12238</v>
      </c>
      <c r="C1599" s="41" t="s">
        <v>12202</v>
      </c>
      <c r="D1599" s="87">
        <v>8400</v>
      </c>
      <c r="E1599" s="35">
        <v>44667</v>
      </c>
      <c r="F1599" s="87">
        <v>8400</v>
      </c>
      <c r="G1599" s="91">
        <f>Tabla15[[#This Row],[Importe]]-Tabla15[[#This Row],[Pagado]]</f>
        <v>0</v>
      </c>
      <c r="H1599" s="92" t="s">
        <v>10</v>
      </c>
    </row>
    <row r="1600" spans="1:8" ht="21.75" customHeight="1" x14ac:dyDescent="0.25">
      <c r="A1600" s="35">
        <v>44667</v>
      </c>
      <c r="B1600" s="90" t="s">
        <v>12239</v>
      </c>
      <c r="C1600" s="41" t="s">
        <v>12202</v>
      </c>
      <c r="D1600" s="87">
        <v>2100</v>
      </c>
      <c r="E1600" s="35">
        <v>44667</v>
      </c>
      <c r="F1600" s="87">
        <v>2100</v>
      </c>
      <c r="G1600" s="91">
        <f>Tabla15[[#This Row],[Importe]]-Tabla15[[#This Row],[Pagado]]</f>
        <v>0</v>
      </c>
      <c r="H1600" s="92" t="s">
        <v>10</v>
      </c>
    </row>
    <row r="1601" spans="1:8" ht="21.75" customHeight="1" x14ac:dyDescent="0.25">
      <c r="A1601" s="35">
        <v>44667</v>
      </c>
      <c r="B1601" s="90" t="s">
        <v>12240</v>
      </c>
      <c r="C1601" s="41" t="s">
        <v>33</v>
      </c>
      <c r="D1601" s="87">
        <v>10137</v>
      </c>
      <c r="E1601" s="35">
        <v>44667</v>
      </c>
      <c r="F1601" s="87">
        <v>10137</v>
      </c>
      <c r="G1601" s="91">
        <f>Tabla15[[#This Row],[Importe]]-Tabla15[[#This Row],[Pagado]]</f>
        <v>0</v>
      </c>
      <c r="H1601" s="92" t="s">
        <v>10</v>
      </c>
    </row>
    <row r="1602" spans="1:8" ht="21.75" customHeight="1" x14ac:dyDescent="0.25">
      <c r="A1602" s="35">
        <v>44667</v>
      </c>
      <c r="B1602" s="90" t="s">
        <v>12241</v>
      </c>
      <c r="C1602" s="41" t="s">
        <v>109</v>
      </c>
      <c r="D1602" s="87">
        <v>9215.7000000000007</v>
      </c>
      <c r="E1602" s="35">
        <v>44669</v>
      </c>
      <c r="F1602" s="87">
        <v>9215.7000000000007</v>
      </c>
      <c r="G1602" s="91">
        <f>Tabla15[[#This Row],[Importe]]-Tabla15[[#This Row],[Pagado]]</f>
        <v>0</v>
      </c>
      <c r="H1602" s="92" t="s">
        <v>10</v>
      </c>
    </row>
    <row r="1603" spans="1:8" ht="31.5" x14ac:dyDescent="0.25">
      <c r="A1603" s="35">
        <v>44667</v>
      </c>
      <c r="B1603" s="90" t="s">
        <v>12242</v>
      </c>
      <c r="C1603" s="41" t="s">
        <v>345</v>
      </c>
      <c r="D1603" s="87">
        <v>4472.7</v>
      </c>
      <c r="E1603" s="35" t="s">
        <v>12015</v>
      </c>
      <c r="F1603" s="87">
        <f>2500+1972.7</f>
        <v>4472.7</v>
      </c>
      <c r="G1603" s="91">
        <f>Tabla15[[#This Row],[Importe]]-Tabla15[[#This Row],[Pagado]]</f>
        <v>0</v>
      </c>
      <c r="H1603" s="92" t="s">
        <v>10</v>
      </c>
    </row>
    <row r="1604" spans="1:8" ht="21.75" customHeight="1" x14ac:dyDescent="0.25">
      <c r="A1604" s="35">
        <v>44667</v>
      </c>
      <c r="B1604" s="90" t="s">
        <v>12243</v>
      </c>
      <c r="C1604" s="41" t="s">
        <v>2563</v>
      </c>
      <c r="D1604" s="87">
        <v>3932.6</v>
      </c>
      <c r="E1604" s="35">
        <v>44667</v>
      </c>
      <c r="F1604" s="87">
        <v>3932.6</v>
      </c>
      <c r="G1604" s="91">
        <f>Tabla15[[#This Row],[Importe]]-Tabla15[[#This Row],[Pagado]]</f>
        <v>0</v>
      </c>
      <c r="H1604" s="92" t="s">
        <v>10</v>
      </c>
    </row>
    <row r="1605" spans="1:8" ht="21.75" customHeight="1" x14ac:dyDescent="0.25">
      <c r="A1605" s="35">
        <v>44667</v>
      </c>
      <c r="B1605" s="90" t="s">
        <v>12244</v>
      </c>
      <c r="C1605" s="41" t="s">
        <v>60</v>
      </c>
      <c r="D1605" s="87">
        <v>11940.9</v>
      </c>
      <c r="E1605" s="35">
        <v>44672</v>
      </c>
      <c r="F1605" s="87">
        <v>11940.9</v>
      </c>
      <c r="G1605" s="91">
        <f>Tabla15[[#This Row],[Importe]]-Tabla15[[#This Row],[Pagado]]</f>
        <v>0</v>
      </c>
      <c r="H1605" s="92" t="s">
        <v>10</v>
      </c>
    </row>
    <row r="1606" spans="1:8" ht="21.75" customHeight="1" x14ac:dyDescent="0.25">
      <c r="A1606" s="35">
        <v>44667</v>
      </c>
      <c r="B1606" s="90" t="s">
        <v>12245</v>
      </c>
      <c r="C1606" s="41" t="s">
        <v>5043</v>
      </c>
      <c r="D1606" s="87">
        <v>9084.2000000000007</v>
      </c>
      <c r="E1606" s="35">
        <v>44670</v>
      </c>
      <c r="F1606" s="87">
        <v>9084.2000000000007</v>
      </c>
      <c r="G1606" s="91">
        <f>Tabla15[[#This Row],[Importe]]-Tabla15[[#This Row],[Pagado]]</f>
        <v>0</v>
      </c>
      <c r="H1606" s="92" t="s">
        <v>10</v>
      </c>
    </row>
    <row r="1607" spans="1:8" ht="31.5" x14ac:dyDescent="0.25">
      <c r="A1607" s="35">
        <v>44667</v>
      </c>
      <c r="B1607" s="90" t="s">
        <v>12246</v>
      </c>
      <c r="C1607" s="41" t="s">
        <v>75</v>
      </c>
      <c r="D1607" s="87">
        <v>20515</v>
      </c>
      <c r="E1607" s="35" t="s">
        <v>12129</v>
      </c>
      <c r="F1607" s="87">
        <f>9977+10538</f>
        <v>20515</v>
      </c>
      <c r="G1607" s="91">
        <f>Tabla15[[#This Row],[Importe]]-Tabla15[[#This Row],[Pagado]]</f>
        <v>0</v>
      </c>
      <c r="H1607" s="92" t="s">
        <v>10</v>
      </c>
    </row>
    <row r="1608" spans="1:8" ht="21.75" customHeight="1" x14ac:dyDescent="0.25">
      <c r="A1608" s="35">
        <v>44667</v>
      </c>
      <c r="B1608" s="90" t="s">
        <v>12247</v>
      </c>
      <c r="C1608" s="41" t="s">
        <v>326</v>
      </c>
      <c r="D1608" s="87">
        <v>9231</v>
      </c>
      <c r="E1608" s="35">
        <v>44669</v>
      </c>
      <c r="F1608" s="87">
        <v>9231</v>
      </c>
      <c r="G1608" s="91">
        <f>Tabla15[[#This Row],[Importe]]-Tabla15[[#This Row],[Pagado]]</f>
        <v>0</v>
      </c>
      <c r="H1608" s="92" t="s">
        <v>10</v>
      </c>
    </row>
    <row r="1609" spans="1:8" ht="21.75" customHeight="1" x14ac:dyDescent="0.25">
      <c r="A1609" s="35">
        <v>44667</v>
      </c>
      <c r="B1609" s="90" t="s">
        <v>12248</v>
      </c>
      <c r="C1609" s="41" t="s">
        <v>230</v>
      </c>
      <c r="D1609" s="87">
        <v>7681.3</v>
      </c>
      <c r="E1609" s="35">
        <v>44667</v>
      </c>
      <c r="F1609" s="87">
        <v>7681.3</v>
      </c>
      <c r="G1609" s="91">
        <f>Tabla15[[#This Row],[Importe]]-Tabla15[[#This Row],[Pagado]]</f>
        <v>0</v>
      </c>
      <c r="H1609" s="92" t="s">
        <v>10</v>
      </c>
    </row>
    <row r="1610" spans="1:8" ht="21.75" customHeight="1" x14ac:dyDescent="0.25">
      <c r="A1610" s="35">
        <v>44667</v>
      </c>
      <c r="B1610" s="90" t="s">
        <v>12249</v>
      </c>
      <c r="C1610" s="41" t="s">
        <v>89</v>
      </c>
      <c r="D1610" s="87">
        <v>10610.8</v>
      </c>
      <c r="E1610" s="35">
        <v>44669</v>
      </c>
      <c r="F1610" s="87">
        <v>10610.8</v>
      </c>
      <c r="G1610" s="91">
        <f>Tabla15[[#This Row],[Importe]]-Tabla15[[#This Row],[Pagado]]</f>
        <v>0</v>
      </c>
      <c r="H1610" s="92" t="s">
        <v>10</v>
      </c>
    </row>
    <row r="1611" spans="1:8" ht="21.75" customHeight="1" x14ac:dyDescent="0.25">
      <c r="A1611" s="35">
        <v>44667</v>
      </c>
      <c r="B1611" s="90" t="s">
        <v>12250</v>
      </c>
      <c r="C1611" s="41" t="s">
        <v>111</v>
      </c>
      <c r="D1611" s="87">
        <v>8542.5</v>
      </c>
      <c r="E1611" s="35">
        <v>44669</v>
      </c>
      <c r="F1611" s="87">
        <v>8542.5</v>
      </c>
      <c r="G1611" s="91">
        <f>Tabla15[[#This Row],[Importe]]-Tabla15[[#This Row],[Pagado]]</f>
        <v>0</v>
      </c>
      <c r="H1611" s="92" t="s">
        <v>10</v>
      </c>
    </row>
    <row r="1612" spans="1:8" ht="21.75" customHeight="1" x14ac:dyDescent="0.25">
      <c r="A1612" s="35">
        <v>44667</v>
      </c>
      <c r="B1612" s="90" t="s">
        <v>12251</v>
      </c>
      <c r="C1612" s="41" t="s">
        <v>348</v>
      </c>
      <c r="D1612" s="87">
        <v>4243.5</v>
      </c>
      <c r="E1612" s="35">
        <v>44669</v>
      </c>
      <c r="F1612" s="87">
        <v>4243.5</v>
      </c>
      <c r="G1612" s="91">
        <f>Tabla15[[#This Row],[Importe]]-Tabla15[[#This Row],[Pagado]]</f>
        <v>0</v>
      </c>
      <c r="H1612" s="92" t="s">
        <v>10</v>
      </c>
    </row>
    <row r="1613" spans="1:8" ht="21.75" customHeight="1" x14ac:dyDescent="0.25">
      <c r="A1613" s="35">
        <v>44667</v>
      </c>
      <c r="B1613" s="90" t="s">
        <v>12252</v>
      </c>
      <c r="C1613" s="41" t="s">
        <v>97</v>
      </c>
      <c r="D1613" s="87">
        <v>16071.3</v>
      </c>
      <c r="E1613" s="35">
        <v>44669</v>
      </c>
      <c r="F1613" s="87">
        <v>16071.3</v>
      </c>
      <c r="G1613" s="91">
        <f>Tabla15[[#This Row],[Importe]]-Tabla15[[#This Row],[Pagado]]</f>
        <v>0</v>
      </c>
      <c r="H1613" s="92" t="s">
        <v>10</v>
      </c>
    </row>
    <row r="1614" spans="1:8" ht="21.75" customHeight="1" x14ac:dyDescent="0.25">
      <c r="A1614" s="35">
        <v>44667</v>
      </c>
      <c r="B1614" s="90" t="s">
        <v>12253</v>
      </c>
      <c r="C1614" s="41" t="s">
        <v>120</v>
      </c>
      <c r="D1614" s="87">
        <v>4202.8999999999996</v>
      </c>
      <c r="E1614" s="35">
        <v>44669</v>
      </c>
      <c r="F1614" s="87">
        <v>4202.8999999999996</v>
      </c>
      <c r="G1614" s="91">
        <f>Tabla15[[#This Row],[Importe]]-Tabla15[[#This Row],[Pagado]]</f>
        <v>0</v>
      </c>
      <c r="H1614" s="92" t="s">
        <v>10</v>
      </c>
    </row>
    <row r="1615" spans="1:8" ht="47.25" x14ac:dyDescent="0.25">
      <c r="A1615" s="35">
        <v>44667</v>
      </c>
      <c r="B1615" s="90" t="s">
        <v>12254</v>
      </c>
      <c r="C1615" s="41" t="s">
        <v>99</v>
      </c>
      <c r="D1615" s="87">
        <v>12498.4</v>
      </c>
      <c r="E1615" s="35" t="s">
        <v>12255</v>
      </c>
      <c r="F1615" s="87">
        <f>4850+4000+3648.4</f>
        <v>12498.4</v>
      </c>
      <c r="G1615" s="91">
        <f>Tabla15[[#This Row],[Importe]]-Tabla15[[#This Row],[Pagado]]</f>
        <v>0</v>
      </c>
      <c r="H1615" s="92" t="s">
        <v>10</v>
      </c>
    </row>
    <row r="1616" spans="1:8" ht="21.75" customHeight="1" x14ac:dyDescent="0.25">
      <c r="A1616" s="35">
        <v>44667</v>
      </c>
      <c r="B1616" s="90" t="s">
        <v>12256</v>
      </c>
      <c r="C1616" s="41" t="s">
        <v>39</v>
      </c>
      <c r="D1616" s="87">
        <v>33087.4</v>
      </c>
      <c r="E1616" s="35">
        <v>44670</v>
      </c>
      <c r="F1616" s="87">
        <v>33087.4</v>
      </c>
      <c r="G1616" s="91">
        <f>Tabla15[[#This Row],[Importe]]-Tabla15[[#This Row],[Pagado]]</f>
        <v>0</v>
      </c>
      <c r="H1616" s="92" t="s">
        <v>10</v>
      </c>
    </row>
    <row r="1617" spans="1:8" ht="21.75" customHeight="1" x14ac:dyDescent="0.25">
      <c r="A1617" s="35">
        <v>44667</v>
      </c>
      <c r="B1617" s="90" t="s">
        <v>12257</v>
      </c>
      <c r="C1617" s="41" t="s">
        <v>14</v>
      </c>
      <c r="D1617" s="87">
        <v>43212.6</v>
      </c>
      <c r="E1617" s="35">
        <v>44667</v>
      </c>
      <c r="F1617" s="87">
        <v>43212.6</v>
      </c>
      <c r="G1617" s="91">
        <f>Tabla15[[#This Row],[Importe]]-Tabla15[[#This Row],[Pagado]]</f>
        <v>0</v>
      </c>
      <c r="H1617" s="92" t="s">
        <v>10</v>
      </c>
    </row>
    <row r="1618" spans="1:8" ht="21.75" customHeight="1" x14ac:dyDescent="0.25">
      <c r="A1618" s="35">
        <v>44667</v>
      </c>
      <c r="B1618" s="90" t="s">
        <v>12258</v>
      </c>
      <c r="C1618" s="41" t="s">
        <v>131</v>
      </c>
      <c r="D1618" s="87">
        <v>16772.400000000001</v>
      </c>
      <c r="E1618" s="35">
        <v>44667</v>
      </c>
      <c r="F1618" s="87">
        <v>16772.400000000001</v>
      </c>
      <c r="G1618" s="91">
        <f>Tabla15[[#This Row],[Importe]]-Tabla15[[#This Row],[Pagado]]</f>
        <v>0</v>
      </c>
      <c r="H1618" s="92" t="s">
        <v>10</v>
      </c>
    </row>
    <row r="1619" spans="1:8" ht="21.75" customHeight="1" x14ac:dyDescent="0.25">
      <c r="A1619" s="35">
        <v>44667</v>
      </c>
      <c r="B1619" s="90" t="s">
        <v>12259</v>
      </c>
      <c r="C1619" s="41" t="s">
        <v>93</v>
      </c>
      <c r="D1619" s="87">
        <v>17326.900000000001</v>
      </c>
      <c r="E1619" s="35">
        <v>44669</v>
      </c>
      <c r="F1619" s="87">
        <v>17326.900000000001</v>
      </c>
      <c r="G1619" s="91">
        <f>Tabla15[[#This Row],[Importe]]-Tabla15[[#This Row],[Pagado]]</f>
        <v>0</v>
      </c>
      <c r="H1619" s="92" t="s">
        <v>10</v>
      </c>
    </row>
    <row r="1620" spans="1:8" ht="21.75" customHeight="1" x14ac:dyDescent="0.25">
      <c r="A1620" s="35">
        <v>44667</v>
      </c>
      <c r="B1620" s="90" t="s">
        <v>12260</v>
      </c>
      <c r="C1620" s="41" t="s">
        <v>222</v>
      </c>
      <c r="D1620" s="87">
        <v>4911.2</v>
      </c>
      <c r="E1620" s="35">
        <v>44667</v>
      </c>
      <c r="F1620" s="87">
        <v>4911.2</v>
      </c>
      <c r="G1620" s="91">
        <f>Tabla15[[#This Row],[Importe]]-Tabla15[[#This Row],[Pagado]]</f>
        <v>0</v>
      </c>
      <c r="H1620" s="92" t="s">
        <v>10</v>
      </c>
    </row>
    <row r="1621" spans="1:8" ht="21.75" customHeight="1" x14ac:dyDescent="0.25">
      <c r="A1621" s="35">
        <v>44667</v>
      </c>
      <c r="B1621" s="90" t="s">
        <v>12261</v>
      </c>
      <c r="C1621" s="41" t="s">
        <v>64</v>
      </c>
      <c r="D1621" s="87">
        <v>8438.7000000000007</v>
      </c>
      <c r="E1621" s="35">
        <v>44669</v>
      </c>
      <c r="F1621" s="87">
        <v>8438.7000000000007</v>
      </c>
      <c r="G1621" s="91">
        <f>Tabla15[[#This Row],[Importe]]-Tabla15[[#This Row],[Pagado]]</f>
        <v>0</v>
      </c>
      <c r="H1621" s="92" t="s">
        <v>10</v>
      </c>
    </row>
    <row r="1622" spans="1:8" ht="21.75" customHeight="1" x14ac:dyDescent="0.25">
      <c r="A1622" s="35">
        <v>44667</v>
      </c>
      <c r="B1622" s="90" t="s">
        <v>12262</v>
      </c>
      <c r="C1622" s="41" t="s">
        <v>114</v>
      </c>
      <c r="D1622" s="87">
        <v>14416.9</v>
      </c>
      <c r="E1622" s="35">
        <v>44670</v>
      </c>
      <c r="F1622" s="87">
        <v>14416.9</v>
      </c>
      <c r="G1622" s="91">
        <f>Tabla15[[#This Row],[Importe]]-Tabla15[[#This Row],[Pagado]]</f>
        <v>0</v>
      </c>
      <c r="H1622" s="92" t="s">
        <v>10</v>
      </c>
    </row>
    <row r="1623" spans="1:8" ht="21.75" customHeight="1" x14ac:dyDescent="0.25">
      <c r="A1623" s="35">
        <v>44667</v>
      </c>
      <c r="B1623" s="90" t="s">
        <v>12263</v>
      </c>
      <c r="C1623" s="41" t="s">
        <v>116</v>
      </c>
      <c r="D1623" s="87">
        <v>3884.9</v>
      </c>
      <c r="E1623" s="35">
        <v>44669</v>
      </c>
      <c r="F1623" s="87">
        <v>3884.9</v>
      </c>
      <c r="G1623" s="91">
        <f>Tabla15[[#This Row],[Importe]]-Tabla15[[#This Row],[Pagado]]</f>
        <v>0</v>
      </c>
      <c r="H1623" s="92" t="s">
        <v>10</v>
      </c>
    </row>
    <row r="1624" spans="1:8" ht="21.75" customHeight="1" x14ac:dyDescent="0.25">
      <c r="A1624" s="35">
        <v>44667</v>
      </c>
      <c r="B1624" s="90" t="s">
        <v>12264</v>
      </c>
      <c r="C1624" s="41" t="s">
        <v>49</v>
      </c>
      <c r="D1624" s="87">
        <v>4161</v>
      </c>
      <c r="E1624" s="35">
        <v>44667</v>
      </c>
      <c r="F1624" s="87">
        <v>4161</v>
      </c>
      <c r="G1624" s="91">
        <f>Tabla15[[#This Row],[Importe]]-Tabla15[[#This Row],[Pagado]]</f>
        <v>0</v>
      </c>
      <c r="H1624" s="92" t="s">
        <v>10</v>
      </c>
    </row>
    <row r="1625" spans="1:8" ht="21.75" customHeight="1" x14ac:dyDescent="0.25">
      <c r="A1625" s="35">
        <v>44667</v>
      </c>
      <c r="B1625" s="90" t="s">
        <v>12265</v>
      </c>
      <c r="C1625" s="41" t="s">
        <v>105</v>
      </c>
      <c r="D1625" s="87">
        <v>14730.6</v>
      </c>
      <c r="E1625" s="35">
        <v>44669</v>
      </c>
      <c r="F1625" s="87">
        <v>14730.6</v>
      </c>
      <c r="G1625" s="91">
        <f>Tabla15[[#This Row],[Importe]]-Tabla15[[#This Row],[Pagado]]</f>
        <v>0</v>
      </c>
      <c r="H1625" s="92" t="s">
        <v>10</v>
      </c>
    </row>
    <row r="1626" spans="1:8" ht="21.75" customHeight="1" x14ac:dyDescent="0.25">
      <c r="A1626" s="35">
        <v>44667</v>
      </c>
      <c r="B1626" s="90" t="s">
        <v>12266</v>
      </c>
      <c r="C1626" s="41" t="s">
        <v>56</v>
      </c>
      <c r="D1626" s="87">
        <v>10126.4</v>
      </c>
      <c r="E1626" s="35">
        <v>44667</v>
      </c>
      <c r="F1626" s="87">
        <v>10126.4</v>
      </c>
      <c r="G1626" s="91">
        <f>Tabla15[[#This Row],[Importe]]-Tabla15[[#This Row],[Pagado]]</f>
        <v>0</v>
      </c>
      <c r="H1626" s="92" t="s">
        <v>10</v>
      </c>
    </row>
    <row r="1627" spans="1:8" ht="21.75" customHeight="1" x14ac:dyDescent="0.25">
      <c r="A1627" s="35">
        <v>44667</v>
      </c>
      <c r="B1627" s="90" t="s">
        <v>12267</v>
      </c>
      <c r="C1627" s="41" t="s">
        <v>4136</v>
      </c>
      <c r="D1627" s="87">
        <v>3287.4</v>
      </c>
      <c r="E1627" s="35">
        <v>44667</v>
      </c>
      <c r="F1627" s="87">
        <v>3287.4</v>
      </c>
      <c r="G1627" s="91">
        <f>Tabla15[[#This Row],[Importe]]-Tabla15[[#This Row],[Pagado]]</f>
        <v>0</v>
      </c>
      <c r="H1627" s="92" t="s">
        <v>10</v>
      </c>
    </row>
    <row r="1628" spans="1:8" ht="21.75" customHeight="1" x14ac:dyDescent="0.25">
      <c r="A1628" s="35">
        <v>44667</v>
      </c>
      <c r="B1628" s="90" t="s">
        <v>12268</v>
      </c>
      <c r="C1628" s="41" t="s">
        <v>2151</v>
      </c>
      <c r="D1628" s="87">
        <v>9802.9</v>
      </c>
      <c r="E1628" s="35">
        <v>44667</v>
      </c>
      <c r="F1628" s="87">
        <v>9802.9</v>
      </c>
      <c r="G1628" s="91">
        <f>Tabla15[[#This Row],[Importe]]-Tabla15[[#This Row],[Pagado]]</f>
        <v>0</v>
      </c>
      <c r="H1628" s="92" t="s">
        <v>10</v>
      </c>
    </row>
    <row r="1629" spans="1:8" ht="21.75" customHeight="1" x14ac:dyDescent="0.25">
      <c r="A1629" s="35">
        <v>44667</v>
      </c>
      <c r="B1629" s="90" t="s">
        <v>12269</v>
      </c>
      <c r="C1629" s="41" t="s">
        <v>31</v>
      </c>
      <c r="D1629" s="87">
        <v>1082.2</v>
      </c>
      <c r="E1629" s="35">
        <v>44667</v>
      </c>
      <c r="F1629" s="87">
        <v>1082.2</v>
      </c>
      <c r="G1629" s="91">
        <f>Tabla15[[#This Row],[Importe]]-Tabla15[[#This Row],[Pagado]]</f>
        <v>0</v>
      </c>
      <c r="H1629" s="92" t="s">
        <v>10</v>
      </c>
    </row>
    <row r="1630" spans="1:8" ht="21.75" customHeight="1" x14ac:dyDescent="0.25">
      <c r="A1630" s="35">
        <v>44667</v>
      </c>
      <c r="B1630" s="90" t="s">
        <v>12270</v>
      </c>
      <c r="C1630" s="41" t="s">
        <v>85</v>
      </c>
      <c r="D1630" s="87">
        <v>1639</v>
      </c>
      <c r="E1630" s="35">
        <v>44667</v>
      </c>
      <c r="F1630" s="87">
        <v>1639</v>
      </c>
      <c r="G1630" s="91">
        <f>Tabla15[[#This Row],[Importe]]-Tabla15[[#This Row],[Pagado]]</f>
        <v>0</v>
      </c>
      <c r="H1630" s="92" t="s">
        <v>10</v>
      </c>
    </row>
    <row r="1631" spans="1:8" ht="21.75" customHeight="1" x14ac:dyDescent="0.25">
      <c r="A1631" s="35">
        <v>44667</v>
      </c>
      <c r="B1631" s="90" t="s">
        <v>12271</v>
      </c>
      <c r="C1631" s="41" t="s">
        <v>31</v>
      </c>
      <c r="D1631" s="87">
        <v>478.8</v>
      </c>
      <c r="E1631" s="35">
        <v>44667</v>
      </c>
      <c r="F1631" s="87">
        <v>478.8</v>
      </c>
      <c r="G1631" s="91">
        <f>Tabla15[[#This Row],[Importe]]-Tabla15[[#This Row],[Pagado]]</f>
        <v>0</v>
      </c>
      <c r="H1631" s="92" t="s">
        <v>10</v>
      </c>
    </row>
    <row r="1632" spans="1:8" ht="21.75" customHeight="1" x14ac:dyDescent="0.25">
      <c r="A1632" s="35">
        <v>44667</v>
      </c>
      <c r="B1632" s="90" t="s">
        <v>12272</v>
      </c>
      <c r="C1632" s="41" t="s">
        <v>196</v>
      </c>
      <c r="D1632" s="87">
        <v>113918.95</v>
      </c>
      <c r="E1632" s="35">
        <v>44669</v>
      </c>
      <c r="F1632" s="87">
        <v>113918.95</v>
      </c>
      <c r="G1632" s="91">
        <f>Tabla15[[#This Row],[Importe]]-Tabla15[[#This Row],[Pagado]]</f>
        <v>0</v>
      </c>
      <c r="H1632" s="92" t="s">
        <v>10</v>
      </c>
    </row>
    <row r="1633" spans="1:8" ht="21.75" customHeight="1" x14ac:dyDescent="0.25">
      <c r="A1633" s="35">
        <v>44667</v>
      </c>
      <c r="B1633" s="90" t="s">
        <v>12273</v>
      </c>
      <c r="C1633" s="41" t="s">
        <v>214</v>
      </c>
      <c r="D1633" s="87">
        <v>1595</v>
      </c>
      <c r="E1633" s="35">
        <v>44667</v>
      </c>
      <c r="F1633" s="87">
        <v>1595</v>
      </c>
      <c r="G1633" s="91">
        <f>Tabla15[[#This Row],[Importe]]-Tabla15[[#This Row],[Pagado]]</f>
        <v>0</v>
      </c>
      <c r="H1633" s="92" t="s">
        <v>10</v>
      </c>
    </row>
    <row r="1634" spans="1:8" ht="21.75" customHeight="1" x14ac:dyDescent="0.25">
      <c r="A1634" s="35">
        <v>44667</v>
      </c>
      <c r="B1634" s="90" t="s">
        <v>12274</v>
      </c>
      <c r="C1634" s="41" t="s">
        <v>3971</v>
      </c>
      <c r="D1634" s="87">
        <v>5258.5</v>
      </c>
      <c r="E1634" s="35">
        <v>44667</v>
      </c>
      <c r="F1634" s="87">
        <v>5258.5</v>
      </c>
      <c r="G1634" s="91">
        <f>Tabla15[[#This Row],[Importe]]-Tabla15[[#This Row],[Pagado]]</f>
        <v>0</v>
      </c>
      <c r="H1634" s="92" t="s">
        <v>10</v>
      </c>
    </row>
    <row r="1635" spans="1:8" ht="21.75" customHeight="1" x14ac:dyDescent="0.25">
      <c r="A1635" s="35">
        <v>44667</v>
      </c>
      <c r="B1635" s="90" t="s">
        <v>12275</v>
      </c>
      <c r="C1635" s="41" t="s">
        <v>159</v>
      </c>
      <c r="D1635" s="87">
        <v>2193.8000000000002</v>
      </c>
      <c r="E1635" s="35">
        <v>44667</v>
      </c>
      <c r="F1635" s="87">
        <v>2193.8000000000002</v>
      </c>
      <c r="G1635" s="91">
        <f>Tabla15[[#This Row],[Importe]]-Tabla15[[#This Row],[Pagado]]</f>
        <v>0</v>
      </c>
      <c r="H1635" s="92" t="s">
        <v>10</v>
      </c>
    </row>
    <row r="1636" spans="1:8" ht="21.75" customHeight="1" x14ac:dyDescent="0.25">
      <c r="A1636" s="35">
        <v>44667</v>
      </c>
      <c r="B1636" s="90" t="s">
        <v>12276</v>
      </c>
      <c r="C1636" s="41" t="s">
        <v>79</v>
      </c>
      <c r="D1636" s="87">
        <v>31497.200000000001</v>
      </c>
      <c r="E1636" s="35">
        <v>44667</v>
      </c>
      <c r="F1636" s="87">
        <v>31497.200000000001</v>
      </c>
      <c r="G1636" s="91">
        <f>Tabla15[[#This Row],[Importe]]-Tabla15[[#This Row],[Pagado]]</f>
        <v>0</v>
      </c>
      <c r="H1636" s="92" t="s">
        <v>10</v>
      </c>
    </row>
    <row r="1637" spans="1:8" ht="21.75" customHeight="1" x14ac:dyDescent="0.25">
      <c r="A1637" s="35">
        <v>44667</v>
      </c>
      <c r="B1637" s="90" t="s">
        <v>12277</v>
      </c>
      <c r="C1637" s="41" t="s">
        <v>45</v>
      </c>
      <c r="D1637" s="87">
        <v>18235.900000000001</v>
      </c>
      <c r="E1637" s="35">
        <v>44667</v>
      </c>
      <c r="F1637" s="87">
        <v>18235.900000000001</v>
      </c>
      <c r="G1637" s="91">
        <f>Tabla15[[#This Row],[Importe]]-Tabla15[[#This Row],[Pagado]]</f>
        <v>0</v>
      </c>
      <c r="H1637" s="92" t="s">
        <v>10</v>
      </c>
    </row>
    <row r="1638" spans="1:8" ht="21.75" customHeight="1" x14ac:dyDescent="0.25">
      <c r="A1638" s="35">
        <v>44667</v>
      </c>
      <c r="B1638" s="90" t="s">
        <v>12278</v>
      </c>
      <c r="C1638" s="41" t="s">
        <v>373</v>
      </c>
      <c r="D1638" s="87">
        <v>412.5</v>
      </c>
      <c r="E1638" s="35">
        <v>44667</v>
      </c>
      <c r="F1638" s="87">
        <v>412.5</v>
      </c>
      <c r="G1638" s="91">
        <f>Tabla15[[#This Row],[Importe]]-Tabla15[[#This Row],[Pagado]]</f>
        <v>0</v>
      </c>
      <c r="H1638" s="92" t="s">
        <v>10</v>
      </c>
    </row>
    <row r="1639" spans="1:8" ht="21.75" customHeight="1" x14ac:dyDescent="0.25">
      <c r="A1639" s="35">
        <v>44667</v>
      </c>
      <c r="B1639" s="90" t="s">
        <v>12279</v>
      </c>
      <c r="C1639" s="41" t="s">
        <v>380</v>
      </c>
      <c r="D1639" s="87">
        <v>26716</v>
      </c>
      <c r="E1639" s="35">
        <v>44667</v>
      </c>
      <c r="F1639" s="87">
        <v>26716</v>
      </c>
      <c r="G1639" s="91">
        <f>Tabla15[[#This Row],[Importe]]-Tabla15[[#This Row],[Pagado]]</f>
        <v>0</v>
      </c>
      <c r="H1639" s="92" t="s">
        <v>10</v>
      </c>
    </row>
    <row r="1640" spans="1:8" ht="21.75" customHeight="1" x14ac:dyDescent="0.25">
      <c r="A1640" s="35">
        <v>44667</v>
      </c>
      <c r="B1640" s="90" t="s">
        <v>12280</v>
      </c>
      <c r="C1640" s="41" t="s">
        <v>414</v>
      </c>
      <c r="D1640" s="87">
        <v>10789.2</v>
      </c>
      <c r="E1640" s="35">
        <v>44667</v>
      </c>
      <c r="F1640" s="87">
        <v>10789.2</v>
      </c>
      <c r="G1640" s="91">
        <f>Tabla15[[#This Row],[Importe]]-Tabla15[[#This Row],[Pagado]]</f>
        <v>0</v>
      </c>
      <c r="H1640" s="92" t="s">
        <v>10</v>
      </c>
    </row>
    <row r="1641" spans="1:8" ht="21.75" customHeight="1" x14ac:dyDescent="0.25">
      <c r="A1641" s="35">
        <v>44667</v>
      </c>
      <c r="B1641" s="90" t="s">
        <v>12281</v>
      </c>
      <c r="C1641" s="41" t="s">
        <v>31</v>
      </c>
      <c r="D1641" s="87">
        <v>6770.8</v>
      </c>
      <c r="E1641" s="35">
        <v>44667</v>
      </c>
      <c r="F1641" s="87">
        <v>6770.8</v>
      </c>
      <c r="G1641" s="91">
        <f>Tabla15[[#This Row],[Importe]]-Tabla15[[#This Row],[Pagado]]</f>
        <v>0</v>
      </c>
      <c r="H1641" s="92" t="s">
        <v>10</v>
      </c>
    </row>
    <row r="1642" spans="1:8" ht="21.75" customHeight="1" x14ac:dyDescent="0.25">
      <c r="A1642" s="35">
        <v>44667</v>
      </c>
      <c r="B1642" s="90" t="s">
        <v>12282</v>
      </c>
      <c r="C1642" s="41" t="s">
        <v>191</v>
      </c>
      <c r="D1642" s="87">
        <v>3820.8</v>
      </c>
      <c r="E1642" s="35">
        <v>44667</v>
      </c>
      <c r="F1642" s="87">
        <v>3820.8</v>
      </c>
      <c r="G1642" s="91">
        <f>Tabla15[[#This Row],[Importe]]-Tabla15[[#This Row],[Pagado]]</f>
        <v>0</v>
      </c>
      <c r="H1642" s="92" t="s">
        <v>10</v>
      </c>
    </row>
    <row r="1643" spans="1:8" ht="21.75" customHeight="1" x14ac:dyDescent="0.25">
      <c r="A1643" s="35">
        <v>44667</v>
      </c>
      <c r="B1643" s="90" t="s">
        <v>12283</v>
      </c>
      <c r="C1643" s="41" t="s">
        <v>319</v>
      </c>
      <c r="D1643" s="87">
        <v>3320.1</v>
      </c>
      <c r="E1643" s="35">
        <v>44667</v>
      </c>
      <c r="F1643" s="87">
        <v>3320.1</v>
      </c>
      <c r="G1643" s="91">
        <f>Tabla15[[#This Row],[Importe]]-Tabla15[[#This Row],[Pagado]]</f>
        <v>0</v>
      </c>
      <c r="H1643" s="92" t="s">
        <v>10</v>
      </c>
    </row>
    <row r="1644" spans="1:8" ht="21.75" customHeight="1" x14ac:dyDescent="0.25">
      <c r="A1644" s="35">
        <v>44667</v>
      </c>
      <c r="B1644" s="90" t="s">
        <v>12284</v>
      </c>
      <c r="C1644" s="41" t="s">
        <v>520</v>
      </c>
      <c r="D1644" s="87">
        <v>15990.7</v>
      </c>
      <c r="E1644" s="35">
        <v>44667</v>
      </c>
      <c r="F1644" s="87">
        <v>15990.7</v>
      </c>
      <c r="G1644" s="91">
        <f>Tabla15[[#This Row],[Importe]]-Tabla15[[#This Row],[Pagado]]</f>
        <v>0</v>
      </c>
      <c r="H1644" s="92" t="s">
        <v>10</v>
      </c>
    </row>
    <row r="1645" spans="1:8" ht="21.75" customHeight="1" x14ac:dyDescent="0.25">
      <c r="A1645" s="35">
        <v>44667</v>
      </c>
      <c r="B1645" s="90" t="s">
        <v>12285</v>
      </c>
      <c r="C1645" s="41" t="s">
        <v>840</v>
      </c>
      <c r="D1645" s="87">
        <v>14331</v>
      </c>
      <c r="E1645" s="35">
        <v>44667</v>
      </c>
      <c r="F1645" s="87">
        <v>14331</v>
      </c>
      <c r="G1645" s="91">
        <f>Tabla15[[#This Row],[Importe]]-Tabla15[[#This Row],[Pagado]]</f>
        <v>0</v>
      </c>
      <c r="H1645" s="92" t="s">
        <v>10</v>
      </c>
    </row>
    <row r="1646" spans="1:8" ht="21.75" customHeight="1" x14ac:dyDescent="0.25">
      <c r="A1646" s="35">
        <v>44667</v>
      </c>
      <c r="B1646" s="90" t="s">
        <v>12286</v>
      </c>
      <c r="C1646" s="41" t="s">
        <v>966</v>
      </c>
      <c r="D1646" s="87">
        <v>1579.92</v>
      </c>
      <c r="E1646" s="35">
        <v>44667</v>
      </c>
      <c r="F1646" s="87">
        <v>1579.92</v>
      </c>
      <c r="G1646" s="91">
        <f>Tabla15[[#This Row],[Importe]]-Tabla15[[#This Row],[Pagado]]</f>
        <v>0</v>
      </c>
      <c r="H1646" s="92" t="s">
        <v>10</v>
      </c>
    </row>
    <row r="1647" spans="1:8" ht="21.75" customHeight="1" x14ac:dyDescent="0.25">
      <c r="A1647" s="35">
        <v>44667</v>
      </c>
      <c r="B1647" s="90" t="s">
        <v>12287</v>
      </c>
      <c r="C1647" s="41" t="s">
        <v>157</v>
      </c>
      <c r="D1647" s="87">
        <v>3369</v>
      </c>
      <c r="E1647" s="35">
        <v>44667</v>
      </c>
      <c r="F1647" s="87">
        <v>3369</v>
      </c>
      <c r="G1647" s="91">
        <f>Tabla15[[#This Row],[Importe]]-Tabla15[[#This Row],[Pagado]]</f>
        <v>0</v>
      </c>
      <c r="H1647" s="92" t="s">
        <v>10</v>
      </c>
    </row>
    <row r="1648" spans="1:8" ht="21.75" customHeight="1" x14ac:dyDescent="0.25">
      <c r="A1648" s="35">
        <v>44667</v>
      </c>
      <c r="B1648" s="90" t="s">
        <v>12288</v>
      </c>
      <c r="C1648" s="41" t="s">
        <v>146</v>
      </c>
      <c r="D1648" s="87">
        <v>3741</v>
      </c>
      <c r="E1648" s="35">
        <v>44667</v>
      </c>
      <c r="F1648" s="87">
        <v>3741</v>
      </c>
      <c r="G1648" s="91">
        <f>Tabla15[[#This Row],[Importe]]-Tabla15[[#This Row],[Pagado]]</f>
        <v>0</v>
      </c>
      <c r="H1648" s="92" t="s">
        <v>10</v>
      </c>
    </row>
    <row r="1649" spans="1:8" ht="21.75" customHeight="1" x14ac:dyDescent="0.25">
      <c r="A1649" s="35">
        <v>44667</v>
      </c>
      <c r="B1649" s="90" t="s">
        <v>12289</v>
      </c>
      <c r="C1649" s="41" t="s">
        <v>183</v>
      </c>
      <c r="D1649" s="87">
        <v>390.4</v>
      </c>
      <c r="E1649" s="35">
        <v>44667</v>
      </c>
      <c r="F1649" s="87">
        <v>390.4</v>
      </c>
      <c r="G1649" s="91">
        <f>Tabla15[[#This Row],[Importe]]-Tabla15[[#This Row],[Pagado]]</f>
        <v>0</v>
      </c>
      <c r="H1649" s="92" t="s">
        <v>10</v>
      </c>
    </row>
    <row r="1650" spans="1:8" ht="21.75" customHeight="1" x14ac:dyDescent="0.25">
      <c r="A1650" s="35">
        <v>44667</v>
      </c>
      <c r="B1650" s="90" t="s">
        <v>12290</v>
      </c>
      <c r="C1650" s="41" t="s">
        <v>421</v>
      </c>
      <c r="D1650" s="87">
        <v>12548</v>
      </c>
      <c r="E1650" s="35">
        <v>44681</v>
      </c>
      <c r="F1650" s="87">
        <v>12548</v>
      </c>
      <c r="G1650" s="91">
        <f>Tabla15[[#This Row],[Importe]]-Tabla15[[#This Row],[Pagado]]</f>
        <v>0</v>
      </c>
      <c r="H1650" s="92" t="s">
        <v>10</v>
      </c>
    </row>
    <row r="1651" spans="1:8" ht="21.75" customHeight="1" x14ac:dyDescent="0.25">
      <c r="A1651" s="35">
        <v>44667</v>
      </c>
      <c r="B1651" s="90" t="s">
        <v>12291</v>
      </c>
      <c r="C1651" s="41" t="s">
        <v>664</v>
      </c>
      <c r="D1651" s="87">
        <v>8189.6</v>
      </c>
      <c r="E1651" s="35">
        <v>44667</v>
      </c>
      <c r="F1651" s="87">
        <v>8189.6</v>
      </c>
      <c r="G1651" s="91">
        <f>Tabla15[[#This Row],[Importe]]-Tabla15[[#This Row],[Pagado]]</f>
        <v>0</v>
      </c>
      <c r="H1651" s="92" t="s">
        <v>10</v>
      </c>
    </row>
    <row r="1652" spans="1:8" ht="21.75" customHeight="1" x14ac:dyDescent="0.25">
      <c r="A1652" s="35">
        <v>44667</v>
      </c>
      <c r="B1652" s="90" t="s">
        <v>12292</v>
      </c>
      <c r="C1652" s="41" t="s">
        <v>296</v>
      </c>
      <c r="D1652" s="87">
        <v>9391</v>
      </c>
      <c r="E1652" s="35">
        <v>44667</v>
      </c>
      <c r="F1652" s="87">
        <v>9391</v>
      </c>
      <c r="G1652" s="91">
        <f>Tabla15[[#This Row],[Importe]]-Tabla15[[#This Row],[Pagado]]</f>
        <v>0</v>
      </c>
      <c r="H1652" s="92" t="s">
        <v>10</v>
      </c>
    </row>
    <row r="1653" spans="1:8" ht="21.75" customHeight="1" x14ac:dyDescent="0.25">
      <c r="A1653" s="35">
        <v>44667</v>
      </c>
      <c r="B1653" s="90" t="s">
        <v>12293</v>
      </c>
      <c r="C1653" s="41" t="s">
        <v>31</v>
      </c>
      <c r="D1653" s="87">
        <v>1219.8</v>
      </c>
      <c r="E1653" s="35">
        <v>44667</v>
      </c>
      <c r="F1653" s="87">
        <v>1219.8</v>
      </c>
      <c r="G1653" s="91">
        <f>Tabla15[[#This Row],[Importe]]-Tabla15[[#This Row],[Pagado]]</f>
        <v>0</v>
      </c>
      <c r="H1653" s="92" t="s">
        <v>10</v>
      </c>
    </row>
    <row r="1654" spans="1:8" ht="21.75" customHeight="1" x14ac:dyDescent="0.25">
      <c r="A1654" s="35">
        <v>44667</v>
      </c>
      <c r="B1654" s="90" t="s">
        <v>12294</v>
      </c>
      <c r="C1654" s="41" t="s">
        <v>179</v>
      </c>
      <c r="D1654" s="87">
        <v>1677.5</v>
      </c>
      <c r="E1654" s="35">
        <v>44667</v>
      </c>
      <c r="F1654" s="87">
        <v>1677.5</v>
      </c>
      <c r="G1654" s="91">
        <f>Tabla15[[#This Row],[Importe]]-Tabla15[[#This Row],[Pagado]]</f>
        <v>0</v>
      </c>
      <c r="H1654" s="92" t="s">
        <v>10</v>
      </c>
    </row>
    <row r="1655" spans="1:8" ht="21.75" customHeight="1" x14ac:dyDescent="0.25">
      <c r="A1655" s="35">
        <v>44667</v>
      </c>
      <c r="B1655" s="90" t="s">
        <v>12295</v>
      </c>
      <c r="C1655" s="41" t="s">
        <v>7295</v>
      </c>
      <c r="D1655" s="87">
        <v>1034</v>
      </c>
      <c r="E1655" s="35">
        <v>44667</v>
      </c>
      <c r="F1655" s="87">
        <v>1034</v>
      </c>
      <c r="G1655" s="91">
        <f>Tabla15[[#This Row],[Importe]]-Tabla15[[#This Row],[Pagado]]</f>
        <v>0</v>
      </c>
      <c r="H1655" s="92" t="s">
        <v>10</v>
      </c>
    </row>
    <row r="1656" spans="1:8" ht="21.75" customHeight="1" x14ac:dyDescent="0.25">
      <c r="A1656" s="35">
        <v>44667</v>
      </c>
      <c r="B1656" s="90" t="s">
        <v>12296</v>
      </c>
      <c r="C1656" s="41" t="s">
        <v>31</v>
      </c>
      <c r="D1656" s="87">
        <v>742.9</v>
      </c>
      <c r="E1656" s="35">
        <v>44667</v>
      </c>
      <c r="F1656" s="87">
        <v>742.9</v>
      </c>
      <c r="G1656" s="91">
        <f>Tabla15[[#This Row],[Importe]]-Tabla15[[#This Row],[Pagado]]</f>
        <v>0</v>
      </c>
      <c r="H1656" s="92" t="s">
        <v>10</v>
      </c>
    </row>
    <row r="1657" spans="1:8" ht="21.75" customHeight="1" x14ac:dyDescent="0.25">
      <c r="A1657" s="35">
        <v>44667</v>
      </c>
      <c r="B1657" s="90" t="s">
        <v>12297</v>
      </c>
      <c r="C1657" s="41" t="s">
        <v>994</v>
      </c>
      <c r="D1657" s="87">
        <v>1473.4</v>
      </c>
      <c r="E1657" s="35">
        <v>44667</v>
      </c>
      <c r="F1657" s="87">
        <v>1473.4</v>
      </c>
      <c r="G1657" s="91">
        <f>Tabla15[[#This Row],[Importe]]-Tabla15[[#This Row],[Pagado]]</f>
        <v>0</v>
      </c>
      <c r="H1657" s="92" t="s">
        <v>10</v>
      </c>
    </row>
    <row r="1658" spans="1:8" ht="21.75" customHeight="1" x14ac:dyDescent="0.25">
      <c r="A1658" s="35">
        <v>44667</v>
      </c>
      <c r="B1658" s="90" t="s">
        <v>12298</v>
      </c>
      <c r="C1658" s="41" t="s">
        <v>58</v>
      </c>
      <c r="D1658" s="87">
        <v>4266.2</v>
      </c>
      <c r="E1658" s="35">
        <v>44667</v>
      </c>
      <c r="F1658" s="87">
        <v>4266.2</v>
      </c>
      <c r="G1658" s="91">
        <f>Tabla15[[#This Row],[Importe]]-Tabla15[[#This Row],[Pagado]]</f>
        <v>0</v>
      </c>
      <c r="H1658" s="92" t="s">
        <v>10</v>
      </c>
    </row>
    <row r="1659" spans="1:8" ht="21.75" customHeight="1" x14ac:dyDescent="0.25">
      <c r="A1659" s="35">
        <v>44667</v>
      </c>
      <c r="B1659" s="90" t="s">
        <v>12299</v>
      </c>
      <c r="C1659" s="41" t="s">
        <v>107</v>
      </c>
      <c r="D1659" s="87">
        <v>25450</v>
      </c>
      <c r="E1659" s="35">
        <v>44667</v>
      </c>
      <c r="F1659" s="87">
        <v>25450</v>
      </c>
      <c r="G1659" s="91">
        <f>Tabla15[[#This Row],[Importe]]-Tabla15[[#This Row],[Pagado]]</f>
        <v>0</v>
      </c>
      <c r="H1659" s="92" t="s">
        <v>10</v>
      </c>
    </row>
    <row r="1660" spans="1:8" ht="21.75" customHeight="1" x14ac:dyDescent="0.25">
      <c r="A1660" s="35">
        <v>44667</v>
      </c>
      <c r="B1660" s="90" t="s">
        <v>12300</v>
      </c>
      <c r="C1660" s="41" t="s">
        <v>67</v>
      </c>
      <c r="D1660" s="87">
        <v>1816</v>
      </c>
      <c r="E1660" s="35">
        <v>44667</v>
      </c>
      <c r="F1660" s="87">
        <v>1816</v>
      </c>
      <c r="G1660" s="91">
        <f>Tabla15[[#This Row],[Importe]]-Tabla15[[#This Row],[Pagado]]</f>
        <v>0</v>
      </c>
      <c r="H1660" s="92" t="s">
        <v>10</v>
      </c>
    </row>
    <row r="1661" spans="1:8" ht="21.75" customHeight="1" x14ac:dyDescent="0.25">
      <c r="A1661" s="35">
        <v>44667</v>
      </c>
      <c r="B1661" s="90" t="s">
        <v>12301</v>
      </c>
      <c r="C1661" s="41" t="s">
        <v>67</v>
      </c>
      <c r="D1661" s="87">
        <v>313.5</v>
      </c>
      <c r="E1661" s="35">
        <v>44667</v>
      </c>
      <c r="F1661" s="87">
        <v>313.5</v>
      </c>
      <c r="G1661" s="91">
        <f>Tabla15[[#This Row],[Importe]]-Tabla15[[#This Row],[Pagado]]</f>
        <v>0</v>
      </c>
      <c r="H1661" s="92" t="s">
        <v>10</v>
      </c>
    </row>
    <row r="1662" spans="1:8" ht="21.75" customHeight="1" x14ac:dyDescent="0.25">
      <c r="A1662" s="35">
        <v>44667</v>
      </c>
      <c r="B1662" s="90" t="s">
        <v>12302</v>
      </c>
      <c r="C1662" s="41" t="s">
        <v>2114</v>
      </c>
      <c r="D1662" s="87">
        <v>1742.4</v>
      </c>
      <c r="E1662" s="35">
        <v>44667</v>
      </c>
      <c r="F1662" s="87">
        <v>1742.4</v>
      </c>
      <c r="G1662" s="91">
        <f>Tabla15[[#This Row],[Importe]]-Tabla15[[#This Row],[Pagado]]</f>
        <v>0</v>
      </c>
      <c r="H1662" s="92" t="s">
        <v>10</v>
      </c>
    </row>
    <row r="1663" spans="1:8" ht="21.75" customHeight="1" x14ac:dyDescent="0.25">
      <c r="A1663" s="35">
        <v>44667</v>
      </c>
      <c r="B1663" s="90" t="s">
        <v>12303</v>
      </c>
      <c r="C1663" s="41" t="s">
        <v>670</v>
      </c>
      <c r="D1663" s="87">
        <v>4233.3999999999996</v>
      </c>
      <c r="E1663" s="35">
        <v>44667</v>
      </c>
      <c r="F1663" s="87">
        <v>4233.3999999999996</v>
      </c>
      <c r="G1663" s="91">
        <f>Tabla15[[#This Row],[Importe]]-Tabla15[[#This Row],[Pagado]]</f>
        <v>0</v>
      </c>
      <c r="H1663" s="92" t="s">
        <v>10</v>
      </c>
    </row>
    <row r="1664" spans="1:8" ht="21.75" customHeight="1" x14ac:dyDescent="0.25">
      <c r="A1664" s="35">
        <v>44667</v>
      </c>
      <c r="B1664" s="90" t="s">
        <v>12304</v>
      </c>
      <c r="C1664" s="41" t="s">
        <v>670</v>
      </c>
      <c r="D1664" s="87">
        <v>313.26</v>
      </c>
      <c r="E1664" s="35">
        <v>44667</v>
      </c>
      <c r="F1664" s="87">
        <v>313.26</v>
      </c>
      <c r="G1664" s="91">
        <f>Tabla15[[#This Row],[Importe]]-Tabla15[[#This Row],[Pagado]]</f>
        <v>0</v>
      </c>
      <c r="H1664" s="92" t="s">
        <v>10</v>
      </c>
    </row>
    <row r="1665" spans="1:8" ht="21.75" customHeight="1" x14ac:dyDescent="0.25">
      <c r="A1665" s="35">
        <v>44667</v>
      </c>
      <c r="B1665" s="90" t="s">
        <v>12305</v>
      </c>
      <c r="C1665" s="41" t="s">
        <v>214</v>
      </c>
      <c r="D1665" s="87">
        <v>8491.7999999999993</v>
      </c>
      <c r="E1665" s="35">
        <v>44667</v>
      </c>
      <c r="F1665" s="87">
        <v>8491.7999999999993</v>
      </c>
      <c r="G1665" s="91">
        <f>Tabla15[[#This Row],[Importe]]-Tabla15[[#This Row],[Pagado]]</f>
        <v>0</v>
      </c>
      <c r="H1665" s="92" t="s">
        <v>10</v>
      </c>
    </row>
    <row r="1666" spans="1:8" ht="21.75" customHeight="1" x14ac:dyDescent="0.25">
      <c r="A1666" s="35">
        <v>44667</v>
      </c>
      <c r="B1666" s="90" t="s">
        <v>12306</v>
      </c>
      <c r="C1666" s="41" t="s">
        <v>181</v>
      </c>
      <c r="D1666" s="87">
        <v>11732.2</v>
      </c>
      <c r="E1666" s="35">
        <v>44667</v>
      </c>
      <c r="F1666" s="87">
        <v>11732.2</v>
      </c>
      <c r="G1666" s="91">
        <f>Tabla15[[#This Row],[Importe]]-Tabla15[[#This Row],[Pagado]]</f>
        <v>0</v>
      </c>
      <c r="H1666" s="92" t="s">
        <v>10</v>
      </c>
    </row>
    <row r="1667" spans="1:8" ht="21.75" customHeight="1" x14ac:dyDescent="0.25">
      <c r="A1667" s="35">
        <v>44667</v>
      </c>
      <c r="B1667" s="90" t="s">
        <v>12307</v>
      </c>
      <c r="C1667" s="41" t="s">
        <v>10190</v>
      </c>
      <c r="D1667" s="87">
        <v>17754</v>
      </c>
      <c r="E1667" s="35">
        <v>44667</v>
      </c>
      <c r="F1667" s="87">
        <v>17754</v>
      </c>
      <c r="G1667" s="91">
        <f>Tabla15[[#This Row],[Importe]]-Tabla15[[#This Row],[Pagado]]</f>
        <v>0</v>
      </c>
      <c r="H1667" s="92" t="s">
        <v>10</v>
      </c>
    </row>
    <row r="1668" spans="1:8" ht="21.75" customHeight="1" x14ac:dyDescent="0.25">
      <c r="A1668" s="35">
        <v>44667</v>
      </c>
      <c r="B1668" s="90" t="s">
        <v>12308</v>
      </c>
      <c r="C1668" s="41" t="s">
        <v>27</v>
      </c>
      <c r="D1668" s="87">
        <v>756.8</v>
      </c>
      <c r="E1668" s="35">
        <v>44667</v>
      </c>
      <c r="F1668" s="87">
        <v>756.8</v>
      </c>
      <c r="G1668" s="91">
        <f>Tabla15[[#This Row],[Importe]]-Tabla15[[#This Row],[Pagado]]</f>
        <v>0</v>
      </c>
      <c r="H1668" s="92" t="s">
        <v>10</v>
      </c>
    </row>
    <row r="1669" spans="1:8" ht="21.75" customHeight="1" x14ac:dyDescent="0.25">
      <c r="A1669" s="35">
        <v>44667</v>
      </c>
      <c r="B1669" s="90" t="s">
        <v>12309</v>
      </c>
      <c r="C1669" s="41" t="s">
        <v>24</v>
      </c>
      <c r="D1669" s="87">
        <v>1290.8</v>
      </c>
      <c r="E1669" s="35">
        <v>44667</v>
      </c>
      <c r="F1669" s="87">
        <v>1290.8</v>
      </c>
      <c r="G1669" s="91">
        <f>Tabla15[[#This Row],[Importe]]-Tabla15[[#This Row],[Pagado]]</f>
        <v>0</v>
      </c>
      <c r="H1669" s="92" t="s">
        <v>10</v>
      </c>
    </row>
    <row r="1670" spans="1:8" ht="21.75" customHeight="1" x14ac:dyDescent="0.25">
      <c r="A1670" s="35">
        <v>44667</v>
      </c>
      <c r="B1670" s="90" t="s">
        <v>12310</v>
      </c>
      <c r="C1670" s="41" t="s">
        <v>359</v>
      </c>
      <c r="D1670" s="87">
        <v>2194</v>
      </c>
      <c r="E1670" s="35">
        <v>44667</v>
      </c>
      <c r="F1670" s="87">
        <v>2194</v>
      </c>
      <c r="G1670" s="91">
        <f>Tabla15[[#This Row],[Importe]]-Tabla15[[#This Row],[Pagado]]</f>
        <v>0</v>
      </c>
      <c r="H1670" s="92" t="s">
        <v>10</v>
      </c>
    </row>
    <row r="1671" spans="1:8" ht="21.75" customHeight="1" x14ac:dyDescent="0.25">
      <c r="A1671" s="35">
        <v>44667</v>
      </c>
      <c r="B1671" s="90" t="s">
        <v>12311</v>
      </c>
      <c r="C1671" s="41" t="s">
        <v>200</v>
      </c>
      <c r="D1671" s="87">
        <v>1397</v>
      </c>
      <c r="E1671" s="35">
        <v>44667</v>
      </c>
      <c r="F1671" s="87">
        <v>1397</v>
      </c>
      <c r="G1671" s="91">
        <f>Tabla15[[#This Row],[Importe]]-Tabla15[[#This Row],[Pagado]]</f>
        <v>0</v>
      </c>
      <c r="H1671" s="92" t="s">
        <v>10</v>
      </c>
    </row>
    <row r="1672" spans="1:8" ht="21.75" customHeight="1" x14ac:dyDescent="0.25">
      <c r="A1672" s="35">
        <v>44667</v>
      </c>
      <c r="B1672" s="90" t="s">
        <v>12312</v>
      </c>
      <c r="C1672" s="41" t="s">
        <v>1481</v>
      </c>
      <c r="D1672" s="87">
        <v>1648.3</v>
      </c>
      <c r="E1672" s="35">
        <v>44667</v>
      </c>
      <c r="F1672" s="87">
        <v>1648.3</v>
      </c>
      <c r="G1672" s="91">
        <f>Tabla15[[#This Row],[Importe]]-Tabla15[[#This Row],[Pagado]]</f>
        <v>0</v>
      </c>
      <c r="H1672" s="92" t="s">
        <v>10</v>
      </c>
    </row>
    <row r="1673" spans="1:8" ht="21.75" customHeight="1" x14ac:dyDescent="0.25">
      <c r="A1673" s="35">
        <v>44667</v>
      </c>
      <c r="B1673" s="90" t="s">
        <v>12313</v>
      </c>
      <c r="C1673" s="41" t="s">
        <v>142</v>
      </c>
      <c r="D1673" s="87">
        <v>64256.75</v>
      </c>
      <c r="E1673" s="35">
        <v>44706</v>
      </c>
      <c r="F1673" s="87">
        <v>64256.75</v>
      </c>
      <c r="G1673" s="91">
        <f>Tabla15[[#This Row],[Importe]]-Tabla15[[#This Row],[Pagado]]</f>
        <v>0</v>
      </c>
      <c r="H1673" s="92" t="s">
        <v>10</v>
      </c>
    </row>
    <row r="1674" spans="1:8" ht="21.75" customHeight="1" x14ac:dyDescent="0.25">
      <c r="A1674" s="35">
        <v>44667</v>
      </c>
      <c r="B1674" s="90" t="s">
        <v>12314</v>
      </c>
      <c r="C1674" s="41" t="s">
        <v>31</v>
      </c>
      <c r="D1674" s="87">
        <v>3104.6</v>
      </c>
      <c r="E1674" s="35">
        <v>44667</v>
      </c>
      <c r="F1674" s="87">
        <v>3104.6</v>
      </c>
      <c r="G1674" s="91">
        <f>Tabla15[[#This Row],[Importe]]-Tabla15[[#This Row],[Pagado]]</f>
        <v>0</v>
      </c>
      <c r="H1674" s="92" t="s">
        <v>10</v>
      </c>
    </row>
    <row r="1675" spans="1:8" ht="21.75" customHeight="1" x14ac:dyDescent="0.25">
      <c r="A1675" s="35">
        <v>44667</v>
      </c>
      <c r="B1675" s="90" t="s">
        <v>12315</v>
      </c>
      <c r="C1675" s="41" t="s">
        <v>289</v>
      </c>
      <c r="D1675" s="87">
        <v>5896</v>
      </c>
      <c r="E1675" s="35">
        <v>44667</v>
      </c>
      <c r="F1675" s="87">
        <v>5896</v>
      </c>
      <c r="G1675" s="91">
        <f>Tabla15[[#This Row],[Importe]]-Tabla15[[#This Row],[Pagado]]</f>
        <v>0</v>
      </c>
      <c r="H1675" s="92" t="s">
        <v>10</v>
      </c>
    </row>
    <row r="1676" spans="1:8" ht="21.75" customHeight="1" x14ac:dyDescent="0.25">
      <c r="A1676" s="35">
        <v>44667</v>
      </c>
      <c r="B1676" s="90" t="s">
        <v>12316</v>
      </c>
      <c r="C1676" s="41" t="s">
        <v>31</v>
      </c>
      <c r="D1676" s="87">
        <v>510.4</v>
      </c>
      <c r="E1676" s="35">
        <v>44667</v>
      </c>
      <c r="F1676" s="87">
        <v>510.4</v>
      </c>
      <c r="G1676" s="91">
        <f>Tabla15[[#This Row],[Importe]]-Tabla15[[#This Row],[Pagado]]</f>
        <v>0</v>
      </c>
      <c r="H1676" s="92" t="s">
        <v>10</v>
      </c>
    </row>
    <row r="1677" spans="1:8" ht="21.75" customHeight="1" x14ac:dyDescent="0.25">
      <c r="A1677" s="35">
        <v>44667</v>
      </c>
      <c r="B1677" s="90" t="s">
        <v>12317</v>
      </c>
      <c r="C1677" s="41" t="s">
        <v>280</v>
      </c>
      <c r="D1677" s="87">
        <v>3135</v>
      </c>
      <c r="E1677" s="35">
        <v>44668</v>
      </c>
      <c r="F1677" s="87">
        <v>3135</v>
      </c>
      <c r="G1677" s="91">
        <f>Tabla15[[#This Row],[Importe]]-Tabla15[[#This Row],[Pagado]]</f>
        <v>0</v>
      </c>
      <c r="H1677" s="92" t="s">
        <v>10</v>
      </c>
    </row>
    <row r="1678" spans="1:8" ht="21.75" customHeight="1" x14ac:dyDescent="0.25">
      <c r="A1678" s="35">
        <v>44667</v>
      </c>
      <c r="B1678" s="90" t="s">
        <v>12318</v>
      </c>
      <c r="C1678" s="41" t="s">
        <v>69</v>
      </c>
      <c r="D1678" s="87">
        <v>2057</v>
      </c>
      <c r="E1678" s="35">
        <v>44667</v>
      </c>
      <c r="F1678" s="87">
        <v>2057</v>
      </c>
      <c r="G1678" s="91">
        <f>Tabla15[[#This Row],[Importe]]-Tabla15[[#This Row],[Pagado]]</f>
        <v>0</v>
      </c>
      <c r="H1678" s="92" t="s">
        <v>10</v>
      </c>
    </row>
    <row r="1679" spans="1:8" ht="21.75" customHeight="1" x14ac:dyDescent="0.25">
      <c r="A1679" s="35">
        <v>44667</v>
      </c>
      <c r="B1679" s="90" t="s">
        <v>12319</v>
      </c>
      <c r="C1679" s="41" t="s">
        <v>5345</v>
      </c>
      <c r="D1679" s="87">
        <v>5725.5</v>
      </c>
      <c r="E1679" s="35">
        <v>44668</v>
      </c>
      <c r="F1679" s="87">
        <v>5725.5</v>
      </c>
      <c r="G1679" s="91">
        <f>Tabla15[[#This Row],[Importe]]-Tabla15[[#This Row],[Pagado]]</f>
        <v>0</v>
      </c>
      <c r="H1679" s="92" t="s">
        <v>10</v>
      </c>
    </row>
    <row r="1680" spans="1:8" ht="21.75" customHeight="1" x14ac:dyDescent="0.25">
      <c r="A1680" s="35">
        <v>44667</v>
      </c>
      <c r="B1680" s="90" t="s">
        <v>12320</v>
      </c>
      <c r="C1680" s="41" t="s">
        <v>284</v>
      </c>
      <c r="D1680" s="87">
        <v>11616</v>
      </c>
      <c r="E1680" s="35">
        <v>44668</v>
      </c>
      <c r="F1680" s="87">
        <v>11616</v>
      </c>
      <c r="G1680" s="91">
        <f>Tabla15[[#This Row],[Importe]]-Tabla15[[#This Row],[Pagado]]</f>
        <v>0</v>
      </c>
      <c r="H1680" s="92" t="s">
        <v>10</v>
      </c>
    </row>
    <row r="1681" spans="1:8" ht="21.75" customHeight="1" x14ac:dyDescent="0.25">
      <c r="A1681" s="35">
        <v>44667</v>
      </c>
      <c r="B1681" s="90" t="s">
        <v>12321</v>
      </c>
      <c r="C1681" s="41" t="s">
        <v>10819</v>
      </c>
      <c r="D1681" s="87">
        <v>1710.5</v>
      </c>
      <c r="E1681" s="35">
        <v>44668</v>
      </c>
      <c r="F1681" s="87">
        <v>1710.5</v>
      </c>
      <c r="G1681" s="91">
        <f>Tabla15[[#This Row],[Importe]]-Tabla15[[#This Row],[Pagado]]</f>
        <v>0</v>
      </c>
      <c r="H1681" s="92" t="s">
        <v>10</v>
      </c>
    </row>
    <row r="1682" spans="1:8" ht="21.75" customHeight="1" x14ac:dyDescent="0.25">
      <c r="A1682" s="35">
        <v>44667</v>
      </c>
      <c r="B1682" s="90" t="s">
        <v>12322</v>
      </c>
      <c r="C1682" s="41" t="s">
        <v>16</v>
      </c>
      <c r="D1682" s="87">
        <v>1835.4</v>
      </c>
      <c r="E1682" s="35">
        <v>44667</v>
      </c>
      <c r="F1682" s="87">
        <v>1835.4</v>
      </c>
      <c r="G1682" s="91">
        <f>Tabla15[[#This Row],[Importe]]-Tabla15[[#This Row],[Pagado]]</f>
        <v>0</v>
      </c>
      <c r="H1682" s="92" t="s">
        <v>10</v>
      </c>
    </row>
    <row r="1683" spans="1:8" ht="21.75" customHeight="1" x14ac:dyDescent="0.25">
      <c r="A1683" s="35">
        <v>44667</v>
      </c>
      <c r="B1683" s="90" t="s">
        <v>12323</v>
      </c>
      <c r="C1683" s="41" t="s">
        <v>51</v>
      </c>
      <c r="D1683" s="87">
        <v>5095.2</v>
      </c>
      <c r="E1683" s="35">
        <v>44667</v>
      </c>
      <c r="F1683" s="87">
        <v>5095.2</v>
      </c>
      <c r="G1683" s="91">
        <f>Tabla15[[#This Row],[Importe]]-Tabla15[[#This Row],[Pagado]]</f>
        <v>0</v>
      </c>
      <c r="H1683" s="92" t="s">
        <v>10</v>
      </c>
    </row>
    <row r="1684" spans="1:8" ht="21.75" customHeight="1" x14ac:dyDescent="0.25">
      <c r="A1684" s="35">
        <v>44667</v>
      </c>
      <c r="B1684" s="90" t="s">
        <v>12324</v>
      </c>
      <c r="C1684" s="41" t="s">
        <v>282</v>
      </c>
      <c r="D1684" s="87">
        <v>11110</v>
      </c>
      <c r="E1684" s="35">
        <v>44668</v>
      </c>
      <c r="F1684" s="87">
        <v>11110</v>
      </c>
      <c r="G1684" s="91">
        <f>Tabla15[[#This Row],[Importe]]-Tabla15[[#This Row],[Pagado]]</f>
        <v>0</v>
      </c>
      <c r="H1684" s="92" t="s">
        <v>10</v>
      </c>
    </row>
    <row r="1685" spans="1:8" ht="21.75" customHeight="1" x14ac:dyDescent="0.25">
      <c r="A1685" s="35">
        <v>44667</v>
      </c>
      <c r="B1685" s="90" t="s">
        <v>12325</v>
      </c>
      <c r="C1685" s="41" t="s">
        <v>1008</v>
      </c>
      <c r="D1685" s="87">
        <v>1344</v>
      </c>
      <c r="E1685" s="35">
        <v>44667</v>
      </c>
      <c r="F1685" s="87">
        <v>1344</v>
      </c>
      <c r="G1685" s="91">
        <f>Tabla15[[#This Row],[Importe]]-Tabla15[[#This Row],[Pagado]]</f>
        <v>0</v>
      </c>
      <c r="H1685" s="92" t="s">
        <v>10</v>
      </c>
    </row>
    <row r="1686" spans="1:8" ht="21.75" customHeight="1" x14ac:dyDescent="0.25">
      <c r="A1686" s="35">
        <v>44667</v>
      </c>
      <c r="B1686" s="90" t="s">
        <v>12326</v>
      </c>
      <c r="C1686" s="41" t="s">
        <v>454</v>
      </c>
      <c r="D1686" s="87">
        <v>1710.2</v>
      </c>
      <c r="E1686" s="35">
        <v>44667</v>
      </c>
      <c r="F1686" s="87">
        <v>1710.2</v>
      </c>
      <c r="G1686" s="91">
        <f>Tabla15[[#This Row],[Importe]]-Tabla15[[#This Row],[Pagado]]</f>
        <v>0</v>
      </c>
      <c r="H1686" s="92" t="s">
        <v>10</v>
      </c>
    </row>
    <row r="1687" spans="1:8" ht="21.75" customHeight="1" x14ac:dyDescent="0.25">
      <c r="A1687" s="35">
        <v>44667</v>
      </c>
      <c r="B1687" s="90" t="s">
        <v>12327</v>
      </c>
      <c r="C1687" s="41" t="s">
        <v>10840</v>
      </c>
      <c r="D1687" s="87">
        <v>2099.1999999999998</v>
      </c>
      <c r="E1687" s="35">
        <v>44667</v>
      </c>
      <c r="F1687" s="87">
        <v>2099.1999999999998</v>
      </c>
      <c r="G1687" s="91">
        <f>Tabla15[[#This Row],[Importe]]-Tabla15[[#This Row],[Pagado]]</f>
        <v>0</v>
      </c>
      <c r="H1687" s="92" t="s">
        <v>10</v>
      </c>
    </row>
    <row r="1688" spans="1:8" ht="21.75" customHeight="1" x14ac:dyDescent="0.25">
      <c r="A1688" s="35">
        <v>44667</v>
      </c>
      <c r="B1688" s="90" t="s">
        <v>12328</v>
      </c>
      <c r="C1688" s="41" t="s">
        <v>275</v>
      </c>
      <c r="D1688" s="87">
        <v>45883.06</v>
      </c>
      <c r="E1688" s="35">
        <v>44677</v>
      </c>
      <c r="F1688" s="87">
        <v>45883.06</v>
      </c>
      <c r="G1688" s="91">
        <f>Tabla15[[#This Row],[Importe]]-Tabla15[[#This Row],[Pagado]]</f>
        <v>0</v>
      </c>
      <c r="H1688" s="92" t="s">
        <v>10</v>
      </c>
    </row>
    <row r="1689" spans="1:8" ht="21.75" customHeight="1" x14ac:dyDescent="0.25">
      <c r="A1689" s="35">
        <v>44667</v>
      </c>
      <c r="B1689" s="90" t="s">
        <v>12329</v>
      </c>
      <c r="C1689" s="41" t="s">
        <v>857</v>
      </c>
      <c r="D1689" s="87">
        <v>1832.8</v>
      </c>
      <c r="E1689" s="35">
        <v>44667</v>
      </c>
      <c r="F1689" s="87">
        <v>1832.8</v>
      </c>
      <c r="G1689" s="91">
        <f>Tabla15[[#This Row],[Importe]]-Tabla15[[#This Row],[Pagado]]</f>
        <v>0</v>
      </c>
      <c r="H1689" s="92" t="s">
        <v>10</v>
      </c>
    </row>
    <row r="1690" spans="1:8" ht="21.75" customHeight="1" x14ac:dyDescent="0.25">
      <c r="A1690" s="35">
        <v>44667</v>
      </c>
      <c r="B1690" s="90" t="s">
        <v>12330</v>
      </c>
      <c r="C1690" s="41" t="s">
        <v>1421</v>
      </c>
      <c r="D1690" s="87">
        <v>33937.199999999997</v>
      </c>
      <c r="E1690" s="35">
        <v>44667</v>
      </c>
      <c r="F1690" s="87">
        <v>33937.199999999997</v>
      </c>
      <c r="G1690" s="91">
        <f>Tabla15[[#This Row],[Importe]]-Tabla15[[#This Row],[Pagado]]</f>
        <v>0</v>
      </c>
      <c r="H1690" s="92" t="s">
        <v>10</v>
      </c>
    </row>
    <row r="1691" spans="1:8" ht="21.75" customHeight="1" x14ac:dyDescent="0.25">
      <c r="A1691" s="35">
        <v>44667</v>
      </c>
      <c r="B1691" s="90" t="s">
        <v>12331</v>
      </c>
      <c r="C1691" s="41" t="s">
        <v>12202</v>
      </c>
      <c r="D1691" s="87">
        <v>5600</v>
      </c>
      <c r="E1691" s="35">
        <v>44668</v>
      </c>
      <c r="F1691" s="87">
        <v>5600</v>
      </c>
      <c r="G1691" s="91">
        <f>Tabla15[[#This Row],[Importe]]-Tabla15[[#This Row],[Pagado]]</f>
        <v>0</v>
      </c>
      <c r="H1691" s="92" t="s">
        <v>10</v>
      </c>
    </row>
    <row r="1692" spans="1:8" ht="21.75" customHeight="1" x14ac:dyDescent="0.25">
      <c r="A1692" s="35">
        <v>44667</v>
      </c>
      <c r="B1692" s="90" t="s">
        <v>12332</v>
      </c>
      <c r="C1692" s="41" t="s">
        <v>31</v>
      </c>
      <c r="D1692" s="87">
        <v>924</v>
      </c>
      <c r="E1692" s="35">
        <v>44667</v>
      </c>
      <c r="F1692" s="87">
        <v>924</v>
      </c>
      <c r="G1692" s="91">
        <f>Tabla15[[#This Row],[Importe]]-Tabla15[[#This Row],[Pagado]]</f>
        <v>0</v>
      </c>
      <c r="H1692" s="92" t="s">
        <v>10</v>
      </c>
    </row>
    <row r="1693" spans="1:8" ht="21.75" customHeight="1" x14ac:dyDescent="0.25">
      <c r="A1693" s="35">
        <v>44667</v>
      </c>
      <c r="B1693" s="90" t="s">
        <v>12333</v>
      </c>
      <c r="C1693" s="41" t="s">
        <v>191</v>
      </c>
      <c r="D1693" s="87">
        <v>1632</v>
      </c>
      <c r="E1693" s="35">
        <v>44667</v>
      </c>
      <c r="F1693" s="87">
        <v>1632</v>
      </c>
      <c r="G1693" s="91">
        <f>Tabla15[[#This Row],[Importe]]-Tabla15[[#This Row],[Pagado]]</f>
        <v>0</v>
      </c>
      <c r="H1693" s="92" t="s">
        <v>10</v>
      </c>
    </row>
    <row r="1694" spans="1:8" ht="21.75" customHeight="1" x14ac:dyDescent="0.25">
      <c r="A1694" s="35">
        <v>44667</v>
      </c>
      <c r="B1694" s="90" t="s">
        <v>12334</v>
      </c>
      <c r="C1694" s="41" t="s">
        <v>12</v>
      </c>
      <c r="D1694" s="87">
        <v>1065.5999999999999</v>
      </c>
      <c r="E1694" s="35">
        <v>44668</v>
      </c>
      <c r="F1694" s="87">
        <v>1065.5999999999999</v>
      </c>
      <c r="G1694" s="91">
        <f>Tabla15[[#This Row],[Importe]]-Tabla15[[#This Row],[Pagado]]</f>
        <v>0</v>
      </c>
      <c r="H1694" s="92" t="s">
        <v>10</v>
      </c>
    </row>
    <row r="1695" spans="1:8" ht="21.75" customHeight="1" x14ac:dyDescent="0.25">
      <c r="A1695" s="35">
        <v>44667</v>
      </c>
      <c r="B1695" s="90" t="s">
        <v>12335</v>
      </c>
      <c r="C1695" s="41" t="s">
        <v>414</v>
      </c>
      <c r="D1695" s="87">
        <v>16653.599999999999</v>
      </c>
      <c r="E1695" s="35">
        <v>44690</v>
      </c>
      <c r="F1695" s="87">
        <v>16653.599999999999</v>
      </c>
      <c r="G1695" s="91">
        <f>Tabla15[[#This Row],[Importe]]-Tabla15[[#This Row],[Pagado]]</f>
        <v>0</v>
      </c>
      <c r="H1695" s="92" t="s">
        <v>10</v>
      </c>
    </row>
    <row r="1696" spans="1:8" ht="21.75" customHeight="1" x14ac:dyDescent="0.25">
      <c r="A1696" s="35">
        <v>44667</v>
      </c>
      <c r="B1696" s="90" t="s">
        <v>12336</v>
      </c>
      <c r="C1696" s="41" t="s">
        <v>407</v>
      </c>
      <c r="D1696" s="87">
        <v>24855.4</v>
      </c>
      <c r="E1696" s="35">
        <v>44668</v>
      </c>
      <c r="F1696" s="87">
        <v>24855.4</v>
      </c>
      <c r="G1696" s="91">
        <f>Tabla15[[#This Row],[Importe]]-Tabla15[[#This Row],[Pagado]]</f>
        <v>0</v>
      </c>
      <c r="H1696" s="92" t="s">
        <v>10</v>
      </c>
    </row>
    <row r="1697" spans="1:8" ht="21.75" customHeight="1" x14ac:dyDescent="0.25">
      <c r="A1697" s="35">
        <v>44667</v>
      </c>
      <c r="B1697" s="90" t="s">
        <v>12337</v>
      </c>
      <c r="C1697" s="41" t="s">
        <v>712</v>
      </c>
      <c r="D1697" s="87">
        <v>4.66</v>
      </c>
      <c r="E1697" s="35">
        <v>44671</v>
      </c>
      <c r="F1697" s="87">
        <v>4.66</v>
      </c>
      <c r="G1697" s="91">
        <f>Tabla15[[#This Row],[Importe]]-Tabla15[[#This Row],[Pagado]]</f>
        <v>0</v>
      </c>
      <c r="H1697" s="92" t="s">
        <v>10</v>
      </c>
    </row>
    <row r="1698" spans="1:8" ht="21.75" customHeight="1" x14ac:dyDescent="0.25">
      <c r="A1698" s="35">
        <v>44667</v>
      </c>
      <c r="B1698" s="90" t="s">
        <v>12338</v>
      </c>
      <c r="C1698" s="41" t="s">
        <v>261</v>
      </c>
      <c r="D1698" s="87">
        <v>41589.199999999997</v>
      </c>
      <c r="E1698" s="35">
        <v>44669</v>
      </c>
      <c r="F1698" s="87">
        <v>41589.199999999997</v>
      </c>
      <c r="G1698" s="91">
        <f>Tabla15[[#This Row],[Importe]]-Tabla15[[#This Row],[Pagado]]</f>
        <v>0</v>
      </c>
      <c r="H1698" s="92" t="s">
        <v>10</v>
      </c>
    </row>
    <row r="1699" spans="1:8" ht="21.75" customHeight="1" x14ac:dyDescent="0.25">
      <c r="A1699" s="35">
        <v>44667</v>
      </c>
      <c r="B1699" s="90" t="s">
        <v>12339</v>
      </c>
      <c r="C1699" s="41" t="s">
        <v>31</v>
      </c>
      <c r="D1699" s="87">
        <v>316.8</v>
      </c>
      <c r="E1699" s="35">
        <v>44667</v>
      </c>
      <c r="F1699" s="87">
        <v>316.8</v>
      </c>
      <c r="G1699" s="91">
        <f>Tabla15[[#This Row],[Importe]]-Tabla15[[#This Row],[Pagado]]</f>
        <v>0</v>
      </c>
      <c r="H1699" s="92" t="s">
        <v>10</v>
      </c>
    </row>
    <row r="1700" spans="1:8" ht="21.75" customHeight="1" x14ac:dyDescent="0.25">
      <c r="A1700" s="35">
        <v>44667</v>
      </c>
      <c r="B1700" s="90" t="s">
        <v>12340</v>
      </c>
      <c r="C1700" s="41" t="s">
        <v>191</v>
      </c>
      <c r="D1700" s="87">
        <v>341.6</v>
      </c>
      <c r="E1700" s="35">
        <v>44667</v>
      </c>
      <c r="F1700" s="87">
        <v>341.6</v>
      </c>
      <c r="G1700" s="91">
        <f>Tabla15[[#This Row],[Importe]]-Tabla15[[#This Row],[Pagado]]</f>
        <v>0</v>
      </c>
      <c r="H1700" s="92" t="s">
        <v>10</v>
      </c>
    </row>
    <row r="1701" spans="1:8" ht="21.75" customHeight="1" x14ac:dyDescent="0.25">
      <c r="A1701" s="35">
        <v>44667</v>
      </c>
      <c r="B1701" s="90" t="s">
        <v>12341</v>
      </c>
      <c r="C1701" s="41" t="s">
        <v>31</v>
      </c>
      <c r="D1701" s="87">
        <v>93.5</v>
      </c>
      <c r="E1701" s="35">
        <v>44667</v>
      </c>
      <c r="F1701" s="87">
        <v>93.5</v>
      </c>
      <c r="G1701" s="91">
        <f>Tabla15[[#This Row],[Importe]]-Tabla15[[#This Row],[Pagado]]</f>
        <v>0</v>
      </c>
      <c r="H1701" s="92" t="s">
        <v>10</v>
      </c>
    </row>
    <row r="1702" spans="1:8" ht="21.75" customHeight="1" x14ac:dyDescent="0.25">
      <c r="A1702" s="35">
        <v>44667</v>
      </c>
      <c r="B1702" s="90" t="s">
        <v>12342</v>
      </c>
      <c r="C1702" s="41" t="s">
        <v>461</v>
      </c>
      <c r="D1702" s="87">
        <v>394</v>
      </c>
      <c r="E1702" s="35">
        <v>44668</v>
      </c>
      <c r="F1702" s="87">
        <v>394</v>
      </c>
      <c r="G1702" s="91">
        <f>Tabla15[[#This Row],[Importe]]-Tabla15[[#This Row],[Pagado]]</f>
        <v>0</v>
      </c>
      <c r="H1702" s="92" t="s">
        <v>10</v>
      </c>
    </row>
    <row r="1703" spans="1:8" ht="21.75" customHeight="1" x14ac:dyDescent="0.25">
      <c r="A1703" s="35">
        <v>44667</v>
      </c>
      <c r="B1703" s="90" t="s">
        <v>12343</v>
      </c>
      <c r="C1703" s="41" t="s">
        <v>463</v>
      </c>
      <c r="D1703" s="87">
        <v>550</v>
      </c>
      <c r="E1703" s="35">
        <v>44671</v>
      </c>
      <c r="F1703" s="87">
        <v>550</v>
      </c>
      <c r="G1703" s="91">
        <f>Tabla15[[#This Row],[Importe]]-Tabla15[[#This Row],[Pagado]]</f>
        <v>0</v>
      </c>
      <c r="H1703" s="92" t="s">
        <v>10</v>
      </c>
    </row>
    <row r="1704" spans="1:8" ht="21.75" customHeight="1" x14ac:dyDescent="0.25">
      <c r="A1704" s="35">
        <v>44667</v>
      </c>
      <c r="B1704" s="90" t="s">
        <v>12344</v>
      </c>
      <c r="C1704" s="41" t="s">
        <v>31</v>
      </c>
      <c r="D1704" s="87">
        <v>224</v>
      </c>
      <c r="E1704" s="35">
        <v>44668</v>
      </c>
      <c r="F1704" s="87">
        <v>224</v>
      </c>
      <c r="G1704" s="91">
        <f>Tabla15[[#This Row],[Importe]]-Tabla15[[#This Row],[Pagado]]</f>
        <v>0</v>
      </c>
      <c r="H1704" s="92" t="s">
        <v>10</v>
      </c>
    </row>
    <row r="1705" spans="1:8" ht="21.75" customHeight="1" x14ac:dyDescent="0.25">
      <c r="A1705" s="35">
        <v>44667</v>
      </c>
      <c r="B1705" s="90" t="s">
        <v>12345</v>
      </c>
      <c r="C1705" s="41" t="s">
        <v>459</v>
      </c>
      <c r="D1705" s="87">
        <v>213</v>
      </c>
      <c r="E1705" s="35">
        <v>44668</v>
      </c>
      <c r="F1705" s="87">
        <v>213</v>
      </c>
      <c r="G1705" s="91">
        <f>Tabla15[[#This Row],[Importe]]-Tabla15[[#This Row],[Pagado]]</f>
        <v>0</v>
      </c>
      <c r="H1705" s="92" t="s">
        <v>10</v>
      </c>
    </row>
    <row r="1706" spans="1:8" ht="21.75" customHeight="1" x14ac:dyDescent="0.25">
      <c r="A1706" s="35">
        <v>44667</v>
      </c>
      <c r="B1706" s="90" t="s">
        <v>12346</v>
      </c>
      <c r="C1706" s="41" t="s">
        <v>457</v>
      </c>
      <c r="D1706" s="87">
        <v>198</v>
      </c>
      <c r="E1706" s="35">
        <v>44668</v>
      </c>
      <c r="F1706" s="87">
        <v>198</v>
      </c>
      <c r="G1706" s="91">
        <f>Tabla15[[#This Row],[Importe]]-Tabla15[[#This Row],[Pagado]]</f>
        <v>0</v>
      </c>
      <c r="H1706" s="92" t="s">
        <v>10</v>
      </c>
    </row>
    <row r="1707" spans="1:8" ht="21.75" customHeight="1" x14ac:dyDescent="0.25">
      <c r="A1707" s="35">
        <v>44667</v>
      </c>
      <c r="B1707" s="90" t="s">
        <v>12347</v>
      </c>
      <c r="C1707" s="41" t="s">
        <v>314</v>
      </c>
      <c r="D1707" s="87">
        <v>6545</v>
      </c>
      <c r="E1707" s="35">
        <v>44669</v>
      </c>
      <c r="F1707" s="87">
        <v>6545</v>
      </c>
      <c r="G1707" s="91">
        <f>Tabla15[[#This Row],[Importe]]-Tabla15[[#This Row],[Pagado]]</f>
        <v>0</v>
      </c>
      <c r="H1707" s="92" t="s">
        <v>10</v>
      </c>
    </row>
    <row r="1708" spans="1:8" ht="21.75" customHeight="1" x14ac:dyDescent="0.25">
      <c r="A1708" s="35">
        <v>44667</v>
      </c>
      <c r="B1708" s="90" t="s">
        <v>12348</v>
      </c>
      <c r="C1708" s="41" t="s">
        <v>463</v>
      </c>
      <c r="D1708" s="87">
        <v>165</v>
      </c>
      <c r="E1708" s="35">
        <v>44668</v>
      </c>
      <c r="F1708" s="87">
        <v>165</v>
      </c>
      <c r="G1708" s="91">
        <f>Tabla15[[#This Row],[Importe]]-Tabla15[[#This Row],[Pagado]]</f>
        <v>0</v>
      </c>
      <c r="H1708" s="92" t="s">
        <v>10</v>
      </c>
    </row>
    <row r="1709" spans="1:8" ht="21.75" customHeight="1" x14ac:dyDescent="0.25">
      <c r="A1709" s="35">
        <v>44667</v>
      </c>
      <c r="B1709" s="90" t="s">
        <v>12349</v>
      </c>
      <c r="C1709" s="41" t="s">
        <v>31</v>
      </c>
      <c r="D1709" s="87">
        <v>209</v>
      </c>
      <c r="E1709" s="35">
        <v>44668</v>
      </c>
      <c r="F1709" s="87">
        <v>209</v>
      </c>
      <c r="G1709" s="91">
        <f>Tabla15[[#This Row],[Importe]]-Tabla15[[#This Row],[Pagado]]</f>
        <v>0</v>
      </c>
      <c r="H1709" s="92" t="s">
        <v>10</v>
      </c>
    </row>
    <row r="1710" spans="1:8" ht="21.75" customHeight="1" x14ac:dyDescent="0.25">
      <c r="A1710" s="35">
        <v>44668</v>
      </c>
      <c r="B1710" s="90" t="s">
        <v>12350</v>
      </c>
      <c r="C1710" s="41" t="s">
        <v>481</v>
      </c>
      <c r="D1710" s="87">
        <v>2502.6</v>
      </c>
      <c r="E1710" s="35">
        <v>44668</v>
      </c>
      <c r="F1710" s="87">
        <v>2502.6</v>
      </c>
      <c r="G1710" s="91">
        <f>Tabla15[[#This Row],[Importe]]-Tabla15[[#This Row],[Pagado]]</f>
        <v>0</v>
      </c>
      <c r="H1710" s="92" t="s">
        <v>10</v>
      </c>
    </row>
    <row r="1711" spans="1:8" ht="21.75" customHeight="1" x14ac:dyDescent="0.25">
      <c r="A1711" s="35">
        <v>44668</v>
      </c>
      <c r="B1711" s="90" t="s">
        <v>12351</v>
      </c>
      <c r="C1711" s="41" t="s">
        <v>9</v>
      </c>
      <c r="D1711" s="87">
        <v>5128.5</v>
      </c>
      <c r="E1711" s="35">
        <v>44668</v>
      </c>
      <c r="F1711" s="87">
        <v>5128.5</v>
      </c>
      <c r="G1711" s="91">
        <f>Tabla15[[#This Row],[Importe]]-Tabla15[[#This Row],[Pagado]]</f>
        <v>0</v>
      </c>
      <c r="H1711" s="92" t="s">
        <v>10</v>
      </c>
    </row>
    <row r="1712" spans="1:8" ht="21.75" customHeight="1" x14ac:dyDescent="0.25">
      <c r="A1712" s="35">
        <v>44668</v>
      </c>
      <c r="B1712" s="90" t="s">
        <v>12352</v>
      </c>
      <c r="C1712" s="41" t="s">
        <v>224</v>
      </c>
      <c r="D1712" s="87">
        <v>3356.5</v>
      </c>
      <c r="E1712" s="35">
        <v>44668</v>
      </c>
      <c r="F1712" s="87">
        <v>3356.5</v>
      </c>
      <c r="G1712" s="91">
        <f>Tabla15[[#This Row],[Importe]]-Tabla15[[#This Row],[Pagado]]</f>
        <v>0</v>
      </c>
      <c r="H1712" s="92" t="s">
        <v>10</v>
      </c>
    </row>
    <row r="1713" spans="1:8" ht="21.75" customHeight="1" x14ac:dyDescent="0.25">
      <c r="A1713" s="35">
        <v>44668</v>
      </c>
      <c r="B1713" s="90" t="s">
        <v>12353</v>
      </c>
      <c r="C1713" s="41" t="s">
        <v>14</v>
      </c>
      <c r="D1713" s="87">
        <v>9614</v>
      </c>
      <c r="E1713" s="35">
        <v>44668</v>
      </c>
      <c r="F1713" s="87">
        <v>9614</v>
      </c>
      <c r="G1713" s="91">
        <f>Tabla15[[#This Row],[Importe]]-Tabla15[[#This Row],[Pagado]]</f>
        <v>0</v>
      </c>
      <c r="H1713" s="92" t="s">
        <v>10</v>
      </c>
    </row>
    <row r="1714" spans="1:8" ht="21.75" customHeight="1" x14ac:dyDescent="0.25">
      <c r="A1714" s="35">
        <v>44668</v>
      </c>
      <c r="B1714" s="90" t="s">
        <v>12354</v>
      </c>
      <c r="C1714" s="41" t="s">
        <v>14</v>
      </c>
      <c r="D1714" s="87">
        <v>375</v>
      </c>
      <c r="E1714" s="35">
        <v>44668</v>
      </c>
      <c r="F1714" s="87">
        <v>375</v>
      </c>
      <c r="G1714" s="91">
        <f>Tabla15[[#This Row],[Importe]]-Tabla15[[#This Row],[Pagado]]</f>
        <v>0</v>
      </c>
      <c r="H1714" s="92" t="s">
        <v>10</v>
      </c>
    </row>
    <row r="1715" spans="1:8" ht="21.75" customHeight="1" x14ac:dyDescent="0.25">
      <c r="A1715" s="35">
        <v>44668</v>
      </c>
      <c r="B1715" s="90" t="s">
        <v>12355</v>
      </c>
      <c r="C1715" s="41" t="s">
        <v>20</v>
      </c>
      <c r="D1715" s="87">
        <v>6972.2</v>
      </c>
      <c r="E1715" s="35">
        <v>44668</v>
      </c>
      <c r="F1715" s="87">
        <v>6972.2</v>
      </c>
      <c r="G1715" s="91">
        <f>Tabla15[[#This Row],[Importe]]-Tabla15[[#This Row],[Pagado]]</f>
        <v>0</v>
      </c>
      <c r="H1715" s="92" t="s">
        <v>10</v>
      </c>
    </row>
    <row r="1716" spans="1:8" ht="21.75" customHeight="1" x14ac:dyDescent="0.25">
      <c r="A1716" s="35">
        <v>44668</v>
      </c>
      <c r="B1716" s="90" t="s">
        <v>12356</v>
      </c>
      <c r="C1716" s="41" t="s">
        <v>12</v>
      </c>
      <c r="D1716" s="87">
        <v>72694.95</v>
      </c>
      <c r="E1716" s="35">
        <v>44668</v>
      </c>
      <c r="F1716" s="87">
        <v>72694.95</v>
      </c>
      <c r="G1716" s="91">
        <f>Tabla15[[#This Row],[Importe]]-Tabla15[[#This Row],[Pagado]]</f>
        <v>0</v>
      </c>
      <c r="H1716" s="92" t="s">
        <v>10</v>
      </c>
    </row>
    <row r="1717" spans="1:8" ht="21.75" customHeight="1" x14ac:dyDescent="0.25">
      <c r="A1717" s="35">
        <v>44668</v>
      </c>
      <c r="B1717" s="90" t="s">
        <v>12357</v>
      </c>
      <c r="C1717" s="41" t="s">
        <v>475</v>
      </c>
      <c r="D1717" s="87">
        <v>40883.5</v>
      </c>
      <c r="E1717" s="35">
        <v>44669</v>
      </c>
      <c r="F1717" s="87">
        <v>40883.5</v>
      </c>
      <c r="G1717" s="91">
        <f>Tabla15[[#This Row],[Importe]]-Tabla15[[#This Row],[Pagado]]</f>
        <v>0</v>
      </c>
      <c r="H1717" s="92" t="s">
        <v>10</v>
      </c>
    </row>
    <row r="1718" spans="1:8" ht="21.75" customHeight="1" x14ac:dyDescent="0.25">
      <c r="A1718" s="35">
        <v>44668</v>
      </c>
      <c r="B1718" s="90" t="s">
        <v>12358</v>
      </c>
      <c r="C1718" s="41" t="s">
        <v>12359</v>
      </c>
      <c r="D1718" s="87">
        <v>0</v>
      </c>
      <c r="E1718" s="39" t="s">
        <v>189</v>
      </c>
      <c r="F1718" s="87">
        <v>0</v>
      </c>
      <c r="G1718" s="91">
        <f>Tabla15[[#This Row],[Importe]]-Tabla15[[#This Row],[Pagado]]</f>
        <v>0</v>
      </c>
      <c r="H1718" s="92" t="s">
        <v>189</v>
      </c>
    </row>
    <row r="1719" spans="1:8" ht="21.75" customHeight="1" x14ac:dyDescent="0.25">
      <c r="A1719" s="35">
        <v>44668</v>
      </c>
      <c r="B1719" s="90" t="s">
        <v>12360</v>
      </c>
      <c r="C1719" s="41" t="s">
        <v>27</v>
      </c>
      <c r="D1719" s="87">
        <v>4352.6000000000004</v>
      </c>
      <c r="E1719" s="35">
        <v>44668</v>
      </c>
      <c r="F1719" s="87">
        <v>4352.6000000000004</v>
      </c>
      <c r="G1719" s="91">
        <f>Tabla15[[#This Row],[Importe]]-Tabla15[[#This Row],[Pagado]]</f>
        <v>0</v>
      </c>
      <c r="H1719" s="92" t="s">
        <v>10</v>
      </c>
    </row>
    <row r="1720" spans="1:8" ht="21.75" customHeight="1" x14ac:dyDescent="0.25">
      <c r="A1720" s="35">
        <v>44668</v>
      </c>
      <c r="B1720" s="90" t="s">
        <v>12361</v>
      </c>
      <c r="C1720" s="41" t="s">
        <v>22</v>
      </c>
      <c r="D1720" s="87">
        <v>51845</v>
      </c>
      <c r="E1720" s="35">
        <v>44669</v>
      </c>
      <c r="F1720" s="87">
        <v>51845</v>
      </c>
      <c r="G1720" s="91">
        <f>Tabla15[[#This Row],[Importe]]-Tabla15[[#This Row],[Pagado]]</f>
        <v>0</v>
      </c>
      <c r="H1720" s="92" t="s">
        <v>10</v>
      </c>
    </row>
    <row r="1721" spans="1:8" ht="21.75" customHeight="1" x14ac:dyDescent="0.25">
      <c r="A1721" s="35">
        <v>44668</v>
      </c>
      <c r="B1721" s="90" t="s">
        <v>12362</v>
      </c>
      <c r="C1721" s="41" t="s">
        <v>9415</v>
      </c>
      <c r="D1721" s="87">
        <v>5141.3999999999996</v>
      </c>
      <c r="E1721" s="35">
        <v>44669</v>
      </c>
      <c r="F1721" s="87">
        <v>5141.3999999999996</v>
      </c>
      <c r="G1721" s="91">
        <f>Tabla15[[#This Row],[Importe]]-Tabla15[[#This Row],[Pagado]]</f>
        <v>0</v>
      </c>
      <c r="H1721" s="92" t="s">
        <v>10</v>
      </c>
    </row>
    <row r="1722" spans="1:8" ht="21.75" customHeight="1" x14ac:dyDescent="0.25">
      <c r="A1722" s="35">
        <v>44668</v>
      </c>
      <c r="B1722" s="90" t="s">
        <v>12363</v>
      </c>
      <c r="C1722" s="41" t="s">
        <v>33</v>
      </c>
      <c r="D1722" s="87">
        <v>18270.599999999999</v>
      </c>
      <c r="E1722" s="35">
        <v>44668</v>
      </c>
      <c r="F1722" s="87">
        <v>18270.599999999999</v>
      </c>
      <c r="G1722" s="91">
        <f>Tabla15[[#This Row],[Importe]]-Tabla15[[#This Row],[Pagado]]</f>
        <v>0</v>
      </c>
      <c r="H1722" s="92" t="s">
        <v>10</v>
      </c>
    </row>
    <row r="1723" spans="1:8" ht="21.75" customHeight="1" x14ac:dyDescent="0.25">
      <c r="A1723" s="35">
        <v>44668</v>
      </c>
      <c r="B1723" s="90" t="s">
        <v>12364</v>
      </c>
      <c r="C1723" s="41" t="s">
        <v>56</v>
      </c>
      <c r="D1723" s="87">
        <v>10857</v>
      </c>
      <c r="E1723" s="35">
        <v>44668</v>
      </c>
      <c r="F1723" s="87">
        <v>10857</v>
      </c>
      <c r="G1723" s="91">
        <f>Tabla15[[#This Row],[Importe]]-Tabla15[[#This Row],[Pagado]]</f>
        <v>0</v>
      </c>
      <c r="H1723" s="92" t="s">
        <v>10</v>
      </c>
    </row>
    <row r="1724" spans="1:8" ht="21.75" customHeight="1" x14ac:dyDescent="0.25">
      <c r="A1724" s="35">
        <v>44668</v>
      </c>
      <c r="B1724" s="90" t="s">
        <v>12365</v>
      </c>
      <c r="C1724" s="41" t="s">
        <v>37</v>
      </c>
      <c r="D1724" s="87">
        <v>3354.4</v>
      </c>
      <c r="E1724" s="35">
        <v>44668</v>
      </c>
      <c r="F1724" s="87">
        <v>3354.4</v>
      </c>
      <c r="G1724" s="91">
        <f>Tabla15[[#This Row],[Importe]]-Tabla15[[#This Row],[Pagado]]</f>
        <v>0</v>
      </c>
      <c r="H1724" s="92" t="s">
        <v>10</v>
      </c>
    </row>
    <row r="1725" spans="1:8" ht="21.75" customHeight="1" x14ac:dyDescent="0.25">
      <c r="A1725" s="35">
        <v>44668</v>
      </c>
      <c r="B1725" s="90" t="s">
        <v>12366</v>
      </c>
      <c r="C1725" s="41" t="s">
        <v>16</v>
      </c>
      <c r="D1725" s="87">
        <v>10514</v>
      </c>
      <c r="E1725" s="35">
        <v>44668</v>
      </c>
      <c r="F1725" s="87">
        <v>10514</v>
      </c>
      <c r="G1725" s="91">
        <f>Tabla15[[#This Row],[Importe]]-Tabla15[[#This Row],[Pagado]]</f>
        <v>0</v>
      </c>
      <c r="H1725" s="92" t="s">
        <v>10</v>
      </c>
    </row>
    <row r="1726" spans="1:8" ht="21.75" customHeight="1" x14ac:dyDescent="0.25">
      <c r="A1726" s="35">
        <v>44668</v>
      </c>
      <c r="B1726" s="90" t="s">
        <v>12367</v>
      </c>
      <c r="C1726" s="41" t="s">
        <v>161</v>
      </c>
      <c r="D1726" s="87">
        <v>3641.7</v>
      </c>
      <c r="E1726" s="35">
        <v>44668</v>
      </c>
      <c r="F1726" s="87">
        <v>3641.7</v>
      </c>
      <c r="G1726" s="91">
        <f>Tabla15[[#This Row],[Importe]]-Tabla15[[#This Row],[Pagado]]</f>
        <v>0</v>
      </c>
      <c r="H1726" s="92" t="s">
        <v>10</v>
      </c>
    </row>
    <row r="1727" spans="1:8" ht="21.75" customHeight="1" x14ac:dyDescent="0.25">
      <c r="A1727" s="35">
        <v>44668</v>
      </c>
      <c r="B1727" s="90" t="s">
        <v>12368</v>
      </c>
      <c r="C1727" s="41" t="s">
        <v>47</v>
      </c>
      <c r="D1727" s="87">
        <v>40972.699999999997</v>
      </c>
      <c r="E1727" s="35">
        <v>44668</v>
      </c>
      <c r="F1727" s="87">
        <v>40972.699999999997</v>
      </c>
      <c r="G1727" s="91">
        <f>Tabla15[[#This Row],[Importe]]-Tabla15[[#This Row],[Pagado]]</f>
        <v>0</v>
      </c>
      <c r="H1727" s="92" t="s">
        <v>10</v>
      </c>
    </row>
    <row r="1728" spans="1:8" ht="21.75" customHeight="1" x14ac:dyDescent="0.25">
      <c r="A1728" s="35">
        <v>44668</v>
      </c>
      <c r="B1728" s="90" t="s">
        <v>12369</v>
      </c>
      <c r="C1728" s="41" t="s">
        <v>47</v>
      </c>
      <c r="D1728" s="87">
        <v>1799.2</v>
      </c>
      <c r="E1728" s="35">
        <v>44668</v>
      </c>
      <c r="F1728" s="87">
        <v>1799.2</v>
      </c>
      <c r="G1728" s="91">
        <f>Tabla15[[#This Row],[Importe]]-Tabla15[[#This Row],[Pagado]]</f>
        <v>0</v>
      </c>
      <c r="H1728" s="92" t="s">
        <v>10</v>
      </c>
    </row>
    <row r="1729" spans="1:8" ht="21.75" customHeight="1" x14ac:dyDescent="0.25">
      <c r="A1729" s="35">
        <v>44668</v>
      </c>
      <c r="B1729" s="90" t="s">
        <v>12370</v>
      </c>
      <c r="C1729" s="41" t="s">
        <v>815</v>
      </c>
      <c r="D1729" s="87">
        <v>4780.2</v>
      </c>
      <c r="E1729" s="35">
        <v>44668</v>
      </c>
      <c r="F1729" s="87">
        <v>4780.2</v>
      </c>
      <c r="G1729" s="91">
        <f>Tabla15[[#This Row],[Importe]]-Tabla15[[#This Row],[Pagado]]</f>
        <v>0</v>
      </c>
      <c r="H1729" s="92" t="s">
        <v>10</v>
      </c>
    </row>
    <row r="1730" spans="1:8" ht="21.75" customHeight="1" x14ac:dyDescent="0.25">
      <c r="A1730" s="35">
        <v>44668</v>
      </c>
      <c r="B1730" s="90" t="s">
        <v>12371</v>
      </c>
      <c r="C1730" s="41" t="s">
        <v>373</v>
      </c>
      <c r="D1730" s="87">
        <v>1707.3</v>
      </c>
      <c r="E1730" s="35">
        <v>44668</v>
      </c>
      <c r="F1730" s="87">
        <v>1707.3</v>
      </c>
      <c r="G1730" s="91">
        <f>Tabla15[[#This Row],[Importe]]-Tabla15[[#This Row],[Pagado]]</f>
        <v>0</v>
      </c>
      <c r="H1730" s="92" t="s">
        <v>10</v>
      </c>
    </row>
    <row r="1731" spans="1:8" ht="21.75" customHeight="1" x14ac:dyDescent="0.25">
      <c r="A1731" s="35">
        <v>44668</v>
      </c>
      <c r="B1731" s="90" t="s">
        <v>12372</v>
      </c>
      <c r="C1731" s="41" t="s">
        <v>49</v>
      </c>
      <c r="D1731" s="87">
        <v>4179.6000000000004</v>
      </c>
      <c r="E1731" s="35">
        <v>44668</v>
      </c>
      <c r="F1731" s="87">
        <v>4179.6000000000004</v>
      </c>
      <c r="G1731" s="91">
        <f>Tabla15[[#This Row],[Importe]]-Tabla15[[#This Row],[Pagado]]</f>
        <v>0</v>
      </c>
      <c r="H1731" s="92" t="s">
        <v>10</v>
      </c>
    </row>
    <row r="1732" spans="1:8" ht="21.75" customHeight="1" x14ac:dyDescent="0.25">
      <c r="A1732" s="35">
        <v>44668</v>
      </c>
      <c r="B1732" s="90" t="s">
        <v>12373</v>
      </c>
      <c r="C1732" s="41" t="s">
        <v>454</v>
      </c>
      <c r="D1732" s="87">
        <v>1360</v>
      </c>
      <c r="E1732" s="35">
        <v>44668</v>
      </c>
      <c r="F1732" s="87">
        <v>1360</v>
      </c>
      <c r="G1732" s="91">
        <f>Tabla15[[#This Row],[Importe]]-Tabla15[[#This Row],[Pagado]]</f>
        <v>0</v>
      </c>
      <c r="H1732" s="92" t="s">
        <v>10</v>
      </c>
    </row>
    <row r="1733" spans="1:8" ht="21.75" customHeight="1" x14ac:dyDescent="0.25">
      <c r="A1733" s="35">
        <v>44668</v>
      </c>
      <c r="B1733" s="90" t="s">
        <v>12374</v>
      </c>
      <c r="C1733" s="41" t="s">
        <v>45</v>
      </c>
      <c r="D1733" s="87">
        <v>14394</v>
      </c>
      <c r="E1733" s="35">
        <v>44668</v>
      </c>
      <c r="F1733" s="87">
        <v>14394</v>
      </c>
      <c r="G1733" s="91">
        <f>Tabla15[[#This Row],[Importe]]-Tabla15[[#This Row],[Pagado]]</f>
        <v>0</v>
      </c>
      <c r="H1733" s="92" t="s">
        <v>10</v>
      </c>
    </row>
    <row r="1734" spans="1:8" ht="21.75" customHeight="1" x14ac:dyDescent="0.25">
      <c r="A1734" s="35">
        <v>44668</v>
      </c>
      <c r="B1734" s="90" t="s">
        <v>12375</v>
      </c>
      <c r="C1734" s="41" t="s">
        <v>24</v>
      </c>
      <c r="D1734" s="87">
        <v>3810</v>
      </c>
      <c r="E1734" s="35">
        <v>44668</v>
      </c>
      <c r="F1734" s="87">
        <v>3810</v>
      </c>
      <c r="G1734" s="91">
        <f>Tabla15[[#This Row],[Importe]]-Tabla15[[#This Row],[Pagado]]</f>
        <v>0</v>
      </c>
      <c r="H1734" s="92" t="s">
        <v>10</v>
      </c>
    </row>
    <row r="1735" spans="1:8" ht="21.75" customHeight="1" x14ac:dyDescent="0.25">
      <c r="A1735" s="35">
        <v>44668</v>
      </c>
      <c r="B1735" s="90" t="s">
        <v>12376</v>
      </c>
      <c r="C1735" s="41" t="s">
        <v>216</v>
      </c>
      <c r="D1735" s="87">
        <v>1963.5</v>
      </c>
      <c r="E1735" s="35">
        <v>44668</v>
      </c>
      <c r="F1735" s="87">
        <v>1963.5</v>
      </c>
      <c r="G1735" s="91">
        <f>Tabla15[[#This Row],[Importe]]-Tabla15[[#This Row],[Pagado]]</f>
        <v>0</v>
      </c>
      <c r="H1735" s="92" t="s">
        <v>10</v>
      </c>
    </row>
    <row r="1736" spans="1:8" ht="21.75" customHeight="1" x14ac:dyDescent="0.25">
      <c r="A1736" s="35">
        <v>44668</v>
      </c>
      <c r="B1736" s="90" t="s">
        <v>12377</v>
      </c>
      <c r="C1736" s="41" t="s">
        <v>35</v>
      </c>
      <c r="D1736" s="87">
        <v>1995.8</v>
      </c>
      <c r="E1736" s="35">
        <v>44668</v>
      </c>
      <c r="F1736" s="87">
        <v>1995.8</v>
      </c>
      <c r="G1736" s="91">
        <f>Tabla15[[#This Row],[Importe]]-Tabla15[[#This Row],[Pagado]]</f>
        <v>0</v>
      </c>
      <c r="H1736" s="92" t="s">
        <v>10</v>
      </c>
    </row>
    <row r="1737" spans="1:8" ht="21.75" customHeight="1" x14ac:dyDescent="0.25">
      <c r="A1737" s="35">
        <v>44668</v>
      </c>
      <c r="B1737" s="90" t="s">
        <v>12378</v>
      </c>
      <c r="C1737" s="41" t="s">
        <v>244</v>
      </c>
      <c r="D1737" s="87">
        <v>1026.5999999999999</v>
      </c>
      <c r="E1737" s="35">
        <v>44668</v>
      </c>
      <c r="F1737" s="87">
        <v>1026.5999999999999</v>
      </c>
      <c r="G1737" s="91">
        <f>Tabla15[[#This Row],[Importe]]-Tabla15[[#This Row],[Pagado]]</f>
        <v>0</v>
      </c>
      <c r="H1737" s="92" t="s">
        <v>10</v>
      </c>
    </row>
    <row r="1738" spans="1:8" ht="21.75" customHeight="1" x14ac:dyDescent="0.25">
      <c r="A1738" s="35">
        <v>44668</v>
      </c>
      <c r="B1738" s="90" t="s">
        <v>12379</v>
      </c>
      <c r="C1738" s="41" t="s">
        <v>382</v>
      </c>
      <c r="D1738" s="87">
        <v>8924</v>
      </c>
      <c r="E1738" s="35">
        <v>44668</v>
      </c>
      <c r="F1738" s="87">
        <v>8924</v>
      </c>
      <c r="G1738" s="91">
        <f>Tabla15[[#This Row],[Importe]]-Tabla15[[#This Row],[Pagado]]</f>
        <v>0</v>
      </c>
      <c r="H1738" s="92" t="s">
        <v>10</v>
      </c>
    </row>
    <row r="1739" spans="1:8" ht="21.75" customHeight="1" x14ac:dyDescent="0.25">
      <c r="A1739" s="35">
        <v>44668</v>
      </c>
      <c r="B1739" s="90" t="s">
        <v>12380</v>
      </c>
      <c r="C1739" s="41" t="s">
        <v>12</v>
      </c>
      <c r="D1739" s="87">
        <v>14644.75</v>
      </c>
      <c r="E1739" s="35">
        <v>44668</v>
      </c>
      <c r="F1739" s="87">
        <v>14644.75</v>
      </c>
      <c r="G1739" s="91">
        <f>Tabla15[[#This Row],[Importe]]-Tabla15[[#This Row],[Pagado]]</f>
        <v>0</v>
      </c>
      <c r="H1739" s="92" t="s">
        <v>10</v>
      </c>
    </row>
    <row r="1740" spans="1:8" ht="31.5" x14ac:dyDescent="0.25">
      <c r="A1740" s="35">
        <v>44668</v>
      </c>
      <c r="B1740" s="90" t="s">
        <v>12381</v>
      </c>
      <c r="C1740" s="41" t="s">
        <v>196</v>
      </c>
      <c r="D1740" s="87">
        <v>610.4</v>
      </c>
      <c r="E1740" s="35">
        <v>44669</v>
      </c>
      <c r="F1740" s="87">
        <v>610.4</v>
      </c>
      <c r="G1740" s="91">
        <f>Tabla15[[#This Row],[Importe]]-Tabla15[[#This Row],[Pagado]]</f>
        <v>0</v>
      </c>
      <c r="H1740" s="92" t="s">
        <v>10</v>
      </c>
    </row>
    <row r="1741" spans="1:8" x14ac:dyDescent="0.25">
      <c r="A1741" s="35">
        <v>44668</v>
      </c>
      <c r="B1741" s="90" t="s">
        <v>12382</v>
      </c>
      <c r="C1741" s="41" t="s">
        <v>12383</v>
      </c>
      <c r="D1741" s="87">
        <v>0</v>
      </c>
      <c r="E1741" s="39" t="s">
        <v>189</v>
      </c>
      <c r="F1741" s="87">
        <v>0</v>
      </c>
      <c r="G1741" s="91">
        <f>Tabla15[[#This Row],[Importe]]-Tabla15[[#This Row],[Pagado]]</f>
        <v>0</v>
      </c>
      <c r="H1741" s="94" t="s">
        <v>12384</v>
      </c>
    </row>
    <row r="1742" spans="1:8" ht="21.75" customHeight="1" x14ac:dyDescent="0.25">
      <c r="A1742" s="35">
        <v>44668</v>
      </c>
      <c r="B1742" s="90" t="s">
        <v>12385</v>
      </c>
      <c r="C1742" s="41" t="s">
        <v>67</v>
      </c>
      <c r="D1742" s="87">
        <v>5155.2</v>
      </c>
      <c r="E1742" s="35">
        <v>44668</v>
      </c>
      <c r="F1742" s="87">
        <v>5155.2</v>
      </c>
      <c r="G1742" s="91">
        <f>Tabla15[[#This Row],[Importe]]-Tabla15[[#This Row],[Pagado]]</f>
        <v>0</v>
      </c>
      <c r="H1742" s="92" t="s">
        <v>10</v>
      </c>
    </row>
    <row r="1743" spans="1:8" ht="21.75" customHeight="1" x14ac:dyDescent="0.25">
      <c r="A1743" s="35">
        <v>44668</v>
      </c>
      <c r="B1743" s="90" t="s">
        <v>12386</v>
      </c>
      <c r="C1743" s="41" t="s">
        <v>1706</v>
      </c>
      <c r="D1743" s="87">
        <v>2400</v>
      </c>
      <c r="E1743" s="35">
        <v>44668</v>
      </c>
      <c r="F1743" s="87">
        <v>2400</v>
      </c>
      <c r="G1743" s="91">
        <f>Tabla15[[#This Row],[Importe]]-Tabla15[[#This Row],[Pagado]]</f>
        <v>0</v>
      </c>
      <c r="H1743" s="92" t="s">
        <v>10</v>
      </c>
    </row>
    <row r="1744" spans="1:8" ht="21.75" customHeight="1" x14ac:dyDescent="0.25">
      <c r="A1744" s="35">
        <v>44668</v>
      </c>
      <c r="B1744" s="90" t="s">
        <v>12387</v>
      </c>
      <c r="C1744" s="41" t="s">
        <v>1706</v>
      </c>
      <c r="D1744" s="87">
        <v>2934</v>
      </c>
      <c r="E1744" s="35">
        <v>44668</v>
      </c>
      <c r="F1744" s="87">
        <v>2934</v>
      </c>
      <c r="G1744" s="91">
        <f>Tabla15[[#This Row],[Importe]]-Tabla15[[#This Row],[Pagado]]</f>
        <v>0</v>
      </c>
      <c r="H1744" s="92" t="s">
        <v>10</v>
      </c>
    </row>
    <row r="1745" spans="1:8" ht="21.75" customHeight="1" x14ac:dyDescent="0.25">
      <c r="A1745" s="35">
        <v>44668</v>
      </c>
      <c r="B1745" s="90" t="s">
        <v>12388</v>
      </c>
      <c r="C1745" s="41" t="s">
        <v>31</v>
      </c>
      <c r="D1745" s="87">
        <v>462</v>
      </c>
      <c r="E1745" s="35">
        <v>44668</v>
      </c>
      <c r="F1745" s="87">
        <v>462</v>
      </c>
      <c r="G1745" s="91">
        <f>Tabla15[[#This Row],[Importe]]-Tabla15[[#This Row],[Pagado]]</f>
        <v>0</v>
      </c>
      <c r="H1745" s="92" t="s">
        <v>10</v>
      </c>
    </row>
    <row r="1746" spans="1:8" ht="21.75" customHeight="1" x14ac:dyDescent="0.25">
      <c r="A1746" s="35">
        <v>44668</v>
      </c>
      <c r="B1746" s="90" t="s">
        <v>12389</v>
      </c>
      <c r="C1746" s="41" t="s">
        <v>31</v>
      </c>
      <c r="D1746" s="87">
        <v>423.5</v>
      </c>
      <c r="E1746" s="35">
        <v>44668</v>
      </c>
      <c r="F1746" s="87">
        <v>423.5</v>
      </c>
      <c r="G1746" s="91">
        <f>Tabla15[[#This Row],[Importe]]-Tabla15[[#This Row],[Pagado]]</f>
        <v>0</v>
      </c>
      <c r="H1746" s="92" t="s">
        <v>10</v>
      </c>
    </row>
    <row r="1747" spans="1:8" ht="21.75" customHeight="1" x14ac:dyDescent="0.25">
      <c r="A1747" s="35">
        <v>44668</v>
      </c>
      <c r="B1747" s="90" t="s">
        <v>12390</v>
      </c>
      <c r="C1747" s="41" t="s">
        <v>64</v>
      </c>
      <c r="D1747" s="87">
        <v>4128.7</v>
      </c>
      <c r="E1747" s="35">
        <v>44669</v>
      </c>
      <c r="F1747" s="87">
        <v>4128.7</v>
      </c>
      <c r="G1747" s="91">
        <f>Tabla15[[#This Row],[Importe]]-Tabla15[[#This Row],[Pagado]]</f>
        <v>0</v>
      </c>
      <c r="H1747" s="92" t="s">
        <v>10</v>
      </c>
    </row>
    <row r="1748" spans="1:8" ht="21.75" customHeight="1" x14ac:dyDescent="0.25">
      <c r="A1748" s="35">
        <v>44668</v>
      </c>
      <c r="B1748" s="90" t="s">
        <v>12391</v>
      </c>
      <c r="C1748" s="41" t="s">
        <v>58</v>
      </c>
      <c r="D1748" s="87">
        <v>4587.8999999999996</v>
      </c>
      <c r="E1748" s="35">
        <v>44668</v>
      </c>
      <c r="F1748" s="87">
        <v>4587.8999999999996</v>
      </c>
      <c r="G1748" s="91">
        <f>Tabla15[[#This Row],[Importe]]-Tabla15[[#This Row],[Pagado]]</f>
        <v>0</v>
      </c>
      <c r="H1748" s="92" t="s">
        <v>10</v>
      </c>
    </row>
    <row r="1749" spans="1:8" ht="21.75" customHeight="1" x14ac:dyDescent="0.25">
      <c r="A1749" s="35">
        <v>44668</v>
      </c>
      <c r="B1749" s="90" t="s">
        <v>12392</v>
      </c>
      <c r="C1749" s="41" t="s">
        <v>53</v>
      </c>
      <c r="D1749" s="87">
        <v>701.9</v>
      </c>
      <c r="E1749" s="35">
        <v>44668</v>
      </c>
      <c r="F1749" s="87">
        <v>701.9</v>
      </c>
      <c r="G1749" s="91">
        <f>Tabla15[[#This Row],[Importe]]-Tabla15[[#This Row],[Pagado]]</f>
        <v>0</v>
      </c>
      <c r="H1749" s="92" t="s">
        <v>10</v>
      </c>
    </row>
    <row r="1750" spans="1:8" ht="21.75" customHeight="1" x14ac:dyDescent="0.25">
      <c r="A1750" s="35">
        <v>44668</v>
      </c>
      <c r="B1750" s="90" t="s">
        <v>12393</v>
      </c>
      <c r="C1750" s="41" t="s">
        <v>51</v>
      </c>
      <c r="D1750" s="87">
        <v>1170</v>
      </c>
      <c r="E1750" s="35">
        <v>44668</v>
      </c>
      <c r="F1750" s="87">
        <v>1170</v>
      </c>
      <c r="G1750" s="91">
        <f>Tabla15[[#This Row],[Importe]]-Tabla15[[#This Row],[Pagado]]</f>
        <v>0</v>
      </c>
      <c r="H1750" s="92" t="s">
        <v>10</v>
      </c>
    </row>
    <row r="1751" spans="1:8" ht="21.75" customHeight="1" x14ac:dyDescent="0.25">
      <c r="A1751" s="35">
        <v>44668</v>
      </c>
      <c r="B1751" s="90" t="s">
        <v>12394</v>
      </c>
      <c r="C1751" s="41" t="s">
        <v>214</v>
      </c>
      <c r="D1751" s="87">
        <v>1501.5</v>
      </c>
      <c r="E1751" s="35">
        <v>44668</v>
      </c>
      <c r="F1751" s="87">
        <v>1501.5</v>
      </c>
      <c r="G1751" s="91">
        <f>Tabla15[[#This Row],[Importe]]-Tabla15[[#This Row],[Pagado]]</f>
        <v>0</v>
      </c>
      <c r="H1751" s="92" t="s">
        <v>10</v>
      </c>
    </row>
    <row r="1752" spans="1:8" ht="21.75" customHeight="1" x14ac:dyDescent="0.25">
      <c r="A1752" s="35">
        <v>44668</v>
      </c>
      <c r="B1752" s="90" t="s">
        <v>12395</v>
      </c>
      <c r="C1752" s="41" t="s">
        <v>71</v>
      </c>
      <c r="D1752" s="87">
        <v>1062.5999999999999</v>
      </c>
      <c r="E1752" s="35">
        <v>44668</v>
      </c>
      <c r="F1752" s="87">
        <v>1062.5999999999999</v>
      </c>
      <c r="G1752" s="91">
        <f>Tabla15[[#This Row],[Importe]]-Tabla15[[#This Row],[Pagado]]</f>
        <v>0</v>
      </c>
      <c r="H1752" s="92" t="s">
        <v>10</v>
      </c>
    </row>
    <row r="1753" spans="1:8" ht="21.75" customHeight="1" x14ac:dyDescent="0.25">
      <c r="A1753" s="35">
        <v>44668</v>
      </c>
      <c r="B1753" s="90" t="s">
        <v>12396</v>
      </c>
      <c r="C1753" s="41" t="s">
        <v>191</v>
      </c>
      <c r="D1753" s="87">
        <v>3251.2</v>
      </c>
      <c r="E1753" s="35">
        <v>44668</v>
      </c>
      <c r="F1753" s="87">
        <v>3251.2</v>
      </c>
      <c r="G1753" s="91">
        <f>Tabla15[[#This Row],[Importe]]-Tabla15[[#This Row],[Pagado]]</f>
        <v>0</v>
      </c>
      <c r="H1753" s="92" t="s">
        <v>10</v>
      </c>
    </row>
    <row r="1754" spans="1:8" ht="21.75" customHeight="1" x14ac:dyDescent="0.25">
      <c r="A1754" s="35">
        <v>44668</v>
      </c>
      <c r="B1754" s="90" t="s">
        <v>12397</v>
      </c>
      <c r="C1754" s="41" t="s">
        <v>16</v>
      </c>
      <c r="D1754" s="87">
        <v>5152</v>
      </c>
      <c r="E1754" s="35">
        <v>44668</v>
      </c>
      <c r="F1754" s="87">
        <v>5152</v>
      </c>
      <c r="G1754" s="91">
        <f>Tabla15[[#This Row],[Importe]]-Tabla15[[#This Row],[Pagado]]</f>
        <v>0</v>
      </c>
      <c r="H1754" s="92" t="s">
        <v>10</v>
      </c>
    </row>
    <row r="1755" spans="1:8" ht="21.75" customHeight="1" x14ac:dyDescent="0.25">
      <c r="A1755" s="35">
        <v>44668</v>
      </c>
      <c r="B1755" s="90" t="s">
        <v>12398</v>
      </c>
      <c r="C1755" s="41" t="s">
        <v>16</v>
      </c>
      <c r="D1755" s="87">
        <v>589.6</v>
      </c>
      <c r="E1755" s="35">
        <v>44668</v>
      </c>
      <c r="F1755" s="87">
        <v>589.6</v>
      </c>
      <c r="G1755" s="91">
        <f>Tabla15[[#This Row],[Importe]]-Tabla15[[#This Row],[Pagado]]</f>
        <v>0</v>
      </c>
      <c r="H1755" s="92" t="s">
        <v>10</v>
      </c>
    </row>
    <row r="1756" spans="1:8" ht="21.75" customHeight="1" x14ac:dyDescent="0.25">
      <c r="A1756" s="35">
        <v>44668</v>
      </c>
      <c r="B1756" s="90" t="s">
        <v>12399</v>
      </c>
      <c r="C1756" s="41" t="s">
        <v>31</v>
      </c>
      <c r="D1756" s="87">
        <v>4174.2</v>
      </c>
      <c r="E1756" s="35">
        <v>44668</v>
      </c>
      <c r="F1756" s="87">
        <v>4174.2</v>
      </c>
      <c r="G1756" s="91">
        <f>Tabla15[[#This Row],[Importe]]-Tabla15[[#This Row],[Pagado]]</f>
        <v>0</v>
      </c>
      <c r="H1756" s="92" t="s">
        <v>10</v>
      </c>
    </row>
    <row r="1757" spans="1:8" ht="21.75" customHeight="1" x14ac:dyDescent="0.25">
      <c r="A1757" s="35">
        <v>44668</v>
      </c>
      <c r="B1757" s="90" t="s">
        <v>12400</v>
      </c>
      <c r="C1757" s="41" t="s">
        <v>67</v>
      </c>
      <c r="D1757" s="87">
        <v>893.2</v>
      </c>
      <c r="E1757" s="35">
        <v>44668</v>
      </c>
      <c r="F1757" s="87">
        <v>893.2</v>
      </c>
      <c r="G1757" s="91">
        <f>Tabla15[[#This Row],[Importe]]-Tabla15[[#This Row],[Pagado]]</f>
        <v>0</v>
      </c>
      <c r="H1757" s="92" t="s">
        <v>10</v>
      </c>
    </row>
    <row r="1758" spans="1:8" ht="21.75" customHeight="1" x14ac:dyDescent="0.25">
      <c r="A1758" s="35">
        <v>44668</v>
      </c>
      <c r="B1758" s="90" t="s">
        <v>12401</v>
      </c>
      <c r="C1758" s="41" t="s">
        <v>31</v>
      </c>
      <c r="D1758" s="87">
        <v>1233</v>
      </c>
      <c r="E1758" s="35">
        <v>44668</v>
      </c>
      <c r="F1758" s="87">
        <v>1233</v>
      </c>
      <c r="G1758" s="91">
        <f>Tabla15[[#This Row],[Importe]]-Tabla15[[#This Row],[Pagado]]</f>
        <v>0</v>
      </c>
      <c r="H1758" s="92" t="s">
        <v>10</v>
      </c>
    </row>
    <row r="1759" spans="1:8" ht="21.75" customHeight="1" x14ac:dyDescent="0.25">
      <c r="A1759" s="35">
        <v>44668</v>
      </c>
      <c r="B1759" s="90" t="s">
        <v>12402</v>
      </c>
      <c r="C1759" s="41" t="s">
        <v>31</v>
      </c>
      <c r="D1759" s="87">
        <v>99</v>
      </c>
      <c r="E1759" s="35">
        <v>44669</v>
      </c>
      <c r="F1759" s="87">
        <v>99</v>
      </c>
      <c r="G1759" s="91">
        <f>Tabla15[[#This Row],[Importe]]-Tabla15[[#This Row],[Pagado]]</f>
        <v>0</v>
      </c>
      <c r="H1759" s="92" t="s">
        <v>10</v>
      </c>
    </row>
    <row r="1760" spans="1:8" ht="21.75" customHeight="1" x14ac:dyDescent="0.25">
      <c r="A1760" s="35">
        <v>44668</v>
      </c>
      <c r="B1760" s="90" t="s">
        <v>12403</v>
      </c>
      <c r="C1760" s="41" t="s">
        <v>31</v>
      </c>
      <c r="D1760" s="87">
        <v>72</v>
      </c>
      <c r="E1760" s="35">
        <v>44669</v>
      </c>
      <c r="F1760" s="87">
        <v>72</v>
      </c>
      <c r="G1760" s="91">
        <f>Tabla15[[#This Row],[Importe]]-Tabla15[[#This Row],[Pagado]]</f>
        <v>0</v>
      </c>
      <c r="H1760" s="92" t="s">
        <v>10</v>
      </c>
    </row>
    <row r="1761" spans="1:8" ht="21.75" customHeight="1" x14ac:dyDescent="0.25">
      <c r="A1761" s="35">
        <v>44668</v>
      </c>
      <c r="B1761" s="90" t="s">
        <v>12404</v>
      </c>
      <c r="C1761" s="41" t="s">
        <v>31</v>
      </c>
      <c r="D1761" s="87">
        <v>28.8</v>
      </c>
      <c r="E1761" s="35">
        <v>44669</v>
      </c>
      <c r="F1761" s="87">
        <v>28.8</v>
      </c>
      <c r="G1761" s="91">
        <f>Tabla15[[#This Row],[Importe]]-Tabla15[[#This Row],[Pagado]]</f>
        <v>0</v>
      </c>
      <c r="H1761" s="92" t="s">
        <v>10</v>
      </c>
    </row>
    <row r="1762" spans="1:8" ht="21.75" customHeight="1" x14ac:dyDescent="0.25">
      <c r="A1762" s="35">
        <v>44668</v>
      </c>
      <c r="B1762" s="90" t="s">
        <v>12405</v>
      </c>
      <c r="C1762" s="41" t="s">
        <v>31</v>
      </c>
      <c r="D1762" s="87">
        <v>216</v>
      </c>
      <c r="E1762" s="35">
        <v>44669</v>
      </c>
      <c r="F1762" s="87">
        <v>216</v>
      </c>
      <c r="G1762" s="91">
        <f>Tabla15[[#This Row],[Importe]]-Tabla15[[#This Row],[Pagado]]</f>
        <v>0</v>
      </c>
      <c r="H1762" s="92" t="s">
        <v>10</v>
      </c>
    </row>
    <row r="1763" spans="1:8" ht="21.75" customHeight="1" x14ac:dyDescent="0.25">
      <c r="A1763" s="35">
        <v>44669</v>
      </c>
      <c r="B1763" s="90" t="s">
        <v>12406</v>
      </c>
      <c r="C1763" s="41" t="s">
        <v>12407</v>
      </c>
      <c r="D1763" s="87">
        <v>0</v>
      </c>
      <c r="E1763" s="39" t="s">
        <v>189</v>
      </c>
      <c r="F1763" s="87">
        <v>0</v>
      </c>
      <c r="G1763" s="91">
        <f>Tabla15[[#This Row],[Importe]]-Tabla15[[#This Row],[Pagado]]</f>
        <v>0</v>
      </c>
      <c r="H1763" s="92" t="s">
        <v>189</v>
      </c>
    </row>
    <row r="1764" spans="1:8" ht="31.5" x14ac:dyDescent="0.25">
      <c r="A1764" s="35">
        <v>44669</v>
      </c>
      <c r="B1764" s="90" t="s">
        <v>12408</v>
      </c>
      <c r="C1764" s="41" t="s">
        <v>475</v>
      </c>
      <c r="D1764" s="87">
        <v>108180.9</v>
      </c>
      <c r="E1764" s="35" t="s">
        <v>12409</v>
      </c>
      <c r="F1764" s="87">
        <f>85000+23180.9</f>
        <v>108180.9</v>
      </c>
      <c r="G1764" s="91">
        <f>Tabla15[[#This Row],[Importe]]-Tabla15[[#This Row],[Pagado]]</f>
        <v>0</v>
      </c>
      <c r="H1764" s="92" t="s">
        <v>10</v>
      </c>
    </row>
    <row r="1765" spans="1:8" ht="21.75" customHeight="1" x14ac:dyDescent="0.25">
      <c r="A1765" s="35">
        <v>44669</v>
      </c>
      <c r="B1765" s="90" t="s">
        <v>12410</v>
      </c>
      <c r="C1765" s="41" t="s">
        <v>31</v>
      </c>
      <c r="D1765" s="87">
        <v>895.7</v>
      </c>
      <c r="E1765" s="35">
        <v>44669</v>
      </c>
      <c r="F1765" s="87">
        <v>895.7</v>
      </c>
      <c r="G1765" s="91">
        <f>Tabla15[[#This Row],[Importe]]-Tabla15[[#This Row],[Pagado]]</f>
        <v>0</v>
      </c>
      <c r="H1765" s="92" t="s">
        <v>10</v>
      </c>
    </row>
    <row r="1766" spans="1:8" ht="21.75" customHeight="1" x14ac:dyDescent="0.25">
      <c r="A1766" s="35">
        <v>44669</v>
      </c>
      <c r="B1766" s="90" t="s">
        <v>12411</v>
      </c>
      <c r="C1766" s="41" t="s">
        <v>353</v>
      </c>
      <c r="D1766" s="87">
        <v>1740.8</v>
      </c>
      <c r="E1766" s="35">
        <v>44669</v>
      </c>
      <c r="F1766" s="87">
        <v>1740.8</v>
      </c>
      <c r="G1766" s="91">
        <f>Tabla15[[#This Row],[Importe]]-Tabla15[[#This Row],[Pagado]]</f>
        <v>0</v>
      </c>
      <c r="H1766" s="92" t="s">
        <v>10</v>
      </c>
    </row>
    <row r="1767" spans="1:8" ht="21.75" customHeight="1" x14ac:dyDescent="0.25">
      <c r="A1767" s="35">
        <v>44669</v>
      </c>
      <c r="B1767" s="90" t="s">
        <v>12412</v>
      </c>
      <c r="C1767" s="41" t="s">
        <v>137</v>
      </c>
      <c r="D1767" s="87">
        <v>1400</v>
      </c>
      <c r="E1767" s="35">
        <v>44669</v>
      </c>
      <c r="F1767" s="87">
        <v>1400</v>
      </c>
      <c r="G1767" s="91">
        <f>Tabla15[[#This Row],[Importe]]-Tabla15[[#This Row],[Pagado]]</f>
        <v>0</v>
      </c>
      <c r="H1767" s="92" t="s">
        <v>10</v>
      </c>
    </row>
    <row r="1768" spans="1:8" ht="21.75" customHeight="1" x14ac:dyDescent="0.25">
      <c r="A1768" s="35">
        <v>44669</v>
      </c>
      <c r="B1768" s="90" t="s">
        <v>12413</v>
      </c>
      <c r="C1768" s="41" t="s">
        <v>12</v>
      </c>
      <c r="D1768" s="87">
        <v>51283.95</v>
      </c>
      <c r="E1768" s="35">
        <v>44669</v>
      </c>
      <c r="F1768" s="87">
        <v>51283.95</v>
      </c>
      <c r="G1768" s="91">
        <f>Tabla15[[#This Row],[Importe]]-Tabla15[[#This Row],[Pagado]]</f>
        <v>0</v>
      </c>
      <c r="H1768" s="92" t="s">
        <v>10</v>
      </c>
    </row>
    <row r="1769" spans="1:8" ht="21.75" customHeight="1" x14ac:dyDescent="0.25">
      <c r="A1769" s="35">
        <v>44669</v>
      </c>
      <c r="B1769" s="90" t="s">
        <v>12414</v>
      </c>
      <c r="C1769" s="41" t="s">
        <v>31</v>
      </c>
      <c r="D1769" s="87">
        <v>1986.2</v>
      </c>
      <c r="E1769" s="35">
        <v>44669</v>
      </c>
      <c r="F1769" s="87">
        <v>1986.2</v>
      </c>
      <c r="G1769" s="91">
        <f>Tabla15[[#This Row],[Importe]]-Tabla15[[#This Row],[Pagado]]</f>
        <v>0</v>
      </c>
      <c r="H1769" s="92" t="s">
        <v>10</v>
      </c>
    </row>
    <row r="1770" spans="1:8" ht="21.75" customHeight="1" x14ac:dyDescent="0.25">
      <c r="A1770" s="35">
        <v>44669</v>
      </c>
      <c r="B1770" s="90" t="s">
        <v>12415</v>
      </c>
      <c r="C1770" s="41" t="s">
        <v>49</v>
      </c>
      <c r="D1770" s="87">
        <v>3051.6</v>
      </c>
      <c r="E1770" s="35">
        <v>44669</v>
      </c>
      <c r="F1770" s="87">
        <v>3051.6</v>
      </c>
      <c r="G1770" s="91">
        <f>Tabla15[[#This Row],[Importe]]-Tabla15[[#This Row],[Pagado]]</f>
        <v>0</v>
      </c>
      <c r="H1770" s="92" t="s">
        <v>10</v>
      </c>
    </row>
    <row r="1771" spans="1:8" ht="21.75" customHeight="1" x14ac:dyDescent="0.25">
      <c r="A1771" s="35">
        <v>44669</v>
      </c>
      <c r="B1771" s="90" t="s">
        <v>12416</v>
      </c>
      <c r="C1771" s="41" t="s">
        <v>87</v>
      </c>
      <c r="D1771" s="87">
        <v>2684</v>
      </c>
      <c r="E1771" s="35">
        <v>44669</v>
      </c>
      <c r="F1771" s="87">
        <v>2684</v>
      </c>
      <c r="G1771" s="91">
        <f>Tabla15[[#This Row],[Importe]]-Tabla15[[#This Row],[Pagado]]</f>
        <v>0</v>
      </c>
      <c r="H1771" s="92" t="s">
        <v>10</v>
      </c>
    </row>
    <row r="1772" spans="1:8" ht="21.75" customHeight="1" x14ac:dyDescent="0.25">
      <c r="A1772" s="35">
        <v>44669</v>
      </c>
      <c r="B1772" s="90" t="s">
        <v>12417</v>
      </c>
      <c r="C1772" s="41" t="s">
        <v>9</v>
      </c>
      <c r="D1772" s="87">
        <v>6749.2</v>
      </c>
      <c r="E1772" s="35">
        <v>44669</v>
      </c>
      <c r="F1772" s="87">
        <v>6749.2</v>
      </c>
      <c r="G1772" s="91">
        <f>Tabla15[[#This Row],[Importe]]-Tabla15[[#This Row],[Pagado]]</f>
        <v>0</v>
      </c>
      <c r="H1772" s="92" t="s">
        <v>10</v>
      </c>
    </row>
    <row r="1773" spans="1:8" ht="21.75" customHeight="1" x14ac:dyDescent="0.25">
      <c r="A1773" s="35">
        <v>44669</v>
      </c>
      <c r="B1773" s="90" t="s">
        <v>12418</v>
      </c>
      <c r="C1773" s="41" t="s">
        <v>12202</v>
      </c>
      <c r="D1773" s="87">
        <v>2814</v>
      </c>
      <c r="E1773" s="35">
        <v>44669</v>
      </c>
      <c r="F1773" s="87">
        <v>2814</v>
      </c>
      <c r="G1773" s="91">
        <f>Tabla15[[#This Row],[Importe]]-Tabla15[[#This Row],[Pagado]]</f>
        <v>0</v>
      </c>
      <c r="H1773" s="92" t="s">
        <v>10</v>
      </c>
    </row>
    <row r="1774" spans="1:8" ht="21.75" customHeight="1" x14ac:dyDescent="0.25">
      <c r="A1774" s="35">
        <v>44669</v>
      </c>
      <c r="B1774" s="90" t="s">
        <v>12419</v>
      </c>
      <c r="C1774" s="41" t="s">
        <v>9415</v>
      </c>
      <c r="D1774" s="87">
        <v>11484.8</v>
      </c>
      <c r="E1774" s="35">
        <v>44669</v>
      </c>
      <c r="F1774" s="87">
        <v>11484.8</v>
      </c>
      <c r="G1774" s="91">
        <f>Tabla15[[#This Row],[Importe]]-Tabla15[[#This Row],[Pagado]]</f>
        <v>0</v>
      </c>
      <c r="H1774" s="92" t="s">
        <v>10</v>
      </c>
    </row>
    <row r="1775" spans="1:8" ht="21.75" customHeight="1" x14ac:dyDescent="0.25">
      <c r="A1775" s="35">
        <v>44669</v>
      </c>
      <c r="B1775" s="90" t="s">
        <v>12420</v>
      </c>
      <c r="C1775" s="41" t="s">
        <v>2563</v>
      </c>
      <c r="D1775" s="87">
        <v>4107.5</v>
      </c>
      <c r="E1775" s="35">
        <v>44669</v>
      </c>
      <c r="F1775" s="87">
        <v>4107.5</v>
      </c>
      <c r="G1775" s="91">
        <f>Tabla15[[#This Row],[Importe]]-Tabla15[[#This Row],[Pagado]]</f>
        <v>0</v>
      </c>
      <c r="H1775" s="92" t="s">
        <v>10</v>
      </c>
    </row>
    <row r="1776" spans="1:8" ht="21.75" customHeight="1" x14ac:dyDescent="0.25">
      <c r="A1776" s="35">
        <v>44669</v>
      </c>
      <c r="B1776" s="90" t="s">
        <v>12421</v>
      </c>
      <c r="C1776" s="41" t="s">
        <v>87</v>
      </c>
      <c r="D1776" s="87">
        <v>140</v>
      </c>
      <c r="E1776" s="35">
        <v>44669</v>
      </c>
      <c r="F1776" s="87">
        <v>140</v>
      </c>
      <c r="G1776" s="91">
        <f>Tabla15[[#This Row],[Importe]]-Tabla15[[#This Row],[Pagado]]</f>
        <v>0</v>
      </c>
      <c r="H1776" s="92" t="s">
        <v>10</v>
      </c>
    </row>
    <row r="1777" spans="1:8" ht="21.75" customHeight="1" x14ac:dyDescent="0.25">
      <c r="A1777" s="35">
        <v>44669</v>
      </c>
      <c r="B1777" s="90" t="s">
        <v>12422</v>
      </c>
      <c r="C1777" s="41" t="s">
        <v>105</v>
      </c>
      <c r="D1777" s="87">
        <v>5487.7</v>
      </c>
      <c r="E1777" s="35">
        <v>44670</v>
      </c>
      <c r="F1777" s="87">
        <v>5487.7</v>
      </c>
      <c r="G1777" s="91">
        <f>Tabla15[[#This Row],[Importe]]-Tabla15[[#This Row],[Pagado]]</f>
        <v>0</v>
      </c>
      <c r="H1777" s="92" t="s">
        <v>10</v>
      </c>
    </row>
    <row r="1778" spans="1:8" ht="21.75" customHeight="1" x14ac:dyDescent="0.25">
      <c r="A1778" s="35">
        <v>44669</v>
      </c>
      <c r="B1778" s="90" t="s">
        <v>12423</v>
      </c>
      <c r="C1778" s="41" t="s">
        <v>10742</v>
      </c>
      <c r="D1778" s="87">
        <v>9333.2999999999993</v>
      </c>
      <c r="E1778" s="35">
        <v>44670</v>
      </c>
      <c r="F1778" s="87">
        <v>9333.2999999999993</v>
      </c>
      <c r="G1778" s="91">
        <f>Tabla15[[#This Row],[Importe]]-Tabla15[[#This Row],[Pagado]]</f>
        <v>0</v>
      </c>
      <c r="H1778" s="92" t="s">
        <v>10</v>
      </c>
    </row>
    <row r="1779" spans="1:8" ht="21.75" customHeight="1" x14ac:dyDescent="0.25">
      <c r="A1779" s="35">
        <v>44669</v>
      </c>
      <c r="B1779" s="90" t="s">
        <v>12424</v>
      </c>
      <c r="C1779" s="41" t="s">
        <v>114</v>
      </c>
      <c r="D1779" s="87">
        <v>9725.7000000000007</v>
      </c>
      <c r="E1779" s="35">
        <v>44670</v>
      </c>
      <c r="F1779" s="87">
        <v>9725.7000000000007</v>
      </c>
      <c r="G1779" s="91">
        <f>Tabla15[[#This Row],[Importe]]-Tabla15[[#This Row],[Pagado]]</f>
        <v>0</v>
      </c>
      <c r="H1779" s="92" t="s">
        <v>10</v>
      </c>
    </row>
    <row r="1780" spans="1:8" ht="21.75" customHeight="1" x14ac:dyDescent="0.25">
      <c r="A1780" s="35">
        <v>44669</v>
      </c>
      <c r="B1780" s="90" t="s">
        <v>12425</v>
      </c>
      <c r="C1780" s="41" t="s">
        <v>120</v>
      </c>
      <c r="D1780" s="87">
        <v>4436.1000000000004</v>
      </c>
      <c r="E1780" s="35">
        <v>44671</v>
      </c>
      <c r="F1780" s="87">
        <v>4436.1000000000004</v>
      </c>
      <c r="G1780" s="91">
        <f>Tabla15[[#This Row],[Importe]]-Tabla15[[#This Row],[Pagado]]</f>
        <v>0</v>
      </c>
      <c r="H1780" s="92" t="s">
        <v>10</v>
      </c>
    </row>
    <row r="1781" spans="1:8" ht="21.75" customHeight="1" x14ac:dyDescent="0.25">
      <c r="A1781" s="35">
        <v>44669</v>
      </c>
      <c r="B1781" s="90" t="s">
        <v>12426</v>
      </c>
      <c r="C1781" s="41" t="s">
        <v>326</v>
      </c>
      <c r="D1781" s="87">
        <v>4314.6000000000004</v>
      </c>
      <c r="E1781" s="35">
        <v>44670</v>
      </c>
      <c r="F1781" s="87">
        <v>4314.6000000000004</v>
      </c>
      <c r="G1781" s="91">
        <f>Tabla15[[#This Row],[Importe]]-Tabla15[[#This Row],[Pagado]]</f>
        <v>0</v>
      </c>
      <c r="H1781" s="92" t="s">
        <v>10</v>
      </c>
    </row>
    <row r="1782" spans="1:8" ht="21.75" customHeight="1" x14ac:dyDescent="0.25">
      <c r="A1782" s="35">
        <v>44669</v>
      </c>
      <c r="B1782" s="90" t="s">
        <v>12427</v>
      </c>
      <c r="C1782" s="41" t="s">
        <v>39</v>
      </c>
      <c r="D1782" s="87">
        <v>27946.6</v>
      </c>
      <c r="E1782" s="35">
        <v>44672</v>
      </c>
      <c r="F1782" s="87">
        <v>27946.6</v>
      </c>
      <c r="G1782" s="91">
        <f>Tabla15[[#This Row],[Importe]]-Tabla15[[#This Row],[Pagado]]</f>
        <v>0</v>
      </c>
      <c r="H1782" s="92" t="s">
        <v>10</v>
      </c>
    </row>
    <row r="1783" spans="1:8" ht="21.75" customHeight="1" x14ac:dyDescent="0.25">
      <c r="A1783" s="35">
        <v>44669</v>
      </c>
      <c r="B1783" s="90" t="s">
        <v>12428</v>
      </c>
      <c r="C1783" s="41" t="s">
        <v>83</v>
      </c>
      <c r="D1783" s="87">
        <v>8681.2000000000007</v>
      </c>
      <c r="E1783" s="35">
        <v>44669</v>
      </c>
      <c r="F1783" s="87">
        <v>8681.2000000000007</v>
      </c>
      <c r="G1783" s="91">
        <f>Tabla15[[#This Row],[Importe]]-Tabla15[[#This Row],[Pagado]]</f>
        <v>0</v>
      </c>
      <c r="H1783" s="92" t="s">
        <v>10</v>
      </c>
    </row>
    <row r="1784" spans="1:8" ht="21.75" customHeight="1" x14ac:dyDescent="0.25">
      <c r="A1784" s="35">
        <v>44669</v>
      </c>
      <c r="B1784" s="90" t="s">
        <v>12429</v>
      </c>
      <c r="C1784" s="41" t="s">
        <v>99</v>
      </c>
      <c r="D1784" s="87">
        <v>2933.4</v>
      </c>
      <c r="E1784" s="35">
        <v>44672</v>
      </c>
      <c r="F1784" s="87">
        <v>2933.4</v>
      </c>
      <c r="G1784" s="91">
        <f>Tabla15[[#This Row],[Importe]]-Tabla15[[#This Row],[Pagado]]</f>
        <v>0</v>
      </c>
      <c r="H1784" s="92" t="s">
        <v>10</v>
      </c>
    </row>
    <row r="1785" spans="1:8" ht="21.75" customHeight="1" x14ac:dyDescent="0.25">
      <c r="A1785" s="35">
        <v>44669</v>
      </c>
      <c r="B1785" s="90" t="s">
        <v>12430</v>
      </c>
      <c r="C1785" s="41" t="s">
        <v>64</v>
      </c>
      <c r="D1785" s="87">
        <v>8819.7999999999993</v>
      </c>
      <c r="E1785" s="35">
        <v>44670</v>
      </c>
      <c r="F1785" s="87">
        <v>8819.7999999999993</v>
      </c>
      <c r="G1785" s="91">
        <f>Tabla15[[#This Row],[Importe]]-Tabla15[[#This Row],[Pagado]]</f>
        <v>0</v>
      </c>
      <c r="H1785" s="92" t="s">
        <v>10</v>
      </c>
    </row>
    <row r="1786" spans="1:8" ht="21.75" customHeight="1" x14ac:dyDescent="0.25">
      <c r="A1786" s="35">
        <v>44669</v>
      </c>
      <c r="B1786" s="90" t="s">
        <v>12431</v>
      </c>
      <c r="C1786" s="41" t="s">
        <v>93</v>
      </c>
      <c r="D1786" s="87">
        <v>6947.8</v>
      </c>
      <c r="E1786" s="35">
        <v>44670</v>
      </c>
      <c r="F1786" s="87">
        <v>6947.8</v>
      </c>
      <c r="G1786" s="91">
        <f>Tabla15[[#This Row],[Importe]]-Tabla15[[#This Row],[Pagado]]</f>
        <v>0</v>
      </c>
      <c r="H1786" s="92" t="s">
        <v>10</v>
      </c>
    </row>
    <row r="1787" spans="1:8" ht="31.5" x14ac:dyDescent="0.25">
      <c r="A1787" s="35">
        <v>44669</v>
      </c>
      <c r="B1787" s="90" t="s">
        <v>12432</v>
      </c>
      <c r="C1787" s="41" t="s">
        <v>345</v>
      </c>
      <c r="D1787" s="87">
        <v>4406.3999999999996</v>
      </c>
      <c r="E1787" s="35" t="s">
        <v>12433</v>
      </c>
      <c r="F1787" s="87">
        <f>2000+2406.4</f>
        <v>4406.3999999999996</v>
      </c>
      <c r="G1787" s="91">
        <f>Tabla15[[#This Row],[Importe]]-Tabla15[[#This Row],[Pagado]]</f>
        <v>0</v>
      </c>
      <c r="H1787" s="92" t="s">
        <v>10</v>
      </c>
    </row>
    <row r="1788" spans="1:8" ht="21.75" customHeight="1" x14ac:dyDescent="0.25">
      <c r="A1788" s="35">
        <v>44669</v>
      </c>
      <c r="B1788" s="90" t="s">
        <v>12434</v>
      </c>
      <c r="C1788" s="41" t="s">
        <v>27</v>
      </c>
      <c r="D1788" s="87">
        <v>3919</v>
      </c>
      <c r="E1788" s="35">
        <v>44669</v>
      </c>
      <c r="F1788" s="87">
        <v>3919</v>
      </c>
      <c r="G1788" s="91">
        <f>Tabla15[[#This Row],[Importe]]-Tabla15[[#This Row],[Pagado]]</f>
        <v>0</v>
      </c>
      <c r="H1788" s="92" t="s">
        <v>10</v>
      </c>
    </row>
    <row r="1789" spans="1:8" ht="21.75" customHeight="1" x14ac:dyDescent="0.25">
      <c r="A1789" s="35">
        <v>44669</v>
      </c>
      <c r="B1789" s="90" t="s">
        <v>12435</v>
      </c>
      <c r="C1789" s="41" t="s">
        <v>31</v>
      </c>
      <c r="D1789" s="87">
        <v>8569.6</v>
      </c>
      <c r="E1789" s="35">
        <v>44669</v>
      </c>
      <c r="F1789" s="87">
        <v>8569.6</v>
      </c>
      <c r="G1789" s="91">
        <f>Tabla15[[#This Row],[Importe]]-Tabla15[[#This Row],[Pagado]]</f>
        <v>0</v>
      </c>
      <c r="H1789" s="92" t="s">
        <v>10</v>
      </c>
    </row>
    <row r="1790" spans="1:8" ht="21.75" customHeight="1" x14ac:dyDescent="0.25">
      <c r="A1790" s="35">
        <v>44669</v>
      </c>
      <c r="B1790" s="90" t="s">
        <v>12436</v>
      </c>
      <c r="C1790" s="41" t="s">
        <v>918</v>
      </c>
      <c r="D1790" s="87">
        <v>513</v>
      </c>
      <c r="E1790" s="35">
        <v>44669</v>
      </c>
      <c r="F1790" s="87">
        <v>513</v>
      </c>
      <c r="G1790" s="91">
        <f>Tabla15[[#This Row],[Importe]]-Tabla15[[#This Row],[Pagado]]</f>
        <v>0</v>
      </c>
      <c r="H1790" s="92" t="s">
        <v>10</v>
      </c>
    </row>
    <row r="1791" spans="1:8" ht="21.75" customHeight="1" x14ac:dyDescent="0.25">
      <c r="A1791" s="35">
        <v>44669</v>
      </c>
      <c r="B1791" s="90" t="s">
        <v>12437</v>
      </c>
      <c r="C1791" s="41" t="s">
        <v>97</v>
      </c>
      <c r="D1791" s="87">
        <v>9312.2999999999993</v>
      </c>
      <c r="E1791" s="35">
        <v>44670</v>
      </c>
      <c r="F1791" s="87">
        <v>9312.2999999999993</v>
      </c>
      <c r="G1791" s="91">
        <f>Tabla15[[#This Row],[Importe]]-Tabla15[[#This Row],[Pagado]]</f>
        <v>0</v>
      </c>
      <c r="H1791" s="92" t="s">
        <v>10</v>
      </c>
    </row>
    <row r="1792" spans="1:8" ht="21.75" customHeight="1" x14ac:dyDescent="0.25">
      <c r="A1792" s="35">
        <v>44669</v>
      </c>
      <c r="B1792" s="90" t="s">
        <v>12438</v>
      </c>
      <c r="C1792" s="41" t="s">
        <v>111</v>
      </c>
      <c r="D1792" s="87">
        <v>4579.8</v>
      </c>
      <c r="E1792" s="35">
        <v>44670</v>
      </c>
      <c r="F1792" s="87">
        <v>4579.8</v>
      </c>
      <c r="G1792" s="91">
        <f>Tabla15[[#This Row],[Importe]]-Tabla15[[#This Row],[Pagado]]</f>
        <v>0</v>
      </c>
      <c r="H1792" s="92" t="s">
        <v>10</v>
      </c>
    </row>
    <row r="1793" spans="1:8" ht="21.75" customHeight="1" x14ac:dyDescent="0.25">
      <c r="A1793" s="35">
        <v>44669</v>
      </c>
      <c r="B1793" s="90" t="s">
        <v>12439</v>
      </c>
      <c r="C1793" s="41" t="s">
        <v>125</v>
      </c>
      <c r="D1793" s="87">
        <v>4208.6000000000004</v>
      </c>
      <c r="E1793" s="35">
        <v>44669</v>
      </c>
      <c r="F1793" s="87">
        <v>4208.6000000000004</v>
      </c>
      <c r="G1793" s="91">
        <f>Tabla15[[#This Row],[Importe]]-Tabla15[[#This Row],[Pagado]]</f>
        <v>0</v>
      </c>
      <c r="H1793" s="92" t="s">
        <v>10</v>
      </c>
    </row>
    <row r="1794" spans="1:8" ht="21.75" customHeight="1" x14ac:dyDescent="0.25">
      <c r="A1794" s="35">
        <v>44669</v>
      </c>
      <c r="B1794" s="90" t="s">
        <v>12440</v>
      </c>
      <c r="C1794" s="41" t="s">
        <v>89</v>
      </c>
      <c r="D1794" s="87">
        <v>7293.9</v>
      </c>
      <c r="E1794" s="35">
        <v>44670</v>
      </c>
      <c r="F1794" s="87">
        <v>7293.9</v>
      </c>
      <c r="G1794" s="91">
        <f>Tabla15[[#This Row],[Importe]]-Tabla15[[#This Row],[Pagado]]</f>
        <v>0</v>
      </c>
      <c r="H1794" s="92" t="s">
        <v>10</v>
      </c>
    </row>
    <row r="1795" spans="1:8" ht="21.75" customHeight="1" x14ac:dyDescent="0.25">
      <c r="A1795" s="35">
        <v>44669</v>
      </c>
      <c r="B1795" s="90" t="s">
        <v>12441</v>
      </c>
      <c r="C1795" s="41" t="s">
        <v>129</v>
      </c>
      <c r="D1795" s="87">
        <v>4984.3999999999996</v>
      </c>
      <c r="E1795" s="35">
        <v>44669</v>
      </c>
      <c r="F1795" s="87">
        <v>4984.3999999999996</v>
      </c>
      <c r="G1795" s="91">
        <f>Tabla15[[#This Row],[Importe]]-Tabla15[[#This Row],[Pagado]]</f>
        <v>0</v>
      </c>
      <c r="H1795" s="92" t="s">
        <v>10</v>
      </c>
    </row>
    <row r="1796" spans="1:8" ht="21.75" customHeight="1" x14ac:dyDescent="0.25">
      <c r="A1796" s="35">
        <v>44669</v>
      </c>
      <c r="B1796" s="90" t="s">
        <v>12442</v>
      </c>
      <c r="C1796" s="41" t="s">
        <v>357</v>
      </c>
      <c r="D1796" s="87">
        <v>3490.6</v>
      </c>
      <c r="E1796" s="35">
        <v>44669</v>
      </c>
      <c r="F1796" s="87">
        <v>3490.6</v>
      </c>
      <c r="G1796" s="91">
        <f>Tabla15[[#This Row],[Importe]]-Tabla15[[#This Row],[Pagado]]</f>
        <v>0</v>
      </c>
      <c r="H1796" s="92" t="s">
        <v>10</v>
      </c>
    </row>
    <row r="1797" spans="1:8" ht="21.75" customHeight="1" x14ac:dyDescent="0.25">
      <c r="A1797" s="35">
        <v>44669</v>
      </c>
      <c r="B1797" s="90" t="s">
        <v>12443</v>
      </c>
      <c r="C1797" s="41" t="s">
        <v>140</v>
      </c>
      <c r="D1797" s="87">
        <v>4135.3999999999996</v>
      </c>
      <c r="E1797" s="35">
        <v>44669</v>
      </c>
      <c r="F1797" s="87">
        <v>4135.3999999999996</v>
      </c>
      <c r="G1797" s="91">
        <f>Tabla15[[#This Row],[Importe]]-Tabla15[[#This Row],[Pagado]]</f>
        <v>0</v>
      </c>
      <c r="H1797" s="92" t="s">
        <v>10</v>
      </c>
    </row>
    <row r="1798" spans="1:8" ht="21.75" customHeight="1" x14ac:dyDescent="0.25">
      <c r="A1798" s="35">
        <v>44669</v>
      </c>
      <c r="B1798" s="90" t="s">
        <v>12444</v>
      </c>
      <c r="C1798" s="41" t="s">
        <v>127</v>
      </c>
      <c r="D1798" s="87">
        <v>5068.3999999999996</v>
      </c>
      <c r="E1798" s="35">
        <v>44669</v>
      </c>
      <c r="F1798" s="87">
        <v>5068.3999999999996</v>
      </c>
      <c r="G1798" s="91">
        <f>Tabla15[[#This Row],[Importe]]-Tabla15[[#This Row],[Pagado]]</f>
        <v>0</v>
      </c>
      <c r="H1798" s="92" t="s">
        <v>10</v>
      </c>
    </row>
    <row r="1799" spans="1:8" ht="21.75" customHeight="1" x14ac:dyDescent="0.25">
      <c r="A1799" s="35">
        <v>44669</v>
      </c>
      <c r="B1799" s="90" t="s">
        <v>12445</v>
      </c>
      <c r="C1799" s="41" t="s">
        <v>339</v>
      </c>
      <c r="D1799" s="87">
        <v>504</v>
      </c>
      <c r="E1799" s="35">
        <v>44669</v>
      </c>
      <c r="F1799" s="87">
        <v>504</v>
      </c>
      <c r="G1799" s="91">
        <f>Tabla15[[#This Row],[Importe]]-Tabla15[[#This Row],[Pagado]]</f>
        <v>0</v>
      </c>
      <c r="H1799" s="92" t="s">
        <v>10</v>
      </c>
    </row>
    <row r="1800" spans="1:8" ht="21.75" customHeight="1" x14ac:dyDescent="0.25">
      <c r="A1800" s="35">
        <v>44669</v>
      </c>
      <c r="B1800" s="90" t="s">
        <v>12446</v>
      </c>
      <c r="C1800" s="41" t="s">
        <v>85</v>
      </c>
      <c r="D1800" s="87">
        <v>1566.2</v>
      </c>
      <c r="E1800" s="35">
        <v>44669</v>
      </c>
      <c r="F1800" s="87">
        <v>1566.2</v>
      </c>
      <c r="G1800" s="91">
        <f>Tabla15[[#This Row],[Importe]]-Tabla15[[#This Row],[Pagado]]</f>
        <v>0</v>
      </c>
      <c r="H1800" s="92" t="s">
        <v>10</v>
      </c>
    </row>
    <row r="1801" spans="1:8" ht="21.75" customHeight="1" x14ac:dyDescent="0.25">
      <c r="A1801" s="35">
        <v>44669</v>
      </c>
      <c r="B1801" s="90" t="s">
        <v>12447</v>
      </c>
      <c r="C1801" s="41" t="s">
        <v>348</v>
      </c>
      <c r="D1801" s="87">
        <v>889.7</v>
      </c>
      <c r="E1801" s="35">
        <v>44669</v>
      </c>
      <c r="F1801" s="87">
        <v>889.7</v>
      </c>
      <c r="G1801" s="91">
        <f>Tabla15[[#This Row],[Importe]]-Tabla15[[#This Row],[Pagado]]</f>
        <v>0</v>
      </c>
      <c r="H1801" s="92" t="s">
        <v>10</v>
      </c>
    </row>
    <row r="1802" spans="1:8" ht="21.75" customHeight="1" x14ac:dyDescent="0.25">
      <c r="A1802" s="35">
        <v>44669</v>
      </c>
      <c r="B1802" s="90" t="s">
        <v>12448</v>
      </c>
      <c r="C1802" s="41" t="s">
        <v>214</v>
      </c>
      <c r="D1802" s="87">
        <v>15005.6</v>
      </c>
      <c r="E1802" s="35">
        <v>44669</v>
      </c>
      <c r="F1802" s="87">
        <v>15005.6</v>
      </c>
      <c r="G1802" s="91">
        <f>Tabla15[[#This Row],[Importe]]-Tabla15[[#This Row],[Pagado]]</f>
        <v>0</v>
      </c>
      <c r="H1802" s="92" t="s">
        <v>10</v>
      </c>
    </row>
    <row r="1803" spans="1:8" ht="21.75" customHeight="1" x14ac:dyDescent="0.25">
      <c r="A1803" s="35">
        <v>44669</v>
      </c>
      <c r="B1803" s="90" t="s">
        <v>12449</v>
      </c>
      <c r="C1803" s="41" t="s">
        <v>2151</v>
      </c>
      <c r="D1803" s="87">
        <v>13368.8</v>
      </c>
      <c r="E1803" s="35">
        <v>44669</v>
      </c>
      <c r="F1803" s="87">
        <v>13368.8</v>
      </c>
      <c r="G1803" s="91">
        <f>Tabla15[[#This Row],[Importe]]-Tabla15[[#This Row],[Pagado]]</f>
        <v>0</v>
      </c>
      <c r="H1803" s="92" t="s">
        <v>10</v>
      </c>
    </row>
    <row r="1804" spans="1:8" ht="21.75" customHeight="1" x14ac:dyDescent="0.25">
      <c r="A1804" s="35">
        <v>44669</v>
      </c>
      <c r="B1804" s="90" t="s">
        <v>12450</v>
      </c>
      <c r="C1804" s="41" t="s">
        <v>135</v>
      </c>
      <c r="D1804" s="87">
        <v>1216.4000000000001</v>
      </c>
      <c r="E1804" s="35">
        <v>44669</v>
      </c>
      <c r="F1804" s="87">
        <v>1216.4000000000001</v>
      </c>
      <c r="G1804" s="91">
        <f>Tabla15[[#This Row],[Importe]]-Tabla15[[#This Row],[Pagado]]</f>
        <v>0</v>
      </c>
      <c r="H1804" s="92" t="s">
        <v>10</v>
      </c>
    </row>
    <row r="1805" spans="1:8" ht="21.75" customHeight="1" x14ac:dyDescent="0.25">
      <c r="A1805" s="35">
        <v>44669</v>
      </c>
      <c r="B1805" s="90" t="s">
        <v>12451</v>
      </c>
      <c r="C1805" s="41" t="s">
        <v>116</v>
      </c>
      <c r="D1805" s="87">
        <v>4017.4</v>
      </c>
      <c r="E1805" s="35">
        <v>44671</v>
      </c>
      <c r="F1805" s="87">
        <v>4017.4</v>
      </c>
      <c r="G1805" s="91">
        <f>Tabla15[[#This Row],[Importe]]-Tabla15[[#This Row],[Pagado]]</f>
        <v>0</v>
      </c>
      <c r="H1805" s="92" t="s">
        <v>10</v>
      </c>
    </row>
    <row r="1806" spans="1:8" ht="21.75" customHeight="1" x14ac:dyDescent="0.25">
      <c r="A1806" s="35">
        <v>44669</v>
      </c>
      <c r="B1806" s="90" t="s">
        <v>12452</v>
      </c>
      <c r="C1806" s="41" t="s">
        <v>11033</v>
      </c>
      <c r="D1806" s="87">
        <v>3340.8</v>
      </c>
      <c r="E1806" s="35">
        <v>44669</v>
      </c>
      <c r="F1806" s="87">
        <v>3340.8</v>
      </c>
      <c r="G1806" s="91">
        <f>Tabla15[[#This Row],[Importe]]-Tabla15[[#This Row],[Pagado]]</f>
        <v>0</v>
      </c>
      <c r="H1806" s="92" t="s">
        <v>10</v>
      </c>
    </row>
    <row r="1807" spans="1:8" ht="21.75" customHeight="1" x14ac:dyDescent="0.25">
      <c r="A1807" s="35">
        <v>44669</v>
      </c>
      <c r="B1807" s="90" t="s">
        <v>12453</v>
      </c>
      <c r="C1807" s="41" t="s">
        <v>146</v>
      </c>
      <c r="D1807" s="87">
        <v>2948</v>
      </c>
      <c r="E1807" s="35">
        <v>44669</v>
      </c>
      <c r="F1807" s="87">
        <v>2948</v>
      </c>
      <c r="G1807" s="91">
        <f>Tabla15[[#This Row],[Importe]]-Tabla15[[#This Row],[Pagado]]</f>
        <v>0</v>
      </c>
      <c r="H1807" s="92" t="s">
        <v>10</v>
      </c>
    </row>
    <row r="1808" spans="1:8" ht="21.75" customHeight="1" x14ac:dyDescent="0.25">
      <c r="A1808" s="35">
        <v>44669</v>
      </c>
      <c r="B1808" s="90" t="s">
        <v>12454</v>
      </c>
      <c r="C1808" s="41" t="s">
        <v>314</v>
      </c>
      <c r="D1808" s="87">
        <v>1534.5</v>
      </c>
      <c r="E1808" s="35">
        <v>44669</v>
      </c>
      <c r="F1808" s="87">
        <v>1534.5</v>
      </c>
      <c r="G1808" s="91">
        <f>Tabla15[[#This Row],[Importe]]-Tabla15[[#This Row],[Pagado]]</f>
        <v>0</v>
      </c>
      <c r="H1808" s="92" t="s">
        <v>10</v>
      </c>
    </row>
    <row r="1809" spans="1:8" ht="21.75" customHeight="1" x14ac:dyDescent="0.25">
      <c r="A1809" s="35">
        <v>44669</v>
      </c>
      <c r="B1809" s="90" t="s">
        <v>12455</v>
      </c>
      <c r="C1809" s="41" t="s">
        <v>924</v>
      </c>
      <c r="D1809" s="87">
        <v>11324.36</v>
      </c>
      <c r="E1809" s="35">
        <v>44669</v>
      </c>
      <c r="F1809" s="87">
        <v>11324.36</v>
      </c>
      <c r="G1809" s="91">
        <f>Tabla15[[#This Row],[Importe]]-Tabla15[[#This Row],[Pagado]]</f>
        <v>0</v>
      </c>
      <c r="H1809" s="92" t="s">
        <v>10</v>
      </c>
    </row>
    <row r="1810" spans="1:8" ht="21.75" customHeight="1" x14ac:dyDescent="0.25">
      <c r="A1810" s="35">
        <v>44669</v>
      </c>
      <c r="B1810" s="90" t="s">
        <v>12456</v>
      </c>
      <c r="C1810" s="41" t="s">
        <v>22</v>
      </c>
      <c r="D1810" s="87">
        <v>61116.800000000003</v>
      </c>
      <c r="E1810" s="35">
        <v>44670</v>
      </c>
      <c r="F1810" s="87">
        <v>61116.800000000003</v>
      </c>
      <c r="G1810" s="91">
        <f>Tabla15[[#This Row],[Importe]]-Tabla15[[#This Row],[Pagado]]</f>
        <v>0</v>
      </c>
      <c r="H1810" s="92" t="s">
        <v>10</v>
      </c>
    </row>
    <row r="1811" spans="1:8" ht="21.75" customHeight="1" x14ac:dyDescent="0.25">
      <c r="A1811" s="35">
        <v>44669</v>
      </c>
      <c r="B1811" s="90" t="s">
        <v>12457</v>
      </c>
      <c r="C1811" s="41" t="s">
        <v>804</v>
      </c>
      <c r="D1811" s="87">
        <v>13635.9</v>
      </c>
      <c r="E1811" s="35">
        <v>44669</v>
      </c>
      <c r="F1811" s="87">
        <v>13635.9</v>
      </c>
      <c r="G1811" s="91">
        <f>Tabla15[[#This Row],[Importe]]-Tabla15[[#This Row],[Pagado]]</f>
        <v>0</v>
      </c>
      <c r="H1811" s="92" t="s">
        <v>10</v>
      </c>
    </row>
    <row r="1812" spans="1:8" ht="21.75" customHeight="1" x14ac:dyDescent="0.25">
      <c r="A1812" s="35">
        <v>44669</v>
      </c>
      <c r="B1812" s="90" t="s">
        <v>12458</v>
      </c>
      <c r="C1812" s="41" t="s">
        <v>107</v>
      </c>
      <c r="D1812" s="87">
        <v>12465.6</v>
      </c>
      <c r="E1812" s="35">
        <v>44669</v>
      </c>
      <c r="F1812" s="87">
        <v>12465.6</v>
      </c>
      <c r="G1812" s="91">
        <f>Tabla15[[#This Row],[Importe]]-Tabla15[[#This Row],[Pagado]]</f>
        <v>0</v>
      </c>
      <c r="H1812" s="92" t="s">
        <v>10</v>
      </c>
    </row>
    <row r="1813" spans="1:8" ht="21.75" customHeight="1" x14ac:dyDescent="0.25">
      <c r="A1813" s="35">
        <v>44669</v>
      </c>
      <c r="B1813" s="90" t="s">
        <v>12459</v>
      </c>
      <c r="C1813" s="41" t="s">
        <v>16</v>
      </c>
      <c r="D1813" s="87">
        <v>5210.3999999999996</v>
      </c>
      <c r="E1813" s="35">
        <v>44669</v>
      </c>
      <c r="F1813" s="87">
        <v>5210.3999999999996</v>
      </c>
      <c r="G1813" s="91">
        <f>Tabla15[[#This Row],[Importe]]-Tabla15[[#This Row],[Pagado]]</f>
        <v>0</v>
      </c>
      <c r="H1813" s="92" t="s">
        <v>10</v>
      </c>
    </row>
    <row r="1814" spans="1:8" ht="21.75" customHeight="1" x14ac:dyDescent="0.25">
      <c r="A1814" s="35">
        <v>44669</v>
      </c>
      <c r="B1814" s="90" t="s">
        <v>12460</v>
      </c>
      <c r="C1814" s="41" t="s">
        <v>58</v>
      </c>
      <c r="D1814" s="87">
        <v>5147.7</v>
      </c>
      <c r="E1814" s="35">
        <v>44669</v>
      </c>
      <c r="F1814" s="87">
        <v>5147.7</v>
      </c>
      <c r="G1814" s="91">
        <f>Tabla15[[#This Row],[Importe]]-Tabla15[[#This Row],[Pagado]]</f>
        <v>0</v>
      </c>
      <c r="H1814" s="92" t="s">
        <v>10</v>
      </c>
    </row>
    <row r="1815" spans="1:8" ht="21.75" customHeight="1" x14ac:dyDescent="0.25">
      <c r="A1815" s="35">
        <v>44669</v>
      </c>
      <c r="B1815" s="90" t="s">
        <v>12461</v>
      </c>
      <c r="C1815" s="41" t="s">
        <v>196</v>
      </c>
      <c r="D1815" s="87">
        <v>69241.3</v>
      </c>
      <c r="E1815" s="35">
        <v>44669</v>
      </c>
      <c r="F1815" s="87">
        <v>69241.3</v>
      </c>
      <c r="G1815" s="91">
        <f>Tabla15[[#This Row],[Importe]]-Tabla15[[#This Row],[Pagado]]</f>
        <v>0</v>
      </c>
      <c r="H1815" s="92" t="s">
        <v>10</v>
      </c>
    </row>
    <row r="1816" spans="1:8" ht="21.75" customHeight="1" x14ac:dyDescent="0.25">
      <c r="A1816" s="35">
        <v>44669</v>
      </c>
      <c r="B1816" s="90" t="s">
        <v>12462</v>
      </c>
      <c r="C1816" s="41" t="s">
        <v>33</v>
      </c>
      <c r="D1816" s="87">
        <v>12574.8</v>
      </c>
      <c r="E1816" s="35">
        <v>44669</v>
      </c>
      <c r="F1816" s="87">
        <v>12574.8</v>
      </c>
      <c r="G1816" s="91">
        <f>Tabla15[[#This Row],[Importe]]-Tabla15[[#This Row],[Pagado]]</f>
        <v>0</v>
      </c>
      <c r="H1816" s="92" t="s">
        <v>10</v>
      </c>
    </row>
    <row r="1817" spans="1:8" ht="21.75" customHeight="1" x14ac:dyDescent="0.25">
      <c r="A1817" s="35">
        <v>44669</v>
      </c>
      <c r="B1817" s="90" t="s">
        <v>12463</v>
      </c>
      <c r="C1817" s="41" t="s">
        <v>664</v>
      </c>
      <c r="D1817" s="87">
        <v>15691</v>
      </c>
      <c r="E1817" s="35">
        <v>44669</v>
      </c>
      <c r="F1817" s="87">
        <v>15691</v>
      </c>
      <c r="G1817" s="91">
        <f>Tabla15[[#This Row],[Importe]]-Tabla15[[#This Row],[Pagado]]</f>
        <v>0</v>
      </c>
      <c r="H1817" s="92" t="s">
        <v>10</v>
      </c>
    </row>
    <row r="1818" spans="1:8" ht="21.75" customHeight="1" x14ac:dyDescent="0.25">
      <c r="A1818" s="35">
        <v>44669</v>
      </c>
      <c r="B1818" s="90" t="s">
        <v>12464</v>
      </c>
      <c r="C1818" s="41" t="s">
        <v>1362</v>
      </c>
      <c r="D1818" s="87">
        <v>4788</v>
      </c>
      <c r="E1818" s="35">
        <v>44669</v>
      </c>
      <c r="F1818" s="87">
        <v>4788</v>
      </c>
      <c r="G1818" s="91">
        <f>Tabla15[[#This Row],[Importe]]-Tabla15[[#This Row],[Pagado]]</f>
        <v>0</v>
      </c>
      <c r="H1818" s="92" t="s">
        <v>10</v>
      </c>
    </row>
    <row r="1819" spans="1:8" ht="21.75" customHeight="1" x14ac:dyDescent="0.25">
      <c r="A1819" s="35">
        <v>44669</v>
      </c>
      <c r="B1819" s="90" t="s">
        <v>12465</v>
      </c>
      <c r="C1819" s="41" t="s">
        <v>24</v>
      </c>
      <c r="D1819" s="87">
        <v>4232.8</v>
      </c>
      <c r="E1819" s="35">
        <v>44669</v>
      </c>
      <c r="F1819" s="87">
        <v>4232.8</v>
      </c>
      <c r="G1819" s="91">
        <f>Tabla15[[#This Row],[Importe]]-Tabla15[[#This Row],[Pagado]]</f>
        <v>0</v>
      </c>
      <c r="H1819" s="92" t="s">
        <v>10</v>
      </c>
    </row>
    <row r="1820" spans="1:8" ht="21.75" customHeight="1" x14ac:dyDescent="0.25">
      <c r="A1820" s="35">
        <v>44669</v>
      </c>
      <c r="B1820" s="90" t="s">
        <v>12466</v>
      </c>
      <c r="C1820" s="41" t="s">
        <v>53</v>
      </c>
      <c r="D1820" s="87">
        <v>1178.4000000000001</v>
      </c>
      <c r="E1820" s="35">
        <v>44669</v>
      </c>
      <c r="F1820" s="87">
        <v>1178.4000000000001</v>
      </c>
      <c r="G1820" s="91">
        <f>Tabla15[[#This Row],[Importe]]-Tabla15[[#This Row],[Pagado]]</f>
        <v>0</v>
      </c>
      <c r="H1820" s="92" t="s">
        <v>10</v>
      </c>
    </row>
    <row r="1821" spans="1:8" ht="21.75" customHeight="1" x14ac:dyDescent="0.25">
      <c r="A1821" s="35">
        <v>44669</v>
      </c>
      <c r="B1821" s="90" t="s">
        <v>12467</v>
      </c>
      <c r="C1821" s="41" t="s">
        <v>22</v>
      </c>
      <c r="D1821" s="87">
        <v>739.8</v>
      </c>
      <c r="E1821" s="35">
        <v>44669</v>
      </c>
      <c r="F1821" s="87">
        <v>739.8</v>
      </c>
      <c r="G1821" s="91">
        <f>Tabla15[[#This Row],[Importe]]-Tabla15[[#This Row],[Pagado]]</f>
        <v>0</v>
      </c>
      <c r="H1821" s="92" t="s">
        <v>10</v>
      </c>
    </row>
    <row r="1822" spans="1:8" ht="21.75" customHeight="1" x14ac:dyDescent="0.25">
      <c r="A1822" s="35">
        <v>44669</v>
      </c>
      <c r="B1822" s="90" t="s">
        <v>12468</v>
      </c>
      <c r="C1822" s="41" t="s">
        <v>62</v>
      </c>
      <c r="D1822" s="87">
        <v>2929.5</v>
      </c>
      <c r="E1822" s="35">
        <v>44669</v>
      </c>
      <c r="F1822" s="87">
        <v>2929.5</v>
      </c>
      <c r="G1822" s="91">
        <f>Tabla15[[#This Row],[Importe]]-Tabla15[[#This Row],[Pagado]]</f>
        <v>0</v>
      </c>
      <c r="H1822" s="92" t="s">
        <v>10</v>
      </c>
    </row>
    <row r="1823" spans="1:8" ht="21.75" customHeight="1" x14ac:dyDescent="0.25">
      <c r="A1823" s="35">
        <v>44669</v>
      </c>
      <c r="B1823" s="90" t="s">
        <v>12469</v>
      </c>
      <c r="C1823" s="41" t="s">
        <v>45</v>
      </c>
      <c r="D1823" s="87">
        <v>10222.1</v>
      </c>
      <c r="E1823" s="35">
        <v>44669</v>
      </c>
      <c r="F1823" s="87">
        <v>10222.1</v>
      </c>
      <c r="G1823" s="91">
        <f>Tabla15[[#This Row],[Importe]]-Tabla15[[#This Row],[Pagado]]</f>
        <v>0</v>
      </c>
      <c r="H1823" s="92" t="s">
        <v>10</v>
      </c>
    </row>
    <row r="1824" spans="1:8" ht="21.75" customHeight="1" x14ac:dyDescent="0.25">
      <c r="A1824" s="35">
        <v>44669</v>
      </c>
      <c r="B1824" s="90" t="s">
        <v>12470</v>
      </c>
      <c r="C1824" s="41" t="s">
        <v>181</v>
      </c>
      <c r="D1824" s="87">
        <v>8270.7999999999993</v>
      </c>
      <c r="E1824" s="35">
        <v>44669</v>
      </c>
      <c r="F1824" s="87">
        <v>8270.7999999999993</v>
      </c>
      <c r="G1824" s="91">
        <f>Tabla15[[#This Row],[Importe]]-Tabla15[[#This Row],[Pagado]]</f>
        <v>0</v>
      </c>
      <c r="H1824" s="92" t="s">
        <v>10</v>
      </c>
    </row>
    <row r="1825" spans="1:8" ht="31.5" x14ac:dyDescent="0.25">
      <c r="A1825" s="35">
        <v>44669</v>
      </c>
      <c r="B1825" s="90" t="s">
        <v>12471</v>
      </c>
      <c r="C1825" s="41" t="s">
        <v>275</v>
      </c>
      <c r="D1825" s="87">
        <v>38387.699999999997</v>
      </c>
      <c r="E1825" s="35" t="s">
        <v>12472</v>
      </c>
      <c r="F1825" s="87">
        <f>22303.91+16083.79</f>
        <v>38387.699999999997</v>
      </c>
      <c r="G1825" s="91">
        <f>Tabla15[[#This Row],[Importe]]-Tabla15[[#This Row],[Pagado]]</f>
        <v>0</v>
      </c>
      <c r="H1825" s="92" t="s">
        <v>10</v>
      </c>
    </row>
    <row r="1826" spans="1:8" ht="21.75" customHeight="1" x14ac:dyDescent="0.25">
      <c r="A1826" s="35">
        <v>44669</v>
      </c>
      <c r="B1826" s="90" t="s">
        <v>12473</v>
      </c>
      <c r="C1826" s="41" t="s">
        <v>373</v>
      </c>
      <c r="D1826" s="87">
        <v>61.1</v>
      </c>
      <c r="E1826" s="35">
        <v>44669</v>
      </c>
      <c r="F1826" s="87">
        <v>61.1</v>
      </c>
      <c r="G1826" s="91">
        <f>Tabla15[[#This Row],[Importe]]-Tabla15[[#This Row],[Pagado]]</f>
        <v>0</v>
      </c>
      <c r="H1826" s="92" t="s">
        <v>10</v>
      </c>
    </row>
    <row r="1827" spans="1:8" ht="21.75" customHeight="1" x14ac:dyDescent="0.25">
      <c r="A1827" s="35">
        <v>44669</v>
      </c>
      <c r="B1827" s="90" t="s">
        <v>12474</v>
      </c>
      <c r="C1827" s="41" t="s">
        <v>131</v>
      </c>
      <c r="D1827" s="87">
        <v>6382.8</v>
      </c>
      <c r="E1827" s="35">
        <v>44669</v>
      </c>
      <c r="F1827" s="87">
        <v>6382.8</v>
      </c>
      <c r="G1827" s="91">
        <f>Tabla15[[#This Row],[Importe]]-Tabla15[[#This Row],[Pagado]]</f>
        <v>0</v>
      </c>
      <c r="H1827" s="92" t="s">
        <v>10</v>
      </c>
    </row>
    <row r="1828" spans="1:8" ht="21.75" customHeight="1" x14ac:dyDescent="0.25">
      <c r="A1828" s="35">
        <v>44669</v>
      </c>
      <c r="B1828" s="90" t="s">
        <v>12475</v>
      </c>
      <c r="C1828" s="41" t="s">
        <v>222</v>
      </c>
      <c r="D1828" s="87">
        <v>8973</v>
      </c>
      <c r="E1828" s="35">
        <v>44669</v>
      </c>
      <c r="F1828" s="87">
        <v>8973</v>
      </c>
      <c r="G1828" s="91">
        <f>Tabla15[[#This Row],[Importe]]-Tabla15[[#This Row],[Pagado]]</f>
        <v>0</v>
      </c>
      <c r="H1828" s="92" t="s">
        <v>10</v>
      </c>
    </row>
    <row r="1829" spans="1:8" ht="21.75" customHeight="1" x14ac:dyDescent="0.25">
      <c r="A1829" s="35">
        <v>44669</v>
      </c>
      <c r="B1829" s="90" t="s">
        <v>12476</v>
      </c>
      <c r="C1829" s="41" t="s">
        <v>12477</v>
      </c>
      <c r="D1829" s="87">
        <v>0</v>
      </c>
      <c r="E1829" s="39" t="s">
        <v>189</v>
      </c>
      <c r="F1829" s="87">
        <v>0</v>
      </c>
      <c r="G1829" s="91">
        <f>Tabla15[[#This Row],[Importe]]-Tabla15[[#This Row],[Pagado]]</f>
        <v>0</v>
      </c>
      <c r="H1829" s="92" t="s">
        <v>189</v>
      </c>
    </row>
    <row r="1830" spans="1:8" ht="21.75" customHeight="1" x14ac:dyDescent="0.25">
      <c r="A1830" s="35">
        <v>44669</v>
      </c>
      <c r="B1830" s="90" t="s">
        <v>12478</v>
      </c>
      <c r="C1830" s="41" t="s">
        <v>67</v>
      </c>
      <c r="D1830" s="87">
        <v>2678.5</v>
      </c>
      <c r="E1830" s="35">
        <v>44669</v>
      </c>
      <c r="F1830" s="87">
        <v>2678.5</v>
      </c>
      <c r="G1830" s="91">
        <f>Tabla15[[#This Row],[Importe]]-Tabla15[[#This Row],[Pagado]]</f>
        <v>0</v>
      </c>
      <c r="H1830" s="92" t="s">
        <v>10</v>
      </c>
    </row>
    <row r="1831" spans="1:8" ht="21.75" customHeight="1" x14ac:dyDescent="0.25">
      <c r="A1831" s="35">
        <v>44669</v>
      </c>
      <c r="B1831" s="90" t="s">
        <v>12479</v>
      </c>
      <c r="C1831" s="41" t="s">
        <v>175</v>
      </c>
      <c r="D1831" s="87">
        <v>10336</v>
      </c>
      <c r="E1831" s="35">
        <v>44669</v>
      </c>
      <c r="F1831" s="87">
        <v>10336</v>
      </c>
      <c r="G1831" s="91">
        <f>Tabla15[[#This Row],[Importe]]-Tabla15[[#This Row],[Pagado]]</f>
        <v>0</v>
      </c>
      <c r="H1831" s="92" t="s">
        <v>10</v>
      </c>
    </row>
    <row r="1832" spans="1:8" ht="21.75" customHeight="1" x14ac:dyDescent="0.25">
      <c r="A1832" s="35">
        <v>44669</v>
      </c>
      <c r="B1832" s="90" t="s">
        <v>12480</v>
      </c>
      <c r="C1832" s="41" t="s">
        <v>200</v>
      </c>
      <c r="D1832" s="87">
        <v>561</v>
      </c>
      <c r="E1832" s="35">
        <v>44669</v>
      </c>
      <c r="F1832" s="87">
        <v>561</v>
      </c>
      <c r="G1832" s="91">
        <f>Tabla15[[#This Row],[Importe]]-Tabla15[[#This Row],[Pagado]]</f>
        <v>0</v>
      </c>
      <c r="H1832" s="92" t="s">
        <v>10</v>
      </c>
    </row>
    <row r="1833" spans="1:8" ht="21.75" customHeight="1" x14ac:dyDescent="0.25">
      <c r="A1833" s="35">
        <v>44669</v>
      </c>
      <c r="B1833" s="90" t="s">
        <v>12481</v>
      </c>
      <c r="C1833" s="41" t="s">
        <v>359</v>
      </c>
      <c r="D1833" s="87">
        <v>1144.5</v>
      </c>
      <c r="E1833" s="35">
        <v>44669</v>
      </c>
      <c r="F1833" s="87">
        <v>1144.5</v>
      </c>
      <c r="G1833" s="91">
        <f>Tabla15[[#This Row],[Importe]]-Tabla15[[#This Row],[Pagado]]</f>
        <v>0</v>
      </c>
      <c r="H1833" s="92" t="s">
        <v>10</v>
      </c>
    </row>
    <row r="1834" spans="1:8" ht="21.75" customHeight="1" x14ac:dyDescent="0.25">
      <c r="A1834" s="35">
        <v>44669</v>
      </c>
      <c r="B1834" s="90" t="s">
        <v>12482</v>
      </c>
      <c r="C1834" s="41" t="s">
        <v>244</v>
      </c>
      <c r="D1834" s="87">
        <v>3044.8</v>
      </c>
      <c r="E1834" s="35">
        <v>44669</v>
      </c>
      <c r="F1834" s="87">
        <v>3044.8</v>
      </c>
      <c r="G1834" s="91">
        <f>Tabla15[[#This Row],[Importe]]-Tabla15[[#This Row],[Pagado]]</f>
        <v>0</v>
      </c>
      <c r="H1834" s="92" t="s">
        <v>10</v>
      </c>
    </row>
    <row r="1835" spans="1:8" ht="21.75" customHeight="1" x14ac:dyDescent="0.25">
      <c r="A1835" s="35">
        <v>44669</v>
      </c>
      <c r="B1835" s="90" t="s">
        <v>12483</v>
      </c>
      <c r="C1835" s="41" t="s">
        <v>426</v>
      </c>
      <c r="D1835" s="87">
        <v>3166.8</v>
      </c>
      <c r="E1835" s="35">
        <v>44669</v>
      </c>
      <c r="F1835" s="87">
        <v>3166.8</v>
      </c>
      <c r="G1835" s="91">
        <f>Tabla15[[#This Row],[Importe]]-Tabla15[[#This Row],[Pagado]]</f>
        <v>0</v>
      </c>
      <c r="H1835" s="92" t="s">
        <v>10</v>
      </c>
    </row>
    <row r="1836" spans="1:8" ht="21.75" customHeight="1" x14ac:dyDescent="0.25">
      <c r="A1836" s="35">
        <v>44669</v>
      </c>
      <c r="B1836" s="90" t="s">
        <v>12484</v>
      </c>
      <c r="C1836" s="41" t="s">
        <v>407</v>
      </c>
      <c r="D1836" s="87">
        <v>7200</v>
      </c>
      <c r="E1836" s="35">
        <v>44693</v>
      </c>
      <c r="F1836" s="87">
        <v>7200</v>
      </c>
      <c r="G1836" s="91">
        <f>Tabla15[[#This Row],[Importe]]-Tabla15[[#This Row],[Pagado]]</f>
        <v>0</v>
      </c>
      <c r="H1836" s="92" t="s">
        <v>10</v>
      </c>
    </row>
    <row r="1837" spans="1:8" ht="21.75" customHeight="1" x14ac:dyDescent="0.25">
      <c r="A1837" s="35">
        <v>44669</v>
      </c>
      <c r="B1837" s="90" t="s">
        <v>12485</v>
      </c>
      <c r="C1837" s="41" t="s">
        <v>681</v>
      </c>
      <c r="D1837" s="87">
        <v>5.77</v>
      </c>
      <c r="E1837" s="35">
        <v>44672</v>
      </c>
      <c r="F1837" s="87">
        <v>5.77</v>
      </c>
      <c r="G1837" s="91">
        <f>Tabla15[[#This Row],[Importe]]-Tabla15[[#This Row],[Pagado]]</f>
        <v>0</v>
      </c>
      <c r="H1837" s="92" t="s">
        <v>10</v>
      </c>
    </row>
    <row r="1838" spans="1:8" ht="21.75" customHeight="1" x14ac:dyDescent="0.25">
      <c r="A1838" s="35">
        <v>44669</v>
      </c>
      <c r="B1838" s="90" t="s">
        <v>12486</v>
      </c>
      <c r="C1838" s="41" t="s">
        <v>576</v>
      </c>
      <c r="D1838" s="87">
        <v>932.4</v>
      </c>
      <c r="E1838" s="35">
        <v>44669</v>
      </c>
      <c r="F1838" s="87">
        <v>932.4</v>
      </c>
      <c r="G1838" s="91">
        <f>Tabla15[[#This Row],[Importe]]-Tabla15[[#This Row],[Pagado]]</f>
        <v>0</v>
      </c>
      <c r="H1838" s="92" t="s">
        <v>10</v>
      </c>
    </row>
    <row r="1839" spans="1:8" ht="21.75" customHeight="1" x14ac:dyDescent="0.25">
      <c r="A1839" s="35">
        <v>44669</v>
      </c>
      <c r="B1839" s="90" t="s">
        <v>12487</v>
      </c>
      <c r="C1839" s="41" t="s">
        <v>289</v>
      </c>
      <c r="D1839" s="87">
        <v>8511.6</v>
      </c>
      <c r="E1839" s="35">
        <v>44669</v>
      </c>
      <c r="F1839" s="87">
        <v>8511.6</v>
      </c>
      <c r="G1839" s="91">
        <f>Tabla15[[#This Row],[Importe]]-Tabla15[[#This Row],[Pagado]]</f>
        <v>0</v>
      </c>
      <c r="H1839" s="92" t="s">
        <v>10</v>
      </c>
    </row>
    <row r="1840" spans="1:8" ht="21.75" customHeight="1" x14ac:dyDescent="0.25">
      <c r="A1840" s="35">
        <v>44669</v>
      </c>
      <c r="B1840" s="90" t="s">
        <v>12488</v>
      </c>
      <c r="C1840" s="41" t="s">
        <v>230</v>
      </c>
      <c r="D1840" s="87">
        <v>4631.3999999999996</v>
      </c>
      <c r="E1840" s="35">
        <v>44669</v>
      </c>
      <c r="F1840" s="87">
        <v>4631.3999999999996</v>
      </c>
      <c r="G1840" s="91">
        <f>Tabla15[[#This Row],[Importe]]-Tabla15[[#This Row],[Pagado]]</f>
        <v>0</v>
      </c>
      <c r="H1840" s="92" t="s">
        <v>10</v>
      </c>
    </row>
    <row r="1841" spans="1:8" ht="21.75" customHeight="1" x14ac:dyDescent="0.25">
      <c r="A1841" s="35">
        <v>44669</v>
      </c>
      <c r="B1841" s="90" t="s">
        <v>12489</v>
      </c>
      <c r="C1841" s="41" t="s">
        <v>75</v>
      </c>
      <c r="D1841" s="87">
        <v>7447</v>
      </c>
      <c r="E1841" s="35">
        <v>44669</v>
      </c>
      <c r="F1841" s="87">
        <v>7447</v>
      </c>
      <c r="G1841" s="91">
        <f>Tabla15[[#This Row],[Importe]]-Tabla15[[#This Row],[Pagado]]</f>
        <v>0</v>
      </c>
      <c r="H1841" s="92" t="s">
        <v>10</v>
      </c>
    </row>
    <row r="1842" spans="1:8" ht="21.75" customHeight="1" x14ac:dyDescent="0.25">
      <c r="A1842" s="35">
        <v>44669</v>
      </c>
      <c r="B1842" s="90" t="s">
        <v>12490</v>
      </c>
      <c r="C1842" s="41" t="s">
        <v>454</v>
      </c>
      <c r="D1842" s="87">
        <v>3372.8</v>
      </c>
      <c r="E1842" s="35">
        <v>44669</v>
      </c>
      <c r="F1842" s="87">
        <v>3372.8</v>
      </c>
      <c r="G1842" s="91">
        <f>Tabla15[[#This Row],[Importe]]-Tabla15[[#This Row],[Pagado]]</f>
        <v>0</v>
      </c>
      <c r="H1842" s="92" t="s">
        <v>10</v>
      </c>
    </row>
    <row r="1843" spans="1:8" ht="21.75" customHeight="1" x14ac:dyDescent="0.25">
      <c r="A1843" s="35">
        <v>44669</v>
      </c>
      <c r="B1843" s="90" t="s">
        <v>12491</v>
      </c>
      <c r="C1843" s="41" t="s">
        <v>224</v>
      </c>
      <c r="D1843" s="87">
        <v>484</v>
      </c>
      <c r="E1843" s="35">
        <v>44669</v>
      </c>
      <c r="F1843" s="87">
        <v>484</v>
      </c>
      <c r="G1843" s="91">
        <f>Tabla15[[#This Row],[Importe]]-Tabla15[[#This Row],[Pagado]]</f>
        <v>0</v>
      </c>
      <c r="H1843" s="92" t="s">
        <v>10</v>
      </c>
    </row>
    <row r="1844" spans="1:8" ht="21.75" customHeight="1" x14ac:dyDescent="0.25">
      <c r="A1844" s="35">
        <v>44669</v>
      </c>
      <c r="B1844" s="90" t="s">
        <v>12492</v>
      </c>
      <c r="C1844" s="41" t="s">
        <v>212</v>
      </c>
      <c r="D1844" s="87">
        <v>20019.099999999999</v>
      </c>
      <c r="E1844" s="35">
        <v>44671</v>
      </c>
      <c r="F1844" s="87">
        <v>20019.099999999999</v>
      </c>
      <c r="G1844" s="91">
        <f>Tabla15[[#This Row],[Importe]]-Tabla15[[#This Row],[Pagado]]</f>
        <v>0</v>
      </c>
      <c r="H1844" s="92" t="s">
        <v>10</v>
      </c>
    </row>
    <row r="1845" spans="1:8" ht="21.75" customHeight="1" x14ac:dyDescent="0.25">
      <c r="A1845" s="35">
        <v>44669</v>
      </c>
      <c r="B1845" s="90" t="s">
        <v>12493</v>
      </c>
      <c r="C1845" s="41" t="s">
        <v>240</v>
      </c>
      <c r="D1845" s="87">
        <v>7437.6</v>
      </c>
      <c r="E1845" s="35">
        <v>44669</v>
      </c>
      <c r="F1845" s="87">
        <v>7437.6</v>
      </c>
      <c r="G1845" s="91">
        <f>Tabla15[[#This Row],[Importe]]-Tabla15[[#This Row],[Pagado]]</f>
        <v>0</v>
      </c>
      <c r="H1845" s="92" t="s">
        <v>10</v>
      </c>
    </row>
    <row r="1846" spans="1:8" ht="21.75" customHeight="1" x14ac:dyDescent="0.25">
      <c r="A1846" s="35">
        <v>44669</v>
      </c>
      <c r="B1846" s="90" t="s">
        <v>12494</v>
      </c>
      <c r="C1846" s="41" t="s">
        <v>312</v>
      </c>
      <c r="D1846" s="87">
        <v>4788.2</v>
      </c>
      <c r="E1846" s="35">
        <v>44669</v>
      </c>
      <c r="F1846" s="87">
        <v>4788.2</v>
      </c>
      <c r="G1846" s="91">
        <f>Tabla15[[#This Row],[Importe]]-Tabla15[[#This Row],[Pagado]]</f>
        <v>0</v>
      </c>
      <c r="H1846" s="92" t="s">
        <v>10</v>
      </c>
    </row>
    <row r="1847" spans="1:8" ht="21.75" customHeight="1" x14ac:dyDescent="0.25">
      <c r="A1847" s="35">
        <v>44669</v>
      </c>
      <c r="B1847" s="90" t="s">
        <v>12495</v>
      </c>
      <c r="C1847" s="41" t="s">
        <v>198</v>
      </c>
      <c r="D1847" s="87">
        <v>4829.8</v>
      </c>
      <c r="E1847" s="35">
        <v>44669</v>
      </c>
      <c r="F1847" s="87">
        <v>4829.8</v>
      </c>
      <c r="G1847" s="91">
        <f>Tabla15[[#This Row],[Importe]]-Tabla15[[#This Row],[Pagado]]</f>
        <v>0</v>
      </c>
      <c r="H1847" s="92" t="s">
        <v>10</v>
      </c>
    </row>
    <row r="1848" spans="1:8" ht="21.75" customHeight="1" x14ac:dyDescent="0.25">
      <c r="A1848" s="35">
        <v>44669</v>
      </c>
      <c r="B1848" s="90" t="s">
        <v>12496</v>
      </c>
      <c r="C1848" s="41" t="s">
        <v>154</v>
      </c>
      <c r="D1848" s="87">
        <v>37623.26</v>
      </c>
      <c r="E1848" s="35">
        <v>44672</v>
      </c>
      <c r="F1848" s="87">
        <v>37623.26</v>
      </c>
      <c r="G1848" s="91">
        <f>Tabla15[[#This Row],[Importe]]-Tabla15[[#This Row],[Pagado]]</f>
        <v>0</v>
      </c>
      <c r="H1848" s="92" t="s">
        <v>10</v>
      </c>
    </row>
    <row r="1849" spans="1:8" ht="21.75" customHeight="1" x14ac:dyDescent="0.25">
      <c r="A1849" s="35">
        <v>44669</v>
      </c>
      <c r="B1849" s="90" t="s">
        <v>12497</v>
      </c>
      <c r="C1849" s="41" t="s">
        <v>240</v>
      </c>
      <c r="D1849" s="87">
        <v>2396.8000000000002</v>
      </c>
      <c r="E1849" s="35">
        <v>44669</v>
      </c>
      <c r="F1849" s="87">
        <v>2396.8000000000002</v>
      </c>
      <c r="G1849" s="91">
        <f>Tabla15[[#This Row],[Importe]]-Tabla15[[#This Row],[Pagado]]</f>
        <v>0</v>
      </c>
      <c r="H1849" s="92" t="s">
        <v>10</v>
      </c>
    </row>
    <row r="1850" spans="1:8" ht="21.75" customHeight="1" x14ac:dyDescent="0.25">
      <c r="A1850" s="35">
        <v>44669</v>
      </c>
      <c r="B1850" s="90" t="s">
        <v>12498</v>
      </c>
      <c r="C1850" s="41" t="s">
        <v>845</v>
      </c>
      <c r="D1850" s="87">
        <v>7911.6</v>
      </c>
      <c r="E1850" s="35">
        <v>44669</v>
      </c>
      <c r="F1850" s="87">
        <v>7911.6</v>
      </c>
      <c r="G1850" s="91">
        <f>Tabla15[[#This Row],[Importe]]-Tabla15[[#This Row],[Pagado]]</f>
        <v>0</v>
      </c>
      <c r="H1850" s="92" t="s">
        <v>10</v>
      </c>
    </row>
    <row r="1851" spans="1:8" ht="31.5" x14ac:dyDescent="0.25">
      <c r="A1851" s="35">
        <v>44669</v>
      </c>
      <c r="B1851" s="90" t="s">
        <v>12499</v>
      </c>
      <c r="C1851" s="41" t="s">
        <v>392</v>
      </c>
      <c r="D1851" s="87">
        <v>14096.4</v>
      </c>
      <c r="E1851" s="35" t="s">
        <v>12500</v>
      </c>
      <c r="F1851" s="87">
        <f>10000+4096.4</f>
        <v>14096.4</v>
      </c>
      <c r="G1851" s="91">
        <f>Tabla15[[#This Row],[Importe]]-Tabla15[[#This Row],[Pagado]]</f>
        <v>0</v>
      </c>
      <c r="H1851" s="92" t="s">
        <v>10</v>
      </c>
    </row>
    <row r="1852" spans="1:8" ht="21.75" customHeight="1" x14ac:dyDescent="0.25">
      <c r="A1852" s="35">
        <v>44669</v>
      </c>
      <c r="B1852" s="90" t="s">
        <v>12501</v>
      </c>
      <c r="C1852" s="41" t="s">
        <v>216</v>
      </c>
      <c r="D1852" s="87">
        <v>2651</v>
      </c>
      <c r="E1852" s="35">
        <v>44669</v>
      </c>
      <c r="F1852" s="87">
        <v>2651</v>
      </c>
      <c r="G1852" s="91">
        <f>Tabla15[[#This Row],[Importe]]-Tabla15[[#This Row],[Pagado]]</f>
        <v>0</v>
      </c>
      <c r="H1852" s="92" t="s">
        <v>10</v>
      </c>
    </row>
    <row r="1853" spans="1:8" ht="21.75" customHeight="1" x14ac:dyDescent="0.25">
      <c r="A1853" s="35">
        <v>44669</v>
      </c>
      <c r="B1853" s="90" t="s">
        <v>12502</v>
      </c>
      <c r="C1853" s="41" t="s">
        <v>857</v>
      </c>
      <c r="D1853" s="87">
        <v>751.2</v>
      </c>
      <c r="E1853" s="35">
        <v>44669</v>
      </c>
      <c r="F1853" s="87">
        <v>751.2</v>
      </c>
      <c r="G1853" s="91">
        <f>Tabla15[[#This Row],[Importe]]-Tabla15[[#This Row],[Pagado]]</f>
        <v>0</v>
      </c>
      <c r="H1853" s="92" t="s">
        <v>10</v>
      </c>
    </row>
    <row r="1854" spans="1:8" ht="21.75" customHeight="1" x14ac:dyDescent="0.25">
      <c r="A1854" s="35">
        <v>44669</v>
      </c>
      <c r="B1854" s="90" t="s">
        <v>12503</v>
      </c>
      <c r="C1854" s="41" t="s">
        <v>206</v>
      </c>
      <c r="D1854" s="87">
        <v>27815.14</v>
      </c>
      <c r="E1854" s="35">
        <v>44672</v>
      </c>
      <c r="F1854" s="87">
        <v>27815.14</v>
      </c>
      <c r="G1854" s="91">
        <f>Tabla15[[#This Row],[Importe]]-Tabla15[[#This Row],[Pagado]]</f>
        <v>0</v>
      </c>
      <c r="H1854" s="92" t="s">
        <v>10</v>
      </c>
    </row>
    <row r="1855" spans="1:8" ht="21.75" customHeight="1" x14ac:dyDescent="0.25">
      <c r="A1855" s="35">
        <v>44669</v>
      </c>
      <c r="B1855" s="90" t="s">
        <v>12504</v>
      </c>
      <c r="C1855" s="41" t="s">
        <v>208</v>
      </c>
      <c r="D1855" s="87">
        <v>3153.1</v>
      </c>
      <c r="E1855" s="35">
        <v>44671</v>
      </c>
      <c r="F1855" s="87">
        <v>3153.1</v>
      </c>
      <c r="G1855" s="91">
        <f>Tabla15[[#This Row],[Importe]]-Tabla15[[#This Row],[Pagado]]</f>
        <v>0</v>
      </c>
      <c r="H1855" s="92" t="s">
        <v>10</v>
      </c>
    </row>
    <row r="1856" spans="1:8" ht="21.75" customHeight="1" x14ac:dyDescent="0.25">
      <c r="A1856" s="35">
        <v>44669</v>
      </c>
      <c r="B1856" s="90" t="s">
        <v>12505</v>
      </c>
      <c r="C1856" s="41" t="s">
        <v>218</v>
      </c>
      <c r="D1856" s="87">
        <v>16789.7</v>
      </c>
      <c r="E1856" s="35">
        <v>44672</v>
      </c>
      <c r="F1856" s="87">
        <v>16789.7</v>
      </c>
      <c r="G1856" s="91">
        <f>Tabla15[[#This Row],[Importe]]-Tabla15[[#This Row],[Pagado]]</f>
        <v>0</v>
      </c>
      <c r="H1856" s="92" t="s">
        <v>10</v>
      </c>
    </row>
    <row r="1857" spans="1:8" ht="21.75" customHeight="1" x14ac:dyDescent="0.25">
      <c r="A1857" s="35">
        <v>44669</v>
      </c>
      <c r="B1857" s="90" t="s">
        <v>12506</v>
      </c>
      <c r="C1857" s="41" t="s">
        <v>173</v>
      </c>
      <c r="D1857" s="87">
        <v>20592.5</v>
      </c>
      <c r="E1857" s="35">
        <v>44670</v>
      </c>
      <c r="F1857" s="87">
        <v>20592.5</v>
      </c>
      <c r="G1857" s="91">
        <f>Tabla15[[#This Row],[Importe]]-Tabla15[[#This Row],[Pagado]]</f>
        <v>0</v>
      </c>
      <c r="H1857" s="92" t="s">
        <v>10</v>
      </c>
    </row>
    <row r="1858" spans="1:8" ht="21.75" customHeight="1" x14ac:dyDescent="0.25">
      <c r="A1858" s="35">
        <v>44669</v>
      </c>
      <c r="B1858" s="90" t="s">
        <v>12507</v>
      </c>
      <c r="C1858" s="41" t="s">
        <v>7745</v>
      </c>
      <c r="D1858" s="87">
        <v>25000.02</v>
      </c>
      <c r="E1858" s="35">
        <v>44669</v>
      </c>
      <c r="F1858" s="87">
        <v>25000.02</v>
      </c>
      <c r="G1858" s="91">
        <f>Tabla15[[#This Row],[Importe]]-Tabla15[[#This Row],[Pagado]]</f>
        <v>0</v>
      </c>
      <c r="H1858" s="92" t="s">
        <v>10</v>
      </c>
    </row>
    <row r="1859" spans="1:8" ht="21.75" customHeight="1" x14ac:dyDescent="0.25">
      <c r="A1859" s="35">
        <v>44669</v>
      </c>
      <c r="B1859" s="90" t="s">
        <v>12508</v>
      </c>
      <c r="C1859" s="41" t="s">
        <v>670</v>
      </c>
      <c r="D1859" s="87">
        <v>4367.6000000000004</v>
      </c>
      <c r="E1859" s="35">
        <v>44669</v>
      </c>
      <c r="F1859" s="87">
        <v>4367.6000000000004</v>
      </c>
      <c r="G1859" s="91">
        <f>Tabla15[[#This Row],[Importe]]-Tabla15[[#This Row],[Pagado]]</f>
        <v>0</v>
      </c>
      <c r="H1859" s="92" t="s">
        <v>10</v>
      </c>
    </row>
    <row r="1860" spans="1:8" ht="21.75" customHeight="1" x14ac:dyDescent="0.25">
      <c r="A1860" s="35">
        <v>44669</v>
      </c>
      <c r="B1860" s="90" t="s">
        <v>12509</v>
      </c>
      <c r="C1860" s="41" t="s">
        <v>4136</v>
      </c>
      <c r="D1860" s="87">
        <v>1862.4</v>
      </c>
      <c r="E1860" s="35">
        <v>44669</v>
      </c>
      <c r="F1860" s="87">
        <v>1862.4</v>
      </c>
      <c r="G1860" s="91">
        <f>Tabla15[[#This Row],[Importe]]-Tabla15[[#This Row],[Pagado]]</f>
        <v>0</v>
      </c>
      <c r="H1860" s="92" t="s">
        <v>10</v>
      </c>
    </row>
    <row r="1861" spans="1:8" ht="21.75" customHeight="1" x14ac:dyDescent="0.25">
      <c r="A1861" s="35">
        <v>44669</v>
      </c>
      <c r="B1861" s="90" t="s">
        <v>12510</v>
      </c>
      <c r="C1861" s="41" t="s">
        <v>9415</v>
      </c>
      <c r="D1861" s="87">
        <v>1125</v>
      </c>
      <c r="E1861" s="35">
        <v>44670</v>
      </c>
      <c r="F1861" s="87">
        <v>1125</v>
      </c>
      <c r="G1861" s="91">
        <f>Tabla15[[#This Row],[Importe]]-Tabla15[[#This Row],[Pagado]]</f>
        <v>0</v>
      </c>
      <c r="H1861" s="92" t="s">
        <v>10</v>
      </c>
    </row>
    <row r="1862" spans="1:8" ht="21.75" customHeight="1" x14ac:dyDescent="0.25">
      <c r="A1862" s="35">
        <v>44669</v>
      </c>
      <c r="B1862" s="90" t="s">
        <v>12511</v>
      </c>
      <c r="C1862" s="41" t="s">
        <v>421</v>
      </c>
      <c r="D1862" s="87">
        <v>1953</v>
      </c>
      <c r="E1862" s="35">
        <v>44669</v>
      </c>
      <c r="F1862" s="87">
        <v>1953</v>
      </c>
      <c r="G1862" s="91">
        <f>Tabla15[[#This Row],[Importe]]-Tabla15[[#This Row],[Pagado]]</f>
        <v>0</v>
      </c>
      <c r="H1862" s="92" t="s">
        <v>10</v>
      </c>
    </row>
    <row r="1863" spans="1:8" ht="21.75" customHeight="1" x14ac:dyDescent="0.25">
      <c r="A1863" s="35">
        <v>44669</v>
      </c>
      <c r="B1863" s="90" t="s">
        <v>12512</v>
      </c>
      <c r="C1863" s="41" t="s">
        <v>133</v>
      </c>
      <c r="D1863" s="87">
        <v>23287</v>
      </c>
      <c r="E1863" s="35">
        <v>44688</v>
      </c>
      <c r="F1863" s="87">
        <v>23287</v>
      </c>
      <c r="G1863" s="91">
        <f>Tabla15[[#This Row],[Importe]]-Tabla15[[#This Row],[Pagado]]</f>
        <v>0</v>
      </c>
      <c r="H1863" s="92" t="s">
        <v>10</v>
      </c>
    </row>
    <row r="1864" spans="1:8" ht="21.75" customHeight="1" x14ac:dyDescent="0.25">
      <c r="A1864" s="35">
        <v>44669</v>
      </c>
      <c r="B1864" s="90" t="s">
        <v>12513</v>
      </c>
      <c r="C1864" s="41" t="s">
        <v>10157</v>
      </c>
      <c r="D1864" s="87">
        <v>8483.5</v>
      </c>
      <c r="E1864" s="35">
        <v>44670</v>
      </c>
      <c r="F1864" s="87">
        <v>8483.5</v>
      </c>
      <c r="G1864" s="91">
        <f>Tabla15[[#This Row],[Importe]]-Tabla15[[#This Row],[Pagado]]</f>
        <v>0</v>
      </c>
      <c r="H1864" s="92" t="s">
        <v>10</v>
      </c>
    </row>
    <row r="1865" spans="1:8" ht="21.75" customHeight="1" x14ac:dyDescent="0.25">
      <c r="A1865" s="35">
        <v>44669</v>
      </c>
      <c r="B1865" s="90" t="s">
        <v>12514</v>
      </c>
      <c r="C1865" s="41" t="s">
        <v>5816</v>
      </c>
      <c r="D1865" s="87">
        <v>9216</v>
      </c>
      <c r="E1865" s="35">
        <v>44670</v>
      </c>
      <c r="F1865" s="87">
        <v>9216</v>
      </c>
      <c r="G1865" s="91">
        <f>Tabla15[[#This Row],[Importe]]-Tabla15[[#This Row],[Pagado]]</f>
        <v>0</v>
      </c>
      <c r="H1865" s="92" t="s">
        <v>10</v>
      </c>
    </row>
    <row r="1866" spans="1:8" ht="21.75" customHeight="1" x14ac:dyDescent="0.25">
      <c r="A1866" s="35">
        <v>44669</v>
      </c>
      <c r="B1866" s="90" t="s">
        <v>12515</v>
      </c>
      <c r="C1866" s="41" t="s">
        <v>10678</v>
      </c>
      <c r="D1866" s="87">
        <v>3060.9</v>
      </c>
      <c r="E1866" s="35">
        <v>44669</v>
      </c>
      <c r="F1866" s="87">
        <v>3060.9</v>
      </c>
      <c r="G1866" s="91">
        <f>Tabla15[[#This Row],[Importe]]-Tabla15[[#This Row],[Pagado]]</f>
        <v>0</v>
      </c>
      <c r="H1866" s="92" t="s">
        <v>10</v>
      </c>
    </row>
    <row r="1867" spans="1:8" ht="21.75" customHeight="1" x14ac:dyDescent="0.25">
      <c r="A1867" s="35">
        <v>44669</v>
      </c>
      <c r="B1867" s="90" t="s">
        <v>12516</v>
      </c>
      <c r="C1867" s="41" t="s">
        <v>698</v>
      </c>
      <c r="D1867" s="87">
        <v>8145.9</v>
      </c>
      <c r="E1867" s="35">
        <v>44669</v>
      </c>
      <c r="F1867" s="87">
        <v>8145.9</v>
      </c>
      <c r="G1867" s="91">
        <f>Tabla15[[#This Row],[Importe]]-Tabla15[[#This Row],[Pagado]]</f>
        <v>0</v>
      </c>
      <c r="H1867" s="92" t="s">
        <v>10</v>
      </c>
    </row>
    <row r="1868" spans="1:8" ht="21.75" customHeight="1" x14ac:dyDescent="0.25">
      <c r="A1868" s="35">
        <v>44669</v>
      </c>
      <c r="B1868" s="90" t="s">
        <v>12517</v>
      </c>
      <c r="C1868" s="41" t="s">
        <v>1174</v>
      </c>
      <c r="D1868" s="87">
        <v>40888.400000000001</v>
      </c>
      <c r="E1868" s="35">
        <v>44669</v>
      </c>
      <c r="F1868" s="87">
        <v>40888.400000000001</v>
      </c>
      <c r="G1868" s="91">
        <f>Tabla15[[#This Row],[Importe]]-Tabla15[[#This Row],[Pagado]]</f>
        <v>0</v>
      </c>
      <c r="H1868" s="92" t="s">
        <v>10</v>
      </c>
    </row>
    <row r="1869" spans="1:8" ht="21.75" customHeight="1" x14ac:dyDescent="0.25">
      <c r="A1869" s="35">
        <v>44669</v>
      </c>
      <c r="B1869" s="90" t="s">
        <v>12518</v>
      </c>
      <c r="C1869" s="41" t="s">
        <v>1265</v>
      </c>
      <c r="D1869" s="87">
        <v>378.4</v>
      </c>
      <c r="E1869" s="35">
        <v>44669</v>
      </c>
      <c r="F1869" s="87">
        <v>378.4</v>
      </c>
      <c r="G1869" s="91">
        <f>Tabla15[[#This Row],[Importe]]-Tabla15[[#This Row],[Pagado]]</f>
        <v>0</v>
      </c>
      <c r="H1869" s="92" t="s">
        <v>10</v>
      </c>
    </row>
    <row r="1870" spans="1:8" ht="21.75" customHeight="1" x14ac:dyDescent="0.25">
      <c r="A1870" s="35">
        <v>44669</v>
      </c>
      <c r="B1870" s="90" t="s">
        <v>12519</v>
      </c>
      <c r="C1870" s="41" t="s">
        <v>69</v>
      </c>
      <c r="D1870" s="87">
        <v>2189</v>
      </c>
      <c r="E1870" s="35">
        <v>44669</v>
      </c>
      <c r="F1870" s="87">
        <v>2189</v>
      </c>
      <c r="G1870" s="91">
        <f>Tabla15[[#This Row],[Importe]]-Tabla15[[#This Row],[Pagado]]</f>
        <v>0</v>
      </c>
      <c r="H1870" s="92" t="s">
        <v>10</v>
      </c>
    </row>
    <row r="1871" spans="1:8" ht="21.75" customHeight="1" x14ac:dyDescent="0.25">
      <c r="A1871" s="35">
        <v>44669</v>
      </c>
      <c r="B1871" s="90" t="s">
        <v>12520</v>
      </c>
      <c r="C1871" s="41" t="s">
        <v>142</v>
      </c>
      <c r="D1871" s="87">
        <v>53375.8</v>
      </c>
      <c r="E1871" s="35">
        <v>44706</v>
      </c>
      <c r="F1871" s="87">
        <v>53375.8</v>
      </c>
      <c r="G1871" s="91">
        <f>Tabla15[[#This Row],[Importe]]-Tabla15[[#This Row],[Pagado]]</f>
        <v>0</v>
      </c>
      <c r="H1871" s="92" t="s">
        <v>10</v>
      </c>
    </row>
    <row r="1872" spans="1:8" ht="21.75" customHeight="1" x14ac:dyDescent="0.25">
      <c r="A1872" s="35">
        <v>44669</v>
      </c>
      <c r="B1872" s="90" t="s">
        <v>12521</v>
      </c>
      <c r="C1872" s="41" t="s">
        <v>249</v>
      </c>
      <c r="D1872" s="87">
        <v>4664.8</v>
      </c>
      <c r="E1872" s="35">
        <v>44669</v>
      </c>
      <c r="F1872" s="87">
        <v>4664.8</v>
      </c>
      <c r="G1872" s="91">
        <f>Tabla15[[#This Row],[Importe]]-Tabla15[[#This Row],[Pagado]]</f>
        <v>0</v>
      </c>
      <c r="H1872" s="92" t="s">
        <v>10</v>
      </c>
    </row>
    <row r="1873" spans="1:8" ht="21.75" customHeight="1" x14ac:dyDescent="0.25">
      <c r="A1873" s="35">
        <v>44669</v>
      </c>
      <c r="B1873" s="90" t="s">
        <v>12522</v>
      </c>
      <c r="C1873" s="41" t="s">
        <v>249</v>
      </c>
      <c r="D1873" s="87">
        <v>1450.4</v>
      </c>
      <c r="E1873" s="35">
        <v>44669</v>
      </c>
      <c r="F1873" s="87">
        <v>1450.4</v>
      </c>
      <c r="G1873" s="91">
        <f>Tabla15[[#This Row],[Importe]]-Tabla15[[#This Row],[Pagado]]</f>
        <v>0</v>
      </c>
      <c r="H1873" s="92" t="s">
        <v>10</v>
      </c>
    </row>
    <row r="1874" spans="1:8" ht="21.75" customHeight="1" x14ac:dyDescent="0.25">
      <c r="A1874" s="35">
        <v>44669</v>
      </c>
      <c r="B1874" s="90" t="s">
        <v>12523</v>
      </c>
      <c r="C1874" s="41" t="s">
        <v>179</v>
      </c>
      <c r="D1874" s="87">
        <v>1067</v>
      </c>
      <c r="E1874" s="35">
        <v>44669</v>
      </c>
      <c r="F1874" s="87">
        <v>1067</v>
      </c>
      <c r="G1874" s="91">
        <f>Tabla15[[#This Row],[Importe]]-Tabla15[[#This Row],[Pagado]]</f>
        <v>0</v>
      </c>
      <c r="H1874" s="92" t="s">
        <v>10</v>
      </c>
    </row>
    <row r="1875" spans="1:8" ht="21.75" customHeight="1" x14ac:dyDescent="0.25">
      <c r="A1875" s="35">
        <v>44669</v>
      </c>
      <c r="B1875" s="90" t="s">
        <v>12524</v>
      </c>
      <c r="C1875" s="41" t="s">
        <v>12525</v>
      </c>
      <c r="D1875" s="87">
        <v>0</v>
      </c>
      <c r="E1875" s="39" t="s">
        <v>189</v>
      </c>
      <c r="F1875" s="87">
        <v>0</v>
      </c>
      <c r="G1875" s="91">
        <f>Tabla15[[#This Row],[Importe]]-Tabla15[[#This Row],[Pagado]]</f>
        <v>0</v>
      </c>
      <c r="H1875" s="92" t="s">
        <v>189</v>
      </c>
    </row>
    <row r="1876" spans="1:8" ht="21.75" customHeight="1" x14ac:dyDescent="0.25">
      <c r="A1876" s="35">
        <v>44669</v>
      </c>
      <c r="B1876" s="90" t="s">
        <v>12526</v>
      </c>
      <c r="C1876" s="41" t="s">
        <v>450</v>
      </c>
      <c r="D1876" s="87">
        <v>1321.4</v>
      </c>
      <c r="E1876" s="35">
        <v>44669</v>
      </c>
      <c r="F1876" s="87">
        <v>1321.4</v>
      </c>
      <c r="G1876" s="91">
        <f>Tabla15[[#This Row],[Importe]]-Tabla15[[#This Row],[Pagado]]</f>
        <v>0</v>
      </c>
      <c r="H1876" s="92" t="s">
        <v>10</v>
      </c>
    </row>
    <row r="1877" spans="1:8" ht="21.75" customHeight="1" x14ac:dyDescent="0.25">
      <c r="A1877" s="35">
        <v>44669</v>
      </c>
      <c r="B1877" s="90" t="s">
        <v>12527</v>
      </c>
      <c r="C1877" s="41" t="s">
        <v>1313</v>
      </c>
      <c r="D1877" s="87">
        <v>9133.2000000000007</v>
      </c>
      <c r="E1877" s="35">
        <v>44669</v>
      </c>
      <c r="F1877" s="87">
        <v>9133.2000000000007</v>
      </c>
      <c r="G1877" s="91">
        <f>Tabla15[[#This Row],[Importe]]-Tabla15[[#This Row],[Pagado]]</f>
        <v>0</v>
      </c>
      <c r="H1877" s="92" t="s">
        <v>10</v>
      </c>
    </row>
    <row r="1878" spans="1:8" ht="21.75" customHeight="1" x14ac:dyDescent="0.25">
      <c r="A1878" s="35">
        <v>44669</v>
      </c>
      <c r="B1878" s="90" t="s">
        <v>12528</v>
      </c>
      <c r="C1878" s="41" t="s">
        <v>275</v>
      </c>
      <c r="D1878" s="87">
        <v>81387.399999999994</v>
      </c>
      <c r="E1878" s="35">
        <v>44681</v>
      </c>
      <c r="F1878" s="87">
        <v>81387.399999999994</v>
      </c>
      <c r="G1878" s="91">
        <f>Tabla15[[#This Row],[Importe]]-Tabla15[[#This Row],[Pagado]]</f>
        <v>0</v>
      </c>
      <c r="H1878" s="92" t="s">
        <v>10</v>
      </c>
    </row>
    <row r="1879" spans="1:8" ht="21.75" customHeight="1" x14ac:dyDescent="0.25">
      <c r="A1879" s="35">
        <v>44669</v>
      </c>
      <c r="B1879" s="90" t="s">
        <v>12529</v>
      </c>
      <c r="C1879" s="41" t="s">
        <v>298</v>
      </c>
      <c r="D1879" s="87">
        <v>9099.2000000000007</v>
      </c>
      <c r="E1879" s="35">
        <v>44669</v>
      </c>
      <c r="F1879" s="87">
        <v>9099.2000000000007</v>
      </c>
      <c r="G1879" s="91">
        <f>Tabla15[[#This Row],[Importe]]-Tabla15[[#This Row],[Pagado]]</f>
        <v>0</v>
      </c>
      <c r="H1879" s="92" t="s">
        <v>10</v>
      </c>
    </row>
    <row r="1880" spans="1:8" ht="21.75" customHeight="1" x14ac:dyDescent="0.25">
      <c r="A1880" s="35">
        <v>44669</v>
      </c>
      <c r="B1880" s="90" t="s">
        <v>12530</v>
      </c>
      <c r="C1880" s="41" t="s">
        <v>2393</v>
      </c>
      <c r="D1880" s="87">
        <v>65316.800000000003</v>
      </c>
      <c r="E1880" s="35">
        <v>44669</v>
      </c>
      <c r="F1880" s="87">
        <v>65316.800000000003</v>
      </c>
      <c r="G1880" s="91">
        <f>Tabla15[[#This Row],[Importe]]-Tabla15[[#This Row],[Pagado]]</f>
        <v>0</v>
      </c>
      <c r="H1880" s="92" t="s">
        <v>10</v>
      </c>
    </row>
    <row r="1881" spans="1:8" ht="21.75" customHeight="1" x14ac:dyDescent="0.25">
      <c r="A1881" s="35">
        <v>44669</v>
      </c>
      <c r="B1881" s="90" t="s">
        <v>12531</v>
      </c>
      <c r="C1881" s="41" t="s">
        <v>246</v>
      </c>
      <c r="D1881" s="87">
        <v>1280.5</v>
      </c>
      <c r="E1881" s="35">
        <v>44669</v>
      </c>
      <c r="F1881" s="87">
        <v>1280.5</v>
      </c>
      <c r="G1881" s="91">
        <f>Tabla15[[#This Row],[Importe]]-Tabla15[[#This Row],[Pagado]]</f>
        <v>0</v>
      </c>
      <c r="H1881" s="92" t="s">
        <v>10</v>
      </c>
    </row>
    <row r="1882" spans="1:8" ht="21.75" customHeight="1" x14ac:dyDescent="0.25">
      <c r="A1882" s="35">
        <v>44669</v>
      </c>
      <c r="B1882" s="90" t="s">
        <v>12532</v>
      </c>
      <c r="C1882" s="41" t="s">
        <v>12107</v>
      </c>
      <c r="D1882" s="87">
        <v>2800</v>
      </c>
      <c r="E1882" s="35">
        <v>44669</v>
      </c>
      <c r="F1882" s="87">
        <v>2800</v>
      </c>
      <c r="G1882" s="91">
        <f>Tabla15[[#This Row],[Importe]]-Tabla15[[#This Row],[Pagado]]</f>
        <v>0</v>
      </c>
      <c r="H1882" s="92" t="s">
        <v>10</v>
      </c>
    </row>
    <row r="1883" spans="1:8" ht="21.75" customHeight="1" x14ac:dyDescent="0.25">
      <c r="A1883" s="35">
        <v>44669</v>
      </c>
      <c r="B1883" s="90" t="s">
        <v>12533</v>
      </c>
      <c r="C1883" s="41" t="s">
        <v>31</v>
      </c>
      <c r="D1883" s="87">
        <v>79.2</v>
      </c>
      <c r="E1883" s="35">
        <v>44669</v>
      </c>
      <c r="F1883" s="87">
        <v>79.2</v>
      </c>
      <c r="G1883" s="91">
        <f>Tabla15[[#This Row],[Importe]]-Tabla15[[#This Row],[Pagado]]</f>
        <v>0</v>
      </c>
      <c r="H1883" s="92" t="s">
        <v>10</v>
      </c>
    </row>
    <row r="1884" spans="1:8" ht="21.75" customHeight="1" x14ac:dyDescent="0.25">
      <c r="A1884" s="35">
        <v>44669</v>
      </c>
      <c r="B1884" s="90" t="s">
        <v>12534</v>
      </c>
      <c r="C1884" s="41" t="s">
        <v>419</v>
      </c>
      <c r="D1884" s="87">
        <v>8308.1</v>
      </c>
      <c r="E1884" s="35">
        <v>44669</v>
      </c>
      <c r="F1884" s="87">
        <v>8308.1</v>
      </c>
      <c r="G1884" s="91">
        <f>Tabla15[[#This Row],[Importe]]-Tabla15[[#This Row],[Pagado]]</f>
        <v>0</v>
      </c>
      <c r="H1884" s="92" t="s">
        <v>10</v>
      </c>
    </row>
    <row r="1885" spans="1:8" ht="21.75" customHeight="1" x14ac:dyDescent="0.25">
      <c r="A1885" s="35">
        <v>44669</v>
      </c>
      <c r="B1885" s="90" t="s">
        <v>12535</v>
      </c>
      <c r="C1885" s="41" t="s">
        <v>284</v>
      </c>
      <c r="D1885" s="87">
        <v>8442.5</v>
      </c>
      <c r="E1885" s="35">
        <v>44670</v>
      </c>
      <c r="F1885" s="87">
        <v>8442.5</v>
      </c>
      <c r="G1885" s="91">
        <f>Tabla15[[#This Row],[Importe]]-Tabla15[[#This Row],[Pagado]]</f>
        <v>0</v>
      </c>
      <c r="H1885" s="92" t="s">
        <v>10</v>
      </c>
    </row>
    <row r="1886" spans="1:8" ht="21.75" customHeight="1" x14ac:dyDescent="0.25">
      <c r="A1886" s="35">
        <v>44669</v>
      </c>
      <c r="B1886" s="90" t="s">
        <v>12536</v>
      </c>
      <c r="C1886" s="41" t="s">
        <v>5345</v>
      </c>
      <c r="D1886" s="87">
        <v>2282.5</v>
      </c>
      <c r="E1886" s="35">
        <v>44670</v>
      </c>
      <c r="F1886" s="87">
        <v>2282.5</v>
      </c>
      <c r="G1886" s="91">
        <f>Tabla15[[#This Row],[Importe]]-Tabla15[[#This Row],[Pagado]]</f>
        <v>0</v>
      </c>
      <c r="H1886" s="92" t="s">
        <v>10</v>
      </c>
    </row>
    <row r="1887" spans="1:8" ht="21.75" customHeight="1" x14ac:dyDescent="0.25">
      <c r="A1887" s="35">
        <v>44669</v>
      </c>
      <c r="B1887" s="90" t="s">
        <v>12537</v>
      </c>
      <c r="C1887" s="41" t="s">
        <v>280</v>
      </c>
      <c r="D1887" s="87">
        <v>522.5</v>
      </c>
      <c r="E1887" s="35">
        <v>44670</v>
      </c>
      <c r="F1887" s="87">
        <v>522.5</v>
      </c>
      <c r="G1887" s="91">
        <f>Tabla15[[#This Row],[Importe]]-Tabla15[[#This Row],[Pagado]]</f>
        <v>0</v>
      </c>
      <c r="H1887" s="92" t="s">
        <v>10</v>
      </c>
    </row>
    <row r="1888" spans="1:8" ht="21.75" customHeight="1" x14ac:dyDescent="0.25">
      <c r="A1888" s="35">
        <v>44669</v>
      </c>
      <c r="B1888" s="90" t="s">
        <v>12538</v>
      </c>
      <c r="C1888" s="41" t="s">
        <v>282</v>
      </c>
      <c r="D1888" s="87">
        <v>1826</v>
      </c>
      <c r="E1888" s="35">
        <v>44670</v>
      </c>
      <c r="F1888" s="87">
        <v>1826</v>
      </c>
      <c r="G1888" s="91">
        <f>Tabla15[[#This Row],[Importe]]-Tabla15[[#This Row],[Pagado]]</f>
        <v>0</v>
      </c>
      <c r="H1888" s="92" t="s">
        <v>10</v>
      </c>
    </row>
    <row r="1889" spans="1:8" ht="21.75" customHeight="1" x14ac:dyDescent="0.25">
      <c r="A1889" s="35">
        <v>44669</v>
      </c>
      <c r="B1889" s="90" t="s">
        <v>12539</v>
      </c>
      <c r="C1889" s="41" t="s">
        <v>296</v>
      </c>
      <c r="D1889" s="87">
        <v>1495.2</v>
      </c>
      <c r="E1889" s="35">
        <v>44669</v>
      </c>
      <c r="F1889" s="87">
        <v>1495.2</v>
      </c>
      <c r="G1889" s="91">
        <f>Tabla15[[#This Row],[Importe]]-Tabla15[[#This Row],[Pagado]]</f>
        <v>0</v>
      </c>
      <c r="H1889" s="92" t="s">
        <v>10</v>
      </c>
    </row>
    <row r="1890" spans="1:8" ht="21.75" customHeight="1" x14ac:dyDescent="0.25">
      <c r="A1890" s="35">
        <v>44669</v>
      </c>
      <c r="B1890" s="90" t="s">
        <v>12540</v>
      </c>
      <c r="C1890" s="41" t="s">
        <v>31</v>
      </c>
      <c r="D1890" s="87">
        <v>668.8</v>
      </c>
      <c r="E1890" s="35">
        <v>44669</v>
      </c>
      <c r="F1890" s="87">
        <v>668.8</v>
      </c>
      <c r="G1890" s="91">
        <f>Tabla15[[#This Row],[Importe]]-Tabla15[[#This Row],[Pagado]]</f>
        <v>0</v>
      </c>
      <c r="H1890" s="92" t="s">
        <v>10</v>
      </c>
    </row>
    <row r="1891" spans="1:8" ht="21.75" customHeight="1" x14ac:dyDescent="0.25">
      <c r="A1891" s="35">
        <v>44669</v>
      </c>
      <c r="B1891" s="90" t="s">
        <v>12541</v>
      </c>
      <c r="C1891" s="41" t="s">
        <v>918</v>
      </c>
      <c r="D1891" s="87">
        <v>4115.6000000000004</v>
      </c>
      <c r="E1891" s="35">
        <v>44670</v>
      </c>
      <c r="F1891" s="87">
        <v>4115.6000000000004</v>
      </c>
      <c r="G1891" s="91">
        <f>Tabla15[[#This Row],[Importe]]-Tabla15[[#This Row],[Pagado]]</f>
        <v>0</v>
      </c>
      <c r="H1891" s="92" t="s">
        <v>10</v>
      </c>
    </row>
    <row r="1892" spans="1:8" ht="21.75" customHeight="1" x14ac:dyDescent="0.25">
      <c r="A1892" s="35">
        <v>44669</v>
      </c>
      <c r="B1892" s="90" t="s">
        <v>12542</v>
      </c>
      <c r="C1892" s="41" t="s">
        <v>12543</v>
      </c>
      <c r="D1892" s="87">
        <v>1115.2</v>
      </c>
      <c r="E1892" s="35">
        <v>44669</v>
      </c>
      <c r="F1892" s="87">
        <v>1115.2</v>
      </c>
      <c r="G1892" s="91">
        <f>Tabla15[[#This Row],[Importe]]-Tabla15[[#This Row],[Pagado]]</f>
        <v>0</v>
      </c>
      <c r="H1892" s="92" t="s">
        <v>10</v>
      </c>
    </row>
    <row r="1893" spans="1:8" ht="21.75" customHeight="1" x14ac:dyDescent="0.25">
      <c r="A1893" s="35">
        <v>44669</v>
      </c>
      <c r="B1893" s="90" t="s">
        <v>12544</v>
      </c>
      <c r="C1893" s="41" t="s">
        <v>179</v>
      </c>
      <c r="D1893" s="87">
        <v>1644.5</v>
      </c>
      <c r="E1893" s="35">
        <v>44670</v>
      </c>
      <c r="F1893" s="87">
        <v>1644.5</v>
      </c>
      <c r="G1893" s="91">
        <f>Tabla15[[#This Row],[Importe]]-Tabla15[[#This Row],[Pagado]]</f>
        <v>0</v>
      </c>
      <c r="H1893" s="92" t="s">
        <v>10</v>
      </c>
    </row>
    <row r="1894" spans="1:8" ht="21.75" customHeight="1" x14ac:dyDescent="0.25">
      <c r="A1894" s="35">
        <v>44670</v>
      </c>
      <c r="B1894" s="90" t="s">
        <v>12545</v>
      </c>
      <c r="C1894" s="41" t="s">
        <v>481</v>
      </c>
      <c r="D1894" s="87">
        <v>493.8</v>
      </c>
      <c r="E1894" s="35">
        <v>44670</v>
      </c>
      <c r="F1894" s="87">
        <v>493.8</v>
      </c>
      <c r="G1894" s="91">
        <f>Tabla15[[#This Row],[Importe]]-Tabla15[[#This Row],[Pagado]]</f>
        <v>0</v>
      </c>
      <c r="H1894" s="92" t="s">
        <v>10</v>
      </c>
    </row>
    <row r="1895" spans="1:8" ht="21.75" customHeight="1" x14ac:dyDescent="0.25">
      <c r="A1895" s="35">
        <v>44670</v>
      </c>
      <c r="B1895" s="90" t="s">
        <v>12546</v>
      </c>
      <c r="C1895" s="41" t="s">
        <v>475</v>
      </c>
      <c r="D1895" s="87">
        <v>24433</v>
      </c>
      <c r="E1895" s="35">
        <v>44672</v>
      </c>
      <c r="F1895" s="87">
        <v>24433</v>
      </c>
      <c r="G1895" s="91">
        <f>Tabla15[[#This Row],[Importe]]-Tabla15[[#This Row],[Pagado]]</f>
        <v>0</v>
      </c>
      <c r="H1895" s="92" t="s">
        <v>10</v>
      </c>
    </row>
    <row r="1896" spans="1:8" ht="21.75" customHeight="1" x14ac:dyDescent="0.25">
      <c r="A1896" s="35">
        <v>44670</v>
      </c>
      <c r="B1896" s="90" t="s">
        <v>12547</v>
      </c>
      <c r="C1896" s="41" t="s">
        <v>31</v>
      </c>
      <c r="D1896" s="87">
        <v>2622</v>
      </c>
      <c r="E1896" s="35">
        <v>44670</v>
      </c>
      <c r="F1896" s="87">
        <v>2622</v>
      </c>
      <c r="G1896" s="91">
        <f>Tabla15[[#This Row],[Importe]]-Tabla15[[#This Row],[Pagado]]</f>
        <v>0</v>
      </c>
      <c r="H1896" s="92" t="s">
        <v>10</v>
      </c>
    </row>
    <row r="1897" spans="1:8" ht="21.75" customHeight="1" x14ac:dyDescent="0.25">
      <c r="A1897" s="35">
        <v>44670</v>
      </c>
      <c r="B1897" s="90" t="s">
        <v>12548</v>
      </c>
      <c r="C1897" s="41" t="s">
        <v>9</v>
      </c>
      <c r="D1897" s="87">
        <v>5477.9</v>
      </c>
      <c r="E1897" s="35">
        <v>44670</v>
      </c>
      <c r="F1897" s="87">
        <v>5477.9</v>
      </c>
      <c r="G1897" s="91">
        <f>Tabla15[[#This Row],[Importe]]-Tabla15[[#This Row],[Pagado]]</f>
        <v>0</v>
      </c>
      <c r="H1897" s="92" t="s">
        <v>10</v>
      </c>
    </row>
    <row r="1898" spans="1:8" ht="21.75" customHeight="1" x14ac:dyDescent="0.25">
      <c r="A1898" s="35">
        <v>44670</v>
      </c>
      <c r="B1898" s="90" t="s">
        <v>12549</v>
      </c>
      <c r="C1898" s="41" t="s">
        <v>95</v>
      </c>
      <c r="D1898" s="87">
        <v>16760.8</v>
      </c>
      <c r="E1898" s="35">
        <v>44670</v>
      </c>
      <c r="F1898" s="87">
        <v>16760.8</v>
      </c>
      <c r="G1898" s="91">
        <f>Tabla15[[#This Row],[Importe]]-Tabla15[[#This Row],[Pagado]]</f>
        <v>0</v>
      </c>
      <c r="H1898" s="92" t="s">
        <v>10</v>
      </c>
    </row>
    <row r="1899" spans="1:8" ht="21.75" customHeight="1" x14ac:dyDescent="0.25">
      <c r="A1899" s="35">
        <v>44670</v>
      </c>
      <c r="B1899" s="90" t="s">
        <v>12550</v>
      </c>
      <c r="C1899" s="41" t="s">
        <v>16</v>
      </c>
      <c r="D1899" s="87">
        <v>6534.8</v>
      </c>
      <c r="E1899" s="35">
        <v>44670</v>
      </c>
      <c r="F1899" s="87">
        <v>6534.8</v>
      </c>
      <c r="G1899" s="91">
        <f>Tabla15[[#This Row],[Importe]]-Tabla15[[#This Row],[Pagado]]</f>
        <v>0</v>
      </c>
      <c r="H1899" s="92" t="s">
        <v>10</v>
      </c>
    </row>
    <row r="1900" spans="1:8" ht="21.75" customHeight="1" x14ac:dyDescent="0.25">
      <c r="A1900" s="35">
        <v>44670</v>
      </c>
      <c r="B1900" s="90" t="s">
        <v>12551</v>
      </c>
      <c r="C1900" s="41" t="s">
        <v>12</v>
      </c>
      <c r="D1900" s="87">
        <v>36848.949999999997</v>
      </c>
      <c r="E1900" s="35">
        <v>44670</v>
      </c>
      <c r="F1900" s="87">
        <v>36848.949999999997</v>
      </c>
      <c r="G1900" s="91">
        <f>Tabla15[[#This Row],[Importe]]-Tabla15[[#This Row],[Pagado]]</f>
        <v>0</v>
      </c>
      <c r="H1900" s="92" t="s">
        <v>10</v>
      </c>
    </row>
    <row r="1901" spans="1:8" ht="21.75" customHeight="1" x14ac:dyDescent="0.25">
      <c r="A1901" s="35">
        <v>44670</v>
      </c>
      <c r="B1901" s="90" t="s">
        <v>12552</v>
      </c>
      <c r="C1901" s="41" t="s">
        <v>9</v>
      </c>
      <c r="D1901" s="87">
        <v>226.2</v>
      </c>
      <c r="E1901" s="35">
        <v>44670</v>
      </c>
      <c r="F1901" s="87">
        <v>226.2</v>
      </c>
      <c r="G1901" s="91">
        <f>Tabla15[[#This Row],[Importe]]-Tabla15[[#This Row],[Pagado]]</f>
        <v>0</v>
      </c>
      <c r="H1901" s="92" t="s">
        <v>10</v>
      </c>
    </row>
    <row r="1902" spans="1:8" ht="21.75" customHeight="1" x14ac:dyDescent="0.25">
      <c r="A1902" s="35">
        <v>44670</v>
      </c>
      <c r="B1902" s="90" t="s">
        <v>12553</v>
      </c>
      <c r="C1902" s="41" t="s">
        <v>371</v>
      </c>
      <c r="D1902" s="87">
        <v>41370.6</v>
      </c>
      <c r="E1902" s="35">
        <v>44670</v>
      </c>
      <c r="F1902" s="87">
        <v>41370.6</v>
      </c>
      <c r="G1902" s="91">
        <f>Tabla15[[#This Row],[Importe]]-Tabla15[[#This Row],[Pagado]]</f>
        <v>0</v>
      </c>
      <c r="H1902" s="92" t="s">
        <v>10</v>
      </c>
    </row>
    <row r="1903" spans="1:8" ht="21.75" customHeight="1" x14ac:dyDescent="0.25">
      <c r="A1903" s="35">
        <v>44670</v>
      </c>
      <c r="B1903" s="90" t="s">
        <v>12554</v>
      </c>
      <c r="C1903" s="41" t="s">
        <v>934</v>
      </c>
      <c r="D1903" s="87">
        <v>4559.3999999999996</v>
      </c>
      <c r="E1903" s="35">
        <v>44670</v>
      </c>
      <c r="F1903" s="87">
        <v>4559.3999999999996</v>
      </c>
      <c r="G1903" s="91">
        <f>Tabla15[[#This Row],[Importe]]-Tabla15[[#This Row],[Pagado]]</f>
        <v>0</v>
      </c>
      <c r="H1903" s="92" t="s">
        <v>10</v>
      </c>
    </row>
    <row r="1904" spans="1:8" ht="21.75" customHeight="1" x14ac:dyDescent="0.25">
      <c r="A1904" s="35">
        <v>44670</v>
      </c>
      <c r="B1904" s="90" t="s">
        <v>12555</v>
      </c>
      <c r="C1904" s="41" t="s">
        <v>261</v>
      </c>
      <c r="D1904" s="87">
        <v>39577.199999999997</v>
      </c>
      <c r="E1904" s="35">
        <v>44670</v>
      </c>
      <c r="F1904" s="87">
        <v>39577.199999999997</v>
      </c>
      <c r="G1904" s="91">
        <f>Tabla15[[#This Row],[Importe]]-Tabla15[[#This Row],[Pagado]]</f>
        <v>0</v>
      </c>
      <c r="H1904" s="92" t="s">
        <v>10</v>
      </c>
    </row>
    <row r="1905" spans="1:8" ht="21.75" customHeight="1" x14ac:dyDescent="0.25">
      <c r="A1905" s="35">
        <v>44670</v>
      </c>
      <c r="B1905" s="90" t="s">
        <v>12556</v>
      </c>
      <c r="C1905" s="41" t="s">
        <v>326</v>
      </c>
      <c r="D1905" s="87">
        <v>6229.7</v>
      </c>
      <c r="E1905" s="35">
        <v>44673</v>
      </c>
      <c r="F1905" s="87">
        <v>6229.7</v>
      </c>
      <c r="G1905" s="91">
        <f>Tabla15[[#This Row],[Importe]]-Tabla15[[#This Row],[Pagado]]</f>
        <v>0</v>
      </c>
      <c r="H1905" s="92" t="s">
        <v>10</v>
      </c>
    </row>
    <row r="1906" spans="1:8" ht="21.75" customHeight="1" x14ac:dyDescent="0.25">
      <c r="A1906" s="35">
        <v>44670</v>
      </c>
      <c r="B1906" s="90" t="s">
        <v>12557</v>
      </c>
      <c r="C1906" s="41" t="s">
        <v>97</v>
      </c>
      <c r="D1906" s="87">
        <v>5502.1</v>
      </c>
      <c r="E1906" s="35">
        <v>44671</v>
      </c>
      <c r="F1906" s="87">
        <v>5502.1</v>
      </c>
      <c r="G1906" s="91">
        <f>Tabla15[[#This Row],[Importe]]-Tabla15[[#This Row],[Pagado]]</f>
        <v>0</v>
      </c>
      <c r="H1906" s="92" t="s">
        <v>10</v>
      </c>
    </row>
    <row r="1907" spans="1:8" ht="21.75" customHeight="1" x14ac:dyDescent="0.25">
      <c r="A1907" s="35">
        <v>44670</v>
      </c>
      <c r="B1907" s="90" t="s">
        <v>12558</v>
      </c>
      <c r="C1907" s="41" t="s">
        <v>60</v>
      </c>
      <c r="D1907" s="87">
        <v>4568.6000000000004</v>
      </c>
      <c r="E1907" s="35">
        <v>44676</v>
      </c>
      <c r="F1907" s="87">
        <v>4568.6000000000004</v>
      </c>
      <c r="G1907" s="91">
        <f>Tabla15[[#This Row],[Importe]]-Tabla15[[#This Row],[Pagado]]</f>
        <v>0</v>
      </c>
      <c r="H1907" s="92" t="s">
        <v>10</v>
      </c>
    </row>
    <row r="1908" spans="1:8" ht="21.75" customHeight="1" x14ac:dyDescent="0.25">
      <c r="A1908" s="35">
        <v>44670</v>
      </c>
      <c r="B1908" s="90" t="s">
        <v>12559</v>
      </c>
      <c r="C1908" s="41" t="s">
        <v>64</v>
      </c>
      <c r="D1908" s="87">
        <v>8400.5</v>
      </c>
      <c r="E1908" s="35">
        <v>44673</v>
      </c>
      <c r="F1908" s="87">
        <v>8400.5</v>
      </c>
      <c r="G1908" s="91">
        <f>Tabla15[[#This Row],[Importe]]-Tabla15[[#This Row],[Pagado]]</f>
        <v>0</v>
      </c>
      <c r="H1908" s="92" t="s">
        <v>10</v>
      </c>
    </row>
    <row r="1909" spans="1:8" ht="21.75" customHeight="1" x14ac:dyDescent="0.25">
      <c r="A1909" s="35">
        <v>44670</v>
      </c>
      <c r="B1909" s="90" t="s">
        <v>12560</v>
      </c>
      <c r="C1909" s="41" t="s">
        <v>109</v>
      </c>
      <c r="D1909" s="87">
        <v>4457.3999999999996</v>
      </c>
      <c r="E1909" s="35">
        <v>44671</v>
      </c>
      <c r="F1909" s="87">
        <v>4457.3999999999996</v>
      </c>
      <c r="G1909" s="91">
        <f>Tabla15[[#This Row],[Importe]]-Tabla15[[#This Row],[Pagado]]</f>
        <v>0</v>
      </c>
      <c r="H1909" s="92" t="s">
        <v>10</v>
      </c>
    </row>
    <row r="1910" spans="1:8" ht="21.75" customHeight="1" x14ac:dyDescent="0.25">
      <c r="A1910" s="35">
        <v>44670</v>
      </c>
      <c r="B1910" s="90" t="s">
        <v>12561</v>
      </c>
      <c r="C1910" s="41" t="s">
        <v>111</v>
      </c>
      <c r="D1910" s="87">
        <v>4896</v>
      </c>
      <c r="E1910" s="35">
        <v>44671</v>
      </c>
      <c r="F1910" s="87">
        <v>4896</v>
      </c>
      <c r="G1910" s="91">
        <f>Tabla15[[#This Row],[Importe]]-Tabla15[[#This Row],[Pagado]]</f>
        <v>0</v>
      </c>
      <c r="H1910" s="92" t="s">
        <v>10</v>
      </c>
    </row>
    <row r="1911" spans="1:8" ht="21.75" customHeight="1" x14ac:dyDescent="0.25">
      <c r="A1911" s="35">
        <v>44670</v>
      </c>
      <c r="B1911" s="90" t="s">
        <v>12562</v>
      </c>
      <c r="C1911" s="41" t="s">
        <v>2151</v>
      </c>
      <c r="D1911" s="87">
        <v>14206.4</v>
      </c>
      <c r="E1911" s="35">
        <v>44670</v>
      </c>
      <c r="F1911" s="87">
        <v>14206.4</v>
      </c>
      <c r="G1911" s="91">
        <f>Tabla15[[#This Row],[Importe]]-Tabla15[[#This Row],[Pagado]]</f>
        <v>0</v>
      </c>
      <c r="H1911" s="92" t="s">
        <v>10</v>
      </c>
    </row>
    <row r="1912" spans="1:8" ht="21.75" customHeight="1" x14ac:dyDescent="0.25">
      <c r="A1912" s="35">
        <v>44670</v>
      </c>
      <c r="B1912" s="90" t="s">
        <v>12563</v>
      </c>
      <c r="C1912" s="41" t="s">
        <v>348</v>
      </c>
      <c r="D1912" s="87">
        <v>1562.1</v>
      </c>
      <c r="E1912" s="35">
        <v>44670</v>
      </c>
      <c r="F1912" s="87">
        <v>1562.1</v>
      </c>
      <c r="G1912" s="91">
        <f>Tabla15[[#This Row],[Importe]]-Tabla15[[#This Row],[Pagado]]</f>
        <v>0</v>
      </c>
      <c r="H1912" s="92" t="s">
        <v>10</v>
      </c>
    </row>
    <row r="1913" spans="1:8" ht="21.75" customHeight="1" x14ac:dyDescent="0.25">
      <c r="A1913" s="35">
        <v>44670</v>
      </c>
      <c r="B1913" s="90" t="s">
        <v>12564</v>
      </c>
      <c r="C1913" s="41" t="s">
        <v>105</v>
      </c>
      <c r="D1913" s="87">
        <v>4431.8999999999996</v>
      </c>
      <c r="E1913" s="35">
        <v>44671</v>
      </c>
      <c r="F1913" s="87">
        <v>4431.8999999999996</v>
      </c>
      <c r="G1913" s="91">
        <f>Tabla15[[#This Row],[Importe]]-Tabla15[[#This Row],[Pagado]]</f>
        <v>0</v>
      </c>
      <c r="H1913" s="92" t="s">
        <v>10</v>
      </c>
    </row>
    <row r="1914" spans="1:8" ht="21.75" customHeight="1" x14ac:dyDescent="0.25">
      <c r="A1914" s="35">
        <v>44670</v>
      </c>
      <c r="B1914" s="90" t="s">
        <v>12565</v>
      </c>
      <c r="C1914" s="41" t="s">
        <v>114</v>
      </c>
      <c r="D1914" s="87">
        <v>9934.7999999999993</v>
      </c>
      <c r="E1914" s="35">
        <v>44672</v>
      </c>
      <c r="F1914" s="87">
        <v>9934.7999999999993</v>
      </c>
      <c r="G1914" s="91">
        <f>Tabla15[[#This Row],[Importe]]-Tabla15[[#This Row],[Pagado]]</f>
        <v>0</v>
      </c>
      <c r="H1914" s="92" t="s">
        <v>10</v>
      </c>
    </row>
    <row r="1915" spans="1:8" ht="21.75" customHeight="1" x14ac:dyDescent="0.25">
      <c r="A1915" s="35">
        <v>44670</v>
      </c>
      <c r="B1915" s="90" t="s">
        <v>12566</v>
      </c>
      <c r="C1915" s="41" t="s">
        <v>39</v>
      </c>
      <c r="D1915" s="87">
        <v>15690.7</v>
      </c>
      <c r="E1915" s="35">
        <v>44671</v>
      </c>
      <c r="F1915" s="87">
        <v>15690.7</v>
      </c>
      <c r="G1915" s="91">
        <f>Tabla15[[#This Row],[Importe]]-Tabla15[[#This Row],[Pagado]]</f>
        <v>0</v>
      </c>
      <c r="H1915" s="92" t="s">
        <v>10</v>
      </c>
    </row>
    <row r="1916" spans="1:8" ht="31.5" x14ac:dyDescent="0.25">
      <c r="A1916" s="35">
        <v>44670</v>
      </c>
      <c r="B1916" s="90" t="s">
        <v>12567</v>
      </c>
      <c r="C1916" s="41" t="s">
        <v>93</v>
      </c>
      <c r="D1916" s="87">
        <v>7306.3</v>
      </c>
      <c r="E1916" s="35" t="s">
        <v>12568</v>
      </c>
      <c r="F1916" s="87">
        <f>4000+3306.3</f>
        <v>7306.3</v>
      </c>
      <c r="G1916" s="91">
        <f>Tabla15[[#This Row],[Importe]]-Tabla15[[#This Row],[Pagado]]</f>
        <v>0</v>
      </c>
      <c r="H1916" s="92" t="s">
        <v>10</v>
      </c>
    </row>
    <row r="1917" spans="1:8" ht="21.75" customHeight="1" x14ac:dyDescent="0.25">
      <c r="A1917" s="35">
        <v>44670</v>
      </c>
      <c r="B1917" s="90" t="s">
        <v>12569</v>
      </c>
      <c r="C1917" s="41" t="s">
        <v>2961</v>
      </c>
      <c r="D1917" s="87">
        <v>54648</v>
      </c>
      <c r="E1917" s="35">
        <v>44673</v>
      </c>
      <c r="F1917" s="87">
        <v>54648</v>
      </c>
      <c r="G1917" s="91">
        <f>Tabla15[[#This Row],[Importe]]-Tabla15[[#This Row],[Pagado]]</f>
        <v>0</v>
      </c>
      <c r="H1917" s="92" t="s">
        <v>10</v>
      </c>
    </row>
    <row r="1918" spans="1:8" ht="21.75" customHeight="1" x14ac:dyDescent="0.25">
      <c r="A1918" s="35">
        <v>44670</v>
      </c>
      <c r="B1918" s="90" t="s">
        <v>12570</v>
      </c>
      <c r="C1918" s="41" t="s">
        <v>373</v>
      </c>
      <c r="D1918" s="87">
        <v>7462</v>
      </c>
      <c r="E1918" s="35">
        <v>44672</v>
      </c>
      <c r="F1918" s="87">
        <v>7462</v>
      </c>
      <c r="G1918" s="91">
        <f>Tabla15[[#This Row],[Importe]]-Tabla15[[#This Row],[Pagado]]</f>
        <v>0</v>
      </c>
      <c r="H1918" s="92" t="s">
        <v>10</v>
      </c>
    </row>
    <row r="1919" spans="1:8" ht="21.75" customHeight="1" x14ac:dyDescent="0.25">
      <c r="A1919" s="35">
        <v>44670</v>
      </c>
      <c r="B1919" s="90" t="s">
        <v>12571</v>
      </c>
      <c r="C1919" s="41" t="s">
        <v>466</v>
      </c>
      <c r="D1919" s="87">
        <v>5400</v>
      </c>
      <c r="E1919" s="35">
        <v>44670</v>
      </c>
      <c r="F1919" s="87">
        <v>5400</v>
      </c>
      <c r="G1919" s="91">
        <f>Tabla15[[#This Row],[Importe]]-Tabla15[[#This Row],[Pagado]]</f>
        <v>0</v>
      </c>
      <c r="H1919" s="92" t="s">
        <v>10</v>
      </c>
    </row>
    <row r="1920" spans="1:8" ht="21.75" customHeight="1" x14ac:dyDescent="0.25">
      <c r="A1920" s="35">
        <v>44670</v>
      </c>
      <c r="B1920" s="90" t="s">
        <v>12572</v>
      </c>
      <c r="C1920" s="41" t="s">
        <v>135</v>
      </c>
      <c r="D1920" s="87">
        <v>1960</v>
      </c>
      <c r="E1920" s="35">
        <v>44671</v>
      </c>
      <c r="F1920" s="87">
        <v>1960</v>
      </c>
      <c r="G1920" s="91">
        <f>Tabla15[[#This Row],[Importe]]-Tabla15[[#This Row],[Pagado]]</f>
        <v>0</v>
      </c>
      <c r="H1920" s="92" t="s">
        <v>10</v>
      </c>
    </row>
    <row r="1921" spans="1:8" ht="21.75" customHeight="1" x14ac:dyDescent="0.25">
      <c r="A1921" s="35">
        <v>44670</v>
      </c>
      <c r="B1921" s="90" t="s">
        <v>12573</v>
      </c>
      <c r="C1921" s="41" t="s">
        <v>24</v>
      </c>
      <c r="D1921" s="87">
        <v>4456.2</v>
      </c>
      <c r="E1921" s="35">
        <v>44670</v>
      </c>
      <c r="F1921" s="87">
        <v>4456.2</v>
      </c>
      <c r="G1921" s="91">
        <f>Tabla15[[#This Row],[Importe]]-Tabla15[[#This Row],[Pagado]]</f>
        <v>0</v>
      </c>
      <c r="H1921" s="92" t="s">
        <v>10</v>
      </c>
    </row>
    <row r="1922" spans="1:8" ht="21.75" customHeight="1" x14ac:dyDescent="0.25">
      <c r="A1922" s="35">
        <v>44670</v>
      </c>
      <c r="B1922" s="90" t="s">
        <v>12574</v>
      </c>
      <c r="C1922" s="41" t="s">
        <v>365</v>
      </c>
      <c r="D1922" s="87">
        <v>754</v>
      </c>
      <c r="E1922" s="35">
        <v>44670</v>
      </c>
      <c r="F1922" s="87">
        <v>754</v>
      </c>
      <c r="G1922" s="91">
        <f>Tabla15[[#This Row],[Importe]]-Tabla15[[#This Row],[Pagado]]</f>
        <v>0</v>
      </c>
      <c r="H1922" s="92" t="s">
        <v>10</v>
      </c>
    </row>
    <row r="1923" spans="1:8" ht="21.75" customHeight="1" x14ac:dyDescent="0.25">
      <c r="A1923" s="35">
        <v>44670</v>
      </c>
      <c r="B1923" s="90" t="s">
        <v>12575</v>
      </c>
      <c r="C1923" s="41" t="s">
        <v>22</v>
      </c>
      <c r="D1923" s="87">
        <v>28691.9</v>
      </c>
      <c r="E1923" s="35">
        <v>44671</v>
      </c>
      <c r="F1923" s="87">
        <v>28691.9</v>
      </c>
      <c r="G1923" s="91">
        <f>Tabla15[[#This Row],[Importe]]-Tabla15[[#This Row],[Pagado]]</f>
        <v>0</v>
      </c>
      <c r="H1923" s="92" t="s">
        <v>10</v>
      </c>
    </row>
    <row r="1924" spans="1:8" ht="21.75" customHeight="1" x14ac:dyDescent="0.25">
      <c r="A1924" s="35">
        <v>44670</v>
      </c>
      <c r="B1924" s="90" t="s">
        <v>12576</v>
      </c>
      <c r="C1924" s="41" t="s">
        <v>275</v>
      </c>
      <c r="D1924" s="87">
        <v>100335.32</v>
      </c>
      <c r="E1924" s="35">
        <v>44681</v>
      </c>
      <c r="F1924" s="87">
        <v>100335.32</v>
      </c>
      <c r="G1924" s="91">
        <f>Tabla15[[#This Row],[Importe]]-Tabla15[[#This Row],[Pagado]]</f>
        <v>0</v>
      </c>
      <c r="H1924" s="92" t="s">
        <v>10</v>
      </c>
    </row>
    <row r="1925" spans="1:8" ht="21.75" customHeight="1" x14ac:dyDescent="0.25">
      <c r="A1925" s="35">
        <v>44670</v>
      </c>
      <c r="B1925" s="90" t="s">
        <v>12577</v>
      </c>
      <c r="C1925" s="41" t="s">
        <v>357</v>
      </c>
      <c r="D1925" s="87">
        <v>980</v>
      </c>
      <c r="E1925" s="35">
        <v>44671</v>
      </c>
      <c r="F1925" s="87">
        <v>980</v>
      </c>
      <c r="G1925" s="91">
        <f>Tabla15[[#This Row],[Importe]]-Tabla15[[#This Row],[Pagado]]</f>
        <v>0</v>
      </c>
      <c r="H1925" s="92" t="s">
        <v>10</v>
      </c>
    </row>
    <row r="1926" spans="1:8" ht="21.75" customHeight="1" x14ac:dyDescent="0.25">
      <c r="A1926" s="35">
        <v>44670</v>
      </c>
      <c r="B1926" s="90" t="s">
        <v>12578</v>
      </c>
      <c r="C1926" s="41" t="s">
        <v>131</v>
      </c>
      <c r="D1926" s="87">
        <v>5983.2</v>
      </c>
      <c r="E1926" s="35">
        <v>44670</v>
      </c>
      <c r="F1926" s="87">
        <v>5983.2</v>
      </c>
      <c r="G1926" s="91">
        <f>Tabla15[[#This Row],[Importe]]-Tabla15[[#This Row],[Pagado]]</f>
        <v>0</v>
      </c>
      <c r="H1926" s="92" t="s">
        <v>10</v>
      </c>
    </row>
    <row r="1927" spans="1:8" ht="21.75" customHeight="1" x14ac:dyDescent="0.25">
      <c r="A1927" s="35">
        <v>44670</v>
      </c>
      <c r="B1927" s="90" t="s">
        <v>12579</v>
      </c>
      <c r="C1927" s="41" t="s">
        <v>140</v>
      </c>
      <c r="D1927" s="87">
        <v>1763.8</v>
      </c>
      <c r="E1927" s="35">
        <v>44671</v>
      </c>
      <c r="F1927" s="87">
        <v>1763.8</v>
      </c>
      <c r="G1927" s="91">
        <f>Tabla15[[#This Row],[Importe]]-Tabla15[[#This Row],[Pagado]]</f>
        <v>0</v>
      </c>
      <c r="H1927" s="92" t="s">
        <v>10</v>
      </c>
    </row>
    <row r="1928" spans="1:8" ht="21.75" customHeight="1" x14ac:dyDescent="0.25">
      <c r="A1928" s="35">
        <v>44670</v>
      </c>
      <c r="B1928" s="90" t="s">
        <v>12580</v>
      </c>
      <c r="C1928" s="41" t="s">
        <v>224</v>
      </c>
      <c r="D1928" s="87">
        <v>2208</v>
      </c>
      <c r="E1928" s="35">
        <v>44670</v>
      </c>
      <c r="F1928" s="87">
        <v>2208</v>
      </c>
      <c r="G1928" s="91">
        <f>Tabla15[[#This Row],[Importe]]-Tabla15[[#This Row],[Pagado]]</f>
        <v>0</v>
      </c>
      <c r="H1928" s="92" t="s">
        <v>10</v>
      </c>
    </row>
    <row r="1929" spans="1:8" ht="21.75" customHeight="1" x14ac:dyDescent="0.25">
      <c r="A1929" s="35">
        <v>44670</v>
      </c>
      <c r="B1929" s="90" t="s">
        <v>12581</v>
      </c>
      <c r="C1929" s="41" t="s">
        <v>146</v>
      </c>
      <c r="D1929" s="87">
        <v>3039.2</v>
      </c>
      <c r="E1929" s="35">
        <v>44671</v>
      </c>
      <c r="F1929" s="87">
        <v>3039.2</v>
      </c>
      <c r="G1929" s="91">
        <f>Tabla15[[#This Row],[Importe]]-Tabla15[[#This Row],[Pagado]]</f>
        <v>0</v>
      </c>
      <c r="H1929" s="92" t="s">
        <v>10</v>
      </c>
    </row>
    <row r="1930" spans="1:8" ht="21.75" customHeight="1" x14ac:dyDescent="0.25">
      <c r="A1930" s="35">
        <v>44670</v>
      </c>
      <c r="B1930" s="90" t="s">
        <v>12582</v>
      </c>
      <c r="C1930" s="41" t="s">
        <v>131</v>
      </c>
      <c r="D1930" s="87">
        <v>2419.1999999999998</v>
      </c>
      <c r="E1930" s="35">
        <v>44670</v>
      </c>
      <c r="F1930" s="87">
        <v>2419.1999999999998</v>
      </c>
      <c r="G1930" s="91">
        <f>Tabla15[[#This Row],[Importe]]-Tabla15[[#This Row],[Pagado]]</f>
        <v>0</v>
      </c>
      <c r="H1930" s="92" t="s">
        <v>10</v>
      </c>
    </row>
    <row r="1931" spans="1:8" ht="21.75" customHeight="1" x14ac:dyDescent="0.25">
      <c r="A1931" s="35">
        <v>44670</v>
      </c>
      <c r="B1931" s="90" t="s">
        <v>12583</v>
      </c>
      <c r="C1931" s="41" t="s">
        <v>56</v>
      </c>
      <c r="D1931" s="87">
        <v>6967.8</v>
      </c>
      <c r="E1931" s="35">
        <v>44670</v>
      </c>
      <c r="F1931" s="87">
        <v>6967.8</v>
      </c>
      <c r="G1931" s="91">
        <f>Tabla15[[#This Row],[Importe]]-Tabla15[[#This Row],[Pagado]]</f>
        <v>0</v>
      </c>
      <c r="H1931" s="92" t="s">
        <v>10</v>
      </c>
    </row>
    <row r="1932" spans="1:8" ht="21.75" customHeight="1" x14ac:dyDescent="0.25">
      <c r="A1932" s="35">
        <v>44670</v>
      </c>
      <c r="B1932" s="90" t="s">
        <v>12584</v>
      </c>
      <c r="C1932" s="41" t="s">
        <v>27</v>
      </c>
      <c r="D1932" s="87">
        <v>1475.8</v>
      </c>
      <c r="E1932" s="35">
        <v>44670</v>
      </c>
      <c r="F1932" s="87">
        <v>1475.8</v>
      </c>
      <c r="G1932" s="91">
        <f>Tabla15[[#This Row],[Importe]]-Tabla15[[#This Row],[Pagado]]</f>
        <v>0</v>
      </c>
      <c r="H1932" s="92" t="s">
        <v>10</v>
      </c>
    </row>
    <row r="1933" spans="1:8" ht="21.75" customHeight="1" x14ac:dyDescent="0.25">
      <c r="A1933" s="35">
        <v>44670</v>
      </c>
      <c r="B1933" s="90" t="s">
        <v>12585</v>
      </c>
      <c r="C1933" s="41" t="s">
        <v>339</v>
      </c>
      <c r="D1933" s="87">
        <v>3769.6</v>
      </c>
      <c r="E1933" s="35">
        <v>44671</v>
      </c>
      <c r="F1933" s="87">
        <v>3769.6</v>
      </c>
      <c r="G1933" s="91">
        <f>Tabla15[[#This Row],[Importe]]-Tabla15[[#This Row],[Pagado]]</f>
        <v>0</v>
      </c>
      <c r="H1933" s="92" t="s">
        <v>10</v>
      </c>
    </row>
    <row r="1934" spans="1:8" ht="21.75" customHeight="1" x14ac:dyDescent="0.25">
      <c r="A1934" s="35">
        <v>44670</v>
      </c>
      <c r="B1934" s="90" t="s">
        <v>12586</v>
      </c>
      <c r="C1934" s="41" t="s">
        <v>129</v>
      </c>
      <c r="D1934" s="87">
        <v>1664.6</v>
      </c>
      <c r="E1934" s="35">
        <v>44671</v>
      </c>
      <c r="F1934" s="87">
        <v>1664.6</v>
      </c>
      <c r="G1934" s="91">
        <f>Tabla15[[#This Row],[Importe]]-Tabla15[[#This Row],[Pagado]]</f>
        <v>0</v>
      </c>
      <c r="H1934" s="92" t="s">
        <v>10</v>
      </c>
    </row>
    <row r="1935" spans="1:8" ht="21.75" customHeight="1" x14ac:dyDescent="0.25">
      <c r="A1935" s="35">
        <v>44670</v>
      </c>
      <c r="B1935" s="90" t="s">
        <v>12587</v>
      </c>
      <c r="C1935" s="41" t="s">
        <v>226</v>
      </c>
      <c r="D1935" s="87">
        <v>23679.9</v>
      </c>
      <c r="E1935" s="35">
        <v>44670</v>
      </c>
      <c r="F1935" s="87">
        <v>23679.9</v>
      </c>
      <c r="G1935" s="91">
        <f>Tabla15[[#This Row],[Importe]]-Tabla15[[#This Row],[Pagado]]</f>
        <v>0</v>
      </c>
      <c r="H1935" s="92" t="s">
        <v>10</v>
      </c>
    </row>
    <row r="1936" spans="1:8" ht="21.75" customHeight="1" x14ac:dyDescent="0.25">
      <c r="A1936" s="35">
        <v>44670</v>
      </c>
      <c r="B1936" s="90" t="s">
        <v>12588</v>
      </c>
      <c r="C1936" s="41" t="s">
        <v>87</v>
      </c>
      <c r="D1936" s="87">
        <v>2125.5</v>
      </c>
      <c r="E1936" s="35">
        <v>44671</v>
      </c>
      <c r="F1936" s="87">
        <v>2125.5</v>
      </c>
      <c r="G1936" s="91">
        <f>Tabla15[[#This Row],[Importe]]-Tabla15[[#This Row],[Pagado]]</f>
        <v>0</v>
      </c>
      <c r="H1936" s="92" t="s">
        <v>10</v>
      </c>
    </row>
    <row r="1937" spans="1:8" ht="21.75" customHeight="1" x14ac:dyDescent="0.25">
      <c r="A1937" s="35">
        <v>44670</v>
      </c>
      <c r="B1937" s="90" t="s">
        <v>12589</v>
      </c>
      <c r="C1937" s="41" t="s">
        <v>314</v>
      </c>
      <c r="D1937" s="87">
        <v>1325.5</v>
      </c>
      <c r="E1937" s="35">
        <v>44671</v>
      </c>
      <c r="F1937" s="87">
        <v>1325.5</v>
      </c>
      <c r="G1937" s="91">
        <f>Tabla15[[#This Row],[Importe]]-Tabla15[[#This Row],[Pagado]]</f>
        <v>0</v>
      </c>
      <c r="H1937" s="92" t="s">
        <v>10</v>
      </c>
    </row>
    <row r="1938" spans="1:8" ht="21.75" customHeight="1" x14ac:dyDescent="0.25">
      <c r="A1938" s="35">
        <v>44670</v>
      </c>
      <c r="B1938" s="90" t="s">
        <v>12590</v>
      </c>
      <c r="C1938" s="41" t="s">
        <v>3691</v>
      </c>
      <c r="D1938" s="87">
        <v>0</v>
      </c>
      <c r="E1938" s="39" t="s">
        <v>189</v>
      </c>
      <c r="F1938" s="87">
        <v>0</v>
      </c>
      <c r="G1938" s="91">
        <f>Tabla15[[#This Row],[Importe]]-Tabla15[[#This Row],[Pagado]]</f>
        <v>0</v>
      </c>
      <c r="H1938" s="92" t="s">
        <v>189</v>
      </c>
    </row>
    <row r="1939" spans="1:8" ht="21.75" customHeight="1" x14ac:dyDescent="0.25">
      <c r="A1939" s="35">
        <v>44670</v>
      </c>
      <c r="B1939" s="90" t="s">
        <v>12591</v>
      </c>
      <c r="C1939" s="41" t="s">
        <v>127</v>
      </c>
      <c r="D1939" s="87">
        <v>4868.8</v>
      </c>
      <c r="E1939" s="35">
        <v>44671</v>
      </c>
      <c r="F1939" s="87">
        <v>4868.8</v>
      </c>
      <c r="G1939" s="91">
        <f>Tabla15[[#This Row],[Importe]]-Tabla15[[#This Row],[Pagado]]</f>
        <v>0</v>
      </c>
      <c r="H1939" s="92" t="s">
        <v>10</v>
      </c>
    </row>
    <row r="1940" spans="1:8" ht="21.75" customHeight="1" x14ac:dyDescent="0.25">
      <c r="A1940" s="35">
        <v>44670</v>
      </c>
      <c r="B1940" s="90" t="s">
        <v>12592</v>
      </c>
      <c r="C1940" s="41" t="s">
        <v>1239</v>
      </c>
      <c r="D1940" s="87">
        <v>13521.6</v>
      </c>
      <c r="E1940" s="35">
        <v>44670</v>
      </c>
      <c r="F1940" s="87">
        <v>13521.6</v>
      </c>
      <c r="G1940" s="91">
        <f>Tabla15[[#This Row],[Importe]]-Tabla15[[#This Row],[Pagado]]</f>
        <v>0</v>
      </c>
      <c r="H1940" s="92" t="s">
        <v>10</v>
      </c>
    </row>
    <row r="1941" spans="1:8" ht="21.75" customHeight="1" x14ac:dyDescent="0.25">
      <c r="A1941" s="35">
        <v>44670</v>
      </c>
      <c r="B1941" s="90" t="s">
        <v>12593</v>
      </c>
      <c r="C1941" s="41" t="s">
        <v>33</v>
      </c>
      <c r="D1941" s="87">
        <v>15051.7</v>
      </c>
      <c r="E1941" s="35">
        <v>44670</v>
      </c>
      <c r="F1941" s="87">
        <v>15051.7</v>
      </c>
      <c r="G1941" s="91">
        <f>Tabla15[[#This Row],[Importe]]-Tabla15[[#This Row],[Pagado]]</f>
        <v>0</v>
      </c>
      <c r="H1941" s="92" t="s">
        <v>10</v>
      </c>
    </row>
    <row r="1942" spans="1:8" ht="21.75" customHeight="1" x14ac:dyDescent="0.25">
      <c r="A1942" s="35">
        <v>44670</v>
      </c>
      <c r="B1942" s="90" t="s">
        <v>12594</v>
      </c>
      <c r="C1942" s="41" t="s">
        <v>45</v>
      </c>
      <c r="D1942" s="87">
        <v>12250.3</v>
      </c>
      <c r="E1942" s="35">
        <v>44670</v>
      </c>
      <c r="F1942" s="87">
        <v>12250.3</v>
      </c>
      <c r="G1942" s="91">
        <f>Tabla15[[#This Row],[Importe]]-Tabla15[[#This Row],[Pagado]]</f>
        <v>0</v>
      </c>
      <c r="H1942" s="92" t="s">
        <v>10</v>
      </c>
    </row>
    <row r="1943" spans="1:8" ht="21.75" customHeight="1" x14ac:dyDescent="0.25">
      <c r="A1943" s="35">
        <v>44670</v>
      </c>
      <c r="B1943" s="90" t="s">
        <v>12595</v>
      </c>
      <c r="C1943" s="41" t="s">
        <v>85</v>
      </c>
      <c r="D1943" s="87">
        <v>2712</v>
      </c>
      <c r="E1943" s="35">
        <v>44670</v>
      </c>
      <c r="F1943" s="87">
        <v>2712</v>
      </c>
      <c r="G1943" s="91">
        <f>Tabla15[[#This Row],[Importe]]-Tabla15[[#This Row],[Pagado]]</f>
        <v>0</v>
      </c>
      <c r="H1943" s="92" t="s">
        <v>10</v>
      </c>
    </row>
    <row r="1944" spans="1:8" ht="21.75" customHeight="1" x14ac:dyDescent="0.25">
      <c r="A1944" s="35">
        <v>44670</v>
      </c>
      <c r="B1944" s="90" t="s">
        <v>12596</v>
      </c>
      <c r="C1944" s="41" t="s">
        <v>1239</v>
      </c>
      <c r="D1944" s="87">
        <v>120.12</v>
      </c>
      <c r="E1944" s="35">
        <v>44670</v>
      </c>
      <c r="F1944" s="87">
        <v>120.12</v>
      </c>
      <c r="G1944" s="91">
        <f>Tabla15[[#This Row],[Importe]]-Tabla15[[#This Row],[Pagado]]</f>
        <v>0</v>
      </c>
      <c r="H1944" s="92" t="s">
        <v>10</v>
      </c>
    </row>
    <row r="1945" spans="1:8" ht="21.75" customHeight="1" x14ac:dyDescent="0.25">
      <c r="A1945" s="35">
        <v>44670</v>
      </c>
      <c r="B1945" s="90" t="s">
        <v>12597</v>
      </c>
      <c r="C1945" s="41" t="s">
        <v>918</v>
      </c>
      <c r="D1945" s="87">
        <v>5382.4</v>
      </c>
      <c r="E1945" s="35">
        <v>44670</v>
      </c>
      <c r="F1945" s="87">
        <v>5382.4</v>
      </c>
      <c r="G1945" s="91">
        <f>Tabla15[[#This Row],[Importe]]-Tabla15[[#This Row],[Pagado]]</f>
        <v>0</v>
      </c>
      <c r="H1945" s="92" t="s">
        <v>10</v>
      </c>
    </row>
    <row r="1946" spans="1:8" ht="21.75" customHeight="1" x14ac:dyDescent="0.25">
      <c r="A1946" s="35">
        <v>44670</v>
      </c>
      <c r="B1946" s="90" t="s">
        <v>12598</v>
      </c>
      <c r="C1946" s="41" t="s">
        <v>107</v>
      </c>
      <c r="D1946" s="87">
        <v>14106.5</v>
      </c>
      <c r="E1946" s="35">
        <v>44671</v>
      </c>
      <c r="F1946" s="87">
        <v>14106.5</v>
      </c>
      <c r="G1946" s="91">
        <f>Tabla15[[#This Row],[Importe]]-Tabla15[[#This Row],[Pagado]]</f>
        <v>0</v>
      </c>
      <c r="H1946" s="92" t="s">
        <v>10</v>
      </c>
    </row>
    <row r="1947" spans="1:8" ht="21.75" customHeight="1" x14ac:dyDescent="0.25">
      <c r="A1947" s="35">
        <v>44670</v>
      </c>
      <c r="B1947" s="90" t="s">
        <v>12599</v>
      </c>
      <c r="C1947" s="41" t="s">
        <v>373</v>
      </c>
      <c r="D1947" s="87">
        <v>1549.8</v>
      </c>
      <c r="E1947" s="35">
        <v>44670</v>
      </c>
      <c r="F1947" s="87">
        <v>1549.8</v>
      </c>
      <c r="G1947" s="91">
        <f>Tabla15[[#This Row],[Importe]]-Tabla15[[#This Row],[Pagado]]</f>
        <v>0</v>
      </c>
      <c r="H1947" s="92" t="s">
        <v>10</v>
      </c>
    </row>
    <row r="1948" spans="1:8" ht="21.75" customHeight="1" x14ac:dyDescent="0.25">
      <c r="A1948" s="35">
        <v>44670</v>
      </c>
      <c r="B1948" s="90" t="s">
        <v>12600</v>
      </c>
      <c r="C1948" s="41" t="s">
        <v>664</v>
      </c>
      <c r="D1948" s="87">
        <v>3329.2</v>
      </c>
      <c r="E1948" s="35">
        <v>44671</v>
      </c>
      <c r="F1948" s="87">
        <v>3329.2</v>
      </c>
      <c r="G1948" s="91">
        <f>Tabla15[[#This Row],[Importe]]-Tabla15[[#This Row],[Pagado]]</f>
        <v>0</v>
      </c>
      <c r="H1948" s="92" t="s">
        <v>10</v>
      </c>
    </row>
    <row r="1949" spans="1:8" ht="21.75" customHeight="1" x14ac:dyDescent="0.25">
      <c r="A1949" s="35">
        <v>44670</v>
      </c>
      <c r="B1949" s="90" t="s">
        <v>12601</v>
      </c>
      <c r="C1949" s="41" t="s">
        <v>83</v>
      </c>
      <c r="D1949" s="87">
        <v>7420.4</v>
      </c>
      <c r="E1949" s="35">
        <v>44671</v>
      </c>
      <c r="F1949" s="87">
        <v>7420.4</v>
      </c>
      <c r="G1949" s="91">
        <f>Tabla15[[#This Row],[Importe]]-Tabla15[[#This Row],[Pagado]]</f>
        <v>0</v>
      </c>
      <c r="H1949" s="92" t="s">
        <v>10</v>
      </c>
    </row>
    <row r="1950" spans="1:8" ht="21.75" customHeight="1" x14ac:dyDescent="0.25">
      <c r="A1950" s="35">
        <v>44670</v>
      </c>
      <c r="B1950" s="90" t="s">
        <v>12602</v>
      </c>
      <c r="C1950" s="41" t="s">
        <v>142</v>
      </c>
      <c r="D1950" s="87">
        <v>126366.49</v>
      </c>
      <c r="E1950" s="35">
        <v>44706</v>
      </c>
      <c r="F1950" s="87">
        <v>126366.49</v>
      </c>
      <c r="G1950" s="91">
        <f>Tabla15[[#This Row],[Importe]]-Tabla15[[#This Row],[Pagado]]</f>
        <v>0</v>
      </c>
      <c r="H1950" s="92" t="s">
        <v>10</v>
      </c>
    </row>
    <row r="1951" spans="1:8" ht="21.75" customHeight="1" x14ac:dyDescent="0.25">
      <c r="A1951" s="35">
        <v>44670</v>
      </c>
      <c r="B1951" s="90" t="s">
        <v>12603</v>
      </c>
      <c r="C1951" s="41" t="s">
        <v>14</v>
      </c>
      <c r="D1951" s="87">
        <v>26800</v>
      </c>
      <c r="E1951" s="35">
        <v>44670</v>
      </c>
      <c r="F1951" s="87">
        <v>26800</v>
      </c>
      <c r="G1951" s="91">
        <f>Tabla15[[#This Row],[Importe]]-Tabla15[[#This Row],[Pagado]]</f>
        <v>0</v>
      </c>
      <c r="H1951" s="92" t="s">
        <v>10</v>
      </c>
    </row>
    <row r="1952" spans="1:8" ht="21.75" customHeight="1" x14ac:dyDescent="0.25">
      <c r="A1952" s="35">
        <v>44670</v>
      </c>
      <c r="B1952" s="90" t="s">
        <v>12604</v>
      </c>
      <c r="C1952" s="41" t="s">
        <v>12202</v>
      </c>
      <c r="D1952" s="87">
        <v>2800</v>
      </c>
      <c r="E1952" s="35">
        <v>44671</v>
      </c>
      <c r="F1952" s="87">
        <v>2800</v>
      </c>
      <c r="G1952" s="91">
        <f>Tabla15[[#This Row],[Importe]]-Tabla15[[#This Row],[Pagado]]</f>
        <v>0</v>
      </c>
      <c r="H1952" s="92" t="s">
        <v>10</v>
      </c>
    </row>
    <row r="1953" spans="1:8" ht="21.75" customHeight="1" x14ac:dyDescent="0.25">
      <c r="A1953" s="35">
        <v>44670</v>
      </c>
      <c r="B1953" s="90" t="s">
        <v>12605</v>
      </c>
      <c r="C1953" s="41" t="s">
        <v>14</v>
      </c>
      <c r="D1953" s="87">
        <v>1279.08</v>
      </c>
      <c r="E1953" s="35">
        <v>44670</v>
      </c>
      <c r="F1953" s="87">
        <v>1279.08</v>
      </c>
      <c r="G1953" s="91">
        <f>Tabla15[[#This Row],[Importe]]-Tabla15[[#This Row],[Pagado]]</f>
        <v>0</v>
      </c>
      <c r="H1953" s="92" t="s">
        <v>10</v>
      </c>
    </row>
    <row r="1954" spans="1:8" ht="21.75" customHeight="1" x14ac:dyDescent="0.25">
      <c r="A1954" s="35">
        <v>44670</v>
      </c>
      <c r="B1954" s="90" t="s">
        <v>12606</v>
      </c>
      <c r="C1954" s="41" t="s">
        <v>562</v>
      </c>
      <c r="D1954" s="87">
        <v>2872.8</v>
      </c>
      <c r="E1954" s="35">
        <v>44670</v>
      </c>
      <c r="F1954" s="87">
        <v>2872.8</v>
      </c>
      <c r="G1954" s="91">
        <f>Tabla15[[#This Row],[Importe]]-Tabla15[[#This Row],[Pagado]]</f>
        <v>0</v>
      </c>
      <c r="H1954" s="92" t="s">
        <v>10</v>
      </c>
    </row>
    <row r="1955" spans="1:8" ht="21.75" customHeight="1" x14ac:dyDescent="0.25">
      <c r="A1955" s="35">
        <v>44670</v>
      </c>
      <c r="B1955" s="90" t="s">
        <v>12607</v>
      </c>
      <c r="C1955" s="41" t="s">
        <v>191</v>
      </c>
      <c r="D1955" s="87">
        <v>1920</v>
      </c>
      <c r="E1955" s="35">
        <v>44670</v>
      </c>
      <c r="F1955" s="87">
        <v>1920</v>
      </c>
      <c r="G1955" s="91">
        <f>Tabla15[[#This Row],[Importe]]-Tabla15[[#This Row],[Pagado]]</f>
        <v>0</v>
      </c>
      <c r="H1955" s="92" t="s">
        <v>10</v>
      </c>
    </row>
    <row r="1956" spans="1:8" ht="21.75" customHeight="1" x14ac:dyDescent="0.25">
      <c r="A1956" s="35">
        <v>44670</v>
      </c>
      <c r="B1956" s="90" t="s">
        <v>12608</v>
      </c>
      <c r="C1956" s="41" t="s">
        <v>12609</v>
      </c>
      <c r="D1956" s="87">
        <v>4741</v>
      </c>
      <c r="E1956" s="35">
        <v>44670</v>
      </c>
      <c r="F1956" s="87">
        <v>4741</v>
      </c>
      <c r="G1956" s="91">
        <f>Tabla15[[#This Row],[Importe]]-Tabla15[[#This Row],[Pagado]]</f>
        <v>0</v>
      </c>
      <c r="H1956" s="92" t="s">
        <v>10</v>
      </c>
    </row>
    <row r="1957" spans="1:8" ht="21.75" customHeight="1" x14ac:dyDescent="0.25">
      <c r="A1957" s="35">
        <v>44670</v>
      </c>
      <c r="B1957" s="90" t="s">
        <v>12610</v>
      </c>
      <c r="C1957" s="41" t="s">
        <v>49</v>
      </c>
      <c r="D1957" s="87">
        <v>2927.4</v>
      </c>
      <c r="E1957" s="35">
        <v>44670</v>
      </c>
      <c r="F1957" s="87">
        <v>2927.4</v>
      </c>
      <c r="G1957" s="91">
        <f>Tabla15[[#This Row],[Importe]]-Tabla15[[#This Row],[Pagado]]</f>
        <v>0</v>
      </c>
      <c r="H1957" s="92" t="s">
        <v>10</v>
      </c>
    </row>
    <row r="1958" spans="1:8" ht="21.75" customHeight="1" x14ac:dyDescent="0.25">
      <c r="A1958" s="35">
        <v>44670</v>
      </c>
      <c r="B1958" s="90" t="s">
        <v>12611</v>
      </c>
      <c r="C1958" s="41" t="s">
        <v>214</v>
      </c>
      <c r="D1958" s="87">
        <v>1171.5</v>
      </c>
      <c r="E1958" s="35">
        <v>44670</v>
      </c>
      <c r="F1958" s="87">
        <v>1171.5</v>
      </c>
      <c r="G1958" s="91">
        <f>Tabla15[[#This Row],[Importe]]-Tabla15[[#This Row],[Pagado]]</f>
        <v>0</v>
      </c>
      <c r="H1958" s="92" t="s">
        <v>10</v>
      </c>
    </row>
    <row r="1959" spans="1:8" ht="21.75" customHeight="1" x14ac:dyDescent="0.25">
      <c r="A1959" s="35">
        <v>44670</v>
      </c>
      <c r="B1959" s="90" t="s">
        <v>12612</v>
      </c>
      <c r="C1959" s="41" t="s">
        <v>31</v>
      </c>
      <c r="D1959" s="87">
        <v>17952</v>
      </c>
      <c r="E1959" s="35">
        <v>44670</v>
      </c>
      <c r="F1959" s="87">
        <v>17952</v>
      </c>
      <c r="G1959" s="91">
        <f>Tabla15[[#This Row],[Importe]]-Tabla15[[#This Row],[Pagado]]</f>
        <v>0</v>
      </c>
      <c r="H1959" s="92" t="s">
        <v>10</v>
      </c>
    </row>
    <row r="1960" spans="1:8" ht="21.75" customHeight="1" x14ac:dyDescent="0.25">
      <c r="A1960" s="35">
        <v>44670</v>
      </c>
      <c r="B1960" s="90" t="s">
        <v>12613</v>
      </c>
      <c r="C1960" s="41" t="s">
        <v>142</v>
      </c>
      <c r="D1960" s="87">
        <v>6102</v>
      </c>
      <c r="E1960" s="35">
        <v>44706</v>
      </c>
      <c r="F1960" s="87">
        <v>6102</v>
      </c>
      <c r="G1960" s="91">
        <f>Tabla15[[#This Row],[Importe]]-Tabla15[[#This Row],[Pagado]]</f>
        <v>0</v>
      </c>
      <c r="H1960" s="92" t="s">
        <v>10</v>
      </c>
    </row>
    <row r="1961" spans="1:8" ht="21.75" customHeight="1" x14ac:dyDescent="0.25">
      <c r="A1961" s="35">
        <v>44670</v>
      </c>
      <c r="B1961" s="90" t="s">
        <v>12614</v>
      </c>
      <c r="C1961" s="41" t="s">
        <v>230</v>
      </c>
      <c r="D1961" s="87">
        <v>4273.2</v>
      </c>
      <c r="E1961" s="35">
        <v>44670</v>
      </c>
      <c r="F1961" s="87">
        <v>4273.2</v>
      </c>
      <c r="G1961" s="91">
        <f>Tabla15[[#This Row],[Importe]]-Tabla15[[#This Row],[Pagado]]</f>
        <v>0</v>
      </c>
      <c r="H1961" s="92" t="s">
        <v>10</v>
      </c>
    </row>
    <row r="1962" spans="1:8" ht="21.75" customHeight="1" x14ac:dyDescent="0.25">
      <c r="A1962" s="35">
        <v>44670</v>
      </c>
      <c r="B1962" s="90" t="s">
        <v>12615</v>
      </c>
      <c r="C1962" s="41" t="s">
        <v>233</v>
      </c>
      <c r="D1962" s="87">
        <v>3971</v>
      </c>
      <c r="E1962" s="35">
        <v>44670</v>
      </c>
      <c r="F1962" s="87">
        <v>3971</v>
      </c>
      <c r="G1962" s="91">
        <f>Tabla15[[#This Row],[Importe]]-Tabla15[[#This Row],[Pagado]]</f>
        <v>0</v>
      </c>
      <c r="H1962" s="92" t="s">
        <v>10</v>
      </c>
    </row>
    <row r="1963" spans="1:8" ht="21.75" customHeight="1" x14ac:dyDescent="0.25">
      <c r="A1963" s="35">
        <v>44670</v>
      </c>
      <c r="B1963" s="90" t="s">
        <v>12616</v>
      </c>
      <c r="C1963" s="41" t="s">
        <v>1265</v>
      </c>
      <c r="D1963" s="87">
        <v>563.20000000000005</v>
      </c>
      <c r="E1963" s="35">
        <v>44670</v>
      </c>
      <c r="F1963" s="87">
        <v>563.20000000000005</v>
      </c>
      <c r="G1963" s="91">
        <f>Tabla15[[#This Row],[Importe]]-Tabla15[[#This Row],[Pagado]]</f>
        <v>0</v>
      </c>
      <c r="H1963" s="92" t="s">
        <v>10</v>
      </c>
    </row>
    <row r="1964" spans="1:8" ht="21.75" customHeight="1" x14ac:dyDescent="0.25">
      <c r="A1964" s="35">
        <v>44670</v>
      </c>
      <c r="B1964" s="90" t="s">
        <v>12617</v>
      </c>
      <c r="C1964" s="41" t="s">
        <v>53</v>
      </c>
      <c r="D1964" s="87">
        <v>907.2</v>
      </c>
      <c r="E1964" s="35">
        <v>44670</v>
      </c>
      <c r="F1964" s="87">
        <v>907.2</v>
      </c>
      <c r="G1964" s="91">
        <f>Tabla15[[#This Row],[Importe]]-Tabla15[[#This Row],[Pagado]]</f>
        <v>0</v>
      </c>
      <c r="H1964" s="92" t="s">
        <v>10</v>
      </c>
    </row>
    <row r="1965" spans="1:8" ht="21.75" customHeight="1" x14ac:dyDescent="0.25">
      <c r="A1965" s="35">
        <v>44670</v>
      </c>
      <c r="B1965" s="90" t="s">
        <v>12618</v>
      </c>
      <c r="C1965" s="41" t="s">
        <v>466</v>
      </c>
      <c r="D1965" s="87">
        <v>329.4</v>
      </c>
      <c r="E1965" s="35">
        <v>44670</v>
      </c>
      <c r="F1965" s="87">
        <v>329.4</v>
      </c>
      <c r="G1965" s="91">
        <f>Tabla15[[#This Row],[Importe]]-Tabla15[[#This Row],[Pagado]]</f>
        <v>0</v>
      </c>
      <c r="H1965" s="92" t="s">
        <v>10</v>
      </c>
    </row>
    <row r="1966" spans="1:8" ht="21.75" customHeight="1" x14ac:dyDescent="0.25">
      <c r="A1966" s="35">
        <v>44670</v>
      </c>
      <c r="B1966" s="90" t="s">
        <v>12619</v>
      </c>
      <c r="C1966" s="41" t="s">
        <v>670</v>
      </c>
      <c r="D1966" s="87">
        <v>4317.8</v>
      </c>
      <c r="E1966" s="35">
        <v>44670</v>
      </c>
      <c r="F1966" s="87">
        <v>4317.8</v>
      </c>
      <c r="G1966" s="91">
        <f>Tabla15[[#This Row],[Importe]]-Tabla15[[#This Row],[Pagado]]</f>
        <v>0</v>
      </c>
      <c r="H1966" s="92" t="s">
        <v>10</v>
      </c>
    </row>
    <row r="1967" spans="1:8" ht="21.75" customHeight="1" x14ac:dyDescent="0.25">
      <c r="A1967" s="35">
        <v>44670</v>
      </c>
      <c r="B1967" s="90" t="s">
        <v>12620</v>
      </c>
      <c r="C1967" s="41" t="s">
        <v>58</v>
      </c>
      <c r="D1967" s="87">
        <v>3357.5</v>
      </c>
      <c r="E1967" s="35">
        <v>44670</v>
      </c>
      <c r="F1967" s="87">
        <v>3357.5</v>
      </c>
      <c r="G1967" s="91">
        <f>Tabla15[[#This Row],[Importe]]-Tabla15[[#This Row],[Pagado]]</f>
        <v>0</v>
      </c>
      <c r="H1967" s="92" t="s">
        <v>10</v>
      </c>
    </row>
    <row r="1968" spans="1:8" ht="21.75" customHeight="1" x14ac:dyDescent="0.25">
      <c r="A1968" s="35">
        <v>44670</v>
      </c>
      <c r="B1968" s="90" t="s">
        <v>12621</v>
      </c>
      <c r="C1968" s="41" t="s">
        <v>1275</v>
      </c>
      <c r="D1968" s="87">
        <v>405</v>
      </c>
      <c r="E1968" s="35">
        <v>44670</v>
      </c>
      <c r="F1968" s="87">
        <v>405</v>
      </c>
      <c r="G1968" s="91">
        <f>Tabla15[[#This Row],[Importe]]-Tabla15[[#This Row],[Pagado]]</f>
        <v>0</v>
      </c>
      <c r="H1968" s="92" t="s">
        <v>10</v>
      </c>
    </row>
    <row r="1969" spans="1:8" ht="21.75" customHeight="1" x14ac:dyDescent="0.25">
      <c r="A1969" s="35">
        <v>44670</v>
      </c>
      <c r="B1969" s="90" t="s">
        <v>12622</v>
      </c>
      <c r="C1969" s="41" t="s">
        <v>698</v>
      </c>
      <c r="D1969" s="87">
        <v>5748.8</v>
      </c>
      <c r="E1969" s="35">
        <v>44670</v>
      </c>
      <c r="F1969" s="87">
        <v>5748.8</v>
      </c>
      <c r="G1969" s="91">
        <f>Tabla15[[#This Row],[Importe]]-Tabla15[[#This Row],[Pagado]]</f>
        <v>0</v>
      </c>
      <c r="H1969" s="92" t="s">
        <v>10</v>
      </c>
    </row>
    <row r="1970" spans="1:8" ht="21.75" customHeight="1" x14ac:dyDescent="0.25">
      <c r="A1970" s="35">
        <v>44670</v>
      </c>
      <c r="B1970" s="90" t="s">
        <v>12623</v>
      </c>
      <c r="C1970" s="41" t="s">
        <v>75</v>
      </c>
      <c r="D1970" s="87">
        <v>5412</v>
      </c>
      <c r="E1970" s="35">
        <v>44671</v>
      </c>
      <c r="F1970" s="87">
        <v>5412</v>
      </c>
      <c r="G1970" s="91">
        <f>Tabla15[[#This Row],[Importe]]-Tabla15[[#This Row],[Pagado]]</f>
        <v>0</v>
      </c>
      <c r="H1970" s="92" t="s">
        <v>10</v>
      </c>
    </row>
    <row r="1971" spans="1:8" ht="21.75" customHeight="1" x14ac:dyDescent="0.25">
      <c r="A1971" s="35">
        <v>44670</v>
      </c>
      <c r="B1971" s="90" t="s">
        <v>12624</v>
      </c>
      <c r="C1971" s="41" t="s">
        <v>454</v>
      </c>
      <c r="D1971" s="87">
        <v>586</v>
      </c>
      <c r="E1971" s="35">
        <v>44670</v>
      </c>
      <c r="F1971" s="87">
        <v>586</v>
      </c>
      <c r="G1971" s="91">
        <f>Tabla15[[#This Row],[Importe]]-Tabla15[[#This Row],[Pagado]]</f>
        <v>0</v>
      </c>
      <c r="H1971" s="92" t="s">
        <v>10</v>
      </c>
    </row>
    <row r="1972" spans="1:8" ht="21.75" customHeight="1" x14ac:dyDescent="0.25">
      <c r="A1972" s="35">
        <v>44670</v>
      </c>
      <c r="B1972" s="90" t="s">
        <v>12625</v>
      </c>
      <c r="C1972" s="41" t="s">
        <v>319</v>
      </c>
      <c r="D1972" s="87">
        <v>8890.9</v>
      </c>
      <c r="E1972" s="35">
        <v>44670</v>
      </c>
      <c r="F1972" s="87">
        <v>8890.9</v>
      </c>
      <c r="G1972" s="91">
        <f>Tabla15[[#This Row],[Importe]]-Tabla15[[#This Row],[Pagado]]</f>
        <v>0</v>
      </c>
      <c r="H1972" s="92" t="s">
        <v>10</v>
      </c>
    </row>
    <row r="1973" spans="1:8" ht="21.75" customHeight="1" x14ac:dyDescent="0.25">
      <c r="A1973" s="35">
        <v>44670</v>
      </c>
      <c r="B1973" s="90" t="s">
        <v>12626</v>
      </c>
      <c r="C1973" s="41" t="s">
        <v>31</v>
      </c>
      <c r="D1973" s="87">
        <v>1529</v>
      </c>
      <c r="E1973" s="35">
        <v>44670</v>
      </c>
      <c r="F1973" s="87">
        <v>1529</v>
      </c>
      <c r="G1973" s="91">
        <f>Tabla15[[#This Row],[Importe]]-Tabla15[[#This Row],[Pagado]]</f>
        <v>0</v>
      </c>
      <c r="H1973" s="92" t="s">
        <v>10</v>
      </c>
    </row>
    <row r="1974" spans="1:8" ht="21.75" customHeight="1" x14ac:dyDescent="0.25">
      <c r="A1974" s="35">
        <v>44670</v>
      </c>
      <c r="B1974" s="90" t="s">
        <v>12627</v>
      </c>
      <c r="C1974" s="41" t="s">
        <v>151</v>
      </c>
      <c r="D1974" s="87">
        <v>10348.4</v>
      </c>
      <c r="E1974" s="35">
        <v>44670</v>
      </c>
      <c r="F1974" s="87">
        <v>10348.4</v>
      </c>
      <c r="G1974" s="91">
        <f>Tabla15[[#This Row],[Importe]]-Tabla15[[#This Row],[Pagado]]</f>
        <v>0</v>
      </c>
      <c r="H1974" s="92" t="s">
        <v>10</v>
      </c>
    </row>
    <row r="1975" spans="1:8" ht="21.75" customHeight="1" x14ac:dyDescent="0.25">
      <c r="A1975" s="35">
        <v>44670</v>
      </c>
      <c r="B1975" s="90" t="s">
        <v>12628</v>
      </c>
      <c r="C1975" s="41" t="s">
        <v>426</v>
      </c>
      <c r="D1975" s="87">
        <v>6620.4</v>
      </c>
      <c r="E1975" s="35">
        <v>44671</v>
      </c>
      <c r="F1975" s="87">
        <v>6620.4</v>
      </c>
      <c r="G1975" s="91">
        <f>Tabla15[[#This Row],[Importe]]-Tabla15[[#This Row],[Pagado]]</f>
        <v>0</v>
      </c>
      <c r="H1975" s="92" t="s">
        <v>10</v>
      </c>
    </row>
    <row r="1976" spans="1:8" ht="21.75" customHeight="1" x14ac:dyDescent="0.25">
      <c r="A1976" s="35">
        <v>44670</v>
      </c>
      <c r="B1976" s="90" t="s">
        <v>12629</v>
      </c>
      <c r="C1976" s="41" t="s">
        <v>157</v>
      </c>
      <c r="D1976" s="87">
        <v>3696.5</v>
      </c>
      <c r="E1976" s="35">
        <v>44670</v>
      </c>
      <c r="F1976" s="87">
        <v>3696.5</v>
      </c>
      <c r="G1976" s="91">
        <f>Tabla15[[#This Row],[Importe]]-Tabla15[[#This Row],[Pagado]]</f>
        <v>0</v>
      </c>
      <c r="H1976" s="92" t="s">
        <v>10</v>
      </c>
    </row>
    <row r="1977" spans="1:8" ht="21.75" customHeight="1" x14ac:dyDescent="0.25">
      <c r="A1977" s="35">
        <v>44670</v>
      </c>
      <c r="B1977" s="90" t="s">
        <v>12630</v>
      </c>
      <c r="C1977" s="41" t="s">
        <v>79</v>
      </c>
      <c r="D1977" s="87">
        <v>10203.799999999999</v>
      </c>
      <c r="E1977" s="35">
        <v>44670</v>
      </c>
      <c r="F1977" s="87">
        <v>10203.799999999999</v>
      </c>
      <c r="G1977" s="91">
        <f>Tabla15[[#This Row],[Importe]]-Tabla15[[#This Row],[Pagado]]</f>
        <v>0</v>
      </c>
      <c r="H1977" s="92" t="s">
        <v>10</v>
      </c>
    </row>
    <row r="1978" spans="1:8" ht="21.75" customHeight="1" x14ac:dyDescent="0.25">
      <c r="A1978" s="35">
        <v>44670</v>
      </c>
      <c r="B1978" s="90" t="s">
        <v>12631</v>
      </c>
      <c r="C1978" s="41" t="s">
        <v>159</v>
      </c>
      <c r="D1978" s="87">
        <v>2086.9</v>
      </c>
      <c r="E1978" s="35">
        <v>44670</v>
      </c>
      <c r="F1978" s="87">
        <v>2086.9</v>
      </c>
      <c r="G1978" s="91">
        <f>Tabla15[[#This Row],[Importe]]-Tabla15[[#This Row],[Pagado]]</f>
        <v>0</v>
      </c>
      <c r="H1978" s="92" t="s">
        <v>10</v>
      </c>
    </row>
    <row r="1979" spans="1:8" ht="21.75" customHeight="1" x14ac:dyDescent="0.25">
      <c r="A1979" s="35">
        <v>44670</v>
      </c>
      <c r="B1979" s="90" t="s">
        <v>12632</v>
      </c>
      <c r="C1979" s="41" t="s">
        <v>5345</v>
      </c>
      <c r="D1979" s="87">
        <v>1710.5</v>
      </c>
      <c r="E1979" s="35">
        <v>44671</v>
      </c>
      <c r="F1979" s="87">
        <v>1710.5</v>
      </c>
      <c r="G1979" s="91">
        <f>Tabla15[[#This Row],[Importe]]-Tabla15[[#This Row],[Pagado]]</f>
        <v>0</v>
      </c>
      <c r="H1979" s="92" t="s">
        <v>10</v>
      </c>
    </row>
    <row r="1980" spans="1:8" ht="21.75" customHeight="1" x14ac:dyDescent="0.25">
      <c r="A1980" s="35">
        <v>44670</v>
      </c>
      <c r="B1980" s="90" t="s">
        <v>12633</v>
      </c>
      <c r="C1980" s="41" t="s">
        <v>280</v>
      </c>
      <c r="D1980" s="87">
        <v>550</v>
      </c>
      <c r="E1980" s="35">
        <v>44671</v>
      </c>
      <c r="F1980" s="87">
        <v>550</v>
      </c>
      <c r="G1980" s="91">
        <f>Tabla15[[#This Row],[Importe]]-Tabla15[[#This Row],[Pagado]]</f>
        <v>0</v>
      </c>
      <c r="H1980" s="92" t="s">
        <v>10</v>
      </c>
    </row>
    <row r="1981" spans="1:8" ht="21.75" customHeight="1" x14ac:dyDescent="0.25">
      <c r="A1981" s="35">
        <v>44670</v>
      </c>
      <c r="B1981" s="90" t="s">
        <v>12634</v>
      </c>
      <c r="C1981" s="41" t="s">
        <v>520</v>
      </c>
      <c r="D1981" s="87">
        <v>4142.3</v>
      </c>
      <c r="E1981" s="35">
        <v>44670</v>
      </c>
      <c r="F1981" s="87">
        <v>4142.3</v>
      </c>
      <c r="G1981" s="91">
        <f>Tabla15[[#This Row],[Importe]]-Tabla15[[#This Row],[Pagado]]</f>
        <v>0</v>
      </c>
      <c r="H1981" s="92" t="s">
        <v>10</v>
      </c>
    </row>
    <row r="1982" spans="1:8" ht="21.75" customHeight="1" x14ac:dyDescent="0.25">
      <c r="A1982" s="35">
        <v>44670</v>
      </c>
      <c r="B1982" s="90" t="s">
        <v>12635</v>
      </c>
      <c r="C1982" s="41" t="s">
        <v>282</v>
      </c>
      <c r="D1982" s="87">
        <v>2194.5</v>
      </c>
      <c r="E1982" s="35">
        <v>44671</v>
      </c>
      <c r="F1982" s="87">
        <v>2194.5</v>
      </c>
      <c r="G1982" s="91">
        <f>Tabla15[[#This Row],[Importe]]-Tabla15[[#This Row],[Pagado]]</f>
        <v>0</v>
      </c>
      <c r="H1982" s="92" t="s">
        <v>10</v>
      </c>
    </row>
    <row r="1983" spans="1:8" ht="21.75" customHeight="1" x14ac:dyDescent="0.25">
      <c r="A1983" s="35">
        <v>44670</v>
      </c>
      <c r="B1983" s="90" t="s">
        <v>12636</v>
      </c>
      <c r="C1983" s="41" t="s">
        <v>12637</v>
      </c>
      <c r="D1983" s="87">
        <v>0</v>
      </c>
      <c r="E1983" s="39" t="s">
        <v>189</v>
      </c>
      <c r="F1983" s="87">
        <v>0</v>
      </c>
      <c r="G1983" s="91">
        <f>Tabla15[[#This Row],[Importe]]-Tabla15[[#This Row],[Pagado]]</f>
        <v>0</v>
      </c>
      <c r="H1983" s="92" t="s">
        <v>189</v>
      </c>
    </row>
    <row r="1984" spans="1:8" ht="21.75" customHeight="1" x14ac:dyDescent="0.25">
      <c r="A1984" s="35">
        <v>44670</v>
      </c>
      <c r="B1984" s="90" t="s">
        <v>12638</v>
      </c>
      <c r="C1984" s="41" t="s">
        <v>9827</v>
      </c>
      <c r="D1984" s="87">
        <v>550</v>
      </c>
      <c r="E1984" s="35">
        <v>44670</v>
      </c>
      <c r="F1984" s="87">
        <v>550</v>
      </c>
      <c r="G1984" s="91">
        <f>Tabla15[[#This Row],[Importe]]-Tabla15[[#This Row],[Pagado]]</f>
        <v>0</v>
      </c>
      <c r="H1984" s="92" t="s">
        <v>10</v>
      </c>
    </row>
    <row r="1985" spans="1:8" ht="21.75" customHeight="1" x14ac:dyDescent="0.25">
      <c r="A1985" s="35">
        <v>44670</v>
      </c>
      <c r="B1985" s="90" t="s">
        <v>12639</v>
      </c>
      <c r="C1985" s="41" t="s">
        <v>380</v>
      </c>
      <c r="D1985" s="87">
        <v>22094.400000000001</v>
      </c>
      <c r="E1985" s="35">
        <v>44670</v>
      </c>
      <c r="F1985" s="87">
        <v>22094.400000000001</v>
      </c>
      <c r="G1985" s="91">
        <f>Tabla15[[#This Row],[Importe]]-Tabla15[[#This Row],[Pagado]]</f>
        <v>0</v>
      </c>
      <c r="H1985" s="92" t="s">
        <v>10</v>
      </c>
    </row>
    <row r="1986" spans="1:8" ht="21.75" customHeight="1" x14ac:dyDescent="0.25">
      <c r="A1986" s="35">
        <v>44670</v>
      </c>
      <c r="B1986" s="90" t="s">
        <v>12640</v>
      </c>
      <c r="C1986" s="41" t="s">
        <v>284</v>
      </c>
      <c r="D1986" s="87">
        <v>6545</v>
      </c>
      <c r="E1986" s="35">
        <v>44671</v>
      </c>
      <c r="F1986" s="87">
        <v>6545</v>
      </c>
      <c r="G1986" s="91">
        <f>Tabla15[[#This Row],[Importe]]-Tabla15[[#This Row],[Pagado]]</f>
        <v>0</v>
      </c>
      <c r="H1986" s="92" t="s">
        <v>10</v>
      </c>
    </row>
    <row r="1987" spans="1:8" ht="21.75" customHeight="1" x14ac:dyDescent="0.25">
      <c r="A1987" s="35">
        <v>44670</v>
      </c>
      <c r="B1987" s="90" t="s">
        <v>12641</v>
      </c>
      <c r="C1987" s="41" t="s">
        <v>67</v>
      </c>
      <c r="D1987" s="87">
        <v>1366.6</v>
      </c>
      <c r="E1987" s="35">
        <v>44670</v>
      </c>
      <c r="F1987" s="87">
        <v>1366.6</v>
      </c>
      <c r="G1987" s="91">
        <f>Tabla15[[#This Row],[Importe]]-Tabla15[[#This Row],[Pagado]]</f>
        <v>0</v>
      </c>
      <c r="H1987" s="92" t="s">
        <v>10</v>
      </c>
    </row>
    <row r="1988" spans="1:8" ht="21.75" customHeight="1" x14ac:dyDescent="0.25">
      <c r="A1988" s="35">
        <v>44670</v>
      </c>
      <c r="B1988" s="90" t="s">
        <v>12642</v>
      </c>
      <c r="C1988" s="41" t="s">
        <v>296</v>
      </c>
      <c r="D1988" s="87">
        <v>4383.3999999999996</v>
      </c>
      <c r="E1988" s="35">
        <v>44670</v>
      </c>
      <c r="F1988" s="87">
        <v>4383.3999999999996</v>
      </c>
      <c r="G1988" s="91">
        <f>Tabla15[[#This Row],[Importe]]-Tabla15[[#This Row],[Pagado]]</f>
        <v>0</v>
      </c>
      <c r="H1988" s="92" t="s">
        <v>10</v>
      </c>
    </row>
    <row r="1989" spans="1:8" ht="21.75" customHeight="1" x14ac:dyDescent="0.25">
      <c r="A1989" s="35">
        <v>44670</v>
      </c>
      <c r="B1989" s="90" t="s">
        <v>12643</v>
      </c>
      <c r="C1989" s="41" t="s">
        <v>2139</v>
      </c>
      <c r="D1989" s="87">
        <v>5564.4</v>
      </c>
      <c r="E1989" s="35">
        <v>44670</v>
      </c>
      <c r="F1989" s="87">
        <v>5564.4</v>
      </c>
      <c r="G1989" s="91">
        <f>Tabla15[[#This Row],[Importe]]-Tabla15[[#This Row],[Pagado]]</f>
        <v>0</v>
      </c>
      <c r="H1989" s="92" t="s">
        <v>10</v>
      </c>
    </row>
    <row r="1990" spans="1:8" ht="21.75" customHeight="1" x14ac:dyDescent="0.25">
      <c r="A1990" s="35">
        <v>44670</v>
      </c>
      <c r="B1990" s="90" t="s">
        <v>12644</v>
      </c>
      <c r="C1990" s="41" t="s">
        <v>426</v>
      </c>
      <c r="D1990" s="87">
        <v>2158.8000000000002</v>
      </c>
      <c r="E1990" s="35">
        <v>44670</v>
      </c>
      <c r="F1990" s="87">
        <v>2158.8000000000002</v>
      </c>
      <c r="G1990" s="91">
        <f>Tabla15[[#This Row],[Importe]]-Tabla15[[#This Row],[Pagado]]</f>
        <v>0</v>
      </c>
      <c r="H1990" s="92" t="s">
        <v>10</v>
      </c>
    </row>
    <row r="1991" spans="1:8" ht="21.75" customHeight="1" x14ac:dyDescent="0.25">
      <c r="A1991" s="35">
        <v>44670</v>
      </c>
      <c r="B1991" s="90" t="s">
        <v>12645</v>
      </c>
      <c r="C1991" s="41" t="s">
        <v>452</v>
      </c>
      <c r="D1991" s="87">
        <v>7588.8</v>
      </c>
      <c r="E1991" s="35">
        <v>44670</v>
      </c>
      <c r="F1991" s="87">
        <v>7588.8</v>
      </c>
      <c r="G1991" s="91">
        <f>Tabla15[[#This Row],[Importe]]-Tabla15[[#This Row],[Pagado]]</f>
        <v>0</v>
      </c>
      <c r="H1991" s="92" t="s">
        <v>10</v>
      </c>
    </row>
    <row r="1992" spans="1:8" ht="21.75" customHeight="1" x14ac:dyDescent="0.25">
      <c r="A1992" s="35">
        <v>44670</v>
      </c>
      <c r="B1992" s="90" t="s">
        <v>12646</v>
      </c>
      <c r="C1992" s="41" t="s">
        <v>47</v>
      </c>
      <c r="D1992" s="87">
        <v>54826.2</v>
      </c>
      <c r="E1992" s="35">
        <v>44670</v>
      </c>
      <c r="F1992" s="87">
        <v>54826.2</v>
      </c>
      <c r="G1992" s="91">
        <f>Tabla15[[#This Row],[Importe]]-Tabla15[[#This Row],[Pagado]]</f>
        <v>0</v>
      </c>
      <c r="H1992" s="92" t="s">
        <v>10</v>
      </c>
    </row>
    <row r="1993" spans="1:8" ht="21.75" customHeight="1" x14ac:dyDescent="0.25">
      <c r="A1993" s="35">
        <v>44670</v>
      </c>
      <c r="B1993" s="90" t="s">
        <v>12647</v>
      </c>
      <c r="C1993" s="41" t="s">
        <v>263</v>
      </c>
      <c r="D1993" s="87">
        <v>30771</v>
      </c>
      <c r="E1993" s="35">
        <v>44688</v>
      </c>
      <c r="F1993" s="87">
        <v>30771</v>
      </c>
      <c r="G1993" s="91">
        <f>Tabla15[[#This Row],[Importe]]-Tabla15[[#This Row],[Pagado]]</f>
        <v>0</v>
      </c>
      <c r="H1993" s="92" t="s">
        <v>10</v>
      </c>
    </row>
    <row r="1994" spans="1:8" ht="21.75" customHeight="1" x14ac:dyDescent="0.25">
      <c r="A1994" s="35">
        <v>44670</v>
      </c>
      <c r="B1994" s="90" t="s">
        <v>12648</v>
      </c>
      <c r="C1994" s="41" t="s">
        <v>31</v>
      </c>
      <c r="D1994" s="87">
        <v>1542.8</v>
      </c>
      <c r="E1994" s="35">
        <v>44670</v>
      </c>
      <c r="F1994" s="87">
        <v>1542.8</v>
      </c>
      <c r="G1994" s="91">
        <f>Tabla15[[#This Row],[Importe]]-Tabla15[[#This Row],[Pagado]]</f>
        <v>0</v>
      </c>
      <c r="H1994" s="92" t="s">
        <v>10</v>
      </c>
    </row>
    <row r="1995" spans="1:8" ht="21.75" customHeight="1" x14ac:dyDescent="0.25">
      <c r="A1995" s="35">
        <v>44670</v>
      </c>
      <c r="B1995" s="90" t="s">
        <v>12649</v>
      </c>
      <c r="C1995" s="41" t="s">
        <v>433</v>
      </c>
      <c r="D1995" s="87">
        <v>27500</v>
      </c>
      <c r="E1995" s="35">
        <v>44670</v>
      </c>
      <c r="F1995" s="87">
        <v>27500</v>
      </c>
      <c r="G1995" s="91">
        <f>Tabla15[[#This Row],[Importe]]-Tabla15[[#This Row],[Pagado]]</f>
        <v>0</v>
      </c>
      <c r="H1995" s="92" t="s">
        <v>10</v>
      </c>
    </row>
    <row r="1996" spans="1:8" ht="21.75" customHeight="1" x14ac:dyDescent="0.25">
      <c r="A1996" s="35">
        <v>44670</v>
      </c>
      <c r="B1996" s="90" t="s">
        <v>12650</v>
      </c>
      <c r="C1996" s="41" t="s">
        <v>421</v>
      </c>
      <c r="D1996" s="87">
        <v>9075.2000000000007</v>
      </c>
      <c r="E1996" s="35">
        <v>44670</v>
      </c>
      <c r="F1996" s="87">
        <v>9075.2000000000007</v>
      </c>
      <c r="G1996" s="91">
        <f>Tabla15[[#This Row],[Importe]]-Tabla15[[#This Row],[Pagado]]</f>
        <v>0</v>
      </c>
      <c r="H1996" s="92" t="s">
        <v>10</v>
      </c>
    </row>
    <row r="1997" spans="1:8" ht="21.75" customHeight="1" x14ac:dyDescent="0.25">
      <c r="A1997" s="35">
        <v>44670</v>
      </c>
      <c r="B1997" s="90" t="s">
        <v>12651</v>
      </c>
      <c r="C1997" s="41" t="s">
        <v>10840</v>
      </c>
      <c r="D1997" s="87">
        <v>22155.7</v>
      </c>
      <c r="E1997" s="35">
        <v>44676</v>
      </c>
      <c r="F1997" s="87">
        <v>22155.7</v>
      </c>
      <c r="G1997" s="91">
        <f>Tabla15[[#This Row],[Importe]]-Tabla15[[#This Row],[Pagado]]</f>
        <v>0</v>
      </c>
      <c r="H1997" s="92" t="s">
        <v>10</v>
      </c>
    </row>
    <row r="1998" spans="1:8" ht="21.75" customHeight="1" x14ac:dyDescent="0.25">
      <c r="A1998" s="35">
        <v>44670</v>
      </c>
      <c r="B1998" s="90" t="s">
        <v>12652</v>
      </c>
      <c r="C1998" s="41" t="s">
        <v>576</v>
      </c>
      <c r="D1998" s="87">
        <v>4608.8</v>
      </c>
      <c r="E1998" s="35">
        <v>44670</v>
      </c>
      <c r="F1998" s="87">
        <v>4608.8</v>
      </c>
      <c r="G1998" s="91">
        <f>Tabla15[[#This Row],[Importe]]-Tabla15[[#This Row],[Pagado]]</f>
        <v>0</v>
      </c>
      <c r="H1998" s="92" t="s">
        <v>10</v>
      </c>
    </row>
    <row r="1999" spans="1:8" ht="21.75" customHeight="1" x14ac:dyDescent="0.25">
      <c r="A1999" s="35">
        <v>44670</v>
      </c>
      <c r="B1999" s="90" t="s">
        <v>12653</v>
      </c>
      <c r="C1999" s="41" t="s">
        <v>1174</v>
      </c>
      <c r="D1999" s="87">
        <v>29641.200000000001</v>
      </c>
      <c r="E1999" s="35">
        <v>44670</v>
      </c>
      <c r="F1999" s="87">
        <v>29641.200000000001</v>
      </c>
      <c r="G1999" s="91">
        <f>Tabla15[[#This Row],[Importe]]-Tabla15[[#This Row],[Pagado]]</f>
        <v>0</v>
      </c>
      <c r="H1999" s="92" t="s">
        <v>10</v>
      </c>
    </row>
    <row r="2000" spans="1:8" ht="21.75" customHeight="1" x14ac:dyDescent="0.25">
      <c r="A2000" s="35">
        <v>44670</v>
      </c>
      <c r="B2000" s="90" t="s">
        <v>12654</v>
      </c>
      <c r="C2000" s="41" t="s">
        <v>22</v>
      </c>
      <c r="D2000" s="87">
        <v>4372.5</v>
      </c>
      <c r="E2000" s="35">
        <v>44671</v>
      </c>
      <c r="F2000" s="87">
        <v>4372.5</v>
      </c>
      <c r="G2000" s="91">
        <f>Tabla15[[#This Row],[Importe]]-Tabla15[[#This Row],[Pagado]]</f>
        <v>0</v>
      </c>
      <c r="H2000" s="92" t="s">
        <v>10</v>
      </c>
    </row>
    <row r="2001" spans="1:8" ht="21.75" customHeight="1" x14ac:dyDescent="0.25">
      <c r="A2001" s="35">
        <v>44670</v>
      </c>
      <c r="B2001" s="90" t="s">
        <v>12655</v>
      </c>
      <c r="C2001" s="41" t="s">
        <v>450</v>
      </c>
      <c r="D2001" s="87">
        <v>11775.6</v>
      </c>
      <c r="E2001" s="35">
        <v>44670</v>
      </c>
      <c r="F2001" s="87">
        <v>11775.6</v>
      </c>
      <c r="G2001" s="91">
        <f>Tabla15[[#This Row],[Importe]]-Tabla15[[#This Row],[Pagado]]</f>
        <v>0</v>
      </c>
      <c r="H2001" s="92" t="s">
        <v>10</v>
      </c>
    </row>
    <row r="2002" spans="1:8" ht="21.75" customHeight="1" x14ac:dyDescent="0.25">
      <c r="A2002" s="35">
        <v>44670</v>
      </c>
      <c r="B2002" s="90" t="s">
        <v>12656</v>
      </c>
      <c r="C2002" s="41" t="s">
        <v>291</v>
      </c>
      <c r="D2002" s="87">
        <v>4717</v>
      </c>
      <c r="E2002" s="35">
        <v>44671</v>
      </c>
      <c r="F2002" s="87">
        <v>4717</v>
      </c>
      <c r="G2002" s="91">
        <f>Tabla15[[#This Row],[Importe]]-Tabla15[[#This Row],[Pagado]]</f>
        <v>0</v>
      </c>
      <c r="H2002" s="92" t="s">
        <v>10</v>
      </c>
    </row>
    <row r="2003" spans="1:8" ht="21.75" customHeight="1" x14ac:dyDescent="0.25">
      <c r="A2003" s="35">
        <v>44670</v>
      </c>
      <c r="B2003" s="90" t="s">
        <v>12657</v>
      </c>
      <c r="C2003" s="41" t="s">
        <v>291</v>
      </c>
      <c r="D2003" s="87">
        <v>734</v>
      </c>
      <c r="E2003" s="35">
        <v>44671</v>
      </c>
      <c r="F2003" s="87">
        <v>734</v>
      </c>
      <c r="G2003" s="91">
        <f>Tabla15[[#This Row],[Importe]]-Tabla15[[#This Row],[Pagado]]</f>
        <v>0</v>
      </c>
      <c r="H2003" s="92" t="s">
        <v>10</v>
      </c>
    </row>
    <row r="2004" spans="1:8" ht="21.75" customHeight="1" x14ac:dyDescent="0.25">
      <c r="A2004" s="35">
        <v>44670</v>
      </c>
      <c r="B2004" s="90" t="s">
        <v>12658</v>
      </c>
      <c r="C2004" s="41" t="s">
        <v>179</v>
      </c>
      <c r="D2004" s="87">
        <v>1061.5</v>
      </c>
      <c r="E2004" s="35">
        <v>44671</v>
      </c>
      <c r="F2004" s="87">
        <v>1061.5</v>
      </c>
      <c r="G2004" s="91">
        <f>Tabla15[[#This Row],[Importe]]-Tabla15[[#This Row],[Pagado]]</f>
        <v>0</v>
      </c>
      <c r="H2004" s="92" t="s">
        <v>10</v>
      </c>
    </row>
    <row r="2005" spans="1:8" ht="21.75" customHeight="1" x14ac:dyDescent="0.25">
      <c r="A2005" s="35">
        <v>44670</v>
      </c>
      <c r="B2005" s="90" t="s">
        <v>12659</v>
      </c>
      <c r="C2005" s="41" t="s">
        <v>435</v>
      </c>
      <c r="D2005" s="87">
        <v>1486.8</v>
      </c>
      <c r="E2005" s="35">
        <v>44670</v>
      </c>
      <c r="F2005" s="87">
        <v>1486.8</v>
      </c>
      <c r="G2005" s="91">
        <f>Tabla15[[#This Row],[Importe]]-Tabla15[[#This Row],[Pagado]]</f>
        <v>0</v>
      </c>
      <c r="H2005" s="92" t="s">
        <v>10</v>
      </c>
    </row>
    <row r="2006" spans="1:8" ht="21.75" customHeight="1" x14ac:dyDescent="0.25">
      <c r="A2006" s="35">
        <v>44670</v>
      </c>
      <c r="B2006" s="90" t="s">
        <v>12660</v>
      </c>
      <c r="C2006" s="41" t="s">
        <v>142</v>
      </c>
      <c r="D2006" s="87">
        <v>4812</v>
      </c>
      <c r="E2006" s="35">
        <v>44706</v>
      </c>
      <c r="F2006" s="87">
        <v>4812</v>
      </c>
      <c r="G2006" s="91">
        <f>Tabla15[[#This Row],[Importe]]-Tabla15[[#This Row],[Pagado]]</f>
        <v>0</v>
      </c>
      <c r="H2006" s="92" t="s">
        <v>10</v>
      </c>
    </row>
    <row r="2007" spans="1:8" ht="21.75" customHeight="1" x14ac:dyDescent="0.25">
      <c r="A2007" s="35">
        <v>44670</v>
      </c>
      <c r="B2007" s="90" t="s">
        <v>12661</v>
      </c>
      <c r="C2007" s="41" t="s">
        <v>402</v>
      </c>
      <c r="D2007" s="87">
        <v>14861.3</v>
      </c>
      <c r="E2007" s="35">
        <v>44678</v>
      </c>
      <c r="F2007" s="87">
        <v>14861.3</v>
      </c>
      <c r="G2007" s="91">
        <f>Tabla15[[#This Row],[Importe]]-Tabla15[[#This Row],[Pagado]]</f>
        <v>0</v>
      </c>
      <c r="H2007" s="92" t="s">
        <v>10</v>
      </c>
    </row>
    <row r="2008" spans="1:8" ht="21.75" customHeight="1" x14ac:dyDescent="0.25">
      <c r="A2008" s="35">
        <v>44670</v>
      </c>
      <c r="B2008" s="90" t="s">
        <v>12662</v>
      </c>
      <c r="C2008" s="41" t="s">
        <v>286</v>
      </c>
      <c r="D2008" s="87">
        <v>27500</v>
      </c>
      <c r="E2008" s="35">
        <v>44672</v>
      </c>
      <c r="F2008" s="87">
        <v>27500</v>
      </c>
      <c r="G2008" s="91">
        <f>Tabla15[[#This Row],[Importe]]-Tabla15[[#This Row],[Pagado]]</f>
        <v>0</v>
      </c>
      <c r="H2008" s="92" t="s">
        <v>10</v>
      </c>
    </row>
    <row r="2009" spans="1:8" ht="21.75" customHeight="1" x14ac:dyDescent="0.25">
      <c r="A2009" s="35">
        <v>44670</v>
      </c>
      <c r="B2009" s="90" t="s">
        <v>12663</v>
      </c>
      <c r="C2009" s="41" t="s">
        <v>191</v>
      </c>
      <c r="D2009" s="87">
        <v>1190.5999999999999</v>
      </c>
      <c r="E2009" s="35">
        <v>44670</v>
      </c>
      <c r="F2009" s="87">
        <v>1190.5999999999999</v>
      </c>
      <c r="G2009" s="91">
        <f>Tabla15[[#This Row],[Importe]]-Tabla15[[#This Row],[Pagado]]</f>
        <v>0</v>
      </c>
      <c r="H2009" s="92" t="s">
        <v>10</v>
      </c>
    </row>
    <row r="2010" spans="1:8" ht="21.75" customHeight="1" x14ac:dyDescent="0.25">
      <c r="A2010" s="35">
        <v>44670</v>
      </c>
      <c r="B2010" s="90" t="s">
        <v>12664</v>
      </c>
      <c r="C2010" s="41" t="s">
        <v>196</v>
      </c>
      <c r="D2010" s="87">
        <v>19804.8</v>
      </c>
      <c r="E2010" s="35">
        <v>44673</v>
      </c>
      <c r="F2010" s="87">
        <v>19804.8</v>
      </c>
      <c r="G2010" s="91">
        <f>Tabla15[[#This Row],[Importe]]-Tabla15[[#This Row],[Pagado]]</f>
        <v>0</v>
      </c>
      <c r="H2010" s="92" t="s">
        <v>10</v>
      </c>
    </row>
    <row r="2011" spans="1:8" ht="21.75" customHeight="1" x14ac:dyDescent="0.25">
      <c r="A2011" s="35">
        <v>44670</v>
      </c>
      <c r="B2011" s="90" t="s">
        <v>12665</v>
      </c>
      <c r="C2011" s="41" t="s">
        <v>1706</v>
      </c>
      <c r="D2011" s="87">
        <v>7358.4</v>
      </c>
      <c r="E2011" s="35">
        <v>44670</v>
      </c>
      <c r="F2011" s="87">
        <v>7358.4</v>
      </c>
      <c r="G2011" s="91">
        <f>Tabla15[[#This Row],[Importe]]-Tabla15[[#This Row],[Pagado]]</f>
        <v>0</v>
      </c>
      <c r="H2011" s="92" t="s">
        <v>10</v>
      </c>
    </row>
    <row r="2012" spans="1:8" ht="21.75" customHeight="1" x14ac:dyDescent="0.25">
      <c r="A2012" s="35">
        <v>44670</v>
      </c>
      <c r="B2012" s="90" t="s">
        <v>12666</v>
      </c>
      <c r="C2012" s="41" t="s">
        <v>843</v>
      </c>
      <c r="D2012" s="87">
        <v>19636</v>
      </c>
      <c r="E2012" s="35">
        <v>44672</v>
      </c>
      <c r="F2012" s="87">
        <v>19636</v>
      </c>
      <c r="G2012" s="91">
        <f>Tabla15[[#This Row],[Importe]]-Tabla15[[#This Row],[Pagado]]</f>
        <v>0</v>
      </c>
      <c r="H2012" s="92" t="s">
        <v>10</v>
      </c>
    </row>
    <row r="2013" spans="1:8" ht="21.75" customHeight="1" x14ac:dyDescent="0.25">
      <c r="A2013" s="35">
        <v>44670</v>
      </c>
      <c r="B2013" s="90" t="s">
        <v>12667</v>
      </c>
      <c r="C2013" s="41" t="s">
        <v>448</v>
      </c>
      <c r="D2013" s="87">
        <v>19305</v>
      </c>
      <c r="E2013" s="35">
        <v>44671</v>
      </c>
      <c r="F2013" s="87">
        <v>19305</v>
      </c>
      <c r="G2013" s="91">
        <f>Tabla15[[#This Row],[Importe]]-Tabla15[[#This Row],[Pagado]]</f>
        <v>0</v>
      </c>
      <c r="H2013" s="92" t="s">
        <v>10</v>
      </c>
    </row>
    <row r="2014" spans="1:8" ht="21.75" customHeight="1" x14ac:dyDescent="0.25">
      <c r="A2014" s="35">
        <v>44670</v>
      </c>
      <c r="B2014" s="90" t="s">
        <v>12668</v>
      </c>
      <c r="C2014" s="41" t="s">
        <v>518</v>
      </c>
      <c r="D2014" s="87">
        <v>1050.5</v>
      </c>
      <c r="E2014" s="35">
        <v>44671</v>
      </c>
      <c r="F2014" s="87">
        <v>1050.5</v>
      </c>
      <c r="G2014" s="91">
        <f>Tabla15[[#This Row],[Importe]]-Tabla15[[#This Row],[Pagado]]</f>
        <v>0</v>
      </c>
      <c r="H2014" s="92" t="s">
        <v>10</v>
      </c>
    </row>
    <row r="2015" spans="1:8" ht="21.75" customHeight="1" x14ac:dyDescent="0.25">
      <c r="A2015" s="35">
        <v>44670</v>
      </c>
      <c r="B2015" s="90" t="s">
        <v>12669</v>
      </c>
      <c r="C2015" s="41" t="s">
        <v>296</v>
      </c>
      <c r="D2015" s="87">
        <v>1881.6</v>
      </c>
      <c r="E2015" s="35">
        <v>44670</v>
      </c>
      <c r="F2015" s="87">
        <v>1881.6</v>
      </c>
      <c r="G2015" s="91">
        <f>Tabla15[[#This Row],[Importe]]-Tabla15[[#This Row],[Pagado]]</f>
        <v>0</v>
      </c>
      <c r="H2015" s="92" t="s">
        <v>10</v>
      </c>
    </row>
    <row r="2016" spans="1:8" ht="21.75" customHeight="1" x14ac:dyDescent="0.25">
      <c r="A2016" s="35">
        <v>44670</v>
      </c>
      <c r="B2016" s="90" t="s">
        <v>12670</v>
      </c>
      <c r="C2016" s="41" t="s">
        <v>518</v>
      </c>
      <c r="D2016" s="87">
        <v>1446.5</v>
      </c>
      <c r="E2016" s="35">
        <v>44671</v>
      </c>
      <c r="F2016" s="87">
        <v>1446.5</v>
      </c>
      <c r="G2016" s="91">
        <f>Tabla15[[#This Row],[Importe]]-Tabla15[[#This Row],[Pagado]]</f>
        <v>0</v>
      </c>
      <c r="H2016" s="92" t="s">
        <v>10</v>
      </c>
    </row>
    <row r="2017" spans="1:8" ht="21.75" customHeight="1" x14ac:dyDescent="0.25">
      <c r="A2017" s="35">
        <v>44670</v>
      </c>
      <c r="B2017" s="90" t="s">
        <v>12671</v>
      </c>
      <c r="C2017" s="41" t="s">
        <v>31</v>
      </c>
      <c r="D2017" s="87">
        <v>5400</v>
      </c>
      <c r="E2017" s="35">
        <v>44670</v>
      </c>
      <c r="F2017" s="87">
        <v>5400</v>
      </c>
      <c r="G2017" s="91">
        <f>Tabla15[[#This Row],[Importe]]-Tabla15[[#This Row],[Pagado]]</f>
        <v>0</v>
      </c>
      <c r="H2017" s="92" t="s">
        <v>10</v>
      </c>
    </row>
    <row r="2018" spans="1:8" ht="21.75" customHeight="1" x14ac:dyDescent="0.25">
      <c r="A2018" s="35">
        <v>44670</v>
      </c>
      <c r="B2018" s="90" t="s">
        <v>12672</v>
      </c>
      <c r="C2018" s="41" t="s">
        <v>2139</v>
      </c>
      <c r="D2018" s="87">
        <v>3418.5</v>
      </c>
      <c r="E2018" s="35">
        <v>44670</v>
      </c>
      <c r="F2018" s="87">
        <v>3418.5</v>
      </c>
      <c r="G2018" s="91">
        <f>Tabla15[[#This Row],[Importe]]-Tabla15[[#This Row],[Pagado]]</f>
        <v>0</v>
      </c>
      <c r="H2018" s="92" t="s">
        <v>10</v>
      </c>
    </row>
    <row r="2019" spans="1:8" ht="21.75" customHeight="1" x14ac:dyDescent="0.25">
      <c r="A2019" s="35">
        <v>44670</v>
      </c>
      <c r="B2019" s="90" t="s">
        <v>12673</v>
      </c>
      <c r="C2019" s="41" t="s">
        <v>31</v>
      </c>
      <c r="D2019" s="87">
        <v>156.80000000000001</v>
      </c>
      <c r="E2019" s="35">
        <v>44670</v>
      </c>
      <c r="F2019" s="87">
        <v>156.80000000000001</v>
      </c>
      <c r="G2019" s="91">
        <f>Tabla15[[#This Row],[Importe]]-Tabla15[[#This Row],[Pagado]]</f>
        <v>0</v>
      </c>
      <c r="H2019" s="92" t="s">
        <v>10</v>
      </c>
    </row>
    <row r="2020" spans="1:8" ht="21.75" customHeight="1" x14ac:dyDescent="0.25">
      <c r="A2020" s="35">
        <v>44670</v>
      </c>
      <c r="B2020" s="90" t="s">
        <v>12674</v>
      </c>
      <c r="C2020" s="41" t="s">
        <v>31</v>
      </c>
      <c r="D2020" s="87">
        <v>940.8</v>
      </c>
      <c r="E2020" s="35">
        <v>44670</v>
      </c>
      <c r="F2020" s="87">
        <v>940.8</v>
      </c>
      <c r="G2020" s="91">
        <f>Tabla15[[#This Row],[Importe]]-Tabla15[[#This Row],[Pagado]]</f>
        <v>0</v>
      </c>
      <c r="H2020" s="92" t="s">
        <v>10</v>
      </c>
    </row>
    <row r="2021" spans="1:8" ht="21.75" customHeight="1" x14ac:dyDescent="0.25">
      <c r="A2021" s="35">
        <v>44670</v>
      </c>
      <c r="B2021" s="90" t="s">
        <v>12675</v>
      </c>
      <c r="C2021" s="41" t="s">
        <v>31</v>
      </c>
      <c r="D2021" s="87">
        <v>280.8</v>
      </c>
      <c r="E2021" s="35">
        <v>44670</v>
      </c>
      <c r="F2021" s="87">
        <v>280.8</v>
      </c>
      <c r="G2021" s="91">
        <f>Tabla15[[#This Row],[Importe]]-Tabla15[[#This Row],[Pagado]]</f>
        <v>0</v>
      </c>
      <c r="H2021" s="92" t="s">
        <v>10</v>
      </c>
    </row>
    <row r="2022" spans="1:8" ht="21.75" customHeight="1" x14ac:dyDescent="0.25">
      <c r="A2022" s="35">
        <v>44670</v>
      </c>
      <c r="B2022" s="90" t="s">
        <v>12676</v>
      </c>
      <c r="C2022" s="41" t="s">
        <v>440</v>
      </c>
      <c r="D2022" s="87">
        <v>15178.72</v>
      </c>
      <c r="E2022" s="35">
        <v>44697</v>
      </c>
      <c r="F2022" s="87">
        <v>15178.72</v>
      </c>
      <c r="G2022" s="91">
        <f>Tabla15[[#This Row],[Importe]]-Tabla15[[#This Row],[Pagado]]</f>
        <v>0</v>
      </c>
      <c r="H2022" s="92" t="s">
        <v>10</v>
      </c>
    </row>
    <row r="2023" spans="1:8" ht="21.75" customHeight="1" x14ac:dyDescent="0.25">
      <c r="A2023" s="35">
        <v>44670</v>
      </c>
      <c r="B2023" s="90" t="s">
        <v>12677</v>
      </c>
      <c r="C2023" s="41" t="s">
        <v>409</v>
      </c>
      <c r="D2023" s="87">
        <v>12198.6</v>
      </c>
      <c r="E2023" s="35">
        <v>44674</v>
      </c>
      <c r="F2023" s="87">
        <v>12198.6</v>
      </c>
      <c r="G2023" s="91">
        <f>Tabla15[[#This Row],[Importe]]-Tabla15[[#This Row],[Pagado]]</f>
        <v>0</v>
      </c>
      <c r="H2023" s="92" t="s">
        <v>10</v>
      </c>
    </row>
    <row r="2024" spans="1:8" ht="21.75" customHeight="1" x14ac:dyDescent="0.25">
      <c r="A2024" s="35">
        <v>44670</v>
      </c>
      <c r="B2024" s="90" t="s">
        <v>12678</v>
      </c>
      <c r="C2024" s="41" t="s">
        <v>605</v>
      </c>
      <c r="D2024" s="87">
        <v>36504</v>
      </c>
      <c r="E2024" s="35">
        <v>44671</v>
      </c>
      <c r="F2024" s="87">
        <v>36504</v>
      </c>
      <c r="G2024" s="91">
        <f>Tabla15[[#This Row],[Importe]]-Tabla15[[#This Row],[Pagado]]</f>
        <v>0</v>
      </c>
      <c r="H2024" s="92" t="s">
        <v>10</v>
      </c>
    </row>
    <row r="2025" spans="1:8" ht="21.75" customHeight="1" x14ac:dyDescent="0.25">
      <c r="A2025" s="35">
        <v>44670</v>
      </c>
      <c r="B2025" s="90" t="s">
        <v>12679</v>
      </c>
      <c r="C2025" s="41" t="s">
        <v>31</v>
      </c>
      <c r="D2025" s="87">
        <v>20.8</v>
      </c>
      <c r="E2025" s="35">
        <v>44671</v>
      </c>
      <c r="F2025" s="87">
        <v>20.8</v>
      </c>
      <c r="G2025" s="91">
        <f>Tabla15[[#This Row],[Importe]]-Tabla15[[#This Row],[Pagado]]</f>
        <v>0</v>
      </c>
      <c r="H2025" s="92" t="s">
        <v>10</v>
      </c>
    </row>
    <row r="2026" spans="1:8" ht="21.75" customHeight="1" x14ac:dyDescent="0.25">
      <c r="A2026" s="35">
        <v>44671</v>
      </c>
      <c r="B2026" s="90" t="s">
        <v>12680</v>
      </c>
      <c r="C2026" s="41" t="s">
        <v>326</v>
      </c>
      <c r="D2026" s="87">
        <v>5367.6</v>
      </c>
      <c r="E2026" s="35">
        <v>44671</v>
      </c>
      <c r="F2026" s="87">
        <v>5367.6</v>
      </c>
      <c r="G2026" s="91">
        <f>Tabla15[[#This Row],[Importe]]-Tabla15[[#This Row],[Pagado]]</f>
        <v>0</v>
      </c>
      <c r="H2026" s="92" t="s">
        <v>10</v>
      </c>
    </row>
    <row r="2027" spans="1:8" ht="31.5" x14ac:dyDescent="0.25">
      <c r="A2027" s="35">
        <v>44671</v>
      </c>
      <c r="B2027" s="90" t="s">
        <v>12681</v>
      </c>
      <c r="C2027" s="41" t="s">
        <v>475</v>
      </c>
      <c r="D2027" s="87">
        <v>75312</v>
      </c>
      <c r="E2027" s="35" t="s">
        <v>12682</v>
      </c>
      <c r="F2027" s="87">
        <f>70000+5312</f>
        <v>75312</v>
      </c>
      <c r="G2027" s="91">
        <f>Tabla15[[#This Row],[Importe]]-Tabla15[[#This Row],[Pagado]]</f>
        <v>0</v>
      </c>
      <c r="H2027" s="92" t="s">
        <v>10</v>
      </c>
    </row>
    <row r="2028" spans="1:8" ht="21.75" customHeight="1" x14ac:dyDescent="0.25">
      <c r="A2028" s="35">
        <v>44671</v>
      </c>
      <c r="B2028" s="90" t="s">
        <v>12683</v>
      </c>
      <c r="C2028" s="41" t="s">
        <v>481</v>
      </c>
      <c r="D2028" s="87">
        <v>1922.6</v>
      </c>
      <c r="E2028" s="35">
        <v>44671</v>
      </c>
      <c r="F2028" s="87">
        <v>1922.6</v>
      </c>
      <c r="G2028" s="91">
        <f>Tabla15[[#This Row],[Importe]]-Tabla15[[#This Row],[Pagado]]</f>
        <v>0</v>
      </c>
      <c r="H2028" s="92" t="s">
        <v>10</v>
      </c>
    </row>
    <row r="2029" spans="1:8" ht="21.75" customHeight="1" x14ac:dyDescent="0.25">
      <c r="A2029" s="35">
        <v>44671</v>
      </c>
      <c r="B2029" s="90" t="s">
        <v>12684</v>
      </c>
      <c r="C2029" s="41" t="s">
        <v>353</v>
      </c>
      <c r="D2029" s="87">
        <v>560.5</v>
      </c>
      <c r="E2029" s="35">
        <v>44671</v>
      </c>
      <c r="F2029" s="87">
        <v>560.5</v>
      </c>
      <c r="G2029" s="91">
        <f>Tabla15[[#This Row],[Importe]]-Tabla15[[#This Row],[Pagado]]</f>
        <v>0</v>
      </c>
      <c r="H2029" s="92" t="s">
        <v>10</v>
      </c>
    </row>
    <row r="2030" spans="1:8" ht="21.75" customHeight="1" x14ac:dyDescent="0.25">
      <c r="A2030" s="35">
        <v>44671</v>
      </c>
      <c r="B2030" s="90" t="s">
        <v>12685</v>
      </c>
      <c r="C2030" s="41" t="s">
        <v>85</v>
      </c>
      <c r="D2030" s="87">
        <v>1061.5</v>
      </c>
      <c r="E2030" s="35">
        <v>44671</v>
      </c>
      <c r="F2030" s="87">
        <v>1061.5</v>
      </c>
      <c r="G2030" s="91">
        <f>Tabla15[[#This Row],[Importe]]-Tabla15[[#This Row],[Pagado]]</f>
        <v>0</v>
      </c>
      <c r="H2030" s="92" t="s">
        <v>10</v>
      </c>
    </row>
    <row r="2031" spans="1:8" ht="21.75" customHeight="1" x14ac:dyDescent="0.25">
      <c r="A2031" s="35">
        <v>44671</v>
      </c>
      <c r="B2031" s="90" t="s">
        <v>12686</v>
      </c>
      <c r="C2031" s="41" t="s">
        <v>31</v>
      </c>
      <c r="D2031" s="87">
        <v>2316.6</v>
      </c>
      <c r="E2031" s="35">
        <v>44671</v>
      </c>
      <c r="F2031" s="87">
        <v>2316.6</v>
      </c>
      <c r="G2031" s="91">
        <f>Tabla15[[#This Row],[Importe]]-Tabla15[[#This Row],[Pagado]]</f>
        <v>0</v>
      </c>
      <c r="H2031" s="92" t="s">
        <v>10</v>
      </c>
    </row>
    <row r="2032" spans="1:8" ht="21.75" customHeight="1" x14ac:dyDescent="0.25">
      <c r="A2032" s="35">
        <v>44671</v>
      </c>
      <c r="B2032" s="90" t="s">
        <v>12687</v>
      </c>
      <c r="C2032" s="41" t="s">
        <v>12</v>
      </c>
      <c r="D2032" s="87">
        <v>39014.25</v>
      </c>
      <c r="E2032" s="35">
        <v>44671</v>
      </c>
      <c r="F2032" s="87">
        <v>39014.25</v>
      </c>
      <c r="G2032" s="91">
        <f>Tabla15[[#This Row],[Importe]]-Tabla15[[#This Row],[Pagado]]</f>
        <v>0</v>
      </c>
      <c r="H2032" s="92" t="s">
        <v>10</v>
      </c>
    </row>
    <row r="2033" spans="1:8" ht="21.75" customHeight="1" x14ac:dyDescent="0.25">
      <c r="A2033" s="35">
        <v>44671</v>
      </c>
      <c r="B2033" s="90" t="s">
        <v>12688</v>
      </c>
      <c r="C2033" s="41" t="s">
        <v>9</v>
      </c>
      <c r="D2033" s="87">
        <v>5854.3</v>
      </c>
      <c r="E2033" s="35">
        <v>44671</v>
      </c>
      <c r="F2033" s="87">
        <v>5854.3</v>
      </c>
      <c r="G2033" s="91">
        <f>Tabla15[[#This Row],[Importe]]-Tabla15[[#This Row],[Pagado]]</f>
        <v>0</v>
      </c>
      <c r="H2033" s="92" t="s">
        <v>10</v>
      </c>
    </row>
    <row r="2034" spans="1:8" ht="21.75" customHeight="1" x14ac:dyDescent="0.25">
      <c r="A2034" s="35">
        <v>44671</v>
      </c>
      <c r="B2034" s="90" t="s">
        <v>12689</v>
      </c>
      <c r="C2034" s="41" t="s">
        <v>75</v>
      </c>
      <c r="D2034" s="87">
        <v>3206.5</v>
      </c>
      <c r="E2034" s="35">
        <v>44671</v>
      </c>
      <c r="F2034" s="87">
        <v>3206.5</v>
      </c>
      <c r="G2034" s="91">
        <f>Tabla15[[#This Row],[Importe]]-Tabla15[[#This Row],[Pagado]]</f>
        <v>0</v>
      </c>
      <c r="H2034" s="92" t="s">
        <v>10</v>
      </c>
    </row>
    <row r="2035" spans="1:8" ht="21.75" customHeight="1" x14ac:dyDescent="0.25">
      <c r="A2035" s="35">
        <v>44671</v>
      </c>
      <c r="B2035" s="90" t="s">
        <v>12690</v>
      </c>
      <c r="C2035" s="41" t="s">
        <v>12</v>
      </c>
      <c r="D2035" s="87">
        <v>1240.32</v>
      </c>
      <c r="E2035" s="35">
        <v>44671</v>
      </c>
      <c r="F2035" s="87">
        <v>1240.32</v>
      </c>
      <c r="G2035" s="91">
        <f>Tabla15[[#This Row],[Importe]]-Tabla15[[#This Row],[Pagado]]</f>
        <v>0</v>
      </c>
      <c r="H2035" s="92" t="s">
        <v>10</v>
      </c>
    </row>
    <row r="2036" spans="1:8" ht="21.75" customHeight="1" x14ac:dyDescent="0.25">
      <c r="A2036" s="35">
        <v>44671</v>
      </c>
      <c r="B2036" s="90" t="s">
        <v>12691</v>
      </c>
      <c r="C2036" s="41" t="s">
        <v>9415</v>
      </c>
      <c r="D2036" s="87">
        <v>7760.4</v>
      </c>
      <c r="E2036" s="35">
        <v>44672</v>
      </c>
      <c r="F2036" s="87">
        <v>7760.4</v>
      </c>
      <c r="G2036" s="91">
        <f>Tabla15[[#This Row],[Importe]]-Tabla15[[#This Row],[Pagado]]</f>
        <v>0</v>
      </c>
      <c r="H2036" s="92" t="s">
        <v>10</v>
      </c>
    </row>
    <row r="2037" spans="1:8" ht="21.75" customHeight="1" x14ac:dyDescent="0.25">
      <c r="A2037" s="35">
        <v>44671</v>
      </c>
      <c r="B2037" s="90" t="s">
        <v>12692</v>
      </c>
      <c r="C2037" s="41" t="s">
        <v>49</v>
      </c>
      <c r="D2037" s="87">
        <v>2328.1999999999998</v>
      </c>
      <c r="E2037" s="35">
        <v>44671</v>
      </c>
      <c r="F2037" s="87">
        <v>2328.1999999999998</v>
      </c>
      <c r="G2037" s="91">
        <f>Tabla15[[#This Row],[Importe]]-Tabla15[[#This Row],[Pagado]]</f>
        <v>0</v>
      </c>
      <c r="H2037" s="92" t="s">
        <v>10</v>
      </c>
    </row>
    <row r="2038" spans="1:8" ht="21.75" customHeight="1" x14ac:dyDescent="0.25">
      <c r="A2038" s="35">
        <v>44671</v>
      </c>
      <c r="B2038" s="90" t="s">
        <v>12693</v>
      </c>
      <c r="C2038" s="41" t="s">
        <v>27</v>
      </c>
      <c r="D2038" s="87">
        <v>2337.3000000000002</v>
      </c>
      <c r="E2038" s="35">
        <v>44671</v>
      </c>
      <c r="F2038" s="87">
        <v>2337.3000000000002</v>
      </c>
      <c r="G2038" s="91">
        <f>Tabla15[[#This Row],[Importe]]-Tabla15[[#This Row],[Pagado]]</f>
        <v>0</v>
      </c>
      <c r="H2038" s="92" t="s">
        <v>10</v>
      </c>
    </row>
    <row r="2039" spans="1:8" ht="31.5" x14ac:dyDescent="0.25">
      <c r="A2039" s="35">
        <v>44671</v>
      </c>
      <c r="B2039" s="90" t="s">
        <v>12694</v>
      </c>
      <c r="C2039" s="41" t="s">
        <v>196</v>
      </c>
      <c r="D2039" s="87">
        <v>97519.7</v>
      </c>
      <c r="E2039" s="35">
        <v>44673</v>
      </c>
      <c r="F2039" s="87">
        <v>97519.7</v>
      </c>
      <c r="G2039" s="91">
        <f>Tabla15[[#This Row],[Importe]]-Tabla15[[#This Row],[Pagado]]</f>
        <v>0</v>
      </c>
      <c r="H2039" s="92" t="s">
        <v>10</v>
      </c>
    </row>
    <row r="2040" spans="1:8" ht="21.75" customHeight="1" x14ac:dyDescent="0.25">
      <c r="A2040" s="35">
        <v>44671</v>
      </c>
      <c r="B2040" s="90" t="s">
        <v>12695</v>
      </c>
      <c r="C2040" s="41" t="s">
        <v>5060</v>
      </c>
      <c r="D2040" s="87">
        <v>0</v>
      </c>
      <c r="E2040" s="39" t="s">
        <v>189</v>
      </c>
      <c r="F2040" s="87">
        <v>0</v>
      </c>
      <c r="G2040" s="91">
        <f>Tabla15[[#This Row],[Importe]]-Tabla15[[#This Row],[Pagado]]</f>
        <v>0</v>
      </c>
      <c r="H2040" s="94" t="s">
        <v>12696</v>
      </c>
    </row>
    <row r="2041" spans="1:8" ht="21.75" customHeight="1" x14ac:dyDescent="0.25">
      <c r="A2041" s="35">
        <v>44671</v>
      </c>
      <c r="B2041" s="90" t="s">
        <v>12697</v>
      </c>
      <c r="C2041" s="41" t="s">
        <v>16</v>
      </c>
      <c r="D2041" s="87">
        <v>4721.3999999999996</v>
      </c>
      <c r="E2041" s="35">
        <v>44671</v>
      </c>
      <c r="F2041" s="87">
        <v>4721.3999999999996</v>
      </c>
      <c r="G2041" s="91">
        <f>Tabla15[[#This Row],[Importe]]-Tabla15[[#This Row],[Pagado]]</f>
        <v>0</v>
      </c>
      <c r="H2041" s="92" t="s">
        <v>10</v>
      </c>
    </row>
    <row r="2042" spans="1:8" ht="21.75" customHeight="1" x14ac:dyDescent="0.25">
      <c r="A2042" s="35">
        <v>44671</v>
      </c>
      <c r="B2042" s="90" t="s">
        <v>12698</v>
      </c>
      <c r="C2042" s="41" t="s">
        <v>111</v>
      </c>
      <c r="D2042" s="87">
        <v>4054.5</v>
      </c>
      <c r="E2042" s="35">
        <v>44673</v>
      </c>
      <c r="F2042" s="87">
        <v>4054.5</v>
      </c>
      <c r="G2042" s="91">
        <f>Tabla15[[#This Row],[Importe]]-Tabla15[[#This Row],[Pagado]]</f>
        <v>0</v>
      </c>
      <c r="H2042" s="92" t="s">
        <v>10</v>
      </c>
    </row>
    <row r="2043" spans="1:8" ht="21.75" customHeight="1" x14ac:dyDescent="0.25">
      <c r="A2043" s="35">
        <v>44671</v>
      </c>
      <c r="B2043" s="90" t="s">
        <v>12699</v>
      </c>
      <c r="C2043" s="41" t="s">
        <v>2151</v>
      </c>
      <c r="D2043" s="87">
        <v>20250.3</v>
      </c>
      <c r="E2043" s="35">
        <v>44671</v>
      </c>
      <c r="F2043" s="87">
        <v>20250.3</v>
      </c>
      <c r="G2043" s="91">
        <f>Tabla15[[#This Row],[Importe]]-Tabla15[[#This Row],[Pagado]]</f>
        <v>0</v>
      </c>
      <c r="H2043" s="92" t="s">
        <v>10</v>
      </c>
    </row>
    <row r="2044" spans="1:8" ht="21.75" customHeight="1" x14ac:dyDescent="0.25">
      <c r="A2044" s="35">
        <v>44671</v>
      </c>
      <c r="B2044" s="90" t="s">
        <v>12700</v>
      </c>
      <c r="C2044" s="41" t="s">
        <v>348</v>
      </c>
      <c r="D2044" s="87">
        <v>3513.9</v>
      </c>
      <c r="E2044" s="35">
        <v>44671</v>
      </c>
      <c r="F2044" s="87">
        <v>3513.9</v>
      </c>
      <c r="G2044" s="91">
        <f>Tabla15[[#This Row],[Importe]]-Tabla15[[#This Row],[Pagado]]</f>
        <v>0</v>
      </c>
      <c r="H2044" s="92" t="s">
        <v>10</v>
      </c>
    </row>
    <row r="2045" spans="1:8" ht="21.75" customHeight="1" x14ac:dyDescent="0.25">
      <c r="A2045" s="35">
        <v>44671</v>
      </c>
      <c r="B2045" s="90" t="s">
        <v>12701</v>
      </c>
      <c r="C2045" s="41" t="s">
        <v>97</v>
      </c>
      <c r="D2045" s="87">
        <v>6574.8</v>
      </c>
      <c r="E2045" s="35">
        <v>44672</v>
      </c>
      <c r="F2045" s="87">
        <v>6574.8</v>
      </c>
      <c r="G2045" s="91">
        <f>Tabla15[[#This Row],[Importe]]-Tabla15[[#This Row],[Pagado]]</f>
        <v>0</v>
      </c>
      <c r="H2045" s="92" t="s">
        <v>10</v>
      </c>
    </row>
    <row r="2046" spans="1:8" ht="21.75" customHeight="1" x14ac:dyDescent="0.25">
      <c r="A2046" s="35">
        <v>44671</v>
      </c>
      <c r="B2046" s="90" t="s">
        <v>12702</v>
      </c>
      <c r="C2046" s="41" t="s">
        <v>804</v>
      </c>
      <c r="D2046" s="87">
        <v>16394.099999999999</v>
      </c>
      <c r="E2046" s="35">
        <v>44671</v>
      </c>
      <c r="F2046" s="87">
        <v>16394.099999999999</v>
      </c>
      <c r="G2046" s="91">
        <f>Tabla15[[#This Row],[Importe]]-Tabla15[[#This Row],[Pagado]]</f>
        <v>0</v>
      </c>
      <c r="H2046" s="92" t="s">
        <v>10</v>
      </c>
    </row>
    <row r="2047" spans="1:8" ht="21.75" customHeight="1" x14ac:dyDescent="0.25">
      <c r="A2047" s="35">
        <v>44671</v>
      </c>
      <c r="B2047" s="90" t="s">
        <v>12703</v>
      </c>
      <c r="C2047" s="41" t="s">
        <v>99</v>
      </c>
      <c r="D2047" s="87">
        <v>2424.8000000000002</v>
      </c>
      <c r="E2047" s="35">
        <v>44673</v>
      </c>
      <c r="F2047" s="87">
        <v>2424.8000000000002</v>
      </c>
      <c r="G2047" s="91">
        <f>Tabla15[[#This Row],[Importe]]-Tabla15[[#This Row],[Pagado]]</f>
        <v>0</v>
      </c>
      <c r="H2047" s="92" t="s">
        <v>10</v>
      </c>
    </row>
    <row r="2048" spans="1:8" ht="21.75" customHeight="1" x14ac:dyDescent="0.25">
      <c r="A2048" s="35">
        <v>44671</v>
      </c>
      <c r="B2048" s="90" t="s">
        <v>12704</v>
      </c>
      <c r="C2048" s="41" t="s">
        <v>39</v>
      </c>
      <c r="D2048" s="87">
        <v>15003</v>
      </c>
      <c r="E2048" s="35">
        <v>44673</v>
      </c>
      <c r="F2048" s="87">
        <v>15003</v>
      </c>
      <c r="G2048" s="91">
        <f>Tabla15[[#This Row],[Importe]]-Tabla15[[#This Row],[Pagado]]</f>
        <v>0</v>
      </c>
      <c r="H2048" s="92" t="s">
        <v>10</v>
      </c>
    </row>
    <row r="2049" spans="1:8" ht="21.75" customHeight="1" x14ac:dyDescent="0.25">
      <c r="A2049" s="35">
        <v>44671</v>
      </c>
      <c r="B2049" s="90" t="s">
        <v>12705</v>
      </c>
      <c r="C2049" s="41" t="s">
        <v>373</v>
      </c>
      <c r="D2049" s="87">
        <v>3036.6</v>
      </c>
      <c r="E2049" s="35">
        <v>44671</v>
      </c>
      <c r="F2049" s="87">
        <v>3036.6</v>
      </c>
      <c r="G2049" s="91">
        <f>Tabla15[[#This Row],[Importe]]-Tabla15[[#This Row],[Pagado]]</f>
        <v>0</v>
      </c>
      <c r="H2049" s="92" t="s">
        <v>10</v>
      </c>
    </row>
    <row r="2050" spans="1:8" ht="21.75" customHeight="1" x14ac:dyDescent="0.25">
      <c r="A2050" s="35">
        <v>44671</v>
      </c>
      <c r="B2050" s="90" t="s">
        <v>12706</v>
      </c>
      <c r="C2050" s="41" t="s">
        <v>64</v>
      </c>
      <c r="D2050" s="87">
        <v>8573.5</v>
      </c>
      <c r="E2050" s="35">
        <v>44673</v>
      </c>
      <c r="F2050" s="87">
        <v>8573.5</v>
      </c>
      <c r="G2050" s="91">
        <f>Tabla15[[#This Row],[Importe]]-Tabla15[[#This Row],[Pagado]]</f>
        <v>0</v>
      </c>
      <c r="H2050" s="92" t="s">
        <v>10</v>
      </c>
    </row>
    <row r="2051" spans="1:8" ht="21.75" customHeight="1" x14ac:dyDescent="0.25">
      <c r="A2051" s="35">
        <v>44671</v>
      </c>
      <c r="B2051" s="90" t="s">
        <v>12707</v>
      </c>
      <c r="C2051" s="41" t="s">
        <v>131</v>
      </c>
      <c r="D2051" s="87">
        <v>9784.7999999999993</v>
      </c>
      <c r="E2051" s="35">
        <v>44671</v>
      </c>
      <c r="F2051" s="87">
        <v>9784.7999999999993</v>
      </c>
      <c r="G2051" s="91">
        <f>Tabla15[[#This Row],[Importe]]-Tabla15[[#This Row],[Pagado]]</f>
        <v>0</v>
      </c>
      <c r="H2051" s="92" t="s">
        <v>10</v>
      </c>
    </row>
    <row r="2052" spans="1:8" ht="21.75" customHeight="1" x14ac:dyDescent="0.25">
      <c r="A2052" s="35">
        <v>44671</v>
      </c>
      <c r="B2052" s="90" t="s">
        <v>12708</v>
      </c>
      <c r="C2052" s="41" t="s">
        <v>105</v>
      </c>
      <c r="D2052" s="87">
        <v>11679.8</v>
      </c>
      <c r="E2052" s="35">
        <v>44672</v>
      </c>
      <c r="F2052" s="87">
        <v>11679.8</v>
      </c>
      <c r="G2052" s="91">
        <f>Tabla15[[#This Row],[Importe]]-Tabla15[[#This Row],[Pagado]]</f>
        <v>0</v>
      </c>
      <c r="H2052" s="92" t="s">
        <v>10</v>
      </c>
    </row>
    <row r="2053" spans="1:8" ht="21.75" customHeight="1" x14ac:dyDescent="0.25">
      <c r="A2053" s="35">
        <v>44671</v>
      </c>
      <c r="B2053" s="90" t="s">
        <v>12709</v>
      </c>
      <c r="C2053" s="41" t="s">
        <v>114</v>
      </c>
      <c r="D2053" s="87">
        <v>5566.5</v>
      </c>
      <c r="E2053" s="35">
        <v>44673</v>
      </c>
      <c r="F2053" s="87">
        <v>5566.5</v>
      </c>
      <c r="G2053" s="91">
        <f>Tabla15[[#This Row],[Importe]]-Tabla15[[#This Row],[Pagado]]</f>
        <v>0</v>
      </c>
      <c r="H2053" s="92" t="s">
        <v>10</v>
      </c>
    </row>
    <row r="2054" spans="1:8" ht="21.75" customHeight="1" x14ac:dyDescent="0.25">
      <c r="A2054" s="35">
        <v>44671</v>
      </c>
      <c r="B2054" s="90" t="s">
        <v>12710</v>
      </c>
      <c r="C2054" s="41" t="s">
        <v>93</v>
      </c>
      <c r="D2054" s="87">
        <v>556.20000000000005</v>
      </c>
      <c r="E2054" s="35">
        <v>44672</v>
      </c>
      <c r="F2054" s="87">
        <v>556.20000000000005</v>
      </c>
      <c r="G2054" s="91">
        <f>Tabla15[[#This Row],[Importe]]-Tabla15[[#This Row],[Pagado]]</f>
        <v>0</v>
      </c>
      <c r="H2054" s="92" t="s">
        <v>10</v>
      </c>
    </row>
    <row r="2055" spans="1:8" ht="21.75" customHeight="1" x14ac:dyDescent="0.25">
      <c r="A2055" s="35">
        <v>44671</v>
      </c>
      <c r="B2055" s="90" t="s">
        <v>12711</v>
      </c>
      <c r="C2055" s="41" t="s">
        <v>135</v>
      </c>
      <c r="D2055" s="87">
        <v>963.3</v>
      </c>
      <c r="E2055" s="35">
        <v>44671</v>
      </c>
      <c r="F2055" s="87">
        <v>963.3</v>
      </c>
      <c r="G2055" s="91">
        <f>Tabla15[[#This Row],[Importe]]-Tabla15[[#This Row],[Pagado]]</f>
        <v>0</v>
      </c>
      <c r="H2055" s="92" t="s">
        <v>10</v>
      </c>
    </row>
    <row r="2056" spans="1:8" ht="21.75" customHeight="1" x14ac:dyDescent="0.25">
      <c r="A2056" s="35">
        <v>44671</v>
      </c>
      <c r="B2056" s="90" t="s">
        <v>12712</v>
      </c>
      <c r="C2056" s="41" t="s">
        <v>12713</v>
      </c>
      <c r="D2056" s="87">
        <v>0</v>
      </c>
      <c r="E2056" s="39" t="s">
        <v>189</v>
      </c>
      <c r="F2056" s="87">
        <v>0</v>
      </c>
      <c r="G2056" s="91">
        <f>Tabla15[[#This Row],[Importe]]-Tabla15[[#This Row],[Pagado]]</f>
        <v>0</v>
      </c>
      <c r="H2056" s="94" t="s">
        <v>12714</v>
      </c>
    </row>
    <row r="2057" spans="1:8" ht="21.75" customHeight="1" x14ac:dyDescent="0.25">
      <c r="A2057" s="35">
        <v>44671</v>
      </c>
      <c r="B2057" s="90" t="s">
        <v>12715</v>
      </c>
      <c r="C2057" s="41" t="s">
        <v>12716</v>
      </c>
      <c r="D2057" s="87">
        <v>0</v>
      </c>
      <c r="E2057" s="39" t="s">
        <v>189</v>
      </c>
      <c r="F2057" s="87">
        <v>0</v>
      </c>
      <c r="G2057" s="91">
        <f>Tabla15[[#This Row],[Importe]]-Tabla15[[#This Row],[Pagado]]</f>
        <v>0</v>
      </c>
      <c r="H2057" s="94" t="s">
        <v>12714</v>
      </c>
    </row>
    <row r="2058" spans="1:8" ht="21.75" customHeight="1" x14ac:dyDescent="0.25">
      <c r="A2058" s="35">
        <v>44671</v>
      </c>
      <c r="B2058" s="90" t="s">
        <v>12717</v>
      </c>
      <c r="C2058" s="41" t="s">
        <v>12716</v>
      </c>
      <c r="D2058" s="87">
        <v>0</v>
      </c>
      <c r="E2058" s="39" t="s">
        <v>189</v>
      </c>
      <c r="F2058" s="87">
        <v>0</v>
      </c>
      <c r="G2058" s="91">
        <f>Tabla15[[#This Row],[Importe]]-Tabla15[[#This Row],[Pagado]]</f>
        <v>0</v>
      </c>
      <c r="H2058" s="94" t="s">
        <v>12714</v>
      </c>
    </row>
    <row r="2059" spans="1:8" ht="21.75" customHeight="1" x14ac:dyDescent="0.25">
      <c r="A2059" s="35">
        <v>44671</v>
      </c>
      <c r="B2059" s="90" t="s">
        <v>12718</v>
      </c>
      <c r="C2059" s="41" t="s">
        <v>12713</v>
      </c>
      <c r="D2059" s="87">
        <v>0</v>
      </c>
      <c r="E2059" s="39" t="s">
        <v>189</v>
      </c>
      <c r="F2059" s="87">
        <v>0</v>
      </c>
      <c r="G2059" s="91">
        <f>Tabla15[[#This Row],[Importe]]-Tabla15[[#This Row],[Pagado]]</f>
        <v>0</v>
      </c>
      <c r="H2059" s="94" t="s">
        <v>12714</v>
      </c>
    </row>
    <row r="2060" spans="1:8" ht="31.5" x14ac:dyDescent="0.25">
      <c r="A2060" s="35">
        <v>44671</v>
      </c>
      <c r="B2060" s="90" t="s">
        <v>12719</v>
      </c>
      <c r="C2060" s="41" t="s">
        <v>22</v>
      </c>
      <c r="D2060" s="87">
        <v>55426.2</v>
      </c>
      <c r="E2060" s="35" t="s">
        <v>12720</v>
      </c>
      <c r="F2060" s="87">
        <f>40000+15426.2</f>
        <v>55426.2</v>
      </c>
      <c r="G2060" s="91">
        <f>Tabla15[[#This Row],[Importe]]-Tabla15[[#This Row],[Pagado]]</f>
        <v>0</v>
      </c>
      <c r="H2060" s="92" t="s">
        <v>10</v>
      </c>
    </row>
    <row r="2061" spans="1:8" ht="21.75" customHeight="1" x14ac:dyDescent="0.25">
      <c r="A2061" s="35">
        <v>44671</v>
      </c>
      <c r="B2061" s="90" t="s">
        <v>12721</v>
      </c>
      <c r="C2061" s="41" t="s">
        <v>140</v>
      </c>
      <c r="D2061" s="87">
        <v>1464.9</v>
      </c>
      <c r="E2061" s="35">
        <v>44672</v>
      </c>
      <c r="F2061" s="87">
        <v>1464.9</v>
      </c>
      <c r="G2061" s="91">
        <f>Tabla15[[#This Row],[Importe]]-Tabla15[[#This Row],[Pagado]]</f>
        <v>0</v>
      </c>
      <c r="H2061" s="92" t="s">
        <v>10</v>
      </c>
    </row>
    <row r="2062" spans="1:8" ht="21.75" customHeight="1" x14ac:dyDescent="0.25">
      <c r="A2062" s="35">
        <v>44671</v>
      </c>
      <c r="B2062" s="90" t="s">
        <v>12722</v>
      </c>
      <c r="C2062" s="41" t="s">
        <v>129</v>
      </c>
      <c r="D2062" s="87">
        <v>1077.3</v>
      </c>
      <c r="E2062" s="35">
        <v>44672</v>
      </c>
      <c r="F2062" s="87">
        <v>1077.3</v>
      </c>
      <c r="G2062" s="91">
        <f>Tabla15[[#This Row],[Importe]]-Tabla15[[#This Row],[Pagado]]</f>
        <v>0</v>
      </c>
      <c r="H2062" s="92" t="s">
        <v>10</v>
      </c>
    </row>
    <row r="2063" spans="1:8" ht="21.75" customHeight="1" x14ac:dyDescent="0.25">
      <c r="A2063" s="35">
        <v>44671</v>
      </c>
      <c r="B2063" s="90" t="s">
        <v>12723</v>
      </c>
      <c r="C2063" s="41" t="s">
        <v>127</v>
      </c>
      <c r="D2063" s="87">
        <v>1048.8</v>
      </c>
      <c r="E2063" s="35">
        <v>44672</v>
      </c>
      <c r="F2063" s="87">
        <v>1048.8</v>
      </c>
      <c r="G2063" s="91">
        <f>Tabla15[[#This Row],[Importe]]-Tabla15[[#This Row],[Pagado]]</f>
        <v>0</v>
      </c>
      <c r="H2063" s="92" t="s">
        <v>10</v>
      </c>
    </row>
    <row r="2064" spans="1:8" ht="21.75" customHeight="1" x14ac:dyDescent="0.25">
      <c r="A2064" s="35">
        <v>44671</v>
      </c>
      <c r="B2064" s="90" t="s">
        <v>12724</v>
      </c>
      <c r="C2064" s="41" t="s">
        <v>339</v>
      </c>
      <c r="D2064" s="87">
        <v>490.2</v>
      </c>
      <c r="E2064" s="35">
        <v>44672</v>
      </c>
      <c r="F2064" s="87">
        <v>490.2</v>
      </c>
      <c r="G2064" s="91">
        <f>Tabla15[[#This Row],[Importe]]-Tabla15[[#This Row],[Pagado]]</f>
        <v>0</v>
      </c>
      <c r="H2064" s="92" t="s">
        <v>10</v>
      </c>
    </row>
    <row r="2065" spans="1:8" ht="21.75" customHeight="1" x14ac:dyDescent="0.25">
      <c r="A2065" s="35">
        <v>44671</v>
      </c>
      <c r="B2065" s="90" t="s">
        <v>12725</v>
      </c>
      <c r="C2065" s="41" t="s">
        <v>191</v>
      </c>
      <c r="D2065" s="87">
        <v>1670.4</v>
      </c>
      <c r="E2065" s="35">
        <v>44671</v>
      </c>
      <c r="F2065" s="87">
        <v>1670.4</v>
      </c>
      <c r="G2065" s="91">
        <f>Tabla15[[#This Row],[Importe]]-Tabla15[[#This Row],[Pagado]]</f>
        <v>0</v>
      </c>
      <c r="H2065" s="92" t="s">
        <v>10</v>
      </c>
    </row>
    <row r="2066" spans="1:8" ht="21.75" customHeight="1" x14ac:dyDescent="0.25">
      <c r="A2066" s="35">
        <v>44671</v>
      </c>
      <c r="B2066" s="90" t="s">
        <v>12726</v>
      </c>
      <c r="C2066" s="41" t="s">
        <v>3971</v>
      </c>
      <c r="D2066" s="87">
        <v>1283.0999999999999</v>
      </c>
      <c r="E2066" s="35">
        <v>44671</v>
      </c>
      <c r="F2066" s="87">
        <v>1283.0999999999999</v>
      </c>
      <c r="G2066" s="91">
        <f>Tabla15[[#This Row],[Importe]]-Tabla15[[#This Row],[Pagado]]</f>
        <v>0</v>
      </c>
      <c r="H2066" s="92" t="s">
        <v>10</v>
      </c>
    </row>
    <row r="2067" spans="1:8" ht="21.75" customHeight="1" x14ac:dyDescent="0.25">
      <c r="A2067" s="35">
        <v>44671</v>
      </c>
      <c r="B2067" s="90" t="s">
        <v>12727</v>
      </c>
      <c r="C2067" s="41" t="s">
        <v>224</v>
      </c>
      <c r="D2067" s="87">
        <v>593.4</v>
      </c>
      <c r="E2067" s="35">
        <v>44671</v>
      </c>
      <c r="F2067" s="87">
        <v>593.4</v>
      </c>
      <c r="G2067" s="91">
        <f>Tabla15[[#This Row],[Importe]]-Tabla15[[#This Row],[Pagado]]</f>
        <v>0</v>
      </c>
      <c r="H2067" s="92" t="s">
        <v>10</v>
      </c>
    </row>
    <row r="2068" spans="1:8" ht="21.75" customHeight="1" x14ac:dyDescent="0.25">
      <c r="A2068" s="35">
        <v>44671</v>
      </c>
      <c r="B2068" s="90" t="s">
        <v>12728</v>
      </c>
      <c r="C2068" s="41" t="s">
        <v>83</v>
      </c>
      <c r="D2068" s="87">
        <v>8808.7999999999993</v>
      </c>
      <c r="E2068" s="35">
        <v>44672</v>
      </c>
      <c r="F2068" s="87">
        <v>8808.7999999999993</v>
      </c>
      <c r="G2068" s="91">
        <f>Tabla15[[#This Row],[Importe]]-Tabla15[[#This Row],[Pagado]]</f>
        <v>0</v>
      </c>
      <c r="H2068" s="92" t="s">
        <v>10</v>
      </c>
    </row>
    <row r="2069" spans="1:8" ht="21.75" customHeight="1" x14ac:dyDescent="0.25">
      <c r="A2069" s="35">
        <v>44671</v>
      </c>
      <c r="B2069" s="90" t="s">
        <v>12729</v>
      </c>
      <c r="C2069" s="41" t="s">
        <v>12730</v>
      </c>
      <c r="D2069" s="87">
        <v>0</v>
      </c>
      <c r="E2069" s="39" t="s">
        <v>189</v>
      </c>
      <c r="F2069" s="87">
        <v>0</v>
      </c>
      <c r="G2069" s="91">
        <f>Tabla15[[#This Row],[Importe]]-Tabla15[[#This Row],[Pagado]]</f>
        <v>0</v>
      </c>
      <c r="H2069" s="94" t="s">
        <v>12731</v>
      </c>
    </row>
    <row r="2070" spans="1:8" ht="21.75" customHeight="1" x14ac:dyDescent="0.25">
      <c r="A2070" s="35">
        <v>44671</v>
      </c>
      <c r="B2070" s="90" t="s">
        <v>12732</v>
      </c>
      <c r="C2070" s="41" t="s">
        <v>198</v>
      </c>
      <c r="D2070" s="87">
        <v>1498.7</v>
      </c>
      <c r="E2070" s="35">
        <v>44671</v>
      </c>
      <c r="F2070" s="87">
        <v>1498.7</v>
      </c>
      <c r="G2070" s="91">
        <f>Tabla15[[#This Row],[Importe]]-Tabla15[[#This Row],[Pagado]]</f>
        <v>0</v>
      </c>
      <c r="H2070" s="92" t="s">
        <v>10</v>
      </c>
    </row>
    <row r="2071" spans="1:8" ht="21.75" customHeight="1" x14ac:dyDescent="0.25">
      <c r="A2071" s="35">
        <v>44671</v>
      </c>
      <c r="B2071" s="90" t="s">
        <v>12733</v>
      </c>
      <c r="C2071" s="41" t="s">
        <v>51</v>
      </c>
      <c r="D2071" s="87">
        <v>955</v>
      </c>
      <c r="E2071" s="35">
        <v>44671</v>
      </c>
      <c r="F2071" s="87">
        <v>955</v>
      </c>
      <c r="G2071" s="91">
        <f>Tabla15[[#This Row],[Importe]]-Tabla15[[#This Row],[Pagado]]</f>
        <v>0</v>
      </c>
      <c r="H2071" s="92" t="s">
        <v>10</v>
      </c>
    </row>
    <row r="2072" spans="1:8" ht="21.75" customHeight="1" x14ac:dyDescent="0.25">
      <c r="A2072" s="35">
        <v>44671</v>
      </c>
      <c r="B2072" s="90" t="s">
        <v>12734</v>
      </c>
      <c r="C2072" s="41" t="s">
        <v>605</v>
      </c>
      <c r="D2072" s="87">
        <v>72628</v>
      </c>
      <c r="E2072" s="35">
        <v>44671</v>
      </c>
      <c r="F2072" s="87">
        <v>72628</v>
      </c>
      <c r="G2072" s="91">
        <f>Tabla15[[#This Row],[Importe]]-Tabla15[[#This Row],[Pagado]]</f>
        <v>0</v>
      </c>
      <c r="H2072" s="92" t="s">
        <v>10</v>
      </c>
    </row>
    <row r="2073" spans="1:8" ht="21.75" customHeight="1" x14ac:dyDescent="0.25">
      <c r="A2073" s="35">
        <v>44671</v>
      </c>
      <c r="B2073" s="90" t="s">
        <v>12735</v>
      </c>
      <c r="C2073" s="41" t="s">
        <v>142</v>
      </c>
      <c r="D2073" s="87">
        <v>10160.6</v>
      </c>
      <c r="E2073" s="35">
        <v>44706</v>
      </c>
      <c r="F2073" s="87">
        <v>10160.6</v>
      </c>
      <c r="G2073" s="91">
        <f>Tabla15[[#This Row],[Importe]]-Tabla15[[#This Row],[Pagado]]</f>
        <v>0</v>
      </c>
      <c r="H2073" s="92" t="s">
        <v>10</v>
      </c>
    </row>
    <row r="2074" spans="1:8" ht="21.75" customHeight="1" x14ac:dyDescent="0.25">
      <c r="A2074" s="35">
        <v>44671</v>
      </c>
      <c r="B2074" s="90" t="s">
        <v>12736</v>
      </c>
      <c r="C2074" s="41" t="s">
        <v>56</v>
      </c>
      <c r="D2074" s="87">
        <v>8801.5</v>
      </c>
      <c r="E2074" s="35">
        <v>44671</v>
      </c>
      <c r="F2074" s="87">
        <v>8801.5</v>
      </c>
      <c r="G2074" s="91">
        <f>Tabla15[[#This Row],[Importe]]-Tabla15[[#This Row],[Pagado]]</f>
        <v>0</v>
      </c>
      <c r="H2074" s="92" t="s">
        <v>10</v>
      </c>
    </row>
    <row r="2075" spans="1:8" ht="21.75" customHeight="1" x14ac:dyDescent="0.25">
      <c r="A2075" s="35">
        <v>44671</v>
      </c>
      <c r="B2075" s="90" t="s">
        <v>12737</v>
      </c>
      <c r="C2075" s="41" t="s">
        <v>1362</v>
      </c>
      <c r="D2075" s="87">
        <v>6789.1</v>
      </c>
      <c r="E2075" s="35">
        <v>44672</v>
      </c>
      <c r="F2075" s="87">
        <v>6789.1</v>
      </c>
      <c r="G2075" s="91">
        <f>Tabla15[[#This Row],[Importe]]-Tabla15[[#This Row],[Pagado]]</f>
        <v>0</v>
      </c>
      <c r="H2075" s="92" t="s">
        <v>10</v>
      </c>
    </row>
    <row r="2076" spans="1:8" ht="21.75" customHeight="1" x14ac:dyDescent="0.25">
      <c r="A2076" s="35">
        <v>44671</v>
      </c>
      <c r="B2076" s="90" t="s">
        <v>12738</v>
      </c>
      <c r="C2076" s="41" t="s">
        <v>212</v>
      </c>
      <c r="D2076" s="87">
        <v>24290.2</v>
      </c>
      <c r="E2076" s="35">
        <v>44673</v>
      </c>
      <c r="F2076" s="87">
        <v>24290.2</v>
      </c>
      <c r="G2076" s="91">
        <f>Tabla15[[#This Row],[Importe]]-Tabla15[[#This Row],[Pagado]]</f>
        <v>0</v>
      </c>
      <c r="H2076" s="92" t="s">
        <v>10</v>
      </c>
    </row>
    <row r="2077" spans="1:8" ht="21.75" customHeight="1" x14ac:dyDescent="0.25">
      <c r="A2077" s="35">
        <v>44671</v>
      </c>
      <c r="B2077" s="90" t="s">
        <v>12739</v>
      </c>
      <c r="C2077" s="41" t="s">
        <v>230</v>
      </c>
      <c r="D2077" s="87">
        <v>3045.6</v>
      </c>
      <c r="E2077" s="35">
        <v>44671</v>
      </c>
      <c r="F2077" s="87">
        <v>3045.6</v>
      </c>
      <c r="G2077" s="91">
        <f>Tabla15[[#This Row],[Importe]]-Tabla15[[#This Row],[Pagado]]</f>
        <v>0</v>
      </c>
      <c r="H2077" s="92" t="s">
        <v>10</v>
      </c>
    </row>
    <row r="2078" spans="1:8" ht="21.75" customHeight="1" x14ac:dyDescent="0.25">
      <c r="A2078" s="35">
        <v>44671</v>
      </c>
      <c r="B2078" s="90" t="s">
        <v>12740</v>
      </c>
      <c r="C2078" s="41" t="s">
        <v>373</v>
      </c>
      <c r="D2078" s="87">
        <v>1682.1</v>
      </c>
      <c r="E2078" s="35">
        <v>44671</v>
      </c>
      <c r="F2078" s="87">
        <v>1682.1</v>
      </c>
      <c r="G2078" s="91">
        <f>Tabla15[[#This Row],[Importe]]-Tabla15[[#This Row],[Pagado]]</f>
        <v>0</v>
      </c>
      <c r="H2078" s="92" t="s">
        <v>10</v>
      </c>
    </row>
    <row r="2079" spans="1:8" ht="21.75" customHeight="1" x14ac:dyDescent="0.25">
      <c r="A2079" s="35">
        <v>44671</v>
      </c>
      <c r="B2079" s="90" t="s">
        <v>12741</v>
      </c>
      <c r="C2079" s="41" t="s">
        <v>31</v>
      </c>
      <c r="D2079" s="87">
        <v>1467.2</v>
      </c>
      <c r="E2079" s="35">
        <v>44671</v>
      </c>
      <c r="F2079" s="87">
        <v>1467.2</v>
      </c>
      <c r="G2079" s="91">
        <f>Tabla15[[#This Row],[Importe]]-Tabla15[[#This Row],[Pagado]]</f>
        <v>0</v>
      </c>
      <c r="H2079" s="92" t="s">
        <v>10</v>
      </c>
    </row>
    <row r="2080" spans="1:8" ht="21.75" customHeight="1" x14ac:dyDescent="0.25">
      <c r="A2080" s="35">
        <v>44671</v>
      </c>
      <c r="B2080" s="90" t="s">
        <v>12742</v>
      </c>
      <c r="C2080" s="41" t="s">
        <v>146</v>
      </c>
      <c r="D2080" s="87">
        <v>3439.4</v>
      </c>
      <c r="E2080" s="35">
        <v>44672</v>
      </c>
      <c r="F2080" s="87">
        <v>3439.4</v>
      </c>
      <c r="G2080" s="91">
        <f>Tabla15[[#This Row],[Importe]]-Tabla15[[#This Row],[Pagado]]</f>
        <v>0</v>
      </c>
      <c r="H2080" s="92" t="s">
        <v>10</v>
      </c>
    </row>
    <row r="2081" spans="1:8" ht="21.75" customHeight="1" x14ac:dyDescent="0.25">
      <c r="A2081" s="35">
        <v>44671</v>
      </c>
      <c r="B2081" s="90" t="s">
        <v>12743</v>
      </c>
      <c r="C2081" s="41" t="s">
        <v>107</v>
      </c>
      <c r="D2081" s="87">
        <v>10038</v>
      </c>
      <c r="E2081" s="35">
        <v>44672</v>
      </c>
      <c r="F2081" s="87">
        <v>10038</v>
      </c>
      <c r="G2081" s="91">
        <f>Tabla15[[#This Row],[Importe]]-Tabla15[[#This Row],[Pagado]]</f>
        <v>0</v>
      </c>
      <c r="H2081" s="92" t="s">
        <v>10</v>
      </c>
    </row>
    <row r="2082" spans="1:8" ht="21.75" customHeight="1" x14ac:dyDescent="0.25">
      <c r="A2082" s="35">
        <v>44671</v>
      </c>
      <c r="B2082" s="90" t="s">
        <v>12744</v>
      </c>
      <c r="C2082" s="41" t="s">
        <v>12202</v>
      </c>
      <c r="D2082" s="87">
        <v>11900</v>
      </c>
      <c r="E2082" s="35">
        <v>44671</v>
      </c>
      <c r="F2082" s="87">
        <v>11900</v>
      </c>
      <c r="G2082" s="91">
        <f>Tabla15[[#This Row],[Importe]]-Tabla15[[#This Row],[Pagado]]</f>
        <v>0</v>
      </c>
      <c r="H2082" s="92" t="s">
        <v>10</v>
      </c>
    </row>
    <row r="2083" spans="1:8" ht="21.75" customHeight="1" x14ac:dyDescent="0.25">
      <c r="A2083" s="35">
        <v>44671</v>
      </c>
      <c r="B2083" s="90" t="s">
        <v>12745</v>
      </c>
      <c r="C2083" s="41" t="s">
        <v>216</v>
      </c>
      <c r="D2083" s="87">
        <v>2811.2</v>
      </c>
      <c r="E2083" s="35">
        <v>44671</v>
      </c>
      <c r="F2083" s="87">
        <v>2811.2</v>
      </c>
      <c r="G2083" s="91">
        <f>Tabla15[[#This Row],[Importe]]-Tabla15[[#This Row],[Pagado]]</f>
        <v>0</v>
      </c>
      <c r="H2083" s="92" t="s">
        <v>10</v>
      </c>
    </row>
    <row r="2084" spans="1:8" ht="21.75" customHeight="1" x14ac:dyDescent="0.25">
      <c r="A2084" s="35">
        <v>44671</v>
      </c>
      <c r="B2084" s="90" t="s">
        <v>12746</v>
      </c>
      <c r="C2084" s="41" t="s">
        <v>45</v>
      </c>
      <c r="D2084" s="87">
        <v>12072.9</v>
      </c>
      <c r="E2084" s="35">
        <v>44671</v>
      </c>
      <c r="F2084" s="87">
        <v>12072.9</v>
      </c>
      <c r="G2084" s="91">
        <f>Tabla15[[#This Row],[Importe]]-Tabla15[[#This Row],[Pagado]]</f>
        <v>0</v>
      </c>
      <c r="H2084" s="92" t="s">
        <v>10</v>
      </c>
    </row>
    <row r="2085" spans="1:8" ht="21.75" customHeight="1" x14ac:dyDescent="0.25">
      <c r="A2085" s="35">
        <v>44671</v>
      </c>
      <c r="B2085" s="90" t="s">
        <v>12747</v>
      </c>
      <c r="C2085" s="41" t="s">
        <v>208</v>
      </c>
      <c r="D2085" s="87">
        <v>16516.12</v>
      </c>
      <c r="E2085" s="35">
        <v>44673</v>
      </c>
      <c r="F2085" s="87">
        <v>16516.12</v>
      </c>
      <c r="G2085" s="91">
        <f>Tabla15[[#This Row],[Importe]]-Tabla15[[#This Row],[Pagado]]</f>
        <v>0</v>
      </c>
      <c r="H2085" s="92" t="s">
        <v>10</v>
      </c>
    </row>
    <row r="2086" spans="1:8" ht="21.75" customHeight="1" x14ac:dyDescent="0.25">
      <c r="A2086" s="35">
        <v>44671</v>
      </c>
      <c r="B2086" s="90" t="s">
        <v>12748</v>
      </c>
      <c r="C2086" s="41" t="s">
        <v>31</v>
      </c>
      <c r="D2086" s="87">
        <v>39509.4</v>
      </c>
      <c r="E2086" s="35">
        <v>44671</v>
      </c>
      <c r="F2086" s="87">
        <v>39509.4</v>
      </c>
      <c r="G2086" s="91">
        <f>Tabla15[[#This Row],[Importe]]-Tabla15[[#This Row],[Pagado]]</f>
        <v>0</v>
      </c>
      <c r="H2086" s="92" t="s">
        <v>10</v>
      </c>
    </row>
    <row r="2087" spans="1:8" ht="21.75" customHeight="1" x14ac:dyDescent="0.25">
      <c r="A2087" s="35">
        <v>44671</v>
      </c>
      <c r="B2087" s="90" t="s">
        <v>12749</v>
      </c>
      <c r="C2087" s="41" t="s">
        <v>289</v>
      </c>
      <c r="D2087" s="87">
        <v>6715.7</v>
      </c>
      <c r="E2087" s="35">
        <v>44671</v>
      </c>
      <c r="F2087" s="87">
        <v>6715.7</v>
      </c>
      <c r="G2087" s="91">
        <f>Tabla15[[#This Row],[Importe]]-Tabla15[[#This Row],[Pagado]]</f>
        <v>0</v>
      </c>
      <c r="H2087" s="92" t="s">
        <v>10</v>
      </c>
    </row>
    <row r="2088" spans="1:8" ht="21.75" customHeight="1" x14ac:dyDescent="0.25">
      <c r="A2088" s="35">
        <v>44671</v>
      </c>
      <c r="B2088" s="90" t="s">
        <v>12750</v>
      </c>
      <c r="C2088" s="41" t="s">
        <v>587</v>
      </c>
      <c r="D2088" s="87">
        <v>4311.72</v>
      </c>
      <c r="E2088" s="35">
        <v>44671</v>
      </c>
      <c r="F2088" s="87">
        <v>4311.72</v>
      </c>
      <c r="G2088" s="91">
        <f>Tabla15[[#This Row],[Importe]]-Tabla15[[#This Row],[Pagado]]</f>
        <v>0</v>
      </c>
      <c r="H2088" s="92" t="s">
        <v>10</v>
      </c>
    </row>
    <row r="2089" spans="1:8" ht="21.75" customHeight="1" x14ac:dyDescent="0.25">
      <c r="A2089" s="35">
        <v>44671</v>
      </c>
      <c r="B2089" s="90" t="s">
        <v>12751</v>
      </c>
      <c r="C2089" s="41" t="s">
        <v>133</v>
      </c>
      <c r="D2089" s="87">
        <v>10068.799999999999</v>
      </c>
      <c r="E2089" s="35">
        <v>44672</v>
      </c>
      <c r="F2089" s="87">
        <v>10068.799999999999</v>
      </c>
      <c r="G2089" s="91">
        <f>Tabla15[[#This Row],[Importe]]-Tabla15[[#This Row],[Pagado]]</f>
        <v>0</v>
      </c>
      <c r="H2089" s="92" t="s">
        <v>10</v>
      </c>
    </row>
    <row r="2090" spans="1:8" ht="21.75" customHeight="1" x14ac:dyDescent="0.25">
      <c r="A2090" s="35">
        <v>44671</v>
      </c>
      <c r="B2090" s="90" t="s">
        <v>12752</v>
      </c>
      <c r="C2090" s="41" t="s">
        <v>587</v>
      </c>
      <c r="D2090" s="87">
        <v>68</v>
      </c>
      <c r="E2090" s="35">
        <v>44671</v>
      </c>
      <c r="F2090" s="87">
        <v>68</v>
      </c>
      <c r="G2090" s="91">
        <f>Tabla15[[#This Row],[Importe]]-Tabla15[[#This Row],[Pagado]]</f>
        <v>0</v>
      </c>
      <c r="H2090" s="92" t="s">
        <v>10</v>
      </c>
    </row>
    <row r="2091" spans="1:8" ht="21.75" customHeight="1" x14ac:dyDescent="0.25">
      <c r="A2091" s="35">
        <v>44671</v>
      </c>
      <c r="B2091" s="90" t="s">
        <v>12753</v>
      </c>
      <c r="C2091" s="41" t="s">
        <v>2383</v>
      </c>
      <c r="D2091" s="87">
        <v>3720</v>
      </c>
      <c r="E2091" s="35">
        <v>44671</v>
      </c>
      <c r="F2091" s="87">
        <v>3720</v>
      </c>
      <c r="G2091" s="91">
        <f>Tabla15[[#This Row],[Importe]]-Tabla15[[#This Row],[Pagado]]</f>
        <v>0</v>
      </c>
      <c r="H2091" s="92" t="s">
        <v>10</v>
      </c>
    </row>
    <row r="2092" spans="1:8" ht="21.75" customHeight="1" x14ac:dyDescent="0.25">
      <c r="A2092" s="35">
        <v>44671</v>
      </c>
      <c r="B2092" s="90" t="s">
        <v>12754</v>
      </c>
      <c r="C2092" s="41" t="s">
        <v>24</v>
      </c>
      <c r="D2092" s="87">
        <v>4463.3999999999996</v>
      </c>
      <c r="E2092" s="35">
        <v>44671</v>
      </c>
      <c r="F2092" s="87">
        <v>4463.3999999999996</v>
      </c>
      <c r="G2092" s="91">
        <f>Tabla15[[#This Row],[Importe]]-Tabla15[[#This Row],[Pagado]]</f>
        <v>0</v>
      </c>
      <c r="H2092" s="92" t="s">
        <v>10</v>
      </c>
    </row>
    <row r="2093" spans="1:8" ht="21.75" customHeight="1" x14ac:dyDescent="0.25">
      <c r="A2093" s="35">
        <v>44671</v>
      </c>
      <c r="B2093" s="90" t="s">
        <v>12755</v>
      </c>
      <c r="C2093" s="41" t="s">
        <v>555</v>
      </c>
      <c r="D2093" s="87">
        <v>33607.160000000003</v>
      </c>
      <c r="E2093" s="35">
        <v>44671</v>
      </c>
      <c r="F2093" s="87">
        <v>33607.160000000003</v>
      </c>
      <c r="G2093" s="91">
        <f>Tabla15[[#This Row],[Importe]]-Tabla15[[#This Row],[Pagado]]</f>
        <v>0</v>
      </c>
      <c r="H2093" s="92" t="s">
        <v>10</v>
      </c>
    </row>
    <row r="2094" spans="1:8" ht="21.75" customHeight="1" x14ac:dyDescent="0.25">
      <c r="A2094" s="35">
        <v>44671</v>
      </c>
      <c r="B2094" s="90" t="s">
        <v>12756</v>
      </c>
      <c r="C2094" s="41" t="s">
        <v>857</v>
      </c>
      <c r="D2094" s="87">
        <v>888.4</v>
      </c>
      <c r="E2094" s="35">
        <v>44671</v>
      </c>
      <c r="F2094" s="87">
        <v>888.4</v>
      </c>
      <c r="G2094" s="91">
        <f>Tabla15[[#This Row],[Importe]]-Tabla15[[#This Row],[Pagado]]</f>
        <v>0</v>
      </c>
      <c r="H2094" s="92" t="s">
        <v>10</v>
      </c>
    </row>
    <row r="2095" spans="1:8" ht="21.75" customHeight="1" x14ac:dyDescent="0.25">
      <c r="A2095" s="35">
        <v>44671</v>
      </c>
      <c r="B2095" s="90" t="s">
        <v>12757</v>
      </c>
      <c r="C2095" s="41" t="s">
        <v>206</v>
      </c>
      <c r="D2095" s="87">
        <v>25603.3</v>
      </c>
      <c r="E2095" s="35">
        <v>44673</v>
      </c>
      <c r="F2095" s="87">
        <v>25603.3</v>
      </c>
      <c r="G2095" s="91">
        <f>Tabla15[[#This Row],[Importe]]-Tabla15[[#This Row],[Pagado]]</f>
        <v>0</v>
      </c>
      <c r="H2095" s="92" t="s">
        <v>10</v>
      </c>
    </row>
    <row r="2096" spans="1:8" ht="21.75" customHeight="1" x14ac:dyDescent="0.25">
      <c r="A2096" s="35">
        <v>44671</v>
      </c>
      <c r="B2096" s="90" t="s">
        <v>12758</v>
      </c>
      <c r="C2096" s="41" t="s">
        <v>218</v>
      </c>
      <c r="D2096" s="87">
        <v>8576.6</v>
      </c>
      <c r="E2096" s="35">
        <v>44673</v>
      </c>
      <c r="F2096" s="87">
        <v>8576.6</v>
      </c>
      <c r="G2096" s="91">
        <f>Tabla15[[#This Row],[Importe]]-Tabla15[[#This Row],[Pagado]]</f>
        <v>0</v>
      </c>
      <c r="H2096" s="92" t="s">
        <v>10</v>
      </c>
    </row>
    <row r="2097" spans="1:8" ht="21.75" customHeight="1" x14ac:dyDescent="0.25">
      <c r="A2097" s="35">
        <v>44671</v>
      </c>
      <c r="B2097" s="90" t="s">
        <v>12759</v>
      </c>
      <c r="C2097" s="41" t="s">
        <v>4136</v>
      </c>
      <c r="D2097" s="87">
        <v>2526.4</v>
      </c>
      <c r="E2097" s="35">
        <v>44671</v>
      </c>
      <c r="F2097" s="87">
        <v>2526.4</v>
      </c>
      <c r="G2097" s="91">
        <f>Tabla15[[#This Row],[Importe]]-Tabla15[[#This Row],[Pagado]]</f>
        <v>0</v>
      </c>
      <c r="H2097" s="92" t="s">
        <v>10</v>
      </c>
    </row>
    <row r="2098" spans="1:8" ht="21.75" customHeight="1" x14ac:dyDescent="0.25">
      <c r="A2098" s="35">
        <v>44671</v>
      </c>
      <c r="B2098" s="90" t="s">
        <v>12760</v>
      </c>
      <c r="C2098" s="41" t="s">
        <v>173</v>
      </c>
      <c r="D2098" s="87">
        <v>18558.400000000001</v>
      </c>
      <c r="E2098" s="35">
        <v>44672</v>
      </c>
      <c r="F2098" s="87">
        <v>18558.400000000001</v>
      </c>
      <c r="G2098" s="91">
        <f>Tabla15[[#This Row],[Importe]]-Tabla15[[#This Row],[Pagado]]</f>
        <v>0</v>
      </c>
      <c r="H2098" s="92" t="s">
        <v>10</v>
      </c>
    </row>
    <row r="2099" spans="1:8" ht="21.75" customHeight="1" x14ac:dyDescent="0.25">
      <c r="A2099" s="35">
        <v>44671</v>
      </c>
      <c r="B2099" s="90" t="s">
        <v>12761</v>
      </c>
      <c r="C2099" s="41" t="s">
        <v>12202</v>
      </c>
      <c r="D2099" s="87">
        <v>5600</v>
      </c>
      <c r="E2099" s="35">
        <v>44671</v>
      </c>
      <c r="F2099" s="87">
        <v>5600</v>
      </c>
      <c r="G2099" s="91">
        <f>Tabla15[[#This Row],[Importe]]-Tabla15[[#This Row],[Pagado]]</f>
        <v>0</v>
      </c>
      <c r="H2099" s="92" t="s">
        <v>10</v>
      </c>
    </row>
    <row r="2100" spans="1:8" ht="21.75" customHeight="1" x14ac:dyDescent="0.25">
      <c r="A2100" s="35">
        <v>44671</v>
      </c>
      <c r="B2100" s="90" t="s">
        <v>12762</v>
      </c>
      <c r="C2100" s="41" t="s">
        <v>9577</v>
      </c>
      <c r="D2100" s="87">
        <v>17926</v>
      </c>
      <c r="E2100" s="35">
        <v>44672</v>
      </c>
      <c r="F2100" s="87">
        <v>17926</v>
      </c>
      <c r="G2100" s="91">
        <f>Tabla15[[#This Row],[Importe]]-Tabla15[[#This Row],[Pagado]]</f>
        <v>0</v>
      </c>
      <c r="H2100" s="92" t="s">
        <v>10</v>
      </c>
    </row>
    <row r="2101" spans="1:8" ht="21.75" customHeight="1" x14ac:dyDescent="0.25">
      <c r="A2101" s="35">
        <v>44671</v>
      </c>
      <c r="B2101" s="90" t="s">
        <v>12763</v>
      </c>
      <c r="C2101" s="41" t="s">
        <v>31</v>
      </c>
      <c r="D2101" s="87">
        <v>526.4</v>
      </c>
      <c r="E2101" s="35">
        <v>44671</v>
      </c>
      <c r="F2101" s="87">
        <v>526.4</v>
      </c>
      <c r="G2101" s="91">
        <f>Tabla15[[#This Row],[Importe]]-Tabla15[[#This Row],[Pagado]]</f>
        <v>0</v>
      </c>
      <c r="H2101" s="92" t="s">
        <v>10</v>
      </c>
    </row>
    <row r="2102" spans="1:8" ht="21.75" customHeight="1" x14ac:dyDescent="0.25">
      <c r="A2102" s="35">
        <v>44671</v>
      </c>
      <c r="B2102" s="90" t="s">
        <v>12764</v>
      </c>
      <c r="C2102" s="41" t="s">
        <v>58</v>
      </c>
      <c r="D2102" s="87">
        <v>5359.2</v>
      </c>
      <c r="E2102" s="35">
        <v>44671</v>
      </c>
      <c r="F2102" s="87">
        <v>5359.2</v>
      </c>
      <c r="G2102" s="91">
        <f>Tabla15[[#This Row],[Importe]]-Tabla15[[#This Row],[Pagado]]</f>
        <v>0</v>
      </c>
      <c r="H2102" s="92" t="s">
        <v>10</v>
      </c>
    </row>
    <row r="2103" spans="1:8" ht="21.75" customHeight="1" x14ac:dyDescent="0.25">
      <c r="A2103" s="35">
        <v>44671</v>
      </c>
      <c r="B2103" s="90" t="s">
        <v>12765</v>
      </c>
      <c r="C2103" s="41" t="s">
        <v>298</v>
      </c>
      <c r="D2103" s="87">
        <v>1970.6</v>
      </c>
      <c r="E2103" s="35">
        <v>44671</v>
      </c>
      <c r="F2103" s="87">
        <v>1970.6</v>
      </c>
      <c r="G2103" s="91">
        <f>Tabla15[[#This Row],[Importe]]-Tabla15[[#This Row],[Pagado]]</f>
        <v>0</v>
      </c>
      <c r="H2103" s="92" t="s">
        <v>10</v>
      </c>
    </row>
    <row r="2104" spans="1:8" ht="21.75" customHeight="1" x14ac:dyDescent="0.25">
      <c r="A2104" s="35">
        <v>44671</v>
      </c>
      <c r="B2104" s="90" t="s">
        <v>12766</v>
      </c>
      <c r="C2104" s="41" t="s">
        <v>154</v>
      </c>
      <c r="D2104" s="87">
        <v>44620</v>
      </c>
      <c r="E2104" s="35">
        <v>44674</v>
      </c>
      <c r="F2104" s="87">
        <v>44620</v>
      </c>
      <c r="G2104" s="91">
        <f>Tabla15[[#This Row],[Importe]]-Tabla15[[#This Row],[Pagado]]</f>
        <v>0</v>
      </c>
      <c r="H2104" s="92" t="s">
        <v>10</v>
      </c>
    </row>
    <row r="2105" spans="1:8" ht="21.75" customHeight="1" x14ac:dyDescent="0.25">
      <c r="A2105" s="35">
        <v>44671</v>
      </c>
      <c r="B2105" s="90" t="s">
        <v>12767</v>
      </c>
      <c r="C2105" s="41" t="s">
        <v>142</v>
      </c>
      <c r="D2105" s="87">
        <v>75337.5</v>
      </c>
      <c r="E2105" s="35">
        <v>44706</v>
      </c>
      <c r="F2105" s="87">
        <v>75337.5</v>
      </c>
      <c r="G2105" s="91">
        <f>Tabla15[[#This Row],[Importe]]-Tabla15[[#This Row],[Pagado]]</f>
        <v>0</v>
      </c>
      <c r="H2105" s="92" t="s">
        <v>10</v>
      </c>
    </row>
    <row r="2106" spans="1:8" ht="21.75" customHeight="1" x14ac:dyDescent="0.25">
      <c r="A2106" s="35">
        <v>44671</v>
      </c>
      <c r="B2106" s="90" t="s">
        <v>12768</v>
      </c>
      <c r="C2106" s="41" t="s">
        <v>870</v>
      </c>
      <c r="D2106" s="87">
        <v>38531.800000000003</v>
      </c>
      <c r="E2106" s="35">
        <v>44671</v>
      </c>
      <c r="F2106" s="87">
        <v>38531.800000000003</v>
      </c>
      <c r="G2106" s="91">
        <f>Tabla15[[#This Row],[Importe]]-Tabla15[[#This Row],[Pagado]]</f>
        <v>0</v>
      </c>
      <c r="H2106" s="92" t="s">
        <v>10</v>
      </c>
    </row>
    <row r="2107" spans="1:8" ht="21.75" customHeight="1" x14ac:dyDescent="0.25">
      <c r="A2107" s="35">
        <v>44671</v>
      </c>
      <c r="B2107" s="90" t="s">
        <v>12769</v>
      </c>
      <c r="C2107" s="41" t="s">
        <v>291</v>
      </c>
      <c r="D2107" s="87">
        <v>3831.2</v>
      </c>
      <c r="E2107" s="35">
        <v>44672</v>
      </c>
      <c r="F2107" s="87">
        <v>3831.2</v>
      </c>
      <c r="G2107" s="91">
        <f>Tabla15[[#This Row],[Importe]]-Tabla15[[#This Row],[Pagado]]</f>
        <v>0</v>
      </c>
      <c r="H2107" s="92" t="s">
        <v>10</v>
      </c>
    </row>
    <row r="2108" spans="1:8" ht="21.75" customHeight="1" x14ac:dyDescent="0.25">
      <c r="A2108" s="35">
        <v>44671</v>
      </c>
      <c r="B2108" s="90" t="s">
        <v>12770</v>
      </c>
      <c r="C2108" s="41" t="s">
        <v>12202</v>
      </c>
      <c r="D2108" s="87">
        <v>4200</v>
      </c>
      <c r="E2108" s="35">
        <v>44671</v>
      </c>
      <c r="F2108" s="87">
        <v>4200</v>
      </c>
      <c r="G2108" s="91">
        <f>Tabla15[[#This Row],[Importe]]-Tabla15[[#This Row],[Pagado]]</f>
        <v>0</v>
      </c>
      <c r="H2108" s="92" t="s">
        <v>10</v>
      </c>
    </row>
    <row r="2109" spans="1:8" ht="21.75" customHeight="1" x14ac:dyDescent="0.25">
      <c r="A2109" s="35">
        <v>44671</v>
      </c>
      <c r="B2109" s="90" t="s">
        <v>12771</v>
      </c>
      <c r="C2109" s="41" t="s">
        <v>365</v>
      </c>
      <c r="D2109" s="87">
        <v>772.8</v>
      </c>
      <c r="E2109" s="35">
        <v>44671</v>
      </c>
      <c r="F2109" s="87">
        <v>772.8</v>
      </c>
      <c r="G2109" s="91">
        <f>Tabla15[[#This Row],[Importe]]-Tabla15[[#This Row],[Pagado]]</f>
        <v>0</v>
      </c>
      <c r="H2109" s="92" t="s">
        <v>10</v>
      </c>
    </row>
    <row r="2110" spans="1:8" ht="21.75" customHeight="1" x14ac:dyDescent="0.25">
      <c r="A2110" s="35">
        <v>44671</v>
      </c>
      <c r="B2110" s="90" t="s">
        <v>12772</v>
      </c>
      <c r="C2110" s="41" t="s">
        <v>419</v>
      </c>
      <c r="D2110" s="87">
        <v>1663.2</v>
      </c>
      <c r="E2110" s="35">
        <v>44671</v>
      </c>
      <c r="F2110" s="87">
        <v>1663.2</v>
      </c>
      <c r="G2110" s="91">
        <f>Tabla15[[#This Row],[Importe]]-Tabla15[[#This Row],[Pagado]]</f>
        <v>0</v>
      </c>
      <c r="H2110" s="92" t="s">
        <v>10</v>
      </c>
    </row>
    <row r="2111" spans="1:8" ht="21.75" customHeight="1" x14ac:dyDescent="0.25">
      <c r="A2111" s="35">
        <v>44671</v>
      </c>
      <c r="B2111" s="90" t="s">
        <v>12773</v>
      </c>
      <c r="C2111" s="41" t="s">
        <v>698</v>
      </c>
      <c r="D2111" s="87">
        <v>8681.1</v>
      </c>
      <c r="E2111" s="35">
        <v>44671</v>
      </c>
      <c r="F2111" s="87">
        <v>8681.1</v>
      </c>
      <c r="G2111" s="91">
        <f>Tabla15[[#This Row],[Importe]]-Tabla15[[#This Row],[Pagado]]</f>
        <v>0</v>
      </c>
      <c r="H2111" s="92" t="s">
        <v>10</v>
      </c>
    </row>
    <row r="2112" spans="1:8" ht="21.75" customHeight="1" x14ac:dyDescent="0.25">
      <c r="A2112" s="35">
        <v>44671</v>
      </c>
      <c r="B2112" s="90" t="s">
        <v>12774</v>
      </c>
      <c r="C2112" s="41" t="s">
        <v>11383</v>
      </c>
      <c r="D2112" s="87">
        <v>20364.3</v>
      </c>
      <c r="E2112" s="35">
        <v>44671</v>
      </c>
      <c r="F2112" s="87">
        <v>20364.3</v>
      </c>
      <c r="G2112" s="91">
        <f>Tabla15[[#This Row],[Importe]]-Tabla15[[#This Row],[Pagado]]</f>
        <v>0</v>
      </c>
      <c r="H2112" s="92" t="s">
        <v>10</v>
      </c>
    </row>
    <row r="2113" spans="1:8" ht="21.75" customHeight="1" x14ac:dyDescent="0.25">
      <c r="A2113" s="35">
        <v>44671</v>
      </c>
      <c r="B2113" s="90" t="s">
        <v>12775</v>
      </c>
      <c r="C2113" s="41" t="s">
        <v>407</v>
      </c>
      <c r="D2113" s="87">
        <v>34253</v>
      </c>
      <c r="E2113" s="35">
        <v>44674</v>
      </c>
      <c r="F2113" s="87">
        <v>34253</v>
      </c>
      <c r="G2113" s="91">
        <f>Tabla15[[#This Row],[Importe]]-Tabla15[[#This Row],[Pagado]]</f>
        <v>0</v>
      </c>
      <c r="H2113" s="92" t="s">
        <v>10</v>
      </c>
    </row>
    <row r="2114" spans="1:8" ht="21.75" customHeight="1" x14ac:dyDescent="0.25">
      <c r="A2114" s="35">
        <v>44671</v>
      </c>
      <c r="B2114" s="90" t="s">
        <v>12776</v>
      </c>
      <c r="C2114" s="41" t="s">
        <v>407</v>
      </c>
      <c r="D2114" s="87">
        <v>6918.8</v>
      </c>
      <c r="E2114" s="35">
        <v>44673</v>
      </c>
      <c r="F2114" s="87">
        <v>6918.8</v>
      </c>
      <c r="G2114" s="91">
        <f>Tabla15[[#This Row],[Importe]]-Tabla15[[#This Row],[Pagado]]</f>
        <v>0</v>
      </c>
      <c r="H2114" s="92" t="s">
        <v>10</v>
      </c>
    </row>
    <row r="2115" spans="1:8" ht="21.75" customHeight="1" x14ac:dyDescent="0.25">
      <c r="A2115" s="35">
        <v>44671</v>
      </c>
      <c r="B2115" s="90" t="s">
        <v>12777</v>
      </c>
      <c r="C2115" s="41" t="s">
        <v>11383</v>
      </c>
      <c r="D2115" s="87">
        <v>5692.9</v>
      </c>
      <c r="E2115" s="35">
        <v>44671</v>
      </c>
      <c r="F2115" s="87">
        <v>5692.9</v>
      </c>
      <c r="G2115" s="91">
        <f>Tabla15[[#This Row],[Importe]]-Tabla15[[#This Row],[Pagado]]</f>
        <v>0</v>
      </c>
      <c r="H2115" s="92" t="s">
        <v>10</v>
      </c>
    </row>
    <row r="2116" spans="1:8" ht="21.75" customHeight="1" x14ac:dyDescent="0.25">
      <c r="A2116" s="35">
        <v>44671</v>
      </c>
      <c r="B2116" s="90" t="s">
        <v>12778</v>
      </c>
      <c r="C2116" s="41" t="s">
        <v>414</v>
      </c>
      <c r="D2116" s="87">
        <v>16764</v>
      </c>
      <c r="E2116" s="35">
        <v>44671</v>
      </c>
      <c r="F2116" s="87">
        <v>16764</v>
      </c>
      <c r="G2116" s="91">
        <f>Tabla15[[#This Row],[Importe]]-Tabla15[[#This Row],[Pagado]]</f>
        <v>0</v>
      </c>
      <c r="H2116" s="92" t="s">
        <v>10</v>
      </c>
    </row>
    <row r="2117" spans="1:8" ht="21.75" customHeight="1" x14ac:dyDescent="0.25">
      <c r="A2117" s="35">
        <v>44671</v>
      </c>
      <c r="B2117" s="90" t="s">
        <v>12779</v>
      </c>
      <c r="C2117" s="41" t="s">
        <v>31</v>
      </c>
      <c r="D2117" s="87">
        <v>369.6</v>
      </c>
      <c r="E2117" s="35">
        <v>44671</v>
      </c>
      <c r="F2117" s="87">
        <v>369.6</v>
      </c>
      <c r="G2117" s="91">
        <f>Tabla15[[#This Row],[Importe]]-Tabla15[[#This Row],[Pagado]]</f>
        <v>0</v>
      </c>
      <c r="H2117" s="92" t="s">
        <v>10</v>
      </c>
    </row>
    <row r="2118" spans="1:8" ht="21.75" customHeight="1" x14ac:dyDescent="0.25">
      <c r="A2118" s="35">
        <v>44671</v>
      </c>
      <c r="B2118" s="90" t="s">
        <v>12780</v>
      </c>
      <c r="C2118" s="41" t="s">
        <v>235</v>
      </c>
      <c r="D2118" s="87">
        <v>11639.4</v>
      </c>
      <c r="E2118" s="35">
        <v>44671</v>
      </c>
      <c r="F2118" s="87">
        <v>11639.4</v>
      </c>
      <c r="G2118" s="91">
        <f>Tabla15[[#This Row],[Importe]]-Tabla15[[#This Row],[Pagado]]</f>
        <v>0</v>
      </c>
      <c r="H2118" s="92" t="s">
        <v>10</v>
      </c>
    </row>
    <row r="2119" spans="1:8" ht="21.75" customHeight="1" x14ac:dyDescent="0.25">
      <c r="A2119" s="35">
        <v>44671</v>
      </c>
      <c r="B2119" s="90" t="s">
        <v>12781</v>
      </c>
      <c r="C2119" s="41" t="s">
        <v>275</v>
      </c>
      <c r="D2119" s="87">
        <v>142156.70000000001</v>
      </c>
      <c r="E2119" s="35">
        <v>44681</v>
      </c>
      <c r="F2119" s="87">
        <v>142156.70000000001</v>
      </c>
      <c r="G2119" s="91">
        <f>Tabla15[[#This Row],[Importe]]-Tabla15[[#This Row],[Pagado]]</f>
        <v>0</v>
      </c>
      <c r="H2119" s="92" t="s">
        <v>10</v>
      </c>
    </row>
    <row r="2120" spans="1:8" ht="21.75" customHeight="1" x14ac:dyDescent="0.25">
      <c r="A2120" s="35">
        <v>44671</v>
      </c>
      <c r="B2120" s="90" t="s">
        <v>12782</v>
      </c>
      <c r="C2120" s="41" t="s">
        <v>284</v>
      </c>
      <c r="D2120" s="87">
        <v>8512</v>
      </c>
      <c r="E2120" s="35">
        <v>44672</v>
      </c>
      <c r="F2120" s="87">
        <v>8512</v>
      </c>
      <c r="G2120" s="91">
        <f>Tabla15[[#This Row],[Importe]]-Tabla15[[#This Row],[Pagado]]</f>
        <v>0</v>
      </c>
      <c r="H2120" s="92" t="s">
        <v>10</v>
      </c>
    </row>
    <row r="2121" spans="1:8" ht="21.75" customHeight="1" x14ac:dyDescent="0.25">
      <c r="A2121" s="35">
        <v>44671</v>
      </c>
      <c r="B2121" s="90" t="s">
        <v>12783</v>
      </c>
      <c r="C2121" s="41" t="s">
        <v>12107</v>
      </c>
      <c r="D2121" s="87">
        <v>2270.8000000000002</v>
      </c>
      <c r="E2121" s="35">
        <v>44671</v>
      </c>
      <c r="F2121" s="87">
        <v>2270.8000000000002</v>
      </c>
      <c r="G2121" s="91">
        <f>Tabla15[[#This Row],[Importe]]-Tabla15[[#This Row],[Pagado]]</f>
        <v>0</v>
      </c>
      <c r="H2121" s="92" t="s">
        <v>10</v>
      </c>
    </row>
    <row r="2122" spans="1:8" ht="21.75" customHeight="1" x14ac:dyDescent="0.25">
      <c r="A2122" s="35">
        <v>44671</v>
      </c>
      <c r="B2122" s="90" t="s">
        <v>12784</v>
      </c>
      <c r="C2122" s="41" t="s">
        <v>5345</v>
      </c>
      <c r="D2122" s="87">
        <v>1142.4000000000001</v>
      </c>
      <c r="E2122" s="35">
        <v>44672</v>
      </c>
      <c r="F2122" s="87">
        <v>1142.4000000000001</v>
      </c>
      <c r="G2122" s="91">
        <f>Tabla15[[#This Row],[Importe]]-Tabla15[[#This Row],[Pagado]]</f>
        <v>0</v>
      </c>
      <c r="H2122" s="92" t="s">
        <v>10</v>
      </c>
    </row>
    <row r="2123" spans="1:8" ht="21.75" customHeight="1" x14ac:dyDescent="0.25">
      <c r="A2123" s="35">
        <v>44671</v>
      </c>
      <c r="B2123" s="90" t="s">
        <v>12785</v>
      </c>
      <c r="C2123" s="41" t="s">
        <v>280</v>
      </c>
      <c r="D2123" s="87">
        <v>828.8</v>
      </c>
      <c r="E2123" s="35">
        <v>44672</v>
      </c>
      <c r="F2123" s="87">
        <v>828.8</v>
      </c>
      <c r="G2123" s="91">
        <f>Tabla15[[#This Row],[Importe]]-Tabla15[[#This Row],[Pagado]]</f>
        <v>0</v>
      </c>
      <c r="H2123" s="92" t="s">
        <v>10</v>
      </c>
    </row>
    <row r="2124" spans="1:8" ht="21.75" customHeight="1" x14ac:dyDescent="0.25">
      <c r="A2124" s="35">
        <v>44671</v>
      </c>
      <c r="B2124" s="90" t="s">
        <v>12786</v>
      </c>
      <c r="C2124" s="41" t="s">
        <v>200</v>
      </c>
      <c r="D2124" s="87">
        <v>644</v>
      </c>
      <c r="E2124" s="35">
        <v>44672</v>
      </c>
      <c r="F2124" s="87">
        <v>644</v>
      </c>
      <c r="G2124" s="91">
        <f>Tabla15[[#This Row],[Importe]]-Tabla15[[#This Row],[Pagado]]</f>
        <v>0</v>
      </c>
      <c r="H2124" s="92" t="s">
        <v>10</v>
      </c>
    </row>
    <row r="2125" spans="1:8" ht="21.75" customHeight="1" x14ac:dyDescent="0.25">
      <c r="A2125" s="35">
        <v>44671</v>
      </c>
      <c r="B2125" s="90" t="s">
        <v>12787</v>
      </c>
      <c r="C2125" s="41" t="s">
        <v>1339</v>
      </c>
      <c r="D2125" s="87">
        <v>3416.6</v>
      </c>
      <c r="E2125" s="35">
        <v>44671</v>
      </c>
      <c r="F2125" s="87">
        <v>3416.6</v>
      </c>
      <c r="G2125" s="91">
        <f>Tabla15[[#This Row],[Importe]]-Tabla15[[#This Row],[Pagado]]</f>
        <v>0</v>
      </c>
      <c r="H2125" s="92" t="s">
        <v>10</v>
      </c>
    </row>
    <row r="2126" spans="1:8" ht="21.75" customHeight="1" x14ac:dyDescent="0.25">
      <c r="A2126" s="35">
        <v>44671</v>
      </c>
      <c r="B2126" s="90" t="s">
        <v>12788</v>
      </c>
      <c r="C2126" s="41" t="s">
        <v>181</v>
      </c>
      <c r="D2126" s="87">
        <v>9669.2000000000007</v>
      </c>
      <c r="E2126" s="35">
        <v>44672</v>
      </c>
      <c r="F2126" s="87">
        <v>9669.2000000000007</v>
      </c>
      <c r="G2126" s="91">
        <f>Tabla15[[#This Row],[Importe]]-Tabla15[[#This Row],[Pagado]]</f>
        <v>0</v>
      </c>
      <c r="H2126" s="92" t="s">
        <v>10</v>
      </c>
    </row>
    <row r="2127" spans="1:8" ht="21.75" customHeight="1" x14ac:dyDescent="0.25">
      <c r="A2127" s="35">
        <v>44671</v>
      </c>
      <c r="B2127" s="90" t="s">
        <v>12789</v>
      </c>
      <c r="C2127" s="41" t="s">
        <v>1481</v>
      </c>
      <c r="D2127" s="87">
        <v>2422.1</v>
      </c>
      <c r="E2127" s="35">
        <v>44672</v>
      </c>
      <c r="F2127" s="87">
        <v>2422.1</v>
      </c>
      <c r="G2127" s="91">
        <f>Tabla15[[#This Row],[Importe]]-Tabla15[[#This Row],[Pagado]]</f>
        <v>0</v>
      </c>
      <c r="H2127" s="92" t="s">
        <v>10</v>
      </c>
    </row>
    <row r="2128" spans="1:8" ht="21.75" customHeight="1" x14ac:dyDescent="0.25">
      <c r="A2128" s="35">
        <v>44671</v>
      </c>
      <c r="B2128" s="90" t="s">
        <v>12790</v>
      </c>
      <c r="C2128" s="41" t="s">
        <v>175</v>
      </c>
      <c r="D2128" s="87">
        <v>12660.6</v>
      </c>
      <c r="E2128" s="35">
        <v>44672</v>
      </c>
      <c r="F2128" s="87">
        <v>12660.6</v>
      </c>
      <c r="G2128" s="91">
        <f>Tabla15[[#This Row],[Importe]]-Tabla15[[#This Row],[Pagado]]</f>
        <v>0</v>
      </c>
      <c r="H2128" s="92" t="s">
        <v>10</v>
      </c>
    </row>
    <row r="2129" spans="1:8" ht="21.75" customHeight="1" x14ac:dyDescent="0.25">
      <c r="A2129" s="35">
        <v>44671</v>
      </c>
      <c r="B2129" s="90" t="s">
        <v>12791</v>
      </c>
      <c r="C2129" s="41" t="s">
        <v>12792</v>
      </c>
      <c r="D2129" s="87">
        <v>0</v>
      </c>
      <c r="E2129" s="39" t="s">
        <v>189</v>
      </c>
      <c r="F2129" s="87">
        <v>0</v>
      </c>
      <c r="G2129" s="91">
        <f>Tabla15[[#This Row],[Importe]]-Tabla15[[#This Row],[Pagado]]</f>
        <v>0</v>
      </c>
      <c r="H2129" s="92" t="s">
        <v>189</v>
      </c>
    </row>
    <row r="2130" spans="1:8" ht="21.75" customHeight="1" x14ac:dyDescent="0.25">
      <c r="A2130" s="35">
        <v>44671</v>
      </c>
      <c r="B2130" s="90" t="s">
        <v>12793</v>
      </c>
      <c r="C2130" s="41" t="s">
        <v>359</v>
      </c>
      <c r="D2130" s="87">
        <v>1440.4</v>
      </c>
      <c r="E2130" s="35">
        <v>44672</v>
      </c>
      <c r="F2130" s="87">
        <v>1440.4</v>
      </c>
      <c r="G2130" s="91">
        <f>Tabla15[[#This Row],[Importe]]-Tabla15[[#This Row],[Pagado]]</f>
        <v>0</v>
      </c>
      <c r="H2130" s="92" t="s">
        <v>10</v>
      </c>
    </row>
    <row r="2131" spans="1:8" ht="21.75" customHeight="1" x14ac:dyDescent="0.25">
      <c r="A2131" s="35">
        <v>44671</v>
      </c>
      <c r="B2131" s="90" t="s">
        <v>12794</v>
      </c>
      <c r="C2131" s="41" t="s">
        <v>69</v>
      </c>
      <c r="D2131" s="87">
        <v>991.2</v>
      </c>
      <c r="E2131" s="35">
        <v>44671</v>
      </c>
      <c r="F2131" s="87">
        <v>991.2</v>
      </c>
      <c r="G2131" s="91">
        <f>Tabla15[[#This Row],[Importe]]-Tabla15[[#This Row],[Pagado]]</f>
        <v>0</v>
      </c>
      <c r="H2131" s="92" t="s">
        <v>10</v>
      </c>
    </row>
    <row r="2132" spans="1:8" ht="21.75" customHeight="1" x14ac:dyDescent="0.25">
      <c r="A2132" s="35">
        <v>44671</v>
      </c>
      <c r="B2132" s="90" t="s">
        <v>12795</v>
      </c>
      <c r="C2132" s="41" t="s">
        <v>71</v>
      </c>
      <c r="D2132" s="87">
        <v>1206</v>
      </c>
      <c r="E2132" s="35">
        <v>44671</v>
      </c>
      <c r="F2132" s="87">
        <v>1206</v>
      </c>
      <c r="G2132" s="91">
        <f>Tabla15[[#This Row],[Importe]]-Tabla15[[#This Row],[Pagado]]</f>
        <v>0</v>
      </c>
      <c r="H2132" s="92" t="s">
        <v>10</v>
      </c>
    </row>
    <row r="2133" spans="1:8" ht="21.75" customHeight="1" x14ac:dyDescent="0.25">
      <c r="A2133" s="35">
        <v>44671</v>
      </c>
      <c r="B2133" s="90" t="s">
        <v>12796</v>
      </c>
      <c r="C2133" s="41" t="s">
        <v>670</v>
      </c>
      <c r="D2133" s="87">
        <v>1160</v>
      </c>
      <c r="E2133" s="35">
        <v>44671</v>
      </c>
      <c r="F2133" s="87">
        <v>1160</v>
      </c>
      <c r="G2133" s="91">
        <f>Tabla15[[#This Row],[Importe]]-Tabla15[[#This Row],[Pagado]]</f>
        <v>0</v>
      </c>
      <c r="H2133" s="92" t="s">
        <v>10</v>
      </c>
    </row>
    <row r="2134" spans="1:8" ht="21.75" customHeight="1" x14ac:dyDescent="0.25">
      <c r="A2134" s="35">
        <v>44671</v>
      </c>
      <c r="B2134" s="90" t="s">
        <v>12797</v>
      </c>
      <c r="C2134" s="41" t="s">
        <v>298</v>
      </c>
      <c r="D2134" s="87">
        <v>2656.8</v>
      </c>
      <c r="E2134" s="35">
        <v>44671</v>
      </c>
      <c r="F2134" s="87">
        <v>2656.8</v>
      </c>
      <c r="G2134" s="91">
        <f>Tabla15[[#This Row],[Importe]]-Tabla15[[#This Row],[Pagado]]</f>
        <v>0</v>
      </c>
      <c r="H2134" s="92" t="s">
        <v>10</v>
      </c>
    </row>
    <row r="2135" spans="1:8" ht="21.75" customHeight="1" x14ac:dyDescent="0.25">
      <c r="A2135" s="35">
        <v>44671</v>
      </c>
      <c r="B2135" s="90" t="s">
        <v>12798</v>
      </c>
      <c r="C2135" s="41" t="s">
        <v>31</v>
      </c>
      <c r="D2135" s="87">
        <v>1153.5999999999999</v>
      </c>
      <c r="E2135" s="35">
        <v>44671</v>
      </c>
      <c r="F2135" s="87">
        <v>1153.5999999999999</v>
      </c>
      <c r="G2135" s="91">
        <f>Tabla15[[#This Row],[Importe]]-Tabla15[[#This Row],[Pagado]]</f>
        <v>0</v>
      </c>
      <c r="H2135" s="92" t="s">
        <v>10</v>
      </c>
    </row>
    <row r="2136" spans="1:8" ht="21.75" customHeight="1" x14ac:dyDescent="0.25">
      <c r="A2136" s="35">
        <v>44671</v>
      </c>
      <c r="B2136" s="90" t="s">
        <v>12799</v>
      </c>
      <c r="C2136" s="41" t="s">
        <v>10840</v>
      </c>
      <c r="D2136" s="87">
        <v>660.4</v>
      </c>
      <c r="E2136" s="35">
        <v>44671</v>
      </c>
      <c r="F2136" s="87">
        <v>660.4</v>
      </c>
      <c r="G2136" s="91">
        <f>Tabla15[[#This Row],[Importe]]-Tabla15[[#This Row],[Pagado]]</f>
        <v>0</v>
      </c>
      <c r="H2136" s="92" t="s">
        <v>10</v>
      </c>
    </row>
    <row r="2137" spans="1:8" ht="21.75" customHeight="1" x14ac:dyDescent="0.25">
      <c r="A2137" s="35">
        <v>44671</v>
      </c>
      <c r="B2137" s="90" t="s">
        <v>12800</v>
      </c>
      <c r="C2137" s="41" t="s">
        <v>286</v>
      </c>
      <c r="D2137" s="87">
        <v>44443.4</v>
      </c>
      <c r="E2137" s="35">
        <v>44673</v>
      </c>
      <c r="F2137" s="87">
        <v>44443.4</v>
      </c>
      <c r="G2137" s="91">
        <f>Tabla15[[#This Row],[Importe]]-Tabla15[[#This Row],[Pagado]]</f>
        <v>0</v>
      </c>
      <c r="H2137" s="92" t="s">
        <v>10</v>
      </c>
    </row>
    <row r="2138" spans="1:8" ht="21.75" customHeight="1" x14ac:dyDescent="0.25">
      <c r="A2138" s="35">
        <v>44671</v>
      </c>
      <c r="B2138" s="90" t="s">
        <v>12801</v>
      </c>
      <c r="C2138" s="41" t="s">
        <v>2961</v>
      </c>
      <c r="D2138" s="87">
        <v>69912</v>
      </c>
      <c r="E2138" s="35">
        <v>44673</v>
      </c>
      <c r="F2138" s="87">
        <v>69912</v>
      </c>
      <c r="G2138" s="91">
        <f>Tabla15[[#This Row],[Importe]]-Tabla15[[#This Row],[Pagado]]</f>
        <v>0</v>
      </c>
      <c r="H2138" s="92" t="s">
        <v>10</v>
      </c>
    </row>
    <row r="2139" spans="1:8" ht="21.75" customHeight="1" x14ac:dyDescent="0.25">
      <c r="A2139" s="35">
        <v>44671</v>
      </c>
      <c r="B2139" s="90" t="s">
        <v>12802</v>
      </c>
      <c r="C2139" s="41" t="s">
        <v>1008</v>
      </c>
      <c r="D2139" s="87">
        <v>4003.6</v>
      </c>
      <c r="E2139" s="35">
        <v>44671</v>
      </c>
      <c r="F2139" s="87">
        <v>4003.6</v>
      </c>
      <c r="G2139" s="91">
        <f>Tabla15[[#This Row],[Importe]]-Tabla15[[#This Row],[Pagado]]</f>
        <v>0</v>
      </c>
      <c r="H2139" s="92" t="s">
        <v>10</v>
      </c>
    </row>
    <row r="2140" spans="1:8" ht="21.75" customHeight="1" x14ac:dyDescent="0.25">
      <c r="A2140" s="35">
        <v>44671</v>
      </c>
      <c r="B2140" s="90" t="s">
        <v>12803</v>
      </c>
      <c r="C2140" s="41" t="s">
        <v>9993</v>
      </c>
      <c r="D2140" s="87">
        <v>22244</v>
      </c>
      <c r="E2140" s="35">
        <v>44671</v>
      </c>
      <c r="F2140" s="87">
        <v>22244</v>
      </c>
      <c r="G2140" s="91">
        <f>Tabla15[[#This Row],[Importe]]-Tabla15[[#This Row],[Pagado]]</f>
        <v>0</v>
      </c>
      <c r="H2140" s="92" t="s">
        <v>10</v>
      </c>
    </row>
    <row r="2141" spans="1:8" ht="21.75" customHeight="1" x14ac:dyDescent="0.25">
      <c r="A2141" s="35">
        <v>44671</v>
      </c>
      <c r="B2141" s="90" t="s">
        <v>12804</v>
      </c>
      <c r="C2141" s="41" t="s">
        <v>610</v>
      </c>
      <c r="D2141" s="87">
        <v>20420.400000000001</v>
      </c>
      <c r="E2141" s="35">
        <v>44671</v>
      </c>
      <c r="F2141" s="87">
        <v>20420.400000000001</v>
      </c>
      <c r="G2141" s="91">
        <f>Tabla15[[#This Row],[Importe]]-Tabla15[[#This Row],[Pagado]]</f>
        <v>0</v>
      </c>
      <c r="H2141" s="92" t="s">
        <v>10</v>
      </c>
    </row>
    <row r="2142" spans="1:8" ht="21.75" customHeight="1" x14ac:dyDescent="0.25">
      <c r="A2142" s="35">
        <v>44671</v>
      </c>
      <c r="B2142" s="90" t="s">
        <v>12805</v>
      </c>
      <c r="C2142" s="41" t="s">
        <v>843</v>
      </c>
      <c r="D2142" s="87">
        <v>668.8</v>
      </c>
      <c r="E2142" s="35">
        <v>44671</v>
      </c>
      <c r="F2142" s="87">
        <v>668.8</v>
      </c>
      <c r="G2142" s="91">
        <f>Tabla15[[#This Row],[Importe]]-Tabla15[[#This Row],[Pagado]]</f>
        <v>0</v>
      </c>
      <c r="H2142" s="92" t="s">
        <v>10</v>
      </c>
    </row>
    <row r="2143" spans="1:8" ht="21.75" customHeight="1" x14ac:dyDescent="0.25">
      <c r="A2143" s="35">
        <v>44671</v>
      </c>
      <c r="B2143" s="90" t="s">
        <v>12806</v>
      </c>
      <c r="C2143" s="41" t="s">
        <v>31</v>
      </c>
      <c r="D2143" s="87">
        <v>140</v>
      </c>
      <c r="E2143" s="35">
        <v>44672</v>
      </c>
      <c r="F2143" s="87">
        <v>140</v>
      </c>
      <c r="G2143" s="91">
        <f>Tabla15[[#This Row],[Importe]]-Tabla15[[#This Row],[Pagado]]</f>
        <v>0</v>
      </c>
      <c r="H2143" s="92" t="s">
        <v>10</v>
      </c>
    </row>
    <row r="2144" spans="1:8" ht="21.75" customHeight="1" x14ac:dyDescent="0.25">
      <c r="A2144" s="35">
        <v>44671</v>
      </c>
      <c r="B2144" s="90" t="s">
        <v>12807</v>
      </c>
      <c r="C2144" s="41" t="s">
        <v>442</v>
      </c>
      <c r="D2144" s="87">
        <v>3831</v>
      </c>
      <c r="E2144" s="35">
        <v>44671</v>
      </c>
      <c r="F2144" s="87">
        <v>3831</v>
      </c>
      <c r="G2144" s="91">
        <f>Tabla15[[#This Row],[Importe]]-Tabla15[[#This Row],[Pagado]]</f>
        <v>0</v>
      </c>
      <c r="H2144" s="92" t="s">
        <v>10</v>
      </c>
    </row>
    <row r="2145" spans="1:8" ht="21.75" customHeight="1" x14ac:dyDescent="0.25">
      <c r="A2145" s="35">
        <v>44671</v>
      </c>
      <c r="B2145" s="90" t="s">
        <v>12808</v>
      </c>
      <c r="C2145" s="41" t="s">
        <v>16</v>
      </c>
      <c r="D2145" s="87">
        <v>1714.5</v>
      </c>
      <c r="E2145" s="35">
        <v>44671</v>
      </c>
      <c r="F2145" s="87">
        <v>1714.5</v>
      </c>
      <c r="G2145" s="91">
        <f>Tabla15[[#This Row],[Importe]]-Tabla15[[#This Row],[Pagado]]</f>
        <v>0</v>
      </c>
      <c r="H2145" s="92" t="s">
        <v>10</v>
      </c>
    </row>
    <row r="2146" spans="1:8" ht="21.75" customHeight="1" x14ac:dyDescent="0.25">
      <c r="A2146" s="35">
        <v>44671</v>
      </c>
      <c r="B2146" s="90" t="s">
        <v>12809</v>
      </c>
      <c r="C2146" s="41" t="s">
        <v>918</v>
      </c>
      <c r="D2146" s="87">
        <v>5347.6</v>
      </c>
      <c r="E2146" s="35">
        <v>44672</v>
      </c>
      <c r="F2146" s="87">
        <v>5347.6</v>
      </c>
      <c r="G2146" s="91">
        <f>Tabla15[[#This Row],[Importe]]-Tabla15[[#This Row],[Pagado]]</f>
        <v>0</v>
      </c>
      <c r="H2146" s="92" t="s">
        <v>10</v>
      </c>
    </row>
    <row r="2147" spans="1:8" ht="21.75" customHeight="1" x14ac:dyDescent="0.25">
      <c r="A2147" s="35">
        <v>44671</v>
      </c>
      <c r="B2147" s="90" t="s">
        <v>12810</v>
      </c>
      <c r="C2147" s="41" t="s">
        <v>400</v>
      </c>
      <c r="D2147" s="87">
        <v>4752</v>
      </c>
      <c r="E2147" s="35">
        <v>44678</v>
      </c>
      <c r="F2147" s="87">
        <v>4752</v>
      </c>
      <c r="G2147" s="91">
        <f>Tabla15[[#This Row],[Importe]]-Tabla15[[#This Row],[Pagado]]</f>
        <v>0</v>
      </c>
      <c r="H2147" s="92" t="s">
        <v>10</v>
      </c>
    </row>
    <row r="2148" spans="1:8" ht="21.75" customHeight="1" x14ac:dyDescent="0.25">
      <c r="A2148" s="35">
        <v>44671</v>
      </c>
      <c r="B2148" s="90" t="s">
        <v>12811</v>
      </c>
      <c r="C2148" s="41" t="s">
        <v>125</v>
      </c>
      <c r="D2148" s="87">
        <v>3409.9</v>
      </c>
      <c r="E2148" s="35">
        <v>44672</v>
      </c>
      <c r="F2148" s="87">
        <v>3409.9</v>
      </c>
      <c r="G2148" s="91">
        <f>Tabla15[[#This Row],[Importe]]-Tabla15[[#This Row],[Pagado]]</f>
        <v>0</v>
      </c>
      <c r="H2148" s="92" t="s">
        <v>10</v>
      </c>
    </row>
    <row r="2149" spans="1:8" ht="21.75" customHeight="1" x14ac:dyDescent="0.25">
      <c r="A2149" s="35">
        <v>44671</v>
      </c>
      <c r="B2149" s="90" t="s">
        <v>12812</v>
      </c>
      <c r="C2149" s="41" t="s">
        <v>31</v>
      </c>
      <c r="D2149" s="87">
        <v>180</v>
      </c>
      <c r="E2149" s="35">
        <v>44672</v>
      </c>
      <c r="F2149" s="87">
        <v>180</v>
      </c>
      <c r="G2149" s="91">
        <f>Tabla15[[#This Row],[Importe]]-Tabla15[[#This Row],[Pagado]]</f>
        <v>0</v>
      </c>
      <c r="H2149" s="92" t="s">
        <v>10</v>
      </c>
    </row>
    <row r="2150" spans="1:8" ht="21.75" customHeight="1" x14ac:dyDescent="0.25">
      <c r="A2150" s="35">
        <v>44672</v>
      </c>
      <c r="B2150" s="90" t="s">
        <v>12813</v>
      </c>
      <c r="C2150" s="41" t="s">
        <v>20</v>
      </c>
      <c r="D2150" s="87">
        <v>2180.8000000000002</v>
      </c>
      <c r="E2150" s="35">
        <v>44672</v>
      </c>
      <c r="F2150" s="87">
        <v>2180.8000000000002</v>
      </c>
      <c r="G2150" s="91">
        <f>Tabla15[[#This Row],[Importe]]-Tabla15[[#This Row],[Pagado]]</f>
        <v>0</v>
      </c>
      <c r="H2150" s="92" t="s">
        <v>10</v>
      </c>
    </row>
    <row r="2151" spans="1:8" ht="21.75" customHeight="1" x14ac:dyDescent="0.25">
      <c r="A2151" s="35">
        <v>44672</v>
      </c>
      <c r="B2151" s="90" t="s">
        <v>12814</v>
      </c>
      <c r="C2151" s="41" t="s">
        <v>475</v>
      </c>
      <c r="D2151" s="87">
        <v>77752.5</v>
      </c>
      <c r="E2151" s="35">
        <v>44673</v>
      </c>
      <c r="F2151" s="87">
        <v>77752.5</v>
      </c>
      <c r="G2151" s="91">
        <f>Tabla15[[#This Row],[Importe]]-Tabla15[[#This Row],[Pagado]]</f>
        <v>0</v>
      </c>
      <c r="H2151" s="92" t="s">
        <v>10</v>
      </c>
    </row>
    <row r="2152" spans="1:8" ht="21.75" customHeight="1" x14ac:dyDescent="0.25">
      <c r="A2152" s="35">
        <v>44672</v>
      </c>
      <c r="B2152" s="90" t="s">
        <v>12815</v>
      </c>
      <c r="C2152" s="41" t="s">
        <v>79</v>
      </c>
      <c r="D2152" s="87">
        <v>9452.7999999999993</v>
      </c>
      <c r="E2152" s="35">
        <v>44672</v>
      </c>
      <c r="F2152" s="87">
        <v>9452.7999999999993</v>
      </c>
      <c r="G2152" s="91">
        <f>Tabla15[[#This Row],[Importe]]-Tabla15[[#This Row],[Pagado]]</f>
        <v>0</v>
      </c>
      <c r="H2152" s="92" t="s">
        <v>10</v>
      </c>
    </row>
    <row r="2153" spans="1:8" ht="21.75" customHeight="1" x14ac:dyDescent="0.25">
      <c r="A2153" s="35">
        <v>44672</v>
      </c>
      <c r="B2153" s="90" t="s">
        <v>12816</v>
      </c>
      <c r="C2153" s="41" t="s">
        <v>520</v>
      </c>
      <c r="D2153" s="87">
        <v>19238.5</v>
      </c>
      <c r="E2153" s="35">
        <v>44672</v>
      </c>
      <c r="F2153" s="87">
        <v>19238.5</v>
      </c>
      <c r="G2153" s="91">
        <f>Tabla15[[#This Row],[Importe]]-Tabla15[[#This Row],[Pagado]]</f>
        <v>0</v>
      </c>
      <c r="H2153" s="92" t="s">
        <v>10</v>
      </c>
    </row>
    <row r="2154" spans="1:8" ht="21.75" customHeight="1" x14ac:dyDescent="0.25">
      <c r="A2154" s="35">
        <v>44672</v>
      </c>
      <c r="B2154" s="90" t="s">
        <v>12817</v>
      </c>
      <c r="C2154" s="41" t="s">
        <v>481</v>
      </c>
      <c r="D2154" s="87">
        <v>1081.8</v>
      </c>
      <c r="E2154" s="35">
        <v>44672</v>
      </c>
      <c r="F2154" s="87">
        <v>1081.8</v>
      </c>
      <c r="G2154" s="91">
        <f>Tabla15[[#This Row],[Importe]]-Tabla15[[#This Row],[Pagado]]</f>
        <v>0</v>
      </c>
      <c r="H2154" s="92" t="s">
        <v>10</v>
      </c>
    </row>
    <row r="2155" spans="1:8" ht="21.75" customHeight="1" x14ac:dyDescent="0.25">
      <c r="A2155" s="35">
        <v>44672</v>
      </c>
      <c r="B2155" s="90" t="s">
        <v>12818</v>
      </c>
      <c r="C2155" s="41" t="s">
        <v>157</v>
      </c>
      <c r="D2155" s="87">
        <v>3097.6</v>
      </c>
      <c r="E2155" s="35">
        <v>44672</v>
      </c>
      <c r="F2155" s="87">
        <v>3097.6</v>
      </c>
      <c r="G2155" s="91">
        <f>Tabla15[[#This Row],[Importe]]-Tabla15[[#This Row],[Pagado]]</f>
        <v>0</v>
      </c>
      <c r="H2155" s="92" t="s">
        <v>10</v>
      </c>
    </row>
    <row r="2156" spans="1:8" ht="21.75" customHeight="1" x14ac:dyDescent="0.25">
      <c r="A2156" s="35">
        <v>44672</v>
      </c>
      <c r="B2156" s="90" t="s">
        <v>12819</v>
      </c>
      <c r="C2156" s="41" t="s">
        <v>83</v>
      </c>
      <c r="D2156" s="87">
        <v>8785.6</v>
      </c>
      <c r="E2156" s="35">
        <v>44672</v>
      </c>
      <c r="F2156" s="87">
        <v>8785.6</v>
      </c>
      <c r="G2156" s="91">
        <f>Tabla15[[#This Row],[Importe]]-Tabla15[[#This Row],[Pagado]]</f>
        <v>0</v>
      </c>
      <c r="H2156" s="92" t="s">
        <v>10</v>
      </c>
    </row>
    <row r="2157" spans="1:8" ht="21.75" customHeight="1" x14ac:dyDescent="0.25">
      <c r="A2157" s="35">
        <v>44672</v>
      </c>
      <c r="B2157" s="90" t="s">
        <v>12820</v>
      </c>
      <c r="C2157" s="41" t="s">
        <v>75</v>
      </c>
      <c r="D2157" s="87">
        <v>5068</v>
      </c>
      <c r="E2157" s="35">
        <v>44672</v>
      </c>
      <c r="F2157" s="87">
        <v>5068</v>
      </c>
      <c r="G2157" s="91">
        <f>Tabla15[[#This Row],[Importe]]-Tabla15[[#This Row],[Pagado]]</f>
        <v>0</v>
      </c>
      <c r="H2157" s="92" t="s">
        <v>10</v>
      </c>
    </row>
    <row r="2158" spans="1:8" ht="21.75" customHeight="1" x14ac:dyDescent="0.25">
      <c r="A2158" s="35">
        <v>44672</v>
      </c>
      <c r="B2158" s="90" t="s">
        <v>12821</v>
      </c>
      <c r="C2158" s="41" t="s">
        <v>618</v>
      </c>
      <c r="D2158" s="87">
        <v>10737</v>
      </c>
      <c r="E2158" s="35">
        <v>44672</v>
      </c>
      <c r="F2158" s="87">
        <v>10737</v>
      </c>
      <c r="G2158" s="91">
        <f>Tabla15[[#This Row],[Importe]]-Tabla15[[#This Row],[Pagado]]</f>
        <v>0</v>
      </c>
      <c r="H2158" s="92" t="s">
        <v>10</v>
      </c>
    </row>
    <row r="2159" spans="1:8" ht="21.75" customHeight="1" x14ac:dyDescent="0.25">
      <c r="A2159" s="35">
        <v>44672</v>
      </c>
      <c r="B2159" s="90" t="s">
        <v>12822</v>
      </c>
      <c r="C2159" s="41" t="s">
        <v>473</v>
      </c>
      <c r="D2159" s="87">
        <v>8786.7999999999993</v>
      </c>
      <c r="E2159" s="35">
        <v>44672</v>
      </c>
      <c r="F2159" s="87">
        <v>8786.7999999999993</v>
      </c>
      <c r="G2159" s="91">
        <f>Tabla15[[#This Row],[Importe]]-Tabla15[[#This Row],[Pagado]]</f>
        <v>0</v>
      </c>
      <c r="H2159" s="92" t="s">
        <v>10</v>
      </c>
    </row>
    <row r="2160" spans="1:8" ht="21.75" customHeight="1" x14ac:dyDescent="0.25">
      <c r="A2160" s="35">
        <v>44672</v>
      </c>
      <c r="B2160" s="90" t="s">
        <v>12823</v>
      </c>
      <c r="C2160" s="41" t="s">
        <v>9</v>
      </c>
      <c r="D2160" s="87">
        <v>7316.2</v>
      </c>
      <c r="E2160" s="35">
        <v>44672</v>
      </c>
      <c r="F2160" s="87">
        <v>7316.2</v>
      </c>
      <c r="G2160" s="91">
        <f>Tabla15[[#This Row],[Importe]]-Tabla15[[#This Row],[Pagado]]</f>
        <v>0</v>
      </c>
      <c r="H2160" s="92" t="s">
        <v>10</v>
      </c>
    </row>
    <row r="2161" spans="1:8" ht="21.75" customHeight="1" x14ac:dyDescent="0.25">
      <c r="A2161" s="35">
        <v>44672</v>
      </c>
      <c r="B2161" s="90" t="s">
        <v>12824</v>
      </c>
      <c r="C2161" s="41" t="s">
        <v>175</v>
      </c>
      <c r="D2161" s="87">
        <v>30271.1</v>
      </c>
      <c r="E2161" s="35">
        <v>44672</v>
      </c>
      <c r="F2161" s="87">
        <v>30271.1</v>
      </c>
      <c r="G2161" s="91">
        <f>Tabla15[[#This Row],[Importe]]-Tabla15[[#This Row],[Pagado]]</f>
        <v>0</v>
      </c>
      <c r="H2161" s="92" t="s">
        <v>10</v>
      </c>
    </row>
    <row r="2162" spans="1:8" ht="21.75" customHeight="1" x14ac:dyDescent="0.25">
      <c r="A2162" s="35">
        <v>44672</v>
      </c>
      <c r="B2162" s="90" t="s">
        <v>12825</v>
      </c>
      <c r="C2162" s="41" t="s">
        <v>85</v>
      </c>
      <c r="D2162" s="87">
        <v>2200.8000000000002</v>
      </c>
      <c r="E2162" s="35">
        <v>44672</v>
      </c>
      <c r="F2162" s="87">
        <v>2200.8000000000002</v>
      </c>
      <c r="G2162" s="91">
        <f>Tabla15[[#This Row],[Importe]]-Tabla15[[#This Row],[Pagado]]</f>
        <v>0</v>
      </c>
      <c r="H2162" s="92" t="s">
        <v>10</v>
      </c>
    </row>
    <row r="2163" spans="1:8" ht="21.75" customHeight="1" x14ac:dyDescent="0.25">
      <c r="A2163" s="35">
        <v>44672</v>
      </c>
      <c r="B2163" s="90" t="s">
        <v>12826</v>
      </c>
      <c r="C2163" s="41" t="s">
        <v>12827</v>
      </c>
      <c r="D2163" s="87">
        <v>0</v>
      </c>
      <c r="E2163" s="39" t="s">
        <v>189</v>
      </c>
      <c r="F2163" s="87">
        <v>0</v>
      </c>
      <c r="G2163" s="91">
        <f>Tabla15[[#This Row],[Importe]]-Tabla15[[#This Row],[Pagado]]</f>
        <v>0</v>
      </c>
      <c r="H2163" s="92" t="s">
        <v>189</v>
      </c>
    </row>
    <row r="2164" spans="1:8" ht="21.75" customHeight="1" x14ac:dyDescent="0.25">
      <c r="A2164" s="35">
        <v>44672</v>
      </c>
      <c r="B2164" s="90" t="s">
        <v>12828</v>
      </c>
      <c r="C2164" s="41" t="s">
        <v>49</v>
      </c>
      <c r="D2164" s="87">
        <v>3085.2</v>
      </c>
      <c r="E2164" s="35">
        <v>44672</v>
      </c>
      <c r="F2164" s="87">
        <v>3085.2</v>
      </c>
      <c r="G2164" s="91">
        <f>Tabla15[[#This Row],[Importe]]-Tabla15[[#This Row],[Pagado]]</f>
        <v>0</v>
      </c>
      <c r="H2164" s="92" t="s">
        <v>10</v>
      </c>
    </row>
    <row r="2165" spans="1:8" ht="21.75" customHeight="1" x14ac:dyDescent="0.25">
      <c r="A2165" s="35">
        <v>44672</v>
      </c>
      <c r="B2165" s="90" t="s">
        <v>12829</v>
      </c>
      <c r="C2165" s="41" t="s">
        <v>359</v>
      </c>
      <c r="D2165" s="87">
        <v>1200.2</v>
      </c>
      <c r="E2165" s="35">
        <v>44672</v>
      </c>
      <c r="F2165" s="87">
        <v>1200.2</v>
      </c>
      <c r="G2165" s="91">
        <f>Tabla15[[#This Row],[Importe]]-Tabla15[[#This Row],[Pagado]]</f>
        <v>0</v>
      </c>
      <c r="H2165" s="92" t="s">
        <v>10</v>
      </c>
    </row>
    <row r="2166" spans="1:8" ht="21.75" customHeight="1" x14ac:dyDescent="0.25">
      <c r="A2166" s="35">
        <v>44672</v>
      </c>
      <c r="B2166" s="90" t="s">
        <v>12830</v>
      </c>
      <c r="C2166" s="41" t="s">
        <v>89</v>
      </c>
      <c r="D2166" s="87">
        <v>8276.4</v>
      </c>
      <c r="E2166" s="35">
        <v>44673</v>
      </c>
      <c r="F2166" s="87">
        <v>8276.4</v>
      </c>
      <c r="G2166" s="91">
        <f>Tabla15[[#This Row],[Importe]]-Tabla15[[#This Row],[Pagado]]</f>
        <v>0</v>
      </c>
      <c r="H2166" s="92" t="s">
        <v>10</v>
      </c>
    </row>
    <row r="2167" spans="1:8" ht="21.75" customHeight="1" x14ac:dyDescent="0.25">
      <c r="A2167" s="35">
        <v>44672</v>
      </c>
      <c r="B2167" s="90" t="s">
        <v>12831</v>
      </c>
      <c r="C2167" s="41" t="s">
        <v>60</v>
      </c>
      <c r="D2167" s="87">
        <v>4876</v>
      </c>
      <c r="E2167" s="35">
        <v>44676</v>
      </c>
      <c r="F2167" s="87">
        <v>4876</v>
      </c>
      <c r="G2167" s="91">
        <f>Tabla15[[#This Row],[Importe]]-Tabla15[[#This Row],[Pagado]]</f>
        <v>0</v>
      </c>
      <c r="H2167" s="92" t="s">
        <v>10</v>
      </c>
    </row>
    <row r="2168" spans="1:8" ht="21.75" customHeight="1" x14ac:dyDescent="0.25">
      <c r="A2168" s="35">
        <v>44672</v>
      </c>
      <c r="B2168" s="90" t="s">
        <v>12832</v>
      </c>
      <c r="C2168" s="41" t="s">
        <v>64</v>
      </c>
      <c r="D2168" s="87">
        <v>3858.4</v>
      </c>
      <c r="E2168" s="35">
        <v>44673</v>
      </c>
      <c r="F2168" s="87">
        <v>3858.4</v>
      </c>
      <c r="G2168" s="91">
        <f>Tabla15[[#This Row],[Importe]]-Tabla15[[#This Row],[Pagado]]</f>
        <v>0</v>
      </c>
      <c r="H2168" s="92" t="s">
        <v>10</v>
      </c>
    </row>
    <row r="2169" spans="1:8" ht="21.75" customHeight="1" x14ac:dyDescent="0.25">
      <c r="A2169" s="35">
        <v>44672</v>
      </c>
      <c r="B2169" s="90" t="s">
        <v>12833</v>
      </c>
      <c r="C2169" s="41" t="s">
        <v>348</v>
      </c>
      <c r="D2169" s="87">
        <v>3224.1</v>
      </c>
      <c r="E2169" s="35">
        <v>44672</v>
      </c>
      <c r="F2169" s="87">
        <v>3224.1</v>
      </c>
      <c r="G2169" s="91">
        <f>Tabla15[[#This Row],[Importe]]-Tabla15[[#This Row],[Pagado]]</f>
        <v>0</v>
      </c>
      <c r="H2169" s="92" t="s">
        <v>10</v>
      </c>
    </row>
    <row r="2170" spans="1:8" ht="21.75" customHeight="1" x14ac:dyDescent="0.25">
      <c r="A2170" s="35">
        <v>44672</v>
      </c>
      <c r="B2170" s="90" t="s">
        <v>12834</v>
      </c>
      <c r="C2170" s="41" t="s">
        <v>12202</v>
      </c>
      <c r="D2170" s="87">
        <v>4200</v>
      </c>
      <c r="E2170" s="35">
        <v>44672</v>
      </c>
      <c r="F2170" s="87">
        <v>4200</v>
      </c>
      <c r="G2170" s="91">
        <f>Tabla15[[#This Row],[Importe]]-Tabla15[[#This Row],[Pagado]]</f>
        <v>0</v>
      </c>
      <c r="H2170" s="92" t="s">
        <v>10</v>
      </c>
    </row>
    <row r="2171" spans="1:8" ht="21.75" customHeight="1" x14ac:dyDescent="0.25">
      <c r="A2171" s="35">
        <v>44672</v>
      </c>
      <c r="B2171" s="90" t="s">
        <v>12835</v>
      </c>
      <c r="C2171" s="41" t="s">
        <v>105</v>
      </c>
      <c r="D2171" s="87">
        <v>5481.3</v>
      </c>
      <c r="E2171" s="35">
        <v>44673</v>
      </c>
      <c r="F2171" s="87">
        <v>5481.3</v>
      </c>
      <c r="G2171" s="91">
        <f>Tabla15[[#This Row],[Importe]]-Tabla15[[#This Row],[Pagado]]</f>
        <v>0</v>
      </c>
      <c r="H2171" s="92" t="s">
        <v>10</v>
      </c>
    </row>
    <row r="2172" spans="1:8" ht="21.75" customHeight="1" x14ac:dyDescent="0.25">
      <c r="A2172" s="35">
        <v>44672</v>
      </c>
      <c r="B2172" s="90" t="s">
        <v>12836</v>
      </c>
      <c r="C2172" s="41" t="s">
        <v>2151</v>
      </c>
      <c r="D2172" s="87">
        <v>20539</v>
      </c>
      <c r="E2172" s="35">
        <v>44672</v>
      </c>
      <c r="F2172" s="87">
        <v>20539</v>
      </c>
      <c r="G2172" s="91">
        <f>Tabla15[[#This Row],[Importe]]-Tabla15[[#This Row],[Pagado]]</f>
        <v>0</v>
      </c>
      <c r="H2172" s="92" t="s">
        <v>10</v>
      </c>
    </row>
    <row r="2173" spans="1:8" ht="21.75" customHeight="1" x14ac:dyDescent="0.25">
      <c r="A2173" s="35">
        <v>44672</v>
      </c>
      <c r="B2173" s="90" t="s">
        <v>12837</v>
      </c>
      <c r="C2173" s="41" t="s">
        <v>99</v>
      </c>
      <c r="D2173" s="87">
        <v>2246.6999999999998</v>
      </c>
      <c r="E2173" s="35">
        <v>44674</v>
      </c>
      <c r="F2173" s="87">
        <v>2246.6999999999998</v>
      </c>
      <c r="G2173" s="91">
        <f>Tabla15[[#This Row],[Importe]]-Tabla15[[#This Row],[Pagado]]</f>
        <v>0</v>
      </c>
      <c r="H2173" s="92" t="s">
        <v>10</v>
      </c>
    </row>
    <row r="2174" spans="1:8" ht="21.75" customHeight="1" x14ac:dyDescent="0.25">
      <c r="A2174" s="35">
        <v>44672</v>
      </c>
      <c r="B2174" s="90" t="s">
        <v>12838</v>
      </c>
      <c r="C2174" s="41" t="s">
        <v>97</v>
      </c>
      <c r="D2174" s="87">
        <v>10723.2</v>
      </c>
      <c r="E2174" s="35">
        <v>44673</v>
      </c>
      <c r="F2174" s="87">
        <v>10723.2</v>
      </c>
      <c r="G2174" s="91">
        <f>Tabla15[[#This Row],[Importe]]-Tabla15[[#This Row],[Pagado]]</f>
        <v>0</v>
      </c>
      <c r="H2174" s="92" t="s">
        <v>10</v>
      </c>
    </row>
    <row r="2175" spans="1:8" ht="21.75" customHeight="1" x14ac:dyDescent="0.25">
      <c r="A2175" s="35">
        <v>44672</v>
      </c>
      <c r="B2175" s="90" t="s">
        <v>12839</v>
      </c>
      <c r="C2175" s="41" t="s">
        <v>39</v>
      </c>
      <c r="D2175" s="87">
        <v>26349.1</v>
      </c>
      <c r="E2175" s="35">
        <v>44675</v>
      </c>
      <c r="F2175" s="87">
        <v>26349.1</v>
      </c>
      <c r="G2175" s="91">
        <f>Tabla15[[#This Row],[Importe]]-Tabla15[[#This Row],[Pagado]]</f>
        <v>0</v>
      </c>
      <c r="H2175" s="92" t="s">
        <v>10</v>
      </c>
    </row>
    <row r="2176" spans="1:8" ht="21.75" customHeight="1" x14ac:dyDescent="0.25">
      <c r="A2176" s="35">
        <v>44672</v>
      </c>
      <c r="B2176" s="90" t="s">
        <v>12840</v>
      </c>
      <c r="C2176" s="41" t="s">
        <v>12</v>
      </c>
      <c r="D2176" s="87">
        <v>32406.35</v>
      </c>
      <c r="E2176" s="35">
        <v>44672</v>
      </c>
      <c r="F2176" s="87">
        <v>32406.35</v>
      </c>
      <c r="G2176" s="91">
        <f>Tabla15[[#This Row],[Importe]]-Tabla15[[#This Row],[Pagado]]</f>
        <v>0</v>
      </c>
      <c r="H2176" s="92" t="s">
        <v>10</v>
      </c>
    </row>
    <row r="2177" spans="1:8" ht="21.75" customHeight="1" x14ac:dyDescent="0.25">
      <c r="A2177" s="35">
        <v>44672</v>
      </c>
      <c r="B2177" s="90" t="s">
        <v>12841</v>
      </c>
      <c r="C2177" s="41" t="s">
        <v>93</v>
      </c>
      <c r="D2177" s="87">
        <v>6587.2</v>
      </c>
      <c r="E2177" s="35">
        <v>44673</v>
      </c>
      <c r="F2177" s="87">
        <v>6587.2</v>
      </c>
      <c r="G2177" s="91">
        <f>Tabla15[[#This Row],[Importe]]-Tabla15[[#This Row],[Pagado]]</f>
        <v>0</v>
      </c>
      <c r="H2177" s="92" t="s">
        <v>10</v>
      </c>
    </row>
    <row r="2178" spans="1:8" ht="21.75" customHeight="1" x14ac:dyDescent="0.25">
      <c r="A2178" s="35">
        <v>44672</v>
      </c>
      <c r="B2178" s="90" t="s">
        <v>12842</v>
      </c>
      <c r="C2178" s="41" t="s">
        <v>326</v>
      </c>
      <c r="D2178" s="87">
        <v>4304.3999999999996</v>
      </c>
      <c r="E2178" s="35">
        <v>44673</v>
      </c>
      <c r="F2178" s="87">
        <v>4304.3999999999996</v>
      </c>
      <c r="G2178" s="91">
        <f>Tabla15[[#This Row],[Importe]]-Tabla15[[#This Row],[Pagado]]</f>
        <v>0</v>
      </c>
      <c r="H2178" s="92" t="s">
        <v>10</v>
      </c>
    </row>
    <row r="2179" spans="1:8" ht="21.75" customHeight="1" x14ac:dyDescent="0.25">
      <c r="A2179" s="35">
        <v>44672</v>
      </c>
      <c r="B2179" s="90" t="s">
        <v>12843</v>
      </c>
      <c r="C2179" s="41" t="s">
        <v>10742</v>
      </c>
      <c r="D2179" s="87">
        <v>9216.7000000000007</v>
      </c>
      <c r="E2179" s="35">
        <v>44673</v>
      </c>
      <c r="F2179" s="87">
        <v>9216.7000000000007</v>
      </c>
      <c r="G2179" s="91">
        <f>Tabla15[[#This Row],[Importe]]-Tabla15[[#This Row],[Pagado]]</f>
        <v>0</v>
      </c>
      <c r="H2179" s="92" t="s">
        <v>10</v>
      </c>
    </row>
    <row r="2180" spans="1:8" ht="21.75" customHeight="1" x14ac:dyDescent="0.25">
      <c r="A2180" s="35">
        <v>44672</v>
      </c>
      <c r="B2180" s="90" t="s">
        <v>12844</v>
      </c>
      <c r="C2180" s="41" t="s">
        <v>87</v>
      </c>
      <c r="D2180" s="87">
        <v>2346.4</v>
      </c>
      <c r="E2180" s="35">
        <v>44672</v>
      </c>
      <c r="F2180" s="87">
        <v>2346.4</v>
      </c>
      <c r="G2180" s="91">
        <f>Tabla15[[#This Row],[Importe]]-Tabla15[[#This Row],[Pagado]]</f>
        <v>0</v>
      </c>
      <c r="H2180" s="92" t="s">
        <v>10</v>
      </c>
    </row>
    <row r="2181" spans="1:8" ht="21.75" customHeight="1" x14ac:dyDescent="0.25">
      <c r="A2181" s="35">
        <v>44672</v>
      </c>
      <c r="B2181" s="90" t="s">
        <v>12845</v>
      </c>
      <c r="C2181" s="41" t="s">
        <v>357</v>
      </c>
      <c r="D2181" s="87">
        <v>1812.6</v>
      </c>
      <c r="E2181" s="35">
        <v>44672</v>
      </c>
      <c r="F2181" s="87">
        <v>1812.6</v>
      </c>
      <c r="G2181" s="91">
        <f>Tabla15[[#This Row],[Importe]]-Tabla15[[#This Row],[Pagado]]</f>
        <v>0</v>
      </c>
      <c r="H2181" s="92" t="s">
        <v>10</v>
      </c>
    </row>
    <row r="2182" spans="1:8" ht="21.75" customHeight="1" x14ac:dyDescent="0.25">
      <c r="A2182" s="35">
        <v>44672</v>
      </c>
      <c r="B2182" s="90" t="s">
        <v>12846</v>
      </c>
      <c r="C2182" s="41" t="s">
        <v>129</v>
      </c>
      <c r="D2182" s="87">
        <v>5114.8999999999996</v>
      </c>
      <c r="E2182" s="35">
        <v>44672</v>
      </c>
      <c r="F2182" s="87">
        <v>5114.8999999999996</v>
      </c>
      <c r="G2182" s="91">
        <f>Tabla15[[#This Row],[Importe]]-Tabla15[[#This Row],[Pagado]]</f>
        <v>0</v>
      </c>
      <c r="H2182" s="92" t="s">
        <v>10</v>
      </c>
    </row>
    <row r="2183" spans="1:8" ht="21.75" customHeight="1" x14ac:dyDescent="0.25">
      <c r="A2183" s="35">
        <v>44672</v>
      </c>
      <c r="B2183" s="90" t="s">
        <v>12847</v>
      </c>
      <c r="C2183" s="41" t="s">
        <v>339</v>
      </c>
      <c r="D2183" s="87">
        <v>247.8</v>
      </c>
      <c r="E2183" s="35">
        <v>44672</v>
      </c>
      <c r="F2183" s="87">
        <v>247.8</v>
      </c>
      <c r="G2183" s="91">
        <f>Tabla15[[#This Row],[Importe]]-Tabla15[[#This Row],[Pagado]]</f>
        <v>0</v>
      </c>
      <c r="H2183" s="92" t="s">
        <v>10</v>
      </c>
    </row>
    <row r="2184" spans="1:8" ht="21.75" customHeight="1" x14ac:dyDescent="0.25">
      <c r="A2184" s="35">
        <v>44672</v>
      </c>
      <c r="B2184" s="90" t="s">
        <v>12848</v>
      </c>
      <c r="C2184" s="41" t="s">
        <v>127</v>
      </c>
      <c r="D2184" s="87">
        <v>4811.2</v>
      </c>
      <c r="E2184" s="35">
        <v>44672</v>
      </c>
      <c r="F2184" s="87">
        <v>4811.2</v>
      </c>
      <c r="G2184" s="91">
        <f>Tabla15[[#This Row],[Importe]]-Tabla15[[#This Row],[Pagado]]</f>
        <v>0</v>
      </c>
      <c r="H2184" s="92" t="s">
        <v>10</v>
      </c>
    </row>
    <row r="2185" spans="1:8" ht="21.75" customHeight="1" x14ac:dyDescent="0.25">
      <c r="A2185" s="35">
        <v>44672</v>
      </c>
      <c r="B2185" s="90" t="s">
        <v>12849</v>
      </c>
      <c r="C2185" s="41" t="s">
        <v>140</v>
      </c>
      <c r="D2185" s="87">
        <v>4154</v>
      </c>
      <c r="E2185" s="35">
        <v>44672</v>
      </c>
      <c r="F2185" s="87">
        <v>4154</v>
      </c>
      <c r="G2185" s="91">
        <f>Tabla15[[#This Row],[Importe]]-Tabla15[[#This Row],[Pagado]]</f>
        <v>0</v>
      </c>
      <c r="H2185" s="92" t="s">
        <v>10</v>
      </c>
    </row>
    <row r="2186" spans="1:8" ht="21.75" customHeight="1" x14ac:dyDescent="0.25">
      <c r="A2186" s="35">
        <v>44672</v>
      </c>
      <c r="B2186" s="90" t="s">
        <v>12850</v>
      </c>
      <c r="C2186" s="41" t="s">
        <v>1558</v>
      </c>
      <c r="D2186" s="87">
        <v>1685.6</v>
      </c>
      <c r="E2186" s="35">
        <v>44672</v>
      </c>
      <c r="F2186" s="87">
        <v>1685.6</v>
      </c>
      <c r="G2186" s="91">
        <f>Tabla15[[#This Row],[Importe]]-Tabla15[[#This Row],[Pagado]]</f>
        <v>0</v>
      </c>
      <c r="H2186" s="92" t="s">
        <v>10</v>
      </c>
    </row>
    <row r="2187" spans="1:8" ht="21.75" customHeight="1" x14ac:dyDescent="0.25">
      <c r="A2187" s="35">
        <v>44672</v>
      </c>
      <c r="B2187" s="90" t="s">
        <v>12851</v>
      </c>
      <c r="C2187" s="41" t="s">
        <v>135</v>
      </c>
      <c r="D2187" s="87">
        <v>1810.2</v>
      </c>
      <c r="E2187" s="35">
        <v>44672</v>
      </c>
      <c r="F2187" s="87">
        <v>1810.2</v>
      </c>
      <c r="G2187" s="91">
        <f>Tabla15[[#This Row],[Importe]]-Tabla15[[#This Row],[Pagado]]</f>
        <v>0</v>
      </c>
      <c r="H2187" s="92" t="s">
        <v>10</v>
      </c>
    </row>
    <row r="2188" spans="1:8" ht="21.75" customHeight="1" x14ac:dyDescent="0.25">
      <c r="A2188" s="35">
        <v>44672</v>
      </c>
      <c r="B2188" s="90" t="s">
        <v>12852</v>
      </c>
      <c r="C2188" s="41" t="s">
        <v>22</v>
      </c>
      <c r="D2188" s="87">
        <v>30526.3</v>
      </c>
      <c r="E2188" s="35">
        <v>44672</v>
      </c>
      <c r="F2188" s="87">
        <v>30526.3</v>
      </c>
      <c r="G2188" s="91">
        <f>Tabla15[[#This Row],[Importe]]-Tabla15[[#This Row],[Pagado]]</f>
        <v>0</v>
      </c>
      <c r="H2188" s="92" t="s">
        <v>10</v>
      </c>
    </row>
    <row r="2189" spans="1:8" ht="21.75" customHeight="1" x14ac:dyDescent="0.25">
      <c r="A2189" s="35">
        <v>44672</v>
      </c>
      <c r="B2189" s="90" t="s">
        <v>12853</v>
      </c>
      <c r="C2189" s="41" t="s">
        <v>131</v>
      </c>
      <c r="D2189" s="87">
        <v>16698</v>
      </c>
      <c r="E2189" s="35">
        <v>44672</v>
      </c>
      <c r="F2189" s="87">
        <v>16698</v>
      </c>
      <c r="G2189" s="91">
        <f>Tabla15[[#This Row],[Importe]]-Tabla15[[#This Row],[Pagado]]</f>
        <v>0</v>
      </c>
      <c r="H2189" s="92" t="s">
        <v>10</v>
      </c>
    </row>
    <row r="2190" spans="1:8" ht="21.75" customHeight="1" x14ac:dyDescent="0.25">
      <c r="A2190" s="35">
        <v>44672</v>
      </c>
      <c r="B2190" s="90" t="s">
        <v>12854</v>
      </c>
      <c r="C2190" s="41" t="s">
        <v>196</v>
      </c>
      <c r="D2190" s="87">
        <v>108559.18</v>
      </c>
      <c r="E2190" s="35">
        <v>44673</v>
      </c>
      <c r="F2190" s="87">
        <v>108559.18</v>
      </c>
      <c r="G2190" s="91">
        <f>Tabla15[[#This Row],[Importe]]-Tabla15[[#This Row],[Pagado]]</f>
        <v>0</v>
      </c>
      <c r="H2190" s="92" t="s">
        <v>10</v>
      </c>
    </row>
    <row r="2191" spans="1:8" ht="21.75" customHeight="1" x14ac:dyDescent="0.25">
      <c r="A2191" s="35">
        <v>44672</v>
      </c>
      <c r="B2191" s="90" t="s">
        <v>12855</v>
      </c>
      <c r="C2191" s="41" t="s">
        <v>4136</v>
      </c>
      <c r="D2191" s="87">
        <v>848.6</v>
      </c>
      <c r="E2191" s="35">
        <v>44672</v>
      </c>
      <c r="F2191" s="87">
        <v>848.6</v>
      </c>
      <c r="G2191" s="91">
        <f>Tabla15[[#This Row],[Importe]]-Tabla15[[#This Row],[Pagado]]</f>
        <v>0</v>
      </c>
      <c r="H2191" s="92" t="s">
        <v>10</v>
      </c>
    </row>
    <row r="2192" spans="1:8" ht="21.75" customHeight="1" x14ac:dyDescent="0.25">
      <c r="A2192" s="35">
        <v>44672</v>
      </c>
      <c r="B2192" s="90" t="s">
        <v>12856</v>
      </c>
      <c r="C2192" s="41" t="s">
        <v>14</v>
      </c>
      <c r="D2192" s="87">
        <v>27870.6</v>
      </c>
      <c r="E2192" s="35">
        <v>44672</v>
      </c>
      <c r="F2192" s="87">
        <v>27870.6</v>
      </c>
      <c r="G2192" s="91">
        <f>Tabla15[[#This Row],[Importe]]-Tabla15[[#This Row],[Pagado]]</f>
        <v>0</v>
      </c>
      <c r="H2192" s="92" t="s">
        <v>10</v>
      </c>
    </row>
    <row r="2193" spans="1:8" ht="21.75" customHeight="1" x14ac:dyDescent="0.25">
      <c r="A2193" s="35">
        <v>44672</v>
      </c>
      <c r="B2193" s="90" t="s">
        <v>12857</v>
      </c>
      <c r="C2193" s="41" t="s">
        <v>33</v>
      </c>
      <c r="D2193" s="87">
        <v>9995.2999999999993</v>
      </c>
      <c r="E2193" s="35">
        <v>44672</v>
      </c>
      <c r="F2193" s="87">
        <v>9995.2999999999993</v>
      </c>
      <c r="G2193" s="91">
        <f>Tabla15[[#This Row],[Importe]]-Tabla15[[#This Row],[Pagado]]</f>
        <v>0</v>
      </c>
      <c r="H2193" s="92" t="s">
        <v>10</v>
      </c>
    </row>
    <row r="2194" spans="1:8" ht="21.75" customHeight="1" x14ac:dyDescent="0.25">
      <c r="A2194" s="35">
        <v>44672</v>
      </c>
      <c r="B2194" s="90" t="s">
        <v>12858</v>
      </c>
      <c r="C2194" s="41" t="s">
        <v>224</v>
      </c>
      <c r="D2194" s="87">
        <v>13607</v>
      </c>
      <c r="E2194" s="35">
        <v>44680</v>
      </c>
      <c r="F2194" s="87">
        <v>13607</v>
      </c>
      <c r="G2194" s="91">
        <f>Tabla15[[#This Row],[Importe]]-Tabla15[[#This Row],[Pagado]]</f>
        <v>0</v>
      </c>
      <c r="H2194" s="92" t="s">
        <v>10</v>
      </c>
    </row>
    <row r="2195" spans="1:8" ht="21.75" customHeight="1" x14ac:dyDescent="0.25">
      <c r="A2195" s="35">
        <v>44672</v>
      </c>
      <c r="B2195" s="90" t="s">
        <v>12859</v>
      </c>
      <c r="C2195" s="41" t="s">
        <v>647</v>
      </c>
      <c r="D2195" s="87">
        <v>3841.6</v>
      </c>
      <c r="E2195" s="35">
        <v>44672</v>
      </c>
      <c r="F2195" s="87">
        <v>3841.6</v>
      </c>
      <c r="G2195" s="91">
        <f>Tabla15[[#This Row],[Importe]]-Tabla15[[#This Row],[Pagado]]</f>
        <v>0</v>
      </c>
      <c r="H2195" s="92" t="s">
        <v>10</v>
      </c>
    </row>
    <row r="2196" spans="1:8" ht="21.75" customHeight="1" x14ac:dyDescent="0.25">
      <c r="A2196" s="35">
        <v>44672</v>
      </c>
      <c r="B2196" s="90" t="s">
        <v>12860</v>
      </c>
      <c r="C2196" s="41" t="s">
        <v>33</v>
      </c>
      <c r="D2196" s="87">
        <v>5458</v>
      </c>
      <c r="E2196" s="35">
        <v>44672</v>
      </c>
      <c r="F2196" s="87">
        <v>5458</v>
      </c>
      <c r="G2196" s="91">
        <f>Tabla15[[#This Row],[Importe]]-Tabla15[[#This Row],[Pagado]]</f>
        <v>0</v>
      </c>
      <c r="H2196" s="92" t="s">
        <v>10</v>
      </c>
    </row>
    <row r="2197" spans="1:8" ht="21.75" customHeight="1" x14ac:dyDescent="0.25">
      <c r="A2197" s="35">
        <v>44672</v>
      </c>
      <c r="B2197" s="90" t="s">
        <v>12861</v>
      </c>
      <c r="C2197" s="41" t="s">
        <v>45</v>
      </c>
      <c r="D2197" s="87">
        <v>14707.2</v>
      </c>
      <c r="E2197" s="35">
        <v>44672</v>
      </c>
      <c r="F2197" s="87">
        <v>14707.2</v>
      </c>
      <c r="G2197" s="91">
        <f>Tabla15[[#This Row],[Importe]]-Tabla15[[#This Row],[Pagado]]</f>
        <v>0</v>
      </c>
      <c r="H2197" s="92" t="s">
        <v>10</v>
      </c>
    </row>
    <row r="2198" spans="1:8" ht="21.75" customHeight="1" x14ac:dyDescent="0.25">
      <c r="A2198" s="35">
        <v>44672</v>
      </c>
      <c r="B2198" s="90" t="s">
        <v>12862</v>
      </c>
      <c r="C2198" s="41" t="s">
        <v>373</v>
      </c>
      <c r="D2198" s="87">
        <v>464.8</v>
      </c>
      <c r="E2198" s="35">
        <v>44672</v>
      </c>
      <c r="F2198" s="87">
        <v>464.8</v>
      </c>
      <c r="G2198" s="91">
        <f>Tabla15[[#This Row],[Importe]]-Tabla15[[#This Row],[Pagado]]</f>
        <v>0</v>
      </c>
      <c r="H2198" s="92" t="s">
        <v>10</v>
      </c>
    </row>
    <row r="2199" spans="1:8" ht="21.75" customHeight="1" x14ac:dyDescent="0.25">
      <c r="A2199" s="35">
        <v>44672</v>
      </c>
      <c r="B2199" s="90" t="s">
        <v>12863</v>
      </c>
      <c r="C2199" s="41" t="s">
        <v>29</v>
      </c>
      <c r="D2199" s="87">
        <v>3752</v>
      </c>
      <c r="E2199" s="35">
        <v>44672</v>
      </c>
      <c r="F2199" s="87">
        <v>3752</v>
      </c>
      <c r="G2199" s="91">
        <f>Tabla15[[#This Row],[Importe]]-Tabla15[[#This Row],[Pagado]]</f>
        <v>0</v>
      </c>
      <c r="H2199" s="92" t="s">
        <v>10</v>
      </c>
    </row>
    <row r="2200" spans="1:8" ht="21.75" customHeight="1" x14ac:dyDescent="0.25">
      <c r="A2200" s="35">
        <v>44672</v>
      </c>
      <c r="B2200" s="90" t="s">
        <v>12864</v>
      </c>
      <c r="C2200" s="41" t="s">
        <v>179</v>
      </c>
      <c r="D2200" s="87">
        <v>1142.4000000000001</v>
      </c>
      <c r="E2200" s="35">
        <v>44672</v>
      </c>
      <c r="F2200" s="87">
        <v>1142.4000000000001</v>
      </c>
      <c r="G2200" s="91">
        <f>Tabla15[[#This Row],[Importe]]-Tabla15[[#This Row],[Pagado]]</f>
        <v>0</v>
      </c>
      <c r="H2200" s="92" t="s">
        <v>10</v>
      </c>
    </row>
    <row r="2201" spans="1:8" ht="21.75" customHeight="1" x14ac:dyDescent="0.25">
      <c r="A2201" s="35">
        <v>44672</v>
      </c>
      <c r="B2201" s="90" t="s">
        <v>12865</v>
      </c>
      <c r="C2201" s="41" t="s">
        <v>2114</v>
      </c>
      <c r="D2201" s="87">
        <v>2000</v>
      </c>
      <c r="E2201" s="35">
        <v>44672</v>
      </c>
      <c r="F2201" s="87">
        <v>2000</v>
      </c>
      <c r="G2201" s="91">
        <f>Tabla15[[#This Row],[Importe]]-Tabla15[[#This Row],[Pagado]]</f>
        <v>0</v>
      </c>
      <c r="H2201" s="92" t="s">
        <v>10</v>
      </c>
    </row>
    <row r="2202" spans="1:8" ht="21.75" customHeight="1" x14ac:dyDescent="0.25">
      <c r="A2202" s="35">
        <v>44672</v>
      </c>
      <c r="B2202" s="90" t="s">
        <v>12866</v>
      </c>
      <c r="C2202" s="41" t="s">
        <v>222</v>
      </c>
      <c r="D2202" s="87">
        <v>10407</v>
      </c>
      <c r="E2202" s="35">
        <v>44672</v>
      </c>
      <c r="F2202" s="87">
        <v>10407</v>
      </c>
      <c r="G2202" s="91">
        <f>Tabla15[[#This Row],[Importe]]-Tabla15[[#This Row],[Pagado]]</f>
        <v>0</v>
      </c>
      <c r="H2202" s="92" t="s">
        <v>10</v>
      </c>
    </row>
    <row r="2203" spans="1:8" ht="21.75" customHeight="1" x14ac:dyDescent="0.25">
      <c r="A2203" s="35">
        <v>44672</v>
      </c>
      <c r="B2203" s="90" t="s">
        <v>12867</v>
      </c>
      <c r="C2203" s="41" t="s">
        <v>703</v>
      </c>
      <c r="D2203" s="87">
        <v>3289</v>
      </c>
      <c r="E2203" s="35">
        <v>44672</v>
      </c>
      <c r="F2203" s="87">
        <v>3289</v>
      </c>
      <c r="G2203" s="91">
        <f>Tabla15[[#This Row],[Importe]]-Tabla15[[#This Row],[Pagado]]</f>
        <v>0</v>
      </c>
      <c r="H2203" s="92" t="s">
        <v>10</v>
      </c>
    </row>
    <row r="2204" spans="1:8" ht="21.75" customHeight="1" x14ac:dyDescent="0.25">
      <c r="A2204" s="35">
        <v>44672</v>
      </c>
      <c r="B2204" s="90" t="s">
        <v>12868</v>
      </c>
      <c r="C2204" s="41" t="s">
        <v>878</v>
      </c>
      <c r="D2204" s="87">
        <v>2761</v>
      </c>
      <c r="E2204" s="35">
        <v>44672</v>
      </c>
      <c r="F2204" s="87">
        <v>2761</v>
      </c>
      <c r="G2204" s="91">
        <f>Tabla15[[#This Row],[Importe]]-Tabla15[[#This Row],[Pagado]]</f>
        <v>0</v>
      </c>
      <c r="H2204" s="92" t="s">
        <v>10</v>
      </c>
    </row>
    <row r="2205" spans="1:8" ht="21.75" customHeight="1" x14ac:dyDescent="0.25">
      <c r="A2205" s="35">
        <v>44672</v>
      </c>
      <c r="B2205" s="90" t="s">
        <v>12869</v>
      </c>
      <c r="C2205" s="41" t="s">
        <v>24</v>
      </c>
      <c r="D2205" s="87">
        <v>4286.2</v>
      </c>
      <c r="E2205" s="35">
        <v>44672</v>
      </c>
      <c r="F2205" s="87">
        <v>4286.2</v>
      </c>
      <c r="G2205" s="91">
        <f>Tabla15[[#This Row],[Importe]]-Tabla15[[#This Row],[Pagado]]</f>
        <v>0</v>
      </c>
      <c r="H2205" s="92" t="s">
        <v>10</v>
      </c>
    </row>
    <row r="2206" spans="1:8" ht="21.75" customHeight="1" x14ac:dyDescent="0.25">
      <c r="A2206" s="35">
        <v>44672</v>
      </c>
      <c r="B2206" s="90" t="s">
        <v>12870</v>
      </c>
      <c r="C2206" s="41" t="s">
        <v>31</v>
      </c>
      <c r="D2206" s="87">
        <v>634.5</v>
      </c>
      <c r="E2206" s="35">
        <v>44672</v>
      </c>
      <c r="F2206" s="87">
        <v>634.5</v>
      </c>
      <c r="G2206" s="91">
        <f>Tabla15[[#This Row],[Importe]]-Tabla15[[#This Row],[Pagado]]</f>
        <v>0</v>
      </c>
      <c r="H2206" s="92" t="s">
        <v>10</v>
      </c>
    </row>
    <row r="2207" spans="1:8" ht="21.75" customHeight="1" x14ac:dyDescent="0.25">
      <c r="A2207" s="35">
        <v>44672</v>
      </c>
      <c r="B2207" s="90" t="s">
        <v>12871</v>
      </c>
      <c r="C2207" s="41" t="s">
        <v>62</v>
      </c>
      <c r="D2207" s="87">
        <v>3843</v>
      </c>
      <c r="E2207" s="35">
        <v>44672</v>
      </c>
      <c r="F2207" s="87">
        <v>3843</v>
      </c>
      <c r="G2207" s="91">
        <f>Tabla15[[#This Row],[Importe]]-Tabla15[[#This Row],[Pagado]]</f>
        <v>0</v>
      </c>
      <c r="H2207" s="92" t="s">
        <v>10</v>
      </c>
    </row>
    <row r="2208" spans="1:8" ht="31.5" x14ac:dyDescent="0.25">
      <c r="A2208" s="35">
        <v>44672</v>
      </c>
      <c r="B2208" s="90" t="s">
        <v>12872</v>
      </c>
      <c r="C2208" s="41" t="s">
        <v>392</v>
      </c>
      <c r="D2208" s="87">
        <v>11919.2</v>
      </c>
      <c r="E2208" s="35" t="s">
        <v>12873</v>
      </c>
      <c r="F2208" s="87">
        <f>5000+6919.2</f>
        <v>11919.2</v>
      </c>
      <c r="G2208" s="91">
        <f>Tabla15[[#This Row],[Importe]]-Tabla15[[#This Row],[Pagado]]</f>
        <v>0</v>
      </c>
      <c r="H2208" s="92" t="s">
        <v>10</v>
      </c>
    </row>
    <row r="2209" spans="1:8" ht="21.75" customHeight="1" x14ac:dyDescent="0.25">
      <c r="A2209" s="35">
        <v>44672</v>
      </c>
      <c r="B2209" s="90" t="s">
        <v>12874</v>
      </c>
      <c r="C2209" s="41" t="s">
        <v>392</v>
      </c>
      <c r="D2209" s="87">
        <v>2535.6</v>
      </c>
      <c r="E2209" s="35">
        <v>44672</v>
      </c>
      <c r="F2209" s="87">
        <v>2535.6</v>
      </c>
      <c r="G2209" s="91">
        <f>Tabla15[[#This Row],[Importe]]-Tabla15[[#This Row],[Pagado]]</f>
        <v>0</v>
      </c>
      <c r="H2209" s="92" t="s">
        <v>10</v>
      </c>
    </row>
    <row r="2210" spans="1:8" ht="21.75" customHeight="1" x14ac:dyDescent="0.25">
      <c r="A2210" s="35">
        <v>44672</v>
      </c>
      <c r="B2210" s="90" t="s">
        <v>12875</v>
      </c>
      <c r="C2210" s="41" t="s">
        <v>484</v>
      </c>
      <c r="D2210" s="87">
        <v>9705.5</v>
      </c>
      <c r="E2210" s="35">
        <v>44672</v>
      </c>
      <c r="F2210" s="87">
        <v>9705.5</v>
      </c>
      <c r="G2210" s="91">
        <f>Tabla15[[#This Row],[Importe]]-Tabla15[[#This Row],[Pagado]]</f>
        <v>0</v>
      </c>
      <c r="H2210" s="92" t="s">
        <v>10</v>
      </c>
    </row>
    <row r="2211" spans="1:8" ht="21.75" customHeight="1" x14ac:dyDescent="0.25">
      <c r="A2211" s="35">
        <v>44672</v>
      </c>
      <c r="B2211" s="90" t="s">
        <v>12876</v>
      </c>
      <c r="C2211" s="41" t="s">
        <v>382</v>
      </c>
      <c r="D2211" s="87">
        <v>6193.6</v>
      </c>
      <c r="E2211" s="35">
        <v>44672</v>
      </c>
      <c r="F2211" s="87">
        <v>6193.6</v>
      </c>
      <c r="G2211" s="91">
        <f>Tabla15[[#This Row],[Importe]]-Tabla15[[#This Row],[Pagado]]</f>
        <v>0</v>
      </c>
      <c r="H2211" s="92" t="s">
        <v>10</v>
      </c>
    </row>
    <row r="2212" spans="1:8" ht="21.75" customHeight="1" x14ac:dyDescent="0.25">
      <c r="A2212" s="35">
        <v>44672</v>
      </c>
      <c r="B2212" s="90" t="s">
        <v>12877</v>
      </c>
      <c r="C2212" s="41" t="s">
        <v>47</v>
      </c>
      <c r="D2212" s="87">
        <v>71406.899999999994</v>
      </c>
      <c r="E2212" s="35">
        <v>44672</v>
      </c>
      <c r="F2212" s="87">
        <v>71406.899999999994</v>
      </c>
      <c r="G2212" s="91">
        <f>Tabla15[[#This Row],[Importe]]-Tabla15[[#This Row],[Pagado]]</f>
        <v>0</v>
      </c>
      <c r="H2212" s="92" t="s">
        <v>10</v>
      </c>
    </row>
    <row r="2213" spans="1:8" ht="21.75" customHeight="1" x14ac:dyDescent="0.25">
      <c r="A2213" s="35">
        <v>44672</v>
      </c>
      <c r="B2213" s="90" t="s">
        <v>12878</v>
      </c>
      <c r="C2213" s="41" t="s">
        <v>31</v>
      </c>
      <c r="D2213" s="87">
        <v>991.2</v>
      </c>
      <c r="E2213" s="35">
        <v>44672</v>
      </c>
      <c r="F2213" s="87">
        <v>991.2</v>
      </c>
      <c r="G2213" s="91">
        <f>Tabla15[[#This Row],[Importe]]-Tabla15[[#This Row],[Pagado]]</f>
        <v>0</v>
      </c>
      <c r="H2213" s="92" t="s">
        <v>10</v>
      </c>
    </row>
    <row r="2214" spans="1:8" ht="21.75" customHeight="1" x14ac:dyDescent="0.25">
      <c r="A2214" s="35">
        <v>44672</v>
      </c>
      <c r="B2214" s="90" t="s">
        <v>12879</v>
      </c>
      <c r="C2214" s="41" t="s">
        <v>58</v>
      </c>
      <c r="D2214" s="87">
        <v>4087.6</v>
      </c>
      <c r="E2214" s="35">
        <v>44672</v>
      </c>
      <c r="F2214" s="87">
        <v>4087.6</v>
      </c>
      <c r="G2214" s="91">
        <f>Tabla15[[#This Row],[Importe]]-Tabla15[[#This Row],[Pagado]]</f>
        <v>0</v>
      </c>
      <c r="H2214" s="92" t="s">
        <v>10</v>
      </c>
    </row>
    <row r="2215" spans="1:8" ht="21.75" customHeight="1" x14ac:dyDescent="0.25">
      <c r="A2215" s="35">
        <v>44672</v>
      </c>
      <c r="B2215" s="90" t="s">
        <v>12880</v>
      </c>
      <c r="C2215" s="41" t="s">
        <v>142</v>
      </c>
      <c r="D2215" s="87">
        <v>29920.44</v>
      </c>
      <c r="E2215" s="35">
        <v>44706</v>
      </c>
      <c r="F2215" s="87">
        <v>29920.44</v>
      </c>
      <c r="G2215" s="91">
        <f>Tabla15[[#This Row],[Importe]]-Tabla15[[#This Row],[Pagado]]</f>
        <v>0</v>
      </c>
      <c r="H2215" s="92" t="s">
        <v>10</v>
      </c>
    </row>
    <row r="2216" spans="1:8" ht="21.75" customHeight="1" x14ac:dyDescent="0.25">
      <c r="A2216" s="35">
        <v>44672</v>
      </c>
      <c r="B2216" s="90" t="s">
        <v>12881</v>
      </c>
      <c r="C2216" s="41" t="s">
        <v>58</v>
      </c>
      <c r="D2216" s="87">
        <v>210</v>
      </c>
      <c r="E2216" s="35">
        <v>44672</v>
      </c>
      <c r="F2216" s="87">
        <v>210</v>
      </c>
      <c r="G2216" s="91">
        <f>Tabla15[[#This Row],[Importe]]-Tabla15[[#This Row],[Pagado]]</f>
        <v>0</v>
      </c>
      <c r="H2216" s="92" t="s">
        <v>10</v>
      </c>
    </row>
    <row r="2217" spans="1:8" ht="21.75" customHeight="1" x14ac:dyDescent="0.25">
      <c r="A2217" s="35">
        <v>44672</v>
      </c>
      <c r="B2217" s="90" t="s">
        <v>12882</v>
      </c>
      <c r="C2217" s="41" t="s">
        <v>53</v>
      </c>
      <c r="D2217" s="87">
        <v>433.2</v>
      </c>
      <c r="E2217" s="35">
        <v>44672</v>
      </c>
      <c r="F2217" s="87">
        <v>433.2</v>
      </c>
      <c r="G2217" s="91">
        <f>Tabla15[[#This Row],[Importe]]-Tabla15[[#This Row],[Pagado]]</f>
        <v>0</v>
      </c>
      <c r="H2217" s="92" t="s">
        <v>10</v>
      </c>
    </row>
    <row r="2218" spans="1:8" ht="21.75" customHeight="1" x14ac:dyDescent="0.25">
      <c r="A2218" s="35">
        <v>44672</v>
      </c>
      <c r="B2218" s="90" t="s">
        <v>12883</v>
      </c>
      <c r="C2218" s="41" t="s">
        <v>27</v>
      </c>
      <c r="D2218" s="87">
        <v>1705.4</v>
      </c>
      <c r="E2218" s="35">
        <v>44672</v>
      </c>
      <c r="F2218" s="87">
        <v>1705.4</v>
      </c>
      <c r="G2218" s="91">
        <f>Tabla15[[#This Row],[Importe]]-Tabla15[[#This Row],[Pagado]]</f>
        <v>0</v>
      </c>
      <c r="H2218" s="92" t="s">
        <v>10</v>
      </c>
    </row>
    <row r="2219" spans="1:8" ht="21.75" customHeight="1" x14ac:dyDescent="0.25">
      <c r="A2219" s="35">
        <v>44672</v>
      </c>
      <c r="B2219" s="90" t="s">
        <v>12884</v>
      </c>
      <c r="C2219" s="41" t="s">
        <v>12107</v>
      </c>
      <c r="D2219" s="87">
        <v>1974</v>
      </c>
      <c r="E2219" s="35">
        <v>44672</v>
      </c>
      <c r="F2219" s="87">
        <v>1974</v>
      </c>
      <c r="G2219" s="91">
        <f>Tabla15[[#This Row],[Importe]]-Tabla15[[#This Row],[Pagado]]</f>
        <v>0</v>
      </c>
      <c r="H2219" s="92" t="s">
        <v>10</v>
      </c>
    </row>
    <row r="2220" spans="1:8" ht="21.75" customHeight="1" x14ac:dyDescent="0.25">
      <c r="A2220" s="35">
        <v>44672</v>
      </c>
      <c r="B2220" s="90" t="s">
        <v>12885</v>
      </c>
      <c r="C2220" s="41" t="s">
        <v>670</v>
      </c>
      <c r="D2220" s="87">
        <v>4331</v>
      </c>
      <c r="E2220" s="35">
        <v>44672</v>
      </c>
      <c r="F2220" s="87">
        <v>4331</v>
      </c>
      <c r="G2220" s="91">
        <f>Tabla15[[#This Row],[Importe]]-Tabla15[[#This Row],[Pagado]]</f>
        <v>0</v>
      </c>
      <c r="H2220" s="92" t="s">
        <v>10</v>
      </c>
    </row>
    <row r="2221" spans="1:8" ht="21.75" customHeight="1" x14ac:dyDescent="0.25">
      <c r="A2221" s="35">
        <v>44672</v>
      </c>
      <c r="B2221" s="90" t="s">
        <v>12886</v>
      </c>
      <c r="C2221" s="41" t="s">
        <v>664</v>
      </c>
      <c r="D2221" s="87">
        <v>15140.5</v>
      </c>
      <c r="E2221" s="35">
        <v>44672</v>
      </c>
      <c r="F2221" s="87">
        <v>15140.5</v>
      </c>
      <c r="G2221" s="91">
        <f>Tabla15[[#This Row],[Importe]]-Tabla15[[#This Row],[Pagado]]</f>
        <v>0</v>
      </c>
      <c r="H2221" s="92" t="s">
        <v>10</v>
      </c>
    </row>
    <row r="2222" spans="1:8" ht="21.75" customHeight="1" x14ac:dyDescent="0.25">
      <c r="A2222" s="35">
        <v>44672</v>
      </c>
      <c r="B2222" s="90" t="s">
        <v>12887</v>
      </c>
      <c r="C2222" s="41" t="s">
        <v>107</v>
      </c>
      <c r="D2222" s="87">
        <v>14564</v>
      </c>
      <c r="E2222" s="35">
        <v>44672</v>
      </c>
      <c r="F2222" s="87">
        <v>14564</v>
      </c>
      <c r="G2222" s="91">
        <f>Tabla15[[#This Row],[Importe]]-Tabla15[[#This Row],[Pagado]]</f>
        <v>0</v>
      </c>
      <c r="H2222" s="92" t="s">
        <v>10</v>
      </c>
    </row>
    <row r="2223" spans="1:8" ht="21.75" customHeight="1" x14ac:dyDescent="0.25">
      <c r="A2223" s="35">
        <v>44672</v>
      </c>
      <c r="B2223" s="90" t="s">
        <v>12888</v>
      </c>
      <c r="C2223" s="41" t="s">
        <v>291</v>
      </c>
      <c r="D2223" s="87">
        <v>1470.9</v>
      </c>
      <c r="E2223" s="35">
        <v>44672</v>
      </c>
      <c r="F2223" s="87">
        <v>1470.9</v>
      </c>
      <c r="G2223" s="91">
        <f>Tabla15[[#This Row],[Importe]]-Tabla15[[#This Row],[Pagado]]</f>
        <v>0</v>
      </c>
      <c r="H2223" s="92" t="s">
        <v>10</v>
      </c>
    </row>
    <row r="2224" spans="1:8" ht="21.75" customHeight="1" x14ac:dyDescent="0.25">
      <c r="A2224" s="35">
        <v>44672</v>
      </c>
      <c r="B2224" s="90" t="s">
        <v>12889</v>
      </c>
      <c r="C2224" s="41" t="s">
        <v>67</v>
      </c>
      <c r="D2224" s="87">
        <v>1801.8</v>
      </c>
      <c r="E2224" s="35">
        <v>44672</v>
      </c>
      <c r="F2224" s="87">
        <v>1801.8</v>
      </c>
      <c r="G2224" s="91">
        <f>Tabla15[[#This Row],[Importe]]-Tabla15[[#This Row],[Pagado]]</f>
        <v>0</v>
      </c>
      <c r="H2224" s="92" t="s">
        <v>10</v>
      </c>
    </row>
    <row r="2225" spans="1:8" ht="21.75" customHeight="1" x14ac:dyDescent="0.25">
      <c r="A2225" s="35">
        <v>44672</v>
      </c>
      <c r="B2225" s="90" t="s">
        <v>12890</v>
      </c>
      <c r="C2225" s="41" t="s">
        <v>67</v>
      </c>
      <c r="D2225" s="87">
        <v>347.2</v>
      </c>
      <c r="E2225" s="35">
        <v>44672</v>
      </c>
      <c r="F2225" s="87">
        <v>347.2</v>
      </c>
      <c r="G2225" s="91">
        <f>Tabla15[[#This Row],[Importe]]-Tabla15[[#This Row],[Pagado]]</f>
        <v>0</v>
      </c>
      <c r="H2225" s="92" t="s">
        <v>10</v>
      </c>
    </row>
    <row r="2226" spans="1:8" ht="21.75" customHeight="1" x14ac:dyDescent="0.25">
      <c r="A2226" s="35">
        <v>44672</v>
      </c>
      <c r="B2226" s="90" t="s">
        <v>12891</v>
      </c>
      <c r="C2226" s="41" t="s">
        <v>16</v>
      </c>
      <c r="D2226" s="87">
        <v>2246.6999999999998</v>
      </c>
      <c r="E2226" s="35">
        <v>44672</v>
      </c>
      <c r="F2226" s="87">
        <v>2246.6999999999998</v>
      </c>
      <c r="G2226" s="91">
        <f>Tabla15[[#This Row],[Importe]]-Tabla15[[#This Row],[Pagado]]</f>
        <v>0</v>
      </c>
      <c r="H2226" s="92" t="s">
        <v>10</v>
      </c>
    </row>
    <row r="2227" spans="1:8" ht="21.75" customHeight="1" x14ac:dyDescent="0.25">
      <c r="A2227" s="35">
        <v>44672</v>
      </c>
      <c r="B2227" s="90" t="s">
        <v>12892</v>
      </c>
      <c r="C2227" s="41" t="s">
        <v>857</v>
      </c>
      <c r="D2227" s="87">
        <v>440</v>
      </c>
      <c r="E2227" s="35">
        <v>44672</v>
      </c>
      <c r="F2227" s="87">
        <v>440</v>
      </c>
      <c r="G2227" s="91">
        <f>Tabla15[[#This Row],[Importe]]-Tabla15[[#This Row],[Pagado]]</f>
        <v>0</v>
      </c>
      <c r="H2227" s="92" t="s">
        <v>10</v>
      </c>
    </row>
    <row r="2228" spans="1:8" ht="21.75" customHeight="1" x14ac:dyDescent="0.25">
      <c r="A2228" s="35">
        <v>44672</v>
      </c>
      <c r="B2228" s="90" t="s">
        <v>12893</v>
      </c>
      <c r="C2228" s="41" t="s">
        <v>146</v>
      </c>
      <c r="D2228" s="87">
        <v>3063.2</v>
      </c>
      <c r="E2228" s="35">
        <v>44672</v>
      </c>
      <c r="F2228" s="87">
        <v>3063.2</v>
      </c>
      <c r="G2228" s="91">
        <f>Tabla15[[#This Row],[Importe]]-Tabla15[[#This Row],[Pagado]]</f>
        <v>0</v>
      </c>
      <c r="H2228" s="92" t="s">
        <v>10</v>
      </c>
    </row>
    <row r="2229" spans="1:8" ht="21.75" customHeight="1" x14ac:dyDescent="0.25">
      <c r="A2229" s="35">
        <v>44672</v>
      </c>
      <c r="B2229" s="90" t="s">
        <v>12894</v>
      </c>
      <c r="C2229" s="41" t="s">
        <v>159</v>
      </c>
      <c r="D2229" s="87">
        <v>2904</v>
      </c>
      <c r="E2229" s="35">
        <v>44673</v>
      </c>
      <c r="F2229" s="87">
        <v>2904</v>
      </c>
      <c r="G2229" s="91">
        <f>Tabla15[[#This Row],[Importe]]-Tabla15[[#This Row],[Pagado]]</f>
        <v>0</v>
      </c>
      <c r="H2229" s="92" t="s">
        <v>10</v>
      </c>
    </row>
    <row r="2230" spans="1:8" ht="21.75" customHeight="1" x14ac:dyDescent="0.25">
      <c r="A2230" s="35">
        <v>44672</v>
      </c>
      <c r="B2230" s="90" t="s">
        <v>12895</v>
      </c>
      <c r="C2230" s="41" t="s">
        <v>371</v>
      </c>
      <c r="D2230" s="87">
        <v>8289.9</v>
      </c>
      <c r="E2230" s="35">
        <v>44673</v>
      </c>
      <c r="F2230" s="87">
        <v>8289.9</v>
      </c>
      <c r="G2230" s="91">
        <f>Tabla15[[#This Row],[Importe]]-Tabla15[[#This Row],[Pagado]]</f>
        <v>0</v>
      </c>
      <c r="H2230" s="92" t="s">
        <v>10</v>
      </c>
    </row>
    <row r="2231" spans="1:8" ht="21.75" customHeight="1" x14ac:dyDescent="0.25">
      <c r="A2231" s="35">
        <v>44672</v>
      </c>
      <c r="B2231" s="90" t="s">
        <v>12896</v>
      </c>
      <c r="C2231" s="41" t="s">
        <v>214</v>
      </c>
      <c r="D2231" s="87">
        <v>6289.4</v>
      </c>
      <c r="E2231" s="35">
        <v>44672</v>
      </c>
      <c r="F2231" s="87">
        <v>6289.4</v>
      </c>
      <c r="G2231" s="91">
        <f>Tabla15[[#This Row],[Importe]]-Tabla15[[#This Row],[Pagado]]</f>
        <v>0</v>
      </c>
      <c r="H2231" s="92" t="s">
        <v>10</v>
      </c>
    </row>
    <row r="2232" spans="1:8" ht="21.75" customHeight="1" x14ac:dyDescent="0.25">
      <c r="A2232" s="35">
        <v>44672</v>
      </c>
      <c r="B2232" s="90" t="s">
        <v>12897</v>
      </c>
      <c r="C2232" s="41" t="s">
        <v>518</v>
      </c>
      <c r="D2232" s="87">
        <v>1299.2</v>
      </c>
      <c r="E2232" s="35">
        <v>44673</v>
      </c>
      <c r="F2232" s="87">
        <v>1299.2</v>
      </c>
      <c r="G2232" s="91">
        <f>Tabla15[[#This Row],[Importe]]-Tabla15[[#This Row],[Pagado]]</f>
        <v>0</v>
      </c>
      <c r="H2232" s="92" t="s">
        <v>10</v>
      </c>
    </row>
    <row r="2233" spans="1:8" ht="21.75" customHeight="1" x14ac:dyDescent="0.25">
      <c r="A2233" s="35">
        <v>44672</v>
      </c>
      <c r="B2233" s="90" t="s">
        <v>12898</v>
      </c>
      <c r="C2233" s="41" t="s">
        <v>151</v>
      </c>
      <c r="D2233" s="87">
        <v>11233.2</v>
      </c>
      <c r="E2233" s="35">
        <v>44673</v>
      </c>
      <c r="F2233" s="87">
        <v>11233.2</v>
      </c>
      <c r="G2233" s="91">
        <f>Tabla15[[#This Row],[Importe]]-Tabla15[[#This Row],[Pagado]]</f>
        <v>0</v>
      </c>
      <c r="H2233" s="92" t="s">
        <v>10</v>
      </c>
    </row>
    <row r="2234" spans="1:8" ht="21.75" customHeight="1" x14ac:dyDescent="0.25">
      <c r="A2234" s="35">
        <v>44672</v>
      </c>
      <c r="B2234" s="90" t="s">
        <v>12899</v>
      </c>
      <c r="C2234" s="41" t="s">
        <v>275</v>
      </c>
      <c r="D2234" s="87">
        <v>33383.24</v>
      </c>
      <c r="E2234" s="35">
        <v>44681</v>
      </c>
      <c r="F2234" s="87">
        <v>33383.24</v>
      </c>
      <c r="G2234" s="91">
        <f>Tabla15[[#This Row],[Importe]]-Tabla15[[#This Row],[Pagado]]</f>
        <v>0</v>
      </c>
      <c r="H2234" s="92" t="s">
        <v>10</v>
      </c>
    </row>
    <row r="2235" spans="1:8" ht="21.75" customHeight="1" x14ac:dyDescent="0.25">
      <c r="A2235" s="35">
        <v>44672</v>
      </c>
      <c r="B2235" s="90" t="s">
        <v>12900</v>
      </c>
      <c r="C2235" s="41" t="s">
        <v>56</v>
      </c>
      <c r="D2235" s="87">
        <v>5455.8</v>
      </c>
      <c r="E2235" s="35">
        <v>44672</v>
      </c>
      <c r="F2235" s="87">
        <v>5455.8</v>
      </c>
      <c r="G2235" s="91">
        <f>Tabla15[[#This Row],[Importe]]-Tabla15[[#This Row],[Pagado]]</f>
        <v>0</v>
      </c>
      <c r="H2235" s="92" t="s">
        <v>10</v>
      </c>
    </row>
    <row r="2236" spans="1:8" ht="21.75" customHeight="1" x14ac:dyDescent="0.25">
      <c r="A2236" s="35">
        <v>44672</v>
      </c>
      <c r="B2236" s="90" t="s">
        <v>12901</v>
      </c>
      <c r="C2236" s="41" t="s">
        <v>11121</v>
      </c>
      <c r="D2236" s="87">
        <v>39164.83</v>
      </c>
      <c r="E2236" s="35">
        <v>44673</v>
      </c>
      <c r="F2236" s="87">
        <v>39164.83</v>
      </c>
      <c r="G2236" s="91">
        <f>Tabla15[[#This Row],[Importe]]-Tabla15[[#This Row],[Pagado]]</f>
        <v>0</v>
      </c>
      <c r="H2236" s="92" t="s">
        <v>10</v>
      </c>
    </row>
    <row r="2237" spans="1:8" ht="21.75" customHeight="1" x14ac:dyDescent="0.25">
      <c r="A2237" s="35">
        <v>44672</v>
      </c>
      <c r="B2237" s="90" t="s">
        <v>12902</v>
      </c>
      <c r="C2237" s="41" t="s">
        <v>69</v>
      </c>
      <c r="D2237" s="87">
        <v>1114.4000000000001</v>
      </c>
      <c r="E2237" s="35">
        <v>44672</v>
      </c>
      <c r="F2237" s="87">
        <v>1114.4000000000001</v>
      </c>
      <c r="G2237" s="91">
        <f>Tabla15[[#This Row],[Importe]]-Tabla15[[#This Row],[Pagado]]</f>
        <v>0</v>
      </c>
      <c r="H2237" s="92" t="s">
        <v>10</v>
      </c>
    </row>
    <row r="2238" spans="1:8" ht="21.75" customHeight="1" x14ac:dyDescent="0.25">
      <c r="A2238" s="35">
        <v>44672</v>
      </c>
      <c r="B2238" s="90" t="s">
        <v>12903</v>
      </c>
      <c r="C2238" s="41" t="s">
        <v>282</v>
      </c>
      <c r="D2238" s="87">
        <v>2436</v>
      </c>
      <c r="E2238" s="35">
        <v>44673</v>
      </c>
      <c r="F2238" s="87">
        <v>2436</v>
      </c>
      <c r="G2238" s="91">
        <f>Tabla15[[#This Row],[Importe]]-Tabla15[[#This Row],[Pagado]]</f>
        <v>0</v>
      </c>
      <c r="H2238" s="92" t="s">
        <v>10</v>
      </c>
    </row>
    <row r="2239" spans="1:8" ht="21.75" customHeight="1" x14ac:dyDescent="0.25">
      <c r="A2239" s="35">
        <v>44672</v>
      </c>
      <c r="B2239" s="90" t="s">
        <v>12904</v>
      </c>
      <c r="C2239" s="41" t="s">
        <v>5345</v>
      </c>
      <c r="D2239" s="87">
        <v>1584.8</v>
      </c>
      <c r="E2239" s="35">
        <v>44673</v>
      </c>
      <c r="F2239" s="87">
        <v>1584.8</v>
      </c>
      <c r="G2239" s="91">
        <f>Tabla15[[#This Row],[Importe]]-Tabla15[[#This Row],[Pagado]]</f>
        <v>0</v>
      </c>
      <c r="H2239" s="92" t="s">
        <v>10</v>
      </c>
    </row>
    <row r="2240" spans="1:8" ht="21.75" customHeight="1" x14ac:dyDescent="0.25">
      <c r="A2240" s="35">
        <v>44672</v>
      </c>
      <c r="B2240" s="90" t="s">
        <v>12905</v>
      </c>
      <c r="C2240" s="41" t="s">
        <v>284</v>
      </c>
      <c r="D2240" s="87">
        <v>6664</v>
      </c>
      <c r="E2240" s="35">
        <v>44673</v>
      </c>
      <c r="F2240" s="87">
        <v>6664</v>
      </c>
      <c r="G2240" s="91">
        <f>Tabla15[[#This Row],[Importe]]-Tabla15[[#This Row],[Pagado]]</f>
        <v>0</v>
      </c>
      <c r="H2240" s="92" t="s">
        <v>10</v>
      </c>
    </row>
    <row r="2241" spans="1:8" ht="21.75" customHeight="1" x14ac:dyDescent="0.25">
      <c r="A2241" s="35">
        <v>44672</v>
      </c>
      <c r="B2241" s="90" t="s">
        <v>12906</v>
      </c>
      <c r="C2241" s="41" t="s">
        <v>698</v>
      </c>
      <c r="D2241" s="87">
        <v>5071.5</v>
      </c>
      <c r="E2241" s="35">
        <v>44672</v>
      </c>
      <c r="F2241" s="87">
        <v>5071.5</v>
      </c>
      <c r="G2241" s="91">
        <f>Tabla15[[#This Row],[Importe]]-Tabla15[[#This Row],[Pagado]]</f>
        <v>0</v>
      </c>
      <c r="H2241" s="92" t="s">
        <v>10</v>
      </c>
    </row>
    <row r="2242" spans="1:8" ht="21.75" customHeight="1" x14ac:dyDescent="0.25">
      <c r="A2242" s="35">
        <v>44672</v>
      </c>
      <c r="B2242" s="90" t="s">
        <v>12907</v>
      </c>
      <c r="C2242" s="41" t="s">
        <v>200</v>
      </c>
      <c r="D2242" s="87">
        <v>929.6</v>
      </c>
      <c r="E2242" s="35">
        <v>44673</v>
      </c>
      <c r="F2242" s="87">
        <v>929.6</v>
      </c>
      <c r="G2242" s="91">
        <f>Tabla15[[#This Row],[Importe]]-Tabla15[[#This Row],[Pagado]]</f>
        <v>0</v>
      </c>
      <c r="H2242" s="92" t="s">
        <v>10</v>
      </c>
    </row>
    <row r="2243" spans="1:8" ht="21.75" customHeight="1" x14ac:dyDescent="0.25">
      <c r="A2243" s="35">
        <v>44672</v>
      </c>
      <c r="B2243" s="90" t="s">
        <v>12908</v>
      </c>
      <c r="C2243" s="41" t="s">
        <v>280</v>
      </c>
      <c r="D2243" s="87">
        <v>548.79999999999995</v>
      </c>
      <c r="E2243" s="35">
        <v>44673</v>
      </c>
      <c r="F2243" s="87">
        <v>548.79999999999995</v>
      </c>
      <c r="G2243" s="91">
        <f>Tabla15[[#This Row],[Importe]]-Tabla15[[#This Row],[Pagado]]</f>
        <v>0</v>
      </c>
      <c r="H2243" s="92" t="s">
        <v>10</v>
      </c>
    </row>
    <row r="2244" spans="1:8" ht="21.75" customHeight="1" x14ac:dyDescent="0.25">
      <c r="A2244" s="35">
        <v>44672</v>
      </c>
      <c r="B2244" s="90" t="s">
        <v>12909</v>
      </c>
      <c r="C2244" s="41" t="s">
        <v>214</v>
      </c>
      <c r="D2244" s="87">
        <v>1064</v>
      </c>
      <c r="E2244" s="35">
        <v>44672</v>
      </c>
      <c r="F2244" s="87">
        <v>1064</v>
      </c>
      <c r="G2244" s="91">
        <f>Tabla15[[#This Row],[Importe]]-Tabla15[[#This Row],[Pagado]]</f>
        <v>0</v>
      </c>
      <c r="H2244" s="92" t="s">
        <v>10</v>
      </c>
    </row>
    <row r="2245" spans="1:8" ht="21.75" customHeight="1" x14ac:dyDescent="0.25">
      <c r="A2245" s="35">
        <v>44672</v>
      </c>
      <c r="B2245" s="90" t="s">
        <v>12910</v>
      </c>
      <c r="C2245" s="41" t="s">
        <v>426</v>
      </c>
      <c r="D2245" s="87">
        <v>4935.2</v>
      </c>
      <c r="E2245" s="35">
        <v>44673</v>
      </c>
      <c r="F2245" s="87">
        <v>4935.2</v>
      </c>
      <c r="G2245" s="91">
        <f>Tabla15[[#This Row],[Importe]]-Tabla15[[#This Row],[Pagado]]</f>
        <v>0</v>
      </c>
      <c r="H2245" s="92" t="s">
        <v>10</v>
      </c>
    </row>
    <row r="2246" spans="1:8" ht="21.75" customHeight="1" x14ac:dyDescent="0.25">
      <c r="A2246" s="35">
        <v>44672</v>
      </c>
      <c r="B2246" s="90" t="s">
        <v>12911</v>
      </c>
      <c r="C2246" s="41" t="s">
        <v>681</v>
      </c>
      <c r="D2246" s="87">
        <v>15.25</v>
      </c>
      <c r="E2246" s="35">
        <v>44681</v>
      </c>
      <c r="F2246" s="87">
        <v>15.25</v>
      </c>
      <c r="G2246" s="91">
        <f>Tabla15[[#This Row],[Importe]]-Tabla15[[#This Row],[Pagado]]</f>
        <v>0</v>
      </c>
      <c r="H2246" s="92" t="s">
        <v>10</v>
      </c>
    </row>
    <row r="2247" spans="1:8" ht="21.75" customHeight="1" x14ac:dyDescent="0.25">
      <c r="A2247" s="35">
        <v>44672</v>
      </c>
      <c r="B2247" s="90" t="s">
        <v>12912</v>
      </c>
      <c r="C2247" s="41" t="s">
        <v>414</v>
      </c>
      <c r="D2247" s="87">
        <v>1864.8</v>
      </c>
      <c r="E2247" s="35">
        <v>44672</v>
      </c>
      <c r="F2247" s="87">
        <v>1864.8</v>
      </c>
      <c r="G2247" s="91">
        <f>Tabla15[[#This Row],[Importe]]-Tabla15[[#This Row],[Pagado]]</f>
        <v>0</v>
      </c>
      <c r="H2247" s="92" t="s">
        <v>10</v>
      </c>
    </row>
    <row r="2248" spans="1:8" ht="21.75" customHeight="1" x14ac:dyDescent="0.25">
      <c r="A2248" s="35">
        <v>44672</v>
      </c>
      <c r="B2248" s="90" t="s">
        <v>12913</v>
      </c>
      <c r="C2248" s="41" t="s">
        <v>31</v>
      </c>
      <c r="D2248" s="87">
        <v>498.4</v>
      </c>
      <c r="E2248" s="35">
        <v>44672</v>
      </c>
      <c r="F2248" s="87">
        <v>498.4</v>
      </c>
      <c r="G2248" s="91">
        <f>Tabla15[[#This Row],[Importe]]-Tabla15[[#This Row],[Pagado]]</f>
        <v>0</v>
      </c>
      <c r="H2248" s="92" t="s">
        <v>10</v>
      </c>
    </row>
    <row r="2249" spans="1:8" ht="21.75" customHeight="1" x14ac:dyDescent="0.25">
      <c r="A2249" s="35">
        <v>44672</v>
      </c>
      <c r="B2249" s="90" t="s">
        <v>12914</v>
      </c>
      <c r="C2249" s="41" t="s">
        <v>729</v>
      </c>
      <c r="D2249" s="87">
        <v>14466.5</v>
      </c>
      <c r="E2249" s="35">
        <v>44673</v>
      </c>
      <c r="F2249" s="87">
        <v>14466.5</v>
      </c>
      <c r="G2249" s="91">
        <f>Tabla15[[#This Row],[Importe]]-Tabla15[[#This Row],[Pagado]]</f>
        <v>0</v>
      </c>
      <c r="H2249" s="92" t="s">
        <v>10</v>
      </c>
    </row>
    <row r="2250" spans="1:8" ht="21.75" customHeight="1" x14ac:dyDescent="0.25">
      <c r="A2250" s="35">
        <v>44672</v>
      </c>
      <c r="B2250" s="90" t="s">
        <v>12915</v>
      </c>
      <c r="C2250" s="41" t="s">
        <v>71</v>
      </c>
      <c r="D2250" s="87">
        <v>4414.3999999999996</v>
      </c>
      <c r="E2250" s="35">
        <v>44672</v>
      </c>
      <c r="F2250" s="87">
        <v>4414.3999999999996</v>
      </c>
      <c r="G2250" s="91">
        <f>Tabla15[[#This Row],[Importe]]-Tabla15[[#This Row],[Pagado]]</f>
        <v>0</v>
      </c>
      <c r="H2250" s="92" t="s">
        <v>10</v>
      </c>
    </row>
    <row r="2251" spans="1:8" ht="21.75" customHeight="1" x14ac:dyDescent="0.25">
      <c r="A2251" s="35">
        <v>44672</v>
      </c>
      <c r="B2251" s="90" t="s">
        <v>12916</v>
      </c>
      <c r="C2251" s="41" t="s">
        <v>10678</v>
      </c>
      <c r="D2251" s="87">
        <v>4193.3999999999996</v>
      </c>
      <c r="E2251" s="35">
        <v>44672</v>
      </c>
      <c r="F2251" s="87">
        <v>4193.3999999999996</v>
      </c>
      <c r="G2251" s="91">
        <f>Tabla15[[#This Row],[Importe]]-Tabla15[[#This Row],[Pagado]]</f>
        <v>0</v>
      </c>
      <c r="H2251" s="92" t="s">
        <v>10</v>
      </c>
    </row>
    <row r="2252" spans="1:8" ht="21.75" customHeight="1" x14ac:dyDescent="0.25">
      <c r="A2252" s="35">
        <v>44672</v>
      </c>
      <c r="B2252" s="90" t="s">
        <v>12917</v>
      </c>
      <c r="C2252" s="41" t="s">
        <v>396</v>
      </c>
      <c r="D2252" s="87">
        <v>7217.7</v>
      </c>
      <c r="E2252" s="35">
        <v>44678</v>
      </c>
      <c r="F2252" s="87">
        <v>7217.7</v>
      </c>
      <c r="G2252" s="91">
        <f>Tabla15[[#This Row],[Importe]]-Tabla15[[#This Row],[Pagado]]</f>
        <v>0</v>
      </c>
      <c r="H2252" s="92" t="s">
        <v>10</v>
      </c>
    </row>
    <row r="2253" spans="1:8" ht="21.75" customHeight="1" x14ac:dyDescent="0.25">
      <c r="A2253" s="35">
        <v>44672</v>
      </c>
      <c r="B2253" s="90" t="s">
        <v>12918</v>
      </c>
      <c r="C2253" s="41" t="s">
        <v>275</v>
      </c>
      <c r="D2253" s="87">
        <v>76400.800000000003</v>
      </c>
      <c r="E2253" s="35">
        <v>44681</v>
      </c>
      <c r="F2253" s="87">
        <v>76400.800000000003</v>
      </c>
      <c r="G2253" s="91">
        <f>Tabla15[[#This Row],[Importe]]-Tabla15[[#This Row],[Pagado]]</f>
        <v>0</v>
      </c>
      <c r="H2253" s="92" t="s">
        <v>10</v>
      </c>
    </row>
    <row r="2254" spans="1:8" ht="21.75" customHeight="1" x14ac:dyDescent="0.25">
      <c r="A2254" s="35">
        <v>44672</v>
      </c>
      <c r="B2254" s="90" t="s">
        <v>12919</v>
      </c>
      <c r="C2254" s="41" t="s">
        <v>31</v>
      </c>
      <c r="D2254" s="87">
        <v>134.4</v>
      </c>
      <c r="E2254" s="35">
        <v>44672</v>
      </c>
      <c r="F2254" s="87">
        <v>134.4</v>
      </c>
      <c r="G2254" s="91">
        <f>Tabla15[[#This Row],[Importe]]-Tabla15[[#This Row],[Pagado]]</f>
        <v>0</v>
      </c>
      <c r="H2254" s="92" t="s">
        <v>10</v>
      </c>
    </row>
    <row r="2255" spans="1:8" ht="21.75" customHeight="1" x14ac:dyDescent="0.25">
      <c r="A2255" s="35">
        <v>44672</v>
      </c>
      <c r="B2255" s="90" t="s">
        <v>12920</v>
      </c>
      <c r="C2255" s="41" t="s">
        <v>31</v>
      </c>
      <c r="D2255" s="87">
        <v>330.4</v>
      </c>
      <c r="E2255" s="35">
        <v>44672</v>
      </c>
      <c r="F2255" s="87">
        <v>330.4</v>
      </c>
      <c r="G2255" s="91">
        <f>Tabla15[[#This Row],[Importe]]-Tabla15[[#This Row],[Pagado]]</f>
        <v>0</v>
      </c>
      <c r="H2255" s="92" t="s">
        <v>10</v>
      </c>
    </row>
    <row r="2256" spans="1:8" ht="21.75" customHeight="1" x14ac:dyDescent="0.25">
      <c r="A2256" s="35">
        <v>44672</v>
      </c>
      <c r="B2256" s="90" t="s">
        <v>12921</v>
      </c>
      <c r="C2256" s="41" t="s">
        <v>2151</v>
      </c>
      <c r="D2256" s="87">
        <v>7263.6</v>
      </c>
      <c r="E2256" s="35">
        <v>44672</v>
      </c>
      <c r="F2256" s="87">
        <v>7263.6</v>
      </c>
      <c r="G2256" s="91">
        <f>Tabla15[[#This Row],[Importe]]-Tabla15[[#This Row],[Pagado]]</f>
        <v>0</v>
      </c>
      <c r="H2256" s="92" t="s">
        <v>10</v>
      </c>
    </row>
    <row r="2257" spans="1:8" ht="21.75" customHeight="1" x14ac:dyDescent="0.25">
      <c r="A2257" s="35">
        <v>44672</v>
      </c>
      <c r="B2257" s="90" t="s">
        <v>12922</v>
      </c>
      <c r="C2257" s="41" t="s">
        <v>62</v>
      </c>
      <c r="D2257" s="87">
        <v>1444.5</v>
      </c>
      <c r="E2257" s="35">
        <v>44672</v>
      </c>
      <c r="F2257" s="87">
        <v>1444.5</v>
      </c>
      <c r="G2257" s="91">
        <f>Tabla15[[#This Row],[Importe]]-Tabla15[[#This Row],[Pagado]]</f>
        <v>0</v>
      </c>
      <c r="H2257" s="92" t="s">
        <v>10</v>
      </c>
    </row>
    <row r="2258" spans="1:8" ht="21.75" customHeight="1" x14ac:dyDescent="0.25">
      <c r="A2258" s="35">
        <v>44672</v>
      </c>
      <c r="B2258" s="90" t="s">
        <v>12923</v>
      </c>
      <c r="C2258" s="41" t="s">
        <v>31</v>
      </c>
      <c r="D2258" s="87">
        <v>912</v>
      </c>
      <c r="E2258" s="35">
        <v>44672</v>
      </c>
      <c r="F2258" s="87">
        <v>912</v>
      </c>
      <c r="G2258" s="91">
        <f>Tabla15[[#This Row],[Importe]]-Tabla15[[#This Row],[Pagado]]</f>
        <v>0</v>
      </c>
      <c r="H2258" s="92" t="s">
        <v>10</v>
      </c>
    </row>
    <row r="2259" spans="1:8" ht="21.75" customHeight="1" x14ac:dyDescent="0.25">
      <c r="A2259" s="35">
        <v>44672</v>
      </c>
      <c r="B2259" s="90" t="s">
        <v>12924</v>
      </c>
      <c r="C2259" s="41" t="s">
        <v>31</v>
      </c>
      <c r="D2259" s="87">
        <v>72</v>
      </c>
      <c r="E2259" s="35">
        <v>44672</v>
      </c>
      <c r="F2259" s="87">
        <v>72</v>
      </c>
      <c r="G2259" s="91">
        <f>Tabla15[[#This Row],[Importe]]-Tabla15[[#This Row],[Pagado]]</f>
        <v>0</v>
      </c>
      <c r="H2259" s="92" t="s">
        <v>10</v>
      </c>
    </row>
    <row r="2260" spans="1:8" ht="21.75" customHeight="1" x14ac:dyDescent="0.25">
      <c r="A2260" s="35">
        <v>44672</v>
      </c>
      <c r="B2260" s="90" t="s">
        <v>12925</v>
      </c>
      <c r="C2260" s="41" t="s">
        <v>31</v>
      </c>
      <c r="D2260" s="87">
        <v>46</v>
      </c>
      <c r="E2260" s="35">
        <v>44672</v>
      </c>
      <c r="F2260" s="87">
        <v>46</v>
      </c>
      <c r="G2260" s="91">
        <f>Tabla15[[#This Row],[Importe]]-Tabla15[[#This Row],[Pagado]]</f>
        <v>0</v>
      </c>
      <c r="H2260" s="92" t="s">
        <v>10</v>
      </c>
    </row>
    <row r="2261" spans="1:8" ht="21.75" customHeight="1" x14ac:dyDescent="0.25">
      <c r="A2261" s="35">
        <v>44672</v>
      </c>
      <c r="B2261" s="90" t="s">
        <v>12926</v>
      </c>
      <c r="C2261" s="41" t="s">
        <v>9780</v>
      </c>
      <c r="D2261" s="87">
        <v>38626.51</v>
      </c>
      <c r="E2261" s="35">
        <v>44692</v>
      </c>
      <c r="F2261" s="87">
        <v>38626.51</v>
      </c>
      <c r="G2261" s="91">
        <f>Tabla15[[#This Row],[Importe]]-Tabla15[[#This Row],[Pagado]]</f>
        <v>0</v>
      </c>
      <c r="H2261" s="92" t="s">
        <v>10</v>
      </c>
    </row>
    <row r="2262" spans="1:8" ht="21.75" customHeight="1" x14ac:dyDescent="0.25">
      <c r="A2262" s="35">
        <v>44672</v>
      </c>
      <c r="B2262" s="90" t="s">
        <v>12927</v>
      </c>
      <c r="C2262" s="41" t="s">
        <v>31</v>
      </c>
      <c r="D2262" s="87">
        <v>196</v>
      </c>
      <c r="E2262" s="35">
        <v>44673</v>
      </c>
      <c r="F2262" s="87">
        <v>196</v>
      </c>
      <c r="G2262" s="91">
        <f>Tabla15[[#This Row],[Importe]]-Tabla15[[#This Row],[Pagado]]</f>
        <v>0</v>
      </c>
      <c r="H2262" s="92" t="s">
        <v>10</v>
      </c>
    </row>
    <row r="2263" spans="1:8" ht="21.75" customHeight="1" x14ac:dyDescent="0.25">
      <c r="A2263" s="35">
        <v>44672</v>
      </c>
      <c r="B2263" s="90" t="s">
        <v>12928</v>
      </c>
      <c r="C2263" s="41" t="s">
        <v>12</v>
      </c>
      <c r="D2263" s="87">
        <v>190</v>
      </c>
      <c r="E2263" s="35">
        <v>44673</v>
      </c>
      <c r="F2263" s="87">
        <v>190</v>
      </c>
      <c r="G2263" s="91">
        <f>Tabla15[[#This Row],[Importe]]-Tabla15[[#This Row],[Pagado]]</f>
        <v>0</v>
      </c>
      <c r="H2263" s="92" t="s">
        <v>10</v>
      </c>
    </row>
    <row r="2264" spans="1:8" ht="21.75" customHeight="1" x14ac:dyDescent="0.25">
      <c r="A2264" s="35">
        <v>44672</v>
      </c>
      <c r="B2264" s="90" t="s">
        <v>12929</v>
      </c>
      <c r="C2264" s="41" t="s">
        <v>31</v>
      </c>
      <c r="D2264" s="87">
        <v>108</v>
      </c>
      <c r="E2264" s="35">
        <v>44673</v>
      </c>
      <c r="F2264" s="87">
        <v>108</v>
      </c>
      <c r="G2264" s="91">
        <f>Tabla15[[#This Row],[Importe]]-Tabla15[[#This Row],[Pagado]]</f>
        <v>0</v>
      </c>
      <c r="H2264" s="92" t="s">
        <v>10</v>
      </c>
    </row>
    <row r="2265" spans="1:8" ht="21.75" customHeight="1" x14ac:dyDescent="0.25">
      <c r="A2265" s="35">
        <v>44672</v>
      </c>
      <c r="B2265" s="90" t="s">
        <v>12930</v>
      </c>
      <c r="C2265" s="41" t="s">
        <v>843</v>
      </c>
      <c r="D2265" s="87">
        <v>31964</v>
      </c>
      <c r="E2265" s="35">
        <v>44673</v>
      </c>
      <c r="F2265" s="87">
        <v>31964</v>
      </c>
      <c r="G2265" s="91">
        <f>Tabla15[[#This Row],[Importe]]-Tabla15[[#This Row],[Pagado]]</f>
        <v>0</v>
      </c>
      <c r="H2265" s="92" t="s">
        <v>10</v>
      </c>
    </row>
    <row r="2266" spans="1:8" ht="21.75" customHeight="1" x14ac:dyDescent="0.25">
      <c r="A2266" s="35">
        <v>44672</v>
      </c>
      <c r="B2266" s="90" t="s">
        <v>12931</v>
      </c>
      <c r="C2266" s="41" t="s">
        <v>31</v>
      </c>
      <c r="D2266" s="87">
        <v>28.8</v>
      </c>
      <c r="E2266" s="35">
        <v>44673</v>
      </c>
      <c r="F2266" s="87">
        <v>28.8</v>
      </c>
      <c r="G2266" s="91">
        <f>Tabla15[[#This Row],[Importe]]-Tabla15[[#This Row],[Pagado]]</f>
        <v>0</v>
      </c>
      <c r="H2266" s="92" t="s">
        <v>10</v>
      </c>
    </row>
    <row r="2267" spans="1:8" ht="21.75" customHeight="1" x14ac:dyDescent="0.25">
      <c r="A2267" s="35">
        <v>44673</v>
      </c>
      <c r="B2267" s="90" t="s">
        <v>12932</v>
      </c>
      <c r="C2267" s="41" t="s">
        <v>481</v>
      </c>
      <c r="D2267" s="87">
        <v>1583.9</v>
      </c>
      <c r="E2267" s="35">
        <v>44673</v>
      </c>
      <c r="F2267" s="87">
        <v>1583.9</v>
      </c>
      <c r="G2267" s="91">
        <f>Tabla15[[#This Row],[Importe]]-Tabla15[[#This Row],[Pagado]]</f>
        <v>0</v>
      </c>
      <c r="H2267" s="92" t="s">
        <v>10</v>
      </c>
    </row>
    <row r="2268" spans="1:8" ht="21.75" customHeight="1" x14ac:dyDescent="0.25">
      <c r="A2268" s="35">
        <v>44673</v>
      </c>
      <c r="B2268" s="90" t="s">
        <v>12933</v>
      </c>
      <c r="C2268" s="41" t="s">
        <v>475</v>
      </c>
      <c r="D2268" s="87">
        <v>89573.8</v>
      </c>
      <c r="E2268" s="35">
        <v>44674</v>
      </c>
      <c r="F2268" s="87">
        <v>89573.8</v>
      </c>
      <c r="G2268" s="91">
        <f>Tabla15[[#This Row],[Importe]]-Tabla15[[#This Row],[Pagado]]</f>
        <v>0</v>
      </c>
      <c r="H2268" s="92" t="s">
        <v>10</v>
      </c>
    </row>
    <row r="2269" spans="1:8" ht="21.75" customHeight="1" x14ac:dyDescent="0.25">
      <c r="A2269" s="35">
        <v>44673</v>
      </c>
      <c r="B2269" s="90" t="s">
        <v>12934</v>
      </c>
      <c r="C2269" s="41" t="s">
        <v>31</v>
      </c>
      <c r="D2269" s="87">
        <v>4793.6000000000004</v>
      </c>
      <c r="E2269" s="35">
        <v>44673</v>
      </c>
      <c r="F2269" s="87">
        <v>4793.6000000000004</v>
      </c>
      <c r="G2269" s="91">
        <f>Tabla15[[#This Row],[Importe]]-Tabla15[[#This Row],[Pagado]]</f>
        <v>0</v>
      </c>
      <c r="H2269" s="92" t="s">
        <v>10</v>
      </c>
    </row>
    <row r="2270" spans="1:8" ht="21.75" customHeight="1" x14ac:dyDescent="0.25">
      <c r="A2270" s="35">
        <v>44673</v>
      </c>
      <c r="B2270" s="90" t="s">
        <v>12935</v>
      </c>
      <c r="C2270" s="41" t="s">
        <v>31</v>
      </c>
      <c r="D2270" s="87">
        <v>4262.3999999999996</v>
      </c>
      <c r="E2270" s="35">
        <v>44673</v>
      </c>
      <c r="F2270" s="87">
        <v>4262.3999999999996</v>
      </c>
      <c r="G2270" s="91">
        <f>Tabla15[[#This Row],[Importe]]-Tabla15[[#This Row],[Pagado]]</f>
        <v>0</v>
      </c>
      <c r="H2270" s="92" t="s">
        <v>10</v>
      </c>
    </row>
    <row r="2271" spans="1:8" ht="21.75" customHeight="1" x14ac:dyDescent="0.25">
      <c r="A2271" s="35">
        <v>44673</v>
      </c>
      <c r="B2271" s="90" t="s">
        <v>12936</v>
      </c>
      <c r="C2271" s="41" t="s">
        <v>22</v>
      </c>
      <c r="D2271" s="87">
        <v>57599.1</v>
      </c>
      <c r="E2271" s="35">
        <v>44674</v>
      </c>
      <c r="F2271" s="87">
        <v>57599.1</v>
      </c>
      <c r="G2271" s="91">
        <f>Tabla15[[#This Row],[Importe]]-Tabla15[[#This Row],[Pagado]]</f>
        <v>0</v>
      </c>
      <c r="H2271" s="92" t="s">
        <v>10</v>
      </c>
    </row>
    <row r="2272" spans="1:8" ht="21.75" customHeight="1" x14ac:dyDescent="0.25">
      <c r="A2272" s="35">
        <v>44673</v>
      </c>
      <c r="B2272" s="90" t="s">
        <v>12937</v>
      </c>
      <c r="C2272" s="41" t="s">
        <v>9415</v>
      </c>
      <c r="D2272" s="87">
        <v>17124.400000000001</v>
      </c>
      <c r="E2272" s="35">
        <v>44674</v>
      </c>
      <c r="F2272" s="87">
        <v>17124.400000000001</v>
      </c>
      <c r="G2272" s="91">
        <f>Tabla15[[#This Row],[Importe]]-Tabla15[[#This Row],[Pagado]]</f>
        <v>0</v>
      </c>
      <c r="H2272" s="92" t="s">
        <v>10</v>
      </c>
    </row>
    <row r="2273" spans="1:8" ht="21.75" customHeight="1" x14ac:dyDescent="0.25">
      <c r="A2273" s="35">
        <v>44673</v>
      </c>
      <c r="B2273" s="90" t="s">
        <v>12938</v>
      </c>
      <c r="C2273" s="41" t="s">
        <v>9</v>
      </c>
      <c r="D2273" s="87">
        <v>13768.3</v>
      </c>
      <c r="E2273" s="35">
        <v>44673</v>
      </c>
      <c r="F2273" s="87">
        <v>13768.3</v>
      </c>
      <c r="G2273" s="91">
        <f>Tabla15[[#This Row],[Importe]]-Tabla15[[#This Row],[Pagado]]</f>
        <v>0</v>
      </c>
      <c r="H2273" s="92" t="s">
        <v>10</v>
      </c>
    </row>
    <row r="2274" spans="1:8" ht="21.75" customHeight="1" x14ac:dyDescent="0.25">
      <c r="A2274" s="35">
        <v>44673</v>
      </c>
      <c r="B2274" s="90" t="s">
        <v>12939</v>
      </c>
      <c r="C2274" s="41" t="s">
        <v>31</v>
      </c>
      <c r="D2274" s="87">
        <v>1512</v>
      </c>
      <c r="E2274" s="35">
        <v>44673</v>
      </c>
      <c r="F2274" s="87">
        <v>1512</v>
      </c>
      <c r="G2274" s="91">
        <f>Tabla15[[#This Row],[Importe]]-Tabla15[[#This Row],[Pagado]]</f>
        <v>0</v>
      </c>
      <c r="H2274" s="92" t="s">
        <v>10</v>
      </c>
    </row>
    <row r="2275" spans="1:8" ht="21.75" customHeight="1" x14ac:dyDescent="0.25">
      <c r="A2275" s="35">
        <v>44673</v>
      </c>
      <c r="B2275" s="90" t="s">
        <v>12940</v>
      </c>
      <c r="C2275" s="41" t="s">
        <v>12</v>
      </c>
      <c r="D2275" s="87">
        <v>57739.15</v>
      </c>
      <c r="E2275" s="35">
        <v>44673</v>
      </c>
      <c r="F2275" s="87">
        <v>57739.15</v>
      </c>
      <c r="G2275" s="91">
        <f>Tabla15[[#This Row],[Importe]]-Tabla15[[#This Row],[Pagado]]</f>
        <v>0</v>
      </c>
      <c r="H2275" s="92" t="s">
        <v>10</v>
      </c>
    </row>
    <row r="2276" spans="1:8" ht="21.75" customHeight="1" x14ac:dyDescent="0.25">
      <c r="A2276" s="35">
        <v>44673</v>
      </c>
      <c r="B2276" s="90" t="s">
        <v>12941</v>
      </c>
      <c r="C2276" s="41" t="s">
        <v>95</v>
      </c>
      <c r="D2276" s="87">
        <v>20747.8</v>
      </c>
      <c r="E2276" s="35">
        <v>44673</v>
      </c>
      <c r="F2276" s="87">
        <v>20747.8</v>
      </c>
      <c r="G2276" s="91">
        <f>Tabla15[[#This Row],[Importe]]-Tabla15[[#This Row],[Pagado]]</f>
        <v>0</v>
      </c>
      <c r="H2276" s="92" t="s">
        <v>10</v>
      </c>
    </row>
    <row r="2277" spans="1:8" ht="21.75" customHeight="1" x14ac:dyDescent="0.25">
      <c r="A2277" s="35">
        <v>44673</v>
      </c>
      <c r="B2277" s="90" t="s">
        <v>12942</v>
      </c>
      <c r="C2277" s="41" t="s">
        <v>348</v>
      </c>
      <c r="D2277" s="87">
        <v>1921.1</v>
      </c>
      <c r="E2277" s="35">
        <v>44673</v>
      </c>
      <c r="F2277" s="87">
        <v>1921.1</v>
      </c>
      <c r="G2277" s="91">
        <f>Tabla15[[#This Row],[Importe]]-Tabla15[[#This Row],[Pagado]]</f>
        <v>0</v>
      </c>
      <c r="H2277" s="92" t="s">
        <v>10</v>
      </c>
    </row>
    <row r="2278" spans="1:8" ht="21.75" customHeight="1" x14ac:dyDescent="0.25">
      <c r="A2278" s="35">
        <v>44673</v>
      </c>
      <c r="B2278" s="90" t="s">
        <v>12943</v>
      </c>
      <c r="C2278" s="41" t="s">
        <v>109</v>
      </c>
      <c r="D2278" s="87">
        <v>4421.7</v>
      </c>
      <c r="E2278" s="35">
        <v>44674</v>
      </c>
      <c r="F2278" s="87">
        <v>4421.7</v>
      </c>
      <c r="G2278" s="91">
        <f>Tabla15[[#This Row],[Importe]]-Tabla15[[#This Row],[Pagado]]</f>
        <v>0</v>
      </c>
      <c r="H2278" s="92" t="s">
        <v>10</v>
      </c>
    </row>
    <row r="2279" spans="1:8" ht="21.75" customHeight="1" x14ac:dyDescent="0.25">
      <c r="A2279" s="35">
        <v>44673</v>
      </c>
      <c r="B2279" s="90" t="s">
        <v>12944</v>
      </c>
      <c r="C2279" s="41" t="s">
        <v>116</v>
      </c>
      <c r="D2279" s="87">
        <v>4293</v>
      </c>
      <c r="E2279" s="35">
        <v>44676</v>
      </c>
      <c r="F2279" s="87">
        <v>4293</v>
      </c>
      <c r="G2279" s="91">
        <f>Tabla15[[#This Row],[Importe]]-Tabla15[[#This Row],[Pagado]]</f>
        <v>0</v>
      </c>
      <c r="H2279" s="92" t="s">
        <v>10</v>
      </c>
    </row>
    <row r="2280" spans="1:8" ht="21.75" customHeight="1" x14ac:dyDescent="0.25">
      <c r="A2280" s="35">
        <v>44673</v>
      </c>
      <c r="B2280" s="90" t="s">
        <v>12945</v>
      </c>
      <c r="C2280" s="41" t="s">
        <v>111</v>
      </c>
      <c r="D2280" s="87">
        <v>4457.3999999999996</v>
      </c>
      <c r="E2280" s="35">
        <v>44674</v>
      </c>
      <c r="F2280" s="87">
        <v>4457.3999999999996</v>
      </c>
      <c r="G2280" s="91">
        <f>Tabla15[[#This Row],[Importe]]-Tabla15[[#This Row],[Pagado]]</f>
        <v>0</v>
      </c>
      <c r="H2280" s="92" t="s">
        <v>10</v>
      </c>
    </row>
    <row r="2281" spans="1:8" ht="21.75" customHeight="1" x14ac:dyDescent="0.25">
      <c r="A2281" s="35">
        <v>44673</v>
      </c>
      <c r="B2281" s="90" t="s">
        <v>12946</v>
      </c>
      <c r="C2281" s="41" t="s">
        <v>89</v>
      </c>
      <c r="D2281" s="87">
        <v>10049.6</v>
      </c>
      <c r="E2281" s="35">
        <v>44674</v>
      </c>
      <c r="F2281" s="87">
        <v>10049.6</v>
      </c>
      <c r="G2281" s="91">
        <f>Tabla15[[#This Row],[Importe]]-Tabla15[[#This Row],[Pagado]]</f>
        <v>0</v>
      </c>
      <c r="H2281" s="92" t="s">
        <v>10</v>
      </c>
    </row>
    <row r="2282" spans="1:8" ht="21.75" customHeight="1" x14ac:dyDescent="0.25">
      <c r="A2282" s="35">
        <v>44673</v>
      </c>
      <c r="B2282" s="90" t="s">
        <v>12947</v>
      </c>
      <c r="C2282" s="41" t="s">
        <v>31</v>
      </c>
      <c r="D2282" s="87">
        <v>1746.1</v>
      </c>
      <c r="E2282" s="35">
        <v>44673</v>
      </c>
      <c r="F2282" s="87">
        <v>1746.1</v>
      </c>
      <c r="G2282" s="91">
        <f>Tabla15[[#This Row],[Importe]]-Tabla15[[#This Row],[Pagado]]</f>
        <v>0</v>
      </c>
      <c r="H2282" s="92" t="s">
        <v>10</v>
      </c>
    </row>
    <row r="2283" spans="1:8" ht="21.75" customHeight="1" x14ac:dyDescent="0.25">
      <c r="A2283" s="35">
        <v>44673</v>
      </c>
      <c r="B2283" s="90" t="s">
        <v>12948</v>
      </c>
      <c r="C2283" s="41" t="s">
        <v>105</v>
      </c>
      <c r="D2283" s="87">
        <v>5833.8</v>
      </c>
      <c r="E2283" s="35">
        <v>44674</v>
      </c>
      <c r="F2283" s="87">
        <v>5833.8</v>
      </c>
      <c r="G2283" s="91">
        <f>Tabla15[[#This Row],[Importe]]-Tabla15[[#This Row],[Pagado]]</f>
        <v>0</v>
      </c>
      <c r="H2283" s="92" t="s">
        <v>10</v>
      </c>
    </row>
    <row r="2284" spans="1:8" ht="21.75" customHeight="1" x14ac:dyDescent="0.25">
      <c r="A2284" s="35">
        <v>44673</v>
      </c>
      <c r="B2284" s="90" t="s">
        <v>12949</v>
      </c>
      <c r="C2284" s="41" t="s">
        <v>114</v>
      </c>
      <c r="D2284" s="87">
        <v>5672</v>
      </c>
      <c r="E2284" s="35">
        <v>44674</v>
      </c>
      <c r="F2284" s="87">
        <v>5672</v>
      </c>
      <c r="G2284" s="91">
        <f>Tabla15[[#This Row],[Importe]]-Tabla15[[#This Row],[Pagado]]</f>
        <v>0</v>
      </c>
      <c r="H2284" s="92" t="s">
        <v>10</v>
      </c>
    </row>
    <row r="2285" spans="1:8" ht="21.75" customHeight="1" x14ac:dyDescent="0.25">
      <c r="A2285" s="35">
        <v>44673</v>
      </c>
      <c r="B2285" s="90" t="s">
        <v>12950</v>
      </c>
      <c r="C2285" s="41" t="s">
        <v>473</v>
      </c>
      <c r="D2285" s="87">
        <v>4872</v>
      </c>
      <c r="E2285" s="35">
        <v>44673</v>
      </c>
      <c r="F2285" s="87">
        <v>4872</v>
      </c>
      <c r="G2285" s="91">
        <f>Tabla15[[#This Row],[Importe]]-Tabla15[[#This Row],[Pagado]]</f>
        <v>0</v>
      </c>
      <c r="H2285" s="92" t="s">
        <v>10</v>
      </c>
    </row>
    <row r="2286" spans="1:8" ht="31.5" x14ac:dyDescent="0.25">
      <c r="A2286" s="35">
        <v>44673</v>
      </c>
      <c r="B2286" s="90" t="s">
        <v>12951</v>
      </c>
      <c r="C2286" s="41" t="s">
        <v>39</v>
      </c>
      <c r="D2286" s="87">
        <v>15102.9</v>
      </c>
      <c r="E2286" s="35" t="s">
        <v>12952</v>
      </c>
      <c r="F2286" s="87">
        <f>9000+6102.9</f>
        <v>15102.9</v>
      </c>
      <c r="G2286" s="91">
        <f>Tabla15[[#This Row],[Importe]]-Tabla15[[#This Row],[Pagado]]</f>
        <v>0</v>
      </c>
      <c r="H2286" s="92" t="s">
        <v>10</v>
      </c>
    </row>
    <row r="2287" spans="1:8" ht="21.75" customHeight="1" x14ac:dyDescent="0.25">
      <c r="A2287" s="35">
        <v>44673</v>
      </c>
      <c r="B2287" s="90" t="s">
        <v>12953</v>
      </c>
      <c r="C2287" s="41" t="s">
        <v>83</v>
      </c>
      <c r="D2287" s="87">
        <v>8584</v>
      </c>
      <c r="E2287" s="35">
        <v>44673</v>
      </c>
      <c r="F2287" s="87">
        <v>8584</v>
      </c>
      <c r="G2287" s="91">
        <f>Tabla15[[#This Row],[Importe]]-Tabla15[[#This Row],[Pagado]]</f>
        <v>0</v>
      </c>
      <c r="H2287" s="92" t="s">
        <v>10</v>
      </c>
    </row>
    <row r="2288" spans="1:8" ht="21.75" customHeight="1" x14ac:dyDescent="0.25">
      <c r="A2288" s="35">
        <v>44673</v>
      </c>
      <c r="B2288" s="90" t="s">
        <v>12954</v>
      </c>
      <c r="C2288" s="41" t="s">
        <v>11033</v>
      </c>
      <c r="D2288" s="87">
        <v>4134.8</v>
      </c>
      <c r="E2288" s="35">
        <v>44673</v>
      </c>
      <c r="F2288" s="87">
        <v>4134.8</v>
      </c>
      <c r="G2288" s="91">
        <f>Tabla15[[#This Row],[Importe]]-Tabla15[[#This Row],[Pagado]]</f>
        <v>0</v>
      </c>
      <c r="H2288" s="92" t="s">
        <v>10</v>
      </c>
    </row>
    <row r="2289" spans="1:8" ht="21.75" customHeight="1" x14ac:dyDescent="0.25">
      <c r="A2289" s="35">
        <v>44673</v>
      </c>
      <c r="B2289" s="90" t="s">
        <v>12955</v>
      </c>
      <c r="C2289" s="41" t="s">
        <v>97</v>
      </c>
      <c r="D2289" s="87">
        <v>6839.4</v>
      </c>
      <c r="E2289" s="35">
        <v>44674</v>
      </c>
      <c r="F2289" s="87">
        <v>6839.4</v>
      </c>
      <c r="G2289" s="91">
        <f>Tabla15[[#This Row],[Importe]]-Tabla15[[#This Row],[Pagado]]</f>
        <v>0</v>
      </c>
      <c r="H2289" s="92" t="s">
        <v>10</v>
      </c>
    </row>
    <row r="2290" spans="1:8" ht="21.75" customHeight="1" x14ac:dyDescent="0.25">
      <c r="A2290" s="35">
        <v>44673</v>
      </c>
      <c r="B2290" s="90" t="s">
        <v>12956</v>
      </c>
      <c r="C2290" s="41" t="s">
        <v>326</v>
      </c>
      <c r="D2290" s="87">
        <v>5534.6</v>
      </c>
      <c r="E2290" s="35">
        <v>44674</v>
      </c>
      <c r="F2290" s="87">
        <v>5534.6</v>
      </c>
      <c r="G2290" s="91">
        <f>Tabla15[[#This Row],[Importe]]-Tabla15[[#This Row],[Pagado]]</f>
        <v>0</v>
      </c>
      <c r="H2290" s="92" t="s">
        <v>10</v>
      </c>
    </row>
    <row r="2291" spans="1:8" ht="21.75" customHeight="1" x14ac:dyDescent="0.25">
      <c r="A2291" s="35">
        <v>44673</v>
      </c>
      <c r="B2291" s="90" t="s">
        <v>12957</v>
      </c>
      <c r="C2291" s="41" t="s">
        <v>93</v>
      </c>
      <c r="D2291" s="87">
        <v>963.9</v>
      </c>
      <c r="E2291" s="35">
        <v>44674</v>
      </c>
      <c r="F2291" s="87">
        <v>963.9</v>
      </c>
      <c r="G2291" s="91">
        <f>Tabla15[[#This Row],[Importe]]-Tabla15[[#This Row],[Pagado]]</f>
        <v>0</v>
      </c>
      <c r="H2291" s="92" t="s">
        <v>10</v>
      </c>
    </row>
    <row r="2292" spans="1:8" ht="21.75" customHeight="1" x14ac:dyDescent="0.25">
      <c r="A2292" s="35">
        <v>44673</v>
      </c>
      <c r="B2292" s="90" t="s">
        <v>12958</v>
      </c>
      <c r="C2292" s="41" t="s">
        <v>75</v>
      </c>
      <c r="D2292" s="87">
        <v>6182.4</v>
      </c>
      <c r="E2292" s="35">
        <v>44673</v>
      </c>
      <c r="F2292" s="87">
        <v>6182.4</v>
      </c>
      <c r="G2292" s="91">
        <f>Tabla15[[#This Row],[Importe]]-Tabla15[[#This Row],[Pagado]]</f>
        <v>0</v>
      </c>
      <c r="H2292" s="92" t="s">
        <v>10</v>
      </c>
    </row>
    <row r="2293" spans="1:8" ht="21.75" customHeight="1" x14ac:dyDescent="0.25">
      <c r="A2293" s="35">
        <v>44673</v>
      </c>
      <c r="B2293" s="90" t="s">
        <v>12959</v>
      </c>
      <c r="C2293" s="41" t="s">
        <v>345</v>
      </c>
      <c r="D2293" s="87">
        <v>397.6</v>
      </c>
      <c r="E2293" s="35">
        <v>44673</v>
      </c>
      <c r="F2293" s="87">
        <v>397.6</v>
      </c>
      <c r="G2293" s="91">
        <f>Tabla15[[#This Row],[Importe]]-Tabla15[[#This Row],[Pagado]]</f>
        <v>0</v>
      </c>
      <c r="H2293" s="92" t="s">
        <v>10</v>
      </c>
    </row>
    <row r="2294" spans="1:8" ht="21.75" customHeight="1" x14ac:dyDescent="0.25">
      <c r="A2294" s="35">
        <v>44673</v>
      </c>
      <c r="B2294" s="90" t="s">
        <v>12960</v>
      </c>
      <c r="C2294" s="41" t="s">
        <v>64</v>
      </c>
      <c r="D2294" s="87">
        <v>13350.3</v>
      </c>
      <c r="E2294" s="35">
        <v>44674</v>
      </c>
      <c r="F2294" s="87">
        <v>13350.3</v>
      </c>
      <c r="G2294" s="91">
        <f>Tabla15[[#This Row],[Importe]]-Tabla15[[#This Row],[Pagado]]</f>
        <v>0</v>
      </c>
      <c r="H2294" s="92" t="s">
        <v>10</v>
      </c>
    </row>
    <row r="2295" spans="1:8" ht="21.75" customHeight="1" x14ac:dyDescent="0.25">
      <c r="A2295" s="35">
        <v>44673</v>
      </c>
      <c r="B2295" s="90" t="s">
        <v>12961</v>
      </c>
      <c r="C2295" s="41" t="s">
        <v>2151</v>
      </c>
      <c r="D2295" s="87">
        <v>19212.2</v>
      </c>
      <c r="E2295" s="35">
        <v>44673</v>
      </c>
      <c r="F2295" s="87">
        <v>19212.2</v>
      </c>
      <c r="G2295" s="91">
        <f>Tabla15[[#This Row],[Importe]]-Tabla15[[#This Row],[Pagado]]</f>
        <v>0</v>
      </c>
      <c r="H2295" s="92" t="s">
        <v>10</v>
      </c>
    </row>
    <row r="2296" spans="1:8" ht="21.75" customHeight="1" x14ac:dyDescent="0.25">
      <c r="A2296" s="35">
        <v>44673</v>
      </c>
      <c r="B2296" s="90" t="s">
        <v>12962</v>
      </c>
      <c r="C2296" s="41" t="s">
        <v>312</v>
      </c>
      <c r="D2296" s="87">
        <v>4185</v>
      </c>
      <c r="E2296" s="35">
        <v>44673</v>
      </c>
      <c r="F2296" s="87">
        <v>4185</v>
      </c>
      <c r="G2296" s="91">
        <f>Tabla15[[#This Row],[Importe]]-Tabla15[[#This Row],[Pagado]]</f>
        <v>0</v>
      </c>
      <c r="H2296" s="92" t="s">
        <v>10</v>
      </c>
    </row>
    <row r="2297" spans="1:8" ht="21.75" customHeight="1" x14ac:dyDescent="0.25">
      <c r="A2297" s="35">
        <v>44673</v>
      </c>
      <c r="B2297" s="90" t="s">
        <v>12963</v>
      </c>
      <c r="C2297" s="41" t="s">
        <v>198</v>
      </c>
      <c r="D2297" s="87">
        <v>883.8</v>
      </c>
      <c r="E2297" s="35">
        <v>44673</v>
      </c>
      <c r="F2297" s="87">
        <v>883.8</v>
      </c>
      <c r="G2297" s="91">
        <f>Tabla15[[#This Row],[Importe]]-Tabla15[[#This Row],[Pagado]]</f>
        <v>0</v>
      </c>
      <c r="H2297" s="92" t="s">
        <v>10</v>
      </c>
    </row>
    <row r="2298" spans="1:8" ht="21.75" customHeight="1" x14ac:dyDescent="0.25">
      <c r="A2298" s="35">
        <v>44673</v>
      </c>
      <c r="B2298" s="90" t="s">
        <v>12964</v>
      </c>
      <c r="C2298" s="41" t="s">
        <v>212</v>
      </c>
      <c r="D2298" s="87">
        <v>61845</v>
      </c>
      <c r="E2298" s="35">
        <v>44677</v>
      </c>
      <c r="F2298" s="87">
        <v>61845</v>
      </c>
      <c r="G2298" s="91">
        <f>Tabla15[[#This Row],[Importe]]-Tabla15[[#This Row],[Pagado]]</f>
        <v>0</v>
      </c>
      <c r="H2298" s="92" t="s">
        <v>10</v>
      </c>
    </row>
    <row r="2299" spans="1:8" ht="21.75" customHeight="1" x14ac:dyDescent="0.25">
      <c r="A2299" s="35">
        <v>44673</v>
      </c>
      <c r="B2299" s="90" t="s">
        <v>12965</v>
      </c>
      <c r="C2299" s="41" t="s">
        <v>49</v>
      </c>
      <c r="D2299" s="87">
        <v>4504.5</v>
      </c>
      <c r="E2299" s="35">
        <v>44673</v>
      </c>
      <c r="F2299" s="87">
        <v>4504.5</v>
      </c>
      <c r="G2299" s="91">
        <f>Tabla15[[#This Row],[Importe]]-Tabla15[[#This Row],[Pagado]]</f>
        <v>0</v>
      </c>
      <c r="H2299" s="92" t="s">
        <v>10</v>
      </c>
    </row>
    <row r="2300" spans="1:8" ht="21.75" customHeight="1" x14ac:dyDescent="0.25">
      <c r="A2300" s="35">
        <v>44673</v>
      </c>
      <c r="B2300" s="90" t="s">
        <v>12966</v>
      </c>
      <c r="C2300" s="41" t="s">
        <v>181</v>
      </c>
      <c r="D2300" s="87">
        <v>9864.2000000000007</v>
      </c>
      <c r="E2300" s="35">
        <v>44673</v>
      </c>
      <c r="F2300" s="87">
        <v>9864.2000000000007</v>
      </c>
      <c r="G2300" s="91">
        <f>Tabla15[[#This Row],[Importe]]-Tabla15[[#This Row],[Pagado]]</f>
        <v>0</v>
      </c>
      <c r="H2300" s="92" t="s">
        <v>10</v>
      </c>
    </row>
    <row r="2301" spans="1:8" ht="21.75" customHeight="1" x14ac:dyDescent="0.25">
      <c r="A2301" s="35">
        <v>44673</v>
      </c>
      <c r="B2301" s="90" t="s">
        <v>12967</v>
      </c>
      <c r="C2301" s="41" t="s">
        <v>154</v>
      </c>
      <c r="D2301" s="87">
        <v>74401.2</v>
      </c>
      <c r="E2301" s="35">
        <v>44677</v>
      </c>
      <c r="F2301" s="87">
        <v>74401.2</v>
      </c>
      <c r="G2301" s="91">
        <f>Tabla15[[#This Row],[Importe]]-Tabla15[[#This Row],[Pagado]]</f>
        <v>0</v>
      </c>
      <c r="H2301" s="92" t="s">
        <v>10</v>
      </c>
    </row>
    <row r="2302" spans="1:8" ht="21.75" customHeight="1" x14ac:dyDescent="0.25">
      <c r="A2302" s="35">
        <v>44673</v>
      </c>
      <c r="B2302" s="90" t="s">
        <v>12968</v>
      </c>
      <c r="C2302" s="41" t="s">
        <v>357</v>
      </c>
      <c r="D2302" s="87">
        <v>3639.4</v>
      </c>
      <c r="E2302" s="35">
        <v>44673</v>
      </c>
      <c r="F2302" s="87">
        <v>3639.4</v>
      </c>
      <c r="G2302" s="91">
        <f>Tabla15[[#This Row],[Importe]]-Tabla15[[#This Row],[Pagado]]</f>
        <v>0</v>
      </c>
      <c r="H2302" s="92" t="s">
        <v>10</v>
      </c>
    </row>
    <row r="2303" spans="1:8" ht="21.75" customHeight="1" x14ac:dyDescent="0.25">
      <c r="A2303" s="35">
        <v>44673</v>
      </c>
      <c r="B2303" s="90" t="s">
        <v>12969</v>
      </c>
      <c r="C2303" s="41" t="s">
        <v>85</v>
      </c>
      <c r="D2303" s="87">
        <v>4508</v>
      </c>
      <c r="E2303" s="35">
        <v>44673</v>
      </c>
      <c r="F2303" s="87">
        <v>4508</v>
      </c>
      <c r="G2303" s="91">
        <f>Tabla15[[#This Row],[Importe]]-Tabla15[[#This Row],[Pagado]]</f>
        <v>0</v>
      </c>
      <c r="H2303" s="92" t="s">
        <v>10</v>
      </c>
    </row>
    <row r="2304" spans="1:8" ht="21.75" customHeight="1" x14ac:dyDescent="0.25">
      <c r="A2304" s="35">
        <v>44673</v>
      </c>
      <c r="B2304" s="90" t="s">
        <v>12970</v>
      </c>
      <c r="C2304" s="41" t="s">
        <v>35</v>
      </c>
      <c r="D2304" s="87">
        <v>2841.6</v>
      </c>
      <c r="E2304" s="35">
        <v>44673</v>
      </c>
      <c r="F2304" s="87">
        <v>2841.6</v>
      </c>
      <c r="G2304" s="91">
        <f>Tabla15[[#This Row],[Importe]]-Tabla15[[#This Row],[Pagado]]</f>
        <v>0</v>
      </c>
      <c r="H2304" s="92" t="s">
        <v>10</v>
      </c>
    </row>
    <row r="2305" spans="1:8" ht="21.75" customHeight="1" x14ac:dyDescent="0.25">
      <c r="A2305" s="35">
        <v>44673</v>
      </c>
      <c r="B2305" s="90" t="s">
        <v>12971</v>
      </c>
      <c r="C2305" s="41" t="s">
        <v>333</v>
      </c>
      <c r="D2305" s="87">
        <v>913.26</v>
      </c>
      <c r="E2305" s="35">
        <v>44673</v>
      </c>
      <c r="F2305" s="87">
        <v>913.26</v>
      </c>
      <c r="G2305" s="91">
        <f>Tabla15[[#This Row],[Importe]]-Tabla15[[#This Row],[Pagado]]</f>
        <v>0</v>
      </c>
      <c r="H2305" s="92" t="s">
        <v>10</v>
      </c>
    </row>
    <row r="2306" spans="1:8" ht="21.75" customHeight="1" x14ac:dyDescent="0.25">
      <c r="A2306" s="35">
        <v>44673</v>
      </c>
      <c r="B2306" s="90" t="s">
        <v>12972</v>
      </c>
      <c r="C2306" s="41" t="s">
        <v>127</v>
      </c>
      <c r="D2306" s="87">
        <v>5769.5</v>
      </c>
      <c r="E2306" s="35">
        <v>44673</v>
      </c>
      <c r="F2306" s="87">
        <v>5769.5</v>
      </c>
      <c r="G2306" s="91">
        <f>Tabla15[[#This Row],[Importe]]-Tabla15[[#This Row],[Pagado]]</f>
        <v>0</v>
      </c>
      <c r="H2306" s="92" t="s">
        <v>10</v>
      </c>
    </row>
    <row r="2307" spans="1:8" ht="21.75" customHeight="1" x14ac:dyDescent="0.25">
      <c r="A2307" s="35">
        <v>44673</v>
      </c>
      <c r="B2307" s="90" t="s">
        <v>12973</v>
      </c>
      <c r="C2307" s="41" t="s">
        <v>200</v>
      </c>
      <c r="D2307" s="87">
        <v>828.8</v>
      </c>
      <c r="E2307" s="35">
        <v>44673</v>
      </c>
      <c r="F2307" s="87">
        <v>828.8</v>
      </c>
      <c r="G2307" s="91">
        <f>Tabla15[[#This Row],[Importe]]-Tabla15[[#This Row],[Pagado]]</f>
        <v>0</v>
      </c>
      <c r="H2307" s="92" t="s">
        <v>10</v>
      </c>
    </row>
    <row r="2308" spans="1:8" ht="21.75" customHeight="1" x14ac:dyDescent="0.25">
      <c r="A2308" s="35">
        <v>44673</v>
      </c>
      <c r="B2308" s="90" t="s">
        <v>12974</v>
      </c>
      <c r="C2308" s="41" t="s">
        <v>31</v>
      </c>
      <c r="D2308" s="87">
        <v>473.1</v>
      </c>
      <c r="E2308" s="35">
        <v>44673</v>
      </c>
      <c r="F2308" s="87">
        <v>473.1</v>
      </c>
      <c r="G2308" s="91">
        <f>Tabla15[[#This Row],[Importe]]-Tabla15[[#This Row],[Pagado]]</f>
        <v>0</v>
      </c>
      <c r="H2308" s="92" t="s">
        <v>10</v>
      </c>
    </row>
    <row r="2309" spans="1:8" ht="21.75" customHeight="1" x14ac:dyDescent="0.25">
      <c r="A2309" s="35">
        <v>44673</v>
      </c>
      <c r="B2309" s="90" t="s">
        <v>12975</v>
      </c>
      <c r="C2309" s="41" t="s">
        <v>45</v>
      </c>
      <c r="D2309" s="87">
        <v>12713.1</v>
      </c>
      <c r="E2309" s="35">
        <v>44673</v>
      </c>
      <c r="F2309" s="87">
        <v>12713.1</v>
      </c>
      <c r="G2309" s="91">
        <f>Tabla15[[#This Row],[Importe]]-Tabla15[[#This Row],[Pagado]]</f>
        <v>0</v>
      </c>
      <c r="H2309" s="92" t="s">
        <v>10</v>
      </c>
    </row>
    <row r="2310" spans="1:8" ht="21.75" customHeight="1" x14ac:dyDescent="0.25">
      <c r="A2310" s="35">
        <v>44673</v>
      </c>
      <c r="B2310" s="90" t="s">
        <v>12976</v>
      </c>
      <c r="C2310" s="41" t="s">
        <v>647</v>
      </c>
      <c r="D2310" s="87">
        <v>2837.7</v>
      </c>
      <c r="E2310" s="35">
        <v>44673</v>
      </c>
      <c r="F2310" s="87">
        <v>2837.7</v>
      </c>
      <c r="G2310" s="91">
        <f>Tabla15[[#This Row],[Importe]]-Tabla15[[#This Row],[Pagado]]</f>
        <v>0</v>
      </c>
      <c r="H2310" s="92" t="s">
        <v>10</v>
      </c>
    </row>
    <row r="2311" spans="1:8" ht="21.75" customHeight="1" x14ac:dyDescent="0.25">
      <c r="A2311" s="35">
        <v>44673</v>
      </c>
      <c r="B2311" s="90" t="s">
        <v>12977</v>
      </c>
      <c r="C2311" s="41" t="s">
        <v>27</v>
      </c>
      <c r="D2311" s="87">
        <v>2318.1999999999998</v>
      </c>
      <c r="E2311" s="35">
        <v>44673</v>
      </c>
      <c r="F2311" s="87">
        <v>2318.1999999999998</v>
      </c>
      <c r="G2311" s="91">
        <f>Tabla15[[#This Row],[Importe]]-Tabla15[[#This Row],[Pagado]]</f>
        <v>0</v>
      </c>
      <c r="H2311" s="92" t="s">
        <v>10</v>
      </c>
    </row>
    <row r="2312" spans="1:8" ht="21.75" customHeight="1" x14ac:dyDescent="0.25">
      <c r="A2312" s="35">
        <v>44673</v>
      </c>
      <c r="B2312" s="90" t="s">
        <v>12978</v>
      </c>
      <c r="C2312" s="41" t="s">
        <v>140</v>
      </c>
      <c r="D2312" s="87">
        <v>860.7</v>
      </c>
      <c r="E2312" s="35">
        <v>44673</v>
      </c>
      <c r="F2312" s="87">
        <v>860.7</v>
      </c>
      <c r="G2312" s="91">
        <f>Tabla15[[#This Row],[Importe]]-Tabla15[[#This Row],[Pagado]]</f>
        <v>0</v>
      </c>
      <c r="H2312" s="92" t="s">
        <v>10</v>
      </c>
    </row>
    <row r="2313" spans="1:8" ht="21.75" customHeight="1" x14ac:dyDescent="0.25">
      <c r="A2313" s="35">
        <v>44673</v>
      </c>
      <c r="B2313" s="90" t="s">
        <v>12979</v>
      </c>
      <c r="C2313" s="41" t="s">
        <v>140</v>
      </c>
      <c r="D2313" s="87">
        <v>83.6</v>
      </c>
      <c r="E2313" s="35">
        <v>44673</v>
      </c>
      <c r="F2313" s="87">
        <v>83.6</v>
      </c>
      <c r="G2313" s="91">
        <f>Tabla15[[#This Row],[Importe]]-Tabla15[[#This Row],[Pagado]]</f>
        <v>0</v>
      </c>
      <c r="H2313" s="92" t="s">
        <v>10</v>
      </c>
    </row>
    <row r="2314" spans="1:8" ht="21.75" customHeight="1" x14ac:dyDescent="0.25">
      <c r="A2314" s="35">
        <v>44673</v>
      </c>
      <c r="B2314" s="90" t="s">
        <v>12980</v>
      </c>
      <c r="C2314" s="41" t="s">
        <v>414</v>
      </c>
      <c r="D2314" s="87">
        <v>9.02</v>
      </c>
      <c r="E2314" s="35">
        <v>44707</v>
      </c>
      <c r="F2314" s="87">
        <v>9.02</v>
      </c>
      <c r="G2314" s="91">
        <f>Tabla15[[#This Row],[Importe]]-Tabla15[[#This Row],[Pagado]]</f>
        <v>0</v>
      </c>
      <c r="H2314" s="92" t="s">
        <v>10</v>
      </c>
    </row>
    <row r="2315" spans="1:8" ht="31.5" x14ac:dyDescent="0.25">
      <c r="A2315" s="35">
        <v>44673</v>
      </c>
      <c r="B2315" s="90" t="s">
        <v>12981</v>
      </c>
      <c r="C2315" s="41" t="s">
        <v>12982</v>
      </c>
      <c r="D2315" s="87">
        <v>0</v>
      </c>
      <c r="E2315" s="39" t="s">
        <v>189</v>
      </c>
      <c r="F2315" s="87">
        <v>0</v>
      </c>
      <c r="G2315" s="91">
        <f>Tabla15[[#This Row],[Importe]]-Tabla15[[#This Row],[Pagado]]</f>
        <v>0</v>
      </c>
      <c r="H2315" s="94" t="s">
        <v>12983</v>
      </c>
    </row>
    <row r="2316" spans="1:8" ht="21.75" customHeight="1" x14ac:dyDescent="0.25">
      <c r="A2316" s="35">
        <v>44673</v>
      </c>
      <c r="B2316" s="90" t="s">
        <v>12984</v>
      </c>
      <c r="C2316" s="41" t="s">
        <v>129</v>
      </c>
      <c r="D2316" s="87">
        <v>235.2</v>
      </c>
      <c r="E2316" s="35">
        <v>44673</v>
      </c>
      <c r="F2316" s="87">
        <v>235.2</v>
      </c>
      <c r="G2316" s="91">
        <f>Tabla15[[#This Row],[Importe]]-Tabla15[[#This Row],[Pagado]]</f>
        <v>0</v>
      </c>
      <c r="H2316" s="92" t="s">
        <v>10</v>
      </c>
    </row>
    <row r="2317" spans="1:8" ht="21.75" customHeight="1" x14ac:dyDescent="0.25">
      <c r="A2317" s="35">
        <v>44673</v>
      </c>
      <c r="B2317" s="90" t="s">
        <v>12985</v>
      </c>
      <c r="C2317" s="41" t="s">
        <v>12986</v>
      </c>
      <c r="D2317" s="87">
        <v>3045</v>
      </c>
      <c r="E2317" s="35">
        <v>44673</v>
      </c>
      <c r="F2317" s="87">
        <v>3045</v>
      </c>
      <c r="G2317" s="91">
        <f>Tabla15[[#This Row],[Importe]]-Tabla15[[#This Row],[Pagado]]</f>
        <v>0</v>
      </c>
      <c r="H2317" s="92" t="s">
        <v>10</v>
      </c>
    </row>
    <row r="2318" spans="1:8" ht="31.5" x14ac:dyDescent="0.25">
      <c r="A2318" s="35">
        <v>44673</v>
      </c>
      <c r="B2318" s="90" t="s">
        <v>12987</v>
      </c>
      <c r="C2318" s="41" t="s">
        <v>196</v>
      </c>
      <c r="D2318" s="87">
        <v>90834.65</v>
      </c>
      <c r="E2318" s="35">
        <v>44673</v>
      </c>
      <c r="F2318" s="87">
        <v>90834.65</v>
      </c>
      <c r="G2318" s="91">
        <f>Tabla15[[#This Row],[Importe]]-Tabla15[[#This Row],[Pagado]]</f>
        <v>0</v>
      </c>
      <c r="H2318" s="92" t="s">
        <v>10</v>
      </c>
    </row>
    <row r="2319" spans="1:8" ht="21.75" customHeight="1" x14ac:dyDescent="0.25">
      <c r="A2319" s="35">
        <v>44673</v>
      </c>
      <c r="B2319" s="90" t="s">
        <v>12988</v>
      </c>
      <c r="C2319" s="41" t="s">
        <v>37</v>
      </c>
      <c r="D2319" s="87">
        <v>3761.4</v>
      </c>
      <c r="E2319" s="35">
        <v>44673</v>
      </c>
      <c r="F2319" s="87">
        <v>3761.4</v>
      </c>
      <c r="G2319" s="91">
        <f>Tabla15[[#This Row],[Importe]]-Tabla15[[#This Row],[Pagado]]</f>
        <v>0</v>
      </c>
      <c r="H2319" s="92" t="s">
        <v>10</v>
      </c>
    </row>
    <row r="2320" spans="1:8" ht="21.75" customHeight="1" x14ac:dyDescent="0.25">
      <c r="A2320" s="35">
        <v>44673</v>
      </c>
      <c r="B2320" s="90" t="s">
        <v>12989</v>
      </c>
      <c r="C2320" s="41" t="s">
        <v>173</v>
      </c>
      <c r="D2320" s="87">
        <v>44273.599999999999</v>
      </c>
      <c r="E2320" s="35">
        <v>44674</v>
      </c>
      <c r="F2320" s="87">
        <v>44273.599999999999</v>
      </c>
      <c r="G2320" s="91">
        <f>Tabla15[[#This Row],[Importe]]-Tabla15[[#This Row],[Pagado]]</f>
        <v>0</v>
      </c>
      <c r="H2320" s="92" t="s">
        <v>10</v>
      </c>
    </row>
    <row r="2321" spans="1:8" ht="21.75" customHeight="1" x14ac:dyDescent="0.25">
      <c r="A2321" s="35">
        <v>44673</v>
      </c>
      <c r="B2321" s="90" t="s">
        <v>12990</v>
      </c>
      <c r="C2321" s="41" t="s">
        <v>206</v>
      </c>
      <c r="D2321" s="87">
        <v>43433.36</v>
      </c>
      <c r="E2321" s="35">
        <v>44678</v>
      </c>
      <c r="F2321" s="87">
        <v>43433.36</v>
      </c>
      <c r="G2321" s="91">
        <f>Tabla15[[#This Row],[Importe]]-Tabla15[[#This Row],[Pagado]]</f>
        <v>0</v>
      </c>
      <c r="H2321" s="92" t="s">
        <v>10</v>
      </c>
    </row>
    <row r="2322" spans="1:8" ht="21.75" customHeight="1" x14ac:dyDescent="0.25">
      <c r="A2322" s="35">
        <v>44673</v>
      </c>
      <c r="B2322" s="90" t="s">
        <v>12991</v>
      </c>
      <c r="C2322" s="41" t="s">
        <v>12202</v>
      </c>
      <c r="D2322" s="87">
        <v>4900</v>
      </c>
      <c r="E2322" s="35">
        <v>44673</v>
      </c>
      <c r="F2322" s="87">
        <v>4900</v>
      </c>
      <c r="G2322" s="91">
        <f>Tabla15[[#This Row],[Importe]]-Tabla15[[#This Row],[Pagado]]</f>
        <v>0</v>
      </c>
      <c r="H2322" s="92" t="s">
        <v>10</v>
      </c>
    </row>
    <row r="2323" spans="1:8" ht="21.75" customHeight="1" x14ac:dyDescent="0.25">
      <c r="A2323" s="35">
        <v>44673</v>
      </c>
      <c r="B2323" s="90" t="s">
        <v>12992</v>
      </c>
      <c r="C2323" s="41" t="s">
        <v>314</v>
      </c>
      <c r="D2323" s="87">
        <v>2934.4</v>
      </c>
      <c r="E2323" s="35">
        <v>44673</v>
      </c>
      <c r="F2323" s="87">
        <v>2934.4</v>
      </c>
      <c r="G2323" s="91">
        <f>Tabla15[[#This Row],[Importe]]-Tabla15[[#This Row],[Pagado]]</f>
        <v>0</v>
      </c>
      <c r="H2323" s="92" t="s">
        <v>10</v>
      </c>
    </row>
    <row r="2324" spans="1:8" ht="21.75" customHeight="1" x14ac:dyDescent="0.25">
      <c r="A2324" s="35">
        <v>44673</v>
      </c>
      <c r="B2324" s="90" t="s">
        <v>12993</v>
      </c>
      <c r="C2324" s="41" t="s">
        <v>87</v>
      </c>
      <c r="D2324" s="87">
        <v>4424</v>
      </c>
      <c r="E2324" s="35">
        <v>44673</v>
      </c>
      <c r="F2324" s="87">
        <v>4424</v>
      </c>
      <c r="G2324" s="91">
        <f>Tabla15[[#This Row],[Importe]]-Tabla15[[#This Row],[Pagado]]</f>
        <v>0</v>
      </c>
      <c r="H2324" s="92" t="s">
        <v>10</v>
      </c>
    </row>
    <row r="2325" spans="1:8" ht="21.75" customHeight="1" x14ac:dyDescent="0.25">
      <c r="A2325" s="35">
        <v>44673</v>
      </c>
      <c r="B2325" s="90" t="s">
        <v>12994</v>
      </c>
      <c r="C2325" s="41" t="s">
        <v>31</v>
      </c>
      <c r="D2325" s="87">
        <v>344.4</v>
      </c>
      <c r="E2325" s="35">
        <v>44673</v>
      </c>
      <c r="F2325" s="87">
        <v>344.4</v>
      </c>
      <c r="G2325" s="91">
        <f>Tabla15[[#This Row],[Importe]]-Tabla15[[#This Row],[Pagado]]</f>
        <v>0</v>
      </c>
      <c r="H2325" s="92" t="s">
        <v>10</v>
      </c>
    </row>
    <row r="2326" spans="1:8" ht="21.75" customHeight="1" x14ac:dyDescent="0.25">
      <c r="A2326" s="35">
        <v>44673</v>
      </c>
      <c r="B2326" s="90" t="s">
        <v>12995</v>
      </c>
      <c r="C2326" s="41" t="s">
        <v>244</v>
      </c>
      <c r="D2326" s="87">
        <v>2930.4</v>
      </c>
      <c r="E2326" s="35">
        <v>44673</v>
      </c>
      <c r="F2326" s="87">
        <v>2930.4</v>
      </c>
      <c r="G2326" s="91">
        <f>Tabla15[[#This Row],[Importe]]-Tabla15[[#This Row],[Pagado]]</f>
        <v>0</v>
      </c>
      <c r="H2326" s="92" t="s">
        <v>10</v>
      </c>
    </row>
    <row r="2327" spans="1:8" ht="21.75" customHeight="1" x14ac:dyDescent="0.25">
      <c r="A2327" s="35">
        <v>44673</v>
      </c>
      <c r="B2327" s="90" t="s">
        <v>12996</v>
      </c>
      <c r="C2327" s="41" t="s">
        <v>146</v>
      </c>
      <c r="D2327" s="87">
        <v>2889.6</v>
      </c>
      <c r="E2327" s="35">
        <v>44673</v>
      </c>
      <c r="F2327" s="87">
        <v>2889.6</v>
      </c>
      <c r="G2327" s="91">
        <f>Tabla15[[#This Row],[Importe]]-Tabla15[[#This Row],[Pagado]]</f>
        <v>0</v>
      </c>
      <c r="H2327" s="92" t="s">
        <v>10</v>
      </c>
    </row>
    <row r="2328" spans="1:8" ht="21.75" customHeight="1" x14ac:dyDescent="0.25">
      <c r="A2328" s="35">
        <v>44673</v>
      </c>
      <c r="B2328" s="90" t="s">
        <v>12997</v>
      </c>
      <c r="C2328" s="41" t="s">
        <v>53</v>
      </c>
      <c r="D2328" s="87">
        <v>2639.9</v>
      </c>
      <c r="E2328" s="35">
        <v>44673</v>
      </c>
      <c r="F2328" s="87">
        <v>2639.9</v>
      </c>
      <c r="G2328" s="91">
        <f>Tabla15[[#This Row],[Importe]]-Tabla15[[#This Row],[Pagado]]</f>
        <v>0</v>
      </c>
      <c r="H2328" s="92" t="s">
        <v>10</v>
      </c>
    </row>
    <row r="2329" spans="1:8" ht="21.75" customHeight="1" x14ac:dyDescent="0.25">
      <c r="A2329" s="35">
        <v>44673</v>
      </c>
      <c r="B2329" s="90" t="s">
        <v>12998</v>
      </c>
      <c r="C2329" s="41" t="s">
        <v>179</v>
      </c>
      <c r="D2329" s="87">
        <v>1019.2</v>
      </c>
      <c r="E2329" s="35">
        <v>44673</v>
      </c>
      <c r="F2329" s="87">
        <v>1019.2</v>
      </c>
      <c r="G2329" s="91">
        <f>Tabla15[[#This Row],[Importe]]-Tabla15[[#This Row],[Pagado]]</f>
        <v>0</v>
      </c>
      <c r="H2329" s="92" t="s">
        <v>10</v>
      </c>
    </row>
    <row r="2330" spans="1:8" ht="21.75" customHeight="1" x14ac:dyDescent="0.25">
      <c r="A2330" s="35">
        <v>44673</v>
      </c>
      <c r="B2330" s="90" t="s">
        <v>12999</v>
      </c>
      <c r="C2330" s="41" t="s">
        <v>31</v>
      </c>
      <c r="D2330" s="87">
        <v>1517.4</v>
      </c>
      <c r="E2330" s="35">
        <v>44673</v>
      </c>
      <c r="F2330" s="87">
        <v>1517.4</v>
      </c>
      <c r="G2330" s="91">
        <f>Tabla15[[#This Row],[Importe]]-Tabla15[[#This Row],[Pagado]]</f>
        <v>0</v>
      </c>
      <c r="H2330" s="92" t="s">
        <v>10</v>
      </c>
    </row>
    <row r="2331" spans="1:8" ht="21.75" customHeight="1" x14ac:dyDescent="0.25">
      <c r="A2331" s="35">
        <v>44673</v>
      </c>
      <c r="B2331" s="90" t="s">
        <v>13000</v>
      </c>
      <c r="C2331" s="41" t="s">
        <v>29</v>
      </c>
      <c r="D2331" s="87">
        <v>4032</v>
      </c>
      <c r="E2331" s="35">
        <v>44673</v>
      </c>
      <c r="F2331" s="87">
        <v>4032</v>
      </c>
      <c r="G2331" s="91">
        <f>Tabla15[[#This Row],[Importe]]-Tabla15[[#This Row],[Pagado]]</f>
        <v>0</v>
      </c>
      <c r="H2331" s="92" t="s">
        <v>10</v>
      </c>
    </row>
    <row r="2332" spans="1:8" ht="21.75" customHeight="1" x14ac:dyDescent="0.25">
      <c r="A2332" s="35">
        <v>44673</v>
      </c>
      <c r="B2332" s="90" t="s">
        <v>13001</v>
      </c>
      <c r="C2332" s="41" t="s">
        <v>24</v>
      </c>
      <c r="D2332" s="87">
        <v>4002.1</v>
      </c>
      <c r="E2332" s="35">
        <v>44673</v>
      </c>
      <c r="F2332" s="87">
        <v>4002.1</v>
      </c>
      <c r="G2332" s="91">
        <f>Tabla15[[#This Row],[Importe]]-Tabla15[[#This Row],[Pagado]]</f>
        <v>0</v>
      </c>
      <c r="H2332" s="92" t="s">
        <v>10</v>
      </c>
    </row>
    <row r="2333" spans="1:8" ht="21.75" customHeight="1" x14ac:dyDescent="0.25">
      <c r="A2333" s="35">
        <v>44673</v>
      </c>
      <c r="B2333" s="90" t="s">
        <v>13002</v>
      </c>
      <c r="C2333" s="41" t="s">
        <v>22</v>
      </c>
      <c r="D2333" s="87">
        <v>8034.8</v>
      </c>
      <c r="E2333" s="35">
        <v>44674</v>
      </c>
      <c r="F2333" s="87">
        <v>8034.8</v>
      </c>
      <c r="G2333" s="91">
        <f>Tabla15[[#This Row],[Importe]]-Tabla15[[#This Row],[Pagado]]</f>
        <v>0</v>
      </c>
      <c r="H2333" s="92" t="s">
        <v>10</v>
      </c>
    </row>
    <row r="2334" spans="1:8" ht="21.75" customHeight="1" x14ac:dyDescent="0.25">
      <c r="A2334" s="35">
        <v>44673</v>
      </c>
      <c r="B2334" s="90" t="s">
        <v>13003</v>
      </c>
      <c r="C2334" s="41" t="s">
        <v>31</v>
      </c>
      <c r="D2334" s="87">
        <v>900</v>
      </c>
      <c r="E2334" s="35">
        <v>44673</v>
      </c>
      <c r="F2334" s="87">
        <v>900</v>
      </c>
      <c r="G2334" s="91">
        <f>Tabla15[[#This Row],[Importe]]-Tabla15[[#This Row],[Pagado]]</f>
        <v>0</v>
      </c>
      <c r="H2334" s="92" t="s">
        <v>10</v>
      </c>
    </row>
    <row r="2335" spans="1:8" ht="21.75" customHeight="1" x14ac:dyDescent="0.25">
      <c r="A2335" s="35">
        <v>44673</v>
      </c>
      <c r="B2335" s="90" t="s">
        <v>13004</v>
      </c>
      <c r="C2335" s="41" t="s">
        <v>373</v>
      </c>
      <c r="D2335" s="87">
        <v>224</v>
      </c>
      <c r="E2335" s="35">
        <v>44673</v>
      </c>
      <c r="F2335" s="87">
        <v>224</v>
      </c>
      <c r="G2335" s="91">
        <f>Tabla15[[#This Row],[Importe]]-Tabla15[[#This Row],[Pagado]]</f>
        <v>0</v>
      </c>
      <c r="H2335" s="92" t="s">
        <v>10</v>
      </c>
    </row>
    <row r="2336" spans="1:8" ht="21.75" customHeight="1" x14ac:dyDescent="0.25">
      <c r="A2336" s="35">
        <v>44673</v>
      </c>
      <c r="B2336" s="90" t="s">
        <v>13005</v>
      </c>
      <c r="C2336" s="41" t="s">
        <v>13006</v>
      </c>
      <c r="D2336" s="87">
        <v>0</v>
      </c>
      <c r="E2336" s="39" t="s">
        <v>189</v>
      </c>
      <c r="F2336" s="87">
        <v>0</v>
      </c>
      <c r="G2336" s="91">
        <f>Tabla15[[#This Row],[Importe]]-Tabla15[[#This Row],[Pagado]]</f>
        <v>0</v>
      </c>
      <c r="H2336" s="92" t="s">
        <v>189</v>
      </c>
    </row>
    <row r="2337" spans="1:8" ht="21.75" customHeight="1" x14ac:dyDescent="0.25">
      <c r="A2337" s="35">
        <v>44673</v>
      </c>
      <c r="B2337" s="90" t="s">
        <v>13007</v>
      </c>
      <c r="C2337" s="41" t="s">
        <v>224</v>
      </c>
      <c r="D2337" s="87">
        <v>1996.4</v>
      </c>
      <c r="E2337" s="35">
        <v>44673</v>
      </c>
      <c r="F2337" s="87">
        <v>1996.4</v>
      </c>
      <c r="G2337" s="91">
        <f>Tabla15[[#This Row],[Importe]]-Tabla15[[#This Row],[Pagado]]</f>
        <v>0</v>
      </c>
      <c r="H2337" s="92" t="s">
        <v>10</v>
      </c>
    </row>
    <row r="2338" spans="1:8" ht="21.75" customHeight="1" x14ac:dyDescent="0.25">
      <c r="A2338" s="35">
        <v>44673</v>
      </c>
      <c r="B2338" s="90" t="s">
        <v>13008</v>
      </c>
      <c r="C2338" s="41" t="s">
        <v>698</v>
      </c>
      <c r="D2338" s="87">
        <v>3326.4</v>
      </c>
      <c r="E2338" s="35">
        <v>44673</v>
      </c>
      <c r="F2338" s="87">
        <v>3326.4</v>
      </c>
      <c r="G2338" s="91">
        <f>Tabla15[[#This Row],[Importe]]-Tabla15[[#This Row],[Pagado]]</f>
        <v>0</v>
      </c>
      <c r="H2338" s="92" t="s">
        <v>10</v>
      </c>
    </row>
    <row r="2339" spans="1:8" ht="21.75" customHeight="1" x14ac:dyDescent="0.25">
      <c r="A2339" s="35">
        <v>44673</v>
      </c>
      <c r="B2339" s="90" t="s">
        <v>13009</v>
      </c>
      <c r="C2339" s="41" t="s">
        <v>131</v>
      </c>
      <c r="D2339" s="87">
        <v>17517.5</v>
      </c>
      <c r="E2339" s="35">
        <v>44673</v>
      </c>
      <c r="F2339" s="87">
        <v>17517.5</v>
      </c>
      <c r="G2339" s="91">
        <f>Tabla15[[#This Row],[Importe]]-Tabla15[[#This Row],[Pagado]]</f>
        <v>0</v>
      </c>
      <c r="H2339" s="92" t="s">
        <v>10</v>
      </c>
    </row>
    <row r="2340" spans="1:8" ht="21.75" customHeight="1" x14ac:dyDescent="0.25">
      <c r="A2340" s="35">
        <v>44673</v>
      </c>
      <c r="B2340" s="90" t="s">
        <v>13010</v>
      </c>
      <c r="C2340" s="41" t="s">
        <v>230</v>
      </c>
      <c r="D2340" s="87">
        <v>4323.6000000000004</v>
      </c>
      <c r="E2340" s="35">
        <v>44673</v>
      </c>
      <c r="F2340" s="87">
        <v>4323.6000000000004</v>
      </c>
      <c r="G2340" s="91">
        <f>Tabla15[[#This Row],[Importe]]-Tabla15[[#This Row],[Pagado]]</f>
        <v>0</v>
      </c>
      <c r="H2340" s="92" t="s">
        <v>10</v>
      </c>
    </row>
    <row r="2341" spans="1:8" ht="21.75" customHeight="1" x14ac:dyDescent="0.25">
      <c r="A2341" s="35">
        <v>44673</v>
      </c>
      <c r="B2341" s="90" t="s">
        <v>13011</v>
      </c>
      <c r="C2341" s="41" t="s">
        <v>230</v>
      </c>
      <c r="D2341" s="87">
        <v>80</v>
      </c>
      <c r="E2341" s="35">
        <v>44673</v>
      </c>
      <c r="F2341" s="87">
        <v>80</v>
      </c>
      <c r="G2341" s="91">
        <f>Tabla15[[#This Row],[Importe]]-Tabla15[[#This Row],[Pagado]]</f>
        <v>0</v>
      </c>
      <c r="H2341" s="92" t="s">
        <v>10</v>
      </c>
    </row>
    <row r="2342" spans="1:8" ht="21.75" customHeight="1" x14ac:dyDescent="0.25">
      <c r="A2342" s="35">
        <v>44673</v>
      </c>
      <c r="B2342" s="90" t="s">
        <v>13012</v>
      </c>
      <c r="C2342" s="41" t="s">
        <v>196</v>
      </c>
      <c r="D2342" s="87">
        <v>6798</v>
      </c>
      <c r="E2342" s="35">
        <v>44673</v>
      </c>
      <c r="F2342" s="87">
        <v>6798</v>
      </c>
      <c r="G2342" s="91">
        <f>Tabla15[[#This Row],[Importe]]-Tabla15[[#This Row],[Pagado]]</f>
        <v>0</v>
      </c>
      <c r="H2342" s="92" t="s">
        <v>10</v>
      </c>
    </row>
    <row r="2343" spans="1:8" ht="21.75" customHeight="1" x14ac:dyDescent="0.25">
      <c r="A2343" s="35">
        <v>44673</v>
      </c>
      <c r="B2343" s="90" t="s">
        <v>13013</v>
      </c>
      <c r="C2343" s="41" t="s">
        <v>1421</v>
      </c>
      <c r="D2343" s="87">
        <v>8139.6</v>
      </c>
      <c r="E2343" s="35">
        <v>44673</v>
      </c>
      <c r="F2343" s="87">
        <v>8139.6</v>
      </c>
      <c r="G2343" s="91">
        <f>Tabla15[[#This Row],[Importe]]-Tabla15[[#This Row],[Pagado]]</f>
        <v>0</v>
      </c>
      <c r="H2343" s="92" t="s">
        <v>10</v>
      </c>
    </row>
    <row r="2344" spans="1:8" ht="21.75" customHeight="1" x14ac:dyDescent="0.25">
      <c r="A2344" s="35">
        <v>44673</v>
      </c>
      <c r="B2344" s="90" t="s">
        <v>13014</v>
      </c>
      <c r="C2344" s="41" t="s">
        <v>9365</v>
      </c>
      <c r="D2344" s="87">
        <v>651</v>
      </c>
      <c r="E2344" s="35">
        <v>44673</v>
      </c>
      <c r="F2344" s="87">
        <v>651</v>
      </c>
      <c r="G2344" s="91">
        <f>Tabla15[[#This Row],[Importe]]-Tabla15[[#This Row],[Pagado]]</f>
        <v>0</v>
      </c>
      <c r="H2344" s="92" t="s">
        <v>10</v>
      </c>
    </row>
    <row r="2345" spans="1:8" ht="21.75" customHeight="1" x14ac:dyDescent="0.25">
      <c r="A2345" s="35">
        <v>44673</v>
      </c>
      <c r="B2345" s="90" t="s">
        <v>13015</v>
      </c>
      <c r="C2345" s="41" t="s">
        <v>371</v>
      </c>
      <c r="D2345" s="87">
        <v>145.6</v>
      </c>
      <c r="E2345" s="35">
        <v>44673</v>
      </c>
      <c r="F2345" s="87">
        <v>145.6</v>
      </c>
      <c r="G2345" s="91">
        <f>Tabla15[[#This Row],[Importe]]-Tabla15[[#This Row],[Pagado]]</f>
        <v>0</v>
      </c>
      <c r="H2345" s="92" t="s">
        <v>10</v>
      </c>
    </row>
    <row r="2346" spans="1:8" ht="21.75" customHeight="1" x14ac:dyDescent="0.25">
      <c r="A2346" s="35">
        <v>44673</v>
      </c>
      <c r="B2346" s="90" t="s">
        <v>13016</v>
      </c>
      <c r="C2346" s="41" t="s">
        <v>414</v>
      </c>
      <c r="D2346" s="87">
        <v>16687</v>
      </c>
      <c r="E2346" s="35">
        <v>44690</v>
      </c>
      <c r="F2346" s="87">
        <v>16687</v>
      </c>
      <c r="G2346" s="91">
        <f>Tabla15[[#This Row],[Importe]]-Tabla15[[#This Row],[Pagado]]</f>
        <v>0</v>
      </c>
      <c r="H2346" s="92" t="s">
        <v>10</v>
      </c>
    </row>
    <row r="2347" spans="1:8" ht="21.75" customHeight="1" x14ac:dyDescent="0.25">
      <c r="A2347" s="35">
        <v>44673</v>
      </c>
      <c r="B2347" s="90" t="s">
        <v>13017</v>
      </c>
      <c r="C2347" s="41" t="s">
        <v>51</v>
      </c>
      <c r="D2347" s="87">
        <v>2815.2</v>
      </c>
      <c r="E2347" s="35">
        <v>44673</v>
      </c>
      <c r="F2347" s="87">
        <v>2815.2</v>
      </c>
      <c r="G2347" s="91">
        <f>Tabla15[[#This Row],[Importe]]-Tabla15[[#This Row],[Pagado]]</f>
        <v>0</v>
      </c>
      <c r="H2347" s="92" t="s">
        <v>10</v>
      </c>
    </row>
    <row r="2348" spans="1:8" ht="21.75" customHeight="1" x14ac:dyDescent="0.25">
      <c r="A2348" s="35">
        <v>44673</v>
      </c>
      <c r="B2348" s="90" t="s">
        <v>13018</v>
      </c>
      <c r="C2348" s="41" t="s">
        <v>51</v>
      </c>
      <c r="D2348" s="87">
        <v>795.2</v>
      </c>
      <c r="E2348" s="35">
        <v>44673</v>
      </c>
      <c r="F2348" s="87">
        <v>795.2</v>
      </c>
      <c r="G2348" s="91">
        <f>Tabla15[[#This Row],[Importe]]-Tabla15[[#This Row],[Pagado]]</f>
        <v>0</v>
      </c>
      <c r="H2348" s="92" t="s">
        <v>10</v>
      </c>
    </row>
    <row r="2349" spans="1:8" ht="21.75" customHeight="1" x14ac:dyDescent="0.25">
      <c r="A2349" s="35">
        <v>44673</v>
      </c>
      <c r="B2349" s="90" t="s">
        <v>13019</v>
      </c>
      <c r="C2349" s="41" t="s">
        <v>31</v>
      </c>
      <c r="D2349" s="87">
        <v>2148</v>
      </c>
      <c r="E2349" s="35">
        <v>44673</v>
      </c>
      <c r="F2349" s="87">
        <v>2148</v>
      </c>
      <c r="G2349" s="91">
        <f>Tabla15[[#This Row],[Importe]]-Tabla15[[#This Row],[Pagado]]</f>
        <v>0</v>
      </c>
      <c r="H2349" s="92" t="s">
        <v>10</v>
      </c>
    </row>
    <row r="2350" spans="1:8" ht="21.75" customHeight="1" x14ac:dyDescent="0.25">
      <c r="A2350" s="35">
        <v>44673</v>
      </c>
      <c r="B2350" s="90" t="s">
        <v>13020</v>
      </c>
      <c r="C2350" s="41" t="s">
        <v>442</v>
      </c>
      <c r="D2350" s="87">
        <v>4970</v>
      </c>
      <c r="E2350" s="35">
        <v>44673</v>
      </c>
      <c r="F2350" s="87">
        <v>4970</v>
      </c>
      <c r="G2350" s="91">
        <f>Tabla15[[#This Row],[Importe]]-Tabla15[[#This Row],[Pagado]]</f>
        <v>0</v>
      </c>
      <c r="H2350" s="92" t="s">
        <v>10</v>
      </c>
    </row>
    <row r="2351" spans="1:8" ht="21.75" customHeight="1" x14ac:dyDescent="0.25">
      <c r="A2351" s="35">
        <v>44673</v>
      </c>
      <c r="B2351" s="90" t="s">
        <v>13021</v>
      </c>
      <c r="C2351" s="41" t="s">
        <v>142</v>
      </c>
      <c r="D2351" s="87">
        <v>72246.7</v>
      </c>
      <c r="E2351" s="35">
        <v>44706</v>
      </c>
      <c r="F2351" s="87">
        <v>72246.7</v>
      </c>
      <c r="G2351" s="91">
        <f>Tabla15[[#This Row],[Importe]]-Tabla15[[#This Row],[Pagado]]</f>
        <v>0</v>
      </c>
      <c r="H2351" s="92" t="s">
        <v>10</v>
      </c>
    </row>
    <row r="2352" spans="1:8" ht="21.75" customHeight="1" x14ac:dyDescent="0.25">
      <c r="A2352" s="35">
        <v>44673</v>
      </c>
      <c r="B2352" s="90" t="s">
        <v>13022</v>
      </c>
      <c r="C2352" s="41" t="s">
        <v>216</v>
      </c>
      <c r="D2352" s="87">
        <v>2396.8000000000002</v>
      </c>
      <c r="E2352" s="35">
        <v>44673</v>
      </c>
      <c r="F2352" s="87">
        <v>2396.8000000000002</v>
      </c>
      <c r="G2352" s="91">
        <f>Tabla15[[#This Row],[Importe]]-Tabla15[[#This Row],[Pagado]]</f>
        <v>0</v>
      </c>
      <c r="H2352" s="92" t="s">
        <v>10</v>
      </c>
    </row>
    <row r="2353" spans="1:8" ht="21.75" customHeight="1" x14ac:dyDescent="0.25">
      <c r="A2353" s="35">
        <v>44673</v>
      </c>
      <c r="B2353" s="90" t="s">
        <v>13023</v>
      </c>
      <c r="C2353" s="41" t="s">
        <v>1965</v>
      </c>
      <c r="D2353" s="87">
        <v>5767.2</v>
      </c>
      <c r="E2353" s="35">
        <v>44673</v>
      </c>
      <c r="F2353" s="87">
        <v>5767.2</v>
      </c>
      <c r="G2353" s="91">
        <f>Tabla15[[#This Row],[Importe]]-Tabla15[[#This Row],[Pagado]]</f>
        <v>0</v>
      </c>
      <c r="H2353" s="92" t="s">
        <v>10</v>
      </c>
    </row>
    <row r="2354" spans="1:8" ht="21.75" customHeight="1" x14ac:dyDescent="0.25">
      <c r="A2354" s="35">
        <v>44673</v>
      </c>
      <c r="B2354" s="90" t="s">
        <v>13024</v>
      </c>
      <c r="C2354" s="41" t="s">
        <v>31</v>
      </c>
      <c r="D2354" s="87">
        <v>1440</v>
      </c>
      <c r="E2354" s="35">
        <v>44673</v>
      </c>
      <c r="F2354" s="87">
        <v>1440</v>
      </c>
      <c r="G2354" s="91">
        <f>Tabla15[[#This Row],[Importe]]-Tabla15[[#This Row],[Pagado]]</f>
        <v>0</v>
      </c>
      <c r="H2354" s="92" t="s">
        <v>10</v>
      </c>
    </row>
    <row r="2355" spans="1:8" ht="21.75" customHeight="1" x14ac:dyDescent="0.25">
      <c r="A2355" s="35">
        <v>44673</v>
      </c>
      <c r="B2355" s="90" t="s">
        <v>13025</v>
      </c>
      <c r="C2355" s="41" t="s">
        <v>31</v>
      </c>
      <c r="D2355" s="87">
        <v>80</v>
      </c>
      <c r="E2355" s="35">
        <v>44673</v>
      </c>
      <c r="F2355" s="87">
        <v>80</v>
      </c>
      <c r="G2355" s="91">
        <f>Tabla15[[#This Row],[Importe]]-Tabla15[[#This Row],[Pagado]]</f>
        <v>0</v>
      </c>
      <c r="H2355" s="92" t="s">
        <v>10</v>
      </c>
    </row>
    <row r="2356" spans="1:8" ht="21.75" customHeight="1" x14ac:dyDescent="0.25">
      <c r="A2356" s="35">
        <v>44673</v>
      </c>
      <c r="B2356" s="90" t="s">
        <v>13026</v>
      </c>
      <c r="C2356" s="41" t="s">
        <v>12</v>
      </c>
      <c r="D2356" s="87">
        <v>565.6</v>
      </c>
      <c r="E2356" s="35">
        <v>44673</v>
      </c>
      <c r="F2356" s="87">
        <v>565.6</v>
      </c>
      <c r="G2356" s="91">
        <f>Tabla15[[#This Row],[Importe]]-Tabla15[[#This Row],[Pagado]]</f>
        <v>0</v>
      </c>
      <c r="H2356" s="92" t="s">
        <v>10</v>
      </c>
    </row>
    <row r="2357" spans="1:8" ht="21.75" customHeight="1" x14ac:dyDescent="0.25">
      <c r="A2357" s="35">
        <v>44673</v>
      </c>
      <c r="B2357" s="90" t="s">
        <v>13027</v>
      </c>
      <c r="C2357" s="41" t="s">
        <v>592</v>
      </c>
      <c r="D2357" s="87">
        <v>33342.800000000003</v>
      </c>
      <c r="E2357" s="35">
        <v>44681</v>
      </c>
      <c r="F2357" s="87">
        <v>33342.800000000003</v>
      </c>
      <c r="G2357" s="91">
        <f>Tabla15[[#This Row],[Importe]]-Tabla15[[#This Row],[Pagado]]</f>
        <v>0</v>
      </c>
      <c r="H2357" s="92" t="s">
        <v>10</v>
      </c>
    </row>
    <row r="2358" spans="1:8" ht="21.75" customHeight="1" x14ac:dyDescent="0.25">
      <c r="A2358" s="35">
        <v>44673</v>
      </c>
      <c r="B2358" s="90" t="s">
        <v>13028</v>
      </c>
      <c r="C2358" s="41" t="s">
        <v>133</v>
      </c>
      <c r="D2358" s="87">
        <v>22198.400000000001</v>
      </c>
      <c r="E2358" s="35">
        <v>44674</v>
      </c>
      <c r="F2358" s="87">
        <v>22198.400000000001</v>
      </c>
      <c r="G2358" s="91">
        <f>Tabla15[[#This Row],[Importe]]-Tabla15[[#This Row],[Pagado]]</f>
        <v>0</v>
      </c>
      <c r="H2358" s="92" t="s">
        <v>10</v>
      </c>
    </row>
    <row r="2359" spans="1:8" ht="21.75" customHeight="1" x14ac:dyDescent="0.25">
      <c r="A2359" s="35">
        <v>44673</v>
      </c>
      <c r="B2359" s="90" t="s">
        <v>13029</v>
      </c>
      <c r="C2359" s="41" t="s">
        <v>67</v>
      </c>
      <c r="D2359" s="87">
        <v>9147.7999999999993</v>
      </c>
      <c r="E2359" s="35">
        <v>44673</v>
      </c>
      <c r="F2359" s="87">
        <v>9147.7999999999993</v>
      </c>
      <c r="G2359" s="91">
        <f>Tabla15[[#This Row],[Importe]]-Tabla15[[#This Row],[Pagado]]</f>
        <v>0</v>
      </c>
      <c r="H2359" s="92" t="s">
        <v>10</v>
      </c>
    </row>
    <row r="2360" spans="1:8" ht="21.75" customHeight="1" x14ac:dyDescent="0.25">
      <c r="A2360" s="35">
        <v>44673</v>
      </c>
      <c r="B2360" s="90" t="s">
        <v>13030</v>
      </c>
      <c r="C2360" s="41" t="s">
        <v>382</v>
      </c>
      <c r="D2360" s="87">
        <v>3943.2</v>
      </c>
      <c r="E2360" s="35">
        <v>44673</v>
      </c>
      <c r="F2360" s="87">
        <v>3943.2</v>
      </c>
      <c r="G2360" s="91">
        <f>Tabla15[[#This Row],[Importe]]-Tabla15[[#This Row],[Pagado]]</f>
        <v>0</v>
      </c>
      <c r="H2360" s="92" t="s">
        <v>10</v>
      </c>
    </row>
    <row r="2361" spans="1:8" ht="21.75" customHeight="1" x14ac:dyDescent="0.25">
      <c r="A2361" s="35">
        <v>44673</v>
      </c>
      <c r="B2361" s="90" t="s">
        <v>13031</v>
      </c>
      <c r="C2361" s="41" t="s">
        <v>58</v>
      </c>
      <c r="D2361" s="87">
        <v>4483.6000000000004</v>
      </c>
      <c r="E2361" s="35">
        <v>44673</v>
      </c>
      <c r="F2361" s="87">
        <v>4483.6000000000004</v>
      </c>
      <c r="G2361" s="91">
        <f>Tabla15[[#This Row],[Importe]]-Tabla15[[#This Row],[Pagado]]</f>
        <v>0</v>
      </c>
      <c r="H2361" s="92" t="s">
        <v>10</v>
      </c>
    </row>
    <row r="2362" spans="1:8" ht="21.75" customHeight="1" x14ac:dyDescent="0.25">
      <c r="A2362" s="35">
        <v>44673</v>
      </c>
      <c r="B2362" s="90" t="s">
        <v>13032</v>
      </c>
      <c r="C2362" s="41" t="s">
        <v>5816</v>
      </c>
      <c r="D2362" s="87">
        <v>4111.1000000000004</v>
      </c>
      <c r="E2362" s="35">
        <v>44674</v>
      </c>
      <c r="F2362" s="87">
        <v>4111.1000000000004</v>
      </c>
      <c r="G2362" s="91">
        <f>Tabla15[[#This Row],[Importe]]-Tabla15[[#This Row],[Pagado]]</f>
        <v>0</v>
      </c>
      <c r="H2362" s="92" t="s">
        <v>10</v>
      </c>
    </row>
    <row r="2363" spans="1:8" ht="21.75" customHeight="1" x14ac:dyDescent="0.25">
      <c r="A2363" s="35">
        <v>44673</v>
      </c>
      <c r="B2363" s="90" t="s">
        <v>13033</v>
      </c>
      <c r="C2363" s="41" t="s">
        <v>135</v>
      </c>
      <c r="D2363" s="87">
        <v>2013</v>
      </c>
      <c r="E2363" s="35">
        <v>44673</v>
      </c>
      <c r="F2363" s="87">
        <v>2013</v>
      </c>
      <c r="G2363" s="91">
        <f>Tabla15[[#This Row],[Importe]]-Tabla15[[#This Row],[Pagado]]</f>
        <v>0</v>
      </c>
      <c r="H2363" s="92" t="s">
        <v>10</v>
      </c>
    </row>
    <row r="2364" spans="1:8" ht="21.75" customHeight="1" x14ac:dyDescent="0.25">
      <c r="A2364" s="35">
        <v>44673</v>
      </c>
      <c r="B2364" s="90" t="s">
        <v>13034</v>
      </c>
      <c r="C2364" s="41" t="s">
        <v>670</v>
      </c>
      <c r="D2364" s="87">
        <v>2247.6</v>
      </c>
      <c r="E2364" s="35">
        <v>44673</v>
      </c>
      <c r="F2364" s="87">
        <v>2247.6</v>
      </c>
      <c r="G2364" s="91">
        <f>Tabla15[[#This Row],[Importe]]-Tabla15[[#This Row],[Pagado]]</f>
        <v>0</v>
      </c>
      <c r="H2364" s="92" t="s">
        <v>10</v>
      </c>
    </row>
    <row r="2365" spans="1:8" ht="21.75" customHeight="1" x14ac:dyDescent="0.25">
      <c r="A2365" s="35">
        <v>44673</v>
      </c>
      <c r="B2365" s="90" t="s">
        <v>13035</v>
      </c>
      <c r="C2365" s="41" t="s">
        <v>218</v>
      </c>
      <c r="D2365" s="87">
        <v>31124.2</v>
      </c>
      <c r="E2365" s="35">
        <v>44678</v>
      </c>
      <c r="F2365" s="87">
        <v>31124.2</v>
      </c>
      <c r="G2365" s="91">
        <f>Tabla15[[#This Row],[Importe]]-Tabla15[[#This Row],[Pagado]]</f>
        <v>0</v>
      </c>
      <c r="H2365" s="92" t="s">
        <v>10</v>
      </c>
    </row>
    <row r="2366" spans="1:8" ht="21.75" customHeight="1" x14ac:dyDescent="0.25">
      <c r="A2366" s="35">
        <v>44673</v>
      </c>
      <c r="B2366" s="90" t="s">
        <v>13036</v>
      </c>
      <c r="C2366" s="41" t="s">
        <v>10157</v>
      </c>
      <c r="D2366" s="87">
        <v>8938.9</v>
      </c>
      <c r="E2366" s="35">
        <v>44674</v>
      </c>
      <c r="F2366" s="87">
        <v>8938.9</v>
      </c>
      <c r="G2366" s="91">
        <f>Tabla15[[#This Row],[Importe]]-Tabla15[[#This Row],[Pagado]]</f>
        <v>0</v>
      </c>
      <c r="H2366" s="92" t="s">
        <v>10</v>
      </c>
    </row>
    <row r="2367" spans="1:8" ht="21.75" customHeight="1" x14ac:dyDescent="0.25">
      <c r="A2367" s="35">
        <v>44673</v>
      </c>
      <c r="B2367" s="90" t="s">
        <v>13037</v>
      </c>
      <c r="C2367" s="41" t="s">
        <v>208</v>
      </c>
      <c r="D2367" s="87">
        <v>6367.3</v>
      </c>
      <c r="E2367" s="35">
        <v>44677</v>
      </c>
      <c r="F2367" s="87">
        <v>6367.3</v>
      </c>
      <c r="G2367" s="91">
        <f>Tabla15[[#This Row],[Importe]]-Tabla15[[#This Row],[Pagado]]</f>
        <v>0</v>
      </c>
      <c r="H2367" s="92" t="s">
        <v>10</v>
      </c>
    </row>
    <row r="2368" spans="1:8" ht="21.75" customHeight="1" x14ac:dyDescent="0.25">
      <c r="A2368" s="35">
        <v>44673</v>
      </c>
      <c r="B2368" s="90" t="s">
        <v>13038</v>
      </c>
      <c r="C2368" s="41" t="s">
        <v>9827</v>
      </c>
      <c r="D2368" s="87">
        <v>481.6</v>
      </c>
      <c r="E2368" s="35">
        <v>44673</v>
      </c>
      <c r="F2368" s="87">
        <v>481.6</v>
      </c>
      <c r="G2368" s="91">
        <f>Tabla15[[#This Row],[Importe]]-Tabla15[[#This Row],[Pagado]]</f>
        <v>0</v>
      </c>
      <c r="H2368" s="92" t="s">
        <v>10</v>
      </c>
    </row>
    <row r="2369" spans="1:8" ht="21.75" customHeight="1" x14ac:dyDescent="0.25">
      <c r="A2369" s="35">
        <v>44673</v>
      </c>
      <c r="B2369" s="90" t="s">
        <v>13039</v>
      </c>
      <c r="C2369" s="41" t="s">
        <v>840</v>
      </c>
      <c r="D2369" s="87">
        <v>35302.199999999997</v>
      </c>
      <c r="E2369" s="35">
        <v>44673</v>
      </c>
      <c r="F2369" s="87">
        <v>35302.199999999997</v>
      </c>
      <c r="G2369" s="91">
        <f>Tabla15[[#This Row],[Importe]]-Tabla15[[#This Row],[Pagado]]</f>
        <v>0</v>
      </c>
      <c r="H2369" s="92" t="s">
        <v>10</v>
      </c>
    </row>
    <row r="2370" spans="1:8" ht="21.75" customHeight="1" x14ac:dyDescent="0.25">
      <c r="A2370" s="35">
        <v>44673</v>
      </c>
      <c r="B2370" s="90" t="s">
        <v>13040</v>
      </c>
      <c r="C2370" s="41" t="s">
        <v>555</v>
      </c>
      <c r="D2370" s="87">
        <v>25852</v>
      </c>
      <c r="E2370" s="35">
        <v>44673</v>
      </c>
      <c r="F2370" s="87">
        <v>25852</v>
      </c>
      <c r="G2370" s="91">
        <f>Tabla15[[#This Row],[Importe]]-Tabla15[[#This Row],[Pagado]]</f>
        <v>0</v>
      </c>
      <c r="H2370" s="92" t="s">
        <v>10</v>
      </c>
    </row>
    <row r="2371" spans="1:8" ht="21.75" customHeight="1" x14ac:dyDescent="0.25">
      <c r="A2371" s="35">
        <v>44673</v>
      </c>
      <c r="B2371" s="90" t="s">
        <v>13041</v>
      </c>
      <c r="C2371" s="41" t="s">
        <v>849</v>
      </c>
      <c r="D2371" s="87">
        <v>5108.8</v>
      </c>
      <c r="E2371" s="35">
        <v>44673</v>
      </c>
      <c r="F2371" s="87">
        <v>5108.8</v>
      </c>
      <c r="G2371" s="91">
        <f>Tabla15[[#This Row],[Importe]]-Tabla15[[#This Row],[Pagado]]</f>
        <v>0</v>
      </c>
      <c r="H2371" s="92" t="s">
        <v>10</v>
      </c>
    </row>
    <row r="2372" spans="1:8" ht="21.75" customHeight="1" x14ac:dyDescent="0.25">
      <c r="A2372" s="35">
        <v>44673</v>
      </c>
      <c r="B2372" s="90" t="s">
        <v>13042</v>
      </c>
      <c r="C2372" s="41" t="s">
        <v>840</v>
      </c>
      <c r="D2372" s="87">
        <v>5024.8</v>
      </c>
      <c r="E2372" s="35">
        <v>44673</v>
      </c>
      <c r="F2372" s="87">
        <v>5024.8</v>
      </c>
      <c r="G2372" s="91">
        <f>Tabla15[[#This Row],[Importe]]-Tabla15[[#This Row],[Pagado]]</f>
        <v>0</v>
      </c>
      <c r="H2372" s="92" t="s">
        <v>10</v>
      </c>
    </row>
    <row r="2373" spans="1:8" ht="21.75" customHeight="1" x14ac:dyDescent="0.25">
      <c r="A2373" s="35">
        <v>44673</v>
      </c>
      <c r="B2373" s="90" t="s">
        <v>13043</v>
      </c>
      <c r="C2373" s="41" t="s">
        <v>214</v>
      </c>
      <c r="D2373" s="87">
        <v>1271.2</v>
      </c>
      <c r="E2373" s="35">
        <v>44673</v>
      </c>
      <c r="F2373" s="87">
        <v>1271.2</v>
      </c>
      <c r="G2373" s="91">
        <f>Tabla15[[#This Row],[Importe]]-Tabla15[[#This Row],[Pagado]]</f>
        <v>0</v>
      </c>
      <c r="H2373" s="92" t="s">
        <v>10</v>
      </c>
    </row>
    <row r="2374" spans="1:8" ht="21.75" customHeight="1" x14ac:dyDescent="0.25">
      <c r="A2374" s="35">
        <v>44673</v>
      </c>
      <c r="B2374" s="90" t="s">
        <v>13044</v>
      </c>
      <c r="C2374" s="41" t="s">
        <v>421</v>
      </c>
      <c r="D2374" s="87">
        <v>3824.7</v>
      </c>
      <c r="E2374" s="35">
        <v>44673</v>
      </c>
      <c r="F2374" s="87">
        <v>3824.7</v>
      </c>
      <c r="G2374" s="91">
        <f>Tabla15[[#This Row],[Importe]]-Tabla15[[#This Row],[Pagado]]</f>
        <v>0</v>
      </c>
      <c r="H2374" s="92" t="s">
        <v>10</v>
      </c>
    </row>
    <row r="2375" spans="1:8" ht="21.75" customHeight="1" x14ac:dyDescent="0.25">
      <c r="A2375" s="35">
        <v>44673</v>
      </c>
      <c r="B2375" s="90" t="s">
        <v>13045</v>
      </c>
      <c r="C2375" s="41" t="s">
        <v>1313</v>
      </c>
      <c r="D2375" s="87">
        <v>9992</v>
      </c>
      <c r="E2375" s="35">
        <v>44673</v>
      </c>
      <c r="F2375" s="87">
        <v>9992</v>
      </c>
      <c r="G2375" s="91">
        <f>Tabla15[[#This Row],[Importe]]-Tabla15[[#This Row],[Pagado]]</f>
        <v>0</v>
      </c>
      <c r="H2375" s="92" t="s">
        <v>10</v>
      </c>
    </row>
    <row r="2376" spans="1:8" ht="21.75" customHeight="1" x14ac:dyDescent="0.25">
      <c r="A2376" s="35">
        <v>44673</v>
      </c>
      <c r="B2376" s="90" t="s">
        <v>13046</v>
      </c>
      <c r="C2376" s="41" t="s">
        <v>71</v>
      </c>
      <c r="D2376" s="87">
        <v>1036.2</v>
      </c>
      <c r="E2376" s="35">
        <v>44673</v>
      </c>
      <c r="F2376" s="87">
        <v>1036.2</v>
      </c>
      <c r="G2376" s="91">
        <f>Tabla15[[#This Row],[Importe]]-Tabla15[[#This Row],[Pagado]]</f>
        <v>0</v>
      </c>
      <c r="H2376" s="92" t="s">
        <v>10</v>
      </c>
    </row>
    <row r="2377" spans="1:8" ht="21.75" customHeight="1" x14ac:dyDescent="0.25">
      <c r="A2377" s="35">
        <v>44673</v>
      </c>
      <c r="B2377" s="90" t="s">
        <v>13047</v>
      </c>
      <c r="C2377" s="41" t="s">
        <v>365</v>
      </c>
      <c r="D2377" s="87">
        <v>350.7</v>
      </c>
      <c r="E2377" s="35">
        <v>44673</v>
      </c>
      <c r="F2377" s="87">
        <v>350.7</v>
      </c>
      <c r="G2377" s="91">
        <f>Tabla15[[#This Row],[Importe]]-Tabla15[[#This Row],[Pagado]]</f>
        <v>0</v>
      </c>
      <c r="H2377" s="92" t="s">
        <v>10</v>
      </c>
    </row>
    <row r="2378" spans="1:8" ht="21.75" customHeight="1" x14ac:dyDescent="0.25">
      <c r="A2378" s="35">
        <v>44673</v>
      </c>
      <c r="B2378" s="90" t="s">
        <v>13048</v>
      </c>
      <c r="C2378" s="41" t="s">
        <v>12107</v>
      </c>
      <c r="D2378" s="87">
        <v>1584.8</v>
      </c>
      <c r="E2378" s="35">
        <v>44673</v>
      </c>
      <c r="F2378" s="87">
        <v>1584.8</v>
      </c>
      <c r="G2378" s="91">
        <f>Tabla15[[#This Row],[Importe]]-Tabla15[[#This Row],[Pagado]]</f>
        <v>0</v>
      </c>
      <c r="H2378" s="92" t="s">
        <v>10</v>
      </c>
    </row>
    <row r="2379" spans="1:8" ht="21.75" customHeight="1" x14ac:dyDescent="0.25">
      <c r="A2379" s="35">
        <v>44673</v>
      </c>
      <c r="B2379" s="90" t="s">
        <v>13049</v>
      </c>
      <c r="C2379" s="41" t="s">
        <v>107</v>
      </c>
      <c r="D2379" s="87">
        <v>9028</v>
      </c>
      <c r="E2379" s="35">
        <v>44673</v>
      </c>
      <c r="F2379" s="87">
        <v>9028</v>
      </c>
      <c r="G2379" s="91">
        <f>Tabla15[[#This Row],[Importe]]-Tabla15[[#This Row],[Pagado]]</f>
        <v>0</v>
      </c>
      <c r="H2379" s="92" t="s">
        <v>10</v>
      </c>
    </row>
    <row r="2380" spans="1:8" ht="21.75" customHeight="1" x14ac:dyDescent="0.25">
      <c r="A2380" s="35">
        <v>44673</v>
      </c>
      <c r="B2380" s="90" t="s">
        <v>13050</v>
      </c>
      <c r="C2380" s="41" t="s">
        <v>6112</v>
      </c>
      <c r="D2380" s="87">
        <v>5992</v>
      </c>
      <c r="E2380" s="35">
        <v>44673</v>
      </c>
      <c r="F2380" s="87">
        <v>5992</v>
      </c>
      <c r="G2380" s="91">
        <f>Tabla15[[#This Row],[Importe]]-Tabla15[[#This Row],[Pagado]]</f>
        <v>0</v>
      </c>
      <c r="H2380" s="92" t="s">
        <v>10</v>
      </c>
    </row>
    <row r="2381" spans="1:8" ht="21.75" customHeight="1" x14ac:dyDescent="0.25">
      <c r="A2381" s="35">
        <v>44673</v>
      </c>
      <c r="B2381" s="90" t="s">
        <v>13051</v>
      </c>
      <c r="C2381" s="41" t="s">
        <v>56</v>
      </c>
      <c r="D2381" s="87">
        <v>7497.4</v>
      </c>
      <c r="E2381" s="35">
        <v>44673</v>
      </c>
      <c r="F2381" s="87">
        <v>7497.4</v>
      </c>
      <c r="G2381" s="91">
        <f>Tabla15[[#This Row],[Importe]]-Tabla15[[#This Row],[Pagado]]</f>
        <v>0</v>
      </c>
      <c r="H2381" s="92" t="s">
        <v>10</v>
      </c>
    </row>
    <row r="2382" spans="1:8" ht="21.75" customHeight="1" x14ac:dyDescent="0.25">
      <c r="A2382" s="35">
        <v>44673</v>
      </c>
      <c r="B2382" s="90" t="s">
        <v>13052</v>
      </c>
      <c r="C2382" s="41" t="s">
        <v>27</v>
      </c>
      <c r="D2382" s="87">
        <v>470.4</v>
      </c>
      <c r="E2382" s="35">
        <v>44673</v>
      </c>
      <c r="F2382" s="87">
        <v>470.4</v>
      </c>
      <c r="G2382" s="91">
        <f>Tabla15[[#This Row],[Importe]]-Tabla15[[#This Row],[Pagado]]</f>
        <v>0</v>
      </c>
      <c r="H2382" s="92" t="s">
        <v>10</v>
      </c>
    </row>
    <row r="2383" spans="1:8" ht="21.75" customHeight="1" x14ac:dyDescent="0.25">
      <c r="A2383" s="35">
        <v>44673</v>
      </c>
      <c r="B2383" s="90" t="s">
        <v>13053</v>
      </c>
      <c r="C2383" s="41" t="s">
        <v>56</v>
      </c>
      <c r="D2383" s="87">
        <v>1008</v>
      </c>
      <c r="E2383" s="35">
        <v>44673</v>
      </c>
      <c r="F2383" s="87">
        <v>1008</v>
      </c>
      <c r="G2383" s="91">
        <f>Tabla15[[#This Row],[Importe]]-Tabla15[[#This Row],[Pagado]]</f>
        <v>0</v>
      </c>
      <c r="H2383" s="92" t="s">
        <v>10</v>
      </c>
    </row>
    <row r="2384" spans="1:8" ht="21.75" customHeight="1" x14ac:dyDescent="0.25">
      <c r="A2384" s="35">
        <v>44673</v>
      </c>
      <c r="B2384" s="90" t="s">
        <v>13054</v>
      </c>
      <c r="C2384" s="41" t="s">
        <v>7313</v>
      </c>
      <c r="D2384" s="87">
        <v>46703.199999999997</v>
      </c>
      <c r="E2384" s="35">
        <v>44673</v>
      </c>
      <c r="F2384" s="87">
        <v>46703.199999999997</v>
      </c>
      <c r="G2384" s="91">
        <f>Tabla15[[#This Row],[Importe]]-Tabla15[[#This Row],[Pagado]]</f>
        <v>0</v>
      </c>
      <c r="H2384" s="92" t="s">
        <v>10</v>
      </c>
    </row>
    <row r="2385" spans="1:8" ht="21.75" customHeight="1" x14ac:dyDescent="0.25">
      <c r="A2385" s="35">
        <v>44673</v>
      </c>
      <c r="B2385" s="90" t="s">
        <v>13055</v>
      </c>
      <c r="C2385" s="41" t="s">
        <v>7313</v>
      </c>
      <c r="D2385" s="87">
        <v>3696</v>
      </c>
      <c r="E2385" s="35">
        <v>44673</v>
      </c>
      <c r="F2385" s="87">
        <v>3696</v>
      </c>
      <c r="G2385" s="91">
        <f>Tabla15[[#This Row],[Importe]]-Tabla15[[#This Row],[Pagado]]</f>
        <v>0</v>
      </c>
      <c r="H2385" s="92" t="s">
        <v>10</v>
      </c>
    </row>
    <row r="2386" spans="1:8" ht="31.5" x14ac:dyDescent="0.25">
      <c r="A2386" s="35">
        <v>44673</v>
      </c>
      <c r="B2386" s="90" t="s">
        <v>13056</v>
      </c>
      <c r="C2386" s="41" t="s">
        <v>275</v>
      </c>
      <c r="D2386" s="87">
        <v>142725.20000000001</v>
      </c>
      <c r="E2386" s="35" t="s">
        <v>14073</v>
      </c>
      <c r="F2386" s="87">
        <f>43088.75+99636.45</f>
        <v>142725.20000000001</v>
      </c>
      <c r="G2386" s="91">
        <f>Tabla15[[#This Row],[Importe]]-Tabla15[[#This Row],[Pagado]]</f>
        <v>0</v>
      </c>
      <c r="H2386" s="92" t="s">
        <v>1695</v>
      </c>
    </row>
    <row r="2387" spans="1:8" ht="21.75" customHeight="1" x14ac:dyDescent="0.25">
      <c r="A2387" s="35">
        <v>44673</v>
      </c>
      <c r="B2387" s="90" t="s">
        <v>13057</v>
      </c>
      <c r="C2387" s="41" t="s">
        <v>664</v>
      </c>
      <c r="D2387" s="87">
        <v>6693.2</v>
      </c>
      <c r="E2387" s="35">
        <v>44673</v>
      </c>
      <c r="F2387" s="87">
        <v>6693.2</v>
      </c>
      <c r="G2387" s="91">
        <f>Tabla15[[#This Row],[Importe]]-Tabla15[[#This Row],[Pagado]]</f>
        <v>0</v>
      </c>
      <c r="H2387" s="92" t="s">
        <v>10</v>
      </c>
    </row>
    <row r="2388" spans="1:8" ht="21.75" customHeight="1" x14ac:dyDescent="0.25">
      <c r="A2388" s="35">
        <v>44673</v>
      </c>
      <c r="B2388" s="90" t="s">
        <v>13058</v>
      </c>
      <c r="C2388" s="41" t="s">
        <v>10324</v>
      </c>
      <c r="D2388" s="87">
        <v>840</v>
      </c>
      <c r="E2388" s="35">
        <v>44673</v>
      </c>
      <c r="F2388" s="87">
        <v>840</v>
      </c>
      <c r="G2388" s="91">
        <f>Tabla15[[#This Row],[Importe]]-Tabla15[[#This Row],[Pagado]]</f>
        <v>0</v>
      </c>
      <c r="H2388" s="92" t="s">
        <v>10</v>
      </c>
    </row>
    <row r="2389" spans="1:8" ht="21.75" customHeight="1" x14ac:dyDescent="0.25">
      <c r="A2389" s="35">
        <v>44673</v>
      </c>
      <c r="B2389" s="90" t="s">
        <v>13059</v>
      </c>
      <c r="C2389" s="41" t="s">
        <v>5694</v>
      </c>
      <c r="D2389" s="87">
        <v>140</v>
      </c>
      <c r="E2389" s="35">
        <v>44673</v>
      </c>
      <c r="F2389" s="87">
        <v>140</v>
      </c>
      <c r="G2389" s="91">
        <f>Tabla15[[#This Row],[Importe]]-Tabla15[[#This Row],[Pagado]]</f>
        <v>0</v>
      </c>
      <c r="H2389" s="92" t="s">
        <v>10</v>
      </c>
    </row>
    <row r="2390" spans="1:8" ht="21.75" customHeight="1" x14ac:dyDescent="0.25">
      <c r="A2390" s="35">
        <v>44673</v>
      </c>
      <c r="B2390" s="90" t="s">
        <v>13060</v>
      </c>
      <c r="C2390" s="41" t="s">
        <v>407</v>
      </c>
      <c r="D2390" s="87">
        <v>7200</v>
      </c>
      <c r="E2390" s="35">
        <v>44673</v>
      </c>
      <c r="F2390" s="87">
        <v>7200</v>
      </c>
      <c r="G2390" s="91">
        <f>Tabla15[[#This Row],[Importe]]-Tabla15[[#This Row],[Pagado]]</f>
        <v>0</v>
      </c>
      <c r="H2390" s="92" t="s">
        <v>10</v>
      </c>
    </row>
    <row r="2391" spans="1:8" ht="21.75" customHeight="1" x14ac:dyDescent="0.25">
      <c r="A2391" s="35">
        <v>44673</v>
      </c>
      <c r="B2391" s="90" t="s">
        <v>13061</v>
      </c>
      <c r="C2391" s="41" t="s">
        <v>284</v>
      </c>
      <c r="D2391" s="87">
        <v>10236.799999999999</v>
      </c>
      <c r="E2391" s="35">
        <v>44674</v>
      </c>
      <c r="F2391" s="87">
        <v>10236.799999999999</v>
      </c>
      <c r="G2391" s="91">
        <f>Tabla15[[#This Row],[Importe]]-Tabla15[[#This Row],[Pagado]]</f>
        <v>0</v>
      </c>
      <c r="H2391" s="92" t="s">
        <v>10</v>
      </c>
    </row>
    <row r="2392" spans="1:8" ht="21.75" customHeight="1" x14ac:dyDescent="0.25">
      <c r="A2392" s="35">
        <v>44673</v>
      </c>
      <c r="B2392" s="90" t="s">
        <v>13062</v>
      </c>
      <c r="C2392" s="41" t="s">
        <v>280</v>
      </c>
      <c r="D2392" s="87">
        <v>1540</v>
      </c>
      <c r="E2392" s="35">
        <v>44674</v>
      </c>
      <c r="F2392" s="87">
        <v>1540</v>
      </c>
      <c r="G2392" s="91">
        <f>Tabla15[[#This Row],[Importe]]-Tabla15[[#This Row],[Pagado]]</f>
        <v>0</v>
      </c>
      <c r="H2392" s="92" t="s">
        <v>10</v>
      </c>
    </row>
    <row r="2393" spans="1:8" ht="21.75" customHeight="1" x14ac:dyDescent="0.25">
      <c r="A2393" s="35">
        <v>44673</v>
      </c>
      <c r="B2393" s="90" t="s">
        <v>13063</v>
      </c>
      <c r="C2393" s="41" t="s">
        <v>282</v>
      </c>
      <c r="D2393" s="87">
        <v>1584.8</v>
      </c>
      <c r="E2393" s="35">
        <v>44674</v>
      </c>
      <c r="F2393" s="87">
        <v>1584.8</v>
      </c>
      <c r="G2393" s="91">
        <f>Tabla15[[#This Row],[Importe]]-Tabla15[[#This Row],[Pagado]]</f>
        <v>0</v>
      </c>
      <c r="H2393" s="92" t="s">
        <v>10</v>
      </c>
    </row>
    <row r="2394" spans="1:8" ht="21.75" customHeight="1" x14ac:dyDescent="0.25">
      <c r="A2394" s="35">
        <v>44673</v>
      </c>
      <c r="B2394" s="90" t="s">
        <v>13064</v>
      </c>
      <c r="C2394" s="41" t="s">
        <v>5345</v>
      </c>
      <c r="D2394" s="87">
        <v>4838.3999999999996</v>
      </c>
      <c r="E2394" s="35">
        <v>44674</v>
      </c>
      <c r="F2394" s="87">
        <v>4838.3999999999996</v>
      </c>
      <c r="G2394" s="91">
        <f>Tabla15[[#This Row],[Importe]]-Tabla15[[#This Row],[Pagado]]</f>
        <v>0</v>
      </c>
      <c r="H2394" s="92" t="s">
        <v>10</v>
      </c>
    </row>
    <row r="2395" spans="1:8" ht="21.75" customHeight="1" x14ac:dyDescent="0.25">
      <c r="A2395" s="35">
        <v>44673</v>
      </c>
      <c r="B2395" s="90" t="s">
        <v>13065</v>
      </c>
      <c r="C2395" s="41" t="s">
        <v>142</v>
      </c>
      <c r="D2395" s="87">
        <v>3036</v>
      </c>
      <c r="E2395" s="35">
        <v>44706</v>
      </c>
      <c r="F2395" s="87">
        <v>3036</v>
      </c>
      <c r="G2395" s="91">
        <f>Tabla15[[#This Row],[Importe]]-Tabla15[[#This Row],[Pagado]]</f>
        <v>0</v>
      </c>
      <c r="H2395" s="92" t="s">
        <v>10</v>
      </c>
    </row>
    <row r="2396" spans="1:8" ht="21.75" customHeight="1" x14ac:dyDescent="0.25">
      <c r="A2396" s="35">
        <v>44673</v>
      </c>
      <c r="B2396" s="90" t="s">
        <v>13066</v>
      </c>
      <c r="C2396" s="41" t="s">
        <v>10324</v>
      </c>
      <c r="D2396" s="87">
        <v>634.20000000000005</v>
      </c>
      <c r="E2396" s="35">
        <v>44673</v>
      </c>
      <c r="F2396" s="87">
        <v>634.20000000000005</v>
      </c>
      <c r="G2396" s="91">
        <f>Tabla15[[#This Row],[Importe]]-Tabla15[[#This Row],[Pagado]]</f>
        <v>0</v>
      </c>
      <c r="H2396" s="92" t="s">
        <v>10</v>
      </c>
    </row>
    <row r="2397" spans="1:8" ht="21.75" customHeight="1" x14ac:dyDescent="0.25">
      <c r="A2397" s="35">
        <v>44673</v>
      </c>
      <c r="B2397" s="90" t="s">
        <v>13067</v>
      </c>
      <c r="C2397" s="41" t="s">
        <v>583</v>
      </c>
      <c r="D2397" s="87">
        <v>3108</v>
      </c>
      <c r="E2397" s="35">
        <v>44673</v>
      </c>
      <c r="F2397" s="87">
        <v>3108</v>
      </c>
      <c r="G2397" s="91">
        <f>Tabla15[[#This Row],[Importe]]-Tabla15[[#This Row],[Pagado]]</f>
        <v>0</v>
      </c>
      <c r="H2397" s="92" t="s">
        <v>10</v>
      </c>
    </row>
    <row r="2398" spans="1:8" ht="21.75" customHeight="1" x14ac:dyDescent="0.25">
      <c r="A2398" s="35">
        <v>44673</v>
      </c>
      <c r="B2398" s="90" t="s">
        <v>13068</v>
      </c>
      <c r="C2398" s="41" t="s">
        <v>583</v>
      </c>
      <c r="D2398" s="87">
        <v>4400</v>
      </c>
      <c r="E2398" s="35">
        <v>44673</v>
      </c>
      <c r="F2398" s="87">
        <v>4400</v>
      </c>
      <c r="G2398" s="91">
        <f>Tabla15[[#This Row],[Importe]]-Tabla15[[#This Row],[Pagado]]</f>
        <v>0</v>
      </c>
      <c r="H2398" s="92" t="s">
        <v>10</v>
      </c>
    </row>
    <row r="2399" spans="1:8" ht="21.75" customHeight="1" x14ac:dyDescent="0.25">
      <c r="A2399" s="35">
        <v>44673</v>
      </c>
      <c r="B2399" s="90" t="s">
        <v>13069</v>
      </c>
      <c r="C2399" s="41" t="s">
        <v>11383</v>
      </c>
      <c r="D2399" s="87">
        <v>19883.099999999999</v>
      </c>
      <c r="E2399" s="35">
        <v>44673</v>
      </c>
      <c r="F2399" s="87">
        <v>19883.099999999999</v>
      </c>
      <c r="G2399" s="91">
        <f>Tabla15[[#This Row],[Importe]]-Tabla15[[#This Row],[Pagado]]</f>
        <v>0</v>
      </c>
      <c r="H2399" s="92" t="s">
        <v>10</v>
      </c>
    </row>
    <row r="2400" spans="1:8" ht="21.75" customHeight="1" x14ac:dyDescent="0.25">
      <c r="A2400" s="35">
        <v>44673</v>
      </c>
      <c r="B2400" s="90" t="s">
        <v>13070</v>
      </c>
      <c r="C2400" s="41" t="s">
        <v>872</v>
      </c>
      <c r="D2400" s="87">
        <v>3273.2</v>
      </c>
      <c r="E2400" s="35">
        <v>44673</v>
      </c>
      <c r="F2400" s="87">
        <v>3273.2</v>
      </c>
      <c r="G2400" s="91">
        <f>Tabla15[[#This Row],[Importe]]-Tabla15[[#This Row],[Pagado]]</f>
        <v>0</v>
      </c>
      <c r="H2400" s="92" t="s">
        <v>10</v>
      </c>
    </row>
    <row r="2401" spans="1:8" ht="21.75" customHeight="1" x14ac:dyDescent="0.25">
      <c r="A2401" s="35">
        <v>44673</v>
      </c>
      <c r="B2401" s="90" t="s">
        <v>13071</v>
      </c>
      <c r="C2401" s="41" t="s">
        <v>11383</v>
      </c>
      <c r="D2401" s="87">
        <v>5094.8999999999996</v>
      </c>
      <c r="E2401" s="35">
        <v>44673</v>
      </c>
      <c r="F2401" s="87">
        <v>5094.8999999999996</v>
      </c>
      <c r="G2401" s="91">
        <f>Tabla15[[#This Row],[Importe]]-Tabla15[[#This Row],[Pagado]]</f>
        <v>0</v>
      </c>
      <c r="H2401" s="92" t="s">
        <v>10</v>
      </c>
    </row>
    <row r="2402" spans="1:8" ht="21.75" customHeight="1" x14ac:dyDescent="0.25">
      <c r="A2402" s="35">
        <v>44673</v>
      </c>
      <c r="B2402" s="90" t="s">
        <v>13072</v>
      </c>
      <c r="C2402" s="41" t="s">
        <v>246</v>
      </c>
      <c r="D2402" s="87">
        <v>53651</v>
      </c>
      <c r="E2402" s="35">
        <v>44673</v>
      </c>
      <c r="F2402" s="87">
        <v>53651</v>
      </c>
      <c r="G2402" s="91">
        <f>Tabla15[[#This Row],[Importe]]-Tabla15[[#This Row],[Pagado]]</f>
        <v>0</v>
      </c>
      <c r="H2402" s="92" t="s">
        <v>10</v>
      </c>
    </row>
    <row r="2403" spans="1:8" ht="21.75" customHeight="1" x14ac:dyDescent="0.25">
      <c r="A2403" s="35">
        <v>44673</v>
      </c>
      <c r="B2403" s="90" t="s">
        <v>13073</v>
      </c>
      <c r="C2403" s="41" t="s">
        <v>10678</v>
      </c>
      <c r="D2403" s="87">
        <v>2765.5</v>
      </c>
      <c r="E2403" s="35">
        <v>44673</v>
      </c>
      <c r="F2403" s="87">
        <v>2765.5</v>
      </c>
      <c r="G2403" s="91">
        <f>Tabla15[[#This Row],[Importe]]-Tabla15[[#This Row],[Pagado]]</f>
        <v>0</v>
      </c>
      <c r="H2403" s="92" t="s">
        <v>10</v>
      </c>
    </row>
    <row r="2404" spans="1:8" ht="21.75" customHeight="1" x14ac:dyDescent="0.25">
      <c r="A2404" s="35">
        <v>44673</v>
      </c>
      <c r="B2404" s="90" t="s">
        <v>13074</v>
      </c>
      <c r="C2404" s="41" t="s">
        <v>857</v>
      </c>
      <c r="D2404" s="87">
        <v>1229.2</v>
      </c>
      <c r="E2404" s="35">
        <v>44673</v>
      </c>
      <c r="F2404" s="87">
        <v>1229.2</v>
      </c>
      <c r="G2404" s="91">
        <f>Tabla15[[#This Row],[Importe]]-Tabla15[[#This Row],[Pagado]]</f>
        <v>0</v>
      </c>
      <c r="H2404" s="92" t="s">
        <v>10</v>
      </c>
    </row>
    <row r="2405" spans="1:8" ht="21.75" customHeight="1" x14ac:dyDescent="0.25">
      <c r="A2405" s="35">
        <v>44673</v>
      </c>
      <c r="B2405" s="90" t="s">
        <v>13075</v>
      </c>
      <c r="C2405" s="41" t="s">
        <v>53</v>
      </c>
      <c r="D2405" s="87">
        <v>2069.1</v>
      </c>
      <c r="E2405" s="35">
        <v>44673</v>
      </c>
      <c r="F2405" s="87">
        <v>2069.1</v>
      </c>
      <c r="G2405" s="91">
        <f>Tabla15[[#This Row],[Importe]]-Tabla15[[#This Row],[Pagado]]</f>
        <v>0</v>
      </c>
      <c r="H2405" s="92" t="s">
        <v>10</v>
      </c>
    </row>
    <row r="2406" spans="1:8" ht="21.75" customHeight="1" x14ac:dyDescent="0.25">
      <c r="A2406" s="35">
        <v>44673</v>
      </c>
      <c r="B2406" s="90" t="s">
        <v>13076</v>
      </c>
      <c r="C2406" s="41" t="s">
        <v>31</v>
      </c>
      <c r="D2406" s="87">
        <v>244.8</v>
      </c>
      <c r="E2406" s="35">
        <v>44673</v>
      </c>
      <c r="F2406" s="87">
        <v>244.8</v>
      </c>
      <c r="G2406" s="91">
        <f>Tabla15[[#This Row],[Importe]]-Tabla15[[#This Row],[Pagado]]</f>
        <v>0</v>
      </c>
      <c r="H2406" s="92" t="s">
        <v>10</v>
      </c>
    </row>
    <row r="2407" spans="1:8" ht="21.75" customHeight="1" x14ac:dyDescent="0.25">
      <c r="A2407" s="35">
        <v>44673</v>
      </c>
      <c r="B2407" s="90" t="s">
        <v>13077</v>
      </c>
      <c r="C2407" s="41" t="s">
        <v>31</v>
      </c>
      <c r="D2407" s="87">
        <v>2549.8000000000002</v>
      </c>
      <c r="E2407" s="35">
        <v>44673</v>
      </c>
      <c r="F2407" s="87">
        <v>2549.8000000000002</v>
      </c>
      <c r="G2407" s="91">
        <f>Tabla15[[#This Row],[Importe]]-Tabla15[[#This Row],[Pagado]]</f>
        <v>0</v>
      </c>
      <c r="H2407" s="92" t="s">
        <v>10</v>
      </c>
    </row>
    <row r="2408" spans="1:8" ht="21.75" customHeight="1" x14ac:dyDescent="0.25">
      <c r="A2408" s="35">
        <v>44673</v>
      </c>
      <c r="B2408" s="90" t="s">
        <v>13078</v>
      </c>
      <c r="C2408" s="41" t="s">
        <v>31</v>
      </c>
      <c r="D2408" s="87">
        <v>17196</v>
      </c>
      <c r="E2408" s="35">
        <v>44673</v>
      </c>
      <c r="F2408" s="87">
        <v>17196</v>
      </c>
      <c r="G2408" s="91">
        <f>Tabla15[[#This Row],[Importe]]-Tabla15[[#This Row],[Pagado]]</f>
        <v>0</v>
      </c>
      <c r="H2408" s="92" t="s">
        <v>10</v>
      </c>
    </row>
    <row r="2409" spans="1:8" ht="21.75" customHeight="1" x14ac:dyDescent="0.25">
      <c r="A2409" s="35">
        <v>44673</v>
      </c>
      <c r="B2409" s="90" t="s">
        <v>13079</v>
      </c>
      <c r="C2409" s="41" t="s">
        <v>31</v>
      </c>
      <c r="D2409" s="87">
        <v>151.19999999999999</v>
      </c>
      <c r="E2409" s="35">
        <v>44674</v>
      </c>
      <c r="F2409" s="87">
        <v>151.19999999999999</v>
      </c>
      <c r="G2409" s="91">
        <f>Tabla15[[#This Row],[Importe]]-Tabla15[[#This Row],[Pagado]]</f>
        <v>0</v>
      </c>
      <c r="H2409" s="92" t="s">
        <v>10</v>
      </c>
    </row>
    <row r="2410" spans="1:8" ht="21.75" customHeight="1" x14ac:dyDescent="0.25">
      <c r="A2410" s="35">
        <v>44673</v>
      </c>
      <c r="B2410" s="90" t="s">
        <v>13080</v>
      </c>
      <c r="C2410" s="41" t="s">
        <v>454</v>
      </c>
      <c r="D2410" s="87">
        <v>8500</v>
      </c>
      <c r="E2410" s="35">
        <v>44674</v>
      </c>
      <c r="F2410" s="87">
        <v>8500</v>
      </c>
      <c r="G2410" s="91">
        <f>Tabla15[[#This Row],[Importe]]-Tabla15[[#This Row],[Pagado]]</f>
        <v>0</v>
      </c>
      <c r="H2410" s="92" t="s">
        <v>10</v>
      </c>
    </row>
    <row r="2411" spans="1:8" ht="21.75" customHeight="1" x14ac:dyDescent="0.25">
      <c r="A2411" s="35">
        <v>44673</v>
      </c>
      <c r="B2411" s="90" t="s">
        <v>13081</v>
      </c>
      <c r="C2411" s="41" t="s">
        <v>407</v>
      </c>
      <c r="D2411" s="87">
        <v>2226</v>
      </c>
      <c r="E2411" s="35">
        <v>44674</v>
      </c>
      <c r="F2411" s="87">
        <v>2226</v>
      </c>
      <c r="G2411" s="91">
        <f>Tabla15[[#This Row],[Importe]]-Tabla15[[#This Row],[Pagado]]</f>
        <v>0</v>
      </c>
      <c r="H2411" s="92" t="s">
        <v>10</v>
      </c>
    </row>
    <row r="2412" spans="1:8" ht="21.75" customHeight="1" x14ac:dyDescent="0.25">
      <c r="A2412" s="35">
        <v>44674</v>
      </c>
      <c r="B2412" s="90" t="s">
        <v>13082</v>
      </c>
      <c r="C2412" s="41" t="s">
        <v>12</v>
      </c>
      <c r="D2412" s="87">
        <v>39324.300000000003</v>
      </c>
      <c r="E2412" s="35">
        <v>44674</v>
      </c>
      <c r="F2412" s="87">
        <v>39324.300000000003</v>
      </c>
      <c r="G2412" s="91">
        <f>Tabla15[[#This Row],[Importe]]-Tabla15[[#This Row],[Pagado]]</f>
        <v>0</v>
      </c>
      <c r="H2412" s="92" t="s">
        <v>10</v>
      </c>
    </row>
    <row r="2413" spans="1:8" ht="21.75" customHeight="1" x14ac:dyDescent="0.25">
      <c r="A2413" s="35">
        <v>44674</v>
      </c>
      <c r="B2413" s="90" t="s">
        <v>13083</v>
      </c>
      <c r="C2413" s="41" t="s">
        <v>481</v>
      </c>
      <c r="D2413" s="87">
        <v>1697.2</v>
      </c>
      <c r="E2413" s="35">
        <v>44674</v>
      </c>
      <c r="F2413" s="87">
        <v>1697.2</v>
      </c>
      <c r="G2413" s="91">
        <f>Tabla15[[#This Row],[Importe]]-Tabla15[[#This Row],[Pagado]]</f>
        <v>0</v>
      </c>
      <c r="H2413" s="92" t="s">
        <v>10</v>
      </c>
    </row>
    <row r="2414" spans="1:8" ht="21.75" customHeight="1" x14ac:dyDescent="0.25">
      <c r="A2414" s="35">
        <v>44674</v>
      </c>
      <c r="B2414" s="90" t="s">
        <v>13084</v>
      </c>
      <c r="C2414" s="41" t="s">
        <v>12</v>
      </c>
      <c r="D2414" s="87">
        <v>397</v>
      </c>
      <c r="E2414" s="35">
        <v>44674</v>
      </c>
      <c r="F2414" s="87">
        <v>397</v>
      </c>
      <c r="G2414" s="91">
        <f>Tabla15[[#This Row],[Importe]]-Tabla15[[#This Row],[Pagado]]</f>
        <v>0</v>
      </c>
      <c r="H2414" s="92" t="s">
        <v>10</v>
      </c>
    </row>
    <row r="2415" spans="1:8" ht="21.75" customHeight="1" x14ac:dyDescent="0.25">
      <c r="A2415" s="35">
        <v>44674</v>
      </c>
      <c r="B2415" s="90" t="s">
        <v>13085</v>
      </c>
      <c r="C2415" s="41" t="s">
        <v>79</v>
      </c>
      <c r="D2415" s="87">
        <v>17343.2</v>
      </c>
      <c r="E2415" s="35">
        <v>44674</v>
      </c>
      <c r="F2415" s="87">
        <v>17343.2</v>
      </c>
      <c r="G2415" s="91">
        <f>Tabla15[[#This Row],[Importe]]-Tabla15[[#This Row],[Pagado]]</f>
        <v>0</v>
      </c>
      <c r="H2415" s="92" t="s">
        <v>10</v>
      </c>
    </row>
    <row r="2416" spans="1:8" ht="21.75" customHeight="1" x14ac:dyDescent="0.25">
      <c r="A2416" s="35">
        <v>44674</v>
      </c>
      <c r="B2416" s="90" t="s">
        <v>13086</v>
      </c>
      <c r="C2416" s="41" t="s">
        <v>31</v>
      </c>
      <c r="D2416" s="87">
        <v>3794.8</v>
      </c>
      <c r="E2416" s="35">
        <v>44674</v>
      </c>
      <c r="F2416" s="87">
        <v>3794.8</v>
      </c>
      <c r="G2416" s="91">
        <f>Tabla15[[#This Row],[Importe]]-Tabla15[[#This Row],[Pagado]]</f>
        <v>0</v>
      </c>
      <c r="H2416" s="92" t="s">
        <v>10</v>
      </c>
    </row>
    <row r="2417" spans="1:8" ht="31.5" x14ac:dyDescent="0.25">
      <c r="A2417" s="35">
        <v>44674</v>
      </c>
      <c r="B2417" s="90" t="s">
        <v>13087</v>
      </c>
      <c r="C2417" s="41" t="s">
        <v>75</v>
      </c>
      <c r="D2417" s="87">
        <v>18894.400000000001</v>
      </c>
      <c r="E2417" s="35" t="s">
        <v>13088</v>
      </c>
      <c r="F2417" s="87">
        <f>8892.8+10001.6</f>
        <v>18894.400000000001</v>
      </c>
      <c r="G2417" s="91">
        <f>Tabla15[[#This Row],[Importe]]-Tabla15[[#This Row],[Pagado]]</f>
        <v>0</v>
      </c>
      <c r="H2417" s="92" t="s">
        <v>10</v>
      </c>
    </row>
    <row r="2418" spans="1:8" ht="21.75" customHeight="1" x14ac:dyDescent="0.25">
      <c r="A2418" s="35">
        <v>44674</v>
      </c>
      <c r="B2418" s="90" t="s">
        <v>13089</v>
      </c>
      <c r="C2418" s="41" t="s">
        <v>27</v>
      </c>
      <c r="D2418" s="87">
        <v>3493.6</v>
      </c>
      <c r="E2418" s="35">
        <v>44674</v>
      </c>
      <c r="F2418" s="87">
        <v>3493.6</v>
      </c>
      <c r="G2418" s="91">
        <f>Tabla15[[#This Row],[Importe]]-Tabla15[[#This Row],[Pagado]]</f>
        <v>0</v>
      </c>
      <c r="H2418" s="92" t="s">
        <v>10</v>
      </c>
    </row>
    <row r="2419" spans="1:8" ht="31.5" x14ac:dyDescent="0.25">
      <c r="A2419" s="35">
        <v>44674</v>
      </c>
      <c r="B2419" s="90" t="s">
        <v>13090</v>
      </c>
      <c r="C2419" s="41" t="s">
        <v>22</v>
      </c>
      <c r="D2419" s="87">
        <v>71358.600000000006</v>
      </c>
      <c r="E2419" s="35" t="s">
        <v>12952</v>
      </c>
      <c r="F2419" s="87">
        <f>56000+15358.6</f>
        <v>71358.600000000006</v>
      </c>
      <c r="G2419" s="91">
        <f>Tabla15[[#This Row],[Importe]]-Tabla15[[#This Row],[Pagado]]</f>
        <v>0</v>
      </c>
      <c r="H2419" s="92" t="s">
        <v>10</v>
      </c>
    </row>
    <row r="2420" spans="1:8" ht="21.75" customHeight="1" x14ac:dyDescent="0.25">
      <c r="A2420" s="35">
        <v>44674</v>
      </c>
      <c r="B2420" s="90" t="s">
        <v>13091</v>
      </c>
      <c r="C2420" s="41" t="s">
        <v>216</v>
      </c>
      <c r="D2420" s="87">
        <v>1902.4</v>
      </c>
      <c r="E2420" s="35">
        <v>44674</v>
      </c>
      <c r="F2420" s="87">
        <v>1902.4</v>
      </c>
      <c r="G2420" s="91">
        <f>Tabla15[[#This Row],[Importe]]-Tabla15[[#This Row],[Pagado]]</f>
        <v>0</v>
      </c>
      <c r="H2420" s="92" t="s">
        <v>10</v>
      </c>
    </row>
    <row r="2421" spans="1:8" ht="21.75" customHeight="1" x14ac:dyDescent="0.25">
      <c r="A2421" s="35">
        <v>44674</v>
      </c>
      <c r="B2421" s="90" t="s">
        <v>13092</v>
      </c>
      <c r="C2421" s="41" t="s">
        <v>9</v>
      </c>
      <c r="D2421" s="87">
        <v>8284.2000000000007</v>
      </c>
      <c r="E2421" s="35">
        <v>44674</v>
      </c>
      <c r="F2421" s="87">
        <v>8284.2000000000007</v>
      </c>
      <c r="G2421" s="91">
        <f>Tabla15[[#This Row],[Importe]]-Tabla15[[#This Row],[Pagado]]</f>
        <v>0</v>
      </c>
      <c r="H2421" s="92" t="s">
        <v>10</v>
      </c>
    </row>
    <row r="2422" spans="1:8" ht="31.5" x14ac:dyDescent="0.25">
      <c r="A2422" s="35">
        <v>44674</v>
      </c>
      <c r="B2422" s="90" t="s">
        <v>13093</v>
      </c>
      <c r="C2422" s="41" t="s">
        <v>475</v>
      </c>
      <c r="D2422" s="87">
        <v>65859.5</v>
      </c>
      <c r="E2422" s="35" t="s">
        <v>12952</v>
      </c>
      <c r="F2422" s="87">
        <f>63500+2359.5</f>
        <v>65859.5</v>
      </c>
      <c r="G2422" s="91">
        <f>Tabla15[[#This Row],[Importe]]-Tabla15[[#This Row],[Pagado]]</f>
        <v>0</v>
      </c>
      <c r="H2422" s="92" t="s">
        <v>10</v>
      </c>
    </row>
    <row r="2423" spans="1:8" ht="21.75" customHeight="1" x14ac:dyDescent="0.25">
      <c r="A2423" s="35">
        <v>44674</v>
      </c>
      <c r="B2423" s="90" t="s">
        <v>13094</v>
      </c>
      <c r="C2423" s="41" t="s">
        <v>85</v>
      </c>
      <c r="D2423" s="87">
        <v>6131.8</v>
      </c>
      <c r="E2423" s="35">
        <v>44674</v>
      </c>
      <c r="F2423" s="87">
        <v>6131.8</v>
      </c>
      <c r="G2423" s="91">
        <f>Tabla15[[#This Row],[Importe]]-Tabla15[[#This Row],[Pagado]]</f>
        <v>0</v>
      </c>
      <c r="H2423" s="92" t="s">
        <v>10</v>
      </c>
    </row>
    <row r="2424" spans="1:8" ht="21.75" customHeight="1" x14ac:dyDescent="0.25">
      <c r="A2424" s="35">
        <v>44674</v>
      </c>
      <c r="B2424" s="90" t="s">
        <v>13095</v>
      </c>
      <c r="C2424" s="41" t="s">
        <v>312</v>
      </c>
      <c r="D2424" s="87">
        <v>720</v>
      </c>
      <c r="E2424" s="35">
        <v>44674</v>
      </c>
      <c r="F2424" s="87">
        <v>720</v>
      </c>
      <c r="G2424" s="91">
        <f>Tabla15[[#This Row],[Importe]]-Tabla15[[#This Row],[Pagado]]</f>
        <v>0</v>
      </c>
      <c r="H2424" s="92" t="s">
        <v>10</v>
      </c>
    </row>
    <row r="2425" spans="1:8" ht="21.75" customHeight="1" x14ac:dyDescent="0.25">
      <c r="A2425" s="35">
        <v>44674</v>
      </c>
      <c r="B2425" s="90" t="s">
        <v>13096</v>
      </c>
      <c r="C2425" s="41" t="s">
        <v>348</v>
      </c>
      <c r="D2425" s="87">
        <v>4399.5</v>
      </c>
      <c r="E2425" s="35">
        <v>44674</v>
      </c>
      <c r="F2425" s="87">
        <v>4399.5</v>
      </c>
      <c r="G2425" s="91">
        <f>Tabla15[[#This Row],[Importe]]-Tabla15[[#This Row],[Pagado]]</f>
        <v>0</v>
      </c>
      <c r="H2425" s="92" t="s">
        <v>10</v>
      </c>
    </row>
    <row r="2426" spans="1:8" ht="21.75" customHeight="1" x14ac:dyDescent="0.25">
      <c r="A2426" s="35">
        <v>44674</v>
      </c>
      <c r="B2426" s="90" t="s">
        <v>13097</v>
      </c>
      <c r="C2426" s="41" t="s">
        <v>47</v>
      </c>
      <c r="D2426" s="87">
        <v>53435.7</v>
      </c>
      <c r="E2426" s="35">
        <v>44674</v>
      </c>
      <c r="F2426" s="87">
        <v>53435.7</v>
      </c>
      <c r="G2426" s="91">
        <f>Tabla15[[#This Row],[Importe]]-Tabla15[[#This Row],[Pagado]]</f>
        <v>0</v>
      </c>
      <c r="H2426" s="92" t="s">
        <v>10</v>
      </c>
    </row>
    <row r="2427" spans="1:8" ht="21.75" customHeight="1" x14ac:dyDescent="0.25">
      <c r="A2427" s="35">
        <v>44674</v>
      </c>
      <c r="B2427" s="90" t="s">
        <v>13098</v>
      </c>
      <c r="C2427" s="41" t="s">
        <v>196</v>
      </c>
      <c r="D2427" s="87">
        <v>106135.36</v>
      </c>
      <c r="E2427" s="35">
        <v>44681</v>
      </c>
      <c r="F2427" s="87">
        <v>106135.36</v>
      </c>
      <c r="G2427" s="91">
        <f>Tabla15[[#This Row],[Importe]]-Tabla15[[#This Row],[Pagado]]</f>
        <v>0</v>
      </c>
      <c r="H2427" s="92" t="s">
        <v>10</v>
      </c>
    </row>
    <row r="2428" spans="1:8" ht="21.75" customHeight="1" x14ac:dyDescent="0.25">
      <c r="A2428" s="35">
        <v>44674</v>
      </c>
      <c r="B2428" s="90" t="s">
        <v>13099</v>
      </c>
      <c r="C2428" s="41" t="s">
        <v>924</v>
      </c>
      <c r="D2428" s="87">
        <v>14836.7</v>
      </c>
      <c r="E2428" s="35">
        <v>44674</v>
      </c>
      <c r="F2428" s="87">
        <v>14836.7</v>
      </c>
      <c r="G2428" s="91">
        <f>Tabla15[[#This Row],[Importe]]-Tabla15[[#This Row],[Pagado]]</f>
        <v>0</v>
      </c>
      <c r="H2428" s="92" t="s">
        <v>10</v>
      </c>
    </row>
    <row r="2429" spans="1:8" ht="21.75" customHeight="1" x14ac:dyDescent="0.25">
      <c r="A2429" s="35">
        <v>44674</v>
      </c>
      <c r="B2429" s="90" t="s">
        <v>13100</v>
      </c>
      <c r="C2429" s="41" t="s">
        <v>14</v>
      </c>
      <c r="D2429" s="87">
        <v>38092.199999999997</v>
      </c>
      <c r="E2429" s="35">
        <v>44674</v>
      </c>
      <c r="F2429" s="87">
        <v>38092.199999999997</v>
      </c>
      <c r="G2429" s="91">
        <f>Tabla15[[#This Row],[Importe]]-Tabla15[[#This Row],[Pagado]]</f>
        <v>0</v>
      </c>
      <c r="H2429" s="92" t="s">
        <v>10</v>
      </c>
    </row>
    <row r="2430" spans="1:8" ht="21.75" customHeight="1" x14ac:dyDescent="0.25">
      <c r="A2430" s="35">
        <v>44674</v>
      </c>
      <c r="B2430" s="90" t="s">
        <v>13101</v>
      </c>
      <c r="C2430" s="41" t="s">
        <v>198</v>
      </c>
      <c r="D2430" s="87">
        <v>3893.6</v>
      </c>
      <c r="E2430" s="35">
        <v>44674</v>
      </c>
      <c r="F2430" s="87">
        <v>3893.6</v>
      </c>
      <c r="G2430" s="91">
        <f>Tabla15[[#This Row],[Importe]]-Tabla15[[#This Row],[Pagado]]</f>
        <v>0</v>
      </c>
      <c r="H2430" s="92" t="s">
        <v>10</v>
      </c>
    </row>
    <row r="2431" spans="1:8" ht="21.75" customHeight="1" x14ac:dyDescent="0.25">
      <c r="A2431" s="35">
        <v>44674</v>
      </c>
      <c r="B2431" s="90" t="s">
        <v>13102</v>
      </c>
      <c r="C2431" s="41" t="s">
        <v>16</v>
      </c>
      <c r="D2431" s="87">
        <v>7044.8</v>
      </c>
      <c r="E2431" s="35">
        <v>44674</v>
      </c>
      <c r="F2431" s="87">
        <v>7044.8</v>
      </c>
      <c r="G2431" s="91">
        <f>Tabla15[[#This Row],[Importe]]-Tabla15[[#This Row],[Pagado]]</f>
        <v>0</v>
      </c>
      <c r="H2431" s="92" t="s">
        <v>10</v>
      </c>
    </row>
    <row r="2432" spans="1:8" ht="21.75" customHeight="1" x14ac:dyDescent="0.25">
      <c r="A2432" s="35">
        <v>44674</v>
      </c>
      <c r="B2432" s="90" t="s">
        <v>13103</v>
      </c>
      <c r="C2432" s="41" t="s">
        <v>142</v>
      </c>
      <c r="D2432" s="87">
        <v>1627.2</v>
      </c>
      <c r="E2432" s="35">
        <v>44706</v>
      </c>
      <c r="F2432" s="87">
        <v>1627.2</v>
      </c>
      <c r="G2432" s="91">
        <f>Tabla15[[#This Row],[Importe]]-Tabla15[[#This Row],[Pagado]]</f>
        <v>0</v>
      </c>
      <c r="H2432" s="92" t="s">
        <v>10</v>
      </c>
    </row>
    <row r="2433" spans="1:8" ht="21.75" customHeight="1" x14ac:dyDescent="0.25">
      <c r="A2433" s="35">
        <v>44674</v>
      </c>
      <c r="B2433" s="90" t="s">
        <v>13104</v>
      </c>
      <c r="C2433" s="41" t="s">
        <v>224</v>
      </c>
      <c r="D2433" s="87">
        <v>677.6</v>
      </c>
      <c r="E2433" s="35">
        <v>44674</v>
      </c>
      <c r="F2433" s="87">
        <v>677.6</v>
      </c>
      <c r="G2433" s="91">
        <f>Tabla15[[#This Row],[Importe]]-Tabla15[[#This Row],[Pagado]]</f>
        <v>0</v>
      </c>
      <c r="H2433" s="92" t="s">
        <v>10</v>
      </c>
    </row>
    <row r="2434" spans="1:8" ht="21.75" customHeight="1" x14ac:dyDescent="0.25">
      <c r="A2434" s="35">
        <v>44674</v>
      </c>
      <c r="B2434" s="90" t="s">
        <v>13105</v>
      </c>
      <c r="C2434" s="41" t="s">
        <v>142</v>
      </c>
      <c r="D2434" s="87">
        <v>1238.8</v>
      </c>
      <c r="E2434" s="35">
        <v>44706</v>
      </c>
      <c r="F2434" s="87">
        <v>1238.8</v>
      </c>
      <c r="G2434" s="91">
        <f>Tabla15[[#This Row],[Importe]]-Tabla15[[#This Row],[Pagado]]</f>
        <v>0</v>
      </c>
      <c r="H2434" s="92" t="s">
        <v>10</v>
      </c>
    </row>
    <row r="2435" spans="1:8" ht="21.75" customHeight="1" x14ac:dyDescent="0.25">
      <c r="A2435" s="35">
        <v>44674</v>
      </c>
      <c r="B2435" s="90" t="s">
        <v>13106</v>
      </c>
      <c r="C2435" s="41" t="s">
        <v>14</v>
      </c>
      <c r="D2435" s="87">
        <v>4153.5</v>
      </c>
      <c r="E2435" s="35">
        <v>44674</v>
      </c>
      <c r="F2435" s="87">
        <v>4153.5</v>
      </c>
      <c r="G2435" s="91">
        <f>Tabla15[[#This Row],[Importe]]-Tabla15[[#This Row],[Pagado]]</f>
        <v>0</v>
      </c>
      <c r="H2435" s="92" t="s">
        <v>10</v>
      </c>
    </row>
    <row r="2436" spans="1:8" ht="21.75" customHeight="1" x14ac:dyDescent="0.25">
      <c r="A2436" s="35">
        <v>44674</v>
      </c>
      <c r="B2436" s="90" t="s">
        <v>13107</v>
      </c>
      <c r="C2436" s="41" t="s">
        <v>804</v>
      </c>
      <c r="D2436" s="87">
        <v>20060.5</v>
      </c>
      <c r="E2436" s="35">
        <v>44674</v>
      </c>
      <c r="F2436" s="87">
        <v>20060.5</v>
      </c>
      <c r="G2436" s="91">
        <f>Tabla15[[#This Row],[Importe]]-Tabla15[[#This Row],[Pagado]]</f>
        <v>0</v>
      </c>
      <c r="H2436" s="92" t="s">
        <v>10</v>
      </c>
    </row>
    <row r="2437" spans="1:8" ht="21.75" customHeight="1" x14ac:dyDescent="0.25">
      <c r="A2437" s="35">
        <v>44674</v>
      </c>
      <c r="B2437" s="90" t="s">
        <v>13108</v>
      </c>
      <c r="C2437" s="41" t="s">
        <v>161</v>
      </c>
      <c r="D2437" s="87">
        <v>1131</v>
      </c>
      <c r="E2437" s="35">
        <v>44674</v>
      </c>
      <c r="F2437" s="87">
        <v>1131</v>
      </c>
      <c r="G2437" s="91">
        <f>Tabla15[[#This Row],[Importe]]-Tabla15[[#This Row],[Pagado]]</f>
        <v>0</v>
      </c>
      <c r="H2437" s="92" t="s">
        <v>10</v>
      </c>
    </row>
    <row r="2438" spans="1:8" ht="21.75" customHeight="1" x14ac:dyDescent="0.25">
      <c r="A2438" s="35">
        <v>44674</v>
      </c>
      <c r="B2438" s="90" t="s">
        <v>13109</v>
      </c>
      <c r="C2438" s="41" t="s">
        <v>120</v>
      </c>
      <c r="D2438" s="87">
        <v>4881.3</v>
      </c>
      <c r="E2438" s="35">
        <v>44676</v>
      </c>
      <c r="F2438" s="87">
        <v>4881.3</v>
      </c>
      <c r="G2438" s="91">
        <f>Tabla15[[#This Row],[Importe]]-Tabla15[[#This Row],[Pagado]]</f>
        <v>0</v>
      </c>
      <c r="H2438" s="92" t="s">
        <v>10</v>
      </c>
    </row>
    <row r="2439" spans="1:8" ht="21.75" customHeight="1" x14ac:dyDescent="0.25">
      <c r="A2439" s="35">
        <v>44674</v>
      </c>
      <c r="B2439" s="90" t="s">
        <v>13110</v>
      </c>
      <c r="C2439" s="41" t="s">
        <v>116</v>
      </c>
      <c r="D2439" s="87">
        <v>4166.7</v>
      </c>
      <c r="E2439" s="35">
        <v>44677</v>
      </c>
      <c r="F2439" s="87">
        <v>4166.7</v>
      </c>
      <c r="G2439" s="91">
        <f>Tabla15[[#This Row],[Importe]]-Tabla15[[#This Row],[Pagado]]</f>
        <v>0</v>
      </c>
      <c r="H2439" s="92" t="s">
        <v>10</v>
      </c>
    </row>
    <row r="2440" spans="1:8" ht="21.75" customHeight="1" x14ac:dyDescent="0.25">
      <c r="A2440" s="35">
        <v>44674</v>
      </c>
      <c r="B2440" s="90" t="s">
        <v>13111</v>
      </c>
      <c r="C2440" s="41" t="s">
        <v>111</v>
      </c>
      <c r="D2440" s="87">
        <v>9129</v>
      </c>
      <c r="E2440" s="35">
        <v>44676</v>
      </c>
      <c r="F2440" s="87">
        <v>9129</v>
      </c>
      <c r="G2440" s="91">
        <f>Tabla15[[#This Row],[Importe]]-Tabla15[[#This Row],[Pagado]]</f>
        <v>0</v>
      </c>
      <c r="H2440" s="92" t="s">
        <v>10</v>
      </c>
    </row>
    <row r="2441" spans="1:8" ht="21.75" customHeight="1" x14ac:dyDescent="0.25">
      <c r="A2441" s="35">
        <v>44674</v>
      </c>
      <c r="B2441" s="90" t="s">
        <v>13112</v>
      </c>
      <c r="C2441" s="41" t="s">
        <v>326</v>
      </c>
      <c r="D2441" s="87">
        <v>13713.9</v>
      </c>
      <c r="E2441" s="35">
        <v>44676</v>
      </c>
      <c r="F2441" s="87">
        <v>13713.9</v>
      </c>
      <c r="G2441" s="91">
        <f>Tabla15[[#This Row],[Importe]]-Tabla15[[#This Row],[Pagado]]</f>
        <v>0</v>
      </c>
      <c r="H2441" s="92" t="s">
        <v>10</v>
      </c>
    </row>
    <row r="2442" spans="1:8" ht="21.75" customHeight="1" x14ac:dyDescent="0.25">
      <c r="A2442" s="35">
        <v>44674</v>
      </c>
      <c r="B2442" s="90" t="s">
        <v>13113</v>
      </c>
      <c r="C2442" s="41" t="s">
        <v>13114</v>
      </c>
      <c r="D2442" s="87">
        <v>0</v>
      </c>
      <c r="E2442" s="39" t="s">
        <v>189</v>
      </c>
      <c r="F2442" s="87">
        <v>0</v>
      </c>
      <c r="G2442" s="91">
        <f>Tabla15[[#This Row],[Importe]]-Tabla15[[#This Row],[Pagado]]</f>
        <v>0</v>
      </c>
      <c r="H2442" s="92" t="s">
        <v>189</v>
      </c>
    </row>
    <row r="2443" spans="1:8" ht="21.75" customHeight="1" x14ac:dyDescent="0.25">
      <c r="A2443" s="35">
        <v>44674</v>
      </c>
      <c r="B2443" s="90" t="s">
        <v>13115</v>
      </c>
      <c r="C2443" s="41" t="s">
        <v>131</v>
      </c>
      <c r="D2443" s="87">
        <v>21432</v>
      </c>
      <c r="E2443" s="35">
        <v>44674</v>
      </c>
      <c r="F2443" s="87">
        <v>21432</v>
      </c>
      <c r="G2443" s="91">
        <f>Tabla15[[#This Row],[Importe]]-Tabla15[[#This Row],[Pagado]]</f>
        <v>0</v>
      </c>
      <c r="H2443" s="92" t="s">
        <v>10</v>
      </c>
    </row>
    <row r="2444" spans="1:8" ht="21.75" customHeight="1" x14ac:dyDescent="0.25">
      <c r="A2444" s="35">
        <v>44674</v>
      </c>
      <c r="B2444" s="90" t="s">
        <v>13116</v>
      </c>
      <c r="C2444" s="41" t="s">
        <v>135</v>
      </c>
      <c r="D2444" s="87">
        <v>1014.8</v>
      </c>
      <c r="E2444" s="35">
        <v>44674</v>
      </c>
      <c r="F2444" s="87">
        <v>1014.8</v>
      </c>
      <c r="G2444" s="91">
        <f>Tabla15[[#This Row],[Importe]]-Tabla15[[#This Row],[Pagado]]</f>
        <v>0</v>
      </c>
      <c r="H2444" s="92" t="s">
        <v>10</v>
      </c>
    </row>
    <row r="2445" spans="1:8" ht="21.75" customHeight="1" x14ac:dyDescent="0.25">
      <c r="A2445" s="35">
        <v>44674</v>
      </c>
      <c r="B2445" s="90" t="s">
        <v>13117</v>
      </c>
      <c r="C2445" s="41" t="s">
        <v>1239</v>
      </c>
      <c r="D2445" s="87">
        <v>9606.4</v>
      </c>
      <c r="E2445" s="35">
        <v>44674</v>
      </c>
      <c r="F2445" s="87">
        <v>9606.4</v>
      </c>
      <c r="G2445" s="91">
        <f>Tabla15[[#This Row],[Importe]]-Tabla15[[#This Row],[Pagado]]</f>
        <v>0</v>
      </c>
      <c r="H2445" s="92" t="s">
        <v>10</v>
      </c>
    </row>
    <row r="2446" spans="1:8" ht="21.75" customHeight="1" x14ac:dyDescent="0.25">
      <c r="A2446" s="35">
        <v>44674</v>
      </c>
      <c r="B2446" s="90" t="s">
        <v>13118</v>
      </c>
      <c r="C2446" s="41" t="s">
        <v>89</v>
      </c>
      <c r="D2446" s="87">
        <v>11403</v>
      </c>
      <c r="E2446" s="35">
        <v>44676</v>
      </c>
      <c r="F2446" s="87">
        <v>11403</v>
      </c>
      <c r="G2446" s="91">
        <f>Tabla15[[#This Row],[Importe]]-Tabla15[[#This Row],[Pagado]]</f>
        <v>0</v>
      </c>
      <c r="H2446" s="92" t="s">
        <v>10</v>
      </c>
    </row>
    <row r="2447" spans="1:8" ht="31.5" x14ac:dyDescent="0.25">
      <c r="A2447" s="35">
        <v>44674</v>
      </c>
      <c r="B2447" s="90" t="s">
        <v>13119</v>
      </c>
      <c r="C2447" s="41" t="s">
        <v>93</v>
      </c>
      <c r="D2447" s="87">
        <v>21535.200000000001</v>
      </c>
      <c r="E2447" s="35" t="s">
        <v>13120</v>
      </c>
      <c r="F2447" s="87">
        <f>16000+5535.2</f>
        <v>21535.200000000001</v>
      </c>
      <c r="G2447" s="91">
        <f>Tabla15[[#This Row],[Importe]]-Tabla15[[#This Row],[Pagado]]</f>
        <v>0</v>
      </c>
      <c r="H2447" s="92" t="s">
        <v>10</v>
      </c>
    </row>
    <row r="2448" spans="1:8" ht="31.5" x14ac:dyDescent="0.25">
      <c r="A2448" s="35">
        <v>44674</v>
      </c>
      <c r="B2448" s="90" t="s">
        <v>13121</v>
      </c>
      <c r="C2448" s="41" t="s">
        <v>99</v>
      </c>
      <c r="D2448" s="87">
        <v>14142.6</v>
      </c>
      <c r="E2448" s="35" t="s">
        <v>13120</v>
      </c>
      <c r="F2448" s="87">
        <f>12600+1542.6</f>
        <v>14142.6</v>
      </c>
      <c r="G2448" s="91">
        <f>Tabla15[[#This Row],[Importe]]-Tabla15[[#This Row],[Pagado]]</f>
        <v>0</v>
      </c>
      <c r="H2448" s="92" t="s">
        <v>10</v>
      </c>
    </row>
    <row r="2449" spans="1:8" ht="21.75" customHeight="1" x14ac:dyDescent="0.25">
      <c r="A2449" s="35">
        <v>44674</v>
      </c>
      <c r="B2449" s="90" t="s">
        <v>13122</v>
      </c>
      <c r="C2449" s="41" t="s">
        <v>289</v>
      </c>
      <c r="D2449" s="87">
        <v>9498.2000000000007</v>
      </c>
      <c r="E2449" s="35">
        <v>44674</v>
      </c>
      <c r="F2449" s="87">
        <v>9498.2000000000007</v>
      </c>
      <c r="G2449" s="91">
        <f>Tabla15[[#This Row],[Importe]]-Tabla15[[#This Row],[Pagado]]</f>
        <v>0</v>
      </c>
      <c r="H2449" s="92" t="s">
        <v>10</v>
      </c>
    </row>
    <row r="2450" spans="1:8" ht="21.75" customHeight="1" x14ac:dyDescent="0.25">
      <c r="A2450" s="35">
        <v>44674</v>
      </c>
      <c r="B2450" s="90" t="s">
        <v>13123</v>
      </c>
      <c r="C2450" s="41" t="s">
        <v>60</v>
      </c>
      <c r="D2450" s="87">
        <v>13870.8</v>
      </c>
      <c r="E2450" s="35">
        <v>44680</v>
      </c>
      <c r="F2450" s="87">
        <v>13870.8</v>
      </c>
      <c r="G2450" s="91">
        <f>Tabla15[[#This Row],[Importe]]-Tabla15[[#This Row],[Pagado]]</f>
        <v>0</v>
      </c>
      <c r="H2450" s="92" t="s">
        <v>10</v>
      </c>
    </row>
    <row r="2451" spans="1:8" ht="21.75" customHeight="1" x14ac:dyDescent="0.25">
      <c r="A2451" s="35">
        <v>44674</v>
      </c>
      <c r="B2451" s="90" t="s">
        <v>13124</v>
      </c>
      <c r="C2451" s="41" t="s">
        <v>105</v>
      </c>
      <c r="D2451" s="87">
        <v>14709.1</v>
      </c>
      <c r="E2451" s="35">
        <v>44677</v>
      </c>
      <c r="F2451" s="87">
        <v>14709.1</v>
      </c>
      <c r="G2451" s="91">
        <f>Tabla15[[#This Row],[Importe]]-Tabla15[[#This Row],[Pagado]]</f>
        <v>0</v>
      </c>
      <c r="H2451" s="92" t="s">
        <v>10</v>
      </c>
    </row>
    <row r="2452" spans="1:8" ht="21.75" customHeight="1" x14ac:dyDescent="0.25">
      <c r="A2452" s="35">
        <v>44674</v>
      </c>
      <c r="B2452" s="90" t="s">
        <v>13125</v>
      </c>
      <c r="C2452" s="41" t="s">
        <v>97</v>
      </c>
      <c r="D2452" s="87">
        <v>22275</v>
      </c>
      <c r="E2452" s="35">
        <v>44676</v>
      </c>
      <c r="F2452" s="87">
        <v>22275</v>
      </c>
      <c r="G2452" s="91">
        <f>Tabla15[[#This Row],[Importe]]-Tabla15[[#This Row],[Pagado]]</f>
        <v>0</v>
      </c>
      <c r="H2452" s="92" t="s">
        <v>10</v>
      </c>
    </row>
    <row r="2453" spans="1:8" ht="31.5" x14ac:dyDescent="0.25">
      <c r="A2453" s="35">
        <v>44674</v>
      </c>
      <c r="B2453" s="90" t="s">
        <v>13126</v>
      </c>
      <c r="C2453" s="41" t="s">
        <v>39</v>
      </c>
      <c r="D2453" s="87">
        <v>33458.1</v>
      </c>
      <c r="E2453" s="35" t="s">
        <v>13127</v>
      </c>
      <c r="F2453" s="87">
        <f>8000+25458.1</f>
        <v>33458.1</v>
      </c>
      <c r="G2453" s="91">
        <f>Tabla15[[#This Row],[Importe]]-Tabla15[[#This Row],[Pagado]]</f>
        <v>0</v>
      </c>
      <c r="H2453" s="92" t="s">
        <v>10</v>
      </c>
    </row>
    <row r="2454" spans="1:8" ht="21.75" customHeight="1" x14ac:dyDescent="0.25">
      <c r="A2454" s="35">
        <v>44674</v>
      </c>
      <c r="B2454" s="90" t="s">
        <v>13128</v>
      </c>
      <c r="C2454" s="41" t="s">
        <v>109</v>
      </c>
      <c r="D2454" s="87">
        <v>4916.3999999999996</v>
      </c>
      <c r="E2454" s="35">
        <v>44676</v>
      </c>
      <c r="F2454" s="87">
        <v>4916.3999999999996</v>
      </c>
      <c r="G2454" s="91">
        <f>Tabla15[[#This Row],[Importe]]-Tabla15[[#This Row],[Pagado]]</f>
        <v>0</v>
      </c>
      <c r="H2454" s="92" t="s">
        <v>10</v>
      </c>
    </row>
    <row r="2455" spans="1:8" ht="21.75" customHeight="1" x14ac:dyDescent="0.25">
      <c r="A2455" s="35">
        <v>44674</v>
      </c>
      <c r="B2455" s="90" t="s">
        <v>13129</v>
      </c>
      <c r="C2455" s="41" t="s">
        <v>2151</v>
      </c>
      <c r="D2455" s="87">
        <v>47044.2</v>
      </c>
      <c r="E2455" s="35">
        <v>44674</v>
      </c>
      <c r="F2455" s="87">
        <v>47044.2</v>
      </c>
      <c r="G2455" s="91">
        <f>Tabla15[[#This Row],[Importe]]-Tabla15[[#This Row],[Pagado]]</f>
        <v>0</v>
      </c>
      <c r="H2455" s="92" t="s">
        <v>10</v>
      </c>
    </row>
    <row r="2456" spans="1:8" ht="21.75" customHeight="1" x14ac:dyDescent="0.25">
      <c r="A2456" s="35">
        <v>44674</v>
      </c>
      <c r="B2456" s="90" t="s">
        <v>13130</v>
      </c>
      <c r="C2456" s="41" t="s">
        <v>114</v>
      </c>
      <c r="D2456" s="87">
        <v>13877.1</v>
      </c>
      <c r="E2456" s="35">
        <v>44676</v>
      </c>
      <c r="F2456" s="87">
        <v>13877.1</v>
      </c>
      <c r="G2456" s="91">
        <f>Tabla15[[#This Row],[Importe]]-Tabla15[[#This Row],[Pagado]]</f>
        <v>0</v>
      </c>
      <c r="H2456" s="92" t="s">
        <v>10</v>
      </c>
    </row>
    <row r="2457" spans="1:8" ht="21.75" customHeight="1" x14ac:dyDescent="0.25">
      <c r="A2457" s="35">
        <v>44674</v>
      </c>
      <c r="B2457" s="90" t="s">
        <v>13131</v>
      </c>
      <c r="C2457" s="41" t="s">
        <v>64</v>
      </c>
      <c r="D2457" s="87">
        <v>13970.3</v>
      </c>
      <c r="E2457" s="35">
        <v>44677</v>
      </c>
      <c r="F2457" s="87">
        <v>13970.3</v>
      </c>
      <c r="G2457" s="91">
        <f>Tabla15[[#This Row],[Importe]]-Tabla15[[#This Row],[Pagado]]</f>
        <v>0</v>
      </c>
      <c r="H2457" s="92" t="s">
        <v>10</v>
      </c>
    </row>
    <row r="2458" spans="1:8" ht="21.75" customHeight="1" x14ac:dyDescent="0.25">
      <c r="A2458" s="35">
        <v>44674</v>
      </c>
      <c r="B2458" s="90" t="s">
        <v>13132</v>
      </c>
      <c r="C2458" s="41" t="s">
        <v>777</v>
      </c>
      <c r="D2458" s="87">
        <v>1945.6</v>
      </c>
      <c r="E2458" s="35">
        <v>44674</v>
      </c>
      <c r="F2458" s="87">
        <v>1945.6</v>
      </c>
      <c r="G2458" s="91">
        <f>Tabla15[[#This Row],[Importe]]-Tabla15[[#This Row],[Pagado]]</f>
        <v>0</v>
      </c>
      <c r="H2458" s="92" t="s">
        <v>10</v>
      </c>
    </row>
    <row r="2459" spans="1:8" ht="21.75" customHeight="1" x14ac:dyDescent="0.25">
      <c r="A2459" s="35">
        <v>44674</v>
      </c>
      <c r="B2459" s="90" t="s">
        <v>13133</v>
      </c>
      <c r="C2459" s="41" t="s">
        <v>24</v>
      </c>
      <c r="D2459" s="87">
        <v>830.9</v>
      </c>
      <c r="E2459" s="35">
        <v>44674</v>
      </c>
      <c r="F2459" s="87">
        <v>830.9</v>
      </c>
      <c r="G2459" s="91">
        <f>Tabla15[[#This Row],[Importe]]-Tabla15[[#This Row],[Pagado]]</f>
        <v>0</v>
      </c>
      <c r="H2459" s="92" t="s">
        <v>10</v>
      </c>
    </row>
    <row r="2460" spans="1:8" ht="21.75" customHeight="1" x14ac:dyDescent="0.25">
      <c r="A2460" s="35">
        <v>44674</v>
      </c>
      <c r="B2460" s="90" t="s">
        <v>13134</v>
      </c>
      <c r="C2460" s="41" t="s">
        <v>62</v>
      </c>
      <c r="D2460" s="87">
        <v>3490.2</v>
      </c>
      <c r="E2460" s="35">
        <v>44674</v>
      </c>
      <c r="F2460" s="87">
        <v>3490.2</v>
      </c>
      <c r="G2460" s="91">
        <f>Tabla15[[#This Row],[Importe]]-Tabla15[[#This Row],[Pagado]]</f>
        <v>0</v>
      </c>
      <c r="H2460" s="92" t="s">
        <v>10</v>
      </c>
    </row>
    <row r="2461" spans="1:8" ht="21.75" customHeight="1" x14ac:dyDescent="0.25">
      <c r="A2461" s="35">
        <v>44674</v>
      </c>
      <c r="B2461" s="90" t="s">
        <v>13135</v>
      </c>
      <c r="C2461" s="41" t="s">
        <v>230</v>
      </c>
      <c r="D2461" s="87">
        <v>1664.6</v>
      </c>
      <c r="E2461" s="35">
        <v>44674</v>
      </c>
      <c r="F2461" s="87">
        <v>1664.6</v>
      </c>
      <c r="G2461" s="91">
        <f>Tabla15[[#This Row],[Importe]]-Tabla15[[#This Row],[Pagado]]</f>
        <v>0</v>
      </c>
      <c r="H2461" s="92" t="s">
        <v>10</v>
      </c>
    </row>
    <row r="2462" spans="1:8" ht="21.75" customHeight="1" x14ac:dyDescent="0.25">
      <c r="A2462" s="35">
        <v>44674</v>
      </c>
      <c r="B2462" s="90" t="s">
        <v>13136</v>
      </c>
      <c r="C2462" s="41" t="s">
        <v>29</v>
      </c>
      <c r="D2462" s="87">
        <v>6455.6</v>
      </c>
      <c r="E2462" s="35">
        <v>44674</v>
      </c>
      <c r="F2462" s="87">
        <v>6455.6</v>
      </c>
      <c r="G2462" s="91">
        <f>Tabla15[[#This Row],[Importe]]-Tabla15[[#This Row],[Pagado]]</f>
        <v>0</v>
      </c>
      <c r="H2462" s="92" t="s">
        <v>10</v>
      </c>
    </row>
    <row r="2463" spans="1:8" ht="21.75" customHeight="1" x14ac:dyDescent="0.25">
      <c r="A2463" s="35">
        <v>44674</v>
      </c>
      <c r="B2463" s="90" t="s">
        <v>13137</v>
      </c>
      <c r="C2463" s="41" t="s">
        <v>89</v>
      </c>
      <c r="D2463" s="87">
        <v>1499.4</v>
      </c>
      <c r="E2463" s="35">
        <v>44674</v>
      </c>
      <c r="F2463" s="87">
        <v>1499.4</v>
      </c>
      <c r="G2463" s="91">
        <f>Tabla15[[#This Row],[Importe]]-Tabla15[[#This Row],[Pagado]]</f>
        <v>0</v>
      </c>
      <c r="H2463" s="92" t="s">
        <v>10</v>
      </c>
    </row>
    <row r="2464" spans="1:8" ht="21.75" customHeight="1" x14ac:dyDescent="0.25">
      <c r="A2464" s="35">
        <v>44674</v>
      </c>
      <c r="B2464" s="90" t="s">
        <v>13138</v>
      </c>
      <c r="C2464" s="41" t="s">
        <v>140</v>
      </c>
      <c r="D2464" s="87">
        <v>3805.8</v>
      </c>
      <c r="E2464" s="35">
        <v>44674</v>
      </c>
      <c r="F2464" s="87">
        <v>3805.8</v>
      </c>
      <c r="G2464" s="91">
        <f>Tabla15[[#This Row],[Importe]]-Tabla15[[#This Row],[Pagado]]</f>
        <v>0</v>
      </c>
      <c r="H2464" s="92" t="s">
        <v>10</v>
      </c>
    </row>
    <row r="2465" spans="1:8" ht="21.75" customHeight="1" x14ac:dyDescent="0.25">
      <c r="A2465" s="35">
        <v>44674</v>
      </c>
      <c r="B2465" s="90" t="s">
        <v>13139</v>
      </c>
      <c r="C2465" s="41" t="s">
        <v>129</v>
      </c>
      <c r="D2465" s="87">
        <v>5392.7</v>
      </c>
      <c r="E2465" s="35">
        <v>44674</v>
      </c>
      <c r="F2465" s="87">
        <v>5392.7</v>
      </c>
      <c r="G2465" s="91">
        <f>Tabla15[[#This Row],[Importe]]-Tabla15[[#This Row],[Pagado]]</f>
        <v>0</v>
      </c>
      <c r="H2465" s="92" t="s">
        <v>10</v>
      </c>
    </row>
    <row r="2466" spans="1:8" ht="21.75" customHeight="1" x14ac:dyDescent="0.25">
      <c r="A2466" s="35">
        <v>44674</v>
      </c>
      <c r="B2466" s="90" t="s">
        <v>13140</v>
      </c>
      <c r="C2466" s="41" t="s">
        <v>56</v>
      </c>
      <c r="D2466" s="87">
        <v>6753.6</v>
      </c>
      <c r="E2466" s="35">
        <v>44674</v>
      </c>
      <c r="F2466" s="87">
        <v>6753.6</v>
      </c>
      <c r="G2466" s="91">
        <f>Tabla15[[#This Row],[Importe]]-Tabla15[[#This Row],[Pagado]]</f>
        <v>0</v>
      </c>
      <c r="H2466" s="92" t="s">
        <v>10</v>
      </c>
    </row>
    <row r="2467" spans="1:8" ht="21.75" customHeight="1" x14ac:dyDescent="0.25">
      <c r="A2467" s="35">
        <v>44674</v>
      </c>
      <c r="B2467" s="90" t="s">
        <v>13141</v>
      </c>
      <c r="C2467" s="41" t="s">
        <v>698</v>
      </c>
      <c r="D2467" s="87">
        <v>4599</v>
      </c>
      <c r="E2467" s="35">
        <v>44674</v>
      </c>
      <c r="F2467" s="87">
        <v>4599</v>
      </c>
      <c r="G2467" s="91">
        <f>Tabla15[[#This Row],[Importe]]-Tabla15[[#This Row],[Pagado]]</f>
        <v>0</v>
      </c>
      <c r="H2467" s="92" t="s">
        <v>10</v>
      </c>
    </row>
    <row r="2468" spans="1:8" ht="21.75" customHeight="1" x14ac:dyDescent="0.25">
      <c r="A2468" s="35">
        <v>44674</v>
      </c>
      <c r="B2468" s="90" t="s">
        <v>13142</v>
      </c>
      <c r="C2468" s="41" t="s">
        <v>45</v>
      </c>
      <c r="D2468" s="87">
        <v>12832.2</v>
      </c>
      <c r="E2468" s="35">
        <v>44674</v>
      </c>
      <c r="F2468" s="87">
        <v>12832.2</v>
      </c>
      <c r="G2468" s="91">
        <f>Tabla15[[#This Row],[Importe]]-Tabla15[[#This Row],[Pagado]]</f>
        <v>0</v>
      </c>
      <c r="H2468" s="92" t="s">
        <v>10</v>
      </c>
    </row>
    <row r="2469" spans="1:8" ht="21.75" customHeight="1" x14ac:dyDescent="0.25">
      <c r="A2469" s="35">
        <v>44674</v>
      </c>
      <c r="B2469" s="90" t="s">
        <v>13143</v>
      </c>
      <c r="C2469" s="41" t="s">
        <v>127</v>
      </c>
      <c r="D2469" s="87">
        <v>4639.7</v>
      </c>
      <c r="E2469" s="35">
        <v>44674</v>
      </c>
      <c r="F2469" s="87">
        <v>4639.7</v>
      </c>
      <c r="G2469" s="91">
        <f>Tabla15[[#This Row],[Importe]]-Tabla15[[#This Row],[Pagado]]</f>
        <v>0</v>
      </c>
      <c r="H2469" s="92" t="s">
        <v>10</v>
      </c>
    </row>
    <row r="2470" spans="1:8" ht="21.75" customHeight="1" x14ac:dyDescent="0.25">
      <c r="A2470" s="35">
        <v>44674</v>
      </c>
      <c r="B2470" s="90" t="s">
        <v>13144</v>
      </c>
      <c r="C2470" s="41" t="s">
        <v>4136</v>
      </c>
      <c r="D2470" s="87">
        <v>2415.4</v>
      </c>
      <c r="E2470" s="35">
        <v>44674</v>
      </c>
      <c r="F2470" s="87">
        <v>2415.4</v>
      </c>
      <c r="G2470" s="91">
        <f>Tabla15[[#This Row],[Importe]]-Tabla15[[#This Row],[Pagado]]</f>
        <v>0</v>
      </c>
      <c r="H2470" s="92" t="s">
        <v>10</v>
      </c>
    </row>
    <row r="2471" spans="1:8" ht="21.75" customHeight="1" x14ac:dyDescent="0.25">
      <c r="A2471" s="35">
        <v>44674</v>
      </c>
      <c r="B2471" s="90" t="s">
        <v>13145</v>
      </c>
      <c r="C2471" s="41" t="s">
        <v>339</v>
      </c>
      <c r="D2471" s="87">
        <v>560.5</v>
      </c>
      <c r="E2471" s="35">
        <v>44674</v>
      </c>
      <c r="F2471" s="87">
        <v>560.5</v>
      </c>
      <c r="G2471" s="91">
        <f>Tabla15[[#This Row],[Importe]]-Tabla15[[#This Row],[Pagado]]</f>
        <v>0</v>
      </c>
      <c r="H2471" s="92" t="s">
        <v>10</v>
      </c>
    </row>
    <row r="2472" spans="1:8" ht="21.75" customHeight="1" x14ac:dyDescent="0.25">
      <c r="A2472" s="35">
        <v>44674</v>
      </c>
      <c r="B2472" s="90" t="s">
        <v>13146</v>
      </c>
      <c r="C2472" s="41" t="s">
        <v>664</v>
      </c>
      <c r="D2472" s="87">
        <v>1761.3</v>
      </c>
      <c r="E2472" s="35">
        <v>44674</v>
      </c>
      <c r="F2472" s="87">
        <v>1761.3</v>
      </c>
      <c r="G2472" s="91">
        <f>Tabla15[[#This Row],[Importe]]-Tabla15[[#This Row],[Pagado]]</f>
        <v>0</v>
      </c>
      <c r="H2472" s="92" t="s">
        <v>10</v>
      </c>
    </row>
    <row r="2473" spans="1:8" ht="21.75" customHeight="1" x14ac:dyDescent="0.25">
      <c r="A2473" s="35">
        <v>44674</v>
      </c>
      <c r="B2473" s="90" t="s">
        <v>13147</v>
      </c>
      <c r="C2473" s="41" t="s">
        <v>87</v>
      </c>
      <c r="D2473" s="87">
        <v>3002</v>
      </c>
      <c r="E2473" s="35">
        <v>44674</v>
      </c>
      <c r="F2473" s="87">
        <v>3002</v>
      </c>
      <c r="G2473" s="91">
        <f>Tabla15[[#This Row],[Importe]]-Tabla15[[#This Row],[Pagado]]</f>
        <v>0</v>
      </c>
      <c r="H2473" s="92" t="s">
        <v>10</v>
      </c>
    </row>
    <row r="2474" spans="1:8" ht="21.75" customHeight="1" x14ac:dyDescent="0.25">
      <c r="A2474" s="35">
        <v>44674</v>
      </c>
      <c r="B2474" s="90" t="s">
        <v>13148</v>
      </c>
      <c r="C2474" s="41" t="s">
        <v>314</v>
      </c>
      <c r="D2474" s="87">
        <v>4263</v>
      </c>
      <c r="E2474" s="35">
        <v>44674</v>
      </c>
      <c r="F2474" s="87">
        <v>4263</v>
      </c>
      <c r="G2474" s="91">
        <f>Tabla15[[#This Row],[Importe]]-Tabla15[[#This Row],[Pagado]]</f>
        <v>0</v>
      </c>
      <c r="H2474" s="92" t="s">
        <v>10</v>
      </c>
    </row>
    <row r="2475" spans="1:8" ht="21.75" customHeight="1" x14ac:dyDescent="0.25">
      <c r="A2475" s="35">
        <v>44674</v>
      </c>
      <c r="B2475" s="90" t="s">
        <v>13149</v>
      </c>
      <c r="C2475" s="41" t="s">
        <v>12202</v>
      </c>
      <c r="D2475" s="87">
        <v>4900</v>
      </c>
      <c r="E2475" s="35">
        <v>44674</v>
      </c>
      <c r="F2475" s="87">
        <v>4900</v>
      </c>
      <c r="G2475" s="91">
        <f>Tabla15[[#This Row],[Importe]]-Tabla15[[#This Row],[Pagado]]</f>
        <v>0</v>
      </c>
      <c r="H2475" s="92" t="s">
        <v>10</v>
      </c>
    </row>
    <row r="2476" spans="1:8" ht="21.75" customHeight="1" x14ac:dyDescent="0.25">
      <c r="A2476" s="35">
        <v>44674</v>
      </c>
      <c r="B2476" s="90" t="s">
        <v>13150</v>
      </c>
      <c r="C2476" s="41" t="s">
        <v>2020</v>
      </c>
      <c r="D2476" s="87">
        <v>1633.5</v>
      </c>
      <c r="E2476" s="35">
        <v>44674</v>
      </c>
      <c r="F2476" s="87">
        <v>1633.5</v>
      </c>
      <c r="G2476" s="91">
        <f>Tabla15[[#This Row],[Importe]]-Tabla15[[#This Row],[Pagado]]</f>
        <v>0</v>
      </c>
      <c r="H2476" s="92" t="s">
        <v>10</v>
      </c>
    </row>
    <row r="2477" spans="1:8" ht="21.75" customHeight="1" x14ac:dyDescent="0.25">
      <c r="A2477" s="35">
        <v>44674</v>
      </c>
      <c r="B2477" s="90" t="s">
        <v>13151</v>
      </c>
      <c r="C2477" s="41" t="s">
        <v>83</v>
      </c>
      <c r="D2477" s="87">
        <v>4288.3999999999996</v>
      </c>
      <c r="E2477" s="35">
        <v>44674</v>
      </c>
      <c r="F2477" s="87">
        <v>4288.3999999999996</v>
      </c>
      <c r="G2477" s="91">
        <f>Tabla15[[#This Row],[Importe]]-Tabla15[[#This Row],[Pagado]]</f>
        <v>0</v>
      </c>
      <c r="H2477" s="92" t="s">
        <v>10</v>
      </c>
    </row>
    <row r="2478" spans="1:8" ht="21.75" customHeight="1" x14ac:dyDescent="0.25">
      <c r="A2478" s="35">
        <v>44674</v>
      </c>
      <c r="B2478" s="90" t="s">
        <v>13152</v>
      </c>
      <c r="C2478" s="41" t="s">
        <v>146</v>
      </c>
      <c r="D2478" s="87">
        <v>9918</v>
      </c>
      <c r="E2478" s="35">
        <v>44674</v>
      </c>
      <c r="F2478" s="87">
        <v>9918</v>
      </c>
      <c r="G2478" s="91">
        <f>Tabla15[[#This Row],[Importe]]-Tabla15[[#This Row],[Pagado]]</f>
        <v>0</v>
      </c>
      <c r="H2478" s="92" t="s">
        <v>10</v>
      </c>
    </row>
    <row r="2479" spans="1:8" ht="21.75" customHeight="1" x14ac:dyDescent="0.25">
      <c r="A2479" s="35">
        <v>44674</v>
      </c>
      <c r="B2479" s="90" t="s">
        <v>13153</v>
      </c>
      <c r="C2479" s="41" t="s">
        <v>31</v>
      </c>
      <c r="D2479" s="87">
        <v>974.4</v>
      </c>
      <c r="E2479" s="35">
        <v>44674</v>
      </c>
      <c r="F2479" s="87">
        <v>974.4</v>
      </c>
      <c r="G2479" s="91">
        <f>Tabla15[[#This Row],[Importe]]-Tabla15[[#This Row],[Pagado]]</f>
        <v>0</v>
      </c>
      <c r="H2479" s="92" t="s">
        <v>10</v>
      </c>
    </row>
    <row r="2480" spans="1:8" ht="31.5" x14ac:dyDescent="0.25">
      <c r="A2480" s="35">
        <v>44674</v>
      </c>
      <c r="B2480" s="90" t="s">
        <v>13154</v>
      </c>
      <c r="C2480" s="41" t="s">
        <v>142</v>
      </c>
      <c r="D2480" s="87">
        <v>62762.55</v>
      </c>
      <c r="E2480" s="35" t="s">
        <v>17781</v>
      </c>
      <c r="F2480" s="87">
        <f>50646.16+12116.39</f>
        <v>62762.55</v>
      </c>
      <c r="G2480" s="91">
        <f>Tabla15[[#This Row],[Importe]]-Tabla15[[#This Row],[Pagado]]</f>
        <v>0</v>
      </c>
      <c r="H2480" s="92" t="s">
        <v>4814</v>
      </c>
    </row>
    <row r="2481" spans="1:8" ht="31.5" x14ac:dyDescent="0.25">
      <c r="A2481" s="35">
        <v>44674</v>
      </c>
      <c r="B2481" s="90" t="s">
        <v>13155</v>
      </c>
      <c r="C2481" s="41" t="s">
        <v>11506</v>
      </c>
      <c r="D2481" s="87">
        <v>0</v>
      </c>
      <c r="E2481" s="39" t="s">
        <v>189</v>
      </c>
      <c r="F2481" s="87">
        <v>0</v>
      </c>
      <c r="G2481" s="91">
        <f>Tabla15[[#This Row],[Importe]]-Tabla15[[#This Row],[Pagado]]</f>
        <v>0</v>
      </c>
      <c r="H2481" s="92" t="s">
        <v>189</v>
      </c>
    </row>
    <row r="2482" spans="1:8" ht="21.75" customHeight="1" x14ac:dyDescent="0.25">
      <c r="A2482" s="35">
        <v>44674</v>
      </c>
      <c r="B2482" s="90" t="s">
        <v>13156</v>
      </c>
      <c r="C2482" s="41" t="s">
        <v>149</v>
      </c>
      <c r="D2482" s="87">
        <v>2376.4</v>
      </c>
      <c r="E2482" s="35">
        <v>44674</v>
      </c>
      <c r="F2482" s="87">
        <v>2376.4</v>
      </c>
      <c r="G2482" s="91">
        <f>Tabla15[[#This Row],[Importe]]-Tabla15[[#This Row],[Pagado]]</f>
        <v>0</v>
      </c>
      <c r="H2482" s="92" t="s">
        <v>10</v>
      </c>
    </row>
    <row r="2483" spans="1:8" ht="21.75" customHeight="1" x14ac:dyDescent="0.25">
      <c r="A2483" s="35">
        <v>44674</v>
      </c>
      <c r="B2483" s="90" t="s">
        <v>13157</v>
      </c>
      <c r="C2483" s="41" t="s">
        <v>233</v>
      </c>
      <c r="D2483" s="87">
        <v>5278</v>
      </c>
      <c r="E2483" s="35">
        <v>44674</v>
      </c>
      <c r="F2483" s="87">
        <v>5278</v>
      </c>
      <c r="G2483" s="91">
        <f>Tabla15[[#This Row],[Importe]]-Tabla15[[#This Row],[Pagado]]</f>
        <v>0</v>
      </c>
      <c r="H2483" s="92" t="s">
        <v>10</v>
      </c>
    </row>
    <row r="2484" spans="1:8" ht="21.75" customHeight="1" x14ac:dyDescent="0.25">
      <c r="A2484" s="35">
        <v>44674</v>
      </c>
      <c r="B2484" s="90" t="s">
        <v>13158</v>
      </c>
      <c r="C2484" s="41" t="s">
        <v>31</v>
      </c>
      <c r="D2484" s="87">
        <v>1015</v>
      </c>
      <c r="E2484" s="35">
        <v>44674</v>
      </c>
      <c r="F2484" s="87">
        <v>1015</v>
      </c>
      <c r="G2484" s="91">
        <f>Tabla15[[#This Row],[Importe]]-Tabla15[[#This Row],[Pagado]]</f>
        <v>0</v>
      </c>
      <c r="H2484" s="92" t="s">
        <v>10</v>
      </c>
    </row>
    <row r="2485" spans="1:8" ht="21.75" customHeight="1" x14ac:dyDescent="0.25">
      <c r="A2485" s="35">
        <v>44674</v>
      </c>
      <c r="B2485" s="90" t="s">
        <v>13159</v>
      </c>
      <c r="C2485" s="41" t="s">
        <v>261</v>
      </c>
      <c r="D2485" s="87">
        <v>48926.1</v>
      </c>
      <c r="E2485" s="35">
        <v>44674</v>
      </c>
      <c r="F2485" s="87">
        <v>48926.1</v>
      </c>
      <c r="G2485" s="91">
        <f>Tabla15[[#This Row],[Importe]]-Tabla15[[#This Row],[Pagado]]</f>
        <v>0</v>
      </c>
      <c r="H2485" s="92" t="s">
        <v>10</v>
      </c>
    </row>
    <row r="2486" spans="1:8" ht="21.75" customHeight="1" x14ac:dyDescent="0.25">
      <c r="A2486" s="35">
        <v>44674</v>
      </c>
      <c r="B2486" s="90" t="s">
        <v>13160</v>
      </c>
      <c r="C2486" s="41" t="s">
        <v>31</v>
      </c>
      <c r="D2486" s="87">
        <v>4757.3999999999996</v>
      </c>
      <c r="E2486" s="35">
        <v>44674</v>
      </c>
      <c r="F2486" s="87">
        <v>4757.3999999999996</v>
      </c>
      <c r="G2486" s="91">
        <f>Tabla15[[#This Row],[Importe]]-Tabla15[[#This Row],[Pagado]]</f>
        <v>0</v>
      </c>
      <c r="H2486" s="92" t="s">
        <v>10</v>
      </c>
    </row>
    <row r="2487" spans="1:8" ht="21.75" customHeight="1" x14ac:dyDescent="0.25">
      <c r="A2487" s="35">
        <v>44674</v>
      </c>
      <c r="B2487" s="90" t="s">
        <v>13161</v>
      </c>
      <c r="C2487" s="41" t="s">
        <v>107</v>
      </c>
      <c r="D2487" s="87">
        <v>19675.7</v>
      </c>
      <c r="E2487" s="35">
        <v>44674</v>
      </c>
      <c r="F2487" s="87">
        <v>19675.7</v>
      </c>
      <c r="G2487" s="91">
        <f>Tabla15[[#This Row],[Importe]]-Tabla15[[#This Row],[Pagado]]</f>
        <v>0</v>
      </c>
      <c r="H2487" s="92" t="s">
        <v>10</v>
      </c>
    </row>
    <row r="2488" spans="1:8" ht="21.75" customHeight="1" x14ac:dyDescent="0.25">
      <c r="A2488" s="35">
        <v>44674</v>
      </c>
      <c r="B2488" s="90" t="s">
        <v>13162</v>
      </c>
      <c r="C2488" s="41" t="s">
        <v>419</v>
      </c>
      <c r="D2488" s="87">
        <v>9823.48</v>
      </c>
      <c r="E2488" s="35">
        <v>44674</v>
      </c>
      <c r="F2488" s="87">
        <v>9823.48</v>
      </c>
      <c r="G2488" s="91">
        <f>Tabla15[[#This Row],[Importe]]-Tabla15[[#This Row],[Pagado]]</f>
        <v>0</v>
      </c>
      <c r="H2488" s="92" t="s">
        <v>10</v>
      </c>
    </row>
    <row r="2489" spans="1:8" ht="21.75" customHeight="1" x14ac:dyDescent="0.25">
      <c r="A2489" s="35">
        <v>44674</v>
      </c>
      <c r="B2489" s="90" t="s">
        <v>13163</v>
      </c>
      <c r="C2489" s="41" t="s">
        <v>275</v>
      </c>
      <c r="D2489" s="87">
        <v>106320.36</v>
      </c>
      <c r="E2489" s="35">
        <v>44687</v>
      </c>
      <c r="F2489" s="87">
        <v>106320.36</v>
      </c>
      <c r="G2489" s="91">
        <f>Tabla15[[#This Row],[Importe]]-Tabla15[[#This Row],[Pagado]]</f>
        <v>0</v>
      </c>
      <c r="H2489" s="92" t="s">
        <v>10</v>
      </c>
    </row>
    <row r="2490" spans="1:8" ht="21.75" customHeight="1" x14ac:dyDescent="0.25">
      <c r="A2490" s="35">
        <v>44674</v>
      </c>
      <c r="B2490" s="90" t="s">
        <v>13164</v>
      </c>
      <c r="C2490" s="41" t="s">
        <v>31</v>
      </c>
      <c r="D2490" s="87">
        <v>1124.8</v>
      </c>
      <c r="E2490" s="35">
        <v>44674</v>
      </c>
      <c r="F2490" s="87">
        <v>1124.8</v>
      </c>
      <c r="G2490" s="91">
        <f>Tabla15[[#This Row],[Importe]]-Tabla15[[#This Row],[Pagado]]</f>
        <v>0</v>
      </c>
      <c r="H2490" s="92" t="s">
        <v>10</v>
      </c>
    </row>
    <row r="2491" spans="1:8" ht="21.75" customHeight="1" x14ac:dyDescent="0.25">
      <c r="A2491" s="35">
        <v>44674</v>
      </c>
      <c r="B2491" s="90" t="s">
        <v>13165</v>
      </c>
      <c r="C2491" s="41" t="s">
        <v>319</v>
      </c>
      <c r="D2491" s="87">
        <v>13553.5</v>
      </c>
      <c r="E2491" s="35">
        <v>44675</v>
      </c>
      <c r="F2491" s="87">
        <v>13553.5</v>
      </c>
      <c r="G2491" s="91">
        <f>Tabla15[[#This Row],[Importe]]-Tabla15[[#This Row],[Pagado]]</f>
        <v>0</v>
      </c>
      <c r="H2491" s="92" t="s">
        <v>10</v>
      </c>
    </row>
    <row r="2492" spans="1:8" ht="21.75" customHeight="1" x14ac:dyDescent="0.25">
      <c r="A2492" s="35">
        <v>44674</v>
      </c>
      <c r="B2492" s="90" t="s">
        <v>13166</v>
      </c>
      <c r="C2492" s="41" t="s">
        <v>69</v>
      </c>
      <c r="D2492" s="87">
        <v>2378</v>
      </c>
      <c r="E2492" s="35">
        <v>44674</v>
      </c>
      <c r="F2492" s="87">
        <v>2378</v>
      </c>
      <c r="G2492" s="91">
        <f>Tabla15[[#This Row],[Importe]]-Tabla15[[#This Row],[Pagado]]</f>
        <v>0</v>
      </c>
      <c r="H2492" s="92" t="s">
        <v>10</v>
      </c>
    </row>
    <row r="2493" spans="1:8" ht="21.75" customHeight="1" x14ac:dyDescent="0.25">
      <c r="A2493" s="35">
        <v>44674</v>
      </c>
      <c r="B2493" s="90" t="s">
        <v>13167</v>
      </c>
      <c r="C2493" s="41" t="s">
        <v>157</v>
      </c>
      <c r="D2493" s="87">
        <v>5832.6</v>
      </c>
      <c r="E2493" s="35">
        <v>44675</v>
      </c>
      <c r="F2493" s="87">
        <v>5832.6</v>
      </c>
      <c r="G2493" s="91">
        <f>Tabla15[[#This Row],[Importe]]-Tabla15[[#This Row],[Pagado]]</f>
        <v>0</v>
      </c>
      <c r="H2493" s="92" t="s">
        <v>10</v>
      </c>
    </row>
    <row r="2494" spans="1:8" ht="21.75" customHeight="1" x14ac:dyDescent="0.25">
      <c r="A2494" s="35">
        <v>44674</v>
      </c>
      <c r="B2494" s="90" t="s">
        <v>13168</v>
      </c>
      <c r="C2494" s="41" t="s">
        <v>31</v>
      </c>
      <c r="D2494" s="87">
        <v>666.8</v>
      </c>
      <c r="E2494" s="35">
        <v>44674</v>
      </c>
      <c r="F2494" s="87">
        <v>666.8</v>
      </c>
      <c r="G2494" s="91">
        <f>Tabla15[[#This Row],[Importe]]-Tabla15[[#This Row],[Pagado]]</f>
        <v>0</v>
      </c>
      <c r="H2494" s="92" t="s">
        <v>10</v>
      </c>
    </row>
    <row r="2495" spans="1:8" ht="21.75" customHeight="1" x14ac:dyDescent="0.25">
      <c r="A2495" s="35">
        <v>44674</v>
      </c>
      <c r="B2495" s="90" t="s">
        <v>13169</v>
      </c>
      <c r="C2495" s="41" t="s">
        <v>53</v>
      </c>
      <c r="D2495" s="87">
        <v>4277.7</v>
      </c>
      <c r="E2495" s="35">
        <v>44674</v>
      </c>
      <c r="F2495" s="87">
        <v>4277.7</v>
      </c>
      <c r="G2495" s="91">
        <f>Tabla15[[#This Row],[Importe]]-Tabla15[[#This Row],[Pagado]]</f>
        <v>0</v>
      </c>
      <c r="H2495" s="92" t="s">
        <v>10</v>
      </c>
    </row>
    <row r="2496" spans="1:8" ht="21.75" customHeight="1" x14ac:dyDescent="0.25">
      <c r="A2496" s="35">
        <v>44674</v>
      </c>
      <c r="B2496" s="90" t="s">
        <v>13170</v>
      </c>
      <c r="C2496" s="41" t="s">
        <v>380</v>
      </c>
      <c r="D2496" s="87">
        <v>12195</v>
      </c>
      <c r="E2496" s="35">
        <v>44675</v>
      </c>
      <c r="F2496" s="87">
        <v>12195</v>
      </c>
      <c r="G2496" s="91">
        <f>Tabla15[[#This Row],[Importe]]-Tabla15[[#This Row],[Pagado]]</f>
        <v>0</v>
      </c>
      <c r="H2496" s="92" t="s">
        <v>10</v>
      </c>
    </row>
    <row r="2497" spans="1:8" ht="31.5" x14ac:dyDescent="0.25">
      <c r="A2497" s="35">
        <v>44674</v>
      </c>
      <c r="B2497" s="90" t="s">
        <v>13171</v>
      </c>
      <c r="C2497" s="41" t="s">
        <v>670</v>
      </c>
      <c r="D2497" s="87">
        <v>3849.1</v>
      </c>
      <c r="E2497" s="35" t="s">
        <v>14074</v>
      </c>
      <c r="F2497" s="87">
        <f>3500+349.1</f>
        <v>3849.1</v>
      </c>
      <c r="G2497" s="91">
        <f>Tabla15[[#This Row],[Importe]]-Tabla15[[#This Row],[Pagado]]</f>
        <v>0</v>
      </c>
      <c r="H2497" s="92" t="s">
        <v>1695</v>
      </c>
    </row>
    <row r="2498" spans="1:8" ht="21.75" customHeight="1" x14ac:dyDescent="0.25">
      <c r="A2498" s="35">
        <v>44674</v>
      </c>
      <c r="B2498" s="90" t="s">
        <v>13172</v>
      </c>
      <c r="C2498" s="41" t="s">
        <v>67</v>
      </c>
      <c r="D2498" s="87">
        <v>2391.5</v>
      </c>
      <c r="E2498" s="35">
        <v>44674</v>
      </c>
      <c r="F2498" s="87">
        <v>2391.5</v>
      </c>
      <c r="G2498" s="91">
        <f>Tabla15[[#This Row],[Importe]]-Tabla15[[#This Row],[Pagado]]</f>
        <v>0</v>
      </c>
      <c r="H2498" s="92" t="s">
        <v>10</v>
      </c>
    </row>
    <row r="2499" spans="1:8" ht="21.75" customHeight="1" x14ac:dyDescent="0.25">
      <c r="A2499" s="35">
        <v>44674</v>
      </c>
      <c r="B2499" s="90" t="s">
        <v>13173</v>
      </c>
      <c r="C2499" s="41" t="s">
        <v>58</v>
      </c>
      <c r="D2499" s="87">
        <v>6502.5</v>
      </c>
      <c r="E2499" s="35">
        <v>44674</v>
      </c>
      <c r="F2499" s="87">
        <v>6502.5</v>
      </c>
      <c r="G2499" s="91">
        <f>Tabla15[[#This Row],[Importe]]-Tabla15[[#This Row],[Pagado]]</f>
        <v>0</v>
      </c>
      <c r="H2499" s="92" t="s">
        <v>10</v>
      </c>
    </row>
    <row r="2500" spans="1:8" ht="21.75" customHeight="1" x14ac:dyDescent="0.25">
      <c r="A2500" s="35">
        <v>44674</v>
      </c>
      <c r="B2500" s="90" t="s">
        <v>13174</v>
      </c>
      <c r="C2500" s="41" t="s">
        <v>520</v>
      </c>
      <c r="D2500" s="87">
        <v>13135</v>
      </c>
      <c r="E2500" s="35">
        <v>44675</v>
      </c>
      <c r="F2500" s="87">
        <v>13135</v>
      </c>
      <c r="G2500" s="91">
        <f>Tabla15[[#This Row],[Importe]]-Tabla15[[#This Row],[Pagado]]</f>
        <v>0</v>
      </c>
      <c r="H2500" s="92" t="s">
        <v>10</v>
      </c>
    </row>
    <row r="2501" spans="1:8" ht="21.75" customHeight="1" x14ac:dyDescent="0.25">
      <c r="A2501" s="35">
        <v>44674</v>
      </c>
      <c r="B2501" s="90" t="s">
        <v>13175</v>
      </c>
      <c r="C2501" s="41" t="s">
        <v>518</v>
      </c>
      <c r="D2501" s="87">
        <v>1258.5999999999999</v>
      </c>
      <c r="E2501" s="35">
        <v>44675</v>
      </c>
      <c r="F2501" s="87">
        <v>1258.5999999999999</v>
      </c>
      <c r="G2501" s="91">
        <f>Tabla15[[#This Row],[Importe]]-Tabla15[[#This Row],[Pagado]]</f>
        <v>0</v>
      </c>
      <c r="H2501" s="92" t="s">
        <v>10</v>
      </c>
    </row>
    <row r="2502" spans="1:8" ht="21.75" customHeight="1" x14ac:dyDescent="0.25">
      <c r="A2502" s="35">
        <v>44674</v>
      </c>
      <c r="B2502" s="90" t="s">
        <v>13176</v>
      </c>
      <c r="C2502" s="41" t="s">
        <v>157</v>
      </c>
      <c r="D2502" s="87">
        <v>931.8</v>
      </c>
      <c r="E2502" s="35">
        <v>44675</v>
      </c>
      <c r="F2502" s="87">
        <v>931.8</v>
      </c>
      <c r="G2502" s="91">
        <f>Tabla15[[#This Row],[Importe]]-Tabla15[[#This Row],[Pagado]]</f>
        <v>0</v>
      </c>
      <c r="H2502" s="92" t="s">
        <v>10</v>
      </c>
    </row>
    <row r="2503" spans="1:8" ht="21.75" customHeight="1" x14ac:dyDescent="0.25">
      <c r="A2503" s="35">
        <v>44674</v>
      </c>
      <c r="B2503" s="90" t="s">
        <v>13177</v>
      </c>
      <c r="C2503" s="41" t="s">
        <v>151</v>
      </c>
      <c r="D2503" s="87">
        <v>13227.5</v>
      </c>
      <c r="E2503" s="35">
        <v>44675</v>
      </c>
      <c r="F2503" s="87">
        <v>13227.5</v>
      </c>
      <c r="G2503" s="91">
        <f>Tabla15[[#This Row],[Importe]]-Tabla15[[#This Row],[Pagado]]</f>
        <v>0</v>
      </c>
      <c r="H2503" s="92" t="s">
        <v>10</v>
      </c>
    </row>
    <row r="2504" spans="1:8" ht="21.75" customHeight="1" x14ac:dyDescent="0.25">
      <c r="A2504" s="35">
        <v>44674</v>
      </c>
      <c r="B2504" s="90" t="s">
        <v>13178</v>
      </c>
      <c r="C2504" s="41" t="s">
        <v>520</v>
      </c>
      <c r="D2504" s="87">
        <v>3781.6</v>
      </c>
      <c r="E2504" s="35">
        <v>44675</v>
      </c>
      <c r="F2504" s="87">
        <v>3781.6</v>
      </c>
      <c r="G2504" s="91">
        <f>Tabla15[[#This Row],[Importe]]-Tabla15[[#This Row],[Pagado]]</f>
        <v>0</v>
      </c>
      <c r="H2504" s="92" t="s">
        <v>10</v>
      </c>
    </row>
    <row r="2505" spans="1:8" ht="21.75" customHeight="1" x14ac:dyDescent="0.25">
      <c r="A2505" s="35">
        <v>44674</v>
      </c>
      <c r="B2505" s="90" t="s">
        <v>13179</v>
      </c>
      <c r="C2505" s="41" t="s">
        <v>159</v>
      </c>
      <c r="D2505" s="87">
        <v>4205</v>
      </c>
      <c r="E2505" s="35">
        <v>44674</v>
      </c>
      <c r="F2505" s="87">
        <v>4205</v>
      </c>
      <c r="G2505" s="91">
        <f>Tabla15[[#This Row],[Importe]]-Tabla15[[#This Row],[Pagado]]</f>
        <v>0</v>
      </c>
      <c r="H2505" s="92" t="s">
        <v>10</v>
      </c>
    </row>
    <row r="2506" spans="1:8" ht="21.75" customHeight="1" x14ac:dyDescent="0.25">
      <c r="A2506" s="35">
        <v>44674</v>
      </c>
      <c r="B2506" s="90" t="s">
        <v>13180</v>
      </c>
      <c r="C2506" s="41" t="s">
        <v>244</v>
      </c>
      <c r="D2506" s="87">
        <v>1399.5</v>
      </c>
      <c r="E2506" s="35">
        <v>44674</v>
      </c>
      <c r="F2506" s="87">
        <v>1399.5</v>
      </c>
      <c r="G2506" s="91">
        <f>Tabla15[[#This Row],[Importe]]-Tabla15[[#This Row],[Pagado]]</f>
        <v>0</v>
      </c>
      <c r="H2506" s="92" t="s">
        <v>10</v>
      </c>
    </row>
    <row r="2507" spans="1:8" ht="21.75" customHeight="1" x14ac:dyDescent="0.25">
      <c r="A2507" s="35">
        <v>44674</v>
      </c>
      <c r="B2507" s="90" t="s">
        <v>13181</v>
      </c>
      <c r="C2507" s="41" t="s">
        <v>181</v>
      </c>
      <c r="D2507" s="87">
        <v>16219.6</v>
      </c>
      <c r="E2507" s="35">
        <v>44674</v>
      </c>
      <c r="F2507" s="87">
        <v>16219.6</v>
      </c>
      <c r="G2507" s="91">
        <f>Tabla15[[#This Row],[Importe]]-Tabla15[[#This Row],[Pagado]]</f>
        <v>0</v>
      </c>
      <c r="H2507" s="92" t="s">
        <v>10</v>
      </c>
    </row>
    <row r="2508" spans="1:8" ht="21.75" customHeight="1" x14ac:dyDescent="0.25">
      <c r="A2508" s="35">
        <v>44674</v>
      </c>
      <c r="B2508" s="90" t="s">
        <v>13182</v>
      </c>
      <c r="C2508" s="41" t="s">
        <v>175</v>
      </c>
      <c r="D2508" s="87">
        <v>2646</v>
      </c>
      <c r="E2508" s="35">
        <v>44674</v>
      </c>
      <c r="F2508" s="87">
        <v>2646</v>
      </c>
      <c r="G2508" s="91">
        <f>Tabla15[[#This Row],[Importe]]-Tabla15[[#This Row],[Pagado]]</f>
        <v>0</v>
      </c>
      <c r="H2508" s="92" t="s">
        <v>10</v>
      </c>
    </row>
    <row r="2509" spans="1:8" ht="21.75" customHeight="1" x14ac:dyDescent="0.25">
      <c r="A2509" s="35">
        <v>44674</v>
      </c>
      <c r="B2509" s="90" t="s">
        <v>13183</v>
      </c>
      <c r="C2509" s="41" t="s">
        <v>214</v>
      </c>
      <c r="D2509" s="87">
        <v>1125.2</v>
      </c>
      <c r="E2509" s="35">
        <v>44674</v>
      </c>
      <c r="F2509" s="87">
        <v>1125.2</v>
      </c>
      <c r="G2509" s="91">
        <f>Tabla15[[#This Row],[Importe]]-Tabla15[[#This Row],[Pagado]]</f>
        <v>0</v>
      </c>
      <c r="H2509" s="92" t="s">
        <v>10</v>
      </c>
    </row>
    <row r="2510" spans="1:8" ht="21.75" customHeight="1" x14ac:dyDescent="0.25">
      <c r="A2510" s="35">
        <v>44674</v>
      </c>
      <c r="B2510" s="90" t="s">
        <v>13184</v>
      </c>
      <c r="C2510" s="41" t="s">
        <v>214</v>
      </c>
      <c r="D2510" s="87">
        <v>504.6</v>
      </c>
      <c r="E2510" s="35">
        <v>44674</v>
      </c>
      <c r="F2510" s="87">
        <v>504.6</v>
      </c>
      <c r="G2510" s="91">
        <f>Tabla15[[#This Row],[Importe]]-Tabla15[[#This Row],[Pagado]]</f>
        <v>0</v>
      </c>
      <c r="H2510" s="92" t="s">
        <v>10</v>
      </c>
    </row>
    <row r="2511" spans="1:8" ht="21.75" customHeight="1" x14ac:dyDescent="0.25">
      <c r="A2511" s="35">
        <v>44674</v>
      </c>
      <c r="B2511" s="90" t="s">
        <v>13185</v>
      </c>
      <c r="C2511" s="41" t="s">
        <v>426</v>
      </c>
      <c r="D2511" s="87">
        <v>3080.6</v>
      </c>
      <c r="E2511" s="35">
        <v>44674</v>
      </c>
      <c r="F2511" s="87">
        <v>3080.6</v>
      </c>
      <c r="G2511" s="91">
        <f>Tabla15[[#This Row],[Importe]]-Tabla15[[#This Row],[Pagado]]</f>
        <v>0</v>
      </c>
      <c r="H2511" s="92" t="s">
        <v>10</v>
      </c>
    </row>
    <row r="2512" spans="1:8" ht="21.75" customHeight="1" x14ac:dyDescent="0.25">
      <c r="A2512" s="35">
        <v>44674</v>
      </c>
      <c r="B2512" s="90" t="s">
        <v>13186</v>
      </c>
      <c r="C2512" s="41" t="s">
        <v>200</v>
      </c>
      <c r="D2512" s="87">
        <v>1660.2</v>
      </c>
      <c r="E2512" s="35">
        <v>44674</v>
      </c>
      <c r="F2512" s="87">
        <v>1660.2</v>
      </c>
      <c r="G2512" s="91">
        <f>Tabla15[[#This Row],[Importe]]-Tabla15[[#This Row],[Pagado]]</f>
        <v>0</v>
      </c>
      <c r="H2512" s="92" t="s">
        <v>10</v>
      </c>
    </row>
    <row r="2513" spans="1:8" ht="21.75" customHeight="1" x14ac:dyDescent="0.25">
      <c r="A2513" s="35">
        <v>44674</v>
      </c>
      <c r="B2513" s="90" t="s">
        <v>13187</v>
      </c>
      <c r="C2513" s="41" t="s">
        <v>71</v>
      </c>
      <c r="D2513" s="87">
        <v>2421.8000000000002</v>
      </c>
      <c r="E2513" s="35">
        <v>44674</v>
      </c>
      <c r="F2513" s="87">
        <v>2421.8000000000002</v>
      </c>
      <c r="G2513" s="91">
        <f>Tabla15[[#This Row],[Importe]]-Tabla15[[#This Row],[Pagado]]</f>
        <v>0</v>
      </c>
      <c r="H2513" s="92" t="s">
        <v>10</v>
      </c>
    </row>
    <row r="2514" spans="1:8" ht="21.75" customHeight="1" x14ac:dyDescent="0.25">
      <c r="A2514" s="35">
        <v>44674</v>
      </c>
      <c r="B2514" s="90" t="s">
        <v>13188</v>
      </c>
      <c r="C2514" s="41" t="s">
        <v>359</v>
      </c>
      <c r="D2514" s="87">
        <v>1417.8</v>
      </c>
      <c r="E2514" s="35">
        <v>44674</v>
      </c>
      <c r="F2514" s="87">
        <v>1417.8</v>
      </c>
      <c r="G2514" s="91">
        <f>Tabla15[[#This Row],[Importe]]-Tabla15[[#This Row],[Pagado]]</f>
        <v>0</v>
      </c>
      <c r="H2514" s="92" t="s">
        <v>10</v>
      </c>
    </row>
    <row r="2515" spans="1:8" ht="21.75" customHeight="1" x14ac:dyDescent="0.25">
      <c r="A2515" s="35">
        <v>44674</v>
      </c>
      <c r="B2515" s="90" t="s">
        <v>13189</v>
      </c>
      <c r="C2515" s="41" t="s">
        <v>555</v>
      </c>
      <c r="D2515" s="87">
        <v>34809.199999999997</v>
      </c>
      <c r="E2515" s="35">
        <v>44675</v>
      </c>
      <c r="F2515" s="87">
        <v>34809.199999999997</v>
      </c>
      <c r="G2515" s="91">
        <f>Tabla15[[#This Row],[Importe]]-Tabla15[[#This Row],[Pagado]]</f>
        <v>0</v>
      </c>
      <c r="H2515" s="92" t="s">
        <v>10</v>
      </c>
    </row>
    <row r="2516" spans="1:8" ht="21.75" customHeight="1" x14ac:dyDescent="0.25">
      <c r="A2516" s="35">
        <v>44674</v>
      </c>
      <c r="B2516" s="90" t="s">
        <v>13190</v>
      </c>
      <c r="C2516" s="41" t="s">
        <v>10742</v>
      </c>
      <c r="D2516" s="87">
        <v>9363.4</v>
      </c>
      <c r="E2516" s="35">
        <v>44676</v>
      </c>
      <c r="F2516" s="87">
        <v>9363.4</v>
      </c>
      <c r="G2516" s="91">
        <f>Tabla15[[#This Row],[Importe]]-Tabla15[[#This Row],[Pagado]]</f>
        <v>0</v>
      </c>
      <c r="H2516" s="92" t="s">
        <v>10</v>
      </c>
    </row>
    <row r="2517" spans="1:8" ht="21.75" customHeight="1" x14ac:dyDescent="0.25">
      <c r="A2517" s="35">
        <v>44674</v>
      </c>
      <c r="B2517" s="90" t="s">
        <v>13191</v>
      </c>
      <c r="C2517" s="41" t="s">
        <v>475</v>
      </c>
      <c r="D2517" s="87">
        <v>27904.5</v>
      </c>
      <c r="E2517" s="35">
        <v>44676</v>
      </c>
      <c r="F2517" s="87">
        <v>27904.5</v>
      </c>
      <c r="G2517" s="91">
        <f>Tabla15[[#This Row],[Importe]]-Tabla15[[#This Row],[Pagado]]</f>
        <v>0</v>
      </c>
      <c r="H2517" s="92" t="s">
        <v>10</v>
      </c>
    </row>
    <row r="2518" spans="1:8" ht="21.75" customHeight="1" x14ac:dyDescent="0.25">
      <c r="A2518" s="35">
        <v>44674</v>
      </c>
      <c r="B2518" s="90" t="s">
        <v>13192</v>
      </c>
      <c r="C2518" s="41" t="s">
        <v>843</v>
      </c>
      <c r="D2518" s="87">
        <v>1486.8</v>
      </c>
      <c r="E2518" s="35">
        <v>44674</v>
      </c>
      <c r="F2518" s="87">
        <v>1486.8</v>
      </c>
      <c r="G2518" s="91">
        <f>Tabla15[[#This Row],[Importe]]-Tabla15[[#This Row],[Pagado]]</f>
        <v>0</v>
      </c>
      <c r="H2518" s="92" t="s">
        <v>10</v>
      </c>
    </row>
    <row r="2519" spans="1:8" ht="21.75" customHeight="1" x14ac:dyDescent="0.25">
      <c r="A2519" s="35">
        <v>44674</v>
      </c>
      <c r="B2519" s="90" t="s">
        <v>13193</v>
      </c>
      <c r="C2519" s="41" t="s">
        <v>475</v>
      </c>
      <c r="D2519" s="87">
        <v>329.4</v>
      </c>
      <c r="E2519" s="35">
        <v>44675</v>
      </c>
      <c r="F2519" s="87">
        <v>329.4</v>
      </c>
      <c r="G2519" s="91">
        <f>Tabla15[[#This Row],[Importe]]-Tabla15[[#This Row],[Pagado]]</f>
        <v>0</v>
      </c>
      <c r="H2519" s="92" t="s">
        <v>10</v>
      </c>
    </row>
    <row r="2520" spans="1:8" ht="21.75" customHeight="1" x14ac:dyDescent="0.25">
      <c r="A2520" s="35">
        <v>44674</v>
      </c>
      <c r="B2520" s="90" t="s">
        <v>13194</v>
      </c>
      <c r="C2520" s="41" t="s">
        <v>463</v>
      </c>
      <c r="D2520" s="87">
        <v>550</v>
      </c>
      <c r="E2520" s="35">
        <v>44682</v>
      </c>
      <c r="F2520" s="87">
        <v>550</v>
      </c>
      <c r="G2520" s="91">
        <f>Tabla15[[#This Row],[Importe]]-Tabla15[[#This Row],[Pagado]]</f>
        <v>0</v>
      </c>
      <c r="H2520" s="92" t="s">
        <v>10</v>
      </c>
    </row>
    <row r="2521" spans="1:8" ht="21.75" customHeight="1" x14ac:dyDescent="0.25">
      <c r="A2521" s="35">
        <v>44674</v>
      </c>
      <c r="B2521" s="90" t="s">
        <v>13195</v>
      </c>
      <c r="C2521" s="41" t="s">
        <v>459</v>
      </c>
      <c r="D2521" s="87">
        <v>213</v>
      </c>
      <c r="E2521" s="35">
        <v>44674</v>
      </c>
      <c r="F2521" s="87">
        <v>213</v>
      </c>
      <c r="G2521" s="91">
        <f>Tabla15[[#This Row],[Importe]]-Tabla15[[#This Row],[Pagado]]</f>
        <v>0</v>
      </c>
      <c r="H2521" s="92" t="s">
        <v>10</v>
      </c>
    </row>
    <row r="2522" spans="1:8" ht="21.75" customHeight="1" x14ac:dyDescent="0.25">
      <c r="A2522" s="35">
        <v>44674</v>
      </c>
      <c r="B2522" s="90" t="s">
        <v>13196</v>
      </c>
      <c r="C2522" s="41" t="s">
        <v>457</v>
      </c>
      <c r="D2522" s="87">
        <v>218</v>
      </c>
      <c r="E2522" s="35">
        <v>44674</v>
      </c>
      <c r="F2522" s="87">
        <v>218</v>
      </c>
      <c r="G2522" s="91">
        <f>Tabla15[[#This Row],[Importe]]-Tabla15[[#This Row],[Pagado]]</f>
        <v>0</v>
      </c>
      <c r="H2522" s="92" t="s">
        <v>10</v>
      </c>
    </row>
    <row r="2523" spans="1:8" ht="21.75" customHeight="1" x14ac:dyDescent="0.25">
      <c r="A2523" s="35">
        <v>44674</v>
      </c>
      <c r="B2523" s="90" t="s">
        <v>13197</v>
      </c>
      <c r="C2523" s="41" t="s">
        <v>461</v>
      </c>
      <c r="D2523" s="87">
        <v>394</v>
      </c>
      <c r="E2523" s="35">
        <v>44675</v>
      </c>
      <c r="F2523" s="87">
        <v>394</v>
      </c>
      <c r="G2523" s="91">
        <f>Tabla15[[#This Row],[Importe]]-Tabla15[[#This Row],[Pagado]]</f>
        <v>0</v>
      </c>
      <c r="H2523" s="92" t="s">
        <v>10</v>
      </c>
    </row>
    <row r="2524" spans="1:8" ht="21.75" customHeight="1" x14ac:dyDescent="0.25">
      <c r="A2524" s="35">
        <v>44674</v>
      </c>
      <c r="B2524" s="90" t="s">
        <v>13198</v>
      </c>
      <c r="C2524" s="41" t="s">
        <v>9</v>
      </c>
      <c r="D2524" s="87">
        <v>1368</v>
      </c>
      <c r="E2524" s="35">
        <v>44674</v>
      </c>
      <c r="F2524" s="87">
        <v>1368</v>
      </c>
      <c r="G2524" s="91">
        <f>Tabla15[[#This Row],[Importe]]-Tabla15[[#This Row],[Pagado]]</f>
        <v>0</v>
      </c>
      <c r="H2524" s="92" t="s">
        <v>10</v>
      </c>
    </row>
    <row r="2525" spans="1:8" ht="21.75" customHeight="1" x14ac:dyDescent="0.25">
      <c r="A2525" s="35">
        <v>44674</v>
      </c>
      <c r="B2525" s="90" t="s">
        <v>13199</v>
      </c>
      <c r="C2525" s="41" t="s">
        <v>409</v>
      </c>
      <c r="D2525" s="87">
        <v>8683.2000000000007</v>
      </c>
      <c r="E2525" s="35">
        <v>44677</v>
      </c>
      <c r="F2525" s="87">
        <v>8683.2000000000007</v>
      </c>
      <c r="G2525" s="91">
        <f>Tabla15[[#This Row],[Importe]]-Tabla15[[#This Row],[Pagado]]</f>
        <v>0</v>
      </c>
      <c r="H2525" s="92" t="s">
        <v>10</v>
      </c>
    </row>
    <row r="2526" spans="1:8" ht="21.75" customHeight="1" x14ac:dyDescent="0.25">
      <c r="A2526" s="35">
        <v>44674</v>
      </c>
      <c r="B2526" s="90" t="s">
        <v>13200</v>
      </c>
      <c r="C2526" s="41" t="s">
        <v>51</v>
      </c>
      <c r="D2526" s="87">
        <v>4377.6000000000004</v>
      </c>
      <c r="E2526" s="35">
        <v>44674</v>
      </c>
      <c r="F2526" s="87">
        <v>4377.6000000000004</v>
      </c>
      <c r="G2526" s="91">
        <f>Tabla15[[#This Row],[Importe]]-Tabla15[[#This Row],[Pagado]]</f>
        <v>0</v>
      </c>
      <c r="H2526" s="92" t="s">
        <v>10</v>
      </c>
    </row>
    <row r="2527" spans="1:8" ht="21.75" customHeight="1" x14ac:dyDescent="0.25">
      <c r="A2527" s="35">
        <v>44674</v>
      </c>
      <c r="B2527" s="90" t="s">
        <v>13201</v>
      </c>
      <c r="C2527" s="41" t="s">
        <v>31</v>
      </c>
      <c r="D2527" s="87">
        <v>2816</v>
      </c>
      <c r="E2527" s="35">
        <v>44674</v>
      </c>
      <c r="F2527" s="87">
        <v>2816</v>
      </c>
      <c r="G2527" s="91">
        <f>Tabla15[[#This Row],[Importe]]-Tabla15[[#This Row],[Pagado]]</f>
        <v>0</v>
      </c>
      <c r="H2527" s="92" t="s">
        <v>10</v>
      </c>
    </row>
    <row r="2528" spans="1:8" ht="21.75" customHeight="1" x14ac:dyDescent="0.25">
      <c r="A2528" s="35">
        <v>44674</v>
      </c>
      <c r="B2528" s="90" t="s">
        <v>13202</v>
      </c>
      <c r="C2528" s="41" t="s">
        <v>31</v>
      </c>
      <c r="D2528" s="87">
        <v>247.5</v>
      </c>
      <c r="E2528" s="35">
        <v>44674</v>
      </c>
      <c r="F2528" s="87">
        <v>247.5</v>
      </c>
      <c r="G2528" s="91">
        <f>Tabla15[[#This Row],[Importe]]-Tabla15[[#This Row],[Pagado]]</f>
        <v>0</v>
      </c>
      <c r="H2528" s="92" t="s">
        <v>10</v>
      </c>
    </row>
    <row r="2529" spans="1:8" ht="21.75" customHeight="1" x14ac:dyDescent="0.25">
      <c r="A2529" s="35">
        <v>44674</v>
      </c>
      <c r="B2529" s="90" t="s">
        <v>13203</v>
      </c>
      <c r="C2529" s="41" t="s">
        <v>51</v>
      </c>
      <c r="D2529" s="87">
        <v>481.4</v>
      </c>
      <c r="E2529" s="35">
        <v>44674</v>
      </c>
      <c r="F2529" s="87">
        <v>481.4</v>
      </c>
      <c r="G2529" s="91">
        <f>Tabla15[[#This Row],[Importe]]-Tabla15[[#This Row],[Pagado]]</f>
        <v>0</v>
      </c>
      <c r="H2529" s="92" t="s">
        <v>10</v>
      </c>
    </row>
    <row r="2530" spans="1:8" ht="21.75" customHeight="1" x14ac:dyDescent="0.25">
      <c r="A2530" s="35">
        <v>44674</v>
      </c>
      <c r="B2530" s="90" t="s">
        <v>13204</v>
      </c>
      <c r="C2530" s="41" t="s">
        <v>226</v>
      </c>
      <c r="D2530" s="87">
        <v>16547.400000000001</v>
      </c>
      <c r="E2530" s="35">
        <v>44674</v>
      </c>
      <c r="F2530" s="87">
        <v>16547.400000000001</v>
      </c>
      <c r="G2530" s="91">
        <f>Tabla15[[#This Row],[Importe]]-Tabla15[[#This Row],[Pagado]]</f>
        <v>0</v>
      </c>
      <c r="H2530" s="92" t="s">
        <v>10</v>
      </c>
    </row>
    <row r="2531" spans="1:8" ht="21.75" customHeight="1" x14ac:dyDescent="0.25">
      <c r="A2531" s="35">
        <v>44674</v>
      </c>
      <c r="B2531" s="90" t="s">
        <v>13205</v>
      </c>
      <c r="C2531" s="41" t="s">
        <v>280</v>
      </c>
      <c r="D2531" s="87">
        <v>3793.2</v>
      </c>
      <c r="E2531" s="35">
        <v>44675</v>
      </c>
      <c r="F2531" s="87">
        <v>3793.2</v>
      </c>
      <c r="G2531" s="91">
        <f>Tabla15[[#This Row],[Importe]]-Tabla15[[#This Row],[Pagado]]</f>
        <v>0</v>
      </c>
      <c r="H2531" s="92" t="s">
        <v>10</v>
      </c>
    </row>
    <row r="2532" spans="1:8" ht="21.75" customHeight="1" x14ac:dyDescent="0.25">
      <c r="A2532" s="35">
        <v>44674</v>
      </c>
      <c r="B2532" s="90" t="s">
        <v>13206</v>
      </c>
      <c r="C2532" s="41" t="s">
        <v>282</v>
      </c>
      <c r="D2532" s="87">
        <v>2639</v>
      </c>
      <c r="E2532" s="35">
        <v>44675</v>
      </c>
      <c r="F2532" s="87">
        <v>2639</v>
      </c>
      <c r="G2532" s="91">
        <f>Tabla15[[#This Row],[Importe]]-Tabla15[[#This Row],[Pagado]]</f>
        <v>0</v>
      </c>
      <c r="H2532" s="92" t="s">
        <v>10</v>
      </c>
    </row>
    <row r="2533" spans="1:8" ht="21.75" customHeight="1" x14ac:dyDescent="0.25">
      <c r="A2533" s="35">
        <v>44674</v>
      </c>
      <c r="B2533" s="90" t="s">
        <v>13207</v>
      </c>
      <c r="C2533" s="41" t="s">
        <v>5345</v>
      </c>
      <c r="D2533" s="87">
        <v>7238.4</v>
      </c>
      <c r="E2533" s="35">
        <v>44675</v>
      </c>
      <c r="F2533" s="87">
        <v>7238.4</v>
      </c>
      <c r="G2533" s="91">
        <f>Tabla15[[#This Row],[Importe]]-Tabla15[[#This Row],[Pagado]]</f>
        <v>0</v>
      </c>
      <c r="H2533" s="92" t="s">
        <v>10</v>
      </c>
    </row>
    <row r="2534" spans="1:8" ht="21.75" customHeight="1" x14ac:dyDescent="0.25">
      <c r="A2534" s="35">
        <v>44674</v>
      </c>
      <c r="B2534" s="90" t="s">
        <v>13208</v>
      </c>
      <c r="C2534" s="41" t="s">
        <v>284</v>
      </c>
      <c r="D2534" s="87">
        <v>11959.6</v>
      </c>
      <c r="E2534" s="35">
        <v>44675</v>
      </c>
      <c r="F2534" s="87">
        <v>11959.6</v>
      </c>
      <c r="G2534" s="91">
        <f>Tabla15[[#This Row],[Importe]]-Tabla15[[#This Row],[Pagado]]</f>
        <v>0</v>
      </c>
      <c r="H2534" s="92" t="s">
        <v>10</v>
      </c>
    </row>
    <row r="2535" spans="1:8" ht="21.75" customHeight="1" x14ac:dyDescent="0.25">
      <c r="A2535" s="35">
        <v>44674</v>
      </c>
      <c r="B2535" s="90" t="s">
        <v>13209</v>
      </c>
      <c r="C2535" s="41" t="s">
        <v>8949</v>
      </c>
      <c r="D2535" s="87">
        <v>6902</v>
      </c>
      <c r="E2535" s="35">
        <v>44675</v>
      </c>
      <c r="F2535" s="87">
        <v>6902</v>
      </c>
      <c r="G2535" s="91">
        <f>Tabla15[[#This Row],[Importe]]-Tabla15[[#This Row],[Pagado]]</f>
        <v>0</v>
      </c>
      <c r="H2535" s="92" t="s">
        <v>10</v>
      </c>
    </row>
    <row r="2536" spans="1:8" ht="21.75" customHeight="1" x14ac:dyDescent="0.25">
      <c r="A2536" s="35">
        <v>44674</v>
      </c>
      <c r="B2536" s="90" t="s">
        <v>13210</v>
      </c>
      <c r="C2536" s="41" t="s">
        <v>179</v>
      </c>
      <c r="D2536" s="87">
        <v>1815.4</v>
      </c>
      <c r="E2536" s="35">
        <v>44675</v>
      </c>
      <c r="F2536" s="87">
        <v>1815.4</v>
      </c>
      <c r="G2536" s="91">
        <f>Tabla15[[#This Row],[Importe]]-Tabla15[[#This Row],[Pagado]]</f>
        <v>0</v>
      </c>
      <c r="H2536" s="92" t="s">
        <v>10</v>
      </c>
    </row>
    <row r="2537" spans="1:8" ht="21.75" customHeight="1" x14ac:dyDescent="0.25">
      <c r="A2537" s="35">
        <v>44674</v>
      </c>
      <c r="B2537" s="90" t="s">
        <v>13211</v>
      </c>
      <c r="C2537" s="41" t="s">
        <v>450</v>
      </c>
      <c r="D2537" s="87">
        <v>4203.6000000000004</v>
      </c>
      <c r="E2537" s="35">
        <v>44674</v>
      </c>
      <c r="F2537" s="87">
        <v>4203.6000000000004</v>
      </c>
      <c r="G2537" s="91">
        <f>Tabla15[[#This Row],[Importe]]-Tabla15[[#This Row],[Pagado]]</f>
        <v>0</v>
      </c>
      <c r="H2537" s="92" t="s">
        <v>10</v>
      </c>
    </row>
    <row r="2538" spans="1:8" ht="21.75" customHeight="1" x14ac:dyDescent="0.25">
      <c r="A2538" s="35">
        <v>44674</v>
      </c>
      <c r="B2538" s="90" t="s">
        <v>13212</v>
      </c>
      <c r="C2538" s="41" t="s">
        <v>1706</v>
      </c>
      <c r="D2538" s="87">
        <v>14895</v>
      </c>
      <c r="E2538" s="35">
        <v>44674</v>
      </c>
      <c r="F2538" s="87">
        <v>14895</v>
      </c>
      <c r="G2538" s="91">
        <f>Tabla15[[#This Row],[Importe]]-Tabla15[[#This Row],[Pagado]]</f>
        <v>0</v>
      </c>
      <c r="H2538" s="92" t="s">
        <v>10</v>
      </c>
    </row>
    <row r="2539" spans="1:8" ht="21.75" customHeight="1" x14ac:dyDescent="0.25">
      <c r="A2539" s="35">
        <v>44674</v>
      </c>
      <c r="B2539" s="90" t="s">
        <v>13213</v>
      </c>
      <c r="C2539" s="41" t="s">
        <v>35</v>
      </c>
      <c r="D2539" s="87">
        <v>2999.2</v>
      </c>
      <c r="E2539" s="35">
        <v>44674</v>
      </c>
      <c r="F2539" s="87">
        <v>2999.2</v>
      </c>
      <c r="G2539" s="91">
        <f>Tabla15[[#This Row],[Importe]]-Tabla15[[#This Row],[Pagado]]</f>
        <v>0</v>
      </c>
      <c r="H2539" s="92" t="s">
        <v>10</v>
      </c>
    </row>
    <row r="2540" spans="1:8" ht="21.75" customHeight="1" x14ac:dyDescent="0.25">
      <c r="A2540" s="35">
        <v>44674</v>
      </c>
      <c r="B2540" s="90" t="s">
        <v>13214</v>
      </c>
      <c r="C2540" s="41" t="s">
        <v>857</v>
      </c>
      <c r="D2540" s="87">
        <v>1503.6</v>
      </c>
      <c r="E2540" s="35">
        <v>44674</v>
      </c>
      <c r="F2540" s="87">
        <v>1503.6</v>
      </c>
      <c r="G2540" s="91">
        <f>Tabla15[[#This Row],[Importe]]-Tabla15[[#This Row],[Pagado]]</f>
        <v>0</v>
      </c>
      <c r="H2540" s="92" t="s">
        <v>10</v>
      </c>
    </row>
    <row r="2541" spans="1:8" ht="21.75" customHeight="1" x14ac:dyDescent="0.25">
      <c r="A2541" s="35">
        <v>44674</v>
      </c>
      <c r="B2541" s="90" t="s">
        <v>13215</v>
      </c>
      <c r="C2541" s="41" t="s">
        <v>9780</v>
      </c>
      <c r="D2541" s="87">
        <v>37605.199999999997</v>
      </c>
      <c r="E2541" s="35">
        <v>44692</v>
      </c>
      <c r="F2541" s="87">
        <v>37605.199999999997</v>
      </c>
      <c r="G2541" s="91">
        <f>Tabla15[[#This Row],[Importe]]-Tabla15[[#This Row],[Pagado]]</f>
        <v>0</v>
      </c>
      <c r="H2541" s="92" t="s">
        <v>10</v>
      </c>
    </row>
    <row r="2542" spans="1:8" ht="21.75" customHeight="1" x14ac:dyDescent="0.25">
      <c r="A2542" s="35">
        <v>44674</v>
      </c>
      <c r="B2542" s="90" t="s">
        <v>13216</v>
      </c>
      <c r="C2542" s="41" t="s">
        <v>175</v>
      </c>
      <c r="D2542" s="87">
        <v>4590</v>
      </c>
      <c r="E2542" s="35">
        <v>44674</v>
      </c>
      <c r="F2542" s="87">
        <v>4590</v>
      </c>
      <c r="G2542" s="91">
        <f>Tabla15[[#This Row],[Importe]]-Tabla15[[#This Row],[Pagado]]</f>
        <v>0</v>
      </c>
      <c r="H2542" s="92" t="s">
        <v>10</v>
      </c>
    </row>
    <row r="2543" spans="1:8" ht="21.75" customHeight="1" x14ac:dyDescent="0.25">
      <c r="A2543" s="35">
        <v>44674</v>
      </c>
      <c r="B2543" s="90" t="s">
        <v>13217</v>
      </c>
      <c r="C2543" s="41" t="s">
        <v>12202</v>
      </c>
      <c r="D2543" s="87">
        <v>5760</v>
      </c>
      <c r="E2543" s="35">
        <v>44676</v>
      </c>
      <c r="F2543" s="87">
        <v>5760</v>
      </c>
      <c r="G2543" s="91">
        <f>Tabla15[[#This Row],[Importe]]-Tabla15[[#This Row],[Pagado]]</f>
        <v>0</v>
      </c>
      <c r="H2543" s="92" t="s">
        <v>10</v>
      </c>
    </row>
    <row r="2544" spans="1:8" ht="21.75" customHeight="1" x14ac:dyDescent="0.25">
      <c r="A2544" s="35">
        <v>44674</v>
      </c>
      <c r="B2544" s="90" t="s">
        <v>13218</v>
      </c>
      <c r="C2544" s="41" t="s">
        <v>31</v>
      </c>
      <c r="D2544" s="87">
        <v>2441.8000000000002</v>
      </c>
      <c r="E2544" s="35">
        <v>44674</v>
      </c>
      <c r="F2544" s="87">
        <v>2441.8000000000002</v>
      </c>
      <c r="G2544" s="91">
        <f>Tabla15[[#This Row],[Importe]]-Tabla15[[#This Row],[Pagado]]</f>
        <v>0</v>
      </c>
      <c r="H2544" s="92" t="s">
        <v>10</v>
      </c>
    </row>
    <row r="2545" spans="1:8" ht="21.75" customHeight="1" x14ac:dyDescent="0.25">
      <c r="A2545" s="35">
        <v>44674</v>
      </c>
      <c r="B2545" s="90" t="s">
        <v>13219</v>
      </c>
      <c r="C2545" s="41" t="s">
        <v>56</v>
      </c>
      <c r="D2545" s="87">
        <v>3899.7</v>
      </c>
      <c r="E2545" s="35">
        <v>44674</v>
      </c>
      <c r="F2545" s="87">
        <v>3899.7</v>
      </c>
      <c r="G2545" s="91">
        <f>Tabla15[[#This Row],[Importe]]-Tabla15[[#This Row],[Pagado]]</f>
        <v>0</v>
      </c>
      <c r="H2545" s="92" t="s">
        <v>10</v>
      </c>
    </row>
    <row r="2546" spans="1:8" ht="21.75" customHeight="1" x14ac:dyDescent="0.25">
      <c r="A2546" s="35">
        <v>44674</v>
      </c>
      <c r="B2546" s="90" t="s">
        <v>13220</v>
      </c>
      <c r="C2546" s="41" t="s">
        <v>407</v>
      </c>
      <c r="D2546" s="87">
        <v>33525.800000000003</v>
      </c>
      <c r="E2546" s="35">
        <v>44679</v>
      </c>
      <c r="F2546" s="87">
        <v>33525.800000000003</v>
      </c>
      <c r="G2546" s="91">
        <f>Tabla15[[#This Row],[Importe]]-Tabla15[[#This Row],[Pagado]]</f>
        <v>0</v>
      </c>
      <c r="H2546" s="92" t="s">
        <v>10</v>
      </c>
    </row>
    <row r="2547" spans="1:8" ht="21.75" customHeight="1" x14ac:dyDescent="0.25">
      <c r="A2547" s="35">
        <v>44674</v>
      </c>
      <c r="B2547" s="90" t="s">
        <v>13221</v>
      </c>
      <c r="C2547" s="41" t="s">
        <v>31</v>
      </c>
      <c r="D2547" s="87">
        <v>76</v>
      </c>
      <c r="E2547" s="35">
        <v>44675</v>
      </c>
      <c r="F2547" s="87">
        <v>76</v>
      </c>
      <c r="G2547" s="91">
        <f>Tabla15[[#This Row],[Importe]]-Tabla15[[#This Row],[Pagado]]</f>
        <v>0</v>
      </c>
      <c r="H2547" s="92" t="s">
        <v>10</v>
      </c>
    </row>
    <row r="2548" spans="1:8" ht="21.75" customHeight="1" x14ac:dyDescent="0.25">
      <c r="A2548" s="35">
        <v>44674</v>
      </c>
      <c r="B2548" s="90" t="s">
        <v>13222</v>
      </c>
      <c r="C2548" s="41" t="s">
        <v>13223</v>
      </c>
      <c r="D2548" s="87">
        <v>70815.600000000006</v>
      </c>
      <c r="E2548" s="35">
        <v>44678</v>
      </c>
      <c r="F2548" s="87">
        <v>70815.600000000006</v>
      </c>
      <c r="G2548" s="91">
        <f>Tabla15[[#This Row],[Importe]]-Tabla15[[#This Row],[Pagado]]</f>
        <v>0</v>
      </c>
      <c r="H2548" s="92" t="s">
        <v>10</v>
      </c>
    </row>
    <row r="2549" spans="1:8" ht="21.75" customHeight="1" x14ac:dyDescent="0.25">
      <c r="A2549" s="35">
        <v>44675</v>
      </c>
      <c r="B2549" s="90" t="s">
        <v>13224</v>
      </c>
      <c r="C2549" s="41" t="s">
        <v>31</v>
      </c>
      <c r="D2549" s="87">
        <v>1724.8</v>
      </c>
      <c r="E2549" s="35">
        <v>44675</v>
      </c>
      <c r="F2549" s="87">
        <v>1724.8</v>
      </c>
      <c r="G2549" s="91">
        <f>Tabla15[[#This Row],[Importe]]-Tabla15[[#This Row],[Pagado]]</f>
        <v>0</v>
      </c>
      <c r="H2549" s="92" t="s">
        <v>10</v>
      </c>
    </row>
    <row r="2550" spans="1:8" ht="21.75" customHeight="1" x14ac:dyDescent="0.25">
      <c r="A2550" s="35">
        <v>44675</v>
      </c>
      <c r="B2550" s="90" t="s">
        <v>13225</v>
      </c>
      <c r="C2550" s="41" t="s">
        <v>9</v>
      </c>
      <c r="D2550" s="87">
        <v>6973</v>
      </c>
      <c r="E2550" s="35">
        <v>44675</v>
      </c>
      <c r="F2550" s="87">
        <v>6973</v>
      </c>
      <c r="G2550" s="91">
        <f>Tabla15[[#This Row],[Importe]]-Tabla15[[#This Row],[Pagado]]</f>
        <v>0</v>
      </c>
      <c r="H2550" s="92" t="s">
        <v>10</v>
      </c>
    </row>
    <row r="2551" spans="1:8" ht="21.75" customHeight="1" x14ac:dyDescent="0.25">
      <c r="A2551" s="35">
        <v>44675</v>
      </c>
      <c r="B2551" s="90" t="s">
        <v>13226</v>
      </c>
      <c r="C2551" s="41" t="s">
        <v>31</v>
      </c>
      <c r="D2551" s="87">
        <v>3747.6</v>
      </c>
      <c r="E2551" s="35">
        <v>44675</v>
      </c>
      <c r="F2551" s="87">
        <v>3747.6</v>
      </c>
      <c r="G2551" s="91">
        <f>Tabla15[[#This Row],[Importe]]-Tabla15[[#This Row],[Pagado]]</f>
        <v>0</v>
      </c>
      <c r="H2551" s="92" t="s">
        <v>10</v>
      </c>
    </row>
    <row r="2552" spans="1:8" ht="21.75" customHeight="1" x14ac:dyDescent="0.25">
      <c r="A2552" s="35">
        <v>44675</v>
      </c>
      <c r="B2552" s="90" t="s">
        <v>13227</v>
      </c>
      <c r="C2552" s="41" t="s">
        <v>31</v>
      </c>
      <c r="D2552" s="87">
        <v>708</v>
      </c>
      <c r="E2552" s="35">
        <v>44675</v>
      </c>
      <c r="F2552" s="87">
        <v>708</v>
      </c>
      <c r="G2552" s="91">
        <f>Tabla15[[#This Row],[Importe]]-Tabla15[[#This Row],[Pagado]]</f>
        <v>0</v>
      </c>
      <c r="H2552" s="92" t="s">
        <v>10</v>
      </c>
    </row>
    <row r="2553" spans="1:8" ht="21.75" customHeight="1" x14ac:dyDescent="0.25">
      <c r="A2553" s="35">
        <v>44675</v>
      </c>
      <c r="B2553" s="90" t="s">
        <v>13228</v>
      </c>
      <c r="C2553" s="41" t="s">
        <v>4136</v>
      </c>
      <c r="D2553" s="87">
        <v>7384.6</v>
      </c>
      <c r="E2553" s="35">
        <v>44675</v>
      </c>
      <c r="F2553" s="87">
        <v>7384.6</v>
      </c>
      <c r="G2553" s="91">
        <f>Tabla15[[#This Row],[Importe]]-Tabla15[[#This Row],[Pagado]]</f>
        <v>0</v>
      </c>
      <c r="H2553" s="92" t="s">
        <v>10</v>
      </c>
    </row>
    <row r="2554" spans="1:8" ht="21.75" customHeight="1" x14ac:dyDescent="0.25">
      <c r="A2554" s="35">
        <v>44675</v>
      </c>
      <c r="B2554" s="90" t="s">
        <v>13229</v>
      </c>
      <c r="C2554" s="41" t="s">
        <v>9415</v>
      </c>
      <c r="D2554" s="87">
        <v>18585</v>
      </c>
      <c r="E2554" s="35">
        <v>44678</v>
      </c>
      <c r="F2554" s="87">
        <v>18585</v>
      </c>
      <c r="G2554" s="91">
        <f>Tabla15[[#This Row],[Importe]]-Tabla15[[#This Row],[Pagado]]</f>
        <v>0</v>
      </c>
      <c r="H2554" s="92" t="s">
        <v>10</v>
      </c>
    </row>
    <row r="2555" spans="1:8" ht="21.75" customHeight="1" x14ac:dyDescent="0.25">
      <c r="A2555" s="35">
        <v>44675</v>
      </c>
      <c r="B2555" s="90" t="s">
        <v>13230</v>
      </c>
      <c r="C2555" s="41" t="s">
        <v>12</v>
      </c>
      <c r="D2555" s="87">
        <v>59725.5</v>
      </c>
      <c r="E2555" s="35">
        <v>44675</v>
      </c>
      <c r="F2555" s="87">
        <v>59725.5</v>
      </c>
      <c r="G2555" s="91">
        <f>Tabla15[[#This Row],[Importe]]-Tabla15[[#This Row],[Pagado]]</f>
        <v>0</v>
      </c>
      <c r="H2555" s="92" t="s">
        <v>10</v>
      </c>
    </row>
    <row r="2556" spans="1:8" ht="31.5" x14ac:dyDescent="0.25">
      <c r="A2556" s="35">
        <v>44675</v>
      </c>
      <c r="B2556" s="90" t="s">
        <v>13231</v>
      </c>
      <c r="C2556" s="41" t="s">
        <v>475</v>
      </c>
      <c r="D2556" s="87">
        <v>63528</v>
      </c>
      <c r="E2556" s="35" t="s">
        <v>13120</v>
      </c>
      <c r="F2556" s="87">
        <f>31500+32028</f>
        <v>63528</v>
      </c>
      <c r="G2556" s="91">
        <f>Tabla15[[#This Row],[Importe]]-Tabla15[[#This Row],[Pagado]]</f>
        <v>0</v>
      </c>
      <c r="H2556" s="92" t="s">
        <v>10</v>
      </c>
    </row>
    <row r="2557" spans="1:8" ht="21.75" customHeight="1" x14ac:dyDescent="0.25">
      <c r="A2557" s="35">
        <v>44675</v>
      </c>
      <c r="B2557" s="90" t="s">
        <v>13232</v>
      </c>
      <c r="C2557" s="41" t="s">
        <v>16</v>
      </c>
      <c r="D2557" s="87">
        <v>9797.4</v>
      </c>
      <c r="E2557" s="35">
        <v>44675</v>
      </c>
      <c r="F2557" s="87">
        <v>9797.4</v>
      </c>
      <c r="G2557" s="91">
        <f>Tabla15[[#This Row],[Importe]]-Tabla15[[#This Row],[Pagado]]</f>
        <v>0</v>
      </c>
      <c r="H2557" s="92" t="s">
        <v>10</v>
      </c>
    </row>
    <row r="2558" spans="1:8" ht="21.75" customHeight="1" x14ac:dyDescent="0.25">
      <c r="A2558" s="35">
        <v>44675</v>
      </c>
      <c r="B2558" s="90" t="s">
        <v>13233</v>
      </c>
      <c r="C2558" s="41" t="s">
        <v>29</v>
      </c>
      <c r="D2558" s="87">
        <v>8172.2</v>
      </c>
      <c r="E2558" s="35">
        <v>44675</v>
      </c>
      <c r="F2558" s="87">
        <v>8172.2</v>
      </c>
      <c r="G2558" s="91">
        <f>Tabla15[[#This Row],[Importe]]-Tabla15[[#This Row],[Pagado]]</f>
        <v>0</v>
      </c>
      <c r="H2558" s="92" t="s">
        <v>10</v>
      </c>
    </row>
    <row r="2559" spans="1:8" ht="31.5" x14ac:dyDescent="0.25">
      <c r="A2559" s="35">
        <v>44675</v>
      </c>
      <c r="B2559" s="90" t="s">
        <v>13234</v>
      </c>
      <c r="C2559" s="41" t="s">
        <v>22</v>
      </c>
      <c r="D2559" s="87">
        <v>51433.2</v>
      </c>
      <c r="E2559" s="35" t="s">
        <v>13120</v>
      </c>
      <c r="F2559" s="87">
        <f>45000+6433.2</f>
        <v>51433.2</v>
      </c>
      <c r="G2559" s="91">
        <f>Tabla15[[#This Row],[Importe]]-Tabla15[[#This Row],[Pagado]]</f>
        <v>0</v>
      </c>
      <c r="H2559" s="92" t="s">
        <v>10</v>
      </c>
    </row>
    <row r="2560" spans="1:8" ht="21.75" customHeight="1" x14ac:dyDescent="0.25">
      <c r="A2560" s="35">
        <v>44675</v>
      </c>
      <c r="B2560" s="90" t="s">
        <v>13235</v>
      </c>
      <c r="C2560" s="41" t="s">
        <v>224</v>
      </c>
      <c r="D2560" s="87">
        <v>1053.9000000000001</v>
      </c>
      <c r="E2560" s="35">
        <v>44675</v>
      </c>
      <c r="F2560" s="87">
        <v>1053.9000000000001</v>
      </c>
      <c r="G2560" s="91">
        <f>Tabla15[[#This Row],[Importe]]-Tabla15[[#This Row],[Pagado]]</f>
        <v>0</v>
      </c>
      <c r="H2560" s="92" t="s">
        <v>10</v>
      </c>
    </row>
    <row r="2561" spans="1:8" ht="21.75" customHeight="1" x14ac:dyDescent="0.25">
      <c r="A2561" s="35">
        <v>44675</v>
      </c>
      <c r="B2561" s="90" t="s">
        <v>13236</v>
      </c>
      <c r="C2561" s="41" t="s">
        <v>27</v>
      </c>
      <c r="D2561" s="87">
        <v>1292.2</v>
      </c>
      <c r="E2561" s="35">
        <v>44675</v>
      </c>
      <c r="F2561" s="87">
        <v>1292.2</v>
      </c>
      <c r="G2561" s="91">
        <f>Tabla15[[#This Row],[Importe]]-Tabla15[[#This Row],[Pagado]]</f>
        <v>0</v>
      </c>
      <c r="H2561" s="92" t="s">
        <v>10</v>
      </c>
    </row>
    <row r="2562" spans="1:8" ht="21.75" customHeight="1" x14ac:dyDescent="0.25">
      <c r="A2562" s="35">
        <v>44675</v>
      </c>
      <c r="B2562" s="90" t="s">
        <v>13237</v>
      </c>
      <c r="C2562" s="41" t="s">
        <v>47</v>
      </c>
      <c r="D2562" s="87">
        <v>40784.5</v>
      </c>
      <c r="E2562" s="35">
        <v>44675</v>
      </c>
      <c r="F2562" s="87">
        <v>40784.5</v>
      </c>
      <c r="G2562" s="91">
        <f>Tabla15[[#This Row],[Importe]]-Tabla15[[#This Row],[Pagado]]</f>
        <v>0</v>
      </c>
      <c r="H2562" s="92" t="s">
        <v>10</v>
      </c>
    </row>
    <row r="2563" spans="1:8" ht="21.75" customHeight="1" x14ac:dyDescent="0.25">
      <c r="A2563" s="35">
        <v>44675</v>
      </c>
      <c r="B2563" s="90" t="s">
        <v>13238</v>
      </c>
      <c r="C2563" s="41" t="s">
        <v>51</v>
      </c>
      <c r="D2563" s="87">
        <v>2884.1</v>
      </c>
      <c r="E2563" s="35">
        <v>44675</v>
      </c>
      <c r="F2563" s="87">
        <v>2884.1</v>
      </c>
      <c r="G2563" s="91">
        <f>Tabla15[[#This Row],[Importe]]-Tabla15[[#This Row],[Pagado]]</f>
        <v>0</v>
      </c>
      <c r="H2563" s="92" t="s">
        <v>10</v>
      </c>
    </row>
    <row r="2564" spans="1:8" ht="21.75" customHeight="1" x14ac:dyDescent="0.25">
      <c r="A2564" s="35">
        <v>44675</v>
      </c>
      <c r="B2564" s="90" t="s">
        <v>13239</v>
      </c>
      <c r="C2564" s="41" t="s">
        <v>10678</v>
      </c>
      <c r="D2564" s="87">
        <v>1186.8</v>
      </c>
      <c r="E2564" s="35">
        <v>44675</v>
      </c>
      <c r="F2564" s="87">
        <v>1186.8</v>
      </c>
      <c r="G2564" s="91">
        <f>Tabla15[[#This Row],[Importe]]-Tabla15[[#This Row],[Pagado]]</f>
        <v>0</v>
      </c>
      <c r="H2564" s="92" t="s">
        <v>10</v>
      </c>
    </row>
    <row r="2565" spans="1:8" ht="21.75" customHeight="1" x14ac:dyDescent="0.25">
      <c r="A2565" s="35">
        <v>44675</v>
      </c>
      <c r="B2565" s="90" t="s">
        <v>13240</v>
      </c>
      <c r="C2565" s="41" t="s">
        <v>37</v>
      </c>
      <c r="D2565" s="87">
        <v>1808.9</v>
      </c>
      <c r="E2565" s="35">
        <v>44675</v>
      </c>
      <c r="F2565" s="87">
        <v>1808.9</v>
      </c>
      <c r="G2565" s="91">
        <f>Tabla15[[#This Row],[Importe]]-Tabla15[[#This Row],[Pagado]]</f>
        <v>0</v>
      </c>
      <c r="H2565" s="92" t="s">
        <v>10</v>
      </c>
    </row>
    <row r="2566" spans="1:8" ht="21.75" customHeight="1" x14ac:dyDescent="0.25">
      <c r="A2566" s="35">
        <v>44675</v>
      </c>
      <c r="B2566" s="90" t="s">
        <v>13241</v>
      </c>
      <c r="C2566" s="41" t="s">
        <v>56</v>
      </c>
      <c r="D2566" s="87">
        <v>14408.1</v>
      </c>
      <c r="E2566" s="35">
        <v>44675</v>
      </c>
      <c r="F2566" s="87">
        <v>14408.1</v>
      </c>
      <c r="G2566" s="91">
        <f>Tabla15[[#This Row],[Importe]]-Tabla15[[#This Row],[Pagado]]</f>
        <v>0</v>
      </c>
      <c r="H2566" s="92" t="s">
        <v>10</v>
      </c>
    </row>
    <row r="2567" spans="1:8" ht="21.75" customHeight="1" x14ac:dyDescent="0.25">
      <c r="A2567" s="35">
        <v>44675</v>
      </c>
      <c r="B2567" s="90" t="s">
        <v>13242</v>
      </c>
      <c r="C2567" s="41" t="s">
        <v>481</v>
      </c>
      <c r="D2567" s="87">
        <v>2140.4</v>
      </c>
      <c r="E2567" s="35">
        <v>44675</v>
      </c>
      <c r="F2567" s="87">
        <v>2140.4</v>
      </c>
      <c r="G2567" s="91">
        <f>Tabla15[[#This Row],[Importe]]-Tabla15[[#This Row],[Pagado]]</f>
        <v>0</v>
      </c>
      <c r="H2567" s="92" t="s">
        <v>10</v>
      </c>
    </row>
    <row r="2568" spans="1:8" ht="21.75" customHeight="1" x14ac:dyDescent="0.25">
      <c r="A2568" s="35">
        <v>44675</v>
      </c>
      <c r="B2568" s="90" t="s">
        <v>13243</v>
      </c>
      <c r="C2568" s="41" t="s">
        <v>20</v>
      </c>
      <c r="D2568" s="87">
        <v>6922.2</v>
      </c>
      <c r="E2568" s="35">
        <v>44675</v>
      </c>
      <c r="F2568" s="87">
        <v>6922.2</v>
      </c>
      <c r="G2568" s="91">
        <f>Tabla15[[#This Row],[Importe]]-Tabla15[[#This Row],[Pagado]]</f>
        <v>0</v>
      </c>
      <c r="H2568" s="92" t="s">
        <v>10</v>
      </c>
    </row>
    <row r="2569" spans="1:8" ht="21.75" customHeight="1" x14ac:dyDescent="0.25">
      <c r="A2569" s="35">
        <v>44675</v>
      </c>
      <c r="B2569" s="90" t="s">
        <v>13244</v>
      </c>
      <c r="C2569" s="41" t="s">
        <v>815</v>
      </c>
      <c r="D2569" s="87">
        <v>1688.4</v>
      </c>
      <c r="E2569" s="35">
        <v>44675</v>
      </c>
      <c r="F2569" s="87">
        <v>1688.4</v>
      </c>
      <c r="G2569" s="91">
        <f>Tabla15[[#This Row],[Importe]]-Tabla15[[#This Row],[Pagado]]</f>
        <v>0</v>
      </c>
      <c r="H2569" s="92" t="s">
        <v>10</v>
      </c>
    </row>
    <row r="2570" spans="1:8" ht="21.75" customHeight="1" x14ac:dyDescent="0.25">
      <c r="A2570" s="35">
        <v>44675</v>
      </c>
      <c r="B2570" s="90" t="s">
        <v>13245</v>
      </c>
      <c r="C2570" s="41" t="s">
        <v>105</v>
      </c>
      <c r="D2570" s="87">
        <v>2172.1</v>
      </c>
      <c r="E2570" s="35">
        <v>44675</v>
      </c>
      <c r="F2570" s="87">
        <v>2172.1</v>
      </c>
      <c r="G2570" s="91">
        <f>Tabla15[[#This Row],[Importe]]-Tabla15[[#This Row],[Pagado]]</f>
        <v>0</v>
      </c>
      <c r="H2570" s="92" t="s">
        <v>10</v>
      </c>
    </row>
    <row r="2571" spans="1:8" ht="21.75" customHeight="1" x14ac:dyDescent="0.25">
      <c r="A2571" s="35">
        <v>44675</v>
      </c>
      <c r="B2571" s="90" t="s">
        <v>13246</v>
      </c>
      <c r="C2571" s="41" t="s">
        <v>289</v>
      </c>
      <c r="D2571" s="87">
        <v>7066.6</v>
      </c>
      <c r="E2571" s="35">
        <v>44675</v>
      </c>
      <c r="F2571" s="87">
        <v>7066.6</v>
      </c>
      <c r="G2571" s="91">
        <f>Tabla15[[#This Row],[Importe]]-Tabla15[[#This Row],[Pagado]]</f>
        <v>0</v>
      </c>
      <c r="H2571" s="92" t="s">
        <v>10</v>
      </c>
    </row>
    <row r="2572" spans="1:8" ht="21.75" customHeight="1" x14ac:dyDescent="0.25">
      <c r="A2572" s="35">
        <v>44675</v>
      </c>
      <c r="B2572" s="90" t="s">
        <v>13247</v>
      </c>
      <c r="C2572" s="41" t="s">
        <v>161</v>
      </c>
      <c r="D2572" s="87">
        <v>3763.7</v>
      </c>
      <c r="E2572" s="35">
        <v>44675</v>
      </c>
      <c r="F2572" s="87">
        <v>3763.7</v>
      </c>
      <c r="G2572" s="91">
        <f>Tabla15[[#This Row],[Importe]]-Tabla15[[#This Row],[Pagado]]</f>
        <v>0</v>
      </c>
      <c r="H2572" s="92" t="s">
        <v>10</v>
      </c>
    </row>
    <row r="2573" spans="1:8" ht="21.75" customHeight="1" x14ac:dyDescent="0.25">
      <c r="A2573" s="35">
        <v>44675</v>
      </c>
      <c r="B2573" s="90" t="s">
        <v>13248</v>
      </c>
      <c r="C2573" s="41" t="s">
        <v>49</v>
      </c>
      <c r="D2573" s="87">
        <v>4211</v>
      </c>
      <c r="E2573" s="35">
        <v>44675</v>
      </c>
      <c r="F2573" s="87">
        <v>4211</v>
      </c>
      <c r="G2573" s="91">
        <f>Tabla15[[#This Row],[Importe]]-Tabla15[[#This Row],[Pagado]]</f>
        <v>0</v>
      </c>
      <c r="H2573" s="92" t="s">
        <v>10</v>
      </c>
    </row>
    <row r="2574" spans="1:8" ht="21.75" customHeight="1" x14ac:dyDescent="0.25">
      <c r="A2574" s="35">
        <v>44675</v>
      </c>
      <c r="B2574" s="90" t="s">
        <v>13249</v>
      </c>
      <c r="C2574" s="41" t="s">
        <v>45</v>
      </c>
      <c r="D2574" s="87">
        <v>7661.7</v>
      </c>
      <c r="E2574" s="35">
        <v>44675</v>
      </c>
      <c r="F2574" s="87">
        <v>7661.7</v>
      </c>
      <c r="G2574" s="91">
        <f>Tabla15[[#This Row],[Importe]]-Tabla15[[#This Row],[Pagado]]</f>
        <v>0</v>
      </c>
      <c r="H2574" s="92" t="s">
        <v>10</v>
      </c>
    </row>
    <row r="2575" spans="1:8" ht="21.75" customHeight="1" x14ac:dyDescent="0.25">
      <c r="A2575" s="35">
        <v>44675</v>
      </c>
      <c r="B2575" s="90" t="s">
        <v>13250</v>
      </c>
      <c r="C2575" s="41" t="s">
        <v>24</v>
      </c>
      <c r="D2575" s="87">
        <v>3895.8</v>
      </c>
      <c r="E2575" s="35">
        <v>44675</v>
      </c>
      <c r="F2575" s="87">
        <v>3895.8</v>
      </c>
      <c r="G2575" s="91">
        <f>Tabla15[[#This Row],[Importe]]-Tabla15[[#This Row],[Pagado]]</f>
        <v>0</v>
      </c>
      <c r="H2575" s="92" t="s">
        <v>10</v>
      </c>
    </row>
    <row r="2576" spans="1:8" ht="21.75" customHeight="1" x14ac:dyDescent="0.25">
      <c r="A2576" s="35">
        <v>44675</v>
      </c>
      <c r="B2576" s="90" t="s">
        <v>13251</v>
      </c>
      <c r="C2576" s="41" t="s">
        <v>216</v>
      </c>
      <c r="D2576" s="87">
        <v>2668</v>
      </c>
      <c r="E2576" s="35">
        <v>44675</v>
      </c>
      <c r="F2576" s="87">
        <v>2668</v>
      </c>
      <c r="G2576" s="91">
        <f>Tabla15[[#This Row],[Importe]]-Tabla15[[#This Row],[Pagado]]</f>
        <v>0</v>
      </c>
      <c r="H2576" s="92" t="s">
        <v>10</v>
      </c>
    </row>
    <row r="2577" spans="1:8" ht="21.75" customHeight="1" x14ac:dyDescent="0.25">
      <c r="A2577" s="35">
        <v>44675</v>
      </c>
      <c r="B2577" s="90" t="s">
        <v>13252</v>
      </c>
      <c r="C2577" s="41" t="s">
        <v>31</v>
      </c>
      <c r="D2577" s="87">
        <v>1136.8</v>
      </c>
      <c r="E2577" s="35">
        <v>44675</v>
      </c>
      <c r="F2577" s="87">
        <v>1136.8</v>
      </c>
      <c r="G2577" s="91">
        <f>Tabla15[[#This Row],[Importe]]-Tabla15[[#This Row],[Pagado]]</f>
        <v>0</v>
      </c>
      <c r="H2577" s="92" t="s">
        <v>10</v>
      </c>
    </row>
    <row r="2578" spans="1:8" ht="21.75" customHeight="1" x14ac:dyDescent="0.25">
      <c r="A2578" s="35">
        <v>44675</v>
      </c>
      <c r="B2578" s="90" t="s">
        <v>13253</v>
      </c>
      <c r="C2578" s="41" t="s">
        <v>382</v>
      </c>
      <c r="D2578" s="87">
        <v>8143.2</v>
      </c>
      <c r="E2578" s="35">
        <v>44675</v>
      </c>
      <c r="F2578" s="87">
        <v>8143.2</v>
      </c>
      <c r="G2578" s="91">
        <f>Tabla15[[#This Row],[Importe]]-Tabla15[[#This Row],[Pagado]]</f>
        <v>0</v>
      </c>
      <c r="H2578" s="92" t="s">
        <v>10</v>
      </c>
    </row>
    <row r="2579" spans="1:8" ht="21.75" customHeight="1" x14ac:dyDescent="0.25">
      <c r="A2579" s="35">
        <v>44675</v>
      </c>
      <c r="B2579" s="90" t="s">
        <v>13254</v>
      </c>
      <c r="C2579" s="41" t="s">
        <v>31</v>
      </c>
      <c r="D2579" s="87">
        <v>583.6</v>
      </c>
      <c r="E2579" s="35">
        <v>44675</v>
      </c>
      <c r="F2579" s="87">
        <v>583.6</v>
      </c>
      <c r="G2579" s="91">
        <f>Tabla15[[#This Row],[Importe]]-Tabla15[[#This Row],[Pagado]]</f>
        <v>0</v>
      </c>
      <c r="H2579" s="92" t="s">
        <v>10</v>
      </c>
    </row>
    <row r="2580" spans="1:8" ht="21.75" customHeight="1" x14ac:dyDescent="0.25">
      <c r="A2580" s="35">
        <v>44675</v>
      </c>
      <c r="B2580" s="90" t="s">
        <v>13255</v>
      </c>
      <c r="C2580" s="41" t="s">
        <v>58</v>
      </c>
      <c r="D2580" s="87">
        <v>4167</v>
      </c>
      <c r="E2580" s="35">
        <v>44675</v>
      </c>
      <c r="F2580" s="87">
        <v>4167</v>
      </c>
      <c r="G2580" s="91">
        <f>Tabla15[[#This Row],[Importe]]-Tabla15[[#This Row],[Pagado]]</f>
        <v>0</v>
      </c>
      <c r="H2580" s="92" t="s">
        <v>10</v>
      </c>
    </row>
    <row r="2581" spans="1:8" ht="21.75" customHeight="1" x14ac:dyDescent="0.25">
      <c r="A2581" s="35">
        <v>44675</v>
      </c>
      <c r="B2581" s="90" t="s">
        <v>13256</v>
      </c>
      <c r="C2581" s="41" t="s">
        <v>58</v>
      </c>
      <c r="D2581" s="87">
        <v>621</v>
      </c>
      <c r="E2581" s="35">
        <v>44675</v>
      </c>
      <c r="F2581" s="87">
        <v>621</v>
      </c>
      <c r="G2581" s="91">
        <f>Tabla15[[#This Row],[Importe]]-Tabla15[[#This Row],[Pagado]]</f>
        <v>0</v>
      </c>
      <c r="H2581" s="92" t="s">
        <v>10</v>
      </c>
    </row>
    <row r="2582" spans="1:8" ht="21.75" customHeight="1" x14ac:dyDescent="0.25">
      <c r="A2582" s="35">
        <v>44675</v>
      </c>
      <c r="B2582" s="90" t="s">
        <v>13257</v>
      </c>
      <c r="C2582" s="41" t="s">
        <v>69</v>
      </c>
      <c r="D2582" s="87">
        <v>3422</v>
      </c>
      <c r="E2582" s="35">
        <v>44675</v>
      </c>
      <c r="F2582" s="87">
        <v>3422</v>
      </c>
      <c r="G2582" s="91">
        <f>Tabla15[[#This Row],[Importe]]-Tabla15[[#This Row],[Pagado]]</f>
        <v>0</v>
      </c>
      <c r="H2582" s="92" t="s">
        <v>10</v>
      </c>
    </row>
    <row r="2583" spans="1:8" ht="21.75" customHeight="1" x14ac:dyDescent="0.25">
      <c r="A2583" s="35">
        <v>44675</v>
      </c>
      <c r="B2583" s="90" t="s">
        <v>13258</v>
      </c>
      <c r="C2583" s="41" t="s">
        <v>31</v>
      </c>
      <c r="D2583" s="87">
        <v>620.6</v>
      </c>
      <c r="E2583" s="35">
        <v>44675</v>
      </c>
      <c r="F2583" s="87">
        <v>620.6</v>
      </c>
      <c r="G2583" s="91">
        <f>Tabla15[[#This Row],[Importe]]-Tabla15[[#This Row],[Pagado]]</f>
        <v>0</v>
      </c>
      <c r="H2583" s="92" t="s">
        <v>10</v>
      </c>
    </row>
    <row r="2584" spans="1:8" ht="21.75" customHeight="1" x14ac:dyDescent="0.25">
      <c r="A2584" s="35">
        <v>44675</v>
      </c>
      <c r="B2584" s="90" t="s">
        <v>13259</v>
      </c>
      <c r="C2584" s="41" t="s">
        <v>9415</v>
      </c>
      <c r="D2584" s="87">
        <v>12654.2</v>
      </c>
      <c r="E2584" s="35">
        <v>44675</v>
      </c>
      <c r="F2584" s="87">
        <v>12654.2</v>
      </c>
      <c r="G2584" s="91">
        <f>Tabla15[[#This Row],[Importe]]-Tabla15[[#This Row],[Pagado]]</f>
        <v>0</v>
      </c>
      <c r="H2584" s="92" t="s">
        <v>10</v>
      </c>
    </row>
    <row r="2585" spans="1:8" ht="21.75" customHeight="1" x14ac:dyDescent="0.25">
      <c r="A2585" s="35">
        <v>44675</v>
      </c>
      <c r="B2585" s="90" t="s">
        <v>13260</v>
      </c>
      <c r="C2585" s="41" t="s">
        <v>67</v>
      </c>
      <c r="D2585" s="87">
        <v>3096.8</v>
      </c>
      <c r="E2585" s="35">
        <v>44675</v>
      </c>
      <c r="F2585" s="87">
        <v>3096.8</v>
      </c>
      <c r="G2585" s="91">
        <f>Tabla15[[#This Row],[Importe]]-Tabla15[[#This Row],[Pagado]]</f>
        <v>0</v>
      </c>
      <c r="H2585" s="92" t="s">
        <v>10</v>
      </c>
    </row>
    <row r="2586" spans="1:8" ht="21.75" customHeight="1" x14ac:dyDescent="0.25">
      <c r="A2586" s="35">
        <v>44675</v>
      </c>
      <c r="B2586" s="90" t="s">
        <v>13261</v>
      </c>
      <c r="C2586" s="41" t="s">
        <v>31</v>
      </c>
      <c r="D2586" s="87">
        <v>551</v>
      </c>
      <c r="E2586" s="35">
        <v>44675</v>
      </c>
      <c r="F2586" s="87">
        <v>551</v>
      </c>
      <c r="G2586" s="91">
        <f>Tabla15[[#This Row],[Importe]]-Tabla15[[#This Row],[Pagado]]</f>
        <v>0</v>
      </c>
      <c r="H2586" s="92" t="s">
        <v>10</v>
      </c>
    </row>
    <row r="2587" spans="1:8" ht="21.75" customHeight="1" x14ac:dyDescent="0.25">
      <c r="A2587" s="35">
        <v>44675</v>
      </c>
      <c r="B2587" s="90" t="s">
        <v>13262</v>
      </c>
      <c r="C2587" s="41" t="s">
        <v>71</v>
      </c>
      <c r="D2587" s="87">
        <v>1932</v>
      </c>
      <c r="E2587" s="35">
        <v>44675</v>
      </c>
      <c r="F2587" s="87">
        <v>1932</v>
      </c>
      <c r="G2587" s="91">
        <f>Tabla15[[#This Row],[Importe]]-Tabla15[[#This Row],[Pagado]]</f>
        <v>0</v>
      </c>
      <c r="H2587" s="92" t="s">
        <v>10</v>
      </c>
    </row>
    <row r="2588" spans="1:8" ht="21.75" customHeight="1" x14ac:dyDescent="0.25">
      <c r="A2588" s="35">
        <v>44675</v>
      </c>
      <c r="B2588" s="90" t="s">
        <v>13263</v>
      </c>
      <c r="C2588" s="41" t="s">
        <v>12609</v>
      </c>
      <c r="D2588" s="87">
        <v>6536.8</v>
      </c>
      <c r="E2588" s="35">
        <v>44675</v>
      </c>
      <c r="F2588" s="87">
        <v>6536.8</v>
      </c>
      <c r="G2588" s="91">
        <f>Tabla15[[#This Row],[Importe]]-Tabla15[[#This Row],[Pagado]]</f>
        <v>0</v>
      </c>
      <c r="H2588" s="92" t="s">
        <v>10</v>
      </c>
    </row>
    <row r="2589" spans="1:8" ht="21.75" customHeight="1" x14ac:dyDescent="0.25">
      <c r="A2589" s="35">
        <v>44675</v>
      </c>
      <c r="B2589" s="90" t="s">
        <v>13264</v>
      </c>
      <c r="C2589" s="41" t="s">
        <v>7745</v>
      </c>
      <c r="D2589" s="87">
        <v>30038.400000000001</v>
      </c>
      <c r="E2589" s="35">
        <v>44675</v>
      </c>
      <c r="F2589" s="87">
        <v>30038.400000000001</v>
      </c>
      <c r="G2589" s="91">
        <f>Tabla15[[#This Row],[Importe]]-Tabla15[[#This Row],[Pagado]]</f>
        <v>0</v>
      </c>
      <c r="H2589" s="92" t="s">
        <v>10</v>
      </c>
    </row>
    <row r="2590" spans="1:8" ht="21.75" customHeight="1" x14ac:dyDescent="0.25">
      <c r="A2590" s="35">
        <v>44675</v>
      </c>
      <c r="B2590" s="90" t="s">
        <v>13265</v>
      </c>
      <c r="C2590" s="41" t="s">
        <v>2139</v>
      </c>
      <c r="D2590" s="87">
        <v>5521.8</v>
      </c>
      <c r="E2590" s="35">
        <v>44675</v>
      </c>
      <c r="F2590" s="87">
        <v>5521.8</v>
      </c>
      <c r="G2590" s="91">
        <f>Tabla15[[#This Row],[Importe]]-Tabla15[[#This Row],[Pagado]]</f>
        <v>0</v>
      </c>
      <c r="H2590" s="92" t="s">
        <v>10</v>
      </c>
    </row>
    <row r="2591" spans="1:8" ht="21.75" customHeight="1" x14ac:dyDescent="0.25">
      <c r="A2591" s="35">
        <v>44675</v>
      </c>
      <c r="B2591" s="90" t="s">
        <v>13266</v>
      </c>
      <c r="C2591" s="41" t="s">
        <v>31</v>
      </c>
      <c r="D2591" s="87">
        <v>2478.8000000000002</v>
      </c>
      <c r="E2591" s="35">
        <v>44675</v>
      </c>
      <c r="F2591" s="87">
        <v>2478.8000000000002</v>
      </c>
      <c r="G2591" s="91">
        <f>Tabla15[[#This Row],[Importe]]-Tabla15[[#This Row],[Pagado]]</f>
        <v>0</v>
      </c>
      <c r="H2591" s="92" t="s">
        <v>10</v>
      </c>
    </row>
    <row r="2592" spans="1:8" ht="21.75" customHeight="1" x14ac:dyDescent="0.25">
      <c r="A2592" s="35">
        <v>44675</v>
      </c>
      <c r="B2592" s="90" t="s">
        <v>13267</v>
      </c>
      <c r="C2592" s="41" t="s">
        <v>27</v>
      </c>
      <c r="D2592" s="87">
        <v>798.4</v>
      </c>
      <c r="E2592" s="35">
        <v>44675</v>
      </c>
      <c r="F2592" s="87">
        <v>798.4</v>
      </c>
      <c r="G2592" s="91">
        <f>Tabla15[[#This Row],[Importe]]-Tabla15[[#This Row],[Pagado]]</f>
        <v>0</v>
      </c>
      <c r="H2592" s="92" t="s">
        <v>10</v>
      </c>
    </row>
    <row r="2593" spans="1:8" ht="21.75" customHeight="1" x14ac:dyDescent="0.25">
      <c r="A2593" s="35">
        <v>44675</v>
      </c>
      <c r="B2593" s="90" t="s">
        <v>13268</v>
      </c>
      <c r="C2593" s="41" t="s">
        <v>804</v>
      </c>
      <c r="D2593" s="87">
        <v>12051</v>
      </c>
      <c r="E2593" s="35">
        <v>44675</v>
      </c>
      <c r="F2593" s="87">
        <v>12051</v>
      </c>
      <c r="G2593" s="91">
        <f>Tabla15[[#This Row],[Importe]]-Tabla15[[#This Row],[Pagado]]</f>
        <v>0</v>
      </c>
      <c r="H2593" s="92" t="s">
        <v>10</v>
      </c>
    </row>
    <row r="2594" spans="1:8" ht="21.75" customHeight="1" x14ac:dyDescent="0.25">
      <c r="A2594" s="35">
        <v>44675</v>
      </c>
      <c r="B2594" s="90" t="s">
        <v>13269</v>
      </c>
      <c r="C2594" s="41" t="s">
        <v>53</v>
      </c>
      <c r="D2594" s="87">
        <v>2124</v>
      </c>
      <c r="E2594" s="35">
        <v>44675</v>
      </c>
      <c r="F2594" s="87">
        <v>2124</v>
      </c>
      <c r="G2594" s="91">
        <f>Tabla15[[#This Row],[Importe]]-Tabla15[[#This Row],[Pagado]]</f>
        <v>0</v>
      </c>
      <c r="H2594" s="92" t="s">
        <v>10</v>
      </c>
    </row>
    <row r="2595" spans="1:8" ht="21.75" customHeight="1" x14ac:dyDescent="0.25">
      <c r="A2595" s="35">
        <v>44675</v>
      </c>
      <c r="B2595" s="90" t="s">
        <v>13270</v>
      </c>
      <c r="C2595" s="41" t="s">
        <v>1339</v>
      </c>
      <c r="D2595" s="87">
        <v>3442.5</v>
      </c>
      <c r="E2595" s="35">
        <v>44675</v>
      </c>
      <c r="F2595" s="87">
        <v>3442.5</v>
      </c>
      <c r="G2595" s="91">
        <f>Tabla15[[#This Row],[Importe]]-Tabla15[[#This Row],[Pagado]]</f>
        <v>0</v>
      </c>
      <c r="H2595" s="92" t="s">
        <v>10</v>
      </c>
    </row>
    <row r="2596" spans="1:8" ht="21.75" customHeight="1" x14ac:dyDescent="0.25">
      <c r="A2596" s="35">
        <v>44675</v>
      </c>
      <c r="B2596" s="90" t="s">
        <v>13271</v>
      </c>
      <c r="C2596" s="41" t="s">
        <v>214</v>
      </c>
      <c r="D2596" s="87">
        <v>1392</v>
      </c>
      <c r="E2596" s="35">
        <v>44675</v>
      </c>
      <c r="F2596" s="87">
        <v>1392</v>
      </c>
      <c r="G2596" s="91">
        <f>Tabla15[[#This Row],[Importe]]-Tabla15[[#This Row],[Pagado]]</f>
        <v>0</v>
      </c>
      <c r="H2596" s="92" t="s">
        <v>10</v>
      </c>
    </row>
    <row r="2597" spans="1:8" ht="21.75" customHeight="1" x14ac:dyDescent="0.25">
      <c r="A2597" s="35">
        <v>44675</v>
      </c>
      <c r="B2597" s="90" t="s">
        <v>13272</v>
      </c>
      <c r="C2597" s="41" t="s">
        <v>67</v>
      </c>
      <c r="D2597" s="87">
        <v>841</v>
      </c>
      <c r="E2597" s="35">
        <v>44675</v>
      </c>
      <c r="F2597" s="87">
        <v>841</v>
      </c>
      <c r="G2597" s="91">
        <f>Tabla15[[#This Row],[Importe]]-Tabla15[[#This Row],[Pagado]]</f>
        <v>0</v>
      </c>
      <c r="H2597" s="92" t="s">
        <v>10</v>
      </c>
    </row>
    <row r="2598" spans="1:8" ht="21.75" customHeight="1" x14ac:dyDescent="0.25">
      <c r="A2598" s="35">
        <v>44676</v>
      </c>
      <c r="B2598" s="90" t="s">
        <v>13273</v>
      </c>
      <c r="C2598" s="41" t="s">
        <v>501</v>
      </c>
      <c r="D2598" s="87">
        <v>5976</v>
      </c>
      <c r="E2598" s="35">
        <v>44676</v>
      </c>
      <c r="F2598" s="87">
        <v>5976</v>
      </c>
      <c r="G2598" s="91">
        <f>Tabla15[[#This Row],[Importe]]-Tabla15[[#This Row],[Pagado]]</f>
        <v>0</v>
      </c>
      <c r="H2598" s="92" t="s">
        <v>10</v>
      </c>
    </row>
    <row r="2599" spans="1:8" ht="31.5" x14ac:dyDescent="0.25">
      <c r="A2599" s="35">
        <v>44676</v>
      </c>
      <c r="B2599" s="90" t="s">
        <v>13274</v>
      </c>
      <c r="C2599" s="41" t="s">
        <v>475</v>
      </c>
      <c r="D2599" s="87">
        <v>95426.5</v>
      </c>
      <c r="E2599" s="35" t="s">
        <v>13127</v>
      </c>
      <c r="F2599" s="87">
        <f>75000+20426.5</f>
        <v>95426.5</v>
      </c>
      <c r="G2599" s="91">
        <f>Tabla15[[#This Row],[Importe]]-Tabla15[[#This Row],[Pagado]]</f>
        <v>0</v>
      </c>
      <c r="H2599" s="92" t="s">
        <v>10</v>
      </c>
    </row>
    <row r="2600" spans="1:8" ht="21.75" customHeight="1" x14ac:dyDescent="0.25">
      <c r="A2600" s="35">
        <v>44676</v>
      </c>
      <c r="B2600" s="90" t="s">
        <v>13275</v>
      </c>
      <c r="C2600" s="41" t="s">
        <v>481</v>
      </c>
      <c r="D2600" s="87">
        <v>1580.8</v>
      </c>
      <c r="E2600" s="35">
        <v>44676</v>
      </c>
      <c r="F2600" s="87">
        <v>1580.8</v>
      </c>
      <c r="G2600" s="91">
        <f>Tabla15[[#This Row],[Importe]]-Tabla15[[#This Row],[Pagado]]</f>
        <v>0</v>
      </c>
      <c r="H2600" s="92" t="s">
        <v>10</v>
      </c>
    </row>
    <row r="2601" spans="1:8" ht="21.75" customHeight="1" x14ac:dyDescent="0.25">
      <c r="A2601" s="35">
        <v>44676</v>
      </c>
      <c r="B2601" s="90" t="s">
        <v>13276</v>
      </c>
      <c r="C2601" s="41" t="s">
        <v>179</v>
      </c>
      <c r="D2601" s="87">
        <v>968.6</v>
      </c>
      <c r="E2601" s="35">
        <v>44676</v>
      </c>
      <c r="F2601" s="87">
        <v>968.6</v>
      </c>
      <c r="G2601" s="91">
        <f>Tabla15[[#This Row],[Importe]]-Tabla15[[#This Row],[Pagado]]</f>
        <v>0</v>
      </c>
      <c r="H2601" s="92" t="s">
        <v>10</v>
      </c>
    </row>
    <row r="2602" spans="1:8" ht="21.75" customHeight="1" x14ac:dyDescent="0.25">
      <c r="A2602" s="35">
        <v>44676</v>
      </c>
      <c r="B2602" s="90" t="s">
        <v>13277</v>
      </c>
      <c r="C2602" s="41" t="s">
        <v>135</v>
      </c>
      <c r="D2602" s="87">
        <v>1655.3</v>
      </c>
      <c r="E2602" s="35">
        <v>44676</v>
      </c>
      <c r="F2602" s="87">
        <v>1655.3</v>
      </c>
      <c r="G2602" s="91">
        <f>Tabla15[[#This Row],[Importe]]-Tabla15[[#This Row],[Pagado]]</f>
        <v>0</v>
      </c>
      <c r="H2602" s="92" t="s">
        <v>10</v>
      </c>
    </row>
    <row r="2603" spans="1:8" ht="21.75" customHeight="1" x14ac:dyDescent="0.25">
      <c r="A2603" s="35">
        <v>44676</v>
      </c>
      <c r="B2603" s="90" t="s">
        <v>13278</v>
      </c>
      <c r="C2603" s="41" t="s">
        <v>8949</v>
      </c>
      <c r="D2603" s="87">
        <v>7076</v>
      </c>
      <c r="E2603" s="35">
        <v>44676</v>
      </c>
      <c r="F2603" s="87">
        <v>7076</v>
      </c>
      <c r="G2603" s="91">
        <f>Tabla15[[#This Row],[Importe]]-Tabla15[[#This Row],[Pagado]]</f>
        <v>0</v>
      </c>
      <c r="H2603" s="92" t="s">
        <v>10</v>
      </c>
    </row>
    <row r="2604" spans="1:8" ht="21.75" customHeight="1" x14ac:dyDescent="0.25">
      <c r="A2604" s="35">
        <v>44676</v>
      </c>
      <c r="B2604" s="90" t="s">
        <v>13279</v>
      </c>
      <c r="C2604" s="41" t="s">
        <v>12</v>
      </c>
      <c r="D2604" s="87">
        <v>49600.15</v>
      </c>
      <c r="E2604" s="35">
        <v>44676</v>
      </c>
      <c r="F2604" s="87">
        <v>49600.15</v>
      </c>
      <c r="G2604" s="91">
        <f>Tabla15[[#This Row],[Importe]]-Tabla15[[#This Row],[Pagado]]</f>
        <v>0</v>
      </c>
      <c r="H2604" s="92" t="s">
        <v>10</v>
      </c>
    </row>
    <row r="2605" spans="1:8" ht="21.75" customHeight="1" x14ac:dyDescent="0.25">
      <c r="A2605" s="35">
        <v>44676</v>
      </c>
      <c r="B2605" s="90" t="s">
        <v>13280</v>
      </c>
      <c r="C2605" s="41" t="s">
        <v>27</v>
      </c>
      <c r="D2605" s="87">
        <v>4685.8999999999996</v>
      </c>
      <c r="E2605" s="35">
        <v>44676</v>
      </c>
      <c r="F2605" s="87">
        <v>4685.8999999999996</v>
      </c>
      <c r="G2605" s="91">
        <f>Tabla15[[#This Row],[Importe]]-Tabla15[[#This Row],[Pagado]]</f>
        <v>0</v>
      </c>
      <c r="H2605" s="92" t="s">
        <v>10</v>
      </c>
    </row>
    <row r="2606" spans="1:8" ht="21.75" customHeight="1" x14ac:dyDescent="0.25">
      <c r="A2606" s="35">
        <v>44676</v>
      </c>
      <c r="B2606" s="90" t="s">
        <v>13281</v>
      </c>
      <c r="C2606" s="41" t="s">
        <v>9</v>
      </c>
      <c r="D2606" s="87">
        <v>2737.1</v>
      </c>
      <c r="E2606" s="35">
        <v>44676</v>
      </c>
      <c r="F2606" s="87">
        <v>2737.1</v>
      </c>
      <c r="G2606" s="91">
        <f>Tabla15[[#This Row],[Importe]]-Tabla15[[#This Row],[Pagado]]</f>
        <v>0</v>
      </c>
      <c r="H2606" s="92" t="s">
        <v>10</v>
      </c>
    </row>
    <row r="2607" spans="1:8" ht="21.75" customHeight="1" x14ac:dyDescent="0.25">
      <c r="A2607" s="35">
        <v>44676</v>
      </c>
      <c r="B2607" s="90" t="s">
        <v>13282</v>
      </c>
      <c r="C2607" s="41" t="s">
        <v>131</v>
      </c>
      <c r="D2607" s="87">
        <v>8173.8</v>
      </c>
      <c r="E2607" s="35">
        <v>44676</v>
      </c>
      <c r="F2607" s="87">
        <v>8173.8</v>
      </c>
      <c r="G2607" s="91">
        <f>Tabla15[[#This Row],[Importe]]-Tabla15[[#This Row],[Pagado]]</f>
        <v>0</v>
      </c>
      <c r="H2607" s="92" t="s">
        <v>10</v>
      </c>
    </row>
    <row r="2608" spans="1:8" ht="21.75" customHeight="1" x14ac:dyDescent="0.25">
      <c r="A2608" s="35">
        <v>44676</v>
      </c>
      <c r="B2608" s="90" t="s">
        <v>13283</v>
      </c>
      <c r="C2608" s="41" t="s">
        <v>275</v>
      </c>
      <c r="D2608" s="87">
        <v>113469.68</v>
      </c>
      <c r="E2608" s="35">
        <v>44687</v>
      </c>
      <c r="F2608" s="87">
        <v>113469.68</v>
      </c>
      <c r="G2608" s="91">
        <f>Tabla15[[#This Row],[Importe]]-Tabla15[[#This Row],[Pagado]]</f>
        <v>0</v>
      </c>
      <c r="H2608" s="92" t="s">
        <v>10</v>
      </c>
    </row>
    <row r="2609" spans="1:8" ht="31.5" x14ac:dyDescent="0.25">
      <c r="A2609" s="35">
        <v>44676</v>
      </c>
      <c r="B2609" s="90" t="s">
        <v>13284</v>
      </c>
      <c r="C2609" s="41" t="s">
        <v>22</v>
      </c>
      <c r="D2609" s="87">
        <v>31535</v>
      </c>
      <c r="E2609" s="35" t="s">
        <v>13127</v>
      </c>
      <c r="F2609" s="87">
        <f>25000+6535</f>
        <v>31535</v>
      </c>
      <c r="G2609" s="91">
        <f>Tabla15[[#This Row],[Importe]]-Tabla15[[#This Row],[Pagado]]</f>
        <v>0</v>
      </c>
      <c r="H2609" s="92" t="s">
        <v>10</v>
      </c>
    </row>
    <row r="2610" spans="1:8" ht="21.75" customHeight="1" x14ac:dyDescent="0.25">
      <c r="A2610" s="35">
        <v>44676</v>
      </c>
      <c r="B2610" s="90" t="s">
        <v>13285</v>
      </c>
      <c r="C2610" s="41" t="s">
        <v>83</v>
      </c>
      <c r="D2610" s="87">
        <v>8675.6</v>
      </c>
      <c r="E2610" s="35">
        <v>44676</v>
      </c>
      <c r="F2610" s="87">
        <v>8675.6</v>
      </c>
      <c r="G2610" s="91">
        <f>Tabla15[[#This Row],[Importe]]-Tabla15[[#This Row],[Pagado]]</f>
        <v>0</v>
      </c>
      <c r="H2610" s="92" t="s">
        <v>10</v>
      </c>
    </row>
    <row r="2611" spans="1:8" ht="21.75" customHeight="1" x14ac:dyDescent="0.25">
      <c r="A2611" s="35">
        <v>44676</v>
      </c>
      <c r="B2611" s="90" t="s">
        <v>13286</v>
      </c>
      <c r="C2611" s="41" t="s">
        <v>275</v>
      </c>
      <c r="D2611" s="87">
        <v>10012</v>
      </c>
      <c r="E2611" s="35">
        <v>44687</v>
      </c>
      <c r="F2611" s="87">
        <v>10012</v>
      </c>
      <c r="G2611" s="91">
        <f>Tabla15[[#This Row],[Importe]]-Tabla15[[#This Row],[Pagado]]</f>
        <v>0</v>
      </c>
      <c r="H2611" s="92" t="s">
        <v>10</v>
      </c>
    </row>
    <row r="2612" spans="1:8" ht="21.75" customHeight="1" x14ac:dyDescent="0.25">
      <c r="A2612" s="35">
        <v>44676</v>
      </c>
      <c r="B2612" s="90" t="s">
        <v>13287</v>
      </c>
      <c r="C2612" s="41" t="s">
        <v>93</v>
      </c>
      <c r="D2612" s="87">
        <v>3308.7</v>
      </c>
      <c r="E2612" s="35">
        <v>44677</v>
      </c>
      <c r="F2612" s="87">
        <v>3308.7</v>
      </c>
      <c r="G2612" s="91">
        <f>Tabla15[[#This Row],[Importe]]-Tabla15[[#This Row],[Pagado]]</f>
        <v>0</v>
      </c>
      <c r="H2612" s="92" t="s">
        <v>10</v>
      </c>
    </row>
    <row r="2613" spans="1:8" ht="21.75" customHeight="1" x14ac:dyDescent="0.25">
      <c r="A2613" s="35">
        <v>44676</v>
      </c>
      <c r="B2613" s="90" t="s">
        <v>13288</v>
      </c>
      <c r="C2613" s="41" t="s">
        <v>64</v>
      </c>
      <c r="D2613" s="87">
        <v>9068.6</v>
      </c>
      <c r="E2613" s="35">
        <v>44677</v>
      </c>
      <c r="F2613" s="87">
        <v>9068.6</v>
      </c>
      <c r="G2613" s="91">
        <f>Tabla15[[#This Row],[Importe]]-Tabla15[[#This Row],[Pagado]]</f>
        <v>0</v>
      </c>
      <c r="H2613" s="92" t="s">
        <v>10</v>
      </c>
    </row>
    <row r="2614" spans="1:8" ht="31.5" x14ac:dyDescent="0.25">
      <c r="A2614" s="35">
        <v>44676</v>
      </c>
      <c r="B2614" s="90" t="s">
        <v>13289</v>
      </c>
      <c r="C2614" s="41" t="s">
        <v>39</v>
      </c>
      <c r="D2614" s="87">
        <v>21931.5</v>
      </c>
      <c r="E2614" s="35" t="s">
        <v>13290</v>
      </c>
      <c r="F2614" s="87">
        <f>4000+17931.5</f>
        <v>21931.5</v>
      </c>
      <c r="G2614" s="91">
        <f>Tabla15[[#This Row],[Importe]]-Tabla15[[#This Row],[Pagado]]</f>
        <v>0</v>
      </c>
      <c r="H2614" s="92" t="s">
        <v>10</v>
      </c>
    </row>
    <row r="2615" spans="1:8" ht="21.75" customHeight="1" x14ac:dyDescent="0.25">
      <c r="A2615" s="35">
        <v>44676</v>
      </c>
      <c r="B2615" s="90" t="s">
        <v>13291</v>
      </c>
      <c r="C2615" s="41" t="s">
        <v>120</v>
      </c>
      <c r="D2615" s="87">
        <v>4955.5</v>
      </c>
      <c r="E2615" s="35">
        <v>44678</v>
      </c>
      <c r="F2615" s="87">
        <v>4955.5</v>
      </c>
      <c r="G2615" s="91">
        <f>Tabla15[[#This Row],[Importe]]-Tabla15[[#This Row],[Pagado]]</f>
        <v>0</v>
      </c>
      <c r="H2615" s="92" t="s">
        <v>10</v>
      </c>
    </row>
    <row r="2616" spans="1:8" ht="21.75" customHeight="1" x14ac:dyDescent="0.25">
      <c r="A2616" s="35">
        <v>44676</v>
      </c>
      <c r="B2616" s="90" t="s">
        <v>13292</v>
      </c>
      <c r="C2616" s="41" t="s">
        <v>111</v>
      </c>
      <c r="D2616" s="87">
        <v>4375.8</v>
      </c>
      <c r="E2616" s="35">
        <v>44677</v>
      </c>
      <c r="F2616" s="87">
        <v>4375.8</v>
      </c>
      <c r="G2616" s="91">
        <f>Tabla15[[#This Row],[Importe]]-Tabla15[[#This Row],[Pagado]]</f>
        <v>0</v>
      </c>
      <c r="H2616" s="92" t="s">
        <v>10</v>
      </c>
    </row>
    <row r="2617" spans="1:8" ht="31.5" x14ac:dyDescent="0.25">
      <c r="A2617" s="35">
        <v>44676</v>
      </c>
      <c r="B2617" s="90" t="s">
        <v>13293</v>
      </c>
      <c r="C2617" s="41" t="s">
        <v>99</v>
      </c>
      <c r="D2617" s="87">
        <v>3004.4</v>
      </c>
      <c r="E2617" s="35" t="s">
        <v>12873</v>
      </c>
      <c r="F2617" s="87">
        <f>1500+1504.4</f>
        <v>3004.4</v>
      </c>
      <c r="G2617" s="91">
        <f>Tabla15[[#This Row],[Importe]]-Tabla15[[#This Row],[Pagado]]</f>
        <v>0</v>
      </c>
      <c r="H2617" s="92" t="s">
        <v>10</v>
      </c>
    </row>
    <row r="2618" spans="1:8" ht="21.75" customHeight="1" x14ac:dyDescent="0.25">
      <c r="A2618" s="35">
        <v>44676</v>
      </c>
      <c r="B2618" s="90" t="s">
        <v>13294</v>
      </c>
      <c r="C2618" s="41" t="s">
        <v>109</v>
      </c>
      <c r="D2618" s="87">
        <v>4329.8999999999996</v>
      </c>
      <c r="E2618" s="35">
        <v>44677</v>
      </c>
      <c r="F2618" s="87">
        <v>4329.8999999999996</v>
      </c>
      <c r="G2618" s="91">
        <f>Tabla15[[#This Row],[Importe]]-Tabla15[[#This Row],[Pagado]]</f>
        <v>0</v>
      </c>
      <c r="H2618" s="92" t="s">
        <v>10</v>
      </c>
    </row>
    <row r="2619" spans="1:8" ht="31.5" x14ac:dyDescent="0.25">
      <c r="A2619" s="35">
        <v>44676</v>
      </c>
      <c r="B2619" s="90" t="s">
        <v>13295</v>
      </c>
      <c r="C2619" s="41" t="s">
        <v>345</v>
      </c>
      <c r="D2619" s="87">
        <v>4635.8999999999996</v>
      </c>
      <c r="E2619" s="35" t="s">
        <v>13296</v>
      </c>
      <c r="F2619" s="87">
        <f>2000+2635.9</f>
        <v>4635.8999999999996</v>
      </c>
      <c r="G2619" s="91">
        <f>Tabla15[[#This Row],[Importe]]-Tabla15[[#This Row],[Pagado]]</f>
        <v>0</v>
      </c>
      <c r="H2619" s="92" t="s">
        <v>10</v>
      </c>
    </row>
    <row r="2620" spans="1:8" ht="21.75" customHeight="1" x14ac:dyDescent="0.25">
      <c r="A2620" s="35">
        <v>44676</v>
      </c>
      <c r="B2620" s="90" t="s">
        <v>13297</v>
      </c>
      <c r="C2620" s="41" t="s">
        <v>326</v>
      </c>
      <c r="D2620" s="87">
        <v>4462.5</v>
      </c>
      <c r="E2620" s="35">
        <v>44678</v>
      </c>
      <c r="F2620" s="87">
        <v>4462.5</v>
      </c>
      <c r="G2620" s="91">
        <f>Tabla15[[#This Row],[Importe]]-Tabla15[[#This Row],[Pagado]]</f>
        <v>0</v>
      </c>
      <c r="H2620" s="92" t="s">
        <v>10</v>
      </c>
    </row>
    <row r="2621" spans="1:8" ht="21.75" customHeight="1" x14ac:dyDescent="0.25">
      <c r="A2621" s="35">
        <v>44676</v>
      </c>
      <c r="B2621" s="90" t="s">
        <v>13298</v>
      </c>
      <c r="C2621" s="41" t="s">
        <v>105</v>
      </c>
      <c r="D2621" s="87">
        <v>6129.9</v>
      </c>
      <c r="E2621" s="35">
        <v>44676</v>
      </c>
      <c r="F2621" s="87">
        <v>6129.9</v>
      </c>
      <c r="G2621" s="91">
        <f>Tabla15[[#This Row],[Importe]]-Tabla15[[#This Row],[Pagado]]</f>
        <v>0</v>
      </c>
      <c r="H2621" s="92" t="s">
        <v>10</v>
      </c>
    </row>
    <row r="2622" spans="1:8" ht="21.75" customHeight="1" x14ac:dyDescent="0.25">
      <c r="A2622" s="35">
        <v>44676</v>
      </c>
      <c r="B2622" s="90" t="s">
        <v>13299</v>
      </c>
      <c r="C2622" s="41" t="s">
        <v>2151</v>
      </c>
      <c r="D2622" s="87">
        <v>14387.1</v>
      </c>
      <c r="E2622" s="35">
        <v>44676</v>
      </c>
      <c r="F2622" s="87">
        <v>14387.1</v>
      </c>
      <c r="G2622" s="91">
        <f>Tabla15[[#This Row],[Importe]]-Tabla15[[#This Row],[Pagado]]</f>
        <v>0</v>
      </c>
      <c r="H2622" s="92" t="s">
        <v>10</v>
      </c>
    </row>
    <row r="2623" spans="1:8" ht="21.75" customHeight="1" x14ac:dyDescent="0.25">
      <c r="A2623" s="35">
        <v>44676</v>
      </c>
      <c r="B2623" s="90" t="s">
        <v>13300</v>
      </c>
      <c r="C2623" s="41" t="s">
        <v>114</v>
      </c>
      <c r="D2623" s="87">
        <v>9690</v>
      </c>
      <c r="E2623" s="35">
        <v>44677</v>
      </c>
      <c r="F2623" s="87">
        <v>9690</v>
      </c>
      <c r="G2623" s="91">
        <f>Tabla15[[#This Row],[Importe]]-Tabla15[[#This Row],[Pagado]]</f>
        <v>0</v>
      </c>
      <c r="H2623" s="92" t="s">
        <v>10</v>
      </c>
    </row>
    <row r="2624" spans="1:8" ht="21.75" customHeight="1" x14ac:dyDescent="0.25">
      <c r="A2624" s="35">
        <v>44676</v>
      </c>
      <c r="B2624" s="90" t="s">
        <v>13301</v>
      </c>
      <c r="C2624" s="41" t="s">
        <v>11033</v>
      </c>
      <c r="D2624" s="87">
        <v>3072</v>
      </c>
      <c r="E2624" s="35">
        <v>44676</v>
      </c>
      <c r="F2624" s="87">
        <v>3072</v>
      </c>
      <c r="G2624" s="91">
        <f>Tabla15[[#This Row],[Importe]]-Tabla15[[#This Row],[Pagado]]</f>
        <v>0</v>
      </c>
      <c r="H2624" s="92" t="s">
        <v>10</v>
      </c>
    </row>
    <row r="2625" spans="1:8" ht="21.75" customHeight="1" x14ac:dyDescent="0.25">
      <c r="A2625" s="35">
        <v>44676</v>
      </c>
      <c r="B2625" s="90" t="s">
        <v>13302</v>
      </c>
      <c r="C2625" s="41" t="s">
        <v>89</v>
      </c>
      <c r="D2625" s="87">
        <v>5706</v>
      </c>
      <c r="E2625" s="35">
        <v>44677</v>
      </c>
      <c r="F2625" s="87">
        <v>5706</v>
      </c>
      <c r="G2625" s="91">
        <f>Tabla15[[#This Row],[Importe]]-Tabla15[[#This Row],[Pagado]]</f>
        <v>0</v>
      </c>
      <c r="H2625" s="92" t="s">
        <v>10</v>
      </c>
    </row>
    <row r="2626" spans="1:8" ht="21.75" customHeight="1" x14ac:dyDescent="0.25">
      <c r="A2626" s="35">
        <v>44676</v>
      </c>
      <c r="B2626" s="90" t="s">
        <v>13303</v>
      </c>
      <c r="C2626" s="41" t="s">
        <v>97</v>
      </c>
      <c r="D2626" s="87">
        <v>4401.3</v>
      </c>
      <c r="E2626" s="35">
        <v>44677</v>
      </c>
      <c r="F2626" s="87">
        <v>4401.3</v>
      </c>
      <c r="G2626" s="91">
        <f>Tabla15[[#This Row],[Importe]]-Tabla15[[#This Row],[Pagado]]</f>
        <v>0</v>
      </c>
      <c r="H2626" s="92" t="s">
        <v>10</v>
      </c>
    </row>
    <row r="2627" spans="1:8" ht="21.75" customHeight="1" x14ac:dyDescent="0.25">
      <c r="A2627" s="35">
        <v>44676</v>
      </c>
      <c r="B2627" s="90" t="s">
        <v>13304</v>
      </c>
      <c r="C2627" s="41" t="s">
        <v>348</v>
      </c>
      <c r="D2627" s="87">
        <v>3136.5</v>
      </c>
      <c r="E2627" s="35">
        <v>44676</v>
      </c>
      <c r="F2627" s="87">
        <v>3136.5</v>
      </c>
      <c r="G2627" s="91">
        <f>Tabla15[[#This Row],[Importe]]-Tabla15[[#This Row],[Pagado]]</f>
        <v>0</v>
      </c>
      <c r="H2627" s="92" t="s">
        <v>10</v>
      </c>
    </row>
    <row r="2628" spans="1:8" ht="21.75" customHeight="1" x14ac:dyDescent="0.25">
      <c r="A2628" s="35">
        <v>44676</v>
      </c>
      <c r="B2628" s="90" t="s">
        <v>13305</v>
      </c>
      <c r="C2628" s="41" t="s">
        <v>314</v>
      </c>
      <c r="D2628" s="87">
        <v>1131</v>
      </c>
      <c r="E2628" s="35">
        <v>44676</v>
      </c>
      <c r="F2628" s="87">
        <v>1131</v>
      </c>
      <c r="G2628" s="91">
        <f>Tabla15[[#This Row],[Importe]]-Tabla15[[#This Row],[Pagado]]</f>
        <v>0</v>
      </c>
      <c r="H2628" s="92" t="s">
        <v>10</v>
      </c>
    </row>
    <row r="2629" spans="1:8" ht="21.75" customHeight="1" x14ac:dyDescent="0.25">
      <c r="A2629" s="35">
        <v>44676</v>
      </c>
      <c r="B2629" s="90" t="s">
        <v>13306</v>
      </c>
      <c r="C2629" s="41" t="s">
        <v>87</v>
      </c>
      <c r="D2629" s="87">
        <v>2860.2</v>
      </c>
      <c r="E2629" s="35">
        <v>44676</v>
      </c>
      <c r="F2629" s="87">
        <v>2860.2</v>
      </c>
      <c r="G2629" s="91">
        <f>Tabla15[[#This Row],[Importe]]-Tabla15[[#This Row],[Pagado]]</f>
        <v>0</v>
      </c>
      <c r="H2629" s="92" t="s">
        <v>10</v>
      </c>
    </row>
    <row r="2630" spans="1:8" ht="21.75" customHeight="1" x14ac:dyDescent="0.25">
      <c r="A2630" s="35">
        <v>44676</v>
      </c>
      <c r="B2630" s="90" t="s">
        <v>13307</v>
      </c>
      <c r="C2630" s="41" t="s">
        <v>137</v>
      </c>
      <c r="D2630" s="87">
        <v>4382.3999999999996</v>
      </c>
      <c r="E2630" s="35">
        <v>44676</v>
      </c>
      <c r="F2630" s="87">
        <v>4382.3999999999996</v>
      </c>
      <c r="G2630" s="91">
        <f>Tabla15[[#This Row],[Importe]]-Tabla15[[#This Row],[Pagado]]</f>
        <v>0</v>
      </c>
      <c r="H2630" s="92" t="s">
        <v>10</v>
      </c>
    </row>
    <row r="2631" spans="1:8" ht="21.75" customHeight="1" x14ac:dyDescent="0.25">
      <c r="A2631" s="35">
        <v>44676</v>
      </c>
      <c r="B2631" s="90" t="s">
        <v>13308</v>
      </c>
      <c r="C2631" s="41" t="s">
        <v>12202</v>
      </c>
      <c r="D2631" s="87">
        <v>5600</v>
      </c>
      <c r="E2631" s="35">
        <v>44676</v>
      </c>
      <c r="F2631" s="87">
        <v>5600</v>
      </c>
      <c r="G2631" s="91">
        <f>Tabla15[[#This Row],[Importe]]-Tabla15[[#This Row],[Pagado]]</f>
        <v>0</v>
      </c>
      <c r="H2631" s="92" t="s">
        <v>10</v>
      </c>
    </row>
    <row r="2632" spans="1:8" ht="21.75" customHeight="1" x14ac:dyDescent="0.25">
      <c r="A2632" s="35">
        <v>44676</v>
      </c>
      <c r="B2632" s="90" t="s">
        <v>13309</v>
      </c>
      <c r="C2632" s="41" t="s">
        <v>16</v>
      </c>
      <c r="D2632" s="87">
        <v>5115.3999999999996</v>
      </c>
      <c r="E2632" s="35">
        <v>44676</v>
      </c>
      <c r="F2632" s="87">
        <v>5115.3999999999996</v>
      </c>
      <c r="G2632" s="91">
        <f>Tabla15[[#This Row],[Importe]]-Tabla15[[#This Row],[Pagado]]</f>
        <v>0</v>
      </c>
      <c r="H2632" s="92" t="s">
        <v>10</v>
      </c>
    </row>
    <row r="2633" spans="1:8" ht="21.75" customHeight="1" x14ac:dyDescent="0.25">
      <c r="A2633" s="35">
        <v>44676</v>
      </c>
      <c r="B2633" s="90" t="s">
        <v>13310</v>
      </c>
      <c r="C2633" s="41" t="s">
        <v>53</v>
      </c>
      <c r="D2633" s="87">
        <v>3551.8</v>
      </c>
      <c r="E2633" s="35">
        <v>44676</v>
      </c>
      <c r="F2633" s="87">
        <v>3551.8</v>
      </c>
      <c r="G2633" s="91">
        <f>Tabla15[[#This Row],[Importe]]-Tabla15[[#This Row],[Pagado]]</f>
        <v>0</v>
      </c>
      <c r="H2633" s="92" t="s">
        <v>10</v>
      </c>
    </row>
    <row r="2634" spans="1:8" ht="21.75" customHeight="1" x14ac:dyDescent="0.25">
      <c r="A2634" s="35">
        <v>44676</v>
      </c>
      <c r="B2634" s="90" t="s">
        <v>13311</v>
      </c>
      <c r="C2634" s="41" t="s">
        <v>214</v>
      </c>
      <c r="D2634" s="87">
        <v>9750.1</v>
      </c>
      <c r="E2634" s="35">
        <v>44676</v>
      </c>
      <c r="F2634" s="87">
        <v>9750.1</v>
      </c>
      <c r="G2634" s="91">
        <f>Tabla15[[#This Row],[Importe]]-Tabla15[[#This Row],[Pagado]]</f>
        <v>0</v>
      </c>
      <c r="H2634" s="92" t="s">
        <v>10</v>
      </c>
    </row>
    <row r="2635" spans="1:8" ht="21.75" customHeight="1" x14ac:dyDescent="0.25">
      <c r="A2635" s="35">
        <v>44676</v>
      </c>
      <c r="B2635" s="90" t="s">
        <v>13312</v>
      </c>
      <c r="C2635" s="41" t="s">
        <v>670</v>
      </c>
      <c r="D2635" s="87">
        <v>3916.2</v>
      </c>
      <c r="E2635" s="35">
        <v>44676</v>
      </c>
      <c r="F2635" s="87">
        <v>3916.2</v>
      </c>
      <c r="G2635" s="91">
        <f>Tabla15[[#This Row],[Importe]]-Tabla15[[#This Row],[Pagado]]</f>
        <v>0</v>
      </c>
      <c r="H2635" s="92" t="s">
        <v>10</v>
      </c>
    </row>
    <row r="2636" spans="1:8" ht="21.75" customHeight="1" x14ac:dyDescent="0.25">
      <c r="A2636" s="35">
        <v>44676</v>
      </c>
      <c r="B2636" s="90" t="s">
        <v>13313</v>
      </c>
      <c r="C2636" s="41" t="s">
        <v>31</v>
      </c>
      <c r="D2636" s="87">
        <v>1142.5999999999999</v>
      </c>
      <c r="E2636" s="35">
        <v>44676</v>
      </c>
      <c r="F2636" s="87">
        <v>1142.5999999999999</v>
      </c>
      <c r="G2636" s="91">
        <f>Tabla15[[#This Row],[Importe]]-Tabla15[[#This Row],[Pagado]]</f>
        <v>0</v>
      </c>
      <c r="H2636" s="92" t="s">
        <v>10</v>
      </c>
    </row>
    <row r="2637" spans="1:8" ht="21.75" customHeight="1" x14ac:dyDescent="0.25">
      <c r="A2637" s="35">
        <v>44676</v>
      </c>
      <c r="B2637" s="90" t="s">
        <v>13314</v>
      </c>
      <c r="C2637" s="41" t="s">
        <v>142</v>
      </c>
      <c r="D2637" s="87">
        <v>46744.6</v>
      </c>
      <c r="E2637" s="35">
        <v>44722</v>
      </c>
      <c r="F2637" s="87">
        <v>46744.6</v>
      </c>
      <c r="G2637" s="91">
        <f>Tabla15[[#This Row],[Importe]]-Tabla15[[#This Row],[Pagado]]</f>
        <v>0</v>
      </c>
      <c r="H2637" s="92" t="s">
        <v>10</v>
      </c>
    </row>
    <row r="2638" spans="1:8" ht="21.75" customHeight="1" x14ac:dyDescent="0.25">
      <c r="A2638" s="35">
        <v>44676</v>
      </c>
      <c r="B2638" s="90" t="s">
        <v>13315</v>
      </c>
      <c r="C2638" s="41" t="s">
        <v>348</v>
      </c>
      <c r="D2638" s="87">
        <v>4393.8</v>
      </c>
      <c r="E2638" s="35">
        <v>44676</v>
      </c>
      <c r="F2638" s="87">
        <v>4393.8</v>
      </c>
      <c r="G2638" s="91">
        <f>Tabla15[[#This Row],[Importe]]-Tabla15[[#This Row],[Pagado]]</f>
        <v>0</v>
      </c>
      <c r="H2638" s="92" t="s">
        <v>10</v>
      </c>
    </row>
    <row r="2639" spans="1:8" ht="21.75" customHeight="1" x14ac:dyDescent="0.25">
      <c r="A2639" s="35">
        <v>44676</v>
      </c>
      <c r="B2639" s="90" t="s">
        <v>13316</v>
      </c>
      <c r="C2639" s="41" t="s">
        <v>85</v>
      </c>
      <c r="D2639" s="87">
        <v>1548.6</v>
      </c>
      <c r="E2639" s="35">
        <v>44676</v>
      </c>
      <c r="F2639" s="87">
        <v>1548.6</v>
      </c>
      <c r="G2639" s="91">
        <f>Tabla15[[#This Row],[Importe]]-Tabla15[[#This Row],[Pagado]]</f>
        <v>0</v>
      </c>
      <c r="H2639" s="92" t="s">
        <v>10</v>
      </c>
    </row>
    <row r="2640" spans="1:8" ht="21.75" customHeight="1" x14ac:dyDescent="0.25">
      <c r="A2640" s="35">
        <v>44676</v>
      </c>
      <c r="B2640" s="90" t="s">
        <v>13317</v>
      </c>
      <c r="C2640" s="41" t="s">
        <v>75</v>
      </c>
      <c r="D2640" s="87">
        <v>7383.4</v>
      </c>
      <c r="E2640" s="35">
        <v>44676</v>
      </c>
      <c r="F2640" s="87">
        <v>7383.4</v>
      </c>
      <c r="G2640" s="91">
        <f>Tabla15[[#This Row],[Importe]]-Tabla15[[#This Row],[Pagado]]</f>
        <v>0</v>
      </c>
      <c r="H2640" s="92" t="s">
        <v>10</v>
      </c>
    </row>
    <row r="2641" spans="1:8" ht="21.75" customHeight="1" x14ac:dyDescent="0.25">
      <c r="A2641" s="35">
        <v>44676</v>
      </c>
      <c r="B2641" s="90" t="s">
        <v>13318</v>
      </c>
      <c r="C2641" s="41" t="s">
        <v>218</v>
      </c>
      <c r="D2641" s="87">
        <v>17654.3</v>
      </c>
      <c r="E2641" s="35">
        <v>44678</v>
      </c>
      <c r="F2641" s="87">
        <v>17654.3</v>
      </c>
      <c r="G2641" s="91">
        <f>Tabla15[[#This Row],[Importe]]-Tabla15[[#This Row],[Pagado]]</f>
        <v>0</v>
      </c>
      <c r="H2641" s="92" t="s">
        <v>10</v>
      </c>
    </row>
    <row r="2642" spans="1:8" ht="21.75" customHeight="1" x14ac:dyDescent="0.25">
      <c r="A2642" s="35">
        <v>44676</v>
      </c>
      <c r="B2642" s="90" t="s">
        <v>13319</v>
      </c>
      <c r="C2642" s="41" t="s">
        <v>212</v>
      </c>
      <c r="D2642" s="87">
        <v>42340.7</v>
      </c>
      <c r="E2642" s="35">
        <v>44678</v>
      </c>
      <c r="F2642" s="87">
        <v>42340.7</v>
      </c>
      <c r="G2642" s="91">
        <f>Tabla15[[#This Row],[Importe]]-Tabla15[[#This Row],[Pagado]]</f>
        <v>0</v>
      </c>
      <c r="H2642" s="92" t="s">
        <v>10</v>
      </c>
    </row>
    <row r="2643" spans="1:8" ht="21.75" customHeight="1" x14ac:dyDescent="0.25">
      <c r="A2643" s="35">
        <v>44676</v>
      </c>
      <c r="B2643" s="90" t="s">
        <v>13320</v>
      </c>
      <c r="C2643" s="41" t="s">
        <v>1421</v>
      </c>
      <c r="D2643" s="87">
        <v>37487</v>
      </c>
      <c r="E2643" s="35">
        <v>44676</v>
      </c>
      <c r="F2643" s="87">
        <v>37487</v>
      </c>
      <c r="G2643" s="91">
        <f>Tabla15[[#This Row],[Importe]]-Tabla15[[#This Row],[Pagado]]</f>
        <v>0</v>
      </c>
      <c r="H2643" s="92" t="s">
        <v>10</v>
      </c>
    </row>
    <row r="2644" spans="1:8" ht="21.75" customHeight="1" x14ac:dyDescent="0.25">
      <c r="A2644" s="35">
        <v>44676</v>
      </c>
      <c r="B2644" s="90" t="s">
        <v>13321</v>
      </c>
      <c r="C2644" s="41" t="s">
        <v>206</v>
      </c>
      <c r="D2644" s="87">
        <v>26791</v>
      </c>
      <c r="E2644" s="35">
        <v>44678</v>
      </c>
      <c r="F2644" s="87">
        <v>26791</v>
      </c>
      <c r="G2644" s="91">
        <f>Tabla15[[#This Row],[Importe]]-Tabla15[[#This Row],[Pagado]]</f>
        <v>0</v>
      </c>
      <c r="H2644" s="92" t="s">
        <v>10</v>
      </c>
    </row>
    <row r="2645" spans="1:8" ht="21.75" customHeight="1" x14ac:dyDescent="0.25">
      <c r="A2645" s="35">
        <v>44676</v>
      </c>
      <c r="B2645" s="90" t="s">
        <v>13322</v>
      </c>
      <c r="C2645" s="41" t="s">
        <v>56</v>
      </c>
      <c r="D2645" s="87">
        <v>6709.5</v>
      </c>
      <c r="E2645" s="35">
        <v>44676</v>
      </c>
      <c r="F2645" s="87">
        <v>6709.5</v>
      </c>
      <c r="G2645" s="91">
        <f>Tabla15[[#This Row],[Importe]]-Tabla15[[#This Row],[Pagado]]</f>
        <v>0</v>
      </c>
      <c r="H2645" s="92" t="s">
        <v>10</v>
      </c>
    </row>
    <row r="2646" spans="1:8" ht="21.75" customHeight="1" x14ac:dyDescent="0.25">
      <c r="A2646" s="35">
        <v>44676</v>
      </c>
      <c r="B2646" s="90" t="s">
        <v>13323</v>
      </c>
      <c r="C2646" s="41" t="s">
        <v>3971</v>
      </c>
      <c r="D2646" s="87">
        <v>1897.8</v>
      </c>
      <c r="E2646" s="35">
        <v>44676</v>
      </c>
      <c r="F2646" s="87">
        <v>1897.8</v>
      </c>
      <c r="G2646" s="91">
        <f>Tabla15[[#This Row],[Importe]]-Tabla15[[#This Row],[Pagado]]</f>
        <v>0</v>
      </c>
      <c r="H2646" s="92" t="s">
        <v>10</v>
      </c>
    </row>
    <row r="2647" spans="1:8" ht="21.75" customHeight="1" x14ac:dyDescent="0.25">
      <c r="A2647" s="35">
        <v>44676</v>
      </c>
      <c r="B2647" s="90" t="s">
        <v>13324</v>
      </c>
      <c r="C2647" s="41" t="s">
        <v>12543</v>
      </c>
      <c r="D2647" s="87">
        <v>29384.1</v>
      </c>
      <c r="E2647" s="35">
        <v>44676</v>
      </c>
      <c r="F2647" s="87">
        <v>29384.1</v>
      </c>
      <c r="G2647" s="91">
        <f>Tabla15[[#This Row],[Importe]]-Tabla15[[#This Row],[Pagado]]</f>
        <v>0</v>
      </c>
      <c r="H2647" s="92" t="s">
        <v>10</v>
      </c>
    </row>
    <row r="2648" spans="1:8" ht="21.75" customHeight="1" x14ac:dyDescent="0.25">
      <c r="A2648" s="35">
        <v>44676</v>
      </c>
      <c r="B2648" s="90" t="s">
        <v>13325</v>
      </c>
      <c r="C2648" s="41" t="s">
        <v>222</v>
      </c>
      <c r="D2648" s="87">
        <v>8107.8</v>
      </c>
      <c r="E2648" s="35">
        <v>44676</v>
      </c>
      <c r="F2648" s="87">
        <v>8107.8</v>
      </c>
      <c r="G2648" s="91">
        <f>Tabla15[[#This Row],[Importe]]-Tabla15[[#This Row],[Pagado]]</f>
        <v>0</v>
      </c>
      <c r="H2648" s="92" t="s">
        <v>10</v>
      </c>
    </row>
    <row r="2649" spans="1:8" ht="21.75" customHeight="1" x14ac:dyDescent="0.25">
      <c r="A2649" s="35">
        <v>44676</v>
      </c>
      <c r="B2649" s="90" t="s">
        <v>13326</v>
      </c>
      <c r="C2649" s="41" t="s">
        <v>31</v>
      </c>
      <c r="D2649" s="87">
        <v>5346</v>
      </c>
      <c r="E2649" s="35">
        <v>44676</v>
      </c>
      <c r="F2649" s="87">
        <v>5346</v>
      </c>
      <c r="G2649" s="91">
        <f>Tabla15[[#This Row],[Importe]]-Tabla15[[#This Row],[Pagado]]</f>
        <v>0</v>
      </c>
      <c r="H2649" s="92" t="s">
        <v>10</v>
      </c>
    </row>
    <row r="2650" spans="1:8" ht="21.75" customHeight="1" x14ac:dyDescent="0.25">
      <c r="A2650" s="35">
        <v>44676</v>
      </c>
      <c r="B2650" s="90" t="s">
        <v>13327</v>
      </c>
      <c r="C2650" s="41" t="s">
        <v>357</v>
      </c>
      <c r="D2650" s="87">
        <v>1197.7</v>
      </c>
      <c r="E2650" s="35">
        <v>44676</v>
      </c>
      <c r="F2650" s="87">
        <v>1197.7</v>
      </c>
      <c r="G2650" s="91">
        <f>Tabla15[[#This Row],[Importe]]-Tabla15[[#This Row],[Pagado]]</f>
        <v>0</v>
      </c>
      <c r="H2650" s="92" t="s">
        <v>10</v>
      </c>
    </row>
    <row r="2651" spans="1:8" ht="21.75" customHeight="1" x14ac:dyDescent="0.25">
      <c r="A2651" s="35">
        <v>44676</v>
      </c>
      <c r="B2651" s="90" t="s">
        <v>13328</v>
      </c>
      <c r="C2651" s="41" t="s">
        <v>140</v>
      </c>
      <c r="D2651" s="87">
        <v>5535.5</v>
      </c>
      <c r="E2651" s="35">
        <v>44676</v>
      </c>
      <c r="F2651" s="87">
        <v>5535.5</v>
      </c>
      <c r="G2651" s="91">
        <f>Tabla15[[#This Row],[Importe]]-Tabla15[[#This Row],[Pagado]]</f>
        <v>0</v>
      </c>
      <c r="H2651" s="92" t="s">
        <v>10</v>
      </c>
    </row>
    <row r="2652" spans="1:8" ht="21.75" customHeight="1" x14ac:dyDescent="0.25">
      <c r="A2652" s="35">
        <v>44676</v>
      </c>
      <c r="B2652" s="90" t="s">
        <v>13329</v>
      </c>
      <c r="C2652" s="41" t="s">
        <v>127</v>
      </c>
      <c r="D2652" s="87">
        <v>5026.3999999999996</v>
      </c>
      <c r="E2652" s="35">
        <v>44676</v>
      </c>
      <c r="F2652" s="87">
        <v>5026.3999999999996</v>
      </c>
      <c r="G2652" s="91">
        <f>Tabla15[[#This Row],[Importe]]-Tabla15[[#This Row],[Pagado]]</f>
        <v>0</v>
      </c>
      <c r="H2652" s="92" t="s">
        <v>10</v>
      </c>
    </row>
    <row r="2653" spans="1:8" ht="21.75" customHeight="1" x14ac:dyDescent="0.25">
      <c r="A2653" s="35">
        <v>44676</v>
      </c>
      <c r="B2653" s="90" t="s">
        <v>13330</v>
      </c>
      <c r="C2653" s="41" t="s">
        <v>129</v>
      </c>
      <c r="D2653" s="87">
        <v>2440.5</v>
      </c>
      <c r="E2653" s="35">
        <v>44676</v>
      </c>
      <c r="F2653" s="87">
        <v>2440.5</v>
      </c>
      <c r="G2653" s="91">
        <f>Tabla15[[#This Row],[Importe]]-Tabla15[[#This Row],[Pagado]]</f>
        <v>0</v>
      </c>
      <c r="H2653" s="92" t="s">
        <v>10</v>
      </c>
    </row>
    <row r="2654" spans="1:8" ht="21.75" customHeight="1" x14ac:dyDescent="0.25">
      <c r="A2654" s="35">
        <v>44676</v>
      </c>
      <c r="B2654" s="90" t="s">
        <v>13331</v>
      </c>
      <c r="C2654" s="41" t="s">
        <v>208</v>
      </c>
      <c r="D2654" s="87">
        <v>14248.5</v>
      </c>
      <c r="E2654" s="35">
        <v>44677</v>
      </c>
      <c r="F2654" s="87">
        <v>14248.5</v>
      </c>
      <c r="G2654" s="91">
        <f>Tabla15[[#This Row],[Importe]]-Tabla15[[#This Row],[Pagado]]</f>
        <v>0</v>
      </c>
      <c r="H2654" s="92" t="s">
        <v>10</v>
      </c>
    </row>
    <row r="2655" spans="1:8" ht="21.75" customHeight="1" x14ac:dyDescent="0.25">
      <c r="A2655" s="35">
        <v>44676</v>
      </c>
      <c r="B2655" s="90" t="s">
        <v>13332</v>
      </c>
      <c r="C2655" s="41" t="s">
        <v>240</v>
      </c>
      <c r="D2655" s="87">
        <v>8224</v>
      </c>
      <c r="E2655" s="35">
        <v>44676</v>
      </c>
      <c r="F2655" s="87">
        <v>8224</v>
      </c>
      <c r="G2655" s="91">
        <f>Tabla15[[#This Row],[Importe]]-Tabla15[[#This Row],[Pagado]]</f>
        <v>0</v>
      </c>
      <c r="H2655" s="92" t="s">
        <v>10</v>
      </c>
    </row>
    <row r="2656" spans="1:8" ht="21.75" customHeight="1" x14ac:dyDescent="0.25">
      <c r="A2656" s="35">
        <v>44676</v>
      </c>
      <c r="B2656" s="90" t="s">
        <v>13333</v>
      </c>
      <c r="C2656" s="41" t="s">
        <v>107</v>
      </c>
      <c r="D2656" s="87">
        <v>12926.7</v>
      </c>
      <c r="E2656" s="35">
        <v>44677</v>
      </c>
      <c r="F2656" s="87">
        <v>12926.7</v>
      </c>
      <c r="G2656" s="91">
        <f>Tabla15[[#This Row],[Importe]]-Tabla15[[#This Row],[Pagado]]</f>
        <v>0</v>
      </c>
      <c r="H2656" s="92" t="s">
        <v>10</v>
      </c>
    </row>
    <row r="2657" spans="1:8" ht="21.75" customHeight="1" x14ac:dyDescent="0.25">
      <c r="A2657" s="35">
        <v>44676</v>
      </c>
      <c r="B2657" s="90" t="s">
        <v>13334</v>
      </c>
      <c r="C2657" s="41" t="s">
        <v>45</v>
      </c>
      <c r="D2657" s="87">
        <v>10940.4</v>
      </c>
      <c r="E2657" s="35">
        <v>44676</v>
      </c>
      <c r="F2657" s="87">
        <v>10940.4</v>
      </c>
      <c r="G2657" s="91">
        <f>Tabla15[[#This Row],[Importe]]-Tabla15[[#This Row],[Pagado]]</f>
        <v>0</v>
      </c>
      <c r="H2657" s="92" t="s">
        <v>10</v>
      </c>
    </row>
    <row r="2658" spans="1:8" ht="21.75" customHeight="1" x14ac:dyDescent="0.25">
      <c r="A2658" s="35">
        <v>44676</v>
      </c>
      <c r="B2658" s="90" t="s">
        <v>13335</v>
      </c>
      <c r="C2658" s="41" t="s">
        <v>7818</v>
      </c>
      <c r="D2658" s="87">
        <v>1994.6</v>
      </c>
      <c r="E2658" s="35">
        <v>44676</v>
      </c>
      <c r="F2658" s="87">
        <v>1994.6</v>
      </c>
      <c r="G2658" s="91">
        <f>Tabla15[[#This Row],[Importe]]-Tabla15[[#This Row],[Pagado]]</f>
        <v>0</v>
      </c>
      <c r="H2658" s="92" t="s">
        <v>10</v>
      </c>
    </row>
    <row r="2659" spans="1:8" ht="21.75" customHeight="1" x14ac:dyDescent="0.25">
      <c r="A2659" s="35">
        <v>44676</v>
      </c>
      <c r="B2659" s="90" t="s">
        <v>13336</v>
      </c>
      <c r="C2659" s="41" t="s">
        <v>1362</v>
      </c>
      <c r="D2659" s="87">
        <v>3156.5</v>
      </c>
      <c r="E2659" s="35">
        <v>44676</v>
      </c>
      <c r="F2659" s="87">
        <v>3156.5</v>
      </c>
      <c r="G2659" s="91">
        <f>Tabla15[[#This Row],[Importe]]-Tabla15[[#This Row],[Pagado]]</f>
        <v>0</v>
      </c>
      <c r="H2659" s="92" t="s">
        <v>10</v>
      </c>
    </row>
    <row r="2660" spans="1:8" ht="21.75" customHeight="1" x14ac:dyDescent="0.25">
      <c r="A2660" s="35">
        <v>44676</v>
      </c>
      <c r="B2660" s="90" t="s">
        <v>13337</v>
      </c>
      <c r="C2660" s="41" t="s">
        <v>144</v>
      </c>
      <c r="D2660" s="87">
        <v>2704.8</v>
      </c>
      <c r="E2660" s="35">
        <v>44676</v>
      </c>
      <c r="F2660" s="87">
        <v>2704.8</v>
      </c>
      <c r="G2660" s="91">
        <f>Tabla15[[#This Row],[Importe]]-Tabla15[[#This Row],[Pagado]]</f>
        <v>0</v>
      </c>
      <c r="H2660" s="92" t="s">
        <v>10</v>
      </c>
    </row>
    <row r="2661" spans="1:8" ht="21.75" customHeight="1" x14ac:dyDescent="0.25">
      <c r="A2661" s="35">
        <v>44676</v>
      </c>
      <c r="B2661" s="90" t="s">
        <v>13338</v>
      </c>
      <c r="C2661" s="41" t="s">
        <v>664</v>
      </c>
      <c r="D2661" s="87">
        <v>12675</v>
      </c>
      <c r="E2661" s="35">
        <v>44676</v>
      </c>
      <c r="F2661" s="87">
        <v>12675</v>
      </c>
      <c r="G2661" s="91">
        <f>Tabla15[[#This Row],[Importe]]-Tabla15[[#This Row],[Pagado]]</f>
        <v>0</v>
      </c>
      <c r="H2661" s="92" t="s">
        <v>10</v>
      </c>
    </row>
    <row r="2662" spans="1:8" ht="21.75" customHeight="1" x14ac:dyDescent="0.25">
      <c r="A2662" s="35">
        <v>44676</v>
      </c>
      <c r="B2662" s="90" t="s">
        <v>13339</v>
      </c>
      <c r="C2662" s="41" t="s">
        <v>24</v>
      </c>
      <c r="D2662" s="87">
        <v>1872</v>
      </c>
      <c r="E2662" s="35">
        <v>44676</v>
      </c>
      <c r="F2662" s="87">
        <v>1872</v>
      </c>
      <c r="G2662" s="91">
        <f>Tabla15[[#This Row],[Importe]]-Tabla15[[#This Row],[Pagado]]</f>
        <v>0</v>
      </c>
      <c r="H2662" s="92" t="s">
        <v>10</v>
      </c>
    </row>
    <row r="2663" spans="1:8" ht="21.75" customHeight="1" x14ac:dyDescent="0.25">
      <c r="A2663" s="35">
        <v>44676</v>
      </c>
      <c r="B2663" s="90" t="s">
        <v>13340</v>
      </c>
      <c r="C2663" s="41" t="s">
        <v>2114</v>
      </c>
      <c r="D2663" s="87">
        <v>998.8</v>
      </c>
      <c r="E2663" s="35">
        <v>44676</v>
      </c>
      <c r="F2663" s="87">
        <v>998.8</v>
      </c>
      <c r="G2663" s="91">
        <f>Tabla15[[#This Row],[Importe]]-Tabla15[[#This Row],[Pagado]]</f>
        <v>0</v>
      </c>
      <c r="H2663" s="92" t="s">
        <v>10</v>
      </c>
    </row>
    <row r="2664" spans="1:8" ht="21.75" customHeight="1" x14ac:dyDescent="0.25">
      <c r="A2664" s="35">
        <v>44676</v>
      </c>
      <c r="B2664" s="90" t="s">
        <v>13341</v>
      </c>
      <c r="C2664" s="41" t="s">
        <v>24</v>
      </c>
      <c r="D2664" s="87">
        <v>310.8</v>
      </c>
      <c r="E2664" s="35">
        <v>44676</v>
      </c>
      <c r="F2664" s="87">
        <v>310.8</v>
      </c>
      <c r="G2664" s="91">
        <f>Tabla15[[#This Row],[Importe]]-Tabla15[[#This Row],[Pagado]]</f>
        <v>0</v>
      </c>
      <c r="H2664" s="92" t="s">
        <v>10</v>
      </c>
    </row>
    <row r="2665" spans="1:8" ht="21.75" customHeight="1" x14ac:dyDescent="0.25">
      <c r="A2665" s="35">
        <v>44676</v>
      </c>
      <c r="B2665" s="90" t="s">
        <v>13342</v>
      </c>
      <c r="C2665" s="41" t="s">
        <v>14</v>
      </c>
      <c r="D2665" s="87">
        <v>13939</v>
      </c>
      <c r="E2665" s="35">
        <v>44676</v>
      </c>
      <c r="F2665" s="87">
        <v>13939</v>
      </c>
      <c r="G2665" s="91">
        <f>Tabla15[[#This Row],[Importe]]-Tabla15[[#This Row],[Pagado]]</f>
        <v>0</v>
      </c>
      <c r="H2665" s="92" t="s">
        <v>10</v>
      </c>
    </row>
    <row r="2666" spans="1:8" ht="21.75" customHeight="1" x14ac:dyDescent="0.25">
      <c r="A2666" s="35">
        <v>44676</v>
      </c>
      <c r="B2666" s="90" t="s">
        <v>13343</v>
      </c>
      <c r="C2666" s="41" t="s">
        <v>1987</v>
      </c>
      <c r="D2666" s="87">
        <v>21257.200000000001</v>
      </c>
      <c r="E2666" s="35">
        <v>44676</v>
      </c>
      <c r="F2666" s="87">
        <v>21257.200000000001</v>
      </c>
      <c r="G2666" s="91">
        <f>Tabla15[[#This Row],[Importe]]-Tabla15[[#This Row],[Pagado]]</f>
        <v>0</v>
      </c>
      <c r="H2666" s="92" t="s">
        <v>10</v>
      </c>
    </row>
    <row r="2667" spans="1:8" ht="21.75" customHeight="1" x14ac:dyDescent="0.25">
      <c r="A2667" s="35">
        <v>44676</v>
      </c>
      <c r="B2667" s="90" t="s">
        <v>13344</v>
      </c>
      <c r="C2667" s="41" t="s">
        <v>133</v>
      </c>
      <c r="D2667" s="87">
        <v>11536.2</v>
      </c>
      <c r="E2667" s="35">
        <v>44677</v>
      </c>
      <c r="F2667" s="87">
        <v>11536.2</v>
      </c>
      <c r="G2667" s="91">
        <f>Tabla15[[#This Row],[Importe]]-Tabla15[[#This Row],[Pagado]]</f>
        <v>0</v>
      </c>
      <c r="H2667" s="92" t="s">
        <v>10</v>
      </c>
    </row>
    <row r="2668" spans="1:8" ht="21.75" customHeight="1" x14ac:dyDescent="0.25">
      <c r="A2668" s="35">
        <v>44676</v>
      </c>
      <c r="B2668" s="90" t="s">
        <v>13345</v>
      </c>
      <c r="C2668" s="41" t="s">
        <v>5816</v>
      </c>
      <c r="D2668" s="87">
        <v>6101.6</v>
      </c>
      <c r="E2668" s="35">
        <v>44677</v>
      </c>
      <c r="F2668" s="87">
        <v>6101.6</v>
      </c>
      <c r="G2668" s="91">
        <f>Tabla15[[#This Row],[Importe]]-Tabla15[[#This Row],[Pagado]]</f>
        <v>0</v>
      </c>
      <c r="H2668" s="92" t="s">
        <v>10</v>
      </c>
    </row>
    <row r="2669" spans="1:8" ht="21.75" customHeight="1" x14ac:dyDescent="0.25">
      <c r="A2669" s="35">
        <v>44676</v>
      </c>
      <c r="B2669" s="90" t="s">
        <v>13346</v>
      </c>
      <c r="C2669" s="41" t="s">
        <v>173</v>
      </c>
      <c r="D2669" s="87">
        <v>24908</v>
      </c>
      <c r="E2669" s="35">
        <v>44677</v>
      </c>
      <c r="F2669" s="87">
        <v>24908</v>
      </c>
      <c r="G2669" s="91">
        <f>Tabla15[[#This Row],[Importe]]-Tabla15[[#This Row],[Pagado]]</f>
        <v>0</v>
      </c>
      <c r="H2669" s="92" t="s">
        <v>10</v>
      </c>
    </row>
    <row r="2670" spans="1:8" ht="21.75" customHeight="1" x14ac:dyDescent="0.25">
      <c r="A2670" s="35">
        <v>44676</v>
      </c>
      <c r="B2670" s="90" t="s">
        <v>13347</v>
      </c>
      <c r="C2670" s="41" t="s">
        <v>31</v>
      </c>
      <c r="D2670" s="87">
        <v>2070.4</v>
      </c>
      <c r="E2670" s="35">
        <v>44676</v>
      </c>
      <c r="F2670" s="87">
        <v>2070.4</v>
      </c>
      <c r="G2670" s="91">
        <f>Tabla15[[#This Row],[Importe]]-Tabla15[[#This Row],[Pagado]]</f>
        <v>0</v>
      </c>
      <c r="H2670" s="92" t="s">
        <v>10</v>
      </c>
    </row>
    <row r="2671" spans="1:8" ht="21.75" customHeight="1" x14ac:dyDescent="0.25">
      <c r="A2671" s="35">
        <v>44676</v>
      </c>
      <c r="B2671" s="90" t="s">
        <v>13348</v>
      </c>
      <c r="C2671" s="41" t="s">
        <v>230</v>
      </c>
      <c r="D2671" s="87">
        <v>4998</v>
      </c>
      <c r="E2671" s="35">
        <v>44676</v>
      </c>
      <c r="F2671" s="87">
        <v>4998</v>
      </c>
      <c r="G2671" s="91">
        <f>Tabla15[[#This Row],[Importe]]-Tabla15[[#This Row],[Pagado]]</f>
        <v>0</v>
      </c>
      <c r="H2671" s="92" t="s">
        <v>10</v>
      </c>
    </row>
    <row r="2672" spans="1:8" ht="21.75" customHeight="1" x14ac:dyDescent="0.25">
      <c r="A2672" s="35">
        <v>44676</v>
      </c>
      <c r="B2672" s="90" t="s">
        <v>13349</v>
      </c>
      <c r="C2672" s="41" t="s">
        <v>154</v>
      </c>
      <c r="D2672" s="87">
        <v>35474.699999999997</v>
      </c>
      <c r="E2672" s="35">
        <v>44679</v>
      </c>
      <c r="F2672" s="87">
        <v>35474.699999999997</v>
      </c>
      <c r="G2672" s="91">
        <f>Tabla15[[#This Row],[Importe]]-Tabla15[[#This Row],[Pagado]]</f>
        <v>0</v>
      </c>
      <c r="H2672" s="92" t="s">
        <v>10</v>
      </c>
    </row>
    <row r="2673" spans="1:8" ht="21.75" customHeight="1" x14ac:dyDescent="0.25">
      <c r="A2673" s="35">
        <v>44676</v>
      </c>
      <c r="B2673" s="90" t="s">
        <v>13350</v>
      </c>
      <c r="C2673" s="41" t="s">
        <v>3402</v>
      </c>
      <c r="D2673" s="87">
        <v>2720.2</v>
      </c>
      <c r="E2673" s="35">
        <v>44676</v>
      </c>
      <c r="F2673" s="87">
        <v>2720.2</v>
      </c>
      <c r="G2673" s="91">
        <f>Tabla15[[#This Row],[Importe]]-Tabla15[[#This Row],[Pagado]]</f>
        <v>0</v>
      </c>
      <c r="H2673" s="92" t="s">
        <v>10</v>
      </c>
    </row>
    <row r="2674" spans="1:8" ht="21.75" customHeight="1" x14ac:dyDescent="0.25">
      <c r="A2674" s="35">
        <v>44676</v>
      </c>
      <c r="B2674" s="90" t="s">
        <v>13351</v>
      </c>
      <c r="C2674" s="41" t="s">
        <v>12</v>
      </c>
      <c r="D2674" s="87">
        <v>1230</v>
      </c>
      <c r="E2674" s="35">
        <v>44677</v>
      </c>
      <c r="F2674" s="87">
        <v>1230</v>
      </c>
      <c r="G2674" s="91">
        <f>Tabla15[[#This Row],[Importe]]-Tabla15[[#This Row],[Pagado]]</f>
        <v>0</v>
      </c>
      <c r="H2674" s="92" t="s">
        <v>10</v>
      </c>
    </row>
    <row r="2675" spans="1:8" ht="21.75" customHeight="1" x14ac:dyDescent="0.25">
      <c r="A2675" s="35">
        <v>44676</v>
      </c>
      <c r="B2675" s="90" t="s">
        <v>13352</v>
      </c>
      <c r="C2675" s="41" t="s">
        <v>1174</v>
      </c>
      <c r="D2675" s="87">
        <v>38278.400000000001</v>
      </c>
      <c r="E2675" s="35">
        <v>44676</v>
      </c>
      <c r="F2675" s="87">
        <v>38278.400000000001</v>
      </c>
      <c r="G2675" s="91">
        <f>Tabla15[[#This Row],[Importe]]-Tabla15[[#This Row],[Pagado]]</f>
        <v>0</v>
      </c>
      <c r="H2675" s="92" t="s">
        <v>10</v>
      </c>
    </row>
    <row r="2676" spans="1:8" ht="21.75" customHeight="1" x14ac:dyDescent="0.25">
      <c r="A2676" s="35">
        <v>44676</v>
      </c>
      <c r="B2676" s="90" t="s">
        <v>13353</v>
      </c>
      <c r="C2676" s="41" t="s">
        <v>414</v>
      </c>
      <c r="D2676" s="87">
        <v>24684.799999999999</v>
      </c>
      <c r="E2676" s="35">
        <v>44677</v>
      </c>
      <c r="F2676" s="87">
        <v>24684.799999999999</v>
      </c>
      <c r="G2676" s="91">
        <f>Tabla15[[#This Row],[Importe]]-Tabla15[[#This Row],[Pagado]]</f>
        <v>0</v>
      </c>
      <c r="H2676" s="92" t="s">
        <v>10</v>
      </c>
    </row>
    <row r="2677" spans="1:8" ht="21.75" customHeight="1" x14ac:dyDescent="0.25">
      <c r="A2677" s="35">
        <v>44676</v>
      </c>
      <c r="B2677" s="90" t="s">
        <v>13354</v>
      </c>
      <c r="C2677" s="41" t="s">
        <v>60</v>
      </c>
      <c r="D2677" s="87">
        <v>5209.8999999999996</v>
      </c>
      <c r="E2677" s="35">
        <v>44678</v>
      </c>
      <c r="F2677" s="87">
        <v>5209.8999999999996</v>
      </c>
      <c r="G2677" s="91">
        <f>Tabla15[[#This Row],[Importe]]-Tabla15[[#This Row],[Pagado]]</f>
        <v>0</v>
      </c>
      <c r="H2677" s="92" t="s">
        <v>10</v>
      </c>
    </row>
    <row r="2678" spans="1:8" ht="21.75" customHeight="1" x14ac:dyDescent="0.25">
      <c r="A2678" s="35">
        <v>44676</v>
      </c>
      <c r="B2678" s="90" t="s">
        <v>13355</v>
      </c>
      <c r="C2678" s="41" t="s">
        <v>419</v>
      </c>
      <c r="D2678" s="87">
        <v>5265.5</v>
      </c>
      <c r="E2678" s="35">
        <v>44676</v>
      </c>
      <c r="F2678" s="87">
        <v>5265.5</v>
      </c>
      <c r="G2678" s="91">
        <f>Tabla15[[#This Row],[Importe]]-Tabla15[[#This Row],[Pagado]]</f>
        <v>0</v>
      </c>
      <c r="H2678" s="92" t="s">
        <v>10</v>
      </c>
    </row>
    <row r="2679" spans="1:8" ht="21.75" customHeight="1" x14ac:dyDescent="0.25">
      <c r="A2679" s="35">
        <v>44676</v>
      </c>
      <c r="B2679" s="90" t="s">
        <v>13356</v>
      </c>
      <c r="C2679" s="41" t="s">
        <v>426</v>
      </c>
      <c r="D2679" s="87">
        <v>4963.3999999999996</v>
      </c>
      <c r="E2679" s="35">
        <v>44676</v>
      </c>
      <c r="F2679" s="87">
        <v>4963.3999999999996</v>
      </c>
      <c r="G2679" s="91">
        <f>Tabla15[[#This Row],[Importe]]-Tabla15[[#This Row],[Pagado]]</f>
        <v>0</v>
      </c>
      <c r="H2679" s="92" t="s">
        <v>10</v>
      </c>
    </row>
    <row r="2680" spans="1:8" ht="21.75" customHeight="1" x14ac:dyDescent="0.25">
      <c r="A2680" s="35">
        <v>44676</v>
      </c>
      <c r="B2680" s="90" t="s">
        <v>13357</v>
      </c>
      <c r="C2680" s="41" t="s">
        <v>181</v>
      </c>
      <c r="D2680" s="87">
        <v>5986.4</v>
      </c>
      <c r="E2680" s="35">
        <v>44676</v>
      </c>
      <c r="F2680" s="87">
        <v>5986.4</v>
      </c>
      <c r="G2680" s="91">
        <f>Tabla15[[#This Row],[Importe]]-Tabla15[[#This Row],[Pagado]]</f>
        <v>0</v>
      </c>
      <c r="H2680" s="92" t="s">
        <v>10</v>
      </c>
    </row>
    <row r="2681" spans="1:8" ht="21.75" customHeight="1" x14ac:dyDescent="0.25">
      <c r="A2681" s="35">
        <v>44676</v>
      </c>
      <c r="B2681" s="90" t="s">
        <v>13358</v>
      </c>
      <c r="C2681" s="41" t="s">
        <v>31</v>
      </c>
      <c r="D2681" s="87">
        <v>278.39999999999998</v>
      </c>
      <c r="E2681" s="35">
        <v>44676</v>
      </c>
      <c r="F2681" s="87">
        <v>278.39999999999998</v>
      </c>
      <c r="G2681" s="91">
        <f>Tabla15[[#This Row],[Importe]]-Tabla15[[#This Row],[Pagado]]</f>
        <v>0</v>
      </c>
      <c r="H2681" s="92" t="s">
        <v>10</v>
      </c>
    </row>
    <row r="2682" spans="1:8" ht="21.75" customHeight="1" x14ac:dyDescent="0.25">
      <c r="A2682" s="35">
        <v>44676</v>
      </c>
      <c r="B2682" s="90" t="s">
        <v>13359</v>
      </c>
      <c r="C2682" s="41" t="s">
        <v>1265</v>
      </c>
      <c r="D2682" s="87">
        <v>739.2</v>
      </c>
      <c r="E2682" s="35">
        <v>44676</v>
      </c>
      <c r="F2682" s="87">
        <v>739.2</v>
      </c>
      <c r="G2682" s="91">
        <f>Tabla15[[#This Row],[Importe]]-Tabla15[[#This Row],[Pagado]]</f>
        <v>0</v>
      </c>
      <c r="H2682" s="92" t="s">
        <v>10</v>
      </c>
    </row>
    <row r="2683" spans="1:8" ht="21.75" customHeight="1" x14ac:dyDescent="0.25">
      <c r="A2683" s="35">
        <v>44676</v>
      </c>
      <c r="B2683" s="90" t="s">
        <v>13360</v>
      </c>
      <c r="C2683" s="41" t="s">
        <v>2961</v>
      </c>
      <c r="D2683" s="87">
        <v>60575.8</v>
      </c>
      <c r="E2683" s="35">
        <v>44677</v>
      </c>
      <c r="F2683" s="87">
        <v>60575.8</v>
      </c>
      <c r="G2683" s="91">
        <f>Tabla15[[#This Row],[Importe]]-Tabla15[[#This Row],[Pagado]]</f>
        <v>0</v>
      </c>
      <c r="H2683" s="92" t="s">
        <v>10</v>
      </c>
    </row>
    <row r="2684" spans="1:8" ht="21.75" customHeight="1" x14ac:dyDescent="0.25">
      <c r="A2684" s="35">
        <v>44676</v>
      </c>
      <c r="B2684" s="90" t="s">
        <v>13361</v>
      </c>
      <c r="C2684" s="41" t="s">
        <v>1313</v>
      </c>
      <c r="D2684" s="87">
        <v>8304</v>
      </c>
      <c r="E2684" s="35">
        <v>44676</v>
      </c>
      <c r="F2684" s="87">
        <v>8304</v>
      </c>
      <c r="G2684" s="91">
        <f>Tabla15[[#This Row],[Importe]]-Tabla15[[#This Row],[Pagado]]</f>
        <v>0</v>
      </c>
      <c r="H2684" s="92" t="s">
        <v>10</v>
      </c>
    </row>
    <row r="2685" spans="1:8" ht="21.75" customHeight="1" x14ac:dyDescent="0.25">
      <c r="A2685" s="35">
        <v>44676</v>
      </c>
      <c r="B2685" s="90" t="s">
        <v>13362</v>
      </c>
      <c r="C2685" s="41" t="s">
        <v>9827</v>
      </c>
      <c r="D2685" s="87">
        <v>1125.2</v>
      </c>
      <c r="E2685" s="35">
        <v>44676</v>
      </c>
      <c r="F2685" s="87">
        <v>1125.2</v>
      </c>
      <c r="G2685" s="91">
        <f>Tabla15[[#This Row],[Importe]]-Tabla15[[#This Row],[Pagado]]</f>
        <v>0</v>
      </c>
      <c r="H2685" s="92" t="s">
        <v>10</v>
      </c>
    </row>
    <row r="2686" spans="1:8" ht="21.75" customHeight="1" x14ac:dyDescent="0.25">
      <c r="A2686" s="35">
        <v>44676</v>
      </c>
      <c r="B2686" s="90" t="s">
        <v>13363</v>
      </c>
      <c r="C2686" s="41" t="s">
        <v>698</v>
      </c>
      <c r="D2686" s="87">
        <v>8719</v>
      </c>
      <c r="E2686" s="35">
        <v>44676</v>
      </c>
      <c r="F2686" s="87">
        <v>8719</v>
      </c>
      <c r="G2686" s="91">
        <f>Tabla15[[#This Row],[Importe]]-Tabla15[[#This Row],[Pagado]]</f>
        <v>0</v>
      </c>
      <c r="H2686" s="92" t="s">
        <v>10</v>
      </c>
    </row>
    <row r="2687" spans="1:8" ht="21.75" customHeight="1" x14ac:dyDescent="0.25">
      <c r="A2687" s="35">
        <v>44676</v>
      </c>
      <c r="B2687" s="90" t="s">
        <v>13364</v>
      </c>
      <c r="C2687" s="41" t="s">
        <v>56</v>
      </c>
      <c r="D2687" s="87">
        <v>468.7</v>
      </c>
      <c r="E2687" s="35">
        <v>44676</v>
      </c>
      <c r="F2687" s="87">
        <v>468.7</v>
      </c>
      <c r="G2687" s="91">
        <f>Tabla15[[#This Row],[Importe]]-Tabla15[[#This Row],[Pagado]]</f>
        <v>0</v>
      </c>
      <c r="H2687" s="92" t="s">
        <v>10</v>
      </c>
    </row>
    <row r="2688" spans="1:8" ht="21.75" customHeight="1" x14ac:dyDescent="0.25">
      <c r="A2688" s="35">
        <v>44676</v>
      </c>
      <c r="B2688" s="90" t="s">
        <v>13365</v>
      </c>
      <c r="C2688" s="41" t="s">
        <v>296</v>
      </c>
      <c r="D2688" s="87">
        <v>3341.8</v>
      </c>
      <c r="E2688" s="35">
        <v>44676</v>
      </c>
      <c r="F2688" s="87">
        <v>3341.8</v>
      </c>
      <c r="G2688" s="91">
        <f>Tabla15[[#This Row],[Importe]]-Tabla15[[#This Row],[Pagado]]</f>
        <v>0</v>
      </c>
      <c r="H2688" s="92" t="s">
        <v>10</v>
      </c>
    </row>
    <row r="2689" spans="1:8" ht="21.75" customHeight="1" x14ac:dyDescent="0.25">
      <c r="A2689" s="35">
        <v>44676</v>
      </c>
      <c r="B2689" s="90" t="s">
        <v>13366</v>
      </c>
      <c r="C2689" s="41" t="s">
        <v>296</v>
      </c>
      <c r="D2689" s="87">
        <v>1038.4000000000001</v>
      </c>
      <c r="E2689" s="35">
        <v>44676</v>
      </c>
      <c r="F2689" s="87">
        <v>1038.4000000000001</v>
      </c>
      <c r="G2689" s="91">
        <f>Tabla15[[#This Row],[Importe]]-Tabla15[[#This Row],[Pagado]]</f>
        <v>0</v>
      </c>
      <c r="H2689" s="92" t="s">
        <v>10</v>
      </c>
    </row>
    <row r="2690" spans="1:8" ht="21.75" customHeight="1" x14ac:dyDescent="0.25">
      <c r="A2690" s="35">
        <v>44676</v>
      </c>
      <c r="B2690" s="90" t="s">
        <v>13367</v>
      </c>
      <c r="C2690" s="41" t="s">
        <v>58</v>
      </c>
      <c r="D2690" s="87">
        <v>5868.9</v>
      </c>
      <c r="E2690" s="35">
        <v>44676</v>
      </c>
      <c r="F2690" s="87">
        <v>5868.9</v>
      </c>
      <c r="G2690" s="91">
        <f>Tabla15[[#This Row],[Importe]]-Tabla15[[#This Row],[Pagado]]</f>
        <v>0</v>
      </c>
      <c r="H2690" s="92" t="s">
        <v>10</v>
      </c>
    </row>
    <row r="2691" spans="1:8" ht="21.75" customHeight="1" x14ac:dyDescent="0.25">
      <c r="A2691" s="35">
        <v>44676</v>
      </c>
      <c r="B2691" s="90" t="s">
        <v>13368</v>
      </c>
      <c r="C2691" s="41" t="s">
        <v>11383</v>
      </c>
      <c r="D2691" s="87">
        <v>5114.8999999999996</v>
      </c>
      <c r="E2691" s="35">
        <v>44676</v>
      </c>
      <c r="F2691" s="87">
        <v>5114.8999999999996</v>
      </c>
      <c r="G2691" s="91">
        <f>Tabla15[[#This Row],[Importe]]-Tabla15[[#This Row],[Pagado]]</f>
        <v>0</v>
      </c>
      <c r="H2691" s="92" t="s">
        <v>10</v>
      </c>
    </row>
    <row r="2692" spans="1:8" ht="21.75" customHeight="1" x14ac:dyDescent="0.25">
      <c r="A2692" s="35">
        <v>44676</v>
      </c>
      <c r="B2692" s="90" t="s">
        <v>13369</v>
      </c>
      <c r="C2692" s="41" t="s">
        <v>286</v>
      </c>
      <c r="D2692" s="87">
        <v>59566</v>
      </c>
      <c r="E2692" s="35">
        <v>44677</v>
      </c>
      <c r="F2692" s="87">
        <v>59566</v>
      </c>
      <c r="G2692" s="91">
        <f>Tabla15[[#This Row],[Importe]]-Tabla15[[#This Row],[Pagado]]</f>
        <v>0</v>
      </c>
      <c r="H2692" s="92" t="s">
        <v>10</v>
      </c>
    </row>
    <row r="2693" spans="1:8" ht="21.75" customHeight="1" x14ac:dyDescent="0.25">
      <c r="A2693" s="35">
        <v>44676</v>
      </c>
      <c r="B2693" s="90" t="s">
        <v>13370</v>
      </c>
      <c r="C2693" s="41" t="s">
        <v>857</v>
      </c>
      <c r="D2693" s="87">
        <v>608</v>
      </c>
      <c r="E2693" s="35">
        <v>44676</v>
      </c>
      <c r="F2693" s="87">
        <v>608</v>
      </c>
      <c r="G2693" s="91">
        <f>Tabla15[[#This Row],[Importe]]-Tabla15[[#This Row],[Pagado]]</f>
        <v>0</v>
      </c>
      <c r="H2693" s="92" t="s">
        <v>10</v>
      </c>
    </row>
    <row r="2694" spans="1:8" ht="21.75" customHeight="1" x14ac:dyDescent="0.25">
      <c r="A2694" s="35">
        <v>44676</v>
      </c>
      <c r="B2694" s="90" t="s">
        <v>13371</v>
      </c>
      <c r="C2694" s="41" t="s">
        <v>31</v>
      </c>
      <c r="D2694" s="87">
        <v>75.599999999999994</v>
      </c>
      <c r="E2694" s="35">
        <v>44676</v>
      </c>
      <c r="F2694" s="87">
        <v>75.599999999999994</v>
      </c>
      <c r="G2694" s="91">
        <f>Tabla15[[#This Row],[Importe]]-Tabla15[[#This Row],[Pagado]]</f>
        <v>0</v>
      </c>
      <c r="H2694" s="92" t="s">
        <v>10</v>
      </c>
    </row>
    <row r="2695" spans="1:8" ht="21.75" customHeight="1" x14ac:dyDescent="0.25">
      <c r="A2695" s="35">
        <v>44676</v>
      </c>
      <c r="B2695" s="90" t="s">
        <v>13372</v>
      </c>
      <c r="C2695" s="41" t="s">
        <v>312</v>
      </c>
      <c r="D2695" s="87">
        <v>3992.8</v>
      </c>
      <c r="E2695" s="35">
        <v>44677</v>
      </c>
      <c r="F2695" s="87">
        <v>3992.8</v>
      </c>
      <c r="G2695" s="91">
        <f>Tabla15[[#This Row],[Importe]]-Tabla15[[#This Row],[Pagado]]</f>
        <v>0</v>
      </c>
      <c r="H2695" s="92" t="s">
        <v>10</v>
      </c>
    </row>
    <row r="2696" spans="1:8" ht="21.75" customHeight="1" x14ac:dyDescent="0.25">
      <c r="A2696" s="35">
        <v>44676</v>
      </c>
      <c r="B2696" s="90" t="s">
        <v>13373</v>
      </c>
      <c r="C2696" s="41" t="s">
        <v>421</v>
      </c>
      <c r="D2696" s="87">
        <v>5903.1</v>
      </c>
      <c r="E2696" s="35">
        <v>44676</v>
      </c>
      <c r="F2696" s="87">
        <v>5903.1</v>
      </c>
      <c r="G2696" s="91">
        <f>Tabla15[[#This Row],[Importe]]-Tabla15[[#This Row],[Pagado]]</f>
        <v>0</v>
      </c>
      <c r="H2696" s="92" t="s">
        <v>10</v>
      </c>
    </row>
    <row r="2697" spans="1:8" ht="21.75" customHeight="1" x14ac:dyDescent="0.25">
      <c r="A2697" s="35">
        <v>44676</v>
      </c>
      <c r="B2697" s="90" t="s">
        <v>13374</v>
      </c>
      <c r="C2697" s="41" t="s">
        <v>5345</v>
      </c>
      <c r="D2697" s="87">
        <v>2441.8000000000002</v>
      </c>
      <c r="E2697" s="35">
        <v>44677</v>
      </c>
      <c r="F2697" s="87">
        <v>2441.8000000000002</v>
      </c>
      <c r="G2697" s="91">
        <f>Tabla15[[#This Row],[Importe]]-Tabla15[[#This Row],[Pagado]]</f>
        <v>0</v>
      </c>
      <c r="H2697" s="92" t="s">
        <v>10</v>
      </c>
    </row>
    <row r="2698" spans="1:8" ht="21.75" customHeight="1" x14ac:dyDescent="0.25">
      <c r="A2698" s="35">
        <v>44676</v>
      </c>
      <c r="B2698" s="90" t="s">
        <v>13375</v>
      </c>
      <c r="C2698" s="41" t="s">
        <v>284</v>
      </c>
      <c r="D2698" s="87">
        <v>4616.8</v>
      </c>
      <c r="E2698" s="35">
        <v>44677</v>
      </c>
      <c r="F2698" s="87">
        <v>4616.8</v>
      </c>
      <c r="G2698" s="91">
        <f>Tabla15[[#This Row],[Importe]]-Tabla15[[#This Row],[Pagado]]</f>
        <v>0</v>
      </c>
      <c r="H2698" s="92" t="s">
        <v>10</v>
      </c>
    </row>
    <row r="2699" spans="1:8" ht="21.75" customHeight="1" x14ac:dyDescent="0.25">
      <c r="A2699" s="35">
        <v>44676</v>
      </c>
      <c r="B2699" s="90" t="s">
        <v>13376</v>
      </c>
      <c r="C2699" s="41" t="s">
        <v>732</v>
      </c>
      <c r="D2699" s="87">
        <v>6149</v>
      </c>
      <c r="E2699" s="35">
        <v>44676</v>
      </c>
      <c r="F2699" s="87">
        <v>6149</v>
      </c>
      <c r="G2699" s="91">
        <f>Tabla15[[#This Row],[Importe]]-Tabla15[[#This Row],[Pagado]]</f>
        <v>0</v>
      </c>
      <c r="H2699" s="92" t="s">
        <v>10</v>
      </c>
    </row>
    <row r="2700" spans="1:8" ht="21.75" customHeight="1" x14ac:dyDescent="0.25">
      <c r="A2700" s="35">
        <v>44676</v>
      </c>
      <c r="B2700" s="90" t="s">
        <v>13377</v>
      </c>
      <c r="C2700" s="41" t="s">
        <v>282</v>
      </c>
      <c r="D2700" s="87">
        <v>1983.6</v>
      </c>
      <c r="E2700" s="35">
        <v>44677</v>
      </c>
      <c r="F2700" s="87">
        <v>1983.6</v>
      </c>
      <c r="G2700" s="91">
        <f>Tabla15[[#This Row],[Importe]]-Tabla15[[#This Row],[Pagado]]</f>
        <v>0</v>
      </c>
      <c r="H2700" s="92" t="s">
        <v>10</v>
      </c>
    </row>
    <row r="2701" spans="1:8" ht="21.75" customHeight="1" x14ac:dyDescent="0.25">
      <c r="A2701" s="35">
        <v>44676</v>
      </c>
      <c r="B2701" s="90" t="s">
        <v>13378</v>
      </c>
      <c r="C2701" s="41" t="s">
        <v>8949</v>
      </c>
      <c r="D2701" s="87">
        <v>1796.7</v>
      </c>
      <c r="E2701" s="35">
        <v>44677</v>
      </c>
      <c r="F2701" s="87">
        <v>1796.7</v>
      </c>
      <c r="G2701" s="91">
        <f>Tabla15[[#This Row],[Importe]]-Tabla15[[#This Row],[Pagado]]</f>
        <v>0</v>
      </c>
      <c r="H2701" s="92" t="s">
        <v>10</v>
      </c>
    </row>
    <row r="2702" spans="1:8" ht="21.75" customHeight="1" x14ac:dyDescent="0.25">
      <c r="A2702" s="35">
        <v>44676</v>
      </c>
      <c r="B2702" s="90" t="s">
        <v>13379</v>
      </c>
      <c r="C2702" s="41" t="s">
        <v>71</v>
      </c>
      <c r="D2702" s="87">
        <v>3825.4</v>
      </c>
      <c r="E2702" s="35">
        <v>44676</v>
      </c>
      <c r="F2702" s="87">
        <v>3825.4</v>
      </c>
      <c r="G2702" s="91">
        <f>Tabla15[[#This Row],[Importe]]-Tabla15[[#This Row],[Pagado]]</f>
        <v>0</v>
      </c>
      <c r="H2702" s="92" t="s">
        <v>10</v>
      </c>
    </row>
    <row r="2703" spans="1:8" ht="21.75" customHeight="1" x14ac:dyDescent="0.25">
      <c r="A2703" s="35">
        <v>44676</v>
      </c>
      <c r="B2703" s="90" t="s">
        <v>13380</v>
      </c>
      <c r="C2703" s="41" t="s">
        <v>246</v>
      </c>
      <c r="D2703" s="87">
        <v>51722.1</v>
      </c>
      <c r="E2703" s="35">
        <v>44676</v>
      </c>
      <c r="F2703" s="87">
        <v>51722.1</v>
      </c>
      <c r="G2703" s="91">
        <f>Tabla15[[#This Row],[Importe]]-Tabla15[[#This Row],[Pagado]]</f>
        <v>0</v>
      </c>
      <c r="H2703" s="92" t="s">
        <v>10</v>
      </c>
    </row>
    <row r="2704" spans="1:8" ht="21.75" customHeight="1" x14ac:dyDescent="0.25">
      <c r="A2704" s="35">
        <v>44676</v>
      </c>
      <c r="B2704" s="90" t="s">
        <v>13381</v>
      </c>
      <c r="C2704" s="41" t="s">
        <v>246</v>
      </c>
      <c r="D2704" s="87">
        <v>2939.2</v>
      </c>
      <c r="E2704" s="35">
        <v>44676</v>
      </c>
      <c r="F2704" s="87">
        <v>2939.2</v>
      </c>
      <c r="G2704" s="91">
        <f>Tabla15[[#This Row],[Importe]]-Tabla15[[#This Row],[Pagado]]</f>
        <v>0</v>
      </c>
      <c r="H2704" s="92" t="s">
        <v>10</v>
      </c>
    </row>
    <row r="2705" spans="1:8" ht="21.75" customHeight="1" x14ac:dyDescent="0.25">
      <c r="A2705" s="35">
        <v>44676</v>
      </c>
      <c r="B2705" s="90" t="s">
        <v>13382</v>
      </c>
      <c r="C2705" s="41" t="s">
        <v>175</v>
      </c>
      <c r="D2705" s="87">
        <v>13275</v>
      </c>
      <c r="E2705" s="35">
        <v>44677</v>
      </c>
      <c r="F2705" s="87">
        <v>13275</v>
      </c>
      <c r="G2705" s="91">
        <f>Tabla15[[#This Row],[Importe]]-Tabla15[[#This Row],[Pagado]]</f>
        <v>0</v>
      </c>
      <c r="H2705" s="92" t="s">
        <v>10</v>
      </c>
    </row>
    <row r="2706" spans="1:8" ht="21.75" customHeight="1" x14ac:dyDescent="0.25">
      <c r="A2706" s="35">
        <v>44676</v>
      </c>
      <c r="B2706" s="90" t="s">
        <v>13383</v>
      </c>
      <c r="C2706" s="41" t="s">
        <v>5694</v>
      </c>
      <c r="D2706" s="87">
        <v>5127.8</v>
      </c>
      <c r="E2706" s="35">
        <v>44676</v>
      </c>
      <c r="F2706" s="87">
        <v>5127.8</v>
      </c>
      <c r="G2706" s="91">
        <f>Tabla15[[#This Row],[Importe]]-Tabla15[[#This Row],[Pagado]]</f>
        <v>0</v>
      </c>
      <c r="H2706" s="92" t="s">
        <v>10</v>
      </c>
    </row>
    <row r="2707" spans="1:8" ht="31.5" x14ac:dyDescent="0.25">
      <c r="A2707" s="35">
        <v>44676</v>
      </c>
      <c r="B2707" s="90" t="s">
        <v>13384</v>
      </c>
      <c r="C2707" s="41" t="s">
        <v>10840</v>
      </c>
      <c r="D2707" s="87">
        <v>34466.699999999997</v>
      </c>
      <c r="E2707" s="35" t="s">
        <v>14072</v>
      </c>
      <c r="F2707" s="87">
        <f>32900+1566.7</f>
        <v>34466.699999999997</v>
      </c>
      <c r="G2707" s="91">
        <f>Tabla15[[#This Row],[Importe]]-Tabla15[[#This Row],[Pagado]]</f>
        <v>0</v>
      </c>
      <c r="H2707" s="92" t="s">
        <v>10</v>
      </c>
    </row>
    <row r="2708" spans="1:8" ht="21.75" customHeight="1" x14ac:dyDescent="0.25">
      <c r="A2708" s="35">
        <v>44676</v>
      </c>
      <c r="B2708" s="90" t="s">
        <v>13385</v>
      </c>
      <c r="C2708" s="41" t="s">
        <v>13386</v>
      </c>
      <c r="D2708" s="87">
        <v>3755.2</v>
      </c>
      <c r="E2708" s="35">
        <v>44676</v>
      </c>
      <c r="F2708" s="87">
        <v>3755.2</v>
      </c>
      <c r="G2708" s="91">
        <f>Tabla15[[#This Row],[Importe]]-Tabla15[[#This Row],[Pagado]]</f>
        <v>0</v>
      </c>
      <c r="H2708" s="92" t="s">
        <v>10</v>
      </c>
    </row>
    <row r="2709" spans="1:8" ht="21.75" customHeight="1" x14ac:dyDescent="0.25">
      <c r="A2709" s="35">
        <v>44676</v>
      </c>
      <c r="B2709" s="90" t="s">
        <v>13387</v>
      </c>
      <c r="C2709" s="41" t="s">
        <v>296</v>
      </c>
      <c r="D2709" s="87">
        <v>1177.5999999999999</v>
      </c>
      <c r="E2709" s="35">
        <v>44676</v>
      </c>
      <c r="F2709" s="87">
        <v>1177.5999999999999</v>
      </c>
      <c r="G2709" s="91">
        <f>Tabla15[[#This Row],[Importe]]-Tabla15[[#This Row],[Pagado]]</f>
        <v>0</v>
      </c>
      <c r="H2709" s="92" t="s">
        <v>10</v>
      </c>
    </row>
    <row r="2710" spans="1:8" ht="31.5" x14ac:dyDescent="0.25">
      <c r="A2710" s="35">
        <v>44676</v>
      </c>
      <c r="B2710" s="90" t="s">
        <v>13388</v>
      </c>
      <c r="C2710" s="41" t="s">
        <v>196</v>
      </c>
      <c r="D2710" s="87">
        <v>53461.2</v>
      </c>
      <c r="E2710" s="35">
        <v>44681</v>
      </c>
      <c r="F2710" s="87">
        <v>53461.2</v>
      </c>
      <c r="G2710" s="91">
        <f>Tabla15[[#This Row],[Importe]]-Tabla15[[#This Row],[Pagado]]</f>
        <v>0</v>
      </c>
      <c r="H2710" s="92" t="s">
        <v>10</v>
      </c>
    </row>
    <row r="2711" spans="1:8" ht="21.75" customHeight="1" x14ac:dyDescent="0.25">
      <c r="A2711" s="35">
        <v>44676</v>
      </c>
      <c r="B2711" s="90" t="s">
        <v>13389</v>
      </c>
      <c r="C2711" s="41" t="s">
        <v>452</v>
      </c>
      <c r="D2711" s="87">
        <v>5504</v>
      </c>
      <c r="E2711" s="35">
        <v>44676</v>
      </c>
      <c r="F2711" s="87">
        <v>5504</v>
      </c>
      <c r="G2711" s="91">
        <f>Tabla15[[#This Row],[Importe]]-Tabla15[[#This Row],[Pagado]]</f>
        <v>0</v>
      </c>
      <c r="H2711" s="92" t="s">
        <v>10</v>
      </c>
    </row>
    <row r="2712" spans="1:8" ht="21.75" customHeight="1" x14ac:dyDescent="0.25">
      <c r="A2712" s="35">
        <v>44676</v>
      </c>
      <c r="B2712" s="90" t="s">
        <v>13390</v>
      </c>
      <c r="C2712" s="41" t="s">
        <v>31</v>
      </c>
      <c r="D2712" s="87">
        <v>2470</v>
      </c>
      <c r="E2712" s="35">
        <v>44676</v>
      </c>
      <c r="F2712" s="87">
        <v>2470</v>
      </c>
      <c r="G2712" s="91">
        <f>Tabla15[[#This Row],[Importe]]-Tabla15[[#This Row],[Pagado]]</f>
        <v>0</v>
      </c>
      <c r="H2712" s="92" t="s">
        <v>10</v>
      </c>
    </row>
    <row r="2713" spans="1:8" ht="21.75" customHeight="1" x14ac:dyDescent="0.25">
      <c r="A2713" s="35">
        <v>44676</v>
      </c>
      <c r="B2713" s="90" t="s">
        <v>13391</v>
      </c>
      <c r="C2713" s="41" t="s">
        <v>13392</v>
      </c>
      <c r="D2713" s="87">
        <v>0</v>
      </c>
      <c r="E2713" s="39" t="s">
        <v>189</v>
      </c>
      <c r="F2713" s="87">
        <v>0</v>
      </c>
      <c r="G2713" s="91">
        <f>Tabla15[[#This Row],[Importe]]-Tabla15[[#This Row],[Pagado]]</f>
        <v>0</v>
      </c>
      <c r="H2713" s="92" t="s">
        <v>189</v>
      </c>
    </row>
    <row r="2714" spans="1:8" ht="21.75" customHeight="1" x14ac:dyDescent="0.25">
      <c r="A2714" s="35">
        <v>44676</v>
      </c>
      <c r="B2714" s="90" t="s">
        <v>13393</v>
      </c>
      <c r="C2714" s="41" t="s">
        <v>454</v>
      </c>
      <c r="D2714" s="87">
        <v>3078.4</v>
      </c>
      <c r="E2714" s="35">
        <v>44676</v>
      </c>
      <c r="F2714" s="87">
        <v>3078.4</v>
      </c>
      <c r="G2714" s="91">
        <f>Tabla15[[#This Row],[Importe]]-Tabla15[[#This Row],[Pagado]]</f>
        <v>0</v>
      </c>
      <c r="H2714" s="92" t="s">
        <v>10</v>
      </c>
    </row>
    <row r="2715" spans="1:8" ht="21.75" customHeight="1" x14ac:dyDescent="0.25">
      <c r="A2715" s="35">
        <v>44677</v>
      </c>
      <c r="B2715" s="90" t="s">
        <v>13394</v>
      </c>
      <c r="C2715" s="41" t="s">
        <v>353</v>
      </c>
      <c r="D2715" s="87">
        <v>1723.6</v>
      </c>
      <c r="E2715" s="35">
        <v>44677</v>
      </c>
      <c r="F2715" s="87">
        <v>1723.6</v>
      </c>
      <c r="G2715" s="91">
        <f>Tabla15[[#This Row],[Importe]]-Tabla15[[#This Row],[Pagado]]</f>
        <v>0</v>
      </c>
      <c r="H2715" s="92" t="s">
        <v>10</v>
      </c>
    </row>
    <row r="2716" spans="1:8" ht="21.75" customHeight="1" x14ac:dyDescent="0.25">
      <c r="A2716" s="35">
        <v>44677</v>
      </c>
      <c r="B2716" s="90" t="s">
        <v>13395</v>
      </c>
      <c r="C2716" s="41" t="s">
        <v>12202</v>
      </c>
      <c r="D2716" s="87">
        <v>2894.4</v>
      </c>
      <c r="E2716" s="35">
        <v>44677</v>
      </c>
      <c r="F2716" s="87">
        <v>2894.4</v>
      </c>
      <c r="G2716" s="91">
        <f>Tabla15[[#This Row],[Importe]]-Tabla15[[#This Row],[Pagado]]</f>
        <v>0</v>
      </c>
      <c r="H2716" s="92" t="s">
        <v>10</v>
      </c>
    </row>
    <row r="2717" spans="1:8" ht="21.75" customHeight="1" x14ac:dyDescent="0.25">
      <c r="A2717" s="35">
        <v>44677</v>
      </c>
      <c r="B2717" s="90" t="s">
        <v>13396</v>
      </c>
      <c r="C2717" s="41" t="s">
        <v>9</v>
      </c>
      <c r="D2717" s="87">
        <v>5172</v>
      </c>
      <c r="E2717" s="35">
        <v>44677</v>
      </c>
      <c r="F2717" s="87">
        <v>5172</v>
      </c>
      <c r="G2717" s="91">
        <f>Tabla15[[#This Row],[Importe]]-Tabla15[[#This Row],[Pagado]]</f>
        <v>0</v>
      </c>
      <c r="H2717" s="92" t="s">
        <v>10</v>
      </c>
    </row>
    <row r="2718" spans="1:8" ht="21.75" customHeight="1" x14ac:dyDescent="0.25">
      <c r="A2718" s="35">
        <v>44677</v>
      </c>
      <c r="B2718" s="90" t="s">
        <v>13397</v>
      </c>
      <c r="C2718" s="41" t="s">
        <v>314</v>
      </c>
      <c r="D2718" s="87">
        <v>1746.4</v>
      </c>
      <c r="E2718" s="35">
        <v>44677</v>
      </c>
      <c r="F2718" s="87">
        <v>1746.4</v>
      </c>
      <c r="G2718" s="91">
        <f>Tabla15[[#This Row],[Importe]]-Tabla15[[#This Row],[Pagado]]</f>
        <v>0</v>
      </c>
      <c r="H2718" s="92" t="s">
        <v>10</v>
      </c>
    </row>
    <row r="2719" spans="1:8" ht="21.75" customHeight="1" x14ac:dyDescent="0.25">
      <c r="A2719" s="35">
        <v>44677</v>
      </c>
      <c r="B2719" s="90" t="s">
        <v>13398</v>
      </c>
      <c r="C2719" s="41" t="s">
        <v>85</v>
      </c>
      <c r="D2719" s="87">
        <v>2204.4</v>
      </c>
      <c r="E2719" s="35">
        <v>44677</v>
      </c>
      <c r="F2719" s="87">
        <v>2204.4</v>
      </c>
      <c r="G2719" s="91">
        <f>Tabla15[[#This Row],[Importe]]-Tabla15[[#This Row],[Pagado]]</f>
        <v>0</v>
      </c>
      <c r="H2719" s="92" t="s">
        <v>10</v>
      </c>
    </row>
    <row r="2720" spans="1:8" ht="21.75" customHeight="1" x14ac:dyDescent="0.25">
      <c r="A2720" s="35">
        <v>44677</v>
      </c>
      <c r="B2720" s="90" t="s">
        <v>13399</v>
      </c>
      <c r="C2720" s="41" t="s">
        <v>9</v>
      </c>
      <c r="D2720" s="87">
        <v>1334.6</v>
      </c>
      <c r="E2720" s="35">
        <v>44677</v>
      </c>
      <c r="F2720" s="87">
        <v>1334.6</v>
      </c>
      <c r="G2720" s="91">
        <f>Tabla15[[#This Row],[Importe]]-Tabla15[[#This Row],[Pagado]]</f>
        <v>0</v>
      </c>
      <c r="H2720" s="92" t="s">
        <v>10</v>
      </c>
    </row>
    <row r="2721" spans="1:8" ht="21.75" customHeight="1" x14ac:dyDescent="0.25">
      <c r="A2721" s="35">
        <v>44677</v>
      </c>
      <c r="B2721" s="90" t="s">
        <v>13400</v>
      </c>
      <c r="C2721" s="41" t="s">
        <v>87</v>
      </c>
      <c r="D2721" s="87">
        <v>1736</v>
      </c>
      <c r="E2721" s="35">
        <v>44677</v>
      </c>
      <c r="F2721" s="87">
        <v>1736</v>
      </c>
      <c r="G2721" s="91">
        <f>Tabla15[[#This Row],[Importe]]-Tabla15[[#This Row],[Pagado]]</f>
        <v>0</v>
      </c>
      <c r="H2721" s="92" t="s">
        <v>10</v>
      </c>
    </row>
    <row r="2722" spans="1:8" ht="21.75" customHeight="1" x14ac:dyDescent="0.25">
      <c r="A2722" s="35">
        <v>44677</v>
      </c>
      <c r="B2722" s="90" t="s">
        <v>13401</v>
      </c>
      <c r="C2722" s="41" t="s">
        <v>75</v>
      </c>
      <c r="D2722" s="87">
        <v>5782</v>
      </c>
      <c r="E2722" s="35">
        <v>44677</v>
      </c>
      <c r="F2722" s="87">
        <v>5782</v>
      </c>
      <c r="G2722" s="91">
        <f>Tabla15[[#This Row],[Importe]]-Tabla15[[#This Row],[Pagado]]</f>
        <v>0</v>
      </c>
      <c r="H2722" s="92" t="s">
        <v>10</v>
      </c>
    </row>
    <row r="2723" spans="1:8" ht="21.75" customHeight="1" x14ac:dyDescent="0.25">
      <c r="A2723" s="35">
        <v>44677</v>
      </c>
      <c r="B2723" s="90" t="s">
        <v>13402</v>
      </c>
      <c r="C2723" s="41" t="s">
        <v>473</v>
      </c>
      <c r="D2723" s="87">
        <v>5657.6</v>
      </c>
      <c r="E2723" s="35">
        <v>44677</v>
      </c>
      <c r="F2723" s="87">
        <v>5657.6</v>
      </c>
      <c r="G2723" s="91">
        <f>Tabla15[[#This Row],[Importe]]-Tabla15[[#This Row],[Pagado]]</f>
        <v>0</v>
      </c>
      <c r="H2723" s="92" t="s">
        <v>10</v>
      </c>
    </row>
    <row r="2724" spans="1:8" ht="21.75" customHeight="1" x14ac:dyDescent="0.25">
      <c r="A2724" s="35">
        <v>44677</v>
      </c>
      <c r="B2724" s="90" t="s">
        <v>13403</v>
      </c>
      <c r="C2724" s="41" t="s">
        <v>27</v>
      </c>
      <c r="D2724" s="87">
        <v>2755.6</v>
      </c>
      <c r="E2724" s="35">
        <v>44677</v>
      </c>
      <c r="F2724" s="87">
        <v>2755.6</v>
      </c>
      <c r="G2724" s="91">
        <f>Tabla15[[#This Row],[Importe]]-Tabla15[[#This Row],[Pagado]]</f>
        <v>0</v>
      </c>
      <c r="H2724" s="92" t="s">
        <v>10</v>
      </c>
    </row>
    <row r="2725" spans="1:8" ht="21.75" customHeight="1" x14ac:dyDescent="0.25">
      <c r="A2725" s="35">
        <v>44677</v>
      </c>
      <c r="B2725" s="90" t="s">
        <v>13404</v>
      </c>
      <c r="C2725" s="41" t="s">
        <v>12</v>
      </c>
      <c r="D2725" s="87">
        <v>28048.6</v>
      </c>
      <c r="E2725" s="35">
        <v>44677</v>
      </c>
      <c r="F2725" s="87">
        <v>28048.6</v>
      </c>
      <c r="G2725" s="91">
        <f>Tabla15[[#This Row],[Importe]]-Tabla15[[#This Row],[Pagado]]</f>
        <v>0</v>
      </c>
      <c r="H2725" s="92" t="s">
        <v>10</v>
      </c>
    </row>
    <row r="2726" spans="1:8" ht="21.75" customHeight="1" x14ac:dyDescent="0.25">
      <c r="A2726" s="35">
        <v>44677</v>
      </c>
      <c r="B2726" s="90" t="s">
        <v>13405</v>
      </c>
      <c r="C2726" s="41" t="s">
        <v>31</v>
      </c>
      <c r="D2726" s="87">
        <v>2597.4</v>
      </c>
      <c r="E2726" s="35">
        <v>44677</v>
      </c>
      <c r="F2726" s="87">
        <v>2597.4</v>
      </c>
      <c r="G2726" s="91">
        <f>Tabla15[[#This Row],[Importe]]-Tabla15[[#This Row],[Pagado]]</f>
        <v>0</v>
      </c>
      <c r="H2726" s="92" t="s">
        <v>10</v>
      </c>
    </row>
    <row r="2727" spans="1:8" ht="21.75" customHeight="1" x14ac:dyDescent="0.25">
      <c r="A2727" s="35">
        <v>44677</v>
      </c>
      <c r="B2727" s="90" t="s">
        <v>13406</v>
      </c>
      <c r="C2727" s="41" t="s">
        <v>1362</v>
      </c>
      <c r="D2727" s="87">
        <v>5687</v>
      </c>
      <c r="E2727" s="35">
        <v>44677</v>
      </c>
      <c r="F2727" s="87">
        <v>5687</v>
      </c>
      <c r="G2727" s="91">
        <f>Tabla15[[#This Row],[Importe]]-Tabla15[[#This Row],[Pagado]]</f>
        <v>0</v>
      </c>
      <c r="H2727" s="92" t="s">
        <v>10</v>
      </c>
    </row>
    <row r="2728" spans="1:8" ht="21.75" customHeight="1" x14ac:dyDescent="0.25">
      <c r="A2728" s="35">
        <v>44677</v>
      </c>
      <c r="B2728" s="90" t="s">
        <v>13407</v>
      </c>
      <c r="C2728" s="41" t="s">
        <v>475</v>
      </c>
      <c r="D2728" s="87">
        <v>4576.8</v>
      </c>
      <c r="E2728" s="35">
        <v>44678</v>
      </c>
      <c r="F2728" s="87">
        <v>4576.8</v>
      </c>
      <c r="G2728" s="91">
        <f>Tabla15[[#This Row],[Importe]]-Tabla15[[#This Row],[Pagado]]</f>
        <v>0</v>
      </c>
      <c r="H2728" s="92" t="s">
        <v>10</v>
      </c>
    </row>
    <row r="2729" spans="1:8" ht="21.75" customHeight="1" x14ac:dyDescent="0.25">
      <c r="A2729" s="35">
        <v>44677</v>
      </c>
      <c r="B2729" s="90" t="s">
        <v>13408</v>
      </c>
      <c r="C2729" s="41" t="s">
        <v>179</v>
      </c>
      <c r="D2729" s="87">
        <v>1067.9000000000001</v>
      </c>
      <c r="E2729" s="35">
        <v>44677</v>
      </c>
      <c r="F2729" s="87">
        <v>1067.9000000000001</v>
      </c>
      <c r="G2729" s="91">
        <f>Tabla15[[#This Row],[Importe]]-Tabla15[[#This Row],[Pagado]]</f>
        <v>0</v>
      </c>
      <c r="H2729" s="92" t="s">
        <v>10</v>
      </c>
    </row>
    <row r="2730" spans="1:8" ht="31.5" x14ac:dyDescent="0.25">
      <c r="A2730" s="35">
        <v>44677</v>
      </c>
      <c r="B2730" s="90" t="s">
        <v>13409</v>
      </c>
      <c r="C2730" s="41" t="s">
        <v>22</v>
      </c>
      <c r="D2730" s="87">
        <v>60456.5</v>
      </c>
      <c r="E2730" s="35" t="s">
        <v>12873</v>
      </c>
      <c r="F2730" s="87">
        <f>50000+10456.5</f>
        <v>60456.5</v>
      </c>
      <c r="G2730" s="91">
        <f>Tabla15[[#This Row],[Importe]]-Tabla15[[#This Row],[Pagado]]</f>
        <v>0</v>
      </c>
      <c r="H2730" s="92" t="s">
        <v>10</v>
      </c>
    </row>
    <row r="2731" spans="1:8" ht="21.75" customHeight="1" x14ac:dyDescent="0.25">
      <c r="A2731" s="35">
        <v>44677</v>
      </c>
      <c r="B2731" s="90" t="s">
        <v>13410</v>
      </c>
      <c r="C2731" s="41" t="s">
        <v>924</v>
      </c>
      <c r="D2731" s="87">
        <v>4921.76</v>
      </c>
      <c r="E2731" s="35">
        <v>44677</v>
      </c>
      <c r="F2731" s="87">
        <v>4921.76</v>
      </c>
      <c r="G2731" s="91">
        <f>Tabla15[[#This Row],[Importe]]-Tabla15[[#This Row],[Pagado]]</f>
        <v>0</v>
      </c>
      <c r="H2731" s="92" t="s">
        <v>10</v>
      </c>
    </row>
    <row r="2732" spans="1:8" ht="21.75" customHeight="1" x14ac:dyDescent="0.25">
      <c r="A2732" s="35">
        <v>44677</v>
      </c>
      <c r="B2732" s="90" t="s">
        <v>13411</v>
      </c>
      <c r="C2732" s="41" t="s">
        <v>33</v>
      </c>
      <c r="D2732" s="87">
        <v>15775.4</v>
      </c>
      <c r="E2732" s="35">
        <v>44677</v>
      </c>
      <c r="F2732" s="87">
        <v>15775.4</v>
      </c>
      <c r="G2732" s="91">
        <f>Tabla15[[#This Row],[Importe]]-Tabla15[[#This Row],[Pagado]]</f>
        <v>0</v>
      </c>
      <c r="H2732" s="92" t="s">
        <v>10</v>
      </c>
    </row>
    <row r="2733" spans="1:8" ht="21.75" customHeight="1" x14ac:dyDescent="0.25">
      <c r="A2733" s="35">
        <v>44677</v>
      </c>
      <c r="B2733" s="90" t="s">
        <v>13412</v>
      </c>
      <c r="C2733" s="41" t="s">
        <v>357</v>
      </c>
      <c r="D2733" s="87">
        <v>3755</v>
      </c>
      <c r="E2733" s="35">
        <v>44677</v>
      </c>
      <c r="F2733" s="87">
        <v>3755</v>
      </c>
      <c r="G2733" s="91">
        <f>Tabla15[[#This Row],[Importe]]-Tabla15[[#This Row],[Pagado]]</f>
        <v>0</v>
      </c>
      <c r="H2733" s="92" t="s">
        <v>10</v>
      </c>
    </row>
    <row r="2734" spans="1:8" ht="21.75" customHeight="1" x14ac:dyDescent="0.25">
      <c r="A2734" s="35">
        <v>44677</v>
      </c>
      <c r="B2734" s="90" t="s">
        <v>13413</v>
      </c>
      <c r="C2734" s="41" t="s">
        <v>135</v>
      </c>
      <c r="D2734" s="87">
        <v>1648.2</v>
      </c>
      <c r="E2734" s="35">
        <v>44677</v>
      </c>
      <c r="F2734" s="87">
        <v>1648.2</v>
      </c>
      <c r="G2734" s="91">
        <f>Tabla15[[#This Row],[Importe]]-Tabla15[[#This Row],[Pagado]]</f>
        <v>0</v>
      </c>
      <c r="H2734" s="92" t="s">
        <v>10</v>
      </c>
    </row>
    <row r="2735" spans="1:8" ht="21.75" customHeight="1" x14ac:dyDescent="0.25">
      <c r="A2735" s="35">
        <v>44677</v>
      </c>
      <c r="B2735" s="90" t="s">
        <v>13414</v>
      </c>
      <c r="C2735" s="41" t="s">
        <v>140</v>
      </c>
      <c r="D2735" s="87">
        <v>882</v>
      </c>
      <c r="E2735" s="35">
        <v>44677</v>
      </c>
      <c r="F2735" s="87">
        <v>882</v>
      </c>
      <c r="G2735" s="91">
        <f>Tabla15[[#This Row],[Importe]]-Tabla15[[#This Row],[Pagado]]</f>
        <v>0</v>
      </c>
      <c r="H2735" s="92" t="s">
        <v>10</v>
      </c>
    </row>
    <row r="2736" spans="1:8" ht="21.75" customHeight="1" x14ac:dyDescent="0.25">
      <c r="A2736" s="35">
        <v>44677</v>
      </c>
      <c r="B2736" s="90" t="s">
        <v>13415</v>
      </c>
      <c r="C2736" s="41" t="s">
        <v>131</v>
      </c>
      <c r="D2736" s="87">
        <v>7528.4</v>
      </c>
      <c r="E2736" s="35">
        <v>44677</v>
      </c>
      <c r="F2736" s="87">
        <v>7528.4</v>
      </c>
      <c r="G2736" s="91">
        <f>Tabla15[[#This Row],[Importe]]-Tabla15[[#This Row],[Pagado]]</f>
        <v>0</v>
      </c>
      <c r="H2736" s="92" t="s">
        <v>10</v>
      </c>
    </row>
    <row r="2737" spans="1:8" ht="21.75" customHeight="1" x14ac:dyDescent="0.25">
      <c r="A2737" s="35">
        <v>44677</v>
      </c>
      <c r="B2737" s="90" t="s">
        <v>13416</v>
      </c>
      <c r="C2737" s="41" t="s">
        <v>129</v>
      </c>
      <c r="D2737" s="87">
        <v>5217.6000000000004</v>
      </c>
      <c r="E2737" s="35">
        <v>44677</v>
      </c>
      <c r="F2737" s="87">
        <v>5217.6000000000004</v>
      </c>
      <c r="G2737" s="91">
        <f>Tabla15[[#This Row],[Importe]]-Tabla15[[#This Row],[Pagado]]</f>
        <v>0</v>
      </c>
      <c r="H2737" s="92" t="s">
        <v>10</v>
      </c>
    </row>
    <row r="2738" spans="1:8" ht="21.75" customHeight="1" x14ac:dyDescent="0.25">
      <c r="A2738" s="35">
        <v>44677</v>
      </c>
      <c r="B2738" s="90" t="s">
        <v>13417</v>
      </c>
      <c r="C2738" s="41" t="s">
        <v>16</v>
      </c>
      <c r="D2738" s="87">
        <v>5416.1</v>
      </c>
      <c r="E2738" s="35">
        <v>44677</v>
      </c>
      <c r="F2738" s="87">
        <v>5416.1</v>
      </c>
      <c r="G2738" s="91">
        <f>Tabla15[[#This Row],[Importe]]-Tabla15[[#This Row],[Pagado]]</f>
        <v>0</v>
      </c>
      <c r="H2738" s="92" t="s">
        <v>10</v>
      </c>
    </row>
    <row r="2739" spans="1:8" ht="21.75" customHeight="1" x14ac:dyDescent="0.25">
      <c r="A2739" s="35">
        <v>44677</v>
      </c>
      <c r="B2739" s="90" t="s">
        <v>13418</v>
      </c>
      <c r="C2739" s="41" t="s">
        <v>127</v>
      </c>
      <c r="D2739" s="87">
        <v>4449</v>
      </c>
      <c r="E2739" s="35">
        <v>44677</v>
      </c>
      <c r="F2739" s="87">
        <v>4449</v>
      </c>
      <c r="G2739" s="91">
        <f>Tabla15[[#This Row],[Importe]]-Tabla15[[#This Row],[Pagado]]</f>
        <v>0</v>
      </c>
      <c r="H2739" s="92" t="s">
        <v>10</v>
      </c>
    </row>
    <row r="2740" spans="1:8" ht="21.75" customHeight="1" x14ac:dyDescent="0.25">
      <c r="A2740" s="35">
        <v>44677</v>
      </c>
      <c r="B2740" s="90" t="s">
        <v>13419</v>
      </c>
      <c r="C2740" s="41" t="s">
        <v>13420</v>
      </c>
      <c r="D2740" s="87">
        <v>0</v>
      </c>
      <c r="E2740" s="39" t="s">
        <v>189</v>
      </c>
      <c r="F2740" s="87">
        <v>0</v>
      </c>
      <c r="G2740" s="91">
        <f>Tabla15[[#This Row],[Importe]]-Tabla15[[#This Row],[Pagado]]</f>
        <v>0</v>
      </c>
      <c r="H2740" s="92" t="s">
        <v>189</v>
      </c>
    </row>
    <row r="2741" spans="1:8" ht="21.75" customHeight="1" x14ac:dyDescent="0.25">
      <c r="A2741" s="35">
        <v>44677</v>
      </c>
      <c r="B2741" s="90" t="s">
        <v>13421</v>
      </c>
      <c r="C2741" s="41" t="s">
        <v>339</v>
      </c>
      <c r="D2741" s="87">
        <v>474</v>
      </c>
      <c r="E2741" s="35">
        <v>44677</v>
      </c>
      <c r="F2741" s="87">
        <v>474</v>
      </c>
      <c r="G2741" s="91">
        <f>Tabla15[[#This Row],[Importe]]-Tabla15[[#This Row],[Pagado]]</f>
        <v>0</v>
      </c>
      <c r="H2741" s="92" t="s">
        <v>10</v>
      </c>
    </row>
    <row r="2742" spans="1:8" ht="21.75" customHeight="1" x14ac:dyDescent="0.25">
      <c r="A2742" s="35">
        <v>44677</v>
      </c>
      <c r="B2742" s="90" t="s">
        <v>13422</v>
      </c>
      <c r="C2742" s="41" t="s">
        <v>11033</v>
      </c>
      <c r="D2742" s="87">
        <v>3392</v>
      </c>
      <c r="E2742" s="35">
        <v>44677</v>
      </c>
      <c r="F2742" s="87">
        <v>3392</v>
      </c>
      <c r="G2742" s="91">
        <f>Tabla15[[#This Row],[Importe]]-Tabla15[[#This Row],[Pagado]]</f>
        <v>0</v>
      </c>
      <c r="H2742" s="92" t="s">
        <v>10</v>
      </c>
    </row>
    <row r="2743" spans="1:8" ht="21.75" customHeight="1" x14ac:dyDescent="0.25">
      <c r="A2743" s="35">
        <v>44677</v>
      </c>
      <c r="B2743" s="90" t="s">
        <v>13423</v>
      </c>
      <c r="C2743" s="41" t="s">
        <v>53</v>
      </c>
      <c r="D2743" s="87">
        <v>3996</v>
      </c>
      <c r="E2743" s="35">
        <v>44677</v>
      </c>
      <c r="F2743" s="87">
        <v>3996</v>
      </c>
      <c r="G2743" s="91">
        <f>Tabla15[[#This Row],[Importe]]-Tabla15[[#This Row],[Pagado]]</f>
        <v>0</v>
      </c>
      <c r="H2743" s="92" t="s">
        <v>10</v>
      </c>
    </row>
    <row r="2744" spans="1:8" ht="21.75" customHeight="1" x14ac:dyDescent="0.25">
      <c r="A2744" s="35">
        <v>44677</v>
      </c>
      <c r="B2744" s="90" t="s">
        <v>13424</v>
      </c>
      <c r="C2744" s="41" t="s">
        <v>345</v>
      </c>
      <c r="D2744" s="87">
        <v>1404.2</v>
      </c>
      <c r="E2744" s="35">
        <v>44677</v>
      </c>
      <c r="F2744" s="87">
        <v>1404.2</v>
      </c>
      <c r="G2744" s="91">
        <f>Tabla15[[#This Row],[Importe]]-Tabla15[[#This Row],[Pagado]]</f>
        <v>0</v>
      </c>
      <c r="H2744" s="92" t="s">
        <v>10</v>
      </c>
    </row>
    <row r="2745" spans="1:8" ht="21.75" customHeight="1" x14ac:dyDescent="0.25">
      <c r="A2745" s="35">
        <v>44677</v>
      </c>
      <c r="B2745" s="90" t="s">
        <v>13425</v>
      </c>
      <c r="C2745" s="41" t="s">
        <v>116</v>
      </c>
      <c r="D2745" s="87">
        <v>4489.1000000000004</v>
      </c>
      <c r="E2745" s="35">
        <v>44680</v>
      </c>
      <c r="F2745" s="87">
        <v>4489.1000000000004</v>
      </c>
      <c r="G2745" s="91">
        <f>Tabla15[[#This Row],[Importe]]-Tabla15[[#This Row],[Pagado]]</f>
        <v>0</v>
      </c>
      <c r="H2745" s="92" t="s">
        <v>10</v>
      </c>
    </row>
    <row r="2746" spans="1:8" ht="21.75" customHeight="1" x14ac:dyDescent="0.25">
      <c r="A2746" s="35">
        <v>44677</v>
      </c>
      <c r="B2746" s="90" t="s">
        <v>13426</v>
      </c>
      <c r="C2746" s="41" t="s">
        <v>114</v>
      </c>
      <c r="D2746" s="87">
        <v>5023.5</v>
      </c>
      <c r="E2746" s="35">
        <v>44678</v>
      </c>
      <c r="F2746" s="87">
        <v>5023.5</v>
      </c>
      <c r="G2746" s="91">
        <f>Tabla15[[#This Row],[Importe]]-Tabla15[[#This Row],[Pagado]]</f>
        <v>0</v>
      </c>
      <c r="H2746" s="92" t="s">
        <v>10</v>
      </c>
    </row>
    <row r="2747" spans="1:8" ht="21.75" customHeight="1" x14ac:dyDescent="0.25">
      <c r="A2747" s="35">
        <v>44677</v>
      </c>
      <c r="B2747" s="90" t="s">
        <v>13427</v>
      </c>
      <c r="C2747" s="41" t="s">
        <v>2563</v>
      </c>
      <c r="D2747" s="87">
        <v>4573.8999999999996</v>
      </c>
      <c r="E2747" s="35">
        <v>44678</v>
      </c>
      <c r="F2747" s="87">
        <v>4573.8999999999996</v>
      </c>
      <c r="G2747" s="91">
        <f>Tabla15[[#This Row],[Importe]]-Tabla15[[#This Row],[Pagado]]</f>
        <v>0</v>
      </c>
      <c r="H2747" s="92" t="s">
        <v>10</v>
      </c>
    </row>
    <row r="2748" spans="1:8" ht="21.75" customHeight="1" x14ac:dyDescent="0.25">
      <c r="A2748" s="35">
        <v>44677</v>
      </c>
      <c r="B2748" s="90" t="s">
        <v>13428</v>
      </c>
      <c r="C2748" s="41" t="s">
        <v>326</v>
      </c>
      <c r="D2748" s="87">
        <v>4794</v>
      </c>
      <c r="E2748" s="35">
        <v>44678</v>
      </c>
      <c r="F2748" s="87">
        <v>4794</v>
      </c>
      <c r="G2748" s="91">
        <f>Tabla15[[#This Row],[Importe]]-Tabla15[[#This Row],[Pagado]]</f>
        <v>0</v>
      </c>
      <c r="H2748" s="92" t="s">
        <v>10</v>
      </c>
    </row>
    <row r="2749" spans="1:8" ht="21.75" customHeight="1" x14ac:dyDescent="0.25">
      <c r="A2749" s="35">
        <v>44677</v>
      </c>
      <c r="B2749" s="90" t="s">
        <v>13429</v>
      </c>
      <c r="C2749" s="41" t="s">
        <v>111</v>
      </c>
      <c r="D2749" s="87">
        <v>4783.8</v>
      </c>
      <c r="E2749" s="35">
        <v>44680</v>
      </c>
      <c r="F2749" s="87">
        <v>4783.8</v>
      </c>
      <c r="G2749" s="91">
        <f>Tabla15[[#This Row],[Importe]]-Tabla15[[#This Row],[Pagado]]</f>
        <v>0</v>
      </c>
      <c r="H2749" s="92" t="s">
        <v>10</v>
      </c>
    </row>
    <row r="2750" spans="1:8" ht="21.75" customHeight="1" x14ac:dyDescent="0.25">
      <c r="A2750" s="35">
        <v>44677</v>
      </c>
      <c r="B2750" s="90" t="s">
        <v>13430</v>
      </c>
      <c r="C2750" s="41" t="s">
        <v>918</v>
      </c>
      <c r="D2750" s="87">
        <v>513</v>
      </c>
      <c r="E2750" s="35">
        <v>44677</v>
      </c>
      <c r="F2750" s="87">
        <v>513</v>
      </c>
      <c r="G2750" s="91">
        <f>Tabla15[[#This Row],[Importe]]-Tabla15[[#This Row],[Pagado]]</f>
        <v>0</v>
      </c>
      <c r="H2750" s="92" t="s">
        <v>10</v>
      </c>
    </row>
    <row r="2751" spans="1:8" ht="21.75" customHeight="1" x14ac:dyDescent="0.25">
      <c r="A2751" s="35">
        <v>44677</v>
      </c>
      <c r="B2751" s="90" t="s">
        <v>13431</v>
      </c>
      <c r="C2751" s="41" t="s">
        <v>348</v>
      </c>
      <c r="D2751" s="87">
        <v>1396.8</v>
      </c>
      <c r="E2751" s="35">
        <v>44677</v>
      </c>
      <c r="F2751" s="87">
        <v>1396.8</v>
      </c>
      <c r="G2751" s="91">
        <f>Tabla15[[#This Row],[Importe]]-Tabla15[[#This Row],[Pagado]]</f>
        <v>0</v>
      </c>
      <c r="H2751" s="92" t="s">
        <v>10</v>
      </c>
    </row>
    <row r="2752" spans="1:8" ht="21.75" customHeight="1" x14ac:dyDescent="0.25">
      <c r="A2752" s="35">
        <v>44677</v>
      </c>
      <c r="B2752" s="90" t="s">
        <v>13432</v>
      </c>
      <c r="C2752" s="41" t="s">
        <v>105</v>
      </c>
      <c r="D2752" s="87">
        <v>9356.9</v>
      </c>
      <c r="E2752" s="35">
        <v>44679</v>
      </c>
      <c r="F2752" s="87">
        <v>9356.9</v>
      </c>
      <c r="G2752" s="91">
        <f>Tabla15[[#This Row],[Importe]]-Tabla15[[#This Row],[Pagado]]</f>
        <v>0</v>
      </c>
      <c r="H2752" s="92" t="s">
        <v>10</v>
      </c>
    </row>
    <row r="2753" spans="1:8" ht="21.75" customHeight="1" x14ac:dyDescent="0.25">
      <c r="A2753" s="35">
        <v>44677</v>
      </c>
      <c r="B2753" s="90" t="s">
        <v>13433</v>
      </c>
      <c r="C2753" s="41" t="s">
        <v>97</v>
      </c>
      <c r="D2753" s="87">
        <v>6586.8</v>
      </c>
      <c r="E2753" s="35">
        <v>44678</v>
      </c>
      <c r="F2753" s="87">
        <v>6586.8</v>
      </c>
      <c r="G2753" s="91">
        <f>Tabla15[[#This Row],[Importe]]-Tabla15[[#This Row],[Pagado]]</f>
        <v>0</v>
      </c>
      <c r="H2753" s="92" t="s">
        <v>10</v>
      </c>
    </row>
    <row r="2754" spans="1:8" ht="21.75" customHeight="1" x14ac:dyDescent="0.25">
      <c r="A2754" s="35">
        <v>44677</v>
      </c>
      <c r="B2754" s="90" t="s">
        <v>13434</v>
      </c>
      <c r="C2754" s="41" t="s">
        <v>2151</v>
      </c>
      <c r="D2754" s="87">
        <v>15671</v>
      </c>
      <c r="E2754" s="35">
        <v>44678</v>
      </c>
      <c r="F2754" s="87">
        <v>15671</v>
      </c>
      <c r="G2754" s="91">
        <f>Tabla15[[#This Row],[Importe]]-Tabla15[[#This Row],[Pagado]]</f>
        <v>0</v>
      </c>
      <c r="H2754" s="92" t="s">
        <v>10</v>
      </c>
    </row>
    <row r="2755" spans="1:8" ht="21.75" customHeight="1" x14ac:dyDescent="0.25">
      <c r="A2755" s="35">
        <v>44677</v>
      </c>
      <c r="B2755" s="90" t="s">
        <v>13435</v>
      </c>
      <c r="C2755" s="41" t="s">
        <v>466</v>
      </c>
      <c r="D2755" s="87">
        <v>17820</v>
      </c>
      <c r="E2755" s="35">
        <v>44677</v>
      </c>
      <c r="F2755" s="87">
        <v>17820</v>
      </c>
      <c r="G2755" s="91">
        <f>Tabla15[[#This Row],[Importe]]-Tabla15[[#This Row],[Pagado]]</f>
        <v>0</v>
      </c>
      <c r="H2755" s="92" t="s">
        <v>10</v>
      </c>
    </row>
    <row r="2756" spans="1:8" ht="21.75" customHeight="1" x14ac:dyDescent="0.25">
      <c r="A2756" s="35">
        <v>44677</v>
      </c>
      <c r="B2756" s="90" t="s">
        <v>13436</v>
      </c>
      <c r="C2756" s="41" t="s">
        <v>373</v>
      </c>
      <c r="D2756" s="87">
        <v>2962.4</v>
      </c>
      <c r="E2756" s="35">
        <v>44678</v>
      </c>
      <c r="F2756" s="87">
        <v>2962.4</v>
      </c>
      <c r="G2756" s="91">
        <f>Tabla15[[#This Row],[Importe]]-Tabla15[[#This Row],[Pagado]]</f>
        <v>0</v>
      </c>
      <c r="H2756" s="92" t="s">
        <v>10</v>
      </c>
    </row>
    <row r="2757" spans="1:8" ht="31.5" x14ac:dyDescent="0.25">
      <c r="A2757" s="35">
        <v>44677</v>
      </c>
      <c r="B2757" s="90" t="s">
        <v>13437</v>
      </c>
      <c r="C2757" s="41" t="s">
        <v>93</v>
      </c>
      <c r="D2757" s="87">
        <v>7032</v>
      </c>
      <c r="E2757" s="35" t="s">
        <v>12873</v>
      </c>
      <c r="F2757" s="87">
        <f>5000+2032</f>
        <v>7032</v>
      </c>
      <c r="G2757" s="91">
        <f>Tabla15[[#This Row],[Importe]]-Tabla15[[#This Row],[Pagado]]</f>
        <v>0</v>
      </c>
      <c r="H2757" s="92" t="s">
        <v>10</v>
      </c>
    </row>
    <row r="2758" spans="1:8" ht="21.75" customHeight="1" x14ac:dyDescent="0.25">
      <c r="A2758" s="35">
        <v>44677</v>
      </c>
      <c r="B2758" s="90" t="s">
        <v>13438</v>
      </c>
      <c r="C2758" s="41" t="s">
        <v>64</v>
      </c>
      <c r="D2758" s="87">
        <v>5171.3999999999996</v>
      </c>
      <c r="E2758" s="35">
        <v>44678</v>
      </c>
      <c r="F2758" s="87">
        <v>5171.3999999999996</v>
      </c>
      <c r="G2758" s="91">
        <f>Tabla15[[#This Row],[Importe]]-Tabla15[[#This Row],[Pagado]]</f>
        <v>0</v>
      </c>
      <c r="H2758" s="92" t="s">
        <v>10</v>
      </c>
    </row>
    <row r="2759" spans="1:8" ht="21.75" customHeight="1" x14ac:dyDescent="0.25">
      <c r="A2759" s="35">
        <v>44677</v>
      </c>
      <c r="B2759" s="90" t="s">
        <v>13439</v>
      </c>
      <c r="C2759" s="41" t="s">
        <v>39</v>
      </c>
      <c r="D2759" s="87">
        <v>20472</v>
      </c>
      <c r="E2759" s="35">
        <v>44677</v>
      </c>
      <c r="F2759" s="87">
        <v>20472</v>
      </c>
      <c r="G2759" s="91">
        <f>Tabla15[[#This Row],[Importe]]-Tabla15[[#This Row],[Pagado]]</f>
        <v>0</v>
      </c>
      <c r="H2759" s="92" t="s">
        <v>10</v>
      </c>
    </row>
    <row r="2760" spans="1:8" ht="21.75" customHeight="1" x14ac:dyDescent="0.25">
      <c r="A2760" s="35">
        <v>44677</v>
      </c>
      <c r="B2760" s="90" t="s">
        <v>13440</v>
      </c>
      <c r="C2760" s="41" t="s">
        <v>216</v>
      </c>
      <c r="D2760" s="87">
        <v>1439.6</v>
      </c>
      <c r="E2760" s="35">
        <v>44677</v>
      </c>
      <c r="F2760" s="87">
        <v>1439.6</v>
      </c>
      <c r="G2760" s="91">
        <f>Tabla15[[#This Row],[Importe]]-Tabla15[[#This Row],[Pagado]]</f>
        <v>0</v>
      </c>
      <c r="H2760" s="92" t="s">
        <v>10</v>
      </c>
    </row>
    <row r="2761" spans="1:8" ht="21.75" customHeight="1" x14ac:dyDescent="0.25">
      <c r="A2761" s="35">
        <v>44677</v>
      </c>
      <c r="B2761" s="90" t="s">
        <v>13441</v>
      </c>
      <c r="C2761" s="41" t="s">
        <v>83</v>
      </c>
      <c r="D2761" s="87">
        <v>8745.6</v>
      </c>
      <c r="E2761" s="35">
        <v>44677</v>
      </c>
      <c r="F2761" s="87">
        <v>8745.6</v>
      </c>
      <c r="G2761" s="91">
        <f>Tabla15[[#This Row],[Importe]]-Tabla15[[#This Row],[Pagado]]</f>
        <v>0</v>
      </c>
      <c r="H2761" s="92" t="s">
        <v>10</v>
      </c>
    </row>
    <row r="2762" spans="1:8" ht="21.75" customHeight="1" x14ac:dyDescent="0.25">
      <c r="A2762" s="35">
        <v>44677</v>
      </c>
      <c r="B2762" s="90" t="s">
        <v>13442</v>
      </c>
      <c r="C2762" s="41" t="s">
        <v>804</v>
      </c>
      <c r="D2762" s="87">
        <v>13843.3</v>
      </c>
      <c r="E2762" s="35">
        <v>44677</v>
      </c>
      <c r="F2762" s="87">
        <v>13843.3</v>
      </c>
      <c r="G2762" s="91">
        <f>Tabla15[[#This Row],[Importe]]-Tabla15[[#This Row],[Pagado]]</f>
        <v>0</v>
      </c>
      <c r="H2762" s="92" t="s">
        <v>10</v>
      </c>
    </row>
    <row r="2763" spans="1:8" ht="21.75" customHeight="1" x14ac:dyDescent="0.25">
      <c r="A2763" s="35">
        <v>44677</v>
      </c>
      <c r="B2763" s="90" t="s">
        <v>13443</v>
      </c>
      <c r="C2763" s="41" t="s">
        <v>840</v>
      </c>
      <c r="D2763" s="87">
        <v>20216.400000000001</v>
      </c>
      <c r="E2763" s="35">
        <v>44677</v>
      </c>
      <c r="F2763" s="87">
        <v>20216.400000000001</v>
      </c>
      <c r="G2763" s="91">
        <f>Tabla15[[#This Row],[Importe]]-Tabla15[[#This Row],[Pagado]]</f>
        <v>0</v>
      </c>
      <c r="H2763" s="92" t="s">
        <v>10</v>
      </c>
    </row>
    <row r="2764" spans="1:8" ht="21.75" customHeight="1" x14ac:dyDescent="0.25">
      <c r="A2764" s="35">
        <v>44677</v>
      </c>
      <c r="B2764" s="90" t="s">
        <v>13444</v>
      </c>
      <c r="C2764" s="41" t="s">
        <v>31</v>
      </c>
      <c r="D2764" s="87">
        <v>1416</v>
      </c>
      <c r="E2764" s="35">
        <v>44677</v>
      </c>
      <c r="F2764" s="87">
        <v>1416</v>
      </c>
      <c r="G2764" s="91">
        <f>Tabla15[[#This Row],[Importe]]-Tabla15[[#This Row],[Pagado]]</f>
        <v>0</v>
      </c>
      <c r="H2764" s="92" t="s">
        <v>10</v>
      </c>
    </row>
    <row r="2765" spans="1:8" ht="21.75" customHeight="1" x14ac:dyDescent="0.25">
      <c r="A2765" s="35">
        <v>44677</v>
      </c>
      <c r="B2765" s="90" t="s">
        <v>13445</v>
      </c>
      <c r="C2765" s="41" t="s">
        <v>845</v>
      </c>
      <c r="D2765" s="87">
        <v>1702.4</v>
      </c>
      <c r="E2765" s="35">
        <v>44677</v>
      </c>
      <c r="F2765" s="87">
        <v>1702.4</v>
      </c>
      <c r="G2765" s="91">
        <f>Tabla15[[#This Row],[Importe]]-Tabla15[[#This Row],[Pagado]]</f>
        <v>0</v>
      </c>
      <c r="H2765" s="92" t="s">
        <v>10</v>
      </c>
    </row>
    <row r="2766" spans="1:8" ht="21.75" customHeight="1" x14ac:dyDescent="0.25">
      <c r="A2766" s="35">
        <v>44677</v>
      </c>
      <c r="B2766" s="90" t="s">
        <v>13446</v>
      </c>
      <c r="C2766" s="41" t="s">
        <v>226</v>
      </c>
      <c r="D2766" s="87">
        <v>11894.7</v>
      </c>
      <c r="E2766" s="35">
        <v>44677</v>
      </c>
      <c r="F2766" s="87">
        <v>11894.7</v>
      </c>
      <c r="G2766" s="91">
        <f>Tabla15[[#This Row],[Importe]]-Tabla15[[#This Row],[Pagado]]</f>
        <v>0</v>
      </c>
      <c r="H2766" s="92" t="s">
        <v>10</v>
      </c>
    </row>
    <row r="2767" spans="1:8" ht="21.75" customHeight="1" x14ac:dyDescent="0.25">
      <c r="A2767" s="35">
        <v>44677</v>
      </c>
      <c r="B2767" s="90" t="s">
        <v>13447</v>
      </c>
      <c r="C2767" s="41" t="s">
        <v>698</v>
      </c>
      <c r="D2767" s="87">
        <v>5982</v>
      </c>
      <c r="E2767" s="35">
        <v>44677</v>
      </c>
      <c r="F2767" s="87">
        <v>5982</v>
      </c>
      <c r="G2767" s="91">
        <f>Tabla15[[#This Row],[Importe]]-Tabla15[[#This Row],[Pagado]]</f>
        <v>0</v>
      </c>
      <c r="H2767" s="92" t="s">
        <v>10</v>
      </c>
    </row>
    <row r="2768" spans="1:8" ht="21.75" customHeight="1" x14ac:dyDescent="0.25">
      <c r="A2768" s="35">
        <v>44677</v>
      </c>
      <c r="B2768" s="90" t="s">
        <v>13448</v>
      </c>
      <c r="C2768" s="41" t="s">
        <v>56</v>
      </c>
      <c r="D2768" s="87">
        <v>7708.5</v>
      </c>
      <c r="E2768" s="35">
        <v>44677</v>
      </c>
      <c r="F2768" s="87">
        <v>7708.5</v>
      </c>
      <c r="G2768" s="91">
        <f>Tabla15[[#This Row],[Importe]]-Tabla15[[#This Row],[Pagado]]</f>
        <v>0</v>
      </c>
      <c r="H2768" s="92" t="s">
        <v>10</v>
      </c>
    </row>
    <row r="2769" spans="1:8" ht="21.75" customHeight="1" x14ac:dyDescent="0.25">
      <c r="A2769" s="35">
        <v>44677</v>
      </c>
      <c r="B2769" s="90" t="s">
        <v>13449</v>
      </c>
      <c r="C2769" s="41" t="s">
        <v>214</v>
      </c>
      <c r="D2769" s="87">
        <v>1480.9</v>
      </c>
      <c r="E2769" s="35">
        <v>44677</v>
      </c>
      <c r="F2769" s="87">
        <v>1480.9</v>
      </c>
      <c r="G2769" s="91">
        <f>Tabla15[[#This Row],[Importe]]-Tabla15[[#This Row],[Pagado]]</f>
        <v>0</v>
      </c>
      <c r="H2769" s="92" t="s">
        <v>10</v>
      </c>
    </row>
    <row r="2770" spans="1:8" ht="21.75" customHeight="1" x14ac:dyDescent="0.25">
      <c r="A2770" s="35">
        <v>44677</v>
      </c>
      <c r="B2770" s="90" t="s">
        <v>13450</v>
      </c>
      <c r="C2770" s="41" t="s">
        <v>49</v>
      </c>
      <c r="D2770" s="87">
        <v>1760.6</v>
      </c>
      <c r="E2770" s="35">
        <v>44677</v>
      </c>
      <c r="F2770" s="87">
        <v>1760.6</v>
      </c>
      <c r="G2770" s="91">
        <f>Tabla15[[#This Row],[Importe]]-Tabla15[[#This Row],[Pagado]]</f>
        <v>0</v>
      </c>
      <c r="H2770" s="92" t="s">
        <v>10</v>
      </c>
    </row>
    <row r="2771" spans="1:8" ht="21.75" customHeight="1" x14ac:dyDescent="0.25">
      <c r="A2771" s="35">
        <v>44677</v>
      </c>
      <c r="B2771" s="90" t="s">
        <v>13451</v>
      </c>
      <c r="C2771" s="41" t="s">
        <v>67</v>
      </c>
      <c r="D2771" s="87">
        <v>2384.6999999999998</v>
      </c>
      <c r="E2771" s="35">
        <v>44677</v>
      </c>
      <c r="F2771" s="87">
        <v>2384.6999999999998</v>
      </c>
      <c r="G2771" s="91">
        <f>Tabla15[[#This Row],[Importe]]-Tabla15[[#This Row],[Pagado]]</f>
        <v>0</v>
      </c>
      <c r="H2771" s="92" t="s">
        <v>10</v>
      </c>
    </row>
    <row r="2772" spans="1:8" ht="21.75" customHeight="1" x14ac:dyDescent="0.25">
      <c r="A2772" s="35">
        <v>44677</v>
      </c>
      <c r="B2772" s="90" t="s">
        <v>13452</v>
      </c>
      <c r="C2772" s="41" t="s">
        <v>214</v>
      </c>
      <c r="D2772" s="87">
        <v>3280</v>
      </c>
      <c r="E2772" s="35">
        <v>44677</v>
      </c>
      <c r="F2772" s="87">
        <v>3280</v>
      </c>
      <c r="G2772" s="91">
        <f>Tabla15[[#This Row],[Importe]]-Tabla15[[#This Row],[Pagado]]</f>
        <v>0</v>
      </c>
      <c r="H2772" s="92" t="s">
        <v>10</v>
      </c>
    </row>
    <row r="2773" spans="1:8" ht="21.75" customHeight="1" x14ac:dyDescent="0.25">
      <c r="A2773" s="35">
        <v>44677</v>
      </c>
      <c r="B2773" s="90" t="s">
        <v>13453</v>
      </c>
      <c r="C2773" s="41" t="s">
        <v>45</v>
      </c>
      <c r="D2773" s="87">
        <v>7725.66</v>
      </c>
      <c r="E2773" s="35">
        <v>44677</v>
      </c>
      <c r="F2773" s="87">
        <v>7725.66</v>
      </c>
      <c r="G2773" s="91">
        <f>Tabla15[[#This Row],[Importe]]-Tabla15[[#This Row],[Pagado]]</f>
        <v>0</v>
      </c>
      <c r="H2773" s="92" t="s">
        <v>10</v>
      </c>
    </row>
    <row r="2774" spans="1:8" ht="21.75" customHeight="1" x14ac:dyDescent="0.25">
      <c r="A2774" s="35">
        <v>44677</v>
      </c>
      <c r="B2774" s="90" t="s">
        <v>13454</v>
      </c>
      <c r="C2774" s="41" t="s">
        <v>24</v>
      </c>
      <c r="D2774" s="87">
        <v>3471.2</v>
      </c>
      <c r="E2774" s="35">
        <v>44677</v>
      </c>
      <c r="F2774" s="87">
        <v>3471.2</v>
      </c>
      <c r="G2774" s="91">
        <f>Tabla15[[#This Row],[Importe]]-Tabla15[[#This Row],[Pagado]]</f>
        <v>0</v>
      </c>
      <c r="H2774" s="92" t="s">
        <v>10</v>
      </c>
    </row>
    <row r="2775" spans="1:8" ht="21.75" customHeight="1" x14ac:dyDescent="0.25">
      <c r="A2775" s="35">
        <v>44677</v>
      </c>
      <c r="B2775" s="90" t="s">
        <v>13455</v>
      </c>
      <c r="C2775" s="41" t="s">
        <v>224</v>
      </c>
      <c r="D2775" s="87">
        <v>1609.6</v>
      </c>
      <c r="E2775" s="35">
        <v>44677</v>
      </c>
      <c r="F2775" s="87">
        <v>1609.6</v>
      </c>
      <c r="G2775" s="91">
        <f>Tabla15[[#This Row],[Importe]]-Tabla15[[#This Row],[Pagado]]</f>
        <v>0</v>
      </c>
      <c r="H2775" s="92" t="s">
        <v>10</v>
      </c>
    </row>
    <row r="2776" spans="1:8" ht="21.75" customHeight="1" x14ac:dyDescent="0.25">
      <c r="A2776" s="35">
        <v>44677</v>
      </c>
      <c r="B2776" s="90" t="s">
        <v>13456</v>
      </c>
      <c r="C2776" s="41" t="s">
        <v>373</v>
      </c>
      <c r="D2776" s="87">
        <v>513.29999999999995</v>
      </c>
      <c r="E2776" s="35">
        <v>44677</v>
      </c>
      <c r="F2776" s="87">
        <v>513.29999999999995</v>
      </c>
      <c r="G2776" s="91">
        <f>Tabla15[[#This Row],[Importe]]-Tabla15[[#This Row],[Pagado]]</f>
        <v>0</v>
      </c>
      <c r="H2776" s="92" t="s">
        <v>10</v>
      </c>
    </row>
    <row r="2777" spans="1:8" ht="21.75" customHeight="1" x14ac:dyDescent="0.25">
      <c r="A2777" s="35">
        <v>44677</v>
      </c>
      <c r="B2777" s="90" t="s">
        <v>13457</v>
      </c>
      <c r="C2777" s="41" t="s">
        <v>62</v>
      </c>
      <c r="D2777" s="87">
        <v>3710.7</v>
      </c>
      <c r="E2777" s="35">
        <v>44677</v>
      </c>
      <c r="F2777" s="87">
        <v>3710.7</v>
      </c>
      <c r="G2777" s="91">
        <f>Tabla15[[#This Row],[Importe]]-Tabla15[[#This Row],[Pagado]]</f>
        <v>0</v>
      </c>
      <c r="H2777" s="92" t="s">
        <v>10</v>
      </c>
    </row>
    <row r="2778" spans="1:8" ht="21.75" customHeight="1" x14ac:dyDescent="0.25">
      <c r="A2778" s="35">
        <v>44677</v>
      </c>
      <c r="B2778" s="90" t="s">
        <v>13458</v>
      </c>
      <c r="C2778" s="41" t="s">
        <v>442</v>
      </c>
      <c r="D2778" s="87">
        <v>29255.200000000001</v>
      </c>
      <c r="E2778" s="35">
        <v>44677</v>
      </c>
      <c r="F2778" s="87">
        <v>29255.200000000001</v>
      </c>
      <c r="G2778" s="91">
        <f>Tabla15[[#This Row],[Importe]]-Tabla15[[#This Row],[Pagado]]</f>
        <v>0</v>
      </c>
      <c r="H2778" s="92" t="s">
        <v>10</v>
      </c>
    </row>
    <row r="2779" spans="1:8" ht="21.75" customHeight="1" x14ac:dyDescent="0.25">
      <c r="A2779" s="35">
        <v>44677</v>
      </c>
      <c r="B2779" s="90" t="s">
        <v>13459</v>
      </c>
      <c r="C2779" s="41" t="s">
        <v>442</v>
      </c>
      <c r="D2779" s="87">
        <v>5757</v>
      </c>
      <c r="E2779" s="35">
        <v>44677</v>
      </c>
      <c r="F2779" s="87">
        <v>5757</v>
      </c>
      <c r="G2779" s="91">
        <f>Tabla15[[#This Row],[Importe]]-Tabla15[[#This Row],[Pagado]]</f>
        <v>0</v>
      </c>
      <c r="H2779" s="92" t="s">
        <v>10</v>
      </c>
    </row>
    <row r="2780" spans="1:8" ht="21.75" customHeight="1" x14ac:dyDescent="0.25">
      <c r="A2780" s="35">
        <v>44677</v>
      </c>
      <c r="B2780" s="90" t="s">
        <v>13460</v>
      </c>
      <c r="C2780" s="41" t="s">
        <v>11383</v>
      </c>
      <c r="D2780" s="87">
        <v>24429</v>
      </c>
      <c r="E2780" s="35">
        <v>44677</v>
      </c>
      <c r="F2780" s="87">
        <v>24429</v>
      </c>
      <c r="G2780" s="91">
        <f>Tabla15[[#This Row],[Importe]]-Tabla15[[#This Row],[Pagado]]</f>
        <v>0</v>
      </c>
      <c r="H2780" s="92" t="s">
        <v>10</v>
      </c>
    </row>
    <row r="2781" spans="1:8" ht="21.75" customHeight="1" x14ac:dyDescent="0.25">
      <c r="A2781" s="35">
        <v>44677</v>
      </c>
      <c r="B2781" s="90" t="s">
        <v>13461</v>
      </c>
      <c r="C2781" s="41" t="s">
        <v>1987</v>
      </c>
      <c r="D2781" s="87">
        <v>6304.2</v>
      </c>
      <c r="E2781" s="35">
        <v>44677</v>
      </c>
      <c r="F2781" s="87">
        <v>6304.2</v>
      </c>
      <c r="G2781" s="91">
        <f>Tabla15[[#This Row],[Importe]]-Tabla15[[#This Row],[Pagado]]</f>
        <v>0</v>
      </c>
      <c r="H2781" s="92" t="s">
        <v>10</v>
      </c>
    </row>
    <row r="2782" spans="1:8" ht="21.75" customHeight="1" x14ac:dyDescent="0.25">
      <c r="A2782" s="35">
        <v>44677</v>
      </c>
      <c r="B2782" s="90" t="s">
        <v>13462</v>
      </c>
      <c r="C2782" s="41" t="s">
        <v>419</v>
      </c>
      <c r="D2782" s="87">
        <v>4494.2</v>
      </c>
      <c r="E2782" s="35">
        <v>44677</v>
      </c>
      <c r="F2782" s="87">
        <v>4494.2</v>
      </c>
      <c r="G2782" s="91">
        <f>Tabla15[[#This Row],[Importe]]-Tabla15[[#This Row],[Pagado]]</f>
        <v>0</v>
      </c>
      <c r="H2782" s="92" t="s">
        <v>10</v>
      </c>
    </row>
    <row r="2783" spans="1:8" ht="21.75" customHeight="1" x14ac:dyDescent="0.25">
      <c r="A2783" s="35">
        <v>44677</v>
      </c>
      <c r="B2783" s="90" t="s">
        <v>13463</v>
      </c>
      <c r="C2783" s="41" t="s">
        <v>244</v>
      </c>
      <c r="D2783" s="87">
        <v>377</v>
      </c>
      <c r="E2783" s="35">
        <v>44677</v>
      </c>
      <c r="F2783" s="87">
        <v>377</v>
      </c>
      <c r="G2783" s="91">
        <f>Tabla15[[#This Row],[Importe]]-Tabla15[[#This Row],[Pagado]]</f>
        <v>0</v>
      </c>
      <c r="H2783" s="92" t="s">
        <v>10</v>
      </c>
    </row>
    <row r="2784" spans="1:8" ht="21.75" customHeight="1" x14ac:dyDescent="0.25">
      <c r="A2784" s="35">
        <v>44677</v>
      </c>
      <c r="B2784" s="90" t="s">
        <v>13464</v>
      </c>
      <c r="C2784" s="41" t="s">
        <v>3402</v>
      </c>
      <c r="D2784" s="87">
        <v>2000.1</v>
      </c>
      <c r="E2784" s="35">
        <v>44677</v>
      </c>
      <c r="F2784" s="87">
        <v>2000.1</v>
      </c>
      <c r="G2784" s="91">
        <f>Tabla15[[#This Row],[Importe]]-Tabla15[[#This Row],[Pagado]]</f>
        <v>0</v>
      </c>
      <c r="H2784" s="92" t="s">
        <v>10</v>
      </c>
    </row>
    <row r="2785" spans="1:8" ht="21.75" customHeight="1" x14ac:dyDescent="0.25">
      <c r="A2785" s="35">
        <v>44677</v>
      </c>
      <c r="B2785" s="90" t="s">
        <v>13465</v>
      </c>
      <c r="C2785" s="41" t="s">
        <v>670</v>
      </c>
      <c r="D2785" s="87">
        <v>3306.2</v>
      </c>
      <c r="E2785" s="35">
        <v>44677</v>
      </c>
      <c r="F2785" s="87">
        <v>3306.2</v>
      </c>
      <c r="G2785" s="91">
        <f>Tabla15[[#This Row],[Importe]]-Tabla15[[#This Row],[Pagado]]</f>
        <v>0</v>
      </c>
      <c r="H2785" s="92" t="s">
        <v>10</v>
      </c>
    </row>
    <row r="2786" spans="1:8" ht="21.75" customHeight="1" x14ac:dyDescent="0.25">
      <c r="A2786" s="35">
        <v>44677</v>
      </c>
      <c r="B2786" s="90" t="s">
        <v>13466</v>
      </c>
      <c r="C2786" s="41" t="s">
        <v>10190</v>
      </c>
      <c r="D2786" s="87">
        <v>13615</v>
      </c>
      <c r="E2786" s="35">
        <v>44677</v>
      </c>
      <c r="F2786" s="87">
        <v>13615</v>
      </c>
      <c r="G2786" s="91">
        <f>Tabla15[[#This Row],[Importe]]-Tabla15[[#This Row],[Pagado]]</f>
        <v>0</v>
      </c>
      <c r="H2786" s="92" t="s">
        <v>10</v>
      </c>
    </row>
    <row r="2787" spans="1:8" ht="21.75" customHeight="1" x14ac:dyDescent="0.25">
      <c r="A2787" s="35">
        <v>44677</v>
      </c>
      <c r="B2787" s="90" t="s">
        <v>13467</v>
      </c>
      <c r="C2787" s="41" t="s">
        <v>2961</v>
      </c>
      <c r="D2787" s="87">
        <v>49802.8</v>
      </c>
      <c r="E2787" s="35">
        <v>44679</v>
      </c>
      <c r="F2787" s="87">
        <v>49802.8</v>
      </c>
      <c r="G2787" s="91">
        <f>Tabla15[[#This Row],[Importe]]-Tabla15[[#This Row],[Pagado]]</f>
        <v>0</v>
      </c>
      <c r="H2787" s="92" t="s">
        <v>10</v>
      </c>
    </row>
    <row r="2788" spans="1:8" ht="21.75" customHeight="1" x14ac:dyDescent="0.25">
      <c r="A2788" s="35">
        <v>44677</v>
      </c>
      <c r="B2788" s="90" t="s">
        <v>13468</v>
      </c>
      <c r="C2788" s="41" t="s">
        <v>275</v>
      </c>
      <c r="D2788" s="87">
        <v>27606.16</v>
      </c>
      <c r="E2788" s="35">
        <v>44687</v>
      </c>
      <c r="F2788" s="87">
        <v>27606.16</v>
      </c>
      <c r="G2788" s="91">
        <f>Tabla15[[#This Row],[Importe]]-Tabla15[[#This Row],[Pagado]]</f>
        <v>0</v>
      </c>
      <c r="H2788" s="92" t="s">
        <v>10</v>
      </c>
    </row>
    <row r="2789" spans="1:8" ht="21.75" customHeight="1" x14ac:dyDescent="0.25">
      <c r="A2789" s="35">
        <v>44677</v>
      </c>
      <c r="B2789" s="90" t="s">
        <v>13469</v>
      </c>
      <c r="C2789" s="41" t="s">
        <v>31</v>
      </c>
      <c r="D2789" s="87">
        <v>370</v>
      </c>
      <c r="E2789" s="35">
        <v>44677</v>
      </c>
      <c r="F2789" s="87">
        <v>370</v>
      </c>
      <c r="G2789" s="91">
        <f>Tabla15[[#This Row],[Importe]]-Tabla15[[#This Row],[Pagado]]</f>
        <v>0</v>
      </c>
      <c r="H2789" s="92" t="s">
        <v>10</v>
      </c>
    </row>
    <row r="2790" spans="1:8" ht="21.75" customHeight="1" x14ac:dyDescent="0.25">
      <c r="A2790" s="35">
        <v>44677</v>
      </c>
      <c r="B2790" s="90" t="s">
        <v>13470</v>
      </c>
      <c r="C2790" s="41" t="s">
        <v>13471</v>
      </c>
      <c r="D2790" s="87">
        <v>0</v>
      </c>
      <c r="E2790" s="39" t="s">
        <v>189</v>
      </c>
      <c r="F2790" s="87">
        <v>0</v>
      </c>
      <c r="G2790" s="91">
        <f>Tabla15[[#This Row],[Importe]]-Tabla15[[#This Row],[Pagado]]</f>
        <v>0</v>
      </c>
      <c r="H2790" s="92" t="s">
        <v>189</v>
      </c>
    </row>
    <row r="2791" spans="1:8" ht="21.75" customHeight="1" x14ac:dyDescent="0.25">
      <c r="A2791" s="35">
        <v>44677</v>
      </c>
      <c r="B2791" s="90" t="s">
        <v>13472</v>
      </c>
      <c r="C2791" s="41" t="s">
        <v>142</v>
      </c>
      <c r="D2791" s="87">
        <v>14500.7</v>
      </c>
      <c r="E2791" s="35">
        <v>44722</v>
      </c>
      <c r="F2791" s="87">
        <v>14500.7</v>
      </c>
      <c r="G2791" s="91">
        <f>Tabla15[[#This Row],[Importe]]-Tabla15[[#This Row],[Pagado]]</f>
        <v>0</v>
      </c>
      <c r="H2791" s="92" t="s">
        <v>10</v>
      </c>
    </row>
    <row r="2792" spans="1:8" ht="21.75" customHeight="1" x14ac:dyDescent="0.25">
      <c r="A2792" s="35">
        <v>44677</v>
      </c>
      <c r="B2792" s="90" t="s">
        <v>13473</v>
      </c>
      <c r="C2792" s="41" t="s">
        <v>107</v>
      </c>
      <c r="D2792" s="87">
        <v>9714.9</v>
      </c>
      <c r="E2792" s="35">
        <v>44677</v>
      </c>
      <c r="F2792" s="87">
        <v>9714.9</v>
      </c>
      <c r="G2792" s="91">
        <f>Tabla15[[#This Row],[Importe]]-Tabla15[[#This Row],[Pagado]]</f>
        <v>0</v>
      </c>
      <c r="H2792" s="92" t="s">
        <v>10</v>
      </c>
    </row>
    <row r="2793" spans="1:8" ht="21.75" customHeight="1" x14ac:dyDescent="0.25">
      <c r="A2793" s="35">
        <v>44677</v>
      </c>
      <c r="B2793" s="90" t="s">
        <v>13474</v>
      </c>
      <c r="C2793" s="41" t="s">
        <v>407</v>
      </c>
      <c r="D2793" s="87">
        <v>13116</v>
      </c>
      <c r="E2793" s="35">
        <v>44681</v>
      </c>
      <c r="F2793" s="87">
        <v>13116</v>
      </c>
      <c r="G2793" s="91">
        <f>Tabla15[[#This Row],[Importe]]-Tabla15[[#This Row],[Pagado]]</f>
        <v>0</v>
      </c>
      <c r="H2793" s="92" t="s">
        <v>10</v>
      </c>
    </row>
    <row r="2794" spans="1:8" ht="21.75" customHeight="1" x14ac:dyDescent="0.25">
      <c r="A2794" s="35">
        <v>44677</v>
      </c>
      <c r="B2794" s="90" t="s">
        <v>13475</v>
      </c>
      <c r="C2794" s="41" t="s">
        <v>273</v>
      </c>
      <c r="D2794" s="87">
        <v>2450.7199999999998</v>
      </c>
      <c r="E2794" s="35">
        <v>44677</v>
      </c>
      <c r="F2794" s="87">
        <v>2450.7199999999998</v>
      </c>
      <c r="G2794" s="91">
        <f>Tabla15[[#This Row],[Importe]]-Tabla15[[#This Row],[Pagado]]</f>
        <v>0</v>
      </c>
      <c r="H2794" s="92" t="s">
        <v>10</v>
      </c>
    </row>
    <row r="2795" spans="1:8" ht="21.75" customHeight="1" x14ac:dyDescent="0.25">
      <c r="A2795" s="35">
        <v>44677</v>
      </c>
      <c r="B2795" s="90" t="s">
        <v>13476</v>
      </c>
      <c r="C2795" s="41" t="s">
        <v>14</v>
      </c>
      <c r="D2795" s="87">
        <v>23717.3</v>
      </c>
      <c r="E2795" s="35">
        <v>44677</v>
      </c>
      <c r="F2795" s="87">
        <v>23717.3</v>
      </c>
      <c r="G2795" s="91">
        <f>Tabla15[[#This Row],[Importe]]-Tabla15[[#This Row],[Pagado]]</f>
        <v>0</v>
      </c>
      <c r="H2795" s="92" t="s">
        <v>10</v>
      </c>
    </row>
    <row r="2796" spans="1:8" ht="21.75" customHeight="1" x14ac:dyDescent="0.25">
      <c r="A2796" s="35">
        <v>44677</v>
      </c>
      <c r="B2796" s="90" t="s">
        <v>13477</v>
      </c>
      <c r="C2796" s="41" t="s">
        <v>69</v>
      </c>
      <c r="D2796" s="87">
        <v>2837.9</v>
      </c>
      <c r="E2796" s="35">
        <v>44677</v>
      </c>
      <c r="F2796" s="87">
        <v>2837.9</v>
      </c>
      <c r="G2796" s="91">
        <f>Tabla15[[#This Row],[Importe]]-Tabla15[[#This Row],[Pagado]]</f>
        <v>0</v>
      </c>
      <c r="H2796" s="92" t="s">
        <v>10</v>
      </c>
    </row>
    <row r="2797" spans="1:8" ht="21.75" customHeight="1" x14ac:dyDescent="0.25">
      <c r="A2797" s="35">
        <v>44677</v>
      </c>
      <c r="B2797" s="90" t="s">
        <v>13478</v>
      </c>
      <c r="C2797" s="41" t="s">
        <v>142</v>
      </c>
      <c r="D2797" s="87">
        <v>41351.199999999997</v>
      </c>
      <c r="E2797" s="35">
        <v>44722</v>
      </c>
      <c r="F2797" s="87">
        <v>41351.199999999997</v>
      </c>
      <c r="G2797" s="91">
        <f>Tabla15[[#This Row],[Importe]]-Tabla15[[#This Row],[Pagado]]</f>
        <v>0</v>
      </c>
      <c r="H2797" s="92" t="s">
        <v>10</v>
      </c>
    </row>
    <row r="2798" spans="1:8" ht="21.75" customHeight="1" x14ac:dyDescent="0.25">
      <c r="A2798" s="35">
        <v>44677</v>
      </c>
      <c r="B2798" s="90" t="s">
        <v>13479</v>
      </c>
      <c r="C2798" s="41" t="s">
        <v>4493</v>
      </c>
      <c r="D2798" s="87">
        <v>1650</v>
      </c>
      <c r="E2798" s="35">
        <v>44677</v>
      </c>
      <c r="F2798" s="87">
        <v>1650</v>
      </c>
      <c r="G2798" s="91">
        <f>Tabla15[[#This Row],[Importe]]-Tabla15[[#This Row],[Pagado]]</f>
        <v>0</v>
      </c>
      <c r="H2798" s="92" t="s">
        <v>10</v>
      </c>
    </row>
    <row r="2799" spans="1:8" ht="21.75" customHeight="1" x14ac:dyDescent="0.25">
      <c r="A2799" s="35">
        <v>44677</v>
      </c>
      <c r="B2799" s="90" t="s">
        <v>13480</v>
      </c>
      <c r="C2799" s="41" t="s">
        <v>426</v>
      </c>
      <c r="D2799" s="87">
        <v>3270</v>
      </c>
      <c r="E2799" s="35">
        <v>44677</v>
      </c>
      <c r="F2799" s="87">
        <v>3270</v>
      </c>
      <c r="G2799" s="91">
        <f>Tabla15[[#This Row],[Importe]]-Tabla15[[#This Row],[Pagado]]</f>
        <v>0</v>
      </c>
      <c r="H2799" s="92" t="s">
        <v>10</v>
      </c>
    </row>
    <row r="2800" spans="1:8" ht="21.75" customHeight="1" x14ac:dyDescent="0.25">
      <c r="A2800" s="35">
        <v>44677</v>
      </c>
      <c r="B2800" s="90" t="s">
        <v>13481</v>
      </c>
      <c r="C2800" s="41" t="s">
        <v>13482</v>
      </c>
      <c r="D2800" s="87">
        <v>0</v>
      </c>
      <c r="E2800" s="39" t="s">
        <v>189</v>
      </c>
      <c r="F2800" s="87">
        <v>0</v>
      </c>
      <c r="G2800" s="91">
        <f>Tabla15[[#This Row],[Importe]]-Tabla15[[#This Row],[Pagado]]</f>
        <v>0</v>
      </c>
      <c r="H2800" s="92" t="s">
        <v>189</v>
      </c>
    </row>
    <row r="2801" spans="1:8" ht="21.75" customHeight="1" x14ac:dyDescent="0.25">
      <c r="A2801" s="35">
        <v>44677</v>
      </c>
      <c r="B2801" s="90" t="s">
        <v>13483</v>
      </c>
      <c r="C2801" s="41" t="s">
        <v>359</v>
      </c>
      <c r="D2801" s="87">
        <v>2389.1999999999998</v>
      </c>
      <c r="E2801" s="35">
        <v>44677</v>
      </c>
      <c r="F2801" s="87">
        <v>2389.1999999999998</v>
      </c>
      <c r="G2801" s="91">
        <f>Tabla15[[#This Row],[Importe]]-Tabla15[[#This Row],[Pagado]]</f>
        <v>0</v>
      </c>
      <c r="H2801" s="92" t="s">
        <v>10</v>
      </c>
    </row>
    <row r="2802" spans="1:8" ht="21.75" customHeight="1" x14ac:dyDescent="0.25">
      <c r="A2802" s="35">
        <v>44677</v>
      </c>
      <c r="B2802" s="90" t="s">
        <v>13484</v>
      </c>
      <c r="C2802" s="41" t="s">
        <v>200</v>
      </c>
      <c r="D2802" s="87">
        <v>1032.5</v>
      </c>
      <c r="E2802" s="35">
        <v>44677</v>
      </c>
      <c r="F2802" s="87">
        <v>1032.5</v>
      </c>
      <c r="G2802" s="91">
        <f>Tabla15[[#This Row],[Importe]]-Tabla15[[#This Row],[Pagado]]</f>
        <v>0</v>
      </c>
      <c r="H2802" s="92" t="s">
        <v>10</v>
      </c>
    </row>
    <row r="2803" spans="1:8" ht="21.75" customHeight="1" x14ac:dyDescent="0.25">
      <c r="A2803" s="35">
        <v>44677</v>
      </c>
      <c r="B2803" s="90" t="s">
        <v>13485</v>
      </c>
      <c r="C2803" s="41" t="s">
        <v>181</v>
      </c>
      <c r="D2803" s="87">
        <v>7767.2</v>
      </c>
      <c r="E2803" s="35">
        <v>44677</v>
      </c>
      <c r="F2803" s="87">
        <v>7767.2</v>
      </c>
      <c r="G2803" s="91">
        <f>Tabla15[[#This Row],[Importe]]-Tabla15[[#This Row],[Pagado]]</f>
        <v>0</v>
      </c>
      <c r="H2803" s="92" t="s">
        <v>10</v>
      </c>
    </row>
    <row r="2804" spans="1:8" ht="21.75" customHeight="1" x14ac:dyDescent="0.25">
      <c r="A2804" s="35">
        <v>44677</v>
      </c>
      <c r="B2804" s="90" t="s">
        <v>13486</v>
      </c>
      <c r="C2804" s="41" t="s">
        <v>1008</v>
      </c>
      <c r="D2804" s="87">
        <v>3458.7</v>
      </c>
      <c r="E2804" s="35">
        <v>44677</v>
      </c>
      <c r="F2804" s="87">
        <v>3458.7</v>
      </c>
      <c r="G2804" s="91">
        <f>Tabla15[[#This Row],[Importe]]-Tabla15[[#This Row],[Pagado]]</f>
        <v>0</v>
      </c>
      <c r="H2804" s="92" t="s">
        <v>10</v>
      </c>
    </row>
    <row r="2805" spans="1:8" ht="21.75" customHeight="1" x14ac:dyDescent="0.25">
      <c r="A2805" s="35">
        <v>44677</v>
      </c>
      <c r="B2805" s="90" t="s">
        <v>13487</v>
      </c>
      <c r="C2805" s="41" t="s">
        <v>58</v>
      </c>
      <c r="D2805" s="87">
        <v>3026.8</v>
      </c>
      <c r="E2805" s="35">
        <v>44677</v>
      </c>
      <c r="F2805" s="87">
        <v>3026.8</v>
      </c>
      <c r="G2805" s="91">
        <f>Tabla15[[#This Row],[Importe]]-Tabla15[[#This Row],[Pagado]]</f>
        <v>0</v>
      </c>
      <c r="H2805" s="92" t="s">
        <v>10</v>
      </c>
    </row>
    <row r="2806" spans="1:8" ht="21.75" customHeight="1" x14ac:dyDescent="0.25">
      <c r="A2806" s="35">
        <v>44677</v>
      </c>
      <c r="B2806" s="90" t="s">
        <v>13488</v>
      </c>
      <c r="C2806" s="41" t="s">
        <v>275</v>
      </c>
      <c r="D2806" s="87">
        <v>167037.6</v>
      </c>
      <c r="E2806" s="35">
        <v>44687</v>
      </c>
      <c r="F2806" s="87">
        <v>167037.6</v>
      </c>
      <c r="G2806" s="91">
        <f>Tabla15[[#This Row],[Importe]]-Tabla15[[#This Row],[Pagado]]</f>
        <v>0</v>
      </c>
      <c r="H2806" s="92" t="s">
        <v>10</v>
      </c>
    </row>
    <row r="2807" spans="1:8" ht="21.75" customHeight="1" x14ac:dyDescent="0.25">
      <c r="A2807" s="35">
        <v>44677</v>
      </c>
      <c r="B2807" s="90" t="s">
        <v>13489</v>
      </c>
      <c r="C2807" s="41" t="s">
        <v>433</v>
      </c>
      <c r="D2807" s="87">
        <v>29500</v>
      </c>
      <c r="E2807" s="35">
        <v>44677</v>
      </c>
      <c r="F2807" s="87">
        <v>29500</v>
      </c>
      <c r="G2807" s="91">
        <f>Tabla15[[#This Row],[Importe]]-Tabla15[[#This Row],[Pagado]]</f>
        <v>0</v>
      </c>
      <c r="H2807" s="92" t="s">
        <v>10</v>
      </c>
    </row>
    <row r="2808" spans="1:8" ht="21.75" customHeight="1" x14ac:dyDescent="0.25">
      <c r="A2808" s="35">
        <v>44677</v>
      </c>
      <c r="B2808" s="90" t="s">
        <v>13490</v>
      </c>
      <c r="C2808" s="41" t="s">
        <v>1174</v>
      </c>
      <c r="D2808" s="87">
        <v>40419.199999999997</v>
      </c>
      <c r="E2808" s="35">
        <v>44677</v>
      </c>
      <c r="F2808" s="87">
        <v>40419.199999999997</v>
      </c>
      <c r="G2808" s="91">
        <f>Tabla15[[#This Row],[Importe]]-Tabla15[[#This Row],[Pagado]]</f>
        <v>0</v>
      </c>
      <c r="H2808" s="92" t="s">
        <v>10</v>
      </c>
    </row>
    <row r="2809" spans="1:8" ht="21.75" customHeight="1" x14ac:dyDescent="0.25">
      <c r="A2809" s="35">
        <v>44677</v>
      </c>
      <c r="B2809" s="90" t="s">
        <v>13491</v>
      </c>
      <c r="C2809" s="41" t="s">
        <v>79</v>
      </c>
      <c r="D2809" s="87">
        <v>13804.4</v>
      </c>
      <c r="E2809" s="35">
        <v>44678</v>
      </c>
      <c r="F2809" s="87">
        <v>13804.4</v>
      </c>
      <c r="G2809" s="91">
        <f>Tabla15[[#This Row],[Importe]]-Tabla15[[#This Row],[Pagado]]</f>
        <v>0</v>
      </c>
      <c r="H2809" s="92" t="s">
        <v>10</v>
      </c>
    </row>
    <row r="2810" spans="1:8" ht="21.75" customHeight="1" x14ac:dyDescent="0.25">
      <c r="A2810" s="35">
        <v>44677</v>
      </c>
      <c r="B2810" s="90" t="s">
        <v>13492</v>
      </c>
      <c r="C2810" s="41" t="s">
        <v>13493</v>
      </c>
      <c r="D2810" s="87">
        <v>2016</v>
      </c>
      <c r="E2810" s="35">
        <v>44677</v>
      </c>
      <c r="F2810" s="87">
        <v>2016</v>
      </c>
      <c r="G2810" s="91">
        <f>Tabla15[[#This Row],[Importe]]-Tabla15[[#This Row],[Pagado]]</f>
        <v>0</v>
      </c>
      <c r="H2810" s="92" t="s">
        <v>10</v>
      </c>
    </row>
    <row r="2811" spans="1:8" ht="21.75" customHeight="1" x14ac:dyDescent="0.25">
      <c r="A2811" s="35">
        <v>44677</v>
      </c>
      <c r="B2811" s="90" t="s">
        <v>13494</v>
      </c>
      <c r="C2811" s="41" t="s">
        <v>13386</v>
      </c>
      <c r="D2811" s="87">
        <v>2433.6</v>
      </c>
      <c r="E2811" s="35">
        <v>44677</v>
      </c>
      <c r="F2811" s="87">
        <v>2433.6</v>
      </c>
      <c r="G2811" s="91">
        <f>Tabla15[[#This Row],[Importe]]-Tabla15[[#This Row],[Pagado]]</f>
        <v>0</v>
      </c>
      <c r="H2811" s="92" t="s">
        <v>10</v>
      </c>
    </row>
    <row r="2812" spans="1:8" ht="21.75" customHeight="1" x14ac:dyDescent="0.25">
      <c r="A2812" s="35">
        <v>44677</v>
      </c>
      <c r="B2812" s="90" t="s">
        <v>13495</v>
      </c>
      <c r="C2812" s="41" t="s">
        <v>518</v>
      </c>
      <c r="D2812" s="87">
        <v>1652</v>
      </c>
      <c r="E2812" s="35">
        <v>44678</v>
      </c>
      <c r="F2812" s="87">
        <v>1652</v>
      </c>
      <c r="G2812" s="91">
        <f>Tabla15[[#This Row],[Importe]]-Tabla15[[#This Row],[Pagado]]</f>
        <v>0</v>
      </c>
      <c r="H2812" s="92" t="s">
        <v>10</v>
      </c>
    </row>
    <row r="2813" spans="1:8" ht="21.75" customHeight="1" x14ac:dyDescent="0.25">
      <c r="A2813" s="35">
        <v>44677</v>
      </c>
      <c r="B2813" s="90" t="s">
        <v>13496</v>
      </c>
      <c r="C2813" s="41" t="s">
        <v>157</v>
      </c>
      <c r="D2813" s="87">
        <v>2936.8</v>
      </c>
      <c r="E2813" s="35">
        <v>44678</v>
      </c>
      <c r="F2813" s="87">
        <v>2936.8</v>
      </c>
      <c r="G2813" s="91">
        <f>Tabla15[[#This Row],[Importe]]-Tabla15[[#This Row],[Pagado]]</f>
        <v>0</v>
      </c>
      <c r="H2813" s="92" t="s">
        <v>10</v>
      </c>
    </row>
    <row r="2814" spans="1:8" ht="21.75" customHeight="1" x14ac:dyDescent="0.25">
      <c r="A2814" s="35">
        <v>44677</v>
      </c>
      <c r="B2814" s="90" t="s">
        <v>13497</v>
      </c>
      <c r="C2814" s="41" t="s">
        <v>448</v>
      </c>
      <c r="D2814" s="87">
        <v>20809.3</v>
      </c>
      <c r="E2814" s="35">
        <v>44678</v>
      </c>
      <c r="F2814" s="87">
        <v>20809.3</v>
      </c>
      <c r="G2814" s="91">
        <f>Tabla15[[#This Row],[Importe]]-Tabla15[[#This Row],[Pagado]]</f>
        <v>0</v>
      </c>
      <c r="H2814" s="92" t="s">
        <v>10</v>
      </c>
    </row>
    <row r="2815" spans="1:8" ht="21.75" customHeight="1" x14ac:dyDescent="0.25">
      <c r="A2815" s="35">
        <v>44677</v>
      </c>
      <c r="B2815" s="90" t="s">
        <v>13498</v>
      </c>
      <c r="C2815" s="41" t="s">
        <v>1421</v>
      </c>
      <c r="D2815" s="87">
        <v>24616.400000000001</v>
      </c>
      <c r="E2815" s="35">
        <v>44677</v>
      </c>
      <c r="F2815" s="87">
        <v>24616.400000000001</v>
      </c>
      <c r="G2815" s="91">
        <f>Tabla15[[#This Row],[Importe]]-Tabla15[[#This Row],[Pagado]]</f>
        <v>0</v>
      </c>
      <c r="H2815" s="92" t="s">
        <v>10</v>
      </c>
    </row>
    <row r="2816" spans="1:8" ht="21.75" customHeight="1" x14ac:dyDescent="0.25">
      <c r="A2816" s="35">
        <v>44677</v>
      </c>
      <c r="B2816" s="90" t="s">
        <v>13499</v>
      </c>
      <c r="C2816" s="41" t="s">
        <v>157</v>
      </c>
      <c r="D2816" s="87">
        <v>5956</v>
      </c>
      <c r="E2816" s="35">
        <v>44678</v>
      </c>
      <c r="F2816" s="87">
        <v>5956</v>
      </c>
      <c r="G2816" s="91">
        <f>Tabla15[[#This Row],[Importe]]-Tabla15[[#This Row],[Pagado]]</f>
        <v>0</v>
      </c>
      <c r="H2816" s="92" t="s">
        <v>10</v>
      </c>
    </row>
    <row r="2817" spans="1:8" ht="21.75" customHeight="1" x14ac:dyDescent="0.25">
      <c r="A2817" s="35">
        <v>44677</v>
      </c>
      <c r="B2817" s="90" t="s">
        <v>13500</v>
      </c>
      <c r="C2817" s="41" t="s">
        <v>966</v>
      </c>
      <c r="D2817" s="87">
        <v>1875</v>
      </c>
      <c r="E2817" s="35">
        <v>44678</v>
      </c>
      <c r="F2817" s="87">
        <v>1875</v>
      </c>
      <c r="G2817" s="91">
        <f>Tabla15[[#This Row],[Importe]]-Tabla15[[#This Row],[Pagado]]</f>
        <v>0</v>
      </c>
      <c r="H2817" s="92" t="s">
        <v>10</v>
      </c>
    </row>
    <row r="2818" spans="1:8" ht="21.75" customHeight="1" x14ac:dyDescent="0.25">
      <c r="A2818" s="35">
        <v>44677</v>
      </c>
      <c r="B2818" s="90" t="s">
        <v>13501</v>
      </c>
      <c r="C2818" s="41" t="s">
        <v>319</v>
      </c>
      <c r="D2818" s="87">
        <v>4660.8999999999996</v>
      </c>
      <c r="E2818" s="35">
        <v>44678</v>
      </c>
      <c r="F2818" s="87">
        <v>4660.8999999999996</v>
      </c>
      <c r="G2818" s="91">
        <f>Tabla15[[#This Row],[Importe]]-Tabla15[[#This Row],[Pagado]]</f>
        <v>0</v>
      </c>
      <c r="H2818" s="92" t="s">
        <v>10</v>
      </c>
    </row>
    <row r="2819" spans="1:8" ht="21.75" customHeight="1" x14ac:dyDescent="0.25">
      <c r="A2819" s="35">
        <v>44677</v>
      </c>
      <c r="B2819" s="90" t="s">
        <v>13502</v>
      </c>
      <c r="C2819" s="41" t="s">
        <v>396</v>
      </c>
      <c r="D2819" s="87">
        <v>8204.5</v>
      </c>
      <c r="E2819" s="35">
        <v>44686</v>
      </c>
      <c r="F2819" s="87">
        <v>8204.5</v>
      </c>
      <c r="G2819" s="91">
        <f>Tabla15[[#This Row],[Importe]]-Tabla15[[#This Row],[Pagado]]</f>
        <v>0</v>
      </c>
      <c r="H2819" s="92" t="s">
        <v>10</v>
      </c>
    </row>
    <row r="2820" spans="1:8" ht="21.75" customHeight="1" x14ac:dyDescent="0.25">
      <c r="A2820" s="35">
        <v>44677</v>
      </c>
      <c r="B2820" s="90" t="s">
        <v>13503</v>
      </c>
      <c r="C2820" s="41" t="s">
        <v>520</v>
      </c>
      <c r="D2820" s="87">
        <v>16814.400000000001</v>
      </c>
      <c r="E2820" s="35">
        <v>44678</v>
      </c>
      <c r="F2820" s="87">
        <v>16814.400000000001</v>
      </c>
      <c r="G2820" s="91">
        <f>Tabla15[[#This Row],[Importe]]-Tabla15[[#This Row],[Pagado]]</f>
        <v>0</v>
      </c>
      <c r="H2820" s="92" t="s">
        <v>10</v>
      </c>
    </row>
    <row r="2821" spans="1:8" ht="21.75" customHeight="1" x14ac:dyDescent="0.25">
      <c r="A2821" s="35">
        <v>44677</v>
      </c>
      <c r="B2821" s="90" t="s">
        <v>13504</v>
      </c>
      <c r="C2821" s="41" t="s">
        <v>71</v>
      </c>
      <c r="D2821" s="87">
        <v>4339.2</v>
      </c>
      <c r="E2821" s="35">
        <v>44677</v>
      </c>
      <c r="F2821" s="87">
        <v>4339.2</v>
      </c>
      <c r="G2821" s="91">
        <f>Tabla15[[#This Row],[Importe]]-Tabla15[[#This Row],[Pagado]]</f>
        <v>0</v>
      </c>
      <c r="H2821" s="92" t="s">
        <v>10</v>
      </c>
    </row>
    <row r="2822" spans="1:8" ht="21.75" customHeight="1" x14ac:dyDescent="0.25">
      <c r="A2822" s="35">
        <v>44677</v>
      </c>
      <c r="B2822" s="90" t="s">
        <v>13505</v>
      </c>
      <c r="C2822" s="41" t="s">
        <v>10273</v>
      </c>
      <c r="D2822" s="87">
        <v>169.2</v>
      </c>
      <c r="E2822" s="35">
        <v>44677</v>
      </c>
      <c r="F2822" s="87">
        <v>169.2</v>
      </c>
      <c r="G2822" s="91">
        <f>Tabla15[[#This Row],[Importe]]-Tabla15[[#This Row],[Pagado]]</f>
        <v>0</v>
      </c>
      <c r="H2822" s="92" t="s">
        <v>10</v>
      </c>
    </row>
    <row r="2823" spans="1:8" ht="21.75" customHeight="1" x14ac:dyDescent="0.25">
      <c r="A2823" s="35">
        <v>44677</v>
      </c>
      <c r="B2823" s="90" t="s">
        <v>13506</v>
      </c>
      <c r="C2823" s="41" t="s">
        <v>31</v>
      </c>
      <c r="D2823" s="87">
        <v>432.9</v>
      </c>
      <c r="E2823" s="35">
        <v>44677</v>
      </c>
      <c r="F2823" s="87">
        <v>432.9</v>
      </c>
      <c r="G2823" s="91">
        <f>Tabla15[[#This Row],[Importe]]-Tabla15[[#This Row],[Pagado]]</f>
        <v>0</v>
      </c>
      <c r="H2823" s="92" t="s">
        <v>10</v>
      </c>
    </row>
    <row r="2824" spans="1:8" ht="21.75" customHeight="1" x14ac:dyDescent="0.25">
      <c r="A2824" s="35">
        <v>44677</v>
      </c>
      <c r="B2824" s="90" t="s">
        <v>13507</v>
      </c>
      <c r="C2824" s="41" t="s">
        <v>440</v>
      </c>
      <c r="D2824" s="87">
        <v>15962.28</v>
      </c>
      <c r="E2824" s="35">
        <v>44697</v>
      </c>
      <c r="F2824" s="87">
        <v>15962.28</v>
      </c>
      <c r="G2824" s="91">
        <f>Tabla15[[#This Row],[Importe]]-Tabla15[[#This Row],[Pagado]]</f>
        <v>0</v>
      </c>
      <c r="H2824" s="92" t="s">
        <v>10</v>
      </c>
    </row>
    <row r="2825" spans="1:8" ht="21.75" customHeight="1" x14ac:dyDescent="0.25">
      <c r="A2825" s="35">
        <v>44677</v>
      </c>
      <c r="B2825" s="90" t="s">
        <v>13508</v>
      </c>
      <c r="C2825" s="41" t="s">
        <v>296</v>
      </c>
      <c r="D2825" s="87">
        <v>3462.8</v>
      </c>
      <c r="E2825" s="35">
        <v>44677</v>
      </c>
      <c r="F2825" s="87">
        <v>3462.8</v>
      </c>
      <c r="G2825" s="91">
        <f>Tabla15[[#This Row],[Importe]]-Tabla15[[#This Row],[Pagado]]</f>
        <v>0</v>
      </c>
      <c r="H2825" s="92" t="s">
        <v>10</v>
      </c>
    </row>
    <row r="2826" spans="1:8" ht="21.75" customHeight="1" x14ac:dyDescent="0.25">
      <c r="A2826" s="35">
        <v>44677</v>
      </c>
      <c r="B2826" s="90" t="s">
        <v>13509</v>
      </c>
      <c r="C2826" s="41" t="s">
        <v>53</v>
      </c>
      <c r="D2826" s="87">
        <v>1566</v>
      </c>
      <c r="E2826" s="35">
        <v>44677</v>
      </c>
      <c r="F2826" s="87">
        <v>1566</v>
      </c>
      <c r="G2826" s="91">
        <f>Tabla15[[#This Row],[Importe]]-Tabla15[[#This Row],[Pagado]]</f>
        <v>0</v>
      </c>
      <c r="H2826" s="92" t="s">
        <v>10</v>
      </c>
    </row>
    <row r="2827" spans="1:8" ht="21.75" customHeight="1" x14ac:dyDescent="0.25">
      <c r="A2827" s="35">
        <v>44677</v>
      </c>
      <c r="B2827" s="90" t="s">
        <v>13510</v>
      </c>
      <c r="C2827" s="41" t="s">
        <v>1706</v>
      </c>
      <c r="D2827" s="87">
        <v>7200</v>
      </c>
      <c r="E2827" s="35">
        <v>44677</v>
      </c>
      <c r="F2827" s="87">
        <v>7200</v>
      </c>
      <c r="G2827" s="91">
        <f>Tabla15[[#This Row],[Importe]]-Tabla15[[#This Row],[Pagado]]</f>
        <v>0</v>
      </c>
      <c r="H2827" s="92" t="s">
        <v>10</v>
      </c>
    </row>
    <row r="2828" spans="1:8" ht="21.75" customHeight="1" x14ac:dyDescent="0.25">
      <c r="A2828" s="35">
        <v>44677</v>
      </c>
      <c r="B2828" s="90" t="s">
        <v>13511</v>
      </c>
      <c r="C2828" s="41" t="s">
        <v>142</v>
      </c>
      <c r="D2828" s="87">
        <v>5624</v>
      </c>
      <c r="E2828" s="35">
        <v>44722</v>
      </c>
      <c r="F2828" s="87">
        <v>5624</v>
      </c>
      <c r="G2828" s="91">
        <f>Tabla15[[#This Row],[Importe]]-Tabla15[[#This Row],[Pagado]]</f>
        <v>0</v>
      </c>
      <c r="H2828" s="92" t="s">
        <v>10</v>
      </c>
    </row>
    <row r="2829" spans="1:8" ht="21.75" customHeight="1" x14ac:dyDescent="0.25">
      <c r="A2829" s="35">
        <v>44677</v>
      </c>
      <c r="B2829" s="90" t="s">
        <v>13512</v>
      </c>
      <c r="C2829" s="41" t="s">
        <v>9444</v>
      </c>
      <c r="D2829" s="87">
        <v>0</v>
      </c>
      <c r="E2829" s="39" t="s">
        <v>189</v>
      </c>
      <c r="F2829" s="87">
        <v>0</v>
      </c>
      <c r="G2829" s="91">
        <f>Tabla15[[#This Row],[Importe]]-Tabla15[[#This Row],[Pagado]]</f>
        <v>0</v>
      </c>
      <c r="H2829" s="92" t="s">
        <v>189</v>
      </c>
    </row>
    <row r="2830" spans="1:8" ht="21.75" customHeight="1" x14ac:dyDescent="0.25">
      <c r="A2830" s="35">
        <v>44677</v>
      </c>
      <c r="B2830" s="90" t="s">
        <v>13513</v>
      </c>
      <c r="C2830" s="41" t="s">
        <v>31</v>
      </c>
      <c r="D2830" s="87">
        <v>55.5</v>
      </c>
      <c r="E2830" s="35">
        <v>44677</v>
      </c>
      <c r="F2830" s="87">
        <v>55.5</v>
      </c>
      <c r="G2830" s="91">
        <f>Tabla15[[#This Row],[Importe]]-Tabla15[[#This Row],[Pagado]]</f>
        <v>0</v>
      </c>
      <c r="H2830" s="92" t="s">
        <v>10</v>
      </c>
    </row>
    <row r="2831" spans="1:8" ht="21.75" customHeight="1" x14ac:dyDescent="0.25">
      <c r="A2831" s="35">
        <v>44677</v>
      </c>
      <c r="B2831" s="90" t="s">
        <v>13514</v>
      </c>
      <c r="C2831" s="41" t="s">
        <v>664</v>
      </c>
      <c r="D2831" s="87">
        <v>3828.5</v>
      </c>
      <c r="E2831" s="35">
        <v>44678</v>
      </c>
      <c r="F2831" s="87">
        <v>3828.5</v>
      </c>
      <c r="G2831" s="91">
        <f>Tabla15[[#This Row],[Importe]]-Tabla15[[#This Row],[Pagado]]</f>
        <v>0</v>
      </c>
      <c r="H2831" s="92" t="s">
        <v>10</v>
      </c>
    </row>
    <row r="2832" spans="1:8" ht="21.75" customHeight="1" x14ac:dyDescent="0.25">
      <c r="A2832" s="35">
        <v>44677</v>
      </c>
      <c r="B2832" s="90" t="s">
        <v>13515</v>
      </c>
      <c r="C2832" s="41" t="s">
        <v>291</v>
      </c>
      <c r="D2832" s="87">
        <v>3142.5</v>
      </c>
      <c r="E2832" s="35">
        <v>44678</v>
      </c>
      <c r="F2832" s="87">
        <v>3142.5</v>
      </c>
      <c r="G2832" s="91">
        <f>Tabla15[[#This Row],[Importe]]-Tabla15[[#This Row],[Pagado]]</f>
        <v>0</v>
      </c>
      <c r="H2832" s="92" t="s">
        <v>10</v>
      </c>
    </row>
    <row r="2833" spans="1:8" ht="21.75" customHeight="1" x14ac:dyDescent="0.25">
      <c r="A2833" s="35">
        <v>44677</v>
      </c>
      <c r="B2833" s="90" t="s">
        <v>13516</v>
      </c>
      <c r="C2833" s="41" t="s">
        <v>280</v>
      </c>
      <c r="D2833" s="87">
        <v>590</v>
      </c>
      <c r="E2833" s="35">
        <v>44678</v>
      </c>
      <c r="F2833" s="87">
        <v>590</v>
      </c>
      <c r="G2833" s="91">
        <f>Tabla15[[#This Row],[Importe]]-Tabla15[[#This Row],[Pagado]]</f>
        <v>0</v>
      </c>
      <c r="H2833" s="92" t="s">
        <v>10</v>
      </c>
    </row>
    <row r="2834" spans="1:8" ht="21.75" customHeight="1" x14ac:dyDescent="0.25">
      <c r="A2834" s="35">
        <v>44677</v>
      </c>
      <c r="B2834" s="90" t="s">
        <v>13517</v>
      </c>
      <c r="C2834" s="41" t="s">
        <v>284</v>
      </c>
      <c r="D2834" s="87">
        <v>8838.2000000000007</v>
      </c>
      <c r="E2834" s="35">
        <v>44678</v>
      </c>
      <c r="F2834" s="87">
        <v>8838.2000000000007</v>
      </c>
      <c r="G2834" s="91">
        <f>Tabla15[[#This Row],[Importe]]-Tabla15[[#This Row],[Pagado]]</f>
        <v>0</v>
      </c>
      <c r="H2834" s="92" t="s">
        <v>10</v>
      </c>
    </row>
    <row r="2835" spans="1:8" ht="21.75" customHeight="1" x14ac:dyDescent="0.25">
      <c r="A2835" s="35">
        <v>44677</v>
      </c>
      <c r="B2835" s="90" t="s">
        <v>13518</v>
      </c>
      <c r="C2835" s="41" t="s">
        <v>175</v>
      </c>
      <c r="D2835" s="87">
        <v>35106</v>
      </c>
      <c r="E2835" s="35">
        <v>44677</v>
      </c>
      <c r="F2835" s="87">
        <v>35106</v>
      </c>
      <c r="G2835" s="91">
        <f>Tabla15[[#This Row],[Importe]]-Tabla15[[#This Row],[Pagado]]</f>
        <v>0</v>
      </c>
      <c r="H2835" s="92" t="s">
        <v>10</v>
      </c>
    </row>
    <row r="2836" spans="1:8" ht="21.75" customHeight="1" x14ac:dyDescent="0.25">
      <c r="A2836" s="35">
        <v>44677</v>
      </c>
      <c r="B2836" s="90" t="s">
        <v>13519</v>
      </c>
      <c r="C2836" s="41" t="s">
        <v>843</v>
      </c>
      <c r="D2836" s="87">
        <v>15431</v>
      </c>
      <c r="E2836" s="35">
        <v>44678</v>
      </c>
      <c r="F2836" s="87">
        <v>15431</v>
      </c>
      <c r="G2836" s="91">
        <f>Tabla15[[#This Row],[Importe]]-Tabla15[[#This Row],[Pagado]]</f>
        <v>0</v>
      </c>
      <c r="H2836" s="92" t="s">
        <v>10</v>
      </c>
    </row>
    <row r="2837" spans="1:8" ht="21.75" customHeight="1" x14ac:dyDescent="0.25">
      <c r="A2837" s="35">
        <v>44677</v>
      </c>
      <c r="B2837" s="90" t="s">
        <v>13520</v>
      </c>
      <c r="C2837" s="41" t="s">
        <v>47</v>
      </c>
      <c r="D2837" s="87">
        <v>56321.5</v>
      </c>
      <c r="E2837" s="35">
        <v>44678</v>
      </c>
      <c r="F2837" s="87">
        <v>56321.5</v>
      </c>
      <c r="G2837" s="91">
        <f>Tabla15[[#This Row],[Importe]]-Tabla15[[#This Row],[Pagado]]</f>
        <v>0</v>
      </c>
      <c r="H2837" s="92" t="s">
        <v>10</v>
      </c>
    </row>
    <row r="2838" spans="1:8" ht="21.75" customHeight="1" x14ac:dyDescent="0.25">
      <c r="A2838" s="35">
        <v>44677</v>
      </c>
      <c r="B2838" s="90" t="s">
        <v>13521</v>
      </c>
      <c r="C2838" s="41" t="s">
        <v>47</v>
      </c>
      <c r="D2838" s="87">
        <v>4058.4</v>
      </c>
      <c r="E2838" s="35">
        <v>44678</v>
      </c>
      <c r="F2838" s="87">
        <v>4058.4</v>
      </c>
      <c r="G2838" s="91">
        <f>Tabla15[[#This Row],[Importe]]-Tabla15[[#This Row],[Pagado]]</f>
        <v>0</v>
      </c>
      <c r="H2838" s="92" t="s">
        <v>10</v>
      </c>
    </row>
    <row r="2839" spans="1:8" ht="31.5" x14ac:dyDescent="0.25">
      <c r="A2839" s="35">
        <v>44677</v>
      </c>
      <c r="B2839" s="90" t="s">
        <v>13522</v>
      </c>
      <c r="C2839" s="41" t="s">
        <v>196</v>
      </c>
      <c r="D2839" s="87">
        <v>106910.84</v>
      </c>
      <c r="E2839" s="35">
        <v>44681</v>
      </c>
      <c r="F2839" s="87">
        <v>106910.84</v>
      </c>
      <c r="G2839" s="91">
        <f>Tabla15[[#This Row],[Importe]]-Tabla15[[#This Row],[Pagado]]</f>
        <v>0</v>
      </c>
      <c r="H2839" s="92" t="s">
        <v>10</v>
      </c>
    </row>
    <row r="2840" spans="1:8" ht="21.75" customHeight="1" x14ac:dyDescent="0.25">
      <c r="A2840" s="35">
        <v>44678</v>
      </c>
      <c r="B2840" s="90" t="s">
        <v>13523</v>
      </c>
      <c r="C2840" s="41" t="s">
        <v>481</v>
      </c>
      <c r="D2840" s="87">
        <v>1250.2</v>
      </c>
      <c r="E2840" s="35">
        <v>44678</v>
      </c>
      <c r="F2840" s="87">
        <v>1250.2</v>
      </c>
      <c r="G2840" s="91">
        <f>Tabla15[[#This Row],[Importe]]-Tabla15[[#This Row],[Pagado]]</f>
        <v>0</v>
      </c>
      <c r="H2840" s="92" t="s">
        <v>10</v>
      </c>
    </row>
    <row r="2841" spans="1:8" ht="21.75" customHeight="1" x14ac:dyDescent="0.25">
      <c r="A2841" s="35">
        <v>44678</v>
      </c>
      <c r="B2841" s="90" t="s">
        <v>13524</v>
      </c>
      <c r="C2841" s="41" t="s">
        <v>12202</v>
      </c>
      <c r="D2841" s="87">
        <v>20160</v>
      </c>
      <c r="E2841" s="35">
        <v>44678</v>
      </c>
      <c r="F2841" s="87">
        <v>20160</v>
      </c>
      <c r="G2841" s="91">
        <f>Tabla15[[#This Row],[Importe]]-Tabla15[[#This Row],[Pagado]]</f>
        <v>0</v>
      </c>
      <c r="H2841" s="92" t="s">
        <v>10</v>
      </c>
    </row>
    <row r="2842" spans="1:8" ht="21.75" customHeight="1" x14ac:dyDescent="0.25">
      <c r="A2842" s="35">
        <v>44678</v>
      </c>
      <c r="B2842" s="90" t="s">
        <v>13525</v>
      </c>
      <c r="C2842" s="41" t="s">
        <v>9</v>
      </c>
      <c r="D2842" s="87">
        <v>2765</v>
      </c>
      <c r="E2842" s="35">
        <v>44678</v>
      </c>
      <c r="F2842" s="87">
        <v>2765</v>
      </c>
      <c r="G2842" s="91">
        <f>Tabla15[[#This Row],[Importe]]-Tabla15[[#This Row],[Pagado]]</f>
        <v>0</v>
      </c>
      <c r="H2842" s="92" t="s">
        <v>10</v>
      </c>
    </row>
    <row r="2843" spans="1:8" ht="31.5" x14ac:dyDescent="0.25">
      <c r="A2843" s="35">
        <v>44678</v>
      </c>
      <c r="B2843" s="90" t="s">
        <v>13526</v>
      </c>
      <c r="C2843" s="41" t="s">
        <v>475</v>
      </c>
      <c r="D2843" s="87">
        <v>104581.1</v>
      </c>
      <c r="E2843" s="35" t="s">
        <v>13290</v>
      </c>
      <c r="F2843" s="87">
        <f>95000+9581.1</f>
        <v>104581.1</v>
      </c>
      <c r="G2843" s="91">
        <f>Tabla15[[#This Row],[Importe]]-Tabla15[[#This Row],[Pagado]]</f>
        <v>0</v>
      </c>
      <c r="H2843" s="92" t="s">
        <v>10</v>
      </c>
    </row>
    <row r="2844" spans="1:8" ht="21.75" customHeight="1" x14ac:dyDescent="0.25">
      <c r="A2844" s="35">
        <v>44678</v>
      </c>
      <c r="B2844" s="90" t="s">
        <v>13527</v>
      </c>
      <c r="C2844" s="41" t="s">
        <v>664</v>
      </c>
      <c r="D2844" s="87">
        <v>3551.8</v>
      </c>
      <c r="E2844" s="35">
        <v>44678</v>
      </c>
      <c r="F2844" s="87">
        <v>3551.8</v>
      </c>
      <c r="G2844" s="91">
        <f>Tabla15[[#This Row],[Importe]]-Tabla15[[#This Row],[Pagado]]</f>
        <v>0</v>
      </c>
      <c r="H2844" s="92" t="s">
        <v>10</v>
      </c>
    </row>
    <row r="2845" spans="1:8" ht="21.75" customHeight="1" x14ac:dyDescent="0.25">
      <c r="A2845" s="35">
        <v>44678</v>
      </c>
      <c r="B2845" s="90" t="s">
        <v>13528</v>
      </c>
      <c r="C2845" s="41" t="s">
        <v>83</v>
      </c>
      <c r="D2845" s="87">
        <v>9198.4</v>
      </c>
      <c r="E2845" s="35">
        <v>44678</v>
      </c>
      <c r="F2845" s="87">
        <v>9198.4</v>
      </c>
      <c r="G2845" s="91">
        <f>Tabla15[[#This Row],[Importe]]-Tabla15[[#This Row],[Pagado]]</f>
        <v>0</v>
      </c>
      <c r="H2845" s="92" t="s">
        <v>10</v>
      </c>
    </row>
    <row r="2846" spans="1:8" ht="21.75" customHeight="1" x14ac:dyDescent="0.25">
      <c r="A2846" s="35">
        <v>44678</v>
      </c>
      <c r="B2846" s="90" t="s">
        <v>13529</v>
      </c>
      <c r="C2846" s="41" t="s">
        <v>179</v>
      </c>
      <c r="D2846" s="87">
        <v>906</v>
      </c>
      <c r="E2846" s="35">
        <v>44678</v>
      </c>
      <c r="F2846" s="87">
        <v>906</v>
      </c>
      <c r="G2846" s="91">
        <f>Tabla15[[#This Row],[Importe]]-Tabla15[[#This Row],[Pagado]]</f>
        <v>0</v>
      </c>
      <c r="H2846" s="92" t="s">
        <v>10</v>
      </c>
    </row>
    <row r="2847" spans="1:8" ht="21.75" customHeight="1" x14ac:dyDescent="0.25">
      <c r="A2847" s="35">
        <v>44678</v>
      </c>
      <c r="B2847" s="90" t="s">
        <v>13530</v>
      </c>
      <c r="C2847" s="41" t="s">
        <v>131</v>
      </c>
      <c r="D2847" s="87">
        <v>16443.3</v>
      </c>
      <c r="E2847" s="35">
        <v>44678</v>
      </c>
      <c r="F2847" s="87">
        <v>16443.3</v>
      </c>
      <c r="G2847" s="91">
        <f>Tabla15[[#This Row],[Importe]]-Tabla15[[#This Row],[Pagado]]</f>
        <v>0</v>
      </c>
      <c r="H2847" s="92" t="s">
        <v>10</v>
      </c>
    </row>
    <row r="2848" spans="1:8" ht="21.75" customHeight="1" x14ac:dyDescent="0.25">
      <c r="A2848" s="35">
        <v>44678</v>
      </c>
      <c r="B2848" s="90" t="s">
        <v>13531</v>
      </c>
      <c r="C2848" s="41" t="s">
        <v>27</v>
      </c>
      <c r="D2848" s="87">
        <v>2835</v>
      </c>
      <c r="E2848" s="35">
        <v>44678</v>
      </c>
      <c r="F2848" s="87">
        <v>2835</v>
      </c>
      <c r="G2848" s="91">
        <f>Tabla15[[#This Row],[Importe]]-Tabla15[[#This Row],[Pagado]]</f>
        <v>0</v>
      </c>
      <c r="H2848" s="92" t="s">
        <v>10</v>
      </c>
    </row>
    <row r="2849" spans="1:8" ht="21.75" customHeight="1" x14ac:dyDescent="0.25">
      <c r="A2849" s="35">
        <v>44678</v>
      </c>
      <c r="B2849" s="90" t="s">
        <v>13532</v>
      </c>
      <c r="C2849" s="41" t="s">
        <v>12</v>
      </c>
      <c r="D2849" s="87">
        <v>24980.1</v>
      </c>
      <c r="E2849" s="35">
        <v>44678</v>
      </c>
      <c r="F2849" s="87">
        <v>24980.1</v>
      </c>
      <c r="G2849" s="91">
        <f>Tabla15[[#This Row],[Importe]]-Tabla15[[#This Row],[Pagado]]</f>
        <v>0</v>
      </c>
      <c r="H2849" s="92" t="s">
        <v>10</v>
      </c>
    </row>
    <row r="2850" spans="1:8" ht="21.75" customHeight="1" x14ac:dyDescent="0.25">
      <c r="A2850" s="35">
        <v>44678</v>
      </c>
      <c r="B2850" s="90" t="s">
        <v>13533</v>
      </c>
      <c r="C2850" s="41" t="s">
        <v>135</v>
      </c>
      <c r="D2850" s="87">
        <v>1055.3</v>
      </c>
      <c r="E2850" s="35">
        <v>44678</v>
      </c>
      <c r="F2850" s="87">
        <v>1055.3</v>
      </c>
      <c r="G2850" s="91">
        <f>Tabla15[[#This Row],[Importe]]-Tabla15[[#This Row],[Pagado]]</f>
        <v>0</v>
      </c>
      <c r="H2850" s="92" t="s">
        <v>10</v>
      </c>
    </row>
    <row r="2851" spans="1:8" ht="21.75" customHeight="1" x14ac:dyDescent="0.25">
      <c r="A2851" s="35">
        <v>44678</v>
      </c>
      <c r="B2851" s="90" t="s">
        <v>13534</v>
      </c>
      <c r="C2851" s="41" t="s">
        <v>9415</v>
      </c>
      <c r="D2851" s="87">
        <v>17432.400000000001</v>
      </c>
      <c r="E2851" s="35">
        <v>44679</v>
      </c>
      <c r="F2851" s="87">
        <v>17432.400000000001</v>
      </c>
      <c r="G2851" s="91">
        <f>Tabla15[[#This Row],[Importe]]-Tabla15[[#This Row],[Pagado]]</f>
        <v>0</v>
      </c>
      <c r="H2851" s="92" t="s">
        <v>10</v>
      </c>
    </row>
    <row r="2852" spans="1:8" ht="21.75" customHeight="1" x14ac:dyDescent="0.25">
      <c r="A2852" s="35">
        <v>44678</v>
      </c>
      <c r="B2852" s="90" t="s">
        <v>13535</v>
      </c>
      <c r="C2852" s="41" t="s">
        <v>60</v>
      </c>
      <c r="D2852" s="87">
        <v>4732.8999999999996</v>
      </c>
      <c r="E2852" s="35">
        <v>44682</v>
      </c>
      <c r="F2852" s="87">
        <v>4732.8999999999996</v>
      </c>
      <c r="G2852" s="91">
        <f>Tabla15[[#This Row],[Importe]]-Tabla15[[#This Row],[Pagado]]</f>
        <v>0</v>
      </c>
      <c r="H2852" s="92" t="s">
        <v>10</v>
      </c>
    </row>
    <row r="2853" spans="1:8" ht="21.75" customHeight="1" x14ac:dyDescent="0.25">
      <c r="A2853" s="35">
        <v>44678</v>
      </c>
      <c r="B2853" s="90" t="s">
        <v>13536</v>
      </c>
      <c r="C2853" s="41" t="s">
        <v>109</v>
      </c>
      <c r="D2853" s="87">
        <v>4289.1000000000004</v>
      </c>
      <c r="E2853" s="35">
        <v>44679</v>
      </c>
      <c r="F2853" s="87">
        <v>4289.1000000000004</v>
      </c>
      <c r="G2853" s="91">
        <f>Tabla15[[#This Row],[Importe]]-Tabla15[[#This Row],[Pagado]]</f>
        <v>0</v>
      </c>
      <c r="H2853" s="92" t="s">
        <v>10</v>
      </c>
    </row>
    <row r="2854" spans="1:8" ht="21.75" customHeight="1" x14ac:dyDescent="0.25">
      <c r="A2854" s="35">
        <v>44678</v>
      </c>
      <c r="B2854" s="90" t="s">
        <v>13537</v>
      </c>
      <c r="C2854" s="41" t="s">
        <v>326</v>
      </c>
      <c r="D2854" s="87">
        <v>5181.6000000000004</v>
      </c>
      <c r="E2854" s="35">
        <v>44680</v>
      </c>
      <c r="F2854" s="87">
        <v>5181.6000000000004</v>
      </c>
      <c r="G2854" s="91">
        <f>Tabla15[[#This Row],[Importe]]-Tabla15[[#This Row],[Pagado]]</f>
        <v>0</v>
      </c>
      <c r="H2854" s="92" t="s">
        <v>10</v>
      </c>
    </row>
    <row r="2855" spans="1:8" ht="21.75" customHeight="1" x14ac:dyDescent="0.25">
      <c r="A2855" s="35">
        <v>44678</v>
      </c>
      <c r="B2855" s="90" t="s">
        <v>13538</v>
      </c>
      <c r="C2855" s="41" t="s">
        <v>114</v>
      </c>
      <c r="D2855" s="87">
        <v>4855.2</v>
      </c>
      <c r="E2855" s="35">
        <v>44679</v>
      </c>
      <c r="F2855" s="87">
        <v>4855.2</v>
      </c>
      <c r="G2855" s="91">
        <f>Tabla15[[#This Row],[Importe]]-Tabla15[[#This Row],[Pagado]]</f>
        <v>0</v>
      </c>
      <c r="H2855" s="92" t="s">
        <v>10</v>
      </c>
    </row>
    <row r="2856" spans="1:8" ht="21.75" customHeight="1" x14ac:dyDescent="0.25">
      <c r="A2856" s="35">
        <v>44678</v>
      </c>
      <c r="B2856" s="90" t="s">
        <v>13539</v>
      </c>
      <c r="C2856" s="41" t="s">
        <v>93</v>
      </c>
      <c r="D2856" s="87">
        <v>1824</v>
      </c>
      <c r="E2856" s="35">
        <v>44679</v>
      </c>
      <c r="F2856" s="87">
        <v>1824</v>
      </c>
      <c r="G2856" s="91">
        <f>Tabla15[[#This Row],[Importe]]-Tabla15[[#This Row],[Pagado]]</f>
        <v>0</v>
      </c>
      <c r="H2856" s="92" t="s">
        <v>10</v>
      </c>
    </row>
    <row r="2857" spans="1:8" ht="21.75" customHeight="1" x14ac:dyDescent="0.25">
      <c r="A2857" s="35">
        <v>44678</v>
      </c>
      <c r="B2857" s="90" t="s">
        <v>13540</v>
      </c>
      <c r="C2857" s="41" t="s">
        <v>87</v>
      </c>
      <c r="D2857" s="87">
        <v>2061.1999999999998</v>
      </c>
      <c r="E2857" s="35">
        <v>44678</v>
      </c>
      <c r="F2857" s="87">
        <v>2061.1999999999998</v>
      </c>
      <c r="G2857" s="91">
        <f>Tabla15[[#This Row],[Importe]]-Tabla15[[#This Row],[Pagado]]</f>
        <v>0</v>
      </c>
      <c r="H2857" s="92" t="s">
        <v>10</v>
      </c>
    </row>
    <row r="2858" spans="1:8" ht="21.75" customHeight="1" x14ac:dyDescent="0.25">
      <c r="A2858" s="35">
        <v>44678</v>
      </c>
      <c r="B2858" s="90" t="s">
        <v>13541</v>
      </c>
      <c r="C2858" s="41" t="s">
        <v>99</v>
      </c>
      <c r="D2858" s="87">
        <v>1673.2</v>
      </c>
      <c r="E2858" s="35">
        <v>44680</v>
      </c>
      <c r="F2858" s="87">
        <v>1673.2</v>
      </c>
      <c r="G2858" s="91">
        <f>Tabla15[[#This Row],[Importe]]-Tabla15[[#This Row],[Pagado]]</f>
        <v>0</v>
      </c>
      <c r="H2858" s="92" t="s">
        <v>10</v>
      </c>
    </row>
    <row r="2859" spans="1:8" ht="21.75" customHeight="1" x14ac:dyDescent="0.25">
      <c r="A2859" s="35">
        <v>44678</v>
      </c>
      <c r="B2859" s="90" t="s">
        <v>13542</v>
      </c>
      <c r="C2859" s="41" t="s">
        <v>85</v>
      </c>
      <c r="D2859" s="87">
        <v>1380</v>
      </c>
      <c r="E2859" s="35">
        <v>44678</v>
      </c>
      <c r="F2859" s="87">
        <v>1380</v>
      </c>
      <c r="G2859" s="91">
        <f>Tabla15[[#This Row],[Importe]]-Tabla15[[#This Row],[Pagado]]</f>
        <v>0</v>
      </c>
      <c r="H2859" s="92" t="s">
        <v>10</v>
      </c>
    </row>
    <row r="2860" spans="1:8" ht="21.75" customHeight="1" x14ac:dyDescent="0.25">
      <c r="A2860" s="35">
        <v>44678</v>
      </c>
      <c r="B2860" s="90" t="s">
        <v>13543</v>
      </c>
      <c r="C2860" s="41" t="s">
        <v>348</v>
      </c>
      <c r="D2860" s="87">
        <v>2955.9</v>
      </c>
      <c r="E2860" s="35">
        <v>44678</v>
      </c>
      <c r="F2860" s="87">
        <v>2955.9</v>
      </c>
      <c r="G2860" s="91">
        <f>Tabla15[[#This Row],[Importe]]-Tabla15[[#This Row],[Pagado]]</f>
        <v>0</v>
      </c>
      <c r="H2860" s="92" t="s">
        <v>10</v>
      </c>
    </row>
    <row r="2861" spans="1:8" ht="21.75" customHeight="1" x14ac:dyDescent="0.25">
      <c r="A2861" s="35">
        <v>44678</v>
      </c>
      <c r="B2861" s="90" t="s">
        <v>13544</v>
      </c>
      <c r="C2861" s="41" t="s">
        <v>924</v>
      </c>
      <c r="D2861" s="87">
        <v>11470.76</v>
      </c>
      <c r="E2861" s="35">
        <v>44678</v>
      </c>
      <c r="F2861" s="87">
        <v>11470.76</v>
      </c>
      <c r="G2861" s="91">
        <f>Tabla15[[#This Row],[Importe]]-Tabla15[[#This Row],[Pagado]]</f>
        <v>0</v>
      </c>
      <c r="H2861" s="92" t="s">
        <v>10</v>
      </c>
    </row>
    <row r="2862" spans="1:8" ht="21.75" customHeight="1" x14ac:dyDescent="0.25">
      <c r="A2862" s="35">
        <v>44678</v>
      </c>
      <c r="B2862" s="90" t="s">
        <v>13545</v>
      </c>
      <c r="C2862" s="41" t="s">
        <v>105</v>
      </c>
      <c r="D2862" s="87">
        <v>7251.5</v>
      </c>
      <c r="E2862" s="35">
        <v>44681</v>
      </c>
      <c r="F2862" s="87">
        <v>7251.5</v>
      </c>
      <c r="G2862" s="91">
        <f>Tabla15[[#This Row],[Importe]]-Tabla15[[#This Row],[Pagado]]</f>
        <v>0</v>
      </c>
      <c r="H2862" s="92" t="s">
        <v>10</v>
      </c>
    </row>
    <row r="2863" spans="1:8" ht="21.75" customHeight="1" x14ac:dyDescent="0.25">
      <c r="A2863" s="35">
        <v>44678</v>
      </c>
      <c r="B2863" s="90" t="s">
        <v>13546</v>
      </c>
      <c r="C2863" s="41" t="s">
        <v>64</v>
      </c>
      <c r="D2863" s="87">
        <v>9445.1</v>
      </c>
      <c r="E2863" s="35">
        <v>44680</v>
      </c>
      <c r="F2863" s="87">
        <v>9445.1</v>
      </c>
      <c r="G2863" s="91">
        <f>Tabla15[[#This Row],[Importe]]-Tabla15[[#This Row],[Pagado]]</f>
        <v>0</v>
      </c>
      <c r="H2863" s="92" t="s">
        <v>10</v>
      </c>
    </row>
    <row r="2864" spans="1:8" ht="21.75" customHeight="1" x14ac:dyDescent="0.25">
      <c r="A2864" s="35">
        <v>44678</v>
      </c>
      <c r="B2864" s="90" t="s">
        <v>13547</v>
      </c>
      <c r="C2864" s="41" t="s">
        <v>97</v>
      </c>
      <c r="D2864" s="87">
        <v>6388.2</v>
      </c>
      <c r="E2864" s="35">
        <v>44679</v>
      </c>
      <c r="F2864" s="87">
        <v>6388.2</v>
      </c>
      <c r="G2864" s="91">
        <f>Tabla15[[#This Row],[Importe]]-Tabla15[[#This Row],[Pagado]]</f>
        <v>0</v>
      </c>
      <c r="H2864" s="92" t="s">
        <v>10</v>
      </c>
    </row>
    <row r="2865" spans="1:8" ht="21.75" customHeight="1" x14ac:dyDescent="0.25">
      <c r="A2865" s="35">
        <v>44678</v>
      </c>
      <c r="B2865" s="90" t="s">
        <v>13548</v>
      </c>
      <c r="C2865" s="41" t="s">
        <v>89</v>
      </c>
      <c r="D2865" s="87">
        <v>7952.4</v>
      </c>
      <c r="E2865" s="35">
        <v>44679</v>
      </c>
      <c r="F2865" s="87">
        <v>7952.4</v>
      </c>
      <c r="G2865" s="91">
        <f>Tabla15[[#This Row],[Importe]]-Tabla15[[#This Row],[Pagado]]</f>
        <v>0</v>
      </c>
      <c r="H2865" s="92" t="s">
        <v>10</v>
      </c>
    </row>
    <row r="2866" spans="1:8" ht="21.75" customHeight="1" x14ac:dyDescent="0.25">
      <c r="A2866" s="35">
        <v>44678</v>
      </c>
      <c r="B2866" s="90" t="s">
        <v>13549</v>
      </c>
      <c r="C2866" s="41" t="s">
        <v>146</v>
      </c>
      <c r="D2866" s="87">
        <v>2778</v>
      </c>
      <c r="E2866" s="35">
        <v>44678</v>
      </c>
      <c r="F2866" s="87">
        <v>2778</v>
      </c>
      <c r="G2866" s="91">
        <f>Tabla15[[#This Row],[Importe]]-Tabla15[[#This Row],[Pagado]]</f>
        <v>0</v>
      </c>
      <c r="H2866" s="92" t="s">
        <v>10</v>
      </c>
    </row>
    <row r="2867" spans="1:8" ht="21.75" customHeight="1" x14ac:dyDescent="0.25">
      <c r="A2867" s="35">
        <v>44678</v>
      </c>
      <c r="B2867" s="90" t="s">
        <v>13550</v>
      </c>
      <c r="C2867" s="41" t="s">
        <v>39</v>
      </c>
      <c r="D2867" s="87">
        <v>14242.4</v>
      </c>
      <c r="E2867" s="35">
        <v>44679</v>
      </c>
      <c r="F2867" s="87">
        <v>14242.4</v>
      </c>
      <c r="G2867" s="91">
        <f>Tabla15[[#This Row],[Importe]]-Tabla15[[#This Row],[Pagado]]</f>
        <v>0</v>
      </c>
      <c r="H2867" s="92" t="s">
        <v>10</v>
      </c>
    </row>
    <row r="2868" spans="1:8" ht="21.75" customHeight="1" x14ac:dyDescent="0.25">
      <c r="A2868" s="35">
        <v>44678</v>
      </c>
      <c r="B2868" s="90" t="s">
        <v>13551</v>
      </c>
      <c r="C2868" s="41" t="s">
        <v>2151</v>
      </c>
      <c r="D2868" s="87">
        <v>10047</v>
      </c>
      <c r="E2868" s="35">
        <v>44678</v>
      </c>
      <c r="F2868" s="87">
        <v>10047</v>
      </c>
      <c r="G2868" s="91">
        <f>Tabla15[[#This Row],[Importe]]-Tabla15[[#This Row],[Pagado]]</f>
        <v>0</v>
      </c>
      <c r="H2868" s="92" t="s">
        <v>10</v>
      </c>
    </row>
    <row r="2869" spans="1:8" ht="21.75" customHeight="1" x14ac:dyDescent="0.25">
      <c r="A2869" s="35">
        <v>44678</v>
      </c>
      <c r="B2869" s="90" t="s">
        <v>13552</v>
      </c>
      <c r="C2869" s="41" t="s">
        <v>53</v>
      </c>
      <c r="D2869" s="87">
        <v>4099.2</v>
      </c>
      <c r="E2869" s="35">
        <v>44678</v>
      </c>
      <c r="F2869" s="87">
        <v>4099.2</v>
      </c>
      <c r="G2869" s="91">
        <f>Tabla15[[#This Row],[Importe]]-Tabla15[[#This Row],[Pagado]]</f>
        <v>0</v>
      </c>
      <c r="H2869" s="92" t="s">
        <v>10</v>
      </c>
    </row>
    <row r="2870" spans="1:8" ht="21.75" customHeight="1" x14ac:dyDescent="0.25">
      <c r="A2870" s="35">
        <v>44678</v>
      </c>
      <c r="B2870" s="90" t="s">
        <v>13553</v>
      </c>
      <c r="C2870" s="41" t="s">
        <v>33</v>
      </c>
      <c r="D2870" s="87">
        <v>13836.6</v>
      </c>
      <c r="E2870" s="35">
        <v>44678</v>
      </c>
      <c r="F2870" s="87">
        <v>13836.6</v>
      </c>
      <c r="G2870" s="91">
        <f>Tabla15[[#This Row],[Importe]]-Tabla15[[#This Row],[Pagado]]</f>
        <v>0</v>
      </c>
      <c r="H2870" s="92" t="s">
        <v>10</v>
      </c>
    </row>
    <row r="2871" spans="1:8" ht="21.75" customHeight="1" x14ac:dyDescent="0.25">
      <c r="A2871" s="35">
        <v>44678</v>
      </c>
      <c r="B2871" s="90" t="s">
        <v>13554</v>
      </c>
      <c r="C2871" s="41" t="s">
        <v>49</v>
      </c>
      <c r="D2871" s="87">
        <v>1176</v>
      </c>
      <c r="E2871" s="35">
        <v>44678</v>
      </c>
      <c r="F2871" s="87">
        <v>1176</v>
      </c>
      <c r="G2871" s="91">
        <f>Tabla15[[#This Row],[Importe]]-Tabla15[[#This Row],[Pagado]]</f>
        <v>0</v>
      </c>
      <c r="H2871" s="92" t="s">
        <v>10</v>
      </c>
    </row>
    <row r="2872" spans="1:8" ht="21.75" customHeight="1" x14ac:dyDescent="0.25">
      <c r="A2872" s="35">
        <v>44678</v>
      </c>
      <c r="B2872" s="90" t="s">
        <v>13555</v>
      </c>
      <c r="C2872" s="41" t="s">
        <v>849</v>
      </c>
      <c r="D2872" s="87">
        <v>375.2</v>
      </c>
      <c r="E2872" s="35">
        <v>44678</v>
      </c>
      <c r="F2872" s="87">
        <v>375.2</v>
      </c>
      <c r="G2872" s="91">
        <f>Tabla15[[#This Row],[Importe]]-Tabla15[[#This Row],[Pagado]]</f>
        <v>0</v>
      </c>
      <c r="H2872" s="92" t="s">
        <v>10</v>
      </c>
    </row>
    <row r="2873" spans="1:8" ht="21.75" customHeight="1" x14ac:dyDescent="0.25">
      <c r="A2873" s="35">
        <v>44678</v>
      </c>
      <c r="B2873" s="90" t="s">
        <v>13556</v>
      </c>
      <c r="C2873" s="41" t="s">
        <v>16</v>
      </c>
      <c r="D2873" s="87">
        <v>3715.2</v>
      </c>
      <c r="E2873" s="35">
        <v>44678</v>
      </c>
      <c r="F2873" s="87">
        <v>3715.2</v>
      </c>
      <c r="G2873" s="91">
        <f>Tabla15[[#This Row],[Importe]]-Tabla15[[#This Row],[Pagado]]</f>
        <v>0</v>
      </c>
      <c r="H2873" s="92" t="s">
        <v>10</v>
      </c>
    </row>
    <row r="2874" spans="1:8" ht="21.75" customHeight="1" x14ac:dyDescent="0.25">
      <c r="A2874" s="35">
        <v>44678</v>
      </c>
      <c r="B2874" s="90" t="s">
        <v>13557</v>
      </c>
      <c r="C2874" s="41" t="s">
        <v>161</v>
      </c>
      <c r="D2874" s="87">
        <v>2129.4</v>
      </c>
      <c r="E2874" s="35">
        <v>44678</v>
      </c>
      <c r="F2874" s="87">
        <v>2129.4</v>
      </c>
      <c r="G2874" s="91">
        <f>Tabla15[[#This Row],[Importe]]-Tabla15[[#This Row],[Pagado]]</f>
        <v>0</v>
      </c>
      <c r="H2874" s="92" t="s">
        <v>10</v>
      </c>
    </row>
    <row r="2875" spans="1:8" ht="21.75" customHeight="1" x14ac:dyDescent="0.25">
      <c r="A2875" s="35">
        <v>44678</v>
      </c>
      <c r="B2875" s="90" t="s">
        <v>13558</v>
      </c>
      <c r="C2875" s="41" t="s">
        <v>365</v>
      </c>
      <c r="D2875" s="87">
        <v>703.5</v>
      </c>
      <c r="E2875" s="35">
        <v>44678</v>
      </c>
      <c r="F2875" s="87">
        <v>703.5</v>
      </c>
      <c r="G2875" s="91">
        <f>Tabla15[[#This Row],[Importe]]-Tabla15[[#This Row],[Pagado]]</f>
        <v>0</v>
      </c>
      <c r="H2875" s="92" t="s">
        <v>10</v>
      </c>
    </row>
    <row r="2876" spans="1:8" ht="21.75" customHeight="1" x14ac:dyDescent="0.25">
      <c r="A2876" s="35">
        <v>44678</v>
      </c>
      <c r="B2876" s="90" t="s">
        <v>13559</v>
      </c>
      <c r="C2876" s="41" t="s">
        <v>22</v>
      </c>
      <c r="D2876" s="87">
        <v>38499.1</v>
      </c>
      <c r="E2876" s="35">
        <v>44679</v>
      </c>
      <c r="F2876" s="87">
        <v>38499.1</v>
      </c>
      <c r="G2876" s="91">
        <f>Tabla15[[#This Row],[Importe]]-Tabla15[[#This Row],[Pagado]]</f>
        <v>0</v>
      </c>
      <c r="H2876" s="92" t="s">
        <v>10</v>
      </c>
    </row>
    <row r="2877" spans="1:8" ht="21.75" customHeight="1" x14ac:dyDescent="0.25">
      <c r="A2877" s="35">
        <v>44678</v>
      </c>
      <c r="B2877" s="90" t="s">
        <v>13560</v>
      </c>
      <c r="C2877" s="41" t="s">
        <v>216</v>
      </c>
      <c r="D2877" s="87">
        <v>1350</v>
      </c>
      <c r="E2877" s="35">
        <v>44678</v>
      </c>
      <c r="F2877" s="87">
        <v>1350</v>
      </c>
      <c r="G2877" s="91">
        <f>Tabla15[[#This Row],[Importe]]-Tabla15[[#This Row],[Pagado]]</f>
        <v>0</v>
      </c>
      <c r="H2877" s="92" t="s">
        <v>10</v>
      </c>
    </row>
    <row r="2878" spans="1:8" ht="21.75" customHeight="1" x14ac:dyDescent="0.25">
      <c r="A2878" s="35">
        <v>44678</v>
      </c>
      <c r="B2878" s="90" t="s">
        <v>13561</v>
      </c>
      <c r="C2878" s="41" t="s">
        <v>216</v>
      </c>
      <c r="D2878" s="87">
        <v>558</v>
      </c>
      <c r="E2878" s="35">
        <v>44678</v>
      </c>
      <c r="F2878" s="87">
        <v>558</v>
      </c>
      <c r="G2878" s="91">
        <f>Tabla15[[#This Row],[Importe]]-Tabla15[[#This Row],[Pagado]]</f>
        <v>0</v>
      </c>
      <c r="H2878" s="92" t="s">
        <v>10</v>
      </c>
    </row>
    <row r="2879" spans="1:8" ht="21.75" customHeight="1" x14ac:dyDescent="0.25">
      <c r="A2879" s="35">
        <v>44678</v>
      </c>
      <c r="B2879" s="90" t="s">
        <v>13562</v>
      </c>
      <c r="C2879" s="41" t="s">
        <v>382</v>
      </c>
      <c r="D2879" s="87">
        <v>1781.8</v>
      </c>
      <c r="E2879" s="35">
        <v>44678</v>
      </c>
      <c r="F2879" s="87">
        <v>1781.8</v>
      </c>
      <c r="G2879" s="91">
        <f>Tabla15[[#This Row],[Importe]]-Tabla15[[#This Row],[Pagado]]</f>
        <v>0</v>
      </c>
      <c r="H2879" s="92" t="s">
        <v>10</v>
      </c>
    </row>
    <row r="2880" spans="1:8" ht="21.75" customHeight="1" x14ac:dyDescent="0.25">
      <c r="A2880" s="35">
        <v>44678</v>
      </c>
      <c r="B2880" s="90" t="s">
        <v>13563</v>
      </c>
      <c r="C2880" s="41" t="s">
        <v>31</v>
      </c>
      <c r="D2880" s="87">
        <v>806.9</v>
      </c>
      <c r="E2880" s="35">
        <v>44678</v>
      </c>
      <c r="F2880" s="87">
        <v>806.9</v>
      </c>
      <c r="G2880" s="91">
        <f>Tabla15[[#This Row],[Importe]]-Tabla15[[#This Row],[Pagado]]</f>
        <v>0</v>
      </c>
      <c r="H2880" s="92" t="s">
        <v>10</v>
      </c>
    </row>
    <row r="2881" spans="1:8" ht="21.75" customHeight="1" x14ac:dyDescent="0.25">
      <c r="A2881" s="35">
        <v>44678</v>
      </c>
      <c r="B2881" s="90" t="s">
        <v>13564</v>
      </c>
      <c r="C2881" s="41" t="s">
        <v>45</v>
      </c>
      <c r="D2881" s="87">
        <v>7729.1</v>
      </c>
      <c r="E2881" s="35">
        <v>44678</v>
      </c>
      <c r="F2881" s="87">
        <v>7729.1</v>
      </c>
      <c r="G2881" s="91">
        <f>Tabla15[[#This Row],[Importe]]-Tabla15[[#This Row],[Pagado]]</f>
        <v>0</v>
      </c>
      <c r="H2881" s="92" t="s">
        <v>10</v>
      </c>
    </row>
    <row r="2882" spans="1:8" ht="21.75" customHeight="1" x14ac:dyDescent="0.25">
      <c r="A2882" s="35">
        <v>44678</v>
      </c>
      <c r="B2882" s="90" t="s">
        <v>13565</v>
      </c>
      <c r="C2882" s="41" t="s">
        <v>275</v>
      </c>
      <c r="D2882" s="87">
        <v>96932.75</v>
      </c>
      <c r="E2882" s="35">
        <v>44687</v>
      </c>
      <c r="F2882" s="87">
        <v>96932.75</v>
      </c>
      <c r="G2882" s="91">
        <f>Tabla15[[#This Row],[Importe]]-Tabla15[[#This Row],[Pagado]]</f>
        <v>0</v>
      </c>
      <c r="H2882" s="92" t="s">
        <v>10</v>
      </c>
    </row>
    <row r="2883" spans="1:8" ht="21.75" customHeight="1" x14ac:dyDescent="0.25">
      <c r="A2883" s="35">
        <v>44678</v>
      </c>
      <c r="B2883" s="90" t="s">
        <v>13566</v>
      </c>
      <c r="C2883" s="41" t="s">
        <v>224</v>
      </c>
      <c r="D2883" s="87">
        <v>668.8</v>
      </c>
      <c r="E2883" s="35">
        <v>44678</v>
      </c>
      <c r="F2883" s="87">
        <v>668.8</v>
      </c>
      <c r="G2883" s="91">
        <f>Tabla15[[#This Row],[Importe]]-Tabla15[[#This Row],[Pagado]]</f>
        <v>0</v>
      </c>
      <c r="H2883" s="92" t="s">
        <v>10</v>
      </c>
    </row>
    <row r="2884" spans="1:8" ht="21.75" customHeight="1" x14ac:dyDescent="0.25">
      <c r="A2884" s="35">
        <v>44678</v>
      </c>
      <c r="B2884" s="90" t="s">
        <v>13567</v>
      </c>
      <c r="C2884" s="41" t="s">
        <v>214</v>
      </c>
      <c r="D2884" s="87">
        <v>1146</v>
      </c>
      <c r="E2884" s="35">
        <v>44678</v>
      </c>
      <c r="F2884" s="87">
        <v>1146</v>
      </c>
      <c r="G2884" s="91">
        <f>Tabla15[[#This Row],[Importe]]-Tabla15[[#This Row],[Pagado]]</f>
        <v>0</v>
      </c>
      <c r="H2884" s="92" t="s">
        <v>10</v>
      </c>
    </row>
    <row r="2885" spans="1:8" ht="21.75" customHeight="1" x14ac:dyDescent="0.25">
      <c r="A2885" s="35">
        <v>44678</v>
      </c>
      <c r="B2885" s="90" t="s">
        <v>13568</v>
      </c>
      <c r="C2885" s="41" t="s">
        <v>31</v>
      </c>
      <c r="D2885" s="87">
        <v>600</v>
      </c>
      <c r="E2885" s="35">
        <v>44678</v>
      </c>
      <c r="F2885" s="87">
        <v>600</v>
      </c>
      <c r="G2885" s="91">
        <f>Tabla15[[#This Row],[Importe]]-Tabla15[[#This Row],[Pagado]]</f>
        <v>0</v>
      </c>
      <c r="H2885" s="92" t="s">
        <v>10</v>
      </c>
    </row>
    <row r="2886" spans="1:8" ht="21.75" customHeight="1" x14ac:dyDescent="0.25">
      <c r="A2886" s="35">
        <v>44678</v>
      </c>
      <c r="B2886" s="90" t="s">
        <v>13569</v>
      </c>
      <c r="C2886" s="41" t="s">
        <v>24</v>
      </c>
      <c r="D2886" s="87">
        <v>2320.4</v>
      </c>
      <c r="E2886" s="35">
        <v>44678</v>
      </c>
      <c r="F2886" s="87">
        <v>2320.4</v>
      </c>
      <c r="G2886" s="91">
        <f>Tabla15[[#This Row],[Importe]]-Tabla15[[#This Row],[Pagado]]</f>
        <v>0</v>
      </c>
      <c r="H2886" s="92" t="s">
        <v>10</v>
      </c>
    </row>
    <row r="2887" spans="1:8" ht="21.75" customHeight="1" x14ac:dyDescent="0.25">
      <c r="A2887" s="35">
        <v>44678</v>
      </c>
      <c r="B2887" s="90" t="s">
        <v>13570</v>
      </c>
      <c r="C2887" s="41" t="s">
        <v>89</v>
      </c>
      <c r="D2887" s="87">
        <v>1682.1</v>
      </c>
      <c r="E2887" s="35">
        <v>44678</v>
      </c>
      <c r="F2887" s="87">
        <v>1682.1</v>
      </c>
      <c r="G2887" s="91">
        <f>Tabla15[[#This Row],[Importe]]-Tabla15[[#This Row],[Pagado]]</f>
        <v>0</v>
      </c>
      <c r="H2887" s="92" t="s">
        <v>10</v>
      </c>
    </row>
    <row r="2888" spans="1:8" ht="21.75" customHeight="1" x14ac:dyDescent="0.25">
      <c r="A2888" s="35">
        <v>44678</v>
      </c>
      <c r="B2888" s="90" t="s">
        <v>13571</v>
      </c>
      <c r="C2888" s="41" t="s">
        <v>45</v>
      </c>
      <c r="D2888" s="87">
        <v>1486.8</v>
      </c>
      <c r="E2888" s="35">
        <v>44678</v>
      </c>
      <c r="F2888" s="87">
        <v>1486.8</v>
      </c>
      <c r="G2888" s="91">
        <f>Tabla15[[#This Row],[Importe]]-Tabla15[[#This Row],[Pagado]]</f>
        <v>0</v>
      </c>
      <c r="H2888" s="92" t="s">
        <v>10</v>
      </c>
    </row>
    <row r="2889" spans="1:8" ht="21.75" customHeight="1" x14ac:dyDescent="0.25">
      <c r="A2889" s="35">
        <v>44678</v>
      </c>
      <c r="B2889" s="90" t="s">
        <v>13572</v>
      </c>
      <c r="C2889" s="41" t="s">
        <v>230</v>
      </c>
      <c r="D2889" s="87">
        <v>3923.2</v>
      </c>
      <c r="E2889" s="35">
        <v>44678</v>
      </c>
      <c r="F2889" s="87">
        <v>3923.2</v>
      </c>
      <c r="G2889" s="91">
        <f>Tabla15[[#This Row],[Importe]]-Tabla15[[#This Row],[Pagado]]</f>
        <v>0</v>
      </c>
      <c r="H2889" s="92" t="s">
        <v>10</v>
      </c>
    </row>
    <row r="2890" spans="1:8" ht="21.75" customHeight="1" x14ac:dyDescent="0.25">
      <c r="A2890" s="35">
        <v>44678</v>
      </c>
      <c r="B2890" s="90" t="s">
        <v>13573</v>
      </c>
      <c r="C2890" s="41" t="s">
        <v>289</v>
      </c>
      <c r="D2890" s="87">
        <v>7543.6</v>
      </c>
      <c r="E2890" s="35">
        <v>44678</v>
      </c>
      <c r="F2890" s="87">
        <v>7543.6</v>
      </c>
      <c r="G2890" s="91">
        <f>Tabla15[[#This Row],[Importe]]-Tabla15[[#This Row],[Pagado]]</f>
        <v>0</v>
      </c>
      <c r="H2890" s="92" t="s">
        <v>10</v>
      </c>
    </row>
    <row r="2891" spans="1:8" ht="31.5" x14ac:dyDescent="0.25">
      <c r="A2891" s="35">
        <v>44678</v>
      </c>
      <c r="B2891" s="90" t="s">
        <v>13574</v>
      </c>
      <c r="C2891" s="41" t="s">
        <v>22</v>
      </c>
      <c r="D2891" s="87">
        <v>9137.2000000000007</v>
      </c>
      <c r="E2891" s="35" t="s">
        <v>13290</v>
      </c>
      <c r="F2891" s="87">
        <f>8000+1137.2</f>
        <v>9137.2000000000007</v>
      </c>
      <c r="G2891" s="91">
        <f>Tabla15[[#This Row],[Importe]]-Tabla15[[#This Row],[Pagado]]</f>
        <v>0</v>
      </c>
      <c r="H2891" s="92" t="s">
        <v>10</v>
      </c>
    </row>
    <row r="2892" spans="1:8" ht="21.75" customHeight="1" x14ac:dyDescent="0.25">
      <c r="A2892" s="35">
        <v>44678</v>
      </c>
      <c r="B2892" s="90" t="s">
        <v>13575</v>
      </c>
      <c r="C2892" s="41" t="s">
        <v>555</v>
      </c>
      <c r="D2892" s="87">
        <v>37907.160000000003</v>
      </c>
      <c r="E2892" s="35">
        <v>44678</v>
      </c>
      <c r="F2892" s="87">
        <v>37907.160000000003</v>
      </c>
      <c r="G2892" s="91">
        <f>Tabla15[[#This Row],[Importe]]-Tabla15[[#This Row],[Pagado]]</f>
        <v>0</v>
      </c>
      <c r="H2892" s="92" t="s">
        <v>10</v>
      </c>
    </row>
    <row r="2893" spans="1:8" ht="21.75" customHeight="1" x14ac:dyDescent="0.25">
      <c r="A2893" s="35">
        <v>44678</v>
      </c>
      <c r="B2893" s="90" t="s">
        <v>13576</v>
      </c>
      <c r="C2893" s="41" t="s">
        <v>107</v>
      </c>
      <c r="D2893" s="87">
        <v>9334</v>
      </c>
      <c r="E2893" s="35">
        <v>44678</v>
      </c>
      <c r="F2893" s="87">
        <v>9334</v>
      </c>
      <c r="G2893" s="91">
        <f>Tabla15[[#This Row],[Importe]]-Tabla15[[#This Row],[Pagado]]</f>
        <v>0</v>
      </c>
      <c r="H2893" s="92" t="s">
        <v>10</v>
      </c>
    </row>
    <row r="2894" spans="1:8" ht="21.75" customHeight="1" x14ac:dyDescent="0.25">
      <c r="A2894" s="35">
        <v>44678</v>
      </c>
      <c r="B2894" s="90" t="s">
        <v>13577</v>
      </c>
      <c r="C2894" s="41" t="s">
        <v>11973</v>
      </c>
      <c r="D2894" s="87">
        <v>0</v>
      </c>
      <c r="E2894" s="39" t="s">
        <v>189</v>
      </c>
      <c r="F2894" s="87">
        <v>0</v>
      </c>
      <c r="G2894" s="91">
        <f>Tabla15[[#This Row],[Importe]]-Tabla15[[#This Row],[Pagado]]</f>
        <v>0</v>
      </c>
      <c r="H2894" s="92" t="s">
        <v>189</v>
      </c>
    </row>
    <row r="2895" spans="1:8" ht="21.75" customHeight="1" x14ac:dyDescent="0.25">
      <c r="A2895" s="35">
        <v>44678</v>
      </c>
      <c r="B2895" s="90" t="s">
        <v>13578</v>
      </c>
      <c r="C2895" s="41" t="s">
        <v>273</v>
      </c>
      <c r="D2895" s="87">
        <v>1680</v>
      </c>
      <c r="E2895" s="35">
        <v>44678</v>
      </c>
      <c r="F2895" s="87">
        <v>1680</v>
      </c>
      <c r="G2895" s="91">
        <f>Tabla15[[#This Row],[Importe]]-Tabla15[[#This Row],[Pagado]]</f>
        <v>0</v>
      </c>
      <c r="H2895" s="92" t="s">
        <v>10</v>
      </c>
    </row>
    <row r="2896" spans="1:8" ht="21.75" customHeight="1" x14ac:dyDescent="0.25">
      <c r="A2896" s="35">
        <v>44678</v>
      </c>
      <c r="B2896" s="90" t="s">
        <v>13579</v>
      </c>
      <c r="C2896" s="41" t="s">
        <v>142</v>
      </c>
      <c r="D2896" s="87">
        <v>45618</v>
      </c>
      <c r="E2896" s="35">
        <v>44722</v>
      </c>
      <c r="F2896" s="87">
        <v>45618</v>
      </c>
      <c r="G2896" s="91">
        <f>Tabla15[[#This Row],[Importe]]-Tabla15[[#This Row],[Pagado]]</f>
        <v>0</v>
      </c>
      <c r="H2896" s="92" t="s">
        <v>10</v>
      </c>
    </row>
    <row r="2897" spans="1:8" ht="21.75" customHeight="1" x14ac:dyDescent="0.25">
      <c r="A2897" s="35">
        <v>44678</v>
      </c>
      <c r="B2897" s="90" t="s">
        <v>13580</v>
      </c>
      <c r="C2897" s="41" t="s">
        <v>339</v>
      </c>
      <c r="D2897" s="87">
        <v>402.6</v>
      </c>
      <c r="E2897" s="35">
        <v>44678</v>
      </c>
      <c r="F2897" s="87">
        <v>402.6</v>
      </c>
      <c r="G2897" s="91">
        <f>Tabla15[[#This Row],[Importe]]-Tabla15[[#This Row],[Pagado]]</f>
        <v>0</v>
      </c>
      <c r="H2897" s="92" t="s">
        <v>10</v>
      </c>
    </row>
    <row r="2898" spans="1:8" ht="21.75" customHeight="1" x14ac:dyDescent="0.25">
      <c r="A2898" s="35">
        <v>44678</v>
      </c>
      <c r="B2898" s="90" t="s">
        <v>13581</v>
      </c>
      <c r="C2898" s="41" t="s">
        <v>127</v>
      </c>
      <c r="D2898" s="87">
        <v>1366.4</v>
      </c>
      <c r="E2898" s="35">
        <v>44678</v>
      </c>
      <c r="F2898" s="87">
        <v>1366.4</v>
      </c>
      <c r="G2898" s="91">
        <f>Tabla15[[#This Row],[Importe]]-Tabla15[[#This Row],[Pagado]]</f>
        <v>0</v>
      </c>
      <c r="H2898" s="92" t="s">
        <v>10</v>
      </c>
    </row>
    <row r="2899" spans="1:8" ht="21.75" customHeight="1" x14ac:dyDescent="0.25">
      <c r="A2899" s="35">
        <v>44678</v>
      </c>
      <c r="B2899" s="90" t="s">
        <v>13582</v>
      </c>
      <c r="C2899" s="41" t="s">
        <v>129</v>
      </c>
      <c r="D2899" s="87">
        <v>951.6</v>
      </c>
      <c r="E2899" s="35">
        <v>44678</v>
      </c>
      <c r="F2899" s="87">
        <v>951.6</v>
      </c>
      <c r="G2899" s="91">
        <f>Tabla15[[#This Row],[Importe]]-Tabla15[[#This Row],[Pagado]]</f>
        <v>0</v>
      </c>
      <c r="H2899" s="92" t="s">
        <v>10</v>
      </c>
    </row>
    <row r="2900" spans="1:8" ht="21.75" customHeight="1" x14ac:dyDescent="0.25">
      <c r="A2900" s="35">
        <v>44678</v>
      </c>
      <c r="B2900" s="90" t="s">
        <v>13583</v>
      </c>
      <c r="C2900" s="41" t="s">
        <v>24</v>
      </c>
      <c r="D2900" s="87">
        <v>333.2</v>
      </c>
      <c r="E2900" s="35">
        <v>44678</v>
      </c>
      <c r="F2900" s="87">
        <v>333.2</v>
      </c>
      <c r="G2900" s="91">
        <f>Tabla15[[#This Row],[Importe]]-Tabla15[[#This Row],[Pagado]]</f>
        <v>0</v>
      </c>
      <c r="H2900" s="92" t="s">
        <v>10</v>
      </c>
    </row>
    <row r="2901" spans="1:8" ht="21.75" customHeight="1" x14ac:dyDescent="0.25">
      <c r="A2901" s="35">
        <v>44678</v>
      </c>
      <c r="B2901" s="90" t="s">
        <v>13584</v>
      </c>
      <c r="C2901" s="41" t="s">
        <v>2114</v>
      </c>
      <c r="D2901" s="87">
        <v>880</v>
      </c>
      <c r="E2901" s="35">
        <v>44678</v>
      </c>
      <c r="F2901" s="87">
        <v>880</v>
      </c>
      <c r="G2901" s="91">
        <f>Tabla15[[#This Row],[Importe]]-Tabla15[[#This Row],[Pagado]]</f>
        <v>0</v>
      </c>
      <c r="H2901" s="92" t="s">
        <v>10</v>
      </c>
    </row>
    <row r="2902" spans="1:8" ht="21.75" customHeight="1" x14ac:dyDescent="0.25">
      <c r="A2902" s="35">
        <v>44678</v>
      </c>
      <c r="B2902" s="90" t="s">
        <v>13585</v>
      </c>
      <c r="C2902" s="41" t="s">
        <v>414</v>
      </c>
      <c r="D2902" s="87">
        <v>18113</v>
      </c>
      <c r="E2902" s="35">
        <v>44678</v>
      </c>
      <c r="F2902" s="87">
        <v>18113</v>
      </c>
      <c r="G2902" s="91">
        <f>Tabla15[[#This Row],[Importe]]-Tabla15[[#This Row],[Pagado]]</f>
        <v>0</v>
      </c>
      <c r="H2902" s="92" t="s">
        <v>10</v>
      </c>
    </row>
    <row r="2903" spans="1:8" ht="21.75" customHeight="1" x14ac:dyDescent="0.25">
      <c r="A2903" s="35">
        <v>44678</v>
      </c>
      <c r="B2903" s="90" t="s">
        <v>13586</v>
      </c>
      <c r="C2903" s="41" t="s">
        <v>273</v>
      </c>
      <c r="D2903" s="87">
        <v>40824</v>
      </c>
      <c r="E2903" s="35">
        <v>44678</v>
      </c>
      <c r="F2903" s="87">
        <v>40824</v>
      </c>
      <c r="G2903" s="91">
        <f>Tabla15[[#This Row],[Importe]]-Tabla15[[#This Row],[Pagado]]</f>
        <v>0</v>
      </c>
      <c r="H2903" s="92" t="s">
        <v>10</v>
      </c>
    </row>
    <row r="2904" spans="1:8" ht="21.75" customHeight="1" x14ac:dyDescent="0.25">
      <c r="A2904" s="35">
        <v>44678</v>
      </c>
      <c r="B2904" s="90" t="s">
        <v>13587</v>
      </c>
      <c r="C2904" s="41" t="s">
        <v>198</v>
      </c>
      <c r="D2904" s="87">
        <v>994.3</v>
      </c>
      <c r="E2904" s="35" t="s">
        <v>13588</v>
      </c>
      <c r="F2904" s="87">
        <v>994.3</v>
      </c>
      <c r="G2904" s="91">
        <f>Tabla15[[#This Row],[Importe]]-Tabla15[[#This Row],[Pagado]]</f>
        <v>0</v>
      </c>
      <c r="H2904" s="92" t="s">
        <v>10</v>
      </c>
    </row>
    <row r="2905" spans="1:8" ht="21.75" customHeight="1" x14ac:dyDescent="0.25">
      <c r="A2905" s="35">
        <v>44678</v>
      </c>
      <c r="B2905" s="90" t="s">
        <v>13589</v>
      </c>
      <c r="C2905" s="41" t="s">
        <v>400</v>
      </c>
      <c r="D2905" s="87">
        <v>5727.6</v>
      </c>
      <c r="E2905" s="35">
        <v>44688</v>
      </c>
      <c r="F2905" s="87">
        <v>5727.6</v>
      </c>
      <c r="G2905" s="91">
        <f>Tabla15[[#This Row],[Importe]]-Tabla15[[#This Row],[Pagado]]</f>
        <v>0</v>
      </c>
      <c r="H2905" s="92" t="s">
        <v>10</v>
      </c>
    </row>
    <row r="2906" spans="1:8" ht="21.75" customHeight="1" x14ac:dyDescent="0.25">
      <c r="A2906" s="35">
        <v>44678</v>
      </c>
      <c r="B2906" s="90" t="s">
        <v>13590</v>
      </c>
      <c r="C2906" s="41" t="s">
        <v>407</v>
      </c>
      <c r="D2906" s="87">
        <v>17764.900000000001</v>
      </c>
      <c r="E2906" s="35">
        <v>44678</v>
      </c>
      <c r="F2906" s="87">
        <v>17764.900000000001</v>
      </c>
      <c r="G2906" s="91">
        <f>Tabla15[[#This Row],[Importe]]-Tabla15[[#This Row],[Pagado]]</f>
        <v>0</v>
      </c>
      <c r="H2906" s="92" t="s">
        <v>10</v>
      </c>
    </row>
    <row r="2907" spans="1:8" ht="21.75" customHeight="1" x14ac:dyDescent="0.25">
      <c r="A2907" s="35">
        <v>44678</v>
      </c>
      <c r="B2907" s="90" t="s">
        <v>13591</v>
      </c>
      <c r="C2907" s="41" t="s">
        <v>4136</v>
      </c>
      <c r="D2907" s="87">
        <v>463.6</v>
      </c>
      <c r="E2907" s="35">
        <v>44678</v>
      </c>
      <c r="F2907" s="87">
        <v>463.6</v>
      </c>
      <c r="G2907" s="91">
        <f>Tabla15[[#This Row],[Importe]]-Tabla15[[#This Row],[Pagado]]</f>
        <v>0</v>
      </c>
      <c r="H2907" s="92" t="s">
        <v>10</v>
      </c>
    </row>
    <row r="2908" spans="1:8" ht="21.75" customHeight="1" x14ac:dyDescent="0.25">
      <c r="A2908" s="35">
        <v>44678</v>
      </c>
      <c r="B2908" s="90" t="s">
        <v>13592</v>
      </c>
      <c r="C2908" s="41" t="s">
        <v>843</v>
      </c>
      <c r="D2908" s="87">
        <v>12727</v>
      </c>
      <c r="E2908" s="35">
        <v>44678</v>
      </c>
      <c r="F2908" s="87">
        <v>12727</v>
      </c>
      <c r="G2908" s="91">
        <f>Tabla15[[#This Row],[Importe]]-Tabla15[[#This Row],[Pagado]]</f>
        <v>0</v>
      </c>
      <c r="H2908" s="92" t="s">
        <v>10</v>
      </c>
    </row>
    <row r="2909" spans="1:8" ht="21.75" customHeight="1" x14ac:dyDescent="0.25">
      <c r="A2909" s="35">
        <v>44678</v>
      </c>
      <c r="B2909" s="90" t="s">
        <v>13593</v>
      </c>
      <c r="C2909" s="41" t="s">
        <v>426</v>
      </c>
      <c r="D2909" s="87">
        <v>4331.3999999999996</v>
      </c>
      <c r="E2909" s="35">
        <v>44678</v>
      </c>
      <c r="F2909" s="87">
        <v>4331.3999999999996</v>
      </c>
      <c r="G2909" s="91">
        <f>Tabla15[[#This Row],[Importe]]-Tabla15[[#This Row],[Pagado]]</f>
        <v>0</v>
      </c>
      <c r="H2909" s="92" t="s">
        <v>10</v>
      </c>
    </row>
    <row r="2910" spans="1:8" ht="21.75" customHeight="1" x14ac:dyDescent="0.25">
      <c r="A2910" s="35">
        <v>44678</v>
      </c>
      <c r="B2910" s="90" t="s">
        <v>13594</v>
      </c>
      <c r="C2910" s="41" t="s">
        <v>426</v>
      </c>
      <c r="D2910" s="87">
        <v>896.7</v>
      </c>
      <c r="E2910" s="35">
        <v>44678</v>
      </c>
      <c r="F2910" s="87">
        <v>896.7</v>
      </c>
      <c r="G2910" s="91">
        <f>Tabla15[[#This Row],[Importe]]-Tabla15[[#This Row],[Pagado]]</f>
        <v>0</v>
      </c>
      <c r="H2910" s="92" t="s">
        <v>10</v>
      </c>
    </row>
    <row r="2911" spans="1:8" ht="21.75" customHeight="1" x14ac:dyDescent="0.25">
      <c r="A2911" s="35">
        <v>44678</v>
      </c>
      <c r="B2911" s="90" t="s">
        <v>13595</v>
      </c>
      <c r="C2911" s="41" t="s">
        <v>9577</v>
      </c>
      <c r="D2911" s="87">
        <v>15055</v>
      </c>
      <c r="E2911" s="35">
        <v>44678</v>
      </c>
      <c r="F2911" s="87">
        <v>15055</v>
      </c>
      <c r="G2911" s="91">
        <f>Tabla15[[#This Row],[Importe]]-Tabla15[[#This Row],[Pagado]]</f>
        <v>0</v>
      </c>
      <c r="H2911" s="92" t="s">
        <v>10</v>
      </c>
    </row>
    <row r="2912" spans="1:8" ht="21.75" customHeight="1" x14ac:dyDescent="0.25">
      <c r="A2912" s="35">
        <v>44678</v>
      </c>
      <c r="B2912" s="90" t="s">
        <v>13596</v>
      </c>
      <c r="C2912" s="41" t="s">
        <v>58</v>
      </c>
      <c r="D2912" s="87">
        <v>2961</v>
      </c>
      <c r="E2912" s="35">
        <v>44678</v>
      </c>
      <c r="F2912" s="87">
        <v>2961</v>
      </c>
      <c r="G2912" s="91">
        <f>Tabla15[[#This Row],[Importe]]-Tabla15[[#This Row],[Pagado]]</f>
        <v>0</v>
      </c>
      <c r="H2912" s="92" t="s">
        <v>10</v>
      </c>
    </row>
    <row r="2913" spans="1:8" ht="21.75" customHeight="1" x14ac:dyDescent="0.25">
      <c r="A2913" s="35">
        <v>44678</v>
      </c>
      <c r="B2913" s="90" t="s">
        <v>13597</v>
      </c>
      <c r="C2913" s="41" t="s">
        <v>10157</v>
      </c>
      <c r="D2913" s="87">
        <v>6027.84</v>
      </c>
      <c r="E2913" s="35">
        <v>44678</v>
      </c>
      <c r="F2913" s="87">
        <v>6027.84</v>
      </c>
      <c r="G2913" s="91">
        <f>Tabla15[[#This Row],[Importe]]-Tabla15[[#This Row],[Pagado]]</f>
        <v>0</v>
      </c>
      <c r="H2913" s="92" t="s">
        <v>10</v>
      </c>
    </row>
    <row r="2914" spans="1:8" ht="21.75" customHeight="1" x14ac:dyDescent="0.25">
      <c r="A2914" s="35">
        <v>44678</v>
      </c>
      <c r="B2914" s="90" t="s">
        <v>13598</v>
      </c>
      <c r="C2914" s="41" t="s">
        <v>218</v>
      </c>
      <c r="D2914" s="87">
        <v>15443.5</v>
      </c>
      <c r="E2914" s="35">
        <v>44681</v>
      </c>
      <c r="F2914" s="87">
        <v>15443.5</v>
      </c>
      <c r="G2914" s="91">
        <f>Tabla15[[#This Row],[Importe]]-Tabla15[[#This Row],[Pagado]]</f>
        <v>0</v>
      </c>
      <c r="H2914" s="92" t="s">
        <v>10</v>
      </c>
    </row>
    <row r="2915" spans="1:8" ht="21.75" customHeight="1" x14ac:dyDescent="0.25">
      <c r="A2915" s="35">
        <v>44678</v>
      </c>
      <c r="B2915" s="90" t="s">
        <v>13599</v>
      </c>
      <c r="C2915" s="41" t="s">
        <v>843</v>
      </c>
      <c r="D2915" s="87">
        <v>1709.5</v>
      </c>
      <c r="E2915" s="35">
        <v>44678</v>
      </c>
      <c r="F2915" s="87">
        <v>1709.5</v>
      </c>
      <c r="G2915" s="91">
        <f>Tabla15[[#This Row],[Importe]]-Tabla15[[#This Row],[Pagado]]</f>
        <v>0</v>
      </c>
      <c r="H2915" s="92" t="s">
        <v>10</v>
      </c>
    </row>
    <row r="2916" spans="1:8" ht="21.75" customHeight="1" x14ac:dyDescent="0.25">
      <c r="A2916" s="35">
        <v>44678</v>
      </c>
      <c r="B2916" s="90" t="s">
        <v>13600</v>
      </c>
      <c r="C2916" s="41" t="s">
        <v>208</v>
      </c>
      <c r="D2916" s="87">
        <v>8984.32</v>
      </c>
      <c r="E2916" s="35">
        <v>44685</v>
      </c>
      <c r="F2916" s="87">
        <v>8984.32</v>
      </c>
      <c r="G2916" s="91">
        <f>Tabla15[[#This Row],[Importe]]-Tabla15[[#This Row],[Pagado]]</f>
        <v>0</v>
      </c>
      <c r="H2916" s="92" t="s">
        <v>10</v>
      </c>
    </row>
    <row r="2917" spans="1:8" ht="21.75" customHeight="1" x14ac:dyDescent="0.25">
      <c r="A2917" s="35">
        <v>44678</v>
      </c>
      <c r="B2917" s="90" t="s">
        <v>13601</v>
      </c>
      <c r="C2917" s="41" t="s">
        <v>8949</v>
      </c>
      <c r="D2917" s="87">
        <v>10650</v>
      </c>
      <c r="E2917" s="35">
        <v>44678</v>
      </c>
      <c r="F2917" s="87">
        <v>10650</v>
      </c>
      <c r="G2917" s="91">
        <f>Tabla15[[#This Row],[Importe]]-Tabla15[[#This Row],[Pagado]]</f>
        <v>0</v>
      </c>
      <c r="H2917" s="92" t="s">
        <v>10</v>
      </c>
    </row>
    <row r="2918" spans="1:8" ht="21.75" customHeight="1" x14ac:dyDescent="0.25">
      <c r="A2918" s="35">
        <v>44678</v>
      </c>
      <c r="B2918" s="90" t="s">
        <v>13602</v>
      </c>
      <c r="C2918" s="41" t="s">
        <v>212</v>
      </c>
      <c r="D2918" s="87">
        <v>43899.4</v>
      </c>
      <c r="E2918" s="35">
        <v>44680</v>
      </c>
      <c r="F2918" s="87">
        <v>43899.4</v>
      </c>
      <c r="G2918" s="91">
        <f>Tabla15[[#This Row],[Importe]]-Tabla15[[#This Row],[Pagado]]</f>
        <v>0</v>
      </c>
      <c r="H2918" s="92" t="s">
        <v>10</v>
      </c>
    </row>
    <row r="2919" spans="1:8" ht="21.75" customHeight="1" x14ac:dyDescent="0.25">
      <c r="A2919" s="35">
        <v>44678</v>
      </c>
      <c r="B2919" s="90" t="s">
        <v>13603</v>
      </c>
      <c r="C2919" s="41" t="s">
        <v>994</v>
      </c>
      <c r="D2919" s="87">
        <v>4984.7</v>
      </c>
      <c r="E2919" s="35">
        <v>44678</v>
      </c>
      <c r="F2919" s="87">
        <v>4984.7</v>
      </c>
      <c r="G2919" s="91">
        <f>Tabla15[[#This Row],[Importe]]-Tabla15[[#This Row],[Pagado]]</f>
        <v>0</v>
      </c>
      <c r="H2919" s="92" t="s">
        <v>10</v>
      </c>
    </row>
    <row r="2920" spans="1:8" ht="21.75" customHeight="1" x14ac:dyDescent="0.25">
      <c r="A2920" s="35">
        <v>44678</v>
      </c>
      <c r="B2920" s="90" t="s">
        <v>13604</v>
      </c>
      <c r="C2920" s="41" t="s">
        <v>75</v>
      </c>
      <c r="D2920" s="87">
        <v>3666</v>
      </c>
      <c r="E2920" s="35">
        <v>44678</v>
      </c>
      <c r="F2920" s="87">
        <v>3666</v>
      </c>
      <c r="G2920" s="91">
        <f>Tabla15[[#This Row],[Importe]]-Tabla15[[#This Row],[Pagado]]</f>
        <v>0</v>
      </c>
      <c r="H2920" s="92" t="s">
        <v>10</v>
      </c>
    </row>
    <row r="2921" spans="1:8" ht="21.75" customHeight="1" x14ac:dyDescent="0.25">
      <c r="A2921" s="35">
        <v>44678</v>
      </c>
      <c r="B2921" s="90" t="s">
        <v>13605</v>
      </c>
      <c r="C2921" s="41" t="s">
        <v>173</v>
      </c>
      <c r="D2921" s="87">
        <v>26800</v>
      </c>
      <c r="E2921" s="35">
        <v>44679</v>
      </c>
      <c r="F2921" s="87">
        <v>26800</v>
      </c>
      <c r="G2921" s="91">
        <f>Tabla15[[#This Row],[Importe]]-Tabla15[[#This Row],[Pagado]]</f>
        <v>0</v>
      </c>
      <c r="H2921" s="92" t="s">
        <v>10</v>
      </c>
    </row>
    <row r="2922" spans="1:8" ht="21.75" customHeight="1" x14ac:dyDescent="0.25">
      <c r="A2922" s="35">
        <v>44678</v>
      </c>
      <c r="B2922" s="90" t="s">
        <v>13606</v>
      </c>
      <c r="C2922" s="41" t="s">
        <v>698</v>
      </c>
      <c r="D2922" s="87">
        <v>6621.3</v>
      </c>
      <c r="E2922" s="35">
        <v>44678</v>
      </c>
      <c r="F2922" s="87">
        <v>6621.3</v>
      </c>
      <c r="G2922" s="91">
        <f>Tabla15[[#This Row],[Importe]]-Tabla15[[#This Row],[Pagado]]</f>
        <v>0</v>
      </c>
      <c r="H2922" s="92" t="s">
        <v>10</v>
      </c>
    </row>
    <row r="2923" spans="1:8" ht="21.75" customHeight="1" x14ac:dyDescent="0.25">
      <c r="A2923" s="35">
        <v>44678</v>
      </c>
      <c r="B2923" s="90" t="s">
        <v>13607</v>
      </c>
      <c r="C2923" s="41" t="s">
        <v>698</v>
      </c>
      <c r="D2923" s="87">
        <v>236.5</v>
      </c>
      <c r="E2923" s="35">
        <v>44678</v>
      </c>
      <c r="F2923" s="87">
        <v>236.5</v>
      </c>
      <c r="G2923" s="91">
        <f>Tabla15[[#This Row],[Importe]]-Tabla15[[#This Row],[Pagado]]</f>
        <v>0</v>
      </c>
      <c r="H2923" s="92" t="s">
        <v>10</v>
      </c>
    </row>
    <row r="2924" spans="1:8" ht="21.75" customHeight="1" x14ac:dyDescent="0.25">
      <c r="A2924" s="35">
        <v>44678</v>
      </c>
      <c r="B2924" s="90" t="s">
        <v>13608</v>
      </c>
      <c r="C2924" s="41" t="s">
        <v>56</v>
      </c>
      <c r="D2924" s="87">
        <v>7289.1</v>
      </c>
      <c r="E2924" s="35">
        <v>44678</v>
      </c>
      <c r="F2924" s="87">
        <v>7289.1</v>
      </c>
      <c r="G2924" s="91">
        <f>Tabla15[[#This Row],[Importe]]-Tabla15[[#This Row],[Pagado]]</f>
        <v>0</v>
      </c>
      <c r="H2924" s="92" t="s">
        <v>10</v>
      </c>
    </row>
    <row r="2925" spans="1:8" ht="21.75" customHeight="1" x14ac:dyDescent="0.25">
      <c r="A2925" s="35">
        <v>44678</v>
      </c>
      <c r="B2925" s="90" t="s">
        <v>13609</v>
      </c>
      <c r="C2925" s="41" t="s">
        <v>206</v>
      </c>
      <c r="D2925" s="87">
        <v>24745.5</v>
      </c>
      <c r="E2925" s="35">
        <v>44681</v>
      </c>
      <c r="F2925" s="87">
        <v>24745.5</v>
      </c>
      <c r="G2925" s="91">
        <f>Tabla15[[#This Row],[Importe]]-Tabla15[[#This Row],[Pagado]]</f>
        <v>0</v>
      </c>
      <c r="H2925" s="92" t="s">
        <v>10</v>
      </c>
    </row>
    <row r="2926" spans="1:8" ht="21.75" customHeight="1" x14ac:dyDescent="0.25">
      <c r="A2926" s="35">
        <v>44678</v>
      </c>
      <c r="B2926" s="90" t="s">
        <v>13610</v>
      </c>
      <c r="C2926" s="41" t="s">
        <v>69</v>
      </c>
      <c r="D2926" s="87">
        <v>2466</v>
      </c>
      <c r="E2926" s="35">
        <v>44678</v>
      </c>
      <c r="F2926" s="87">
        <v>2466</v>
      </c>
      <c r="G2926" s="91">
        <f>Tabla15[[#This Row],[Importe]]-Tabla15[[#This Row],[Pagado]]</f>
        <v>0</v>
      </c>
      <c r="H2926" s="92" t="s">
        <v>10</v>
      </c>
    </row>
    <row r="2927" spans="1:8" ht="21.75" customHeight="1" x14ac:dyDescent="0.25">
      <c r="A2927" s="35">
        <v>44678</v>
      </c>
      <c r="B2927" s="90" t="s">
        <v>13611</v>
      </c>
      <c r="C2927" s="41" t="s">
        <v>484</v>
      </c>
      <c r="D2927" s="87">
        <v>6713.6</v>
      </c>
      <c r="E2927" s="35">
        <v>44678</v>
      </c>
      <c r="F2927" s="87">
        <v>6713.6</v>
      </c>
      <c r="G2927" s="91">
        <f>Tabla15[[#This Row],[Importe]]-Tabla15[[#This Row],[Pagado]]</f>
        <v>0</v>
      </c>
      <c r="H2927" s="92" t="s">
        <v>10</v>
      </c>
    </row>
    <row r="2928" spans="1:8" ht="21.75" customHeight="1" x14ac:dyDescent="0.25">
      <c r="A2928" s="35">
        <v>44678</v>
      </c>
      <c r="B2928" s="90" t="s">
        <v>13612</v>
      </c>
      <c r="C2928" s="41" t="s">
        <v>154</v>
      </c>
      <c r="D2928" s="87">
        <v>43277.9</v>
      </c>
      <c r="E2928" s="35">
        <v>44681</v>
      </c>
      <c r="F2928" s="87">
        <v>43277.9</v>
      </c>
      <c r="G2928" s="91">
        <f>Tabla15[[#This Row],[Importe]]-Tabla15[[#This Row],[Pagado]]</f>
        <v>0</v>
      </c>
      <c r="H2928" s="92" t="s">
        <v>10</v>
      </c>
    </row>
    <row r="2929" spans="1:8" ht="21.75" customHeight="1" x14ac:dyDescent="0.25">
      <c r="A2929" s="35">
        <v>44678</v>
      </c>
      <c r="B2929" s="90" t="s">
        <v>13613</v>
      </c>
      <c r="C2929" s="41" t="s">
        <v>2139</v>
      </c>
      <c r="D2929" s="87">
        <v>4085.8</v>
      </c>
      <c r="E2929" s="35">
        <v>44678</v>
      </c>
      <c r="F2929" s="87">
        <v>4085.8</v>
      </c>
      <c r="G2929" s="91">
        <f>Tabla15[[#This Row],[Importe]]-Tabla15[[#This Row],[Pagado]]</f>
        <v>0</v>
      </c>
      <c r="H2929" s="92" t="s">
        <v>10</v>
      </c>
    </row>
    <row r="2930" spans="1:8" ht="21.75" customHeight="1" x14ac:dyDescent="0.25">
      <c r="A2930" s="35">
        <v>44678</v>
      </c>
      <c r="B2930" s="90" t="s">
        <v>13614</v>
      </c>
      <c r="C2930" s="41" t="s">
        <v>857</v>
      </c>
      <c r="D2930" s="87">
        <v>335.2</v>
      </c>
      <c r="E2930" s="35">
        <v>44678</v>
      </c>
      <c r="F2930" s="87">
        <v>335.2</v>
      </c>
      <c r="G2930" s="91">
        <f>Tabla15[[#This Row],[Importe]]-Tabla15[[#This Row],[Pagado]]</f>
        <v>0</v>
      </c>
      <c r="H2930" s="92" t="s">
        <v>10</v>
      </c>
    </row>
    <row r="2931" spans="1:8" ht="21.75" customHeight="1" x14ac:dyDescent="0.25">
      <c r="A2931" s="35">
        <v>44678</v>
      </c>
      <c r="B2931" s="90" t="s">
        <v>13615</v>
      </c>
      <c r="C2931" s="41" t="s">
        <v>528</v>
      </c>
      <c r="D2931" s="87">
        <v>35928</v>
      </c>
      <c r="E2931" s="35">
        <v>44679</v>
      </c>
      <c r="F2931" s="87">
        <v>35928</v>
      </c>
      <c r="G2931" s="91">
        <f>Tabla15[[#This Row],[Importe]]-Tabla15[[#This Row],[Pagado]]</f>
        <v>0</v>
      </c>
      <c r="H2931" s="92" t="s">
        <v>10</v>
      </c>
    </row>
    <row r="2932" spans="1:8" ht="21.75" customHeight="1" x14ac:dyDescent="0.25">
      <c r="A2932" s="35">
        <v>44678</v>
      </c>
      <c r="B2932" s="90" t="s">
        <v>13616</v>
      </c>
      <c r="C2932" s="41" t="s">
        <v>133</v>
      </c>
      <c r="D2932" s="87">
        <v>15456</v>
      </c>
      <c r="E2932" s="35">
        <v>44679</v>
      </c>
      <c r="F2932" s="87">
        <v>15456</v>
      </c>
      <c r="G2932" s="91">
        <f>Tabla15[[#This Row],[Importe]]-Tabla15[[#This Row],[Pagado]]</f>
        <v>0</v>
      </c>
      <c r="H2932" s="92" t="s">
        <v>10</v>
      </c>
    </row>
    <row r="2933" spans="1:8" ht="21.75" customHeight="1" x14ac:dyDescent="0.25">
      <c r="A2933" s="35">
        <v>44678</v>
      </c>
      <c r="B2933" s="90" t="s">
        <v>13617</v>
      </c>
      <c r="C2933" s="41" t="s">
        <v>5816</v>
      </c>
      <c r="D2933" s="87">
        <v>2965.2</v>
      </c>
      <c r="E2933" s="35">
        <v>44679</v>
      </c>
      <c r="F2933" s="87">
        <v>2965.2</v>
      </c>
      <c r="G2933" s="91">
        <f>Tabla15[[#This Row],[Importe]]-Tabla15[[#This Row],[Pagado]]</f>
        <v>0</v>
      </c>
      <c r="H2933" s="92" t="s">
        <v>10</v>
      </c>
    </row>
    <row r="2934" spans="1:8" ht="21.75" customHeight="1" x14ac:dyDescent="0.25">
      <c r="A2934" s="35">
        <v>44678</v>
      </c>
      <c r="B2934" s="90" t="s">
        <v>13618</v>
      </c>
      <c r="C2934" s="41" t="s">
        <v>419</v>
      </c>
      <c r="D2934" s="87">
        <v>7822.2</v>
      </c>
      <c r="E2934" s="35">
        <v>44678</v>
      </c>
      <c r="F2934" s="87">
        <v>7822.2</v>
      </c>
      <c r="G2934" s="91">
        <f>Tabla15[[#This Row],[Importe]]-Tabla15[[#This Row],[Pagado]]</f>
        <v>0</v>
      </c>
      <c r="H2934" s="92" t="s">
        <v>10</v>
      </c>
    </row>
    <row r="2935" spans="1:8" ht="21.75" customHeight="1" x14ac:dyDescent="0.25">
      <c r="A2935" s="35">
        <v>44678</v>
      </c>
      <c r="B2935" s="90" t="s">
        <v>13619</v>
      </c>
      <c r="C2935" s="41" t="s">
        <v>235</v>
      </c>
      <c r="D2935" s="87">
        <v>10852.4</v>
      </c>
      <c r="E2935" s="35">
        <v>44678</v>
      </c>
      <c r="F2935" s="87">
        <v>10852.4</v>
      </c>
      <c r="G2935" s="91">
        <f>Tabla15[[#This Row],[Importe]]-Tabla15[[#This Row],[Pagado]]</f>
        <v>0</v>
      </c>
      <c r="H2935" s="92" t="s">
        <v>10</v>
      </c>
    </row>
    <row r="2936" spans="1:8" ht="21.75" customHeight="1" x14ac:dyDescent="0.25">
      <c r="A2936" s="35">
        <v>44678</v>
      </c>
      <c r="B2936" s="90" t="s">
        <v>13620</v>
      </c>
      <c r="C2936" s="41" t="s">
        <v>13621</v>
      </c>
      <c r="D2936" s="87">
        <v>0</v>
      </c>
      <c r="E2936" s="39" t="s">
        <v>189</v>
      </c>
      <c r="F2936" s="87">
        <v>0</v>
      </c>
      <c r="G2936" s="91">
        <f>Tabla15[[#This Row],[Importe]]-Tabla15[[#This Row],[Pagado]]</f>
        <v>0</v>
      </c>
      <c r="H2936" s="92" t="s">
        <v>189</v>
      </c>
    </row>
    <row r="2937" spans="1:8" ht="21.75" customHeight="1" x14ac:dyDescent="0.25">
      <c r="A2937" s="35">
        <v>44678</v>
      </c>
      <c r="B2937" s="90" t="s">
        <v>13622</v>
      </c>
      <c r="C2937" s="41" t="s">
        <v>435</v>
      </c>
      <c r="D2937" s="87">
        <v>1462.4</v>
      </c>
      <c r="E2937" s="35">
        <v>44678</v>
      </c>
      <c r="F2937" s="87">
        <v>1462.4</v>
      </c>
      <c r="G2937" s="91">
        <f>Tabla15[[#This Row],[Importe]]-Tabla15[[#This Row],[Pagado]]</f>
        <v>0</v>
      </c>
      <c r="H2937" s="92" t="s">
        <v>10</v>
      </c>
    </row>
    <row r="2938" spans="1:8" ht="21.75" customHeight="1" x14ac:dyDescent="0.25">
      <c r="A2938" s="35">
        <v>44678</v>
      </c>
      <c r="B2938" s="90" t="s">
        <v>13623</v>
      </c>
      <c r="C2938" s="41" t="s">
        <v>13624</v>
      </c>
      <c r="D2938" s="87">
        <v>0</v>
      </c>
      <c r="E2938" s="39" t="s">
        <v>189</v>
      </c>
      <c r="F2938" s="87">
        <v>0</v>
      </c>
      <c r="G2938" s="91">
        <f>Tabla15[[#This Row],[Importe]]-Tabla15[[#This Row],[Pagado]]</f>
        <v>0</v>
      </c>
      <c r="H2938" s="92" t="s">
        <v>189</v>
      </c>
    </row>
    <row r="2939" spans="1:8" ht="21.75" customHeight="1" x14ac:dyDescent="0.25">
      <c r="A2939" s="35">
        <v>44678</v>
      </c>
      <c r="B2939" s="90" t="s">
        <v>13625</v>
      </c>
      <c r="C2939" s="41" t="s">
        <v>450</v>
      </c>
      <c r="D2939" s="87">
        <v>2211.1999999999998</v>
      </c>
      <c r="E2939" s="35">
        <v>44678</v>
      </c>
      <c r="F2939" s="87">
        <v>2211.1999999999998</v>
      </c>
      <c r="G2939" s="91">
        <f>Tabla15[[#This Row],[Importe]]-Tabla15[[#This Row],[Pagado]]</f>
        <v>0</v>
      </c>
      <c r="H2939" s="92" t="s">
        <v>10</v>
      </c>
    </row>
    <row r="2940" spans="1:8" ht="21.75" customHeight="1" x14ac:dyDescent="0.25">
      <c r="A2940" s="35">
        <v>44678</v>
      </c>
      <c r="B2940" s="90" t="s">
        <v>13626</v>
      </c>
      <c r="C2940" s="41" t="s">
        <v>605</v>
      </c>
      <c r="D2940" s="87">
        <v>44485.52</v>
      </c>
      <c r="E2940" s="35">
        <v>44679</v>
      </c>
      <c r="F2940" s="87">
        <v>44485.52</v>
      </c>
      <c r="G2940" s="91">
        <f>Tabla15[[#This Row],[Importe]]-Tabla15[[#This Row],[Pagado]]</f>
        <v>0</v>
      </c>
      <c r="H2940" s="92" t="s">
        <v>10</v>
      </c>
    </row>
    <row r="2941" spans="1:8" ht="21.75" customHeight="1" x14ac:dyDescent="0.25">
      <c r="A2941" s="35">
        <v>44678</v>
      </c>
      <c r="B2941" s="90" t="s">
        <v>13627</v>
      </c>
      <c r="C2941" s="41" t="s">
        <v>1421</v>
      </c>
      <c r="D2941" s="87">
        <v>33098</v>
      </c>
      <c r="E2941" s="35">
        <v>44678</v>
      </c>
      <c r="F2941" s="87">
        <v>33098</v>
      </c>
      <c r="G2941" s="91">
        <f>Tabla15[[#This Row],[Importe]]-Tabla15[[#This Row],[Pagado]]</f>
        <v>0</v>
      </c>
      <c r="H2941" s="92" t="s">
        <v>10</v>
      </c>
    </row>
    <row r="2942" spans="1:8" ht="21.75" customHeight="1" x14ac:dyDescent="0.25">
      <c r="A2942" s="35">
        <v>44678</v>
      </c>
      <c r="B2942" s="90" t="s">
        <v>13628</v>
      </c>
      <c r="C2942" s="41" t="s">
        <v>175</v>
      </c>
      <c r="D2942" s="87">
        <v>39561.800000000003</v>
      </c>
      <c r="E2942" s="35">
        <v>44678</v>
      </c>
      <c r="F2942" s="87">
        <v>39561.800000000003</v>
      </c>
      <c r="G2942" s="91">
        <f>Tabla15[[#This Row],[Importe]]-Tabla15[[#This Row],[Pagado]]</f>
        <v>0</v>
      </c>
      <c r="H2942" s="92" t="s">
        <v>10</v>
      </c>
    </row>
    <row r="2943" spans="1:8" ht="21.75" customHeight="1" x14ac:dyDescent="0.25">
      <c r="A2943" s="35">
        <v>44678</v>
      </c>
      <c r="B2943" s="90" t="s">
        <v>13629</v>
      </c>
      <c r="C2943" s="41" t="s">
        <v>2383</v>
      </c>
      <c r="D2943" s="87">
        <v>2804.6</v>
      </c>
      <c r="E2943" s="35">
        <v>44678</v>
      </c>
      <c r="F2943" s="87">
        <v>2804.6</v>
      </c>
      <c r="G2943" s="91">
        <f>Tabla15[[#This Row],[Importe]]-Tabla15[[#This Row],[Pagado]]</f>
        <v>0</v>
      </c>
      <c r="H2943" s="92" t="s">
        <v>10</v>
      </c>
    </row>
    <row r="2944" spans="1:8" ht="21.75" customHeight="1" x14ac:dyDescent="0.25">
      <c r="A2944" s="35">
        <v>44678</v>
      </c>
      <c r="B2944" s="90" t="s">
        <v>13630</v>
      </c>
      <c r="C2944" s="41" t="s">
        <v>296</v>
      </c>
      <c r="D2944" s="87">
        <v>5452.6</v>
      </c>
      <c r="E2944" s="35">
        <v>44678</v>
      </c>
      <c r="F2944" s="87">
        <v>5452.6</v>
      </c>
      <c r="G2944" s="91">
        <f>Tabla15[[#This Row],[Importe]]-Tabla15[[#This Row],[Pagado]]</f>
        <v>0</v>
      </c>
      <c r="H2944" s="92" t="s">
        <v>10</v>
      </c>
    </row>
    <row r="2945" spans="1:8" ht="31.5" x14ac:dyDescent="0.25">
      <c r="A2945" s="35">
        <v>44678</v>
      </c>
      <c r="B2945" s="90" t="s">
        <v>13631</v>
      </c>
      <c r="C2945" s="41" t="s">
        <v>196</v>
      </c>
      <c r="D2945" s="87">
        <v>73927.600000000006</v>
      </c>
      <c r="E2945" s="35">
        <v>44681</v>
      </c>
      <c r="F2945" s="87">
        <v>73927.600000000006</v>
      </c>
      <c r="G2945" s="91">
        <f>Tabla15[[#This Row],[Importe]]-Tabla15[[#This Row],[Pagado]]</f>
        <v>0</v>
      </c>
      <c r="H2945" s="92" t="s">
        <v>10</v>
      </c>
    </row>
    <row r="2946" spans="1:8" ht="21.75" customHeight="1" x14ac:dyDescent="0.25">
      <c r="A2946" s="35">
        <v>44678</v>
      </c>
      <c r="B2946" s="90" t="s">
        <v>13632</v>
      </c>
      <c r="C2946" s="41" t="s">
        <v>71</v>
      </c>
      <c r="D2946" s="87">
        <v>1670.4</v>
      </c>
      <c r="E2946" s="35">
        <v>44678</v>
      </c>
      <c r="F2946" s="87">
        <v>1670.4</v>
      </c>
      <c r="G2946" s="91">
        <f>Tabla15[[#This Row],[Importe]]-Tabla15[[#This Row],[Pagado]]</f>
        <v>0</v>
      </c>
      <c r="H2946" s="92" t="s">
        <v>10</v>
      </c>
    </row>
    <row r="2947" spans="1:8" ht="21.75" customHeight="1" x14ac:dyDescent="0.25">
      <c r="A2947" s="35">
        <v>44678</v>
      </c>
      <c r="B2947" s="90" t="s">
        <v>13633</v>
      </c>
      <c r="C2947" s="41" t="s">
        <v>31</v>
      </c>
      <c r="D2947" s="87">
        <v>1182.5</v>
      </c>
      <c r="E2947" s="35">
        <v>44678</v>
      </c>
      <c r="F2947" s="87">
        <v>1182.5</v>
      </c>
      <c r="G2947" s="91">
        <f>Tabla15[[#This Row],[Importe]]-Tabla15[[#This Row],[Pagado]]</f>
        <v>0</v>
      </c>
      <c r="H2947" s="92" t="s">
        <v>10</v>
      </c>
    </row>
    <row r="2948" spans="1:8" ht="21.75" customHeight="1" x14ac:dyDescent="0.25">
      <c r="A2948" s="35">
        <v>44678</v>
      </c>
      <c r="B2948" s="90" t="s">
        <v>13634</v>
      </c>
      <c r="C2948" s="41" t="s">
        <v>31</v>
      </c>
      <c r="D2948" s="87">
        <v>1540</v>
      </c>
      <c r="E2948" s="35">
        <v>44678</v>
      </c>
      <c r="F2948" s="87">
        <v>1540</v>
      </c>
      <c r="G2948" s="91">
        <f>Tabla15[[#This Row],[Importe]]-Tabla15[[#This Row],[Pagado]]</f>
        <v>0</v>
      </c>
      <c r="H2948" s="92" t="s">
        <v>10</v>
      </c>
    </row>
    <row r="2949" spans="1:8" ht="21.75" customHeight="1" x14ac:dyDescent="0.25">
      <c r="A2949" s="35">
        <v>44678</v>
      </c>
      <c r="B2949" s="90" t="s">
        <v>13635</v>
      </c>
      <c r="C2949" s="41" t="s">
        <v>31</v>
      </c>
      <c r="D2949" s="87">
        <v>1428</v>
      </c>
      <c r="E2949" s="35">
        <v>44678</v>
      </c>
      <c r="F2949" s="87">
        <v>1428</v>
      </c>
      <c r="G2949" s="91">
        <f>Tabla15[[#This Row],[Importe]]-Tabla15[[#This Row],[Pagado]]</f>
        <v>0</v>
      </c>
      <c r="H2949" s="92" t="s">
        <v>10</v>
      </c>
    </row>
    <row r="2950" spans="1:8" ht="21.75" customHeight="1" x14ac:dyDescent="0.25">
      <c r="A2950" s="35">
        <v>44678</v>
      </c>
      <c r="B2950" s="90" t="s">
        <v>13636</v>
      </c>
      <c r="C2950" s="41" t="s">
        <v>286</v>
      </c>
      <c r="D2950" s="87">
        <v>48720.7</v>
      </c>
      <c r="E2950" s="35">
        <v>44679</v>
      </c>
      <c r="F2950" s="87">
        <v>48720.7</v>
      </c>
      <c r="G2950" s="91">
        <f>Tabla15[[#This Row],[Importe]]-Tabla15[[#This Row],[Pagado]]</f>
        <v>0</v>
      </c>
      <c r="H2950" s="92" t="s">
        <v>10</v>
      </c>
    </row>
    <row r="2951" spans="1:8" ht="21.75" customHeight="1" x14ac:dyDescent="0.25">
      <c r="A2951" s="35">
        <v>44678</v>
      </c>
      <c r="B2951" s="90" t="s">
        <v>13637</v>
      </c>
      <c r="C2951" s="41" t="s">
        <v>10190</v>
      </c>
      <c r="D2951" s="87">
        <v>5174</v>
      </c>
      <c r="E2951" s="35">
        <v>44679</v>
      </c>
      <c r="F2951" s="87">
        <v>5174</v>
      </c>
      <c r="G2951" s="91">
        <f>Tabla15[[#This Row],[Importe]]-Tabla15[[#This Row],[Pagado]]</f>
        <v>0</v>
      </c>
      <c r="H2951" s="92" t="s">
        <v>10</v>
      </c>
    </row>
    <row r="2952" spans="1:8" ht="21.75" customHeight="1" x14ac:dyDescent="0.25">
      <c r="A2952" s="35">
        <v>44678</v>
      </c>
      <c r="B2952" s="90" t="s">
        <v>13638</v>
      </c>
      <c r="C2952" s="41" t="s">
        <v>10190</v>
      </c>
      <c r="D2952" s="87">
        <v>3224</v>
      </c>
      <c r="E2952" s="35">
        <v>44679</v>
      </c>
      <c r="F2952" s="87">
        <v>3224</v>
      </c>
      <c r="G2952" s="91">
        <f>Tabla15[[#This Row],[Importe]]-Tabla15[[#This Row],[Pagado]]</f>
        <v>0</v>
      </c>
      <c r="H2952" s="92" t="s">
        <v>10</v>
      </c>
    </row>
    <row r="2953" spans="1:8" ht="21.75" customHeight="1" x14ac:dyDescent="0.25">
      <c r="A2953" s="35">
        <v>44678</v>
      </c>
      <c r="B2953" s="90" t="s">
        <v>13639</v>
      </c>
      <c r="C2953" s="41" t="s">
        <v>284</v>
      </c>
      <c r="D2953" s="87">
        <v>5898</v>
      </c>
      <c r="E2953" s="35">
        <v>44679</v>
      </c>
      <c r="F2953" s="87">
        <v>5898</v>
      </c>
      <c r="G2953" s="91">
        <f>Tabla15[[#This Row],[Importe]]-Tabla15[[#This Row],[Pagado]]</f>
        <v>0</v>
      </c>
      <c r="H2953" s="92" t="s">
        <v>10</v>
      </c>
    </row>
    <row r="2954" spans="1:8" ht="21.75" customHeight="1" x14ac:dyDescent="0.25">
      <c r="A2954" s="35">
        <v>44678</v>
      </c>
      <c r="B2954" s="90" t="s">
        <v>13640</v>
      </c>
      <c r="C2954" s="41" t="s">
        <v>280</v>
      </c>
      <c r="D2954" s="87">
        <v>1062</v>
      </c>
      <c r="E2954" s="35">
        <v>44679</v>
      </c>
      <c r="F2954" s="87">
        <v>1062</v>
      </c>
      <c r="G2954" s="91">
        <f>Tabla15[[#This Row],[Importe]]-Tabla15[[#This Row],[Pagado]]</f>
        <v>0</v>
      </c>
      <c r="H2954" s="92" t="s">
        <v>10</v>
      </c>
    </row>
    <row r="2955" spans="1:8" ht="21.75" customHeight="1" x14ac:dyDescent="0.25">
      <c r="A2955" s="35">
        <v>44678</v>
      </c>
      <c r="B2955" s="90" t="s">
        <v>13641</v>
      </c>
      <c r="C2955" s="41" t="s">
        <v>13642</v>
      </c>
      <c r="D2955" s="87">
        <v>0</v>
      </c>
      <c r="E2955" s="39" t="s">
        <v>189</v>
      </c>
      <c r="F2955" s="87">
        <v>0</v>
      </c>
      <c r="G2955" s="91">
        <f>Tabla15[[#This Row],[Importe]]-Tabla15[[#This Row],[Pagado]]</f>
        <v>0</v>
      </c>
      <c r="H2955" s="92" t="s">
        <v>189</v>
      </c>
    </row>
    <row r="2956" spans="1:8" ht="21.75" customHeight="1" x14ac:dyDescent="0.25">
      <c r="A2956" s="35">
        <v>44678</v>
      </c>
      <c r="B2956" s="90" t="s">
        <v>13643</v>
      </c>
      <c r="C2956" s="41" t="s">
        <v>402</v>
      </c>
      <c r="D2956" s="87">
        <v>10346.799999999999</v>
      </c>
      <c r="E2956" s="35">
        <v>44686</v>
      </c>
      <c r="F2956" s="87">
        <v>10346.799999999999</v>
      </c>
      <c r="G2956" s="91">
        <f>Tabla15[[#This Row],[Importe]]-Tabla15[[#This Row],[Pagado]]</f>
        <v>0</v>
      </c>
      <c r="H2956" s="92" t="s">
        <v>10</v>
      </c>
    </row>
    <row r="2957" spans="1:8" ht="21.75" customHeight="1" x14ac:dyDescent="0.25">
      <c r="A2957" s="35">
        <v>44678</v>
      </c>
      <c r="B2957" s="90" t="s">
        <v>13644</v>
      </c>
      <c r="C2957" s="41" t="s">
        <v>282</v>
      </c>
      <c r="D2957" s="87">
        <v>2382</v>
      </c>
      <c r="E2957" s="35">
        <v>44679</v>
      </c>
      <c r="F2957" s="87">
        <v>2382</v>
      </c>
      <c r="G2957" s="91">
        <f>Tabla15[[#This Row],[Importe]]-Tabla15[[#This Row],[Pagado]]</f>
        <v>0</v>
      </c>
      <c r="H2957" s="92" t="s">
        <v>10</v>
      </c>
    </row>
    <row r="2958" spans="1:8" ht="21.75" customHeight="1" x14ac:dyDescent="0.25">
      <c r="A2958" s="35">
        <v>44678</v>
      </c>
      <c r="B2958" s="90" t="s">
        <v>13645</v>
      </c>
      <c r="C2958" s="41" t="s">
        <v>368</v>
      </c>
      <c r="D2958" s="87">
        <v>1185.5999999999999</v>
      </c>
      <c r="E2958" s="35">
        <v>44679</v>
      </c>
      <c r="F2958" s="87">
        <v>1185.5999999999999</v>
      </c>
      <c r="G2958" s="91">
        <f>Tabla15[[#This Row],[Importe]]-Tabla15[[#This Row],[Pagado]]</f>
        <v>0</v>
      </c>
      <c r="H2958" s="92" t="s">
        <v>10</v>
      </c>
    </row>
    <row r="2959" spans="1:8" ht="21.75" customHeight="1" x14ac:dyDescent="0.25">
      <c r="A2959" s="35">
        <v>44678</v>
      </c>
      <c r="B2959" s="90" t="s">
        <v>13646</v>
      </c>
      <c r="C2959" s="41" t="s">
        <v>13647</v>
      </c>
      <c r="D2959" s="87">
        <v>0</v>
      </c>
      <c r="E2959" s="39" t="s">
        <v>189</v>
      </c>
      <c r="F2959" s="87">
        <v>0</v>
      </c>
      <c r="G2959" s="91">
        <f>Tabla15[[#This Row],[Importe]]-Tabla15[[#This Row],[Pagado]]</f>
        <v>0</v>
      </c>
      <c r="H2959" s="92" t="s">
        <v>189</v>
      </c>
    </row>
    <row r="2960" spans="1:8" ht="21.75" customHeight="1" x14ac:dyDescent="0.25">
      <c r="A2960" s="35">
        <v>44678</v>
      </c>
      <c r="B2960" s="90" t="s">
        <v>13648</v>
      </c>
      <c r="C2960" s="41" t="s">
        <v>5694</v>
      </c>
      <c r="D2960" s="87">
        <v>4078.8</v>
      </c>
      <c r="E2960" s="35">
        <v>44678</v>
      </c>
      <c r="F2960" s="87">
        <v>4078.8</v>
      </c>
      <c r="G2960" s="91">
        <f>Tabla15[[#This Row],[Importe]]-Tabla15[[#This Row],[Pagado]]</f>
        <v>0</v>
      </c>
      <c r="H2960" s="92" t="s">
        <v>10</v>
      </c>
    </row>
    <row r="2961" spans="1:8" ht="21.75" customHeight="1" x14ac:dyDescent="0.25">
      <c r="A2961" s="35">
        <v>44678</v>
      </c>
      <c r="B2961" s="90" t="s">
        <v>13649</v>
      </c>
      <c r="C2961" s="41" t="s">
        <v>31</v>
      </c>
      <c r="D2961" s="87">
        <v>540.04</v>
      </c>
      <c r="E2961" s="35">
        <v>44678</v>
      </c>
      <c r="F2961" s="87">
        <v>540.04</v>
      </c>
      <c r="G2961" s="91">
        <f>Tabla15[[#This Row],[Importe]]-Tabla15[[#This Row],[Pagado]]</f>
        <v>0</v>
      </c>
      <c r="H2961" s="92" t="s">
        <v>10</v>
      </c>
    </row>
    <row r="2962" spans="1:8" ht="21.75" customHeight="1" x14ac:dyDescent="0.25">
      <c r="A2962" s="35">
        <v>44678</v>
      </c>
      <c r="B2962" s="90" t="s">
        <v>13650</v>
      </c>
      <c r="C2962" s="41" t="s">
        <v>610</v>
      </c>
      <c r="D2962" s="87">
        <v>19840</v>
      </c>
      <c r="E2962" s="35">
        <v>44678</v>
      </c>
      <c r="F2962" s="87">
        <v>19840</v>
      </c>
      <c r="G2962" s="91">
        <f>Tabla15[[#This Row],[Importe]]-Tabla15[[#This Row],[Pagado]]</f>
        <v>0</v>
      </c>
      <c r="H2962" s="92" t="s">
        <v>10</v>
      </c>
    </row>
    <row r="2963" spans="1:8" ht="21.75" customHeight="1" x14ac:dyDescent="0.25">
      <c r="A2963" s="35">
        <v>44678</v>
      </c>
      <c r="B2963" s="90" t="s">
        <v>13651</v>
      </c>
      <c r="C2963" s="41" t="s">
        <v>31</v>
      </c>
      <c r="D2963" s="87">
        <v>1038</v>
      </c>
      <c r="E2963" s="35">
        <v>44678</v>
      </c>
      <c r="F2963" s="87">
        <v>1038</v>
      </c>
      <c r="G2963" s="91">
        <f>Tabla15[[#This Row],[Importe]]-Tabla15[[#This Row],[Pagado]]</f>
        <v>0</v>
      </c>
      <c r="H2963" s="92" t="s">
        <v>10</v>
      </c>
    </row>
    <row r="2964" spans="1:8" ht="21.75" customHeight="1" x14ac:dyDescent="0.25">
      <c r="A2964" s="35">
        <v>44678</v>
      </c>
      <c r="B2964" s="90" t="s">
        <v>13652</v>
      </c>
      <c r="C2964" s="41" t="s">
        <v>31</v>
      </c>
      <c r="D2964" s="87">
        <v>560</v>
      </c>
      <c r="E2964" s="35">
        <v>44678</v>
      </c>
      <c r="F2964" s="87">
        <v>560</v>
      </c>
      <c r="G2964" s="91">
        <f>Tabla15[[#This Row],[Importe]]-Tabla15[[#This Row],[Pagado]]</f>
        <v>0</v>
      </c>
      <c r="H2964" s="92" t="s">
        <v>10</v>
      </c>
    </row>
    <row r="2965" spans="1:8" ht="21.75" customHeight="1" x14ac:dyDescent="0.25">
      <c r="A2965" s="35">
        <v>44678</v>
      </c>
      <c r="B2965" s="90" t="s">
        <v>13653</v>
      </c>
      <c r="C2965" s="41" t="s">
        <v>7818</v>
      </c>
      <c r="D2965" s="87">
        <v>432</v>
      </c>
      <c r="E2965" s="35">
        <v>44679</v>
      </c>
      <c r="F2965" s="87">
        <v>432</v>
      </c>
      <c r="G2965" s="91">
        <f>Tabla15[[#This Row],[Importe]]-Tabla15[[#This Row],[Pagado]]</f>
        <v>0</v>
      </c>
      <c r="H2965" s="92" t="s">
        <v>10</v>
      </c>
    </row>
    <row r="2966" spans="1:8" ht="21.75" customHeight="1" x14ac:dyDescent="0.25">
      <c r="A2966" s="35">
        <v>44678</v>
      </c>
      <c r="B2966" s="90" t="s">
        <v>13654</v>
      </c>
      <c r="C2966" s="41" t="s">
        <v>612</v>
      </c>
      <c r="D2966" s="87">
        <v>990</v>
      </c>
      <c r="E2966" s="35">
        <v>44679</v>
      </c>
      <c r="F2966" s="87">
        <v>990</v>
      </c>
      <c r="G2966" s="91">
        <f>Tabla15[[#This Row],[Importe]]-Tabla15[[#This Row],[Pagado]]</f>
        <v>0</v>
      </c>
      <c r="H2966" s="92" t="s">
        <v>10</v>
      </c>
    </row>
    <row r="2967" spans="1:8" ht="21.75" customHeight="1" x14ac:dyDescent="0.25">
      <c r="A2967" s="35">
        <v>44679</v>
      </c>
      <c r="B2967" s="90" t="s">
        <v>13655</v>
      </c>
      <c r="C2967" s="41" t="s">
        <v>20</v>
      </c>
      <c r="D2967" s="87">
        <v>1782</v>
      </c>
      <c r="E2967" s="35">
        <v>44679</v>
      </c>
      <c r="F2967" s="87">
        <v>1782</v>
      </c>
      <c r="G2967" s="91">
        <f>Tabla15[[#This Row],[Importe]]-Tabla15[[#This Row],[Pagado]]</f>
        <v>0</v>
      </c>
      <c r="H2967" s="92" t="s">
        <v>10</v>
      </c>
    </row>
    <row r="2968" spans="1:8" ht="21.75" customHeight="1" x14ac:dyDescent="0.25">
      <c r="A2968" s="35">
        <v>44679</v>
      </c>
      <c r="B2968" s="90" t="s">
        <v>13656</v>
      </c>
      <c r="C2968" s="41" t="s">
        <v>85</v>
      </c>
      <c r="D2968" s="87">
        <v>2677.9</v>
      </c>
      <c r="E2968" s="35">
        <v>44679</v>
      </c>
      <c r="F2968" s="87">
        <v>2677.9</v>
      </c>
      <c r="G2968" s="91">
        <f>Tabla15[[#This Row],[Importe]]-Tabla15[[#This Row],[Pagado]]</f>
        <v>0</v>
      </c>
      <c r="H2968" s="92" t="s">
        <v>10</v>
      </c>
    </row>
    <row r="2969" spans="1:8" ht="21.75" customHeight="1" x14ac:dyDescent="0.25">
      <c r="A2969" s="35">
        <v>44679</v>
      </c>
      <c r="B2969" s="90" t="s">
        <v>13657</v>
      </c>
      <c r="C2969" s="41" t="s">
        <v>475</v>
      </c>
      <c r="D2969" s="87">
        <v>42320.5</v>
      </c>
      <c r="E2969" s="35">
        <v>44680</v>
      </c>
      <c r="F2969" s="87">
        <v>42320.5</v>
      </c>
      <c r="G2969" s="91">
        <f>Tabla15[[#This Row],[Importe]]-Tabla15[[#This Row],[Pagado]]</f>
        <v>0</v>
      </c>
      <c r="H2969" s="92" t="s">
        <v>10</v>
      </c>
    </row>
    <row r="2970" spans="1:8" ht="21.75" customHeight="1" x14ac:dyDescent="0.25">
      <c r="A2970" s="35">
        <v>44679</v>
      </c>
      <c r="B2970" s="90" t="s">
        <v>13658</v>
      </c>
      <c r="C2970" s="41" t="s">
        <v>481</v>
      </c>
      <c r="D2970" s="87">
        <v>1798.4</v>
      </c>
      <c r="E2970" s="35">
        <v>44679</v>
      </c>
      <c r="F2970" s="87">
        <v>1798.4</v>
      </c>
      <c r="G2970" s="91">
        <f>Tabla15[[#This Row],[Importe]]-Tabla15[[#This Row],[Pagado]]</f>
        <v>0</v>
      </c>
      <c r="H2970" s="92" t="s">
        <v>10</v>
      </c>
    </row>
    <row r="2971" spans="1:8" ht="21.75" customHeight="1" x14ac:dyDescent="0.25">
      <c r="A2971" s="35">
        <v>44679</v>
      </c>
      <c r="B2971" s="90" t="s">
        <v>13659</v>
      </c>
      <c r="C2971" s="41" t="s">
        <v>473</v>
      </c>
      <c r="D2971" s="87">
        <v>2539.1999999999998</v>
      </c>
      <c r="E2971" s="35">
        <v>44679</v>
      </c>
      <c r="F2971" s="87">
        <v>2539.1999999999998</v>
      </c>
      <c r="G2971" s="91">
        <f>Tabla15[[#This Row],[Importe]]-Tabla15[[#This Row],[Pagado]]</f>
        <v>0</v>
      </c>
      <c r="H2971" s="92" t="s">
        <v>10</v>
      </c>
    </row>
    <row r="2972" spans="1:8" ht="21.75" customHeight="1" x14ac:dyDescent="0.25">
      <c r="A2972" s="35">
        <v>44679</v>
      </c>
      <c r="B2972" s="90" t="s">
        <v>13660</v>
      </c>
      <c r="C2972" s="41" t="s">
        <v>75</v>
      </c>
      <c r="D2972" s="87">
        <v>4257.8</v>
      </c>
      <c r="E2972" s="35">
        <v>44679</v>
      </c>
      <c r="F2972" s="87">
        <v>4257.8</v>
      </c>
      <c r="G2972" s="91">
        <f>Tabla15[[#This Row],[Importe]]-Tabla15[[#This Row],[Pagado]]</f>
        <v>0</v>
      </c>
      <c r="H2972" s="92" t="s">
        <v>10</v>
      </c>
    </row>
    <row r="2973" spans="1:8" ht="21.75" customHeight="1" x14ac:dyDescent="0.25">
      <c r="A2973" s="35">
        <v>44679</v>
      </c>
      <c r="B2973" s="90" t="s">
        <v>13661</v>
      </c>
      <c r="C2973" s="41" t="s">
        <v>31</v>
      </c>
      <c r="D2973" s="87">
        <v>2142.8000000000002</v>
      </c>
      <c r="E2973" s="35">
        <v>44679</v>
      </c>
      <c r="F2973" s="87">
        <v>2142.8000000000002</v>
      </c>
      <c r="G2973" s="91">
        <f>Tabla15[[#This Row],[Importe]]-Tabla15[[#This Row],[Pagado]]</f>
        <v>0</v>
      </c>
      <c r="H2973" s="92" t="s">
        <v>10</v>
      </c>
    </row>
    <row r="2974" spans="1:8" ht="21.75" customHeight="1" x14ac:dyDescent="0.25">
      <c r="A2974" s="35">
        <v>44679</v>
      </c>
      <c r="B2974" s="90" t="s">
        <v>13662</v>
      </c>
      <c r="C2974" s="41" t="s">
        <v>20</v>
      </c>
      <c r="D2974" s="87">
        <v>1783.6</v>
      </c>
      <c r="E2974" s="35">
        <v>44679</v>
      </c>
      <c r="F2974" s="87">
        <v>1783.6</v>
      </c>
      <c r="G2974" s="91">
        <f>Tabla15[[#This Row],[Importe]]-Tabla15[[#This Row],[Pagado]]</f>
        <v>0</v>
      </c>
      <c r="H2974" s="92" t="s">
        <v>10</v>
      </c>
    </row>
    <row r="2975" spans="1:8" ht="21.75" customHeight="1" x14ac:dyDescent="0.25">
      <c r="A2975" s="35">
        <v>44679</v>
      </c>
      <c r="B2975" s="90" t="s">
        <v>13663</v>
      </c>
      <c r="C2975" s="41" t="s">
        <v>95</v>
      </c>
      <c r="D2975" s="87">
        <v>1680</v>
      </c>
      <c r="E2975" s="35">
        <v>44679</v>
      </c>
      <c r="F2975" s="87">
        <v>1680</v>
      </c>
      <c r="G2975" s="91">
        <f>Tabla15[[#This Row],[Importe]]-Tabla15[[#This Row],[Pagado]]</f>
        <v>0</v>
      </c>
      <c r="H2975" s="92" t="s">
        <v>10</v>
      </c>
    </row>
    <row r="2976" spans="1:8" ht="21.75" customHeight="1" x14ac:dyDescent="0.25">
      <c r="A2976" s="35">
        <v>44679</v>
      </c>
      <c r="B2976" s="90" t="s">
        <v>13664</v>
      </c>
      <c r="C2976" s="41" t="s">
        <v>95</v>
      </c>
      <c r="D2976" s="87">
        <v>20650</v>
      </c>
      <c r="E2976" s="35">
        <v>44679</v>
      </c>
      <c r="F2976" s="87">
        <v>20650</v>
      </c>
      <c r="G2976" s="91">
        <f>Tabla15[[#This Row],[Importe]]-Tabla15[[#This Row],[Pagado]]</f>
        <v>0</v>
      </c>
      <c r="H2976" s="92" t="s">
        <v>10</v>
      </c>
    </row>
    <row r="2977" spans="1:8" ht="31.5" x14ac:dyDescent="0.25">
      <c r="A2977" s="35">
        <v>44679</v>
      </c>
      <c r="B2977" s="90" t="s">
        <v>13665</v>
      </c>
      <c r="C2977" s="41" t="s">
        <v>22</v>
      </c>
      <c r="D2977" s="87">
        <v>49126</v>
      </c>
      <c r="E2977" s="35" t="s">
        <v>13666</v>
      </c>
      <c r="F2977" s="87">
        <f>42000+7126</f>
        <v>49126</v>
      </c>
      <c r="G2977" s="91">
        <f>Tabla15[[#This Row],[Importe]]-Tabla15[[#This Row],[Pagado]]</f>
        <v>0</v>
      </c>
      <c r="H2977" s="92" t="s">
        <v>10</v>
      </c>
    </row>
    <row r="2978" spans="1:8" ht="21.75" customHeight="1" x14ac:dyDescent="0.25">
      <c r="A2978" s="35">
        <v>44679</v>
      </c>
      <c r="B2978" s="90" t="s">
        <v>13667</v>
      </c>
      <c r="C2978" s="41" t="s">
        <v>9</v>
      </c>
      <c r="D2978" s="87">
        <v>6250.6</v>
      </c>
      <c r="E2978" s="35">
        <v>44679</v>
      </c>
      <c r="F2978" s="87">
        <v>6250.6</v>
      </c>
      <c r="G2978" s="91">
        <f>Tabla15[[#This Row],[Importe]]-Tabla15[[#This Row],[Pagado]]</f>
        <v>0</v>
      </c>
      <c r="H2978" s="92" t="s">
        <v>10</v>
      </c>
    </row>
    <row r="2979" spans="1:8" ht="21.75" customHeight="1" x14ac:dyDescent="0.25">
      <c r="A2979" s="35">
        <v>44679</v>
      </c>
      <c r="B2979" s="90" t="s">
        <v>13668</v>
      </c>
      <c r="C2979" s="41" t="s">
        <v>131</v>
      </c>
      <c r="D2979" s="87">
        <v>17232</v>
      </c>
      <c r="E2979" s="35">
        <v>44679</v>
      </c>
      <c r="F2979" s="87">
        <v>17232</v>
      </c>
      <c r="G2979" s="91">
        <f>Tabla15[[#This Row],[Importe]]-Tabla15[[#This Row],[Pagado]]</f>
        <v>0</v>
      </c>
      <c r="H2979" s="92" t="s">
        <v>10</v>
      </c>
    </row>
    <row r="2980" spans="1:8" ht="21.75" customHeight="1" x14ac:dyDescent="0.25">
      <c r="A2980" s="35">
        <v>44679</v>
      </c>
      <c r="B2980" s="90" t="s">
        <v>13669</v>
      </c>
      <c r="C2980" s="41" t="s">
        <v>618</v>
      </c>
      <c r="D2980" s="87">
        <v>9506.4</v>
      </c>
      <c r="E2980" s="35">
        <v>44679</v>
      </c>
      <c r="F2980" s="87">
        <v>9506.4</v>
      </c>
      <c r="G2980" s="91">
        <f>Tabla15[[#This Row],[Importe]]-Tabla15[[#This Row],[Pagado]]</f>
        <v>0</v>
      </c>
      <c r="H2980" s="92" t="s">
        <v>10</v>
      </c>
    </row>
    <row r="2981" spans="1:8" ht="21.75" customHeight="1" x14ac:dyDescent="0.25">
      <c r="A2981" s="35">
        <v>44679</v>
      </c>
      <c r="B2981" s="90" t="s">
        <v>13670</v>
      </c>
      <c r="C2981" s="41" t="s">
        <v>27</v>
      </c>
      <c r="D2981" s="87">
        <v>2260</v>
      </c>
      <c r="E2981" s="35">
        <v>44679</v>
      </c>
      <c r="F2981" s="87">
        <v>2260</v>
      </c>
      <c r="G2981" s="91">
        <f>Tabla15[[#This Row],[Importe]]-Tabla15[[#This Row],[Pagado]]</f>
        <v>0</v>
      </c>
      <c r="H2981" s="92" t="s">
        <v>10</v>
      </c>
    </row>
    <row r="2982" spans="1:8" ht="21.75" customHeight="1" x14ac:dyDescent="0.25">
      <c r="A2982" s="35">
        <v>44679</v>
      </c>
      <c r="B2982" s="90" t="s">
        <v>13671</v>
      </c>
      <c r="C2982" s="41" t="s">
        <v>9415</v>
      </c>
      <c r="D2982" s="87">
        <v>4719</v>
      </c>
      <c r="E2982" s="35">
        <v>44679</v>
      </c>
      <c r="F2982" s="87">
        <v>4719</v>
      </c>
      <c r="G2982" s="91">
        <f>Tabla15[[#This Row],[Importe]]-Tabla15[[#This Row],[Pagado]]</f>
        <v>0</v>
      </c>
      <c r="H2982" s="92" t="s">
        <v>10</v>
      </c>
    </row>
    <row r="2983" spans="1:8" ht="21.75" customHeight="1" x14ac:dyDescent="0.25">
      <c r="A2983" s="35">
        <v>44679</v>
      </c>
      <c r="B2983" s="90" t="s">
        <v>13672</v>
      </c>
      <c r="C2983" s="41" t="s">
        <v>49</v>
      </c>
      <c r="D2983" s="87">
        <v>4947.8</v>
      </c>
      <c r="E2983" s="35">
        <v>44679</v>
      </c>
      <c r="F2983" s="87">
        <v>4947.8</v>
      </c>
      <c r="G2983" s="91">
        <f>Tabla15[[#This Row],[Importe]]-Tabla15[[#This Row],[Pagado]]</f>
        <v>0</v>
      </c>
      <c r="H2983" s="92" t="s">
        <v>10</v>
      </c>
    </row>
    <row r="2984" spans="1:8" ht="21.75" customHeight="1" x14ac:dyDescent="0.25">
      <c r="A2984" s="35">
        <v>44679</v>
      </c>
      <c r="B2984" s="90" t="s">
        <v>13673</v>
      </c>
      <c r="C2984" s="41" t="s">
        <v>196</v>
      </c>
      <c r="D2984" s="87">
        <v>94122.1</v>
      </c>
      <c r="E2984" s="35">
        <v>44681</v>
      </c>
      <c r="F2984" s="87">
        <v>94122.1</v>
      </c>
      <c r="G2984" s="91">
        <f>Tabla15[[#This Row],[Importe]]-Tabla15[[#This Row],[Pagado]]</f>
        <v>0</v>
      </c>
      <c r="H2984" s="92" t="s">
        <v>10</v>
      </c>
    </row>
    <row r="2985" spans="1:8" ht="21.75" customHeight="1" x14ac:dyDescent="0.25">
      <c r="A2985" s="35">
        <v>44679</v>
      </c>
      <c r="B2985" s="90" t="s">
        <v>13674</v>
      </c>
      <c r="C2985" s="41" t="s">
        <v>12</v>
      </c>
      <c r="D2985" s="87">
        <v>35501.300000000003</v>
      </c>
      <c r="E2985" s="35">
        <v>44679</v>
      </c>
      <c r="F2985" s="87">
        <v>35501.300000000003</v>
      </c>
      <c r="G2985" s="91">
        <f>Tabla15[[#This Row],[Importe]]-Tabla15[[#This Row],[Pagado]]</f>
        <v>0</v>
      </c>
      <c r="H2985" s="92" t="s">
        <v>10</v>
      </c>
    </row>
    <row r="2986" spans="1:8" ht="21.75" customHeight="1" x14ac:dyDescent="0.25">
      <c r="A2986" s="35">
        <v>44679</v>
      </c>
      <c r="B2986" s="90" t="s">
        <v>13675</v>
      </c>
      <c r="C2986" s="41" t="s">
        <v>196</v>
      </c>
      <c r="D2986" s="87">
        <v>3672</v>
      </c>
      <c r="E2986" s="35">
        <v>44681</v>
      </c>
      <c r="F2986" s="87">
        <v>3672</v>
      </c>
      <c r="G2986" s="91">
        <f>Tabla15[[#This Row],[Importe]]-Tabla15[[#This Row],[Pagado]]</f>
        <v>0</v>
      </c>
      <c r="H2986" s="92" t="s">
        <v>10</v>
      </c>
    </row>
    <row r="2987" spans="1:8" ht="21.75" customHeight="1" x14ac:dyDescent="0.25">
      <c r="A2987" s="35">
        <v>44679</v>
      </c>
      <c r="B2987" s="90" t="s">
        <v>13676</v>
      </c>
      <c r="C2987" s="41" t="s">
        <v>89</v>
      </c>
      <c r="D2987" s="87">
        <v>9950.4</v>
      </c>
      <c r="E2987" s="35">
        <v>44680</v>
      </c>
      <c r="F2987" s="87">
        <v>9950.4</v>
      </c>
      <c r="G2987" s="91">
        <f>Tabla15[[#This Row],[Importe]]-Tabla15[[#This Row],[Pagado]]</f>
        <v>0</v>
      </c>
      <c r="H2987" s="92" t="s">
        <v>10</v>
      </c>
    </row>
    <row r="2988" spans="1:8" ht="21.75" customHeight="1" x14ac:dyDescent="0.25">
      <c r="A2988" s="35">
        <v>44679</v>
      </c>
      <c r="B2988" s="90" t="s">
        <v>13677</v>
      </c>
      <c r="C2988" s="41" t="s">
        <v>114</v>
      </c>
      <c r="D2988" s="87">
        <v>4523.7</v>
      </c>
      <c r="E2988" s="35">
        <v>44680</v>
      </c>
      <c r="F2988" s="87">
        <v>4523.7</v>
      </c>
      <c r="G2988" s="91">
        <f>Tabla15[[#This Row],[Importe]]-Tabla15[[#This Row],[Pagado]]</f>
        <v>0</v>
      </c>
      <c r="H2988" s="92" t="s">
        <v>10</v>
      </c>
    </row>
    <row r="2989" spans="1:8" ht="21.75" customHeight="1" x14ac:dyDescent="0.25">
      <c r="A2989" s="35">
        <v>44679</v>
      </c>
      <c r="B2989" s="90" t="s">
        <v>13678</v>
      </c>
      <c r="C2989" s="41" t="s">
        <v>111</v>
      </c>
      <c r="D2989" s="87">
        <v>4355.3999999999996</v>
      </c>
      <c r="E2989" s="35">
        <v>44680</v>
      </c>
      <c r="F2989" s="87">
        <v>4355.3999999999996</v>
      </c>
      <c r="G2989" s="91">
        <f>Tabla15[[#This Row],[Importe]]-Tabla15[[#This Row],[Pagado]]</f>
        <v>0</v>
      </c>
      <c r="H2989" s="92" t="s">
        <v>10</v>
      </c>
    </row>
    <row r="2990" spans="1:8" ht="21.75" customHeight="1" x14ac:dyDescent="0.25">
      <c r="A2990" s="35">
        <v>44679</v>
      </c>
      <c r="B2990" s="90" t="s">
        <v>13679</v>
      </c>
      <c r="C2990" s="41" t="s">
        <v>109</v>
      </c>
      <c r="D2990" s="87">
        <v>4202.3999999999996</v>
      </c>
      <c r="E2990" s="35">
        <v>44680</v>
      </c>
      <c r="F2990" s="87">
        <v>4202.3999999999996</v>
      </c>
      <c r="G2990" s="91">
        <f>Tabla15[[#This Row],[Importe]]-Tabla15[[#This Row],[Pagado]]</f>
        <v>0</v>
      </c>
      <c r="H2990" s="92" t="s">
        <v>10</v>
      </c>
    </row>
    <row r="2991" spans="1:8" ht="21.75" customHeight="1" x14ac:dyDescent="0.25">
      <c r="A2991" s="35">
        <v>44679</v>
      </c>
      <c r="B2991" s="90" t="s">
        <v>13680</v>
      </c>
      <c r="C2991" s="41" t="s">
        <v>2563</v>
      </c>
      <c r="D2991" s="87">
        <v>9345.6</v>
      </c>
      <c r="E2991" s="35">
        <v>44679</v>
      </c>
      <c r="F2991" s="87">
        <v>9345.6</v>
      </c>
      <c r="G2991" s="91">
        <f>Tabla15[[#This Row],[Importe]]-Tabla15[[#This Row],[Pagado]]</f>
        <v>0</v>
      </c>
      <c r="H2991" s="92" t="s">
        <v>10</v>
      </c>
    </row>
    <row r="2992" spans="1:8" ht="21.75" customHeight="1" x14ac:dyDescent="0.25">
      <c r="A2992" s="35">
        <v>44679</v>
      </c>
      <c r="B2992" s="90" t="s">
        <v>13681</v>
      </c>
      <c r="C2992" s="41" t="s">
        <v>2151</v>
      </c>
      <c r="D2992" s="87">
        <v>12028.5</v>
      </c>
      <c r="E2992" s="35">
        <v>44679</v>
      </c>
      <c r="F2992" s="87">
        <v>12028.5</v>
      </c>
      <c r="G2992" s="91">
        <f>Tabla15[[#This Row],[Importe]]-Tabla15[[#This Row],[Pagado]]</f>
        <v>0</v>
      </c>
      <c r="H2992" s="92" t="s">
        <v>10</v>
      </c>
    </row>
    <row r="2993" spans="1:8" ht="31.5" x14ac:dyDescent="0.25">
      <c r="A2993" s="35">
        <v>44679</v>
      </c>
      <c r="B2993" s="90" t="s">
        <v>13682</v>
      </c>
      <c r="C2993" s="41" t="s">
        <v>99</v>
      </c>
      <c r="D2993" s="87">
        <v>6499.5</v>
      </c>
      <c r="E2993" s="35" t="s">
        <v>13666</v>
      </c>
      <c r="F2993" s="87">
        <f>2900+3599.5</f>
        <v>6499.5</v>
      </c>
      <c r="G2993" s="91">
        <f>Tabla15[[#This Row],[Importe]]-Tabla15[[#This Row],[Pagado]]</f>
        <v>0</v>
      </c>
      <c r="H2993" s="92" t="s">
        <v>10</v>
      </c>
    </row>
    <row r="2994" spans="1:8" ht="21.75" customHeight="1" x14ac:dyDescent="0.25">
      <c r="A2994" s="35">
        <v>44679</v>
      </c>
      <c r="B2994" s="90" t="s">
        <v>13683</v>
      </c>
      <c r="C2994" s="41" t="s">
        <v>97</v>
      </c>
      <c r="D2994" s="87">
        <v>2065.5</v>
      </c>
      <c r="E2994" s="35">
        <v>44680</v>
      </c>
      <c r="F2994" s="87">
        <v>2065.5</v>
      </c>
      <c r="G2994" s="91">
        <f>Tabla15[[#This Row],[Importe]]-Tabla15[[#This Row],[Pagado]]</f>
        <v>0</v>
      </c>
      <c r="H2994" s="92" t="s">
        <v>10</v>
      </c>
    </row>
    <row r="2995" spans="1:8" ht="21.75" customHeight="1" x14ac:dyDescent="0.25">
      <c r="A2995" s="35">
        <v>44679</v>
      </c>
      <c r="B2995" s="90" t="s">
        <v>13684</v>
      </c>
      <c r="C2995" s="41" t="s">
        <v>64</v>
      </c>
      <c r="D2995" s="87">
        <v>4291.3999999999996</v>
      </c>
      <c r="E2995" s="35">
        <v>44680</v>
      </c>
      <c r="F2995" s="87">
        <v>4291.3999999999996</v>
      </c>
      <c r="G2995" s="91">
        <f>Tabla15[[#This Row],[Importe]]-Tabla15[[#This Row],[Pagado]]</f>
        <v>0</v>
      </c>
      <c r="H2995" s="92" t="s">
        <v>10</v>
      </c>
    </row>
    <row r="2996" spans="1:8" ht="21.75" customHeight="1" x14ac:dyDescent="0.25">
      <c r="A2996" s="35">
        <v>44679</v>
      </c>
      <c r="B2996" s="90" t="s">
        <v>13685</v>
      </c>
      <c r="C2996" s="41" t="s">
        <v>39</v>
      </c>
      <c r="D2996" s="87">
        <v>17577.2</v>
      </c>
      <c r="E2996" s="35">
        <v>44682</v>
      </c>
      <c r="F2996" s="87">
        <v>17577.2</v>
      </c>
      <c r="G2996" s="91">
        <f>Tabla15[[#This Row],[Importe]]-Tabla15[[#This Row],[Pagado]]</f>
        <v>0</v>
      </c>
      <c r="H2996" s="92" t="s">
        <v>10</v>
      </c>
    </row>
    <row r="2997" spans="1:8" ht="21.75" customHeight="1" x14ac:dyDescent="0.25">
      <c r="A2997" s="35">
        <v>44679</v>
      </c>
      <c r="B2997" s="90" t="s">
        <v>13686</v>
      </c>
      <c r="C2997" s="41" t="s">
        <v>93</v>
      </c>
      <c r="D2997" s="87">
        <v>6440.7</v>
      </c>
      <c r="E2997" s="35">
        <v>44681</v>
      </c>
      <c r="F2997" s="87">
        <v>6440.7</v>
      </c>
      <c r="G2997" s="91">
        <f>Tabla15[[#This Row],[Importe]]-Tabla15[[#This Row],[Pagado]]</f>
        <v>0</v>
      </c>
      <c r="H2997" s="92" t="s">
        <v>10</v>
      </c>
    </row>
    <row r="2998" spans="1:8" ht="21.75" customHeight="1" x14ac:dyDescent="0.25">
      <c r="A2998" s="35">
        <v>44679</v>
      </c>
      <c r="B2998" s="90" t="s">
        <v>13687</v>
      </c>
      <c r="C2998" s="41" t="s">
        <v>142</v>
      </c>
      <c r="D2998" s="87">
        <v>35193.4</v>
      </c>
      <c r="E2998" s="35">
        <v>44722</v>
      </c>
      <c r="F2998" s="87">
        <v>35193.4</v>
      </c>
      <c r="G2998" s="91">
        <f>Tabla15[[#This Row],[Importe]]-Tabla15[[#This Row],[Pagado]]</f>
        <v>0</v>
      </c>
      <c r="H2998" s="92" t="s">
        <v>10</v>
      </c>
    </row>
    <row r="2999" spans="1:8" ht="21.75" customHeight="1" x14ac:dyDescent="0.25">
      <c r="A2999" s="35">
        <v>44679</v>
      </c>
      <c r="B2999" s="90" t="s">
        <v>13688</v>
      </c>
      <c r="C2999" s="41" t="s">
        <v>35</v>
      </c>
      <c r="D2999" s="87">
        <v>3494.4</v>
      </c>
      <c r="E2999" s="35">
        <v>44679</v>
      </c>
      <c r="F2999" s="87">
        <v>3494.4</v>
      </c>
      <c r="G2999" s="91">
        <f>Tabla15[[#This Row],[Importe]]-Tabla15[[#This Row],[Pagado]]</f>
        <v>0</v>
      </c>
      <c r="H2999" s="92" t="s">
        <v>10</v>
      </c>
    </row>
    <row r="3000" spans="1:8" ht="21.75" customHeight="1" x14ac:dyDescent="0.25">
      <c r="A3000" s="35">
        <v>44679</v>
      </c>
      <c r="B3000" s="90" t="s">
        <v>13689</v>
      </c>
      <c r="C3000" s="41" t="s">
        <v>135</v>
      </c>
      <c r="D3000" s="87">
        <v>1023</v>
      </c>
      <c r="E3000" s="35">
        <v>44679</v>
      </c>
      <c r="F3000" s="87">
        <v>1023</v>
      </c>
      <c r="G3000" s="91">
        <f>Tabla15[[#This Row],[Importe]]-Tabla15[[#This Row],[Pagado]]</f>
        <v>0</v>
      </c>
      <c r="H3000" s="92" t="s">
        <v>10</v>
      </c>
    </row>
    <row r="3001" spans="1:8" ht="21.75" customHeight="1" x14ac:dyDescent="0.25">
      <c r="A3001" s="35">
        <v>44679</v>
      </c>
      <c r="B3001" s="90" t="s">
        <v>13690</v>
      </c>
      <c r="C3001" s="41" t="s">
        <v>13691</v>
      </c>
      <c r="D3001" s="87">
        <v>0</v>
      </c>
      <c r="E3001" s="39" t="s">
        <v>189</v>
      </c>
      <c r="F3001" s="87">
        <v>0</v>
      </c>
      <c r="G3001" s="91">
        <f>Tabla15[[#This Row],[Importe]]-Tabla15[[#This Row],[Pagado]]</f>
        <v>0</v>
      </c>
      <c r="H3001" s="94" t="s">
        <v>13692</v>
      </c>
    </row>
    <row r="3002" spans="1:8" ht="21.75" customHeight="1" x14ac:dyDescent="0.25">
      <c r="A3002" s="35">
        <v>44679</v>
      </c>
      <c r="B3002" s="90" t="s">
        <v>13693</v>
      </c>
      <c r="C3002" s="41" t="s">
        <v>53</v>
      </c>
      <c r="D3002" s="87">
        <v>1881.2</v>
      </c>
      <c r="E3002" s="35">
        <v>44679</v>
      </c>
      <c r="F3002" s="87">
        <v>1881.2</v>
      </c>
      <c r="G3002" s="91">
        <f>Tabla15[[#This Row],[Importe]]-Tabla15[[#This Row],[Pagado]]</f>
        <v>0</v>
      </c>
      <c r="H3002" s="92" t="s">
        <v>10</v>
      </c>
    </row>
    <row r="3003" spans="1:8" ht="21.75" customHeight="1" x14ac:dyDescent="0.25">
      <c r="A3003" s="35">
        <v>44679</v>
      </c>
      <c r="B3003" s="90" t="s">
        <v>13694</v>
      </c>
      <c r="C3003" s="41" t="s">
        <v>312</v>
      </c>
      <c r="D3003" s="87">
        <v>5430.4</v>
      </c>
      <c r="E3003" s="35">
        <v>44679</v>
      </c>
      <c r="F3003" s="87">
        <v>5430.4</v>
      </c>
      <c r="G3003" s="91">
        <f>Tabla15[[#This Row],[Importe]]-Tabla15[[#This Row],[Pagado]]</f>
        <v>0</v>
      </c>
      <c r="H3003" s="92" t="s">
        <v>10</v>
      </c>
    </row>
    <row r="3004" spans="1:8" ht="21.75" customHeight="1" x14ac:dyDescent="0.25">
      <c r="A3004" s="35">
        <v>44679</v>
      </c>
      <c r="B3004" s="90" t="s">
        <v>13695</v>
      </c>
      <c r="C3004" s="41" t="s">
        <v>56</v>
      </c>
      <c r="D3004" s="87">
        <v>3534.3</v>
      </c>
      <c r="E3004" s="35">
        <v>44679</v>
      </c>
      <c r="F3004" s="87">
        <v>3534.3</v>
      </c>
      <c r="G3004" s="91">
        <f>Tabla15[[#This Row],[Importe]]-Tabla15[[#This Row],[Pagado]]</f>
        <v>0</v>
      </c>
      <c r="H3004" s="92" t="s">
        <v>10</v>
      </c>
    </row>
    <row r="3005" spans="1:8" ht="21.75" customHeight="1" x14ac:dyDescent="0.25">
      <c r="A3005" s="35">
        <v>44679</v>
      </c>
      <c r="B3005" s="90" t="s">
        <v>13696</v>
      </c>
      <c r="C3005" s="41" t="s">
        <v>13697</v>
      </c>
      <c r="D3005" s="87">
        <v>0</v>
      </c>
      <c r="E3005" s="39" t="s">
        <v>189</v>
      </c>
      <c r="F3005" s="87">
        <v>0</v>
      </c>
      <c r="G3005" s="91">
        <f>Tabla15[[#This Row],[Importe]]-Tabla15[[#This Row],[Pagado]]</f>
        <v>0</v>
      </c>
      <c r="H3005" s="92" t="s">
        <v>189</v>
      </c>
    </row>
    <row r="3006" spans="1:8" ht="21.75" customHeight="1" x14ac:dyDescent="0.25">
      <c r="A3006" s="35">
        <v>44679</v>
      </c>
      <c r="B3006" s="90" t="s">
        <v>13698</v>
      </c>
      <c r="C3006" s="41" t="s">
        <v>647</v>
      </c>
      <c r="D3006" s="87">
        <v>1402</v>
      </c>
      <c r="E3006" s="35">
        <v>44679</v>
      </c>
      <c r="F3006" s="87">
        <v>1402</v>
      </c>
      <c r="G3006" s="91">
        <f>Tabla15[[#This Row],[Importe]]-Tabla15[[#This Row],[Pagado]]</f>
        <v>0</v>
      </c>
      <c r="H3006" s="92" t="s">
        <v>10</v>
      </c>
    </row>
    <row r="3007" spans="1:8" ht="21.75" customHeight="1" x14ac:dyDescent="0.25">
      <c r="A3007" s="35">
        <v>44679</v>
      </c>
      <c r="B3007" s="90" t="s">
        <v>13699</v>
      </c>
      <c r="C3007" s="41" t="s">
        <v>161</v>
      </c>
      <c r="D3007" s="87">
        <v>3965</v>
      </c>
      <c r="E3007" s="35">
        <v>44679</v>
      </c>
      <c r="F3007" s="87">
        <v>3965</v>
      </c>
      <c r="G3007" s="91">
        <f>Tabla15[[#This Row],[Importe]]-Tabla15[[#This Row],[Pagado]]</f>
        <v>0</v>
      </c>
      <c r="H3007" s="92" t="s">
        <v>10</v>
      </c>
    </row>
    <row r="3008" spans="1:8" ht="21.75" customHeight="1" x14ac:dyDescent="0.25">
      <c r="A3008" s="35">
        <v>44679</v>
      </c>
      <c r="B3008" s="90" t="s">
        <v>13700</v>
      </c>
      <c r="C3008" s="41" t="s">
        <v>16</v>
      </c>
      <c r="D3008" s="87">
        <v>1699</v>
      </c>
      <c r="E3008" s="35">
        <v>44679</v>
      </c>
      <c r="F3008" s="87">
        <v>1699</v>
      </c>
      <c r="G3008" s="91">
        <f>Tabla15[[#This Row],[Importe]]-Tabla15[[#This Row],[Pagado]]</f>
        <v>0</v>
      </c>
      <c r="H3008" s="92" t="s">
        <v>10</v>
      </c>
    </row>
    <row r="3009" spans="1:8" ht="21.75" customHeight="1" x14ac:dyDescent="0.25">
      <c r="A3009" s="35">
        <v>44679</v>
      </c>
      <c r="B3009" s="90" t="s">
        <v>13701</v>
      </c>
      <c r="C3009" s="41" t="s">
        <v>226</v>
      </c>
      <c r="D3009" s="87">
        <v>2397.3000000000002</v>
      </c>
      <c r="E3009" s="35">
        <v>44679</v>
      </c>
      <c r="F3009" s="87">
        <v>2397.3000000000002</v>
      </c>
      <c r="G3009" s="91">
        <f>Tabla15[[#This Row],[Importe]]-Tabla15[[#This Row],[Pagado]]</f>
        <v>0</v>
      </c>
      <c r="H3009" s="92" t="s">
        <v>10</v>
      </c>
    </row>
    <row r="3010" spans="1:8" ht="21.75" customHeight="1" x14ac:dyDescent="0.25">
      <c r="A3010" s="35">
        <v>44679</v>
      </c>
      <c r="B3010" s="90" t="s">
        <v>13702</v>
      </c>
      <c r="C3010" s="41" t="s">
        <v>562</v>
      </c>
      <c r="D3010" s="87">
        <v>4994.6000000000004</v>
      </c>
      <c r="E3010" s="35">
        <v>44679</v>
      </c>
      <c r="F3010" s="87">
        <v>4994.6000000000004</v>
      </c>
      <c r="G3010" s="91">
        <f>Tabla15[[#This Row],[Importe]]-Tabla15[[#This Row],[Pagado]]</f>
        <v>0</v>
      </c>
      <c r="H3010" s="92" t="s">
        <v>10</v>
      </c>
    </row>
    <row r="3011" spans="1:8" ht="21.75" customHeight="1" x14ac:dyDescent="0.25">
      <c r="A3011" s="35">
        <v>44679</v>
      </c>
      <c r="B3011" s="90" t="s">
        <v>13703</v>
      </c>
      <c r="C3011" s="41" t="s">
        <v>29</v>
      </c>
      <c r="D3011" s="87">
        <v>8357</v>
      </c>
      <c r="E3011" s="35">
        <v>44679</v>
      </c>
      <c r="F3011" s="87">
        <v>8357</v>
      </c>
      <c r="G3011" s="91">
        <f>Tabla15[[#This Row],[Importe]]-Tabla15[[#This Row],[Pagado]]</f>
        <v>0</v>
      </c>
      <c r="H3011" s="92" t="s">
        <v>10</v>
      </c>
    </row>
    <row r="3012" spans="1:8" ht="21.75" customHeight="1" x14ac:dyDescent="0.25">
      <c r="A3012" s="35">
        <v>44679</v>
      </c>
      <c r="B3012" s="90" t="s">
        <v>13704</v>
      </c>
      <c r="C3012" s="41" t="s">
        <v>230</v>
      </c>
      <c r="D3012" s="87">
        <v>4437</v>
      </c>
      <c r="E3012" s="35">
        <v>44679</v>
      </c>
      <c r="F3012" s="87">
        <v>4437</v>
      </c>
      <c r="G3012" s="91">
        <f>Tabla15[[#This Row],[Importe]]-Tabla15[[#This Row],[Pagado]]</f>
        <v>0</v>
      </c>
      <c r="H3012" s="92" t="s">
        <v>10</v>
      </c>
    </row>
    <row r="3013" spans="1:8" ht="21.75" customHeight="1" x14ac:dyDescent="0.25">
      <c r="A3013" s="35">
        <v>44679</v>
      </c>
      <c r="B3013" s="90" t="s">
        <v>13705</v>
      </c>
      <c r="C3013" s="41" t="s">
        <v>45</v>
      </c>
      <c r="D3013" s="87">
        <v>15577.2</v>
      </c>
      <c r="E3013" s="35">
        <v>44679</v>
      </c>
      <c r="F3013" s="87">
        <v>15577.2</v>
      </c>
      <c r="G3013" s="91">
        <f>Tabla15[[#This Row],[Importe]]-Tabla15[[#This Row],[Pagado]]</f>
        <v>0</v>
      </c>
      <c r="H3013" s="92" t="s">
        <v>10</v>
      </c>
    </row>
    <row r="3014" spans="1:8" ht="21.75" customHeight="1" x14ac:dyDescent="0.25">
      <c r="A3014" s="35">
        <v>44679</v>
      </c>
      <c r="B3014" s="90" t="s">
        <v>13706</v>
      </c>
      <c r="C3014" s="41" t="s">
        <v>79</v>
      </c>
      <c r="D3014" s="87">
        <v>6429.4</v>
      </c>
      <c r="E3014" s="35">
        <v>44679</v>
      </c>
      <c r="F3014" s="87">
        <v>6429.4</v>
      </c>
      <c r="G3014" s="91">
        <f>Tabla15[[#This Row],[Importe]]-Tabla15[[#This Row],[Pagado]]</f>
        <v>0</v>
      </c>
      <c r="H3014" s="92" t="s">
        <v>10</v>
      </c>
    </row>
    <row r="3015" spans="1:8" ht="21.75" customHeight="1" x14ac:dyDescent="0.25">
      <c r="A3015" s="35">
        <v>44679</v>
      </c>
      <c r="B3015" s="90" t="s">
        <v>13707</v>
      </c>
      <c r="C3015" s="41" t="s">
        <v>151</v>
      </c>
      <c r="D3015" s="87">
        <v>11870.4</v>
      </c>
      <c r="E3015" s="35">
        <v>44679</v>
      </c>
      <c r="F3015" s="87">
        <v>11870.4</v>
      </c>
      <c r="G3015" s="91">
        <f>Tabla15[[#This Row],[Importe]]-Tabla15[[#This Row],[Pagado]]</f>
        <v>0</v>
      </c>
      <c r="H3015" s="92" t="s">
        <v>10</v>
      </c>
    </row>
    <row r="3016" spans="1:8" ht="21.75" customHeight="1" x14ac:dyDescent="0.25">
      <c r="A3016" s="35">
        <v>44679</v>
      </c>
      <c r="B3016" s="90" t="s">
        <v>13708</v>
      </c>
      <c r="C3016" s="41" t="s">
        <v>934</v>
      </c>
      <c r="D3016" s="87">
        <v>4145.84</v>
      </c>
      <c r="E3016" s="35">
        <v>44679</v>
      </c>
      <c r="F3016" s="87">
        <v>4145.84</v>
      </c>
      <c r="G3016" s="91">
        <f>Tabla15[[#This Row],[Importe]]-Tabla15[[#This Row],[Pagado]]</f>
        <v>0</v>
      </c>
      <c r="H3016" s="92" t="s">
        <v>10</v>
      </c>
    </row>
    <row r="3017" spans="1:8" ht="21.75" customHeight="1" x14ac:dyDescent="0.25">
      <c r="A3017" s="35">
        <v>44679</v>
      </c>
      <c r="B3017" s="90" t="s">
        <v>13709</v>
      </c>
      <c r="C3017" s="41" t="s">
        <v>159</v>
      </c>
      <c r="D3017" s="87">
        <v>1745.1</v>
      </c>
      <c r="E3017" s="35">
        <v>44679</v>
      </c>
      <c r="F3017" s="87">
        <v>1745.1</v>
      </c>
      <c r="G3017" s="91">
        <f>Tabla15[[#This Row],[Importe]]-Tabla15[[#This Row],[Pagado]]</f>
        <v>0</v>
      </c>
      <c r="H3017" s="92" t="s">
        <v>10</v>
      </c>
    </row>
    <row r="3018" spans="1:8" ht="21.75" customHeight="1" x14ac:dyDescent="0.25">
      <c r="A3018" s="35">
        <v>44679</v>
      </c>
      <c r="B3018" s="90" t="s">
        <v>13710</v>
      </c>
      <c r="C3018" s="41" t="s">
        <v>151</v>
      </c>
      <c r="D3018" s="87">
        <v>556.79999999999995</v>
      </c>
      <c r="E3018" s="35">
        <v>44679</v>
      </c>
      <c r="F3018" s="87">
        <v>556.79999999999995</v>
      </c>
      <c r="G3018" s="91">
        <f>Tabla15[[#This Row],[Importe]]-Tabla15[[#This Row],[Pagado]]</f>
        <v>0</v>
      </c>
      <c r="H3018" s="92" t="s">
        <v>10</v>
      </c>
    </row>
    <row r="3019" spans="1:8" ht="21.75" customHeight="1" x14ac:dyDescent="0.25">
      <c r="A3019" s="35">
        <v>44679</v>
      </c>
      <c r="B3019" s="90" t="s">
        <v>13711</v>
      </c>
      <c r="C3019" s="41" t="s">
        <v>157</v>
      </c>
      <c r="D3019" s="87">
        <v>4751.2</v>
      </c>
      <c r="E3019" s="35">
        <v>44679</v>
      </c>
      <c r="F3019" s="87">
        <v>4751.2</v>
      </c>
      <c r="G3019" s="91">
        <f>Tabla15[[#This Row],[Importe]]-Tabla15[[#This Row],[Pagado]]</f>
        <v>0</v>
      </c>
      <c r="H3019" s="92" t="s">
        <v>10</v>
      </c>
    </row>
    <row r="3020" spans="1:8" ht="21.75" customHeight="1" x14ac:dyDescent="0.25">
      <c r="A3020" s="35">
        <v>44679</v>
      </c>
      <c r="B3020" s="90" t="s">
        <v>13712</v>
      </c>
      <c r="C3020" s="41" t="s">
        <v>319</v>
      </c>
      <c r="D3020" s="87">
        <v>5659.7</v>
      </c>
      <c r="E3020" s="35">
        <v>44679</v>
      </c>
      <c r="F3020" s="87">
        <v>5659.7</v>
      </c>
      <c r="G3020" s="91">
        <f>Tabla15[[#This Row],[Importe]]-Tabla15[[#This Row],[Pagado]]</f>
        <v>0</v>
      </c>
      <c r="H3020" s="92" t="s">
        <v>10</v>
      </c>
    </row>
    <row r="3021" spans="1:8" ht="21.75" customHeight="1" x14ac:dyDescent="0.25">
      <c r="A3021" s="35">
        <v>44679</v>
      </c>
      <c r="B3021" s="90" t="s">
        <v>13713</v>
      </c>
      <c r="C3021" s="41" t="s">
        <v>8949</v>
      </c>
      <c r="D3021" s="87">
        <v>7954.4</v>
      </c>
      <c r="E3021" s="35">
        <v>44679</v>
      </c>
      <c r="F3021" s="87">
        <v>7954.4</v>
      </c>
      <c r="G3021" s="91">
        <f>Tabla15[[#This Row],[Importe]]-Tabla15[[#This Row],[Pagado]]</f>
        <v>0</v>
      </c>
      <c r="H3021" s="92" t="s">
        <v>10</v>
      </c>
    </row>
    <row r="3022" spans="1:8" ht="21.75" customHeight="1" x14ac:dyDescent="0.25">
      <c r="A3022" s="35">
        <v>44679</v>
      </c>
      <c r="B3022" s="90" t="s">
        <v>13714</v>
      </c>
      <c r="C3022" s="41" t="s">
        <v>31</v>
      </c>
      <c r="D3022" s="87">
        <v>1000.4</v>
      </c>
      <c r="E3022" s="35">
        <v>44679</v>
      </c>
      <c r="F3022" s="87">
        <v>1000.4</v>
      </c>
      <c r="G3022" s="91">
        <f>Tabla15[[#This Row],[Importe]]-Tabla15[[#This Row],[Pagado]]</f>
        <v>0</v>
      </c>
      <c r="H3022" s="92" t="s">
        <v>10</v>
      </c>
    </row>
    <row r="3023" spans="1:8" ht="21.75" customHeight="1" x14ac:dyDescent="0.25">
      <c r="A3023" s="35">
        <v>44679</v>
      </c>
      <c r="B3023" s="90" t="s">
        <v>13715</v>
      </c>
      <c r="C3023" s="41" t="s">
        <v>222</v>
      </c>
      <c r="D3023" s="87">
        <v>8610.7999999999993</v>
      </c>
      <c r="E3023" s="35">
        <v>44679</v>
      </c>
      <c r="F3023" s="87">
        <v>8610.7999999999993</v>
      </c>
      <c r="G3023" s="91">
        <f>Tabla15[[#This Row],[Importe]]-Tabla15[[#This Row],[Pagado]]</f>
        <v>0</v>
      </c>
      <c r="H3023" s="92" t="s">
        <v>10</v>
      </c>
    </row>
    <row r="3024" spans="1:8" ht="21.75" customHeight="1" x14ac:dyDescent="0.25">
      <c r="A3024" s="35">
        <v>44679</v>
      </c>
      <c r="B3024" s="90" t="s">
        <v>13716</v>
      </c>
      <c r="C3024" s="41" t="s">
        <v>380</v>
      </c>
      <c r="D3024" s="87">
        <v>12115.2</v>
      </c>
      <c r="E3024" s="35">
        <v>44679</v>
      </c>
      <c r="F3024" s="87">
        <v>12115.2</v>
      </c>
      <c r="G3024" s="91">
        <f>Tabla15[[#This Row],[Importe]]-Tabla15[[#This Row],[Pagado]]</f>
        <v>0</v>
      </c>
      <c r="H3024" s="92" t="s">
        <v>10</v>
      </c>
    </row>
    <row r="3025" spans="1:8" ht="21.75" customHeight="1" x14ac:dyDescent="0.25">
      <c r="A3025" s="35">
        <v>44679</v>
      </c>
      <c r="B3025" s="90" t="s">
        <v>13717</v>
      </c>
      <c r="C3025" s="41" t="s">
        <v>191</v>
      </c>
      <c r="D3025" s="87">
        <v>2680</v>
      </c>
      <c r="E3025" s="35">
        <v>44679</v>
      </c>
      <c r="F3025" s="87">
        <v>2680</v>
      </c>
      <c r="G3025" s="91">
        <f>Tabla15[[#This Row],[Importe]]-Tabla15[[#This Row],[Pagado]]</f>
        <v>0</v>
      </c>
      <c r="H3025" s="92" t="s">
        <v>10</v>
      </c>
    </row>
    <row r="3026" spans="1:8" ht="21.75" customHeight="1" x14ac:dyDescent="0.25">
      <c r="A3026" s="35">
        <v>44679</v>
      </c>
      <c r="B3026" s="90" t="s">
        <v>13718</v>
      </c>
      <c r="C3026" s="41" t="s">
        <v>518</v>
      </c>
      <c r="D3026" s="87">
        <v>942.5</v>
      </c>
      <c r="E3026" s="35">
        <v>44679</v>
      </c>
      <c r="F3026" s="87">
        <v>942.5</v>
      </c>
      <c r="G3026" s="91">
        <f>Tabla15[[#This Row],[Importe]]-Tabla15[[#This Row],[Pagado]]</f>
        <v>0</v>
      </c>
      <c r="H3026" s="92" t="s">
        <v>10</v>
      </c>
    </row>
    <row r="3027" spans="1:8" ht="21.75" customHeight="1" x14ac:dyDescent="0.25">
      <c r="A3027" s="35">
        <v>44679</v>
      </c>
      <c r="B3027" s="90" t="s">
        <v>13719</v>
      </c>
      <c r="C3027" s="41" t="s">
        <v>62</v>
      </c>
      <c r="D3027" s="87">
        <v>3498.1</v>
      </c>
      <c r="E3027" s="35">
        <v>44679</v>
      </c>
      <c r="F3027" s="87">
        <v>3498.1</v>
      </c>
      <c r="G3027" s="91">
        <f>Tabla15[[#This Row],[Importe]]-Tabla15[[#This Row],[Pagado]]</f>
        <v>0</v>
      </c>
      <c r="H3027" s="92" t="s">
        <v>10</v>
      </c>
    </row>
    <row r="3028" spans="1:8" ht="21.75" customHeight="1" x14ac:dyDescent="0.25">
      <c r="A3028" s="35">
        <v>44679</v>
      </c>
      <c r="B3028" s="90" t="s">
        <v>13720</v>
      </c>
      <c r="C3028" s="41" t="s">
        <v>37</v>
      </c>
      <c r="D3028" s="87">
        <v>2936.9</v>
      </c>
      <c r="E3028" s="35">
        <v>44679</v>
      </c>
      <c r="F3028" s="87">
        <v>2936.9</v>
      </c>
      <c r="G3028" s="91">
        <f>Tabla15[[#This Row],[Importe]]-Tabla15[[#This Row],[Pagado]]</f>
        <v>0</v>
      </c>
      <c r="H3028" s="92" t="s">
        <v>10</v>
      </c>
    </row>
    <row r="3029" spans="1:8" ht="21.75" customHeight="1" x14ac:dyDescent="0.25">
      <c r="A3029" s="35">
        <v>44679</v>
      </c>
      <c r="B3029" s="90" t="s">
        <v>13721</v>
      </c>
      <c r="C3029" s="41" t="s">
        <v>244</v>
      </c>
      <c r="D3029" s="87">
        <v>4662.8999999999996</v>
      </c>
      <c r="E3029" s="35">
        <v>44679</v>
      </c>
      <c r="F3029" s="87">
        <v>4662.8999999999996</v>
      </c>
      <c r="G3029" s="91">
        <f>Tabla15[[#This Row],[Importe]]-Tabla15[[#This Row],[Pagado]]</f>
        <v>0</v>
      </c>
      <c r="H3029" s="92" t="s">
        <v>10</v>
      </c>
    </row>
    <row r="3030" spans="1:8" ht="21.75" customHeight="1" x14ac:dyDescent="0.25">
      <c r="A3030" s="35">
        <v>44679</v>
      </c>
      <c r="B3030" s="90" t="s">
        <v>13722</v>
      </c>
      <c r="C3030" s="41" t="s">
        <v>932</v>
      </c>
      <c r="D3030" s="87">
        <v>2000</v>
      </c>
      <c r="E3030" s="35">
        <v>44679</v>
      </c>
      <c r="F3030" s="87">
        <v>2000</v>
      </c>
      <c r="G3030" s="91">
        <f>Tabla15[[#This Row],[Importe]]-Tabla15[[#This Row],[Pagado]]</f>
        <v>0</v>
      </c>
      <c r="H3030" s="92" t="s">
        <v>10</v>
      </c>
    </row>
    <row r="3031" spans="1:8" ht="21.75" customHeight="1" x14ac:dyDescent="0.25">
      <c r="A3031" s="35">
        <v>44679</v>
      </c>
      <c r="B3031" s="90" t="s">
        <v>13723</v>
      </c>
      <c r="C3031" s="41" t="s">
        <v>392</v>
      </c>
      <c r="D3031" s="87">
        <v>14158.4</v>
      </c>
      <c r="E3031" s="35">
        <v>44686</v>
      </c>
      <c r="F3031" s="87">
        <v>14158.4</v>
      </c>
      <c r="G3031" s="91">
        <f>Tabla15[[#This Row],[Importe]]-Tabla15[[#This Row],[Pagado]]</f>
        <v>0</v>
      </c>
      <c r="H3031" s="92" t="s">
        <v>10</v>
      </c>
    </row>
    <row r="3032" spans="1:8" ht="21.75" customHeight="1" x14ac:dyDescent="0.25">
      <c r="A3032" s="35">
        <v>44679</v>
      </c>
      <c r="B3032" s="90" t="s">
        <v>13724</v>
      </c>
      <c r="C3032" s="41" t="s">
        <v>24</v>
      </c>
      <c r="D3032" s="87">
        <v>2448.9</v>
      </c>
      <c r="E3032" s="35">
        <v>44679</v>
      </c>
      <c r="F3032" s="87">
        <v>2448.9</v>
      </c>
      <c r="G3032" s="91">
        <f>Tabla15[[#This Row],[Importe]]-Tabla15[[#This Row],[Pagado]]</f>
        <v>0</v>
      </c>
      <c r="H3032" s="92" t="s">
        <v>10</v>
      </c>
    </row>
    <row r="3033" spans="1:8" ht="21.75" customHeight="1" x14ac:dyDescent="0.25">
      <c r="A3033" s="35">
        <v>44679</v>
      </c>
      <c r="B3033" s="90" t="s">
        <v>13725</v>
      </c>
      <c r="C3033" s="41" t="s">
        <v>1362</v>
      </c>
      <c r="D3033" s="87">
        <v>3806.8</v>
      </c>
      <c r="E3033" s="35">
        <v>44679</v>
      </c>
      <c r="F3033" s="87">
        <v>3806.8</v>
      </c>
      <c r="G3033" s="91">
        <f>Tabla15[[#This Row],[Importe]]-Tabla15[[#This Row],[Pagado]]</f>
        <v>0</v>
      </c>
      <c r="H3033" s="92" t="s">
        <v>10</v>
      </c>
    </row>
    <row r="3034" spans="1:8" ht="21.75" customHeight="1" x14ac:dyDescent="0.25">
      <c r="A3034" s="35">
        <v>44679</v>
      </c>
      <c r="B3034" s="90" t="s">
        <v>13726</v>
      </c>
      <c r="C3034" s="41" t="s">
        <v>226</v>
      </c>
      <c r="D3034" s="87">
        <v>3470.4</v>
      </c>
      <c r="E3034" s="35">
        <v>44679</v>
      </c>
      <c r="F3034" s="87">
        <v>3470.4</v>
      </c>
      <c r="G3034" s="91">
        <f>Tabla15[[#This Row],[Importe]]-Tabla15[[#This Row],[Pagado]]</f>
        <v>0</v>
      </c>
      <c r="H3034" s="92" t="s">
        <v>10</v>
      </c>
    </row>
    <row r="3035" spans="1:8" ht="21.75" customHeight="1" x14ac:dyDescent="0.25">
      <c r="A3035" s="35">
        <v>44679</v>
      </c>
      <c r="B3035" s="90" t="s">
        <v>13727</v>
      </c>
      <c r="C3035" s="41" t="s">
        <v>216</v>
      </c>
      <c r="D3035" s="87">
        <v>1769</v>
      </c>
      <c r="E3035" s="35">
        <v>44679</v>
      </c>
      <c r="F3035" s="87">
        <v>1769</v>
      </c>
      <c r="G3035" s="91">
        <f>Tabla15[[#This Row],[Importe]]-Tabla15[[#This Row],[Pagado]]</f>
        <v>0</v>
      </c>
      <c r="H3035" s="92" t="s">
        <v>10</v>
      </c>
    </row>
    <row r="3036" spans="1:8" ht="21.75" customHeight="1" x14ac:dyDescent="0.25">
      <c r="A3036" s="35">
        <v>44679</v>
      </c>
      <c r="B3036" s="90" t="s">
        <v>13728</v>
      </c>
      <c r="C3036" s="41" t="s">
        <v>2151</v>
      </c>
      <c r="D3036" s="87">
        <v>6232</v>
      </c>
      <c r="E3036" s="35">
        <v>44680</v>
      </c>
      <c r="F3036" s="87">
        <v>6232</v>
      </c>
      <c r="G3036" s="91">
        <f>Tabla15[[#This Row],[Importe]]-Tabla15[[#This Row],[Pagado]]</f>
        <v>0</v>
      </c>
      <c r="H3036" s="92" t="s">
        <v>10</v>
      </c>
    </row>
    <row r="3037" spans="1:8" ht="21.75" customHeight="1" x14ac:dyDescent="0.25">
      <c r="A3037" s="35">
        <v>44679</v>
      </c>
      <c r="B3037" s="90" t="s">
        <v>13729</v>
      </c>
      <c r="C3037" s="41" t="s">
        <v>357</v>
      </c>
      <c r="D3037" s="87">
        <v>1629.2</v>
      </c>
      <c r="E3037" s="35">
        <v>44679</v>
      </c>
      <c r="F3037" s="87">
        <v>1629.2</v>
      </c>
      <c r="G3037" s="91">
        <f>Tabla15[[#This Row],[Importe]]-Tabla15[[#This Row],[Pagado]]</f>
        <v>0</v>
      </c>
      <c r="H3037" s="92" t="s">
        <v>10</v>
      </c>
    </row>
    <row r="3038" spans="1:8" ht="21.75" customHeight="1" x14ac:dyDescent="0.25">
      <c r="A3038" s="35">
        <v>44679</v>
      </c>
      <c r="B3038" s="90" t="s">
        <v>13730</v>
      </c>
      <c r="C3038" s="41" t="s">
        <v>129</v>
      </c>
      <c r="D3038" s="87">
        <v>1109.8</v>
      </c>
      <c r="E3038" s="35">
        <v>44679</v>
      </c>
      <c r="F3038" s="87">
        <v>1109.8</v>
      </c>
      <c r="G3038" s="91">
        <f>Tabla15[[#This Row],[Importe]]-Tabla15[[#This Row],[Pagado]]</f>
        <v>0</v>
      </c>
      <c r="H3038" s="92" t="s">
        <v>10</v>
      </c>
    </row>
    <row r="3039" spans="1:8" ht="21.75" customHeight="1" x14ac:dyDescent="0.25">
      <c r="A3039" s="35">
        <v>44679</v>
      </c>
      <c r="B3039" s="90" t="s">
        <v>13731</v>
      </c>
      <c r="C3039" s="41" t="s">
        <v>339</v>
      </c>
      <c r="D3039" s="87">
        <v>1109.8</v>
      </c>
      <c r="E3039" s="35">
        <v>44679</v>
      </c>
      <c r="F3039" s="87">
        <v>1109.8</v>
      </c>
      <c r="G3039" s="91">
        <f>Tabla15[[#This Row],[Importe]]-Tabla15[[#This Row],[Pagado]]</f>
        <v>0</v>
      </c>
      <c r="H3039" s="92" t="s">
        <v>10</v>
      </c>
    </row>
    <row r="3040" spans="1:8" ht="21.75" customHeight="1" x14ac:dyDescent="0.25">
      <c r="A3040" s="35">
        <v>44679</v>
      </c>
      <c r="B3040" s="90" t="s">
        <v>13732</v>
      </c>
      <c r="C3040" s="41" t="s">
        <v>140</v>
      </c>
      <c r="D3040" s="87">
        <v>4436.3999999999996</v>
      </c>
      <c r="E3040" s="35">
        <v>44679</v>
      </c>
      <c r="F3040" s="87">
        <v>4436.3999999999996</v>
      </c>
      <c r="G3040" s="91">
        <f>Tabla15[[#This Row],[Importe]]-Tabla15[[#This Row],[Pagado]]</f>
        <v>0</v>
      </c>
      <c r="H3040" s="92" t="s">
        <v>10</v>
      </c>
    </row>
    <row r="3041" spans="1:8" ht="21.75" customHeight="1" x14ac:dyDescent="0.25">
      <c r="A3041" s="35">
        <v>44679</v>
      </c>
      <c r="B3041" s="90" t="s">
        <v>13733</v>
      </c>
      <c r="C3041" s="41" t="s">
        <v>127</v>
      </c>
      <c r="D3041" s="87">
        <v>4625.2</v>
      </c>
      <c r="E3041" s="35">
        <v>44679</v>
      </c>
      <c r="F3041" s="87">
        <v>4625.2</v>
      </c>
      <c r="G3041" s="91">
        <f>Tabla15[[#This Row],[Importe]]-Tabla15[[#This Row],[Pagado]]</f>
        <v>0</v>
      </c>
      <c r="H3041" s="92" t="s">
        <v>10</v>
      </c>
    </row>
    <row r="3042" spans="1:8" ht="21.75" customHeight="1" x14ac:dyDescent="0.25">
      <c r="A3042" s="35">
        <v>44679</v>
      </c>
      <c r="B3042" s="90" t="s">
        <v>13734</v>
      </c>
      <c r="C3042" s="41" t="s">
        <v>1362</v>
      </c>
      <c r="D3042" s="87">
        <v>1599</v>
      </c>
      <c r="E3042" s="35">
        <v>44679</v>
      </c>
      <c r="F3042" s="87">
        <v>1599</v>
      </c>
      <c r="G3042" s="91">
        <f>Tabla15[[#This Row],[Importe]]-Tabla15[[#This Row],[Pagado]]</f>
        <v>0</v>
      </c>
      <c r="H3042" s="92" t="s">
        <v>10</v>
      </c>
    </row>
    <row r="3043" spans="1:8" ht="21.75" customHeight="1" x14ac:dyDescent="0.25">
      <c r="A3043" s="35">
        <v>44679</v>
      </c>
      <c r="B3043" s="90" t="s">
        <v>13735</v>
      </c>
      <c r="C3043" s="41" t="s">
        <v>146</v>
      </c>
      <c r="D3043" s="87">
        <v>12358.6</v>
      </c>
      <c r="E3043" s="35">
        <v>44679</v>
      </c>
      <c r="F3043" s="87">
        <v>12358.6</v>
      </c>
      <c r="G3043" s="91">
        <f>Tabla15[[#This Row],[Importe]]-Tabla15[[#This Row],[Pagado]]</f>
        <v>0</v>
      </c>
      <c r="H3043" s="92" t="s">
        <v>10</v>
      </c>
    </row>
    <row r="3044" spans="1:8" ht="21.75" customHeight="1" x14ac:dyDescent="0.25">
      <c r="A3044" s="35">
        <v>44679</v>
      </c>
      <c r="B3044" s="90" t="s">
        <v>13736</v>
      </c>
      <c r="C3044" s="41" t="s">
        <v>484</v>
      </c>
      <c r="D3044" s="87">
        <v>7392</v>
      </c>
      <c r="E3044" s="35">
        <v>44679</v>
      </c>
      <c r="F3044" s="87">
        <v>7392</v>
      </c>
      <c r="G3044" s="91">
        <f>Tabla15[[#This Row],[Importe]]-Tabla15[[#This Row],[Pagado]]</f>
        <v>0</v>
      </c>
      <c r="H3044" s="92" t="s">
        <v>10</v>
      </c>
    </row>
    <row r="3045" spans="1:8" ht="21.75" customHeight="1" x14ac:dyDescent="0.25">
      <c r="A3045" s="35">
        <v>44679</v>
      </c>
      <c r="B3045" s="90" t="s">
        <v>13737</v>
      </c>
      <c r="C3045" s="41" t="s">
        <v>87</v>
      </c>
      <c r="D3045" s="87">
        <v>1935.2</v>
      </c>
      <c r="E3045" s="35">
        <v>44679</v>
      </c>
      <c r="F3045" s="87">
        <v>1935.2</v>
      </c>
      <c r="G3045" s="91">
        <f>Tabla15[[#This Row],[Importe]]-Tabla15[[#This Row],[Pagado]]</f>
        <v>0</v>
      </c>
      <c r="H3045" s="92" t="s">
        <v>10</v>
      </c>
    </row>
    <row r="3046" spans="1:8" ht="21.75" customHeight="1" x14ac:dyDescent="0.25">
      <c r="A3046" s="35">
        <v>44679</v>
      </c>
      <c r="B3046" s="90" t="s">
        <v>13738</v>
      </c>
      <c r="C3046" s="41" t="s">
        <v>5620</v>
      </c>
      <c r="D3046" s="87">
        <v>60136</v>
      </c>
      <c r="E3046" s="35">
        <v>44679</v>
      </c>
      <c r="F3046" s="87">
        <v>60136</v>
      </c>
      <c r="G3046" s="91">
        <f>Tabla15[[#This Row],[Importe]]-Tabla15[[#This Row],[Pagado]]</f>
        <v>0</v>
      </c>
      <c r="H3046" s="92" t="s">
        <v>10</v>
      </c>
    </row>
    <row r="3047" spans="1:8" ht="21.75" customHeight="1" x14ac:dyDescent="0.25">
      <c r="A3047" s="35">
        <v>44679</v>
      </c>
      <c r="B3047" s="90" t="s">
        <v>13739</v>
      </c>
      <c r="C3047" s="41" t="s">
        <v>12202</v>
      </c>
      <c r="D3047" s="87">
        <v>3600</v>
      </c>
      <c r="E3047" s="35">
        <v>44679</v>
      </c>
      <c r="F3047" s="87">
        <v>3600</v>
      </c>
      <c r="G3047" s="91">
        <f>Tabla15[[#This Row],[Importe]]-Tabla15[[#This Row],[Pagado]]</f>
        <v>0</v>
      </c>
      <c r="H3047" s="92" t="s">
        <v>10</v>
      </c>
    </row>
    <row r="3048" spans="1:8" ht="21.75" customHeight="1" x14ac:dyDescent="0.25">
      <c r="A3048" s="35">
        <v>44679</v>
      </c>
      <c r="B3048" s="90" t="s">
        <v>13740</v>
      </c>
      <c r="C3048" s="41" t="s">
        <v>291</v>
      </c>
      <c r="D3048" s="87">
        <v>2222</v>
      </c>
      <c r="E3048" s="35">
        <v>44679</v>
      </c>
      <c r="F3048" s="87">
        <v>2222</v>
      </c>
      <c r="G3048" s="91">
        <f>Tabla15[[#This Row],[Importe]]-Tabla15[[#This Row],[Pagado]]</f>
        <v>0</v>
      </c>
      <c r="H3048" s="92" t="s">
        <v>10</v>
      </c>
    </row>
    <row r="3049" spans="1:8" ht="21.75" customHeight="1" x14ac:dyDescent="0.25">
      <c r="A3049" s="35">
        <v>44679</v>
      </c>
      <c r="B3049" s="90" t="s">
        <v>13741</v>
      </c>
      <c r="C3049" s="41" t="s">
        <v>291</v>
      </c>
      <c r="D3049" s="87">
        <v>3320</v>
      </c>
      <c r="E3049" s="35">
        <v>44679</v>
      </c>
      <c r="F3049" s="87">
        <v>3320</v>
      </c>
      <c r="G3049" s="91">
        <f>Tabla15[[#This Row],[Importe]]-Tabla15[[#This Row],[Pagado]]</f>
        <v>0</v>
      </c>
      <c r="H3049" s="92" t="s">
        <v>10</v>
      </c>
    </row>
    <row r="3050" spans="1:8" ht="21.75" customHeight="1" x14ac:dyDescent="0.25">
      <c r="A3050" s="35">
        <v>44679</v>
      </c>
      <c r="B3050" s="90" t="s">
        <v>13742</v>
      </c>
      <c r="C3050" s="41" t="s">
        <v>291</v>
      </c>
      <c r="D3050" s="87">
        <v>535.5</v>
      </c>
      <c r="E3050" s="35">
        <v>44679</v>
      </c>
      <c r="F3050" s="87">
        <v>535.5</v>
      </c>
      <c r="G3050" s="91">
        <f>Tabla15[[#This Row],[Importe]]-Tabla15[[#This Row],[Pagado]]</f>
        <v>0</v>
      </c>
      <c r="H3050" s="92" t="s">
        <v>10</v>
      </c>
    </row>
    <row r="3051" spans="1:8" ht="21.75" customHeight="1" x14ac:dyDescent="0.25">
      <c r="A3051" s="35">
        <v>44679</v>
      </c>
      <c r="B3051" s="90" t="s">
        <v>13743</v>
      </c>
      <c r="C3051" s="41" t="s">
        <v>670</v>
      </c>
      <c r="D3051" s="87">
        <v>3824.7</v>
      </c>
      <c r="E3051" s="35">
        <v>44679</v>
      </c>
      <c r="F3051" s="87">
        <v>3824.7</v>
      </c>
      <c r="G3051" s="91">
        <f>Tabla15[[#This Row],[Importe]]-Tabla15[[#This Row],[Pagado]]</f>
        <v>0</v>
      </c>
      <c r="H3051" s="92" t="s">
        <v>10</v>
      </c>
    </row>
    <row r="3052" spans="1:8" ht="21.75" customHeight="1" x14ac:dyDescent="0.25">
      <c r="A3052" s="35">
        <v>44679</v>
      </c>
      <c r="B3052" s="90" t="s">
        <v>13744</v>
      </c>
      <c r="C3052" s="41" t="s">
        <v>204</v>
      </c>
      <c r="D3052" s="87">
        <v>1138.8</v>
      </c>
      <c r="E3052" s="35">
        <v>44679</v>
      </c>
      <c r="F3052" s="87">
        <v>1138.8</v>
      </c>
      <c r="G3052" s="91">
        <f>Tabla15[[#This Row],[Importe]]-Tabla15[[#This Row],[Pagado]]</f>
        <v>0</v>
      </c>
      <c r="H3052" s="92" t="s">
        <v>10</v>
      </c>
    </row>
    <row r="3053" spans="1:8" ht="21.75" customHeight="1" x14ac:dyDescent="0.25">
      <c r="A3053" s="35">
        <v>44679</v>
      </c>
      <c r="B3053" s="90" t="s">
        <v>13745</v>
      </c>
      <c r="C3053" s="41" t="s">
        <v>233</v>
      </c>
      <c r="D3053" s="87">
        <v>6331.8</v>
      </c>
      <c r="E3053" s="35">
        <v>44679</v>
      </c>
      <c r="F3053" s="87">
        <v>6331.8</v>
      </c>
      <c r="G3053" s="91">
        <f>Tabla15[[#This Row],[Importe]]-Tabla15[[#This Row],[Pagado]]</f>
        <v>0</v>
      </c>
      <c r="H3053" s="92" t="s">
        <v>10</v>
      </c>
    </row>
    <row r="3054" spans="1:8" ht="21.75" customHeight="1" x14ac:dyDescent="0.25">
      <c r="A3054" s="35">
        <v>44679</v>
      </c>
      <c r="B3054" s="90" t="s">
        <v>13746</v>
      </c>
      <c r="C3054" s="41" t="s">
        <v>67</v>
      </c>
      <c r="D3054" s="87">
        <v>1861.2</v>
      </c>
      <c r="E3054" s="35">
        <v>44679</v>
      </c>
      <c r="F3054" s="87">
        <v>1861.2</v>
      </c>
      <c r="G3054" s="91">
        <f>Tabla15[[#This Row],[Importe]]-Tabla15[[#This Row],[Pagado]]</f>
        <v>0</v>
      </c>
      <c r="H3054" s="92" t="s">
        <v>10</v>
      </c>
    </row>
    <row r="3055" spans="1:8" ht="31.5" x14ac:dyDescent="0.25">
      <c r="A3055" s="35">
        <v>44679</v>
      </c>
      <c r="B3055" s="90" t="s">
        <v>13747</v>
      </c>
      <c r="C3055" s="41" t="s">
        <v>275</v>
      </c>
      <c r="D3055" s="87">
        <v>46008.35</v>
      </c>
      <c r="E3055" s="35" t="s">
        <v>14075</v>
      </c>
      <c r="F3055" s="87">
        <f>3278+42730.35</f>
        <v>46008.35</v>
      </c>
      <c r="G3055" s="91">
        <f>Tabla15[[#This Row],[Importe]]-Tabla15[[#This Row],[Pagado]]</f>
        <v>0</v>
      </c>
      <c r="H3055" s="92" t="s">
        <v>10</v>
      </c>
    </row>
    <row r="3056" spans="1:8" ht="21.75" customHeight="1" x14ac:dyDescent="0.25">
      <c r="A3056" s="35">
        <v>44679</v>
      </c>
      <c r="B3056" s="90" t="s">
        <v>13748</v>
      </c>
      <c r="C3056" s="41" t="s">
        <v>9827</v>
      </c>
      <c r="D3056" s="87">
        <v>561.20000000000005</v>
      </c>
      <c r="E3056" s="35">
        <v>44679</v>
      </c>
      <c r="F3056" s="87">
        <v>561.20000000000005</v>
      </c>
      <c r="G3056" s="91">
        <f>Tabla15[[#This Row],[Importe]]-Tabla15[[#This Row],[Pagado]]</f>
        <v>0</v>
      </c>
      <c r="H3056" s="92" t="s">
        <v>10</v>
      </c>
    </row>
    <row r="3057" spans="1:8" ht="21.75" customHeight="1" x14ac:dyDescent="0.25">
      <c r="A3057" s="35">
        <v>44679</v>
      </c>
      <c r="B3057" s="90" t="s">
        <v>13749</v>
      </c>
      <c r="C3057" s="41" t="s">
        <v>407</v>
      </c>
      <c r="D3057" s="87">
        <v>7588.8</v>
      </c>
      <c r="E3057" s="35">
        <v>44681</v>
      </c>
      <c r="F3057" s="87">
        <v>7588.8</v>
      </c>
      <c r="G3057" s="91">
        <f>Tabla15[[#This Row],[Importe]]-Tabla15[[#This Row],[Pagado]]</f>
        <v>0</v>
      </c>
      <c r="H3057" s="92" t="s">
        <v>10</v>
      </c>
    </row>
    <row r="3058" spans="1:8" ht="21.75" customHeight="1" x14ac:dyDescent="0.25">
      <c r="A3058" s="35">
        <v>44679</v>
      </c>
      <c r="B3058" s="90" t="s">
        <v>13750</v>
      </c>
      <c r="C3058" s="41" t="s">
        <v>31</v>
      </c>
      <c r="D3058" s="87">
        <v>956.4</v>
      </c>
      <c r="E3058" s="35">
        <v>44679</v>
      </c>
      <c r="F3058" s="87">
        <v>956.4</v>
      </c>
      <c r="G3058" s="91">
        <f>Tabla15[[#This Row],[Importe]]-Tabla15[[#This Row],[Pagado]]</f>
        <v>0</v>
      </c>
      <c r="H3058" s="92" t="s">
        <v>10</v>
      </c>
    </row>
    <row r="3059" spans="1:8" ht="21.75" customHeight="1" x14ac:dyDescent="0.25">
      <c r="A3059" s="35">
        <v>44679</v>
      </c>
      <c r="B3059" s="90" t="s">
        <v>13751</v>
      </c>
      <c r="C3059" s="41" t="s">
        <v>442</v>
      </c>
      <c r="D3059" s="87">
        <v>6478.2</v>
      </c>
      <c r="E3059" s="35">
        <v>44679</v>
      </c>
      <c r="F3059" s="87">
        <v>6478.2</v>
      </c>
      <c r="G3059" s="91">
        <f>Tabla15[[#This Row],[Importe]]-Tabla15[[#This Row],[Pagado]]</f>
        <v>0</v>
      </c>
      <c r="H3059" s="92" t="s">
        <v>10</v>
      </c>
    </row>
    <row r="3060" spans="1:8" ht="21.75" customHeight="1" x14ac:dyDescent="0.25">
      <c r="A3060" s="35">
        <v>44679</v>
      </c>
      <c r="B3060" s="90" t="s">
        <v>13752</v>
      </c>
      <c r="C3060" s="41" t="s">
        <v>857</v>
      </c>
      <c r="D3060" s="87">
        <v>465.6</v>
      </c>
      <c r="E3060" s="35">
        <v>44679</v>
      </c>
      <c r="F3060" s="87">
        <v>465.6</v>
      </c>
      <c r="G3060" s="91">
        <f>Tabla15[[#This Row],[Importe]]-Tabla15[[#This Row],[Pagado]]</f>
        <v>0</v>
      </c>
      <c r="H3060" s="92" t="s">
        <v>10</v>
      </c>
    </row>
    <row r="3061" spans="1:8" ht="21.75" customHeight="1" x14ac:dyDescent="0.25">
      <c r="A3061" s="35">
        <v>44679</v>
      </c>
      <c r="B3061" s="90" t="s">
        <v>13753</v>
      </c>
      <c r="C3061" s="41" t="s">
        <v>214</v>
      </c>
      <c r="D3061" s="87">
        <v>1555.5</v>
      </c>
      <c r="E3061" s="35">
        <v>44679</v>
      </c>
      <c r="F3061" s="87">
        <v>1555.5</v>
      </c>
      <c r="G3061" s="91">
        <f>Tabla15[[#This Row],[Importe]]-Tabla15[[#This Row],[Pagado]]</f>
        <v>0</v>
      </c>
      <c r="H3061" s="92" t="s">
        <v>10</v>
      </c>
    </row>
    <row r="3062" spans="1:8" ht="21.75" customHeight="1" x14ac:dyDescent="0.25">
      <c r="A3062" s="35">
        <v>44679</v>
      </c>
      <c r="B3062" s="90" t="s">
        <v>13754</v>
      </c>
      <c r="C3062" s="41" t="s">
        <v>647</v>
      </c>
      <c r="D3062" s="87">
        <v>1593.6</v>
      </c>
      <c r="E3062" s="35">
        <v>44679</v>
      </c>
      <c r="F3062" s="87">
        <v>1593.6</v>
      </c>
      <c r="G3062" s="91">
        <f>Tabla15[[#This Row],[Importe]]-Tabla15[[#This Row],[Pagado]]</f>
        <v>0</v>
      </c>
      <c r="H3062" s="92" t="s">
        <v>10</v>
      </c>
    </row>
    <row r="3063" spans="1:8" ht="21.75" customHeight="1" x14ac:dyDescent="0.25">
      <c r="A3063" s="35">
        <v>44679</v>
      </c>
      <c r="B3063" s="90" t="s">
        <v>13755</v>
      </c>
      <c r="C3063" s="41" t="s">
        <v>647</v>
      </c>
      <c r="D3063" s="87">
        <v>80</v>
      </c>
      <c r="E3063" s="35">
        <v>44679</v>
      </c>
      <c r="F3063" s="87">
        <v>80</v>
      </c>
      <c r="G3063" s="91">
        <f>Tabla15[[#This Row],[Importe]]-Tabla15[[#This Row],[Pagado]]</f>
        <v>0</v>
      </c>
      <c r="H3063" s="92" t="s">
        <v>10</v>
      </c>
    </row>
    <row r="3064" spans="1:8" ht="21.75" customHeight="1" x14ac:dyDescent="0.25">
      <c r="A3064" s="35">
        <v>44679</v>
      </c>
      <c r="B3064" s="90" t="s">
        <v>13756</v>
      </c>
      <c r="C3064" s="41" t="s">
        <v>1275</v>
      </c>
      <c r="D3064" s="87">
        <v>9631.1</v>
      </c>
      <c r="E3064" s="35">
        <v>44679</v>
      </c>
      <c r="F3064" s="87">
        <v>9631.1</v>
      </c>
      <c r="G3064" s="91">
        <f>Tabla15[[#This Row],[Importe]]-Tabla15[[#This Row],[Pagado]]</f>
        <v>0</v>
      </c>
      <c r="H3064" s="92" t="s">
        <v>10</v>
      </c>
    </row>
    <row r="3065" spans="1:8" ht="21.75" customHeight="1" x14ac:dyDescent="0.25">
      <c r="A3065" s="35">
        <v>44679</v>
      </c>
      <c r="B3065" s="90" t="s">
        <v>13757</v>
      </c>
      <c r="C3065" s="41" t="s">
        <v>11383</v>
      </c>
      <c r="D3065" s="87">
        <v>2035.3</v>
      </c>
      <c r="E3065" s="35">
        <v>44679</v>
      </c>
      <c r="F3065" s="87">
        <v>2035.3</v>
      </c>
      <c r="G3065" s="91">
        <f>Tabla15[[#This Row],[Importe]]-Tabla15[[#This Row],[Pagado]]</f>
        <v>0</v>
      </c>
      <c r="H3065" s="92" t="s">
        <v>10</v>
      </c>
    </row>
    <row r="3066" spans="1:8" ht="21.75" customHeight="1" x14ac:dyDescent="0.25">
      <c r="A3066" s="35">
        <v>44679</v>
      </c>
      <c r="B3066" s="90" t="s">
        <v>13758</v>
      </c>
      <c r="C3066" s="41" t="s">
        <v>107</v>
      </c>
      <c r="D3066" s="87">
        <v>12834.8</v>
      </c>
      <c r="E3066" s="35">
        <v>44680</v>
      </c>
      <c r="F3066" s="87">
        <v>12834.8</v>
      </c>
      <c r="G3066" s="91">
        <f>Tabla15[[#This Row],[Importe]]-Tabla15[[#This Row],[Pagado]]</f>
        <v>0</v>
      </c>
      <c r="H3066" s="92" t="s">
        <v>10</v>
      </c>
    </row>
    <row r="3067" spans="1:8" ht="21.75" customHeight="1" x14ac:dyDescent="0.25">
      <c r="A3067" s="35">
        <v>44679</v>
      </c>
      <c r="B3067" s="90" t="s">
        <v>13759</v>
      </c>
      <c r="C3067" s="41" t="s">
        <v>83</v>
      </c>
      <c r="D3067" s="87">
        <v>7688</v>
      </c>
      <c r="E3067" s="35">
        <v>44680</v>
      </c>
      <c r="F3067" s="87">
        <v>7688</v>
      </c>
      <c r="G3067" s="91">
        <f>Tabla15[[#This Row],[Importe]]-Tabla15[[#This Row],[Pagado]]</f>
        <v>0</v>
      </c>
      <c r="H3067" s="92" t="s">
        <v>10</v>
      </c>
    </row>
    <row r="3068" spans="1:8" ht="21.75" customHeight="1" x14ac:dyDescent="0.25">
      <c r="A3068" s="35">
        <v>44679</v>
      </c>
      <c r="B3068" s="90" t="s">
        <v>13760</v>
      </c>
      <c r="C3068" s="41" t="s">
        <v>200</v>
      </c>
      <c r="D3068" s="87">
        <v>1085.8</v>
      </c>
      <c r="E3068" s="35">
        <v>44681</v>
      </c>
      <c r="F3068" s="87">
        <v>1085.8</v>
      </c>
      <c r="G3068" s="91">
        <f>Tabla15[[#This Row],[Importe]]-Tabla15[[#This Row],[Pagado]]</f>
        <v>0</v>
      </c>
      <c r="H3068" s="92" t="s">
        <v>10</v>
      </c>
    </row>
    <row r="3069" spans="1:8" ht="21.75" customHeight="1" x14ac:dyDescent="0.25">
      <c r="A3069" s="35">
        <v>44679</v>
      </c>
      <c r="B3069" s="90" t="s">
        <v>13761</v>
      </c>
      <c r="C3069" s="41" t="s">
        <v>698</v>
      </c>
      <c r="D3069" s="87">
        <v>5367.6</v>
      </c>
      <c r="E3069" s="35">
        <v>44679</v>
      </c>
      <c r="F3069" s="87">
        <v>5367.6</v>
      </c>
      <c r="G3069" s="91">
        <f>Tabla15[[#This Row],[Importe]]-Tabla15[[#This Row],[Pagado]]</f>
        <v>0</v>
      </c>
      <c r="H3069" s="92" t="s">
        <v>10</v>
      </c>
    </row>
    <row r="3070" spans="1:8" ht="21.75" customHeight="1" x14ac:dyDescent="0.25">
      <c r="A3070" s="35">
        <v>44679</v>
      </c>
      <c r="B3070" s="90" t="s">
        <v>13762</v>
      </c>
      <c r="C3070" s="41" t="s">
        <v>181</v>
      </c>
      <c r="D3070" s="87">
        <v>10101.200000000001</v>
      </c>
      <c r="E3070" s="35">
        <v>44681</v>
      </c>
      <c r="F3070" s="87">
        <v>10101.200000000001</v>
      </c>
      <c r="G3070" s="91">
        <f>Tabla15[[#This Row],[Importe]]-Tabla15[[#This Row],[Pagado]]</f>
        <v>0</v>
      </c>
      <c r="H3070" s="92" t="s">
        <v>10</v>
      </c>
    </row>
    <row r="3071" spans="1:8" ht="21.75" customHeight="1" x14ac:dyDescent="0.25">
      <c r="A3071" s="35">
        <v>44679</v>
      </c>
      <c r="B3071" s="90" t="s">
        <v>13763</v>
      </c>
      <c r="C3071" s="41" t="s">
        <v>175</v>
      </c>
      <c r="D3071" s="87">
        <v>31840.799999999999</v>
      </c>
      <c r="E3071" s="35">
        <v>44681</v>
      </c>
      <c r="F3071" s="87">
        <v>31840.799999999999</v>
      </c>
      <c r="G3071" s="91">
        <f>Tabla15[[#This Row],[Importe]]-Tabla15[[#This Row],[Pagado]]</f>
        <v>0</v>
      </c>
      <c r="H3071" s="92" t="s">
        <v>10</v>
      </c>
    </row>
    <row r="3072" spans="1:8" ht="21.75" customHeight="1" x14ac:dyDescent="0.25">
      <c r="A3072" s="35">
        <v>44679</v>
      </c>
      <c r="B3072" s="90" t="s">
        <v>13764</v>
      </c>
      <c r="C3072" s="41" t="s">
        <v>664</v>
      </c>
      <c r="D3072" s="87">
        <v>14218</v>
      </c>
      <c r="E3072" s="35">
        <v>44680</v>
      </c>
      <c r="F3072" s="87">
        <v>14218</v>
      </c>
      <c r="G3072" s="91">
        <f>Tabla15[[#This Row],[Importe]]-Tabla15[[#This Row],[Pagado]]</f>
        <v>0</v>
      </c>
      <c r="H3072" s="92" t="s">
        <v>10</v>
      </c>
    </row>
    <row r="3073" spans="1:8" ht="21.75" customHeight="1" x14ac:dyDescent="0.25">
      <c r="A3073" s="35">
        <v>44679</v>
      </c>
      <c r="B3073" s="90" t="s">
        <v>13765</v>
      </c>
      <c r="C3073" s="41" t="s">
        <v>69</v>
      </c>
      <c r="D3073" s="87">
        <v>2879.2</v>
      </c>
      <c r="E3073" s="35">
        <v>44679</v>
      </c>
      <c r="F3073" s="87">
        <v>2879.2</v>
      </c>
      <c r="G3073" s="91">
        <f>Tabla15[[#This Row],[Importe]]-Tabla15[[#This Row],[Pagado]]</f>
        <v>0</v>
      </c>
      <c r="H3073" s="92" t="s">
        <v>10</v>
      </c>
    </row>
    <row r="3074" spans="1:8" ht="21.75" customHeight="1" x14ac:dyDescent="0.25">
      <c r="A3074" s="35">
        <v>44679</v>
      </c>
      <c r="B3074" s="90" t="s">
        <v>13766</v>
      </c>
      <c r="C3074" s="41" t="s">
        <v>214</v>
      </c>
      <c r="D3074" s="87">
        <v>6580.8</v>
      </c>
      <c r="E3074" s="35">
        <v>44680</v>
      </c>
      <c r="F3074" s="87">
        <v>6580.8</v>
      </c>
      <c r="G3074" s="91">
        <f>Tabla15[[#This Row],[Importe]]-Tabla15[[#This Row],[Pagado]]</f>
        <v>0</v>
      </c>
      <c r="H3074" s="92" t="s">
        <v>10</v>
      </c>
    </row>
    <row r="3075" spans="1:8" ht="21.75" customHeight="1" x14ac:dyDescent="0.25">
      <c r="A3075" s="35">
        <v>44679</v>
      </c>
      <c r="B3075" s="90" t="s">
        <v>13767</v>
      </c>
      <c r="C3075" s="41" t="s">
        <v>7862</v>
      </c>
      <c r="D3075" s="87">
        <v>15381.3</v>
      </c>
      <c r="E3075" s="35">
        <v>44679</v>
      </c>
      <c r="F3075" s="87">
        <v>15381.3</v>
      </c>
      <c r="G3075" s="91">
        <f>Tabla15[[#This Row],[Importe]]-Tabla15[[#This Row],[Pagado]]</f>
        <v>0</v>
      </c>
      <c r="H3075" s="92" t="s">
        <v>10</v>
      </c>
    </row>
    <row r="3076" spans="1:8" ht="21.75" customHeight="1" x14ac:dyDescent="0.25">
      <c r="A3076" s="35">
        <v>44679</v>
      </c>
      <c r="B3076" s="90" t="s">
        <v>13768</v>
      </c>
      <c r="C3076" s="41" t="s">
        <v>31</v>
      </c>
      <c r="D3076" s="87">
        <v>439.2</v>
      </c>
      <c r="E3076" s="35">
        <v>44679</v>
      </c>
      <c r="F3076" s="87">
        <v>439.2</v>
      </c>
      <c r="G3076" s="91">
        <f>Tabla15[[#This Row],[Importe]]-Tabla15[[#This Row],[Pagado]]</f>
        <v>0</v>
      </c>
      <c r="H3076" s="92" t="s">
        <v>10</v>
      </c>
    </row>
    <row r="3077" spans="1:8" ht="21.75" customHeight="1" x14ac:dyDescent="0.25">
      <c r="A3077" s="35">
        <v>44679</v>
      </c>
      <c r="B3077" s="90" t="s">
        <v>13769</v>
      </c>
      <c r="C3077" s="41" t="s">
        <v>7862</v>
      </c>
      <c r="D3077" s="87">
        <v>5049.2</v>
      </c>
      <c r="E3077" s="35">
        <v>44679</v>
      </c>
      <c r="F3077" s="87">
        <v>5049.2</v>
      </c>
      <c r="G3077" s="91">
        <f>Tabla15[[#This Row],[Importe]]-Tabla15[[#This Row],[Pagado]]</f>
        <v>0</v>
      </c>
      <c r="H3077" s="92" t="s">
        <v>10</v>
      </c>
    </row>
    <row r="3078" spans="1:8" ht="21.75" customHeight="1" x14ac:dyDescent="0.25">
      <c r="A3078" s="35">
        <v>44679</v>
      </c>
      <c r="B3078" s="90" t="s">
        <v>13770</v>
      </c>
      <c r="C3078" s="41" t="s">
        <v>450</v>
      </c>
      <c r="D3078" s="87">
        <v>3468.8</v>
      </c>
      <c r="E3078" s="35">
        <v>44679</v>
      </c>
      <c r="F3078" s="87">
        <v>3468.8</v>
      </c>
      <c r="G3078" s="91">
        <f>Tabla15[[#This Row],[Importe]]-Tabla15[[#This Row],[Pagado]]</f>
        <v>0</v>
      </c>
      <c r="H3078" s="92" t="s">
        <v>10</v>
      </c>
    </row>
    <row r="3079" spans="1:8" ht="21.75" customHeight="1" x14ac:dyDescent="0.25">
      <c r="A3079" s="35">
        <v>44679</v>
      </c>
      <c r="B3079" s="90" t="s">
        <v>13771</v>
      </c>
      <c r="C3079" s="41" t="s">
        <v>56</v>
      </c>
      <c r="D3079" s="87">
        <v>3416.2</v>
      </c>
      <c r="E3079" s="35">
        <v>44679</v>
      </c>
      <c r="F3079" s="87">
        <v>3416.2</v>
      </c>
      <c r="G3079" s="91">
        <f>Tabla15[[#This Row],[Importe]]-Tabla15[[#This Row],[Pagado]]</f>
        <v>0</v>
      </c>
      <c r="H3079" s="92" t="s">
        <v>10</v>
      </c>
    </row>
    <row r="3080" spans="1:8" ht="21.75" customHeight="1" x14ac:dyDescent="0.25">
      <c r="A3080" s="35">
        <v>44679</v>
      </c>
      <c r="B3080" s="90" t="s">
        <v>13772</v>
      </c>
      <c r="C3080" s="41" t="s">
        <v>280</v>
      </c>
      <c r="D3080" s="87">
        <v>1415.2</v>
      </c>
      <c r="E3080" s="35">
        <v>44680</v>
      </c>
      <c r="F3080" s="87">
        <v>1415.2</v>
      </c>
      <c r="G3080" s="91">
        <f>Tabla15[[#This Row],[Importe]]-Tabla15[[#This Row],[Pagado]]</f>
        <v>0</v>
      </c>
      <c r="H3080" s="92" t="s">
        <v>10</v>
      </c>
    </row>
    <row r="3081" spans="1:8" ht="21.75" customHeight="1" x14ac:dyDescent="0.25">
      <c r="A3081" s="35">
        <v>44679</v>
      </c>
      <c r="B3081" s="90" t="s">
        <v>13773</v>
      </c>
      <c r="C3081" s="41" t="s">
        <v>5345</v>
      </c>
      <c r="D3081" s="87">
        <v>1982.5</v>
      </c>
      <c r="E3081" s="35">
        <v>44680</v>
      </c>
      <c r="F3081" s="87">
        <v>1982.5</v>
      </c>
      <c r="G3081" s="91">
        <f>Tabla15[[#This Row],[Importe]]-Tabla15[[#This Row],[Pagado]]</f>
        <v>0</v>
      </c>
      <c r="H3081" s="92" t="s">
        <v>10</v>
      </c>
    </row>
    <row r="3082" spans="1:8" ht="21.75" customHeight="1" x14ac:dyDescent="0.25">
      <c r="A3082" s="35">
        <v>44679</v>
      </c>
      <c r="B3082" s="90" t="s">
        <v>13774</v>
      </c>
      <c r="C3082" s="41" t="s">
        <v>282</v>
      </c>
      <c r="D3082" s="87">
        <v>3855.2</v>
      </c>
      <c r="E3082" s="35">
        <v>44680</v>
      </c>
      <c r="F3082" s="87">
        <v>3855.2</v>
      </c>
      <c r="G3082" s="91">
        <f>Tabla15[[#This Row],[Importe]]-Tabla15[[#This Row],[Pagado]]</f>
        <v>0</v>
      </c>
      <c r="H3082" s="92" t="s">
        <v>10</v>
      </c>
    </row>
    <row r="3083" spans="1:8" ht="21.75" customHeight="1" x14ac:dyDescent="0.25">
      <c r="A3083" s="35">
        <v>44679</v>
      </c>
      <c r="B3083" s="90" t="s">
        <v>13775</v>
      </c>
      <c r="C3083" s="41" t="s">
        <v>284</v>
      </c>
      <c r="D3083" s="87">
        <v>7417.6</v>
      </c>
      <c r="E3083" s="35">
        <v>44680</v>
      </c>
      <c r="F3083" s="87">
        <v>7417.6</v>
      </c>
      <c r="G3083" s="91">
        <f>Tabla15[[#This Row],[Importe]]-Tabla15[[#This Row],[Pagado]]</f>
        <v>0</v>
      </c>
      <c r="H3083" s="92" t="s">
        <v>10</v>
      </c>
    </row>
    <row r="3084" spans="1:8" ht="21.75" customHeight="1" x14ac:dyDescent="0.25">
      <c r="A3084" s="35">
        <v>44679</v>
      </c>
      <c r="B3084" s="90" t="s">
        <v>13776</v>
      </c>
      <c r="C3084" s="41" t="s">
        <v>31</v>
      </c>
      <c r="D3084" s="87">
        <v>11932</v>
      </c>
      <c r="E3084" s="35">
        <v>44679</v>
      </c>
      <c r="F3084" s="87">
        <v>11932</v>
      </c>
      <c r="G3084" s="91">
        <f>Tabla15[[#This Row],[Importe]]-Tabla15[[#This Row],[Pagado]]</f>
        <v>0</v>
      </c>
      <c r="H3084" s="92" t="s">
        <v>10</v>
      </c>
    </row>
    <row r="3085" spans="1:8" ht="21.75" customHeight="1" x14ac:dyDescent="0.25">
      <c r="A3085" s="35">
        <v>44679</v>
      </c>
      <c r="B3085" s="90" t="s">
        <v>13777</v>
      </c>
      <c r="C3085" s="41" t="s">
        <v>729</v>
      </c>
      <c r="D3085" s="87">
        <v>22662.400000000001</v>
      </c>
      <c r="E3085" s="35">
        <v>44680</v>
      </c>
      <c r="F3085" s="87">
        <v>22662.400000000001</v>
      </c>
      <c r="G3085" s="91">
        <f>Tabla15[[#This Row],[Importe]]-Tabla15[[#This Row],[Pagado]]</f>
        <v>0</v>
      </c>
      <c r="H3085" s="92" t="s">
        <v>10</v>
      </c>
    </row>
    <row r="3086" spans="1:8" ht="21.75" customHeight="1" x14ac:dyDescent="0.25">
      <c r="A3086" s="35">
        <v>44679</v>
      </c>
      <c r="B3086" s="90" t="s">
        <v>13778</v>
      </c>
      <c r="C3086" s="41" t="s">
        <v>14</v>
      </c>
      <c r="D3086" s="87">
        <v>11426.4</v>
      </c>
      <c r="E3086" s="35">
        <v>44679</v>
      </c>
      <c r="F3086" s="87">
        <v>11426.4</v>
      </c>
      <c r="G3086" s="91">
        <f>Tabla15[[#This Row],[Importe]]-Tabla15[[#This Row],[Pagado]]</f>
        <v>0</v>
      </c>
      <c r="H3086" s="92" t="s">
        <v>10</v>
      </c>
    </row>
    <row r="3087" spans="1:8" ht="21.75" customHeight="1" x14ac:dyDescent="0.25">
      <c r="A3087" s="35">
        <v>44679</v>
      </c>
      <c r="B3087" s="90" t="s">
        <v>13779</v>
      </c>
      <c r="C3087" s="41" t="s">
        <v>14</v>
      </c>
      <c r="D3087" s="87">
        <v>1028.5999999999999</v>
      </c>
      <c r="E3087" s="35">
        <v>44679</v>
      </c>
      <c r="F3087" s="87">
        <v>1028.5999999999999</v>
      </c>
      <c r="G3087" s="91">
        <f>Tabla15[[#This Row],[Importe]]-Tabla15[[#This Row],[Pagado]]</f>
        <v>0</v>
      </c>
      <c r="H3087" s="92" t="s">
        <v>10</v>
      </c>
    </row>
    <row r="3088" spans="1:8" ht="21.75" customHeight="1" x14ac:dyDescent="0.25">
      <c r="A3088" s="35">
        <v>44679</v>
      </c>
      <c r="B3088" s="90" t="s">
        <v>13780</v>
      </c>
      <c r="C3088" s="41" t="s">
        <v>31</v>
      </c>
      <c r="D3088" s="87">
        <v>227.2</v>
      </c>
      <c r="E3088" s="35">
        <v>44679</v>
      </c>
      <c r="F3088" s="87">
        <v>227.2</v>
      </c>
      <c r="G3088" s="91">
        <f>Tabla15[[#This Row],[Importe]]-Tabla15[[#This Row],[Pagado]]</f>
        <v>0</v>
      </c>
      <c r="H3088" s="92" t="s">
        <v>10</v>
      </c>
    </row>
    <row r="3089" spans="1:8" ht="21.75" customHeight="1" x14ac:dyDescent="0.25">
      <c r="A3089" s="35">
        <v>44679</v>
      </c>
      <c r="B3089" s="90" t="s">
        <v>13781</v>
      </c>
      <c r="C3089" s="41" t="s">
        <v>454</v>
      </c>
      <c r="D3089" s="87">
        <v>6216.8</v>
      </c>
      <c r="E3089" s="35">
        <v>44679</v>
      </c>
      <c r="F3089" s="87">
        <v>6216.8</v>
      </c>
      <c r="G3089" s="91">
        <f>Tabla15[[#This Row],[Importe]]-Tabla15[[#This Row],[Pagado]]</f>
        <v>0</v>
      </c>
      <c r="H3089" s="92" t="s">
        <v>10</v>
      </c>
    </row>
    <row r="3090" spans="1:8" ht="21.75" customHeight="1" x14ac:dyDescent="0.25">
      <c r="A3090" s="35">
        <v>44680</v>
      </c>
      <c r="B3090" s="90" t="s">
        <v>13782</v>
      </c>
      <c r="C3090" s="41" t="s">
        <v>481</v>
      </c>
      <c r="D3090" s="87">
        <v>1986.2</v>
      </c>
      <c r="E3090" s="35">
        <v>44680</v>
      </c>
      <c r="F3090" s="87">
        <v>1986.2</v>
      </c>
      <c r="G3090" s="91">
        <f>Tabla15[[#This Row],[Importe]]-Tabla15[[#This Row],[Pagado]]</f>
        <v>0</v>
      </c>
      <c r="H3090" s="92" t="s">
        <v>10</v>
      </c>
    </row>
    <row r="3091" spans="1:8" ht="21.75" customHeight="1" x14ac:dyDescent="0.25">
      <c r="A3091" s="35">
        <v>44680</v>
      </c>
      <c r="B3091" s="90" t="s">
        <v>13783</v>
      </c>
      <c r="C3091" s="41" t="s">
        <v>24</v>
      </c>
      <c r="D3091" s="87">
        <v>2364</v>
      </c>
      <c r="E3091" s="35">
        <v>44680</v>
      </c>
      <c r="F3091" s="87">
        <v>2364</v>
      </c>
      <c r="G3091" s="91">
        <f>Tabla15[[#This Row],[Importe]]-Tabla15[[#This Row],[Pagado]]</f>
        <v>0</v>
      </c>
      <c r="H3091" s="92" t="s">
        <v>10</v>
      </c>
    </row>
    <row r="3092" spans="1:8" ht="21.75" customHeight="1" x14ac:dyDescent="0.25">
      <c r="A3092" s="35">
        <v>44680</v>
      </c>
      <c r="B3092" s="90" t="s">
        <v>13784</v>
      </c>
      <c r="C3092" s="41" t="s">
        <v>31</v>
      </c>
      <c r="D3092" s="87">
        <v>179.2</v>
      </c>
      <c r="E3092" s="35">
        <v>44680</v>
      </c>
      <c r="F3092" s="87">
        <v>179.2</v>
      </c>
      <c r="G3092" s="91">
        <f>Tabla15[[#This Row],[Importe]]-Tabla15[[#This Row],[Pagado]]</f>
        <v>0</v>
      </c>
      <c r="H3092" s="92" t="s">
        <v>10</v>
      </c>
    </row>
    <row r="3093" spans="1:8" ht="21.75" customHeight="1" x14ac:dyDescent="0.25">
      <c r="A3093" s="35">
        <v>44680</v>
      </c>
      <c r="B3093" s="90" t="s">
        <v>13785</v>
      </c>
      <c r="C3093" s="41" t="s">
        <v>6376</v>
      </c>
      <c r="D3093" s="87">
        <v>0</v>
      </c>
      <c r="E3093" s="39" t="s">
        <v>189</v>
      </c>
      <c r="F3093" s="87">
        <v>0</v>
      </c>
      <c r="G3093" s="91">
        <f>Tabla15[[#This Row],[Importe]]-Tabla15[[#This Row],[Pagado]]</f>
        <v>0</v>
      </c>
      <c r="H3093" s="92" t="s">
        <v>189</v>
      </c>
    </row>
    <row r="3094" spans="1:8" ht="21.75" customHeight="1" x14ac:dyDescent="0.25">
      <c r="A3094" s="35">
        <v>44680</v>
      </c>
      <c r="B3094" s="90" t="s">
        <v>13786</v>
      </c>
      <c r="C3094" s="41" t="s">
        <v>475</v>
      </c>
      <c r="D3094" s="87">
        <v>75026.3</v>
      </c>
      <c r="E3094" s="35">
        <v>44681</v>
      </c>
      <c r="F3094" s="87">
        <v>75026.3</v>
      </c>
      <c r="G3094" s="91">
        <f>Tabla15[[#This Row],[Importe]]-Tabla15[[#This Row],[Pagado]]</f>
        <v>0</v>
      </c>
      <c r="H3094" s="92" t="s">
        <v>10</v>
      </c>
    </row>
    <row r="3095" spans="1:8" ht="21.75" customHeight="1" x14ac:dyDescent="0.25">
      <c r="A3095" s="35">
        <v>44680</v>
      </c>
      <c r="B3095" s="90" t="s">
        <v>13787</v>
      </c>
      <c r="C3095" s="41" t="s">
        <v>31</v>
      </c>
      <c r="D3095" s="87">
        <v>2559.6</v>
      </c>
      <c r="E3095" s="35">
        <v>44680</v>
      </c>
      <c r="F3095" s="87">
        <v>2559.6</v>
      </c>
      <c r="G3095" s="91">
        <f>Tabla15[[#This Row],[Importe]]-Tabla15[[#This Row],[Pagado]]</f>
        <v>0</v>
      </c>
      <c r="H3095" s="92" t="s">
        <v>10</v>
      </c>
    </row>
    <row r="3096" spans="1:8" ht="21.75" customHeight="1" x14ac:dyDescent="0.25">
      <c r="A3096" s="35">
        <v>44680</v>
      </c>
      <c r="B3096" s="90" t="s">
        <v>13788</v>
      </c>
      <c r="C3096" s="41" t="s">
        <v>47</v>
      </c>
      <c r="D3096" s="87">
        <v>54789.919999999998</v>
      </c>
      <c r="E3096" s="35">
        <v>44680</v>
      </c>
      <c r="F3096" s="87">
        <v>54789.919999999998</v>
      </c>
      <c r="G3096" s="91">
        <f>Tabla15[[#This Row],[Importe]]-Tabla15[[#This Row],[Pagado]]</f>
        <v>0</v>
      </c>
      <c r="H3096" s="92" t="s">
        <v>10</v>
      </c>
    </row>
    <row r="3097" spans="1:8" ht="21.75" customHeight="1" x14ac:dyDescent="0.25">
      <c r="A3097" s="35">
        <v>44680</v>
      </c>
      <c r="B3097" s="90" t="s">
        <v>13789</v>
      </c>
      <c r="C3097" s="41" t="s">
        <v>9</v>
      </c>
      <c r="D3097" s="87">
        <v>9758.2999999999993</v>
      </c>
      <c r="E3097" s="35">
        <v>44680</v>
      </c>
      <c r="F3097" s="87">
        <v>9758.2999999999993</v>
      </c>
      <c r="G3097" s="91">
        <f>Tabla15[[#This Row],[Importe]]-Tabla15[[#This Row],[Pagado]]</f>
        <v>0</v>
      </c>
      <c r="H3097" s="92" t="s">
        <v>10</v>
      </c>
    </row>
    <row r="3098" spans="1:8" ht="31.5" x14ac:dyDescent="0.25">
      <c r="A3098" s="35">
        <v>44680</v>
      </c>
      <c r="B3098" s="90" t="s">
        <v>13790</v>
      </c>
      <c r="C3098" s="41" t="s">
        <v>22</v>
      </c>
      <c r="D3098" s="87">
        <v>47945.9</v>
      </c>
      <c r="E3098" s="35" t="s">
        <v>14067</v>
      </c>
      <c r="F3098" s="87">
        <f>46000+1945.9</f>
        <v>47945.9</v>
      </c>
      <c r="G3098" s="91">
        <f>Tabla15[[#This Row],[Importe]]-Tabla15[[#This Row],[Pagado]]</f>
        <v>0</v>
      </c>
      <c r="H3098" s="92" t="s">
        <v>10</v>
      </c>
    </row>
    <row r="3099" spans="1:8" ht="21.75" customHeight="1" x14ac:dyDescent="0.25">
      <c r="A3099" s="35">
        <v>44680</v>
      </c>
      <c r="B3099" s="90" t="s">
        <v>13791</v>
      </c>
      <c r="C3099" s="41" t="s">
        <v>212</v>
      </c>
      <c r="D3099" s="87">
        <v>66783.3</v>
      </c>
      <c r="E3099" s="35">
        <v>44685</v>
      </c>
      <c r="F3099" s="87">
        <v>66783.3</v>
      </c>
      <c r="G3099" s="91">
        <f>Tabla15[[#This Row],[Importe]]-Tabla15[[#This Row],[Pagado]]</f>
        <v>0</v>
      </c>
      <c r="H3099" s="92" t="s">
        <v>10</v>
      </c>
    </row>
    <row r="3100" spans="1:8" ht="21.75" customHeight="1" x14ac:dyDescent="0.25">
      <c r="A3100" s="35">
        <v>44680</v>
      </c>
      <c r="B3100" s="90" t="s">
        <v>13792</v>
      </c>
      <c r="C3100" s="41" t="s">
        <v>12</v>
      </c>
      <c r="D3100" s="87">
        <v>51590.400000000001</v>
      </c>
      <c r="E3100" s="35">
        <v>44680</v>
      </c>
      <c r="F3100" s="87">
        <v>51590.400000000001</v>
      </c>
      <c r="G3100" s="91">
        <f>Tabla15[[#This Row],[Importe]]-Tabla15[[#This Row],[Pagado]]</f>
        <v>0</v>
      </c>
      <c r="H3100" s="92" t="s">
        <v>10</v>
      </c>
    </row>
    <row r="3101" spans="1:8" ht="21.75" customHeight="1" x14ac:dyDescent="0.25">
      <c r="A3101" s="35">
        <v>44680</v>
      </c>
      <c r="B3101" s="90" t="s">
        <v>13793</v>
      </c>
      <c r="C3101" s="41" t="s">
        <v>85</v>
      </c>
      <c r="D3101" s="87">
        <v>4165.7</v>
      </c>
      <c r="E3101" s="35">
        <v>44680</v>
      </c>
      <c r="F3101" s="87">
        <v>4165.7</v>
      </c>
      <c r="G3101" s="91">
        <f>Tabla15[[#This Row],[Importe]]-Tabla15[[#This Row],[Pagado]]</f>
        <v>0</v>
      </c>
      <c r="H3101" s="92" t="s">
        <v>10</v>
      </c>
    </row>
    <row r="3102" spans="1:8" ht="21.75" customHeight="1" x14ac:dyDescent="0.25">
      <c r="A3102" s="35">
        <v>44680</v>
      </c>
      <c r="B3102" s="90" t="s">
        <v>13794</v>
      </c>
      <c r="C3102" s="41" t="s">
        <v>83</v>
      </c>
      <c r="D3102" s="87">
        <v>10514.4</v>
      </c>
      <c r="E3102" s="35">
        <v>44680</v>
      </c>
      <c r="F3102" s="87">
        <v>10514.4</v>
      </c>
      <c r="G3102" s="91">
        <f>Tabla15[[#This Row],[Importe]]-Tabla15[[#This Row],[Pagado]]</f>
        <v>0</v>
      </c>
      <c r="H3102" s="92" t="s">
        <v>10</v>
      </c>
    </row>
    <row r="3103" spans="1:8" ht="21.75" customHeight="1" x14ac:dyDescent="0.25">
      <c r="A3103" s="35">
        <v>44680</v>
      </c>
      <c r="B3103" s="90" t="s">
        <v>13795</v>
      </c>
      <c r="C3103" s="41" t="s">
        <v>27</v>
      </c>
      <c r="D3103" s="87">
        <v>1638</v>
      </c>
      <c r="E3103" s="35">
        <v>44680</v>
      </c>
      <c r="F3103" s="87">
        <v>1638</v>
      </c>
      <c r="G3103" s="91">
        <f>Tabla15[[#This Row],[Importe]]-Tabla15[[#This Row],[Pagado]]</f>
        <v>0</v>
      </c>
      <c r="H3103" s="92" t="s">
        <v>10</v>
      </c>
    </row>
    <row r="3104" spans="1:8" ht="21.75" customHeight="1" x14ac:dyDescent="0.25">
      <c r="A3104" s="35">
        <v>44680</v>
      </c>
      <c r="B3104" s="90" t="s">
        <v>13796</v>
      </c>
      <c r="C3104" s="41" t="s">
        <v>154</v>
      </c>
      <c r="D3104" s="87">
        <v>62254.3</v>
      </c>
      <c r="E3104" s="35">
        <v>44685</v>
      </c>
      <c r="F3104" s="87">
        <v>62254.3</v>
      </c>
      <c r="G3104" s="91">
        <f>Tabla15[[#This Row],[Importe]]-Tabla15[[#This Row],[Pagado]]</f>
        <v>0</v>
      </c>
      <c r="H3104" s="92" t="s">
        <v>10</v>
      </c>
    </row>
    <row r="3105" spans="1:8" ht="21.75" customHeight="1" x14ac:dyDescent="0.25">
      <c r="A3105" s="35">
        <v>44680</v>
      </c>
      <c r="B3105" s="90" t="s">
        <v>13797</v>
      </c>
      <c r="C3105" s="41" t="s">
        <v>218</v>
      </c>
      <c r="D3105" s="87">
        <v>35122.6</v>
      </c>
      <c r="E3105" s="35">
        <v>44685</v>
      </c>
      <c r="F3105" s="87">
        <v>35122.6</v>
      </c>
      <c r="G3105" s="91">
        <f>Tabla15[[#This Row],[Importe]]-Tabla15[[#This Row],[Pagado]]</f>
        <v>0</v>
      </c>
      <c r="H3105" s="92" t="s">
        <v>10</v>
      </c>
    </row>
    <row r="3106" spans="1:8" ht="21.75" customHeight="1" x14ac:dyDescent="0.25">
      <c r="A3106" s="35">
        <v>44680</v>
      </c>
      <c r="B3106" s="90" t="s">
        <v>13798</v>
      </c>
      <c r="C3106" s="41" t="s">
        <v>314</v>
      </c>
      <c r="D3106" s="87">
        <v>3383.1</v>
      </c>
      <c r="E3106" s="35">
        <v>44680</v>
      </c>
      <c r="F3106" s="87">
        <v>3383.1</v>
      </c>
      <c r="G3106" s="91">
        <f>Tabla15[[#This Row],[Importe]]-Tabla15[[#This Row],[Pagado]]</f>
        <v>0</v>
      </c>
      <c r="H3106" s="92" t="s">
        <v>10</v>
      </c>
    </row>
    <row r="3107" spans="1:8" ht="21.75" customHeight="1" x14ac:dyDescent="0.25">
      <c r="A3107" s="35">
        <v>44680</v>
      </c>
      <c r="B3107" s="90" t="s">
        <v>13799</v>
      </c>
      <c r="C3107" s="41" t="s">
        <v>484</v>
      </c>
      <c r="D3107" s="87">
        <v>5612.8</v>
      </c>
      <c r="E3107" s="35">
        <v>44680</v>
      </c>
      <c r="F3107" s="87">
        <v>5612.8</v>
      </c>
      <c r="G3107" s="91">
        <f>Tabla15[[#This Row],[Importe]]-Tabla15[[#This Row],[Pagado]]</f>
        <v>0</v>
      </c>
      <c r="H3107" s="92" t="s">
        <v>10</v>
      </c>
    </row>
    <row r="3108" spans="1:8" ht="21.75" customHeight="1" x14ac:dyDescent="0.25">
      <c r="A3108" s="35">
        <v>44680</v>
      </c>
      <c r="B3108" s="90" t="s">
        <v>13800</v>
      </c>
      <c r="C3108" s="41" t="s">
        <v>87</v>
      </c>
      <c r="D3108" s="87">
        <v>3852.8</v>
      </c>
      <c r="E3108" s="35">
        <v>44680</v>
      </c>
      <c r="F3108" s="87">
        <v>3852.8</v>
      </c>
      <c r="G3108" s="91">
        <f>Tabla15[[#This Row],[Importe]]-Tabla15[[#This Row],[Pagado]]</f>
        <v>0</v>
      </c>
      <c r="H3108" s="92" t="s">
        <v>10</v>
      </c>
    </row>
    <row r="3109" spans="1:8" ht="21.75" customHeight="1" x14ac:dyDescent="0.25">
      <c r="A3109" s="35">
        <v>44680</v>
      </c>
      <c r="B3109" s="90" t="s">
        <v>13801</v>
      </c>
      <c r="C3109" s="41" t="s">
        <v>208</v>
      </c>
      <c r="D3109" s="87">
        <v>13135.7</v>
      </c>
      <c r="E3109" s="35">
        <v>44685</v>
      </c>
      <c r="F3109" s="87">
        <v>13135.7</v>
      </c>
      <c r="G3109" s="91">
        <f>Tabla15[[#This Row],[Importe]]-Tabla15[[#This Row],[Pagado]]</f>
        <v>0</v>
      </c>
      <c r="H3109" s="92" t="s">
        <v>10</v>
      </c>
    </row>
    <row r="3110" spans="1:8" ht="21.75" customHeight="1" x14ac:dyDescent="0.25">
      <c r="A3110" s="35">
        <v>44680</v>
      </c>
      <c r="B3110" s="90" t="s">
        <v>13802</v>
      </c>
      <c r="C3110" s="41" t="s">
        <v>326</v>
      </c>
      <c r="D3110" s="87">
        <v>4743</v>
      </c>
      <c r="E3110" s="35">
        <v>44681</v>
      </c>
      <c r="F3110" s="87">
        <v>4743</v>
      </c>
      <c r="G3110" s="91">
        <f>Tabla15[[#This Row],[Importe]]-Tabla15[[#This Row],[Pagado]]</f>
        <v>0</v>
      </c>
      <c r="H3110" s="92" t="s">
        <v>10</v>
      </c>
    </row>
    <row r="3111" spans="1:8" ht="21.75" customHeight="1" x14ac:dyDescent="0.25">
      <c r="A3111" s="35">
        <v>44680</v>
      </c>
      <c r="B3111" s="90" t="s">
        <v>13803</v>
      </c>
      <c r="C3111" s="41" t="s">
        <v>60</v>
      </c>
      <c r="D3111" s="87">
        <v>4563.3</v>
      </c>
      <c r="E3111" s="35">
        <v>44682</v>
      </c>
      <c r="F3111" s="87">
        <v>4563.3</v>
      </c>
      <c r="G3111" s="91">
        <f>Tabla15[[#This Row],[Importe]]-Tabla15[[#This Row],[Pagado]]</f>
        <v>0</v>
      </c>
      <c r="H3111" s="92" t="s">
        <v>10</v>
      </c>
    </row>
    <row r="3112" spans="1:8" ht="21.75" customHeight="1" x14ac:dyDescent="0.25">
      <c r="A3112" s="35">
        <v>44680</v>
      </c>
      <c r="B3112" s="90" t="s">
        <v>13804</v>
      </c>
      <c r="C3112" s="41" t="s">
        <v>10742</v>
      </c>
      <c r="D3112" s="87">
        <v>4621.6000000000004</v>
      </c>
      <c r="E3112" s="35">
        <v>44680</v>
      </c>
      <c r="F3112" s="87">
        <v>4621.6000000000004</v>
      </c>
      <c r="G3112" s="91">
        <f>Tabla15[[#This Row],[Importe]]-Tabla15[[#This Row],[Pagado]]</f>
        <v>0</v>
      </c>
      <c r="H3112" s="92" t="s">
        <v>10</v>
      </c>
    </row>
    <row r="3113" spans="1:8" ht="21.75" customHeight="1" x14ac:dyDescent="0.25">
      <c r="A3113" s="35">
        <v>44680</v>
      </c>
      <c r="B3113" s="90" t="s">
        <v>13805</v>
      </c>
      <c r="C3113" s="41" t="s">
        <v>2563</v>
      </c>
      <c r="D3113" s="87">
        <v>5342.4</v>
      </c>
      <c r="E3113" s="35">
        <v>44680</v>
      </c>
      <c r="F3113" s="87">
        <v>5342.4</v>
      </c>
      <c r="G3113" s="91">
        <f>Tabla15[[#This Row],[Importe]]-Tabla15[[#This Row],[Pagado]]</f>
        <v>0</v>
      </c>
      <c r="H3113" s="92" t="s">
        <v>10</v>
      </c>
    </row>
    <row r="3114" spans="1:8" ht="21.75" customHeight="1" x14ac:dyDescent="0.25">
      <c r="A3114" s="35">
        <v>44680</v>
      </c>
      <c r="B3114" s="90" t="s">
        <v>13806</v>
      </c>
      <c r="C3114" s="41" t="s">
        <v>31</v>
      </c>
      <c r="D3114" s="87">
        <v>3621.1</v>
      </c>
      <c r="E3114" s="35">
        <v>44680</v>
      </c>
      <c r="F3114" s="87">
        <v>3621.1</v>
      </c>
      <c r="G3114" s="91">
        <f>Tabla15[[#This Row],[Importe]]-Tabla15[[#This Row],[Pagado]]</f>
        <v>0</v>
      </c>
      <c r="H3114" s="92" t="s">
        <v>10</v>
      </c>
    </row>
    <row r="3115" spans="1:8" ht="21.75" customHeight="1" x14ac:dyDescent="0.25">
      <c r="A3115" s="35">
        <v>44680</v>
      </c>
      <c r="B3115" s="90" t="s">
        <v>13807</v>
      </c>
      <c r="C3115" s="41" t="s">
        <v>206</v>
      </c>
      <c r="D3115" s="87">
        <v>19781</v>
      </c>
      <c r="E3115" s="35">
        <v>44685</v>
      </c>
      <c r="F3115" s="87">
        <v>19781</v>
      </c>
      <c r="G3115" s="91">
        <f>Tabla15[[#This Row],[Importe]]-Tabla15[[#This Row],[Pagado]]</f>
        <v>0</v>
      </c>
      <c r="H3115" s="92" t="s">
        <v>10</v>
      </c>
    </row>
    <row r="3116" spans="1:8" ht="21.75" customHeight="1" x14ac:dyDescent="0.25">
      <c r="A3116" s="35">
        <v>44680</v>
      </c>
      <c r="B3116" s="90" t="s">
        <v>13808</v>
      </c>
      <c r="C3116" s="41" t="s">
        <v>105</v>
      </c>
      <c r="D3116" s="87">
        <v>5472.6</v>
      </c>
      <c r="E3116" s="35">
        <v>44681</v>
      </c>
      <c r="F3116" s="87">
        <v>5472.6</v>
      </c>
      <c r="G3116" s="91">
        <f>Tabla15[[#This Row],[Importe]]-Tabla15[[#This Row],[Pagado]]</f>
        <v>0</v>
      </c>
      <c r="H3116" s="92" t="s">
        <v>10</v>
      </c>
    </row>
    <row r="3117" spans="1:8" ht="21.75" customHeight="1" x14ac:dyDescent="0.25">
      <c r="A3117" s="35">
        <v>44680</v>
      </c>
      <c r="B3117" s="90" t="s">
        <v>13809</v>
      </c>
      <c r="C3117" s="41" t="s">
        <v>89</v>
      </c>
      <c r="D3117" s="87">
        <v>10104</v>
      </c>
      <c r="E3117" s="35">
        <v>44681</v>
      </c>
      <c r="F3117" s="87">
        <v>10104</v>
      </c>
      <c r="G3117" s="91">
        <f>Tabla15[[#This Row],[Importe]]-Tabla15[[#This Row],[Pagado]]</f>
        <v>0</v>
      </c>
      <c r="H3117" s="92" t="s">
        <v>10</v>
      </c>
    </row>
    <row r="3118" spans="1:8" ht="21.75" customHeight="1" x14ac:dyDescent="0.25">
      <c r="A3118" s="35">
        <v>44680</v>
      </c>
      <c r="B3118" s="90" t="s">
        <v>13810</v>
      </c>
      <c r="C3118" s="41" t="s">
        <v>93</v>
      </c>
      <c r="D3118" s="87">
        <v>2551.8000000000002</v>
      </c>
      <c r="E3118" s="35">
        <v>44681</v>
      </c>
      <c r="F3118" s="87">
        <v>2551.8000000000002</v>
      </c>
      <c r="G3118" s="91">
        <f>Tabla15[[#This Row],[Importe]]-Tabla15[[#This Row],[Pagado]]</f>
        <v>0</v>
      </c>
      <c r="H3118" s="92" t="s">
        <v>10</v>
      </c>
    </row>
    <row r="3119" spans="1:8" ht="21.75" customHeight="1" x14ac:dyDescent="0.25">
      <c r="A3119" s="35">
        <v>44680</v>
      </c>
      <c r="B3119" s="90" t="s">
        <v>13811</v>
      </c>
      <c r="C3119" s="41" t="s">
        <v>99</v>
      </c>
      <c r="D3119" s="87">
        <v>1827</v>
      </c>
      <c r="E3119" s="35">
        <v>44681</v>
      </c>
      <c r="F3119" s="87">
        <v>1827</v>
      </c>
      <c r="G3119" s="91">
        <f>Tabla15[[#This Row],[Importe]]-Tabla15[[#This Row],[Pagado]]</f>
        <v>0</v>
      </c>
      <c r="H3119" s="92" t="s">
        <v>10</v>
      </c>
    </row>
    <row r="3120" spans="1:8" ht="21.75" customHeight="1" x14ac:dyDescent="0.25">
      <c r="A3120" s="35">
        <v>44680</v>
      </c>
      <c r="B3120" s="90" t="s">
        <v>13812</v>
      </c>
      <c r="C3120" s="41" t="s">
        <v>135</v>
      </c>
      <c r="D3120" s="87">
        <v>928</v>
      </c>
      <c r="E3120" s="35">
        <v>44680</v>
      </c>
      <c r="F3120" s="87">
        <v>928</v>
      </c>
      <c r="G3120" s="91">
        <f>Tabla15[[#This Row],[Importe]]-Tabla15[[#This Row],[Pagado]]</f>
        <v>0</v>
      </c>
      <c r="H3120" s="92" t="s">
        <v>10</v>
      </c>
    </row>
    <row r="3121" spans="1:8" ht="21.75" customHeight="1" x14ac:dyDescent="0.25">
      <c r="A3121" s="35">
        <v>44680</v>
      </c>
      <c r="B3121" s="90" t="s">
        <v>13813</v>
      </c>
      <c r="C3121" s="41" t="s">
        <v>31</v>
      </c>
      <c r="D3121" s="87">
        <v>6065.2</v>
      </c>
      <c r="E3121" s="35">
        <v>44680</v>
      </c>
      <c r="F3121" s="87">
        <v>6065.2</v>
      </c>
      <c r="G3121" s="91">
        <f>Tabla15[[#This Row],[Importe]]-Tabla15[[#This Row],[Pagado]]</f>
        <v>0</v>
      </c>
      <c r="H3121" s="92" t="s">
        <v>10</v>
      </c>
    </row>
    <row r="3122" spans="1:8" ht="21.75" customHeight="1" x14ac:dyDescent="0.25">
      <c r="A3122" s="35">
        <v>44680</v>
      </c>
      <c r="B3122" s="90" t="s">
        <v>13814</v>
      </c>
      <c r="C3122" s="41" t="s">
        <v>97</v>
      </c>
      <c r="D3122" s="87">
        <v>9708.2999999999993</v>
      </c>
      <c r="E3122" s="35">
        <v>44681</v>
      </c>
      <c r="F3122" s="87">
        <v>9708.2999999999993</v>
      </c>
      <c r="G3122" s="91">
        <f>Tabla15[[#This Row],[Importe]]-Tabla15[[#This Row],[Pagado]]</f>
        <v>0</v>
      </c>
      <c r="H3122" s="92" t="s">
        <v>10</v>
      </c>
    </row>
    <row r="3123" spans="1:8" ht="21.75" customHeight="1" x14ac:dyDescent="0.25">
      <c r="A3123" s="35">
        <v>44680</v>
      </c>
      <c r="B3123" s="90" t="s">
        <v>13815</v>
      </c>
      <c r="C3123" s="41" t="s">
        <v>348</v>
      </c>
      <c r="D3123" s="87">
        <v>5936.7</v>
      </c>
      <c r="E3123" s="35">
        <v>44681</v>
      </c>
      <c r="F3123" s="87">
        <v>5936.7</v>
      </c>
      <c r="G3123" s="91">
        <f>Tabla15[[#This Row],[Importe]]-Tabla15[[#This Row],[Pagado]]</f>
        <v>0</v>
      </c>
      <c r="H3123" s="92" t="s">
        <v>10</v>
      </c>
    </row>
    <row r="3124" spans="1:8" ht="21.75" customHeight="1" x14ac:dyDescent="0.25">
      <c r="A3124" s="35">
        <v>44680</v>
      </c>
      <c r="B3124" s="90" t="s">
        <v>13816</v>
      </c>
      <c r="C3124" s="41" t="s">
        <v>64</v>
      </c>
      <c r="D3124" s="87">
        <v>12892.7</v>
      </c>
      <c r="E3124" s="35">
        <v>44681</v>
      </c>
      <c r="F3124" s="87">
        <v>12892.7</v>
      </c>
      <c r="G3124" s="91">
        <f>Tabla15[[#This Row],[Importe]]-Tabla15[[#This Row],[Pagado]]</f>
        <v>0</v>
      </c>
      <c r="H3124" s="92" t="s">
        <v>10</v>
      </c>
    </row>
    <row r="3125" spans="1:8" ht="21.75" customHeight="1" x14ac:dyDescent="0.25">
      <c r="A3125" s="35">
        <v>44680</v>
      </c>
      <c r="B3125" s="90" t="s">
        <v>13817</v>
      </c>
      <c r="C3125" s="41" t="s">
        <v>114</v>
      </c>
      <c r="D3125" s="87">
        <v>10572.9</v>
      </c>
      <c r="E3125" s="35">
        <v>44681</v>
      </c>
      <c r="F3125" s="87">
        <v>10572.9</v>
      </c>
      <c r="G3125" s="91">
        <f>Tabla15[[#This Row],[Importe]]-Tabla15[[#This Row],[Pagado]]</f>
        <v>0</v>
      </c>
      <c r="H3125" s="92" t="s">
        <v>10</v>
      </c>
    </row>
    <row r="3126" spans="1:8" ht="31.5" x14ac:dyDescent="0.25">
      <c r="A3126" s="35">
        <v>44680</v>
      </c>
      <c r="B3126" s="90" t="s">
        <v>13818</v>
      </c>
      <c r="C3126" s="41" t="s">
        <v>39</v>
      </c>
      <c r="D3126" s="87">
        <v>18496.099999999999</v>
      </c>
      <c r="E3126" s="35" t="s">
        <v>14068</v>
      </c>
      <c r="F3126" s="87">
        <f>9000+9496.1</f>
        <v>18496.099999999999</v>
      </c>
      <c r="G3126" s="91">
        <f>Tabla15[[#This Row],[Importe]]-Tabla15[[#This Row],[Pagado]]</f>
        <v>0</v>
      </c>
      <c r="H3126" s="92" t="s">
        <v>10</v>
      </c>
    </row>
    <row r="3127" spans="1:8" ht="21.75" customHeight="1" x14ac:dyDescent="0.25">
      <c r="A3127" s="35">
        <v>44680</v>
      </c>
      <c r="B3127" s="90" t="s">
        <v>13819</v>
      </c>
      <c r="C3127" s="41" t="s">
        <v>2151</v>
      </c>
      <c r="D3127" s="87">
        <v>15865.8</v>
      </c>
      <c r="E3127" s="35">
        <v>44680</v>
      </c>
      <c r="F3127" s="87">
        <v>15865.8</v>
      </c>
      <c r="G3127" s="91">
        <f>Tabla15[[#This Row],[Importe]]-Tabla15[[#This Row],[Pagado]]</f>
        <v>0</v>
      </c>
      <c r="H3127" s="92" t="s">
        <v>10</v>
      </c>
    </row>
    <row r="3128" spans="1:8" ht="21.75" customHeight="1" x14ac:dyDescent="0.25">
      <c r="A3128" s="35">
        <v>44680</v>
      </c>
      <c r="B3128" s="90" t="s">
        <v>13820</v>
      </c>
      <c r="C3128" s="41" t="s">
        <v>647</v>
      </c>
      <c r="D3128" s="87">
        <v>627.20000000000005</v>
      </c>
      <c r="E3128" s="35">
        <v>44680</v>
      </c>
      <c r="F3128" s="87">
        <v>627.20000000000005</v>
      </c>
      <c r="G3128" s="91">
        <f>Tabla15[[#This Row],[Importe]]-Tabla15[[#This Row],[Pagado]]</f>
        <v>0</v>
      </c>
      <c r="H3128" s="92" t="s">
        <v>10</v>
      </c>
    </row>
    <row r="3129" spans="1:8" ht="21.75" customHeight="1" x14ac:dyDescent="0.25">
      <c r="A3129" s="35">
        <v>44680</v>
      </c>
      <c r="B3129" s="90" t="s">
        <v>13821</v>
      </c>
      <c r="C3129" s="41" t="s">
        <v>49</v>
      </c>
      <c r="D3129" s="87">
        <v>2622.7</v>
      </c>
      <c r="E3129" s="35">
        <v>44680</v>
      </c>
      <c r="F3129" s="87">
        <v>2622.7</v>
      </c>
      <c r="G3129" s="91">
        <f>Tabla15[[#This Row],[Importe]]-Tabla15[[#This Row],[Pagado]]</f>
        <v>0</v>
      </c>
      <c r="H3129" s="92" t="s">
        <v>10</v>
      </c>
    </row>
    <row r="3130" spans="1:8" ht="21.75" customHeight="1" x14ac:dyDescent="0.25">
      <c r="A3130" s="35">
        <v>44680</v>
      </c>
      <c r="B3130" s="90" t="s">
        <v>13822</v>
      </c>
      <c r="C3130" s="41" t="s">
        <v>357</v>
      </c>
      <c r="D3130" s="87">
        <v>492.8</v>
      </c>
      <c r="E3130" s="35">
        <v>44680</v>
      </c>
      <c r="F3130" s="87">
        <v>492.8</v>
      </c>
      <c r="G3130" s="91">
        <f>Tabla15[[#This Row],[Importe]]-Tabla15[[#This Row],[Pagado]]</f>
        <v>0</v>
      </c>
      <c r="H3130" s="92" t="s">
        <v>10</v>
      </c>
    </row>
    <row r="3131" spans="1:8" ht="21.75" customHeight="1" x14ac:dyDescent="0.25">
      <c r="A3131" s="35">
        <v>44680</v>
      </c>
      <c r="B3131" s="90" t="s">
        <v>13823</v>
      </c>
      <c r="C3131" s="41" t="s">
        <v>196</v>
      </c>
      <c r="D3131" s="87">
        <v>66412.5</v>
      </c>
      <c r="E3131" s="35">
        <v>44681</v>
      </c>
      <c r="F3131" s="87">
        <v>66412.5</v>
      </c>
      <c r="G3131" s="91">
        <f>Tabla15[[#This Row],[Importe]]-Tabla15[[#This Row],[Pagado]]</f>
        <v>0</v>
      </c>
      <c r="H3131" s="92" t="s">
        <v>10</v>
      </c>
    </row>
    <row r="3132" spans="1:8" ht="21.75" customHeight="1" x14ac:dyDescent="0.25">
      <c r="A3132" s="35">
        <v>44680</v>
      </c>
      <c r="B3132" s="90" t="s">
        <v>13824</v>
      </c>
      <c r="C3132" s="41" t="s">
        <v>339</v>
      </c>
      <c r="D3132" s="87">
        <v>537.6</v>
      </c>
      <c r="E3132" s="35">
        <v>44680</v>
      </c>
      <c r="F3132" s="87">
        <v>537.6</v>
      </c>
      <c r="G3132" s="91">
        <f>Tabla15[[#This Row],[Importe]]-Tabla15[[#This Row],[Pagado]]</f>
        <v>0</v>
      </c>
      <c r="H3132" s="92" t="s">
        <v>10</v>
      </c>
    </row>
    <row r="3133" spans="1:8" ht="21.75" customHeight="1" x14ac:dyDescent="0.25">
      <c r="A3133" s="35">
        <v>44680</v>
      </c>
      <c r="B3133" s="90" t="s">
        <v>13825</v>
      </c>
      <c r="C3133" s="41" t="s">
        <v>140</v>
      </c>
      <c r="D3133" s="87">
        <v>979.2</v>
      </c>
      <c r="E3133" s="35">
        <v>44680</v>
      </c>
      <c r="F3133" s="87">
        <v>979.2</v>
      </c>
      <c r="G3133" s="91">
        <f>Tabla15[[#This Row],[Importe]]-Tabla15[[#This Row],[Pagado]]</f>
        <v>0</v>
      </c>
      <c r="H3133" s="92" t="s">
        <v>10</v>
      </c>
    </row>
    <row r="3134" spans="1:8" ht="21.75" customHeight="1" x14ac:dyDescent="0.25">
      <c r="A3134" s="35">
        <v>44680</v>
      </c>
      <c r="B3134" s="90" t="s">
        <v>13826</v>
      </c>
      <c r="C3134" s="41" t="s">
        <v>216</v>
      </c>
      <c r="D3134" s="87">
        <v>1537.2</v>
      </c>
      <c r="E3134" s="35">
        <v>44680</v>
      </c>
      <c r="F3134" s="87">
        <v>1537.2</v>
      </c>
      <c r="G3134" s="91">
        <f>Tabla15[[#This Row],[Importe]]-Tabla15[[#This Row],[Pagado]]</f>
        <v>0</v>
      </c>
      <c r="H3134" s="92" t="s">
        <v>10</v>
      </c>
    </row>
    <row r="3135" spans="1:8" ht="21.75" customHeight="1" x14ac:dyDescent="0.25">
      <c r="A3135" s="35">
        <v>44680</v>
      </c>
      <c r="B3135" s="90" t="s">
        <v>13827</v>
      </c>
      <c r="C3135" s="41" t="s">
        <v>11121</v>
      </c>
      <c r="D3135" s="87">
        <v>51844.99</v>
      </c>
      <c r="E3135" s="35">
        <v>44680</v>
      </c>
      <c r="F3135" s="87">
        <v>51844.99</v>
      </c>
      <c r="G3135" s="91">
        <f>Tabla15[[#This Row],[Importe]]-Tabla15[[#This Row],[Pagado]]</f>
        <v>0</v>
      </c>
      <c r="H3135" s="92" t="s">
        <v>10</v>
      </c>
    </row>
    <row r="3136" spans="1:8" ht="21.75" customHeight="1" x14ac:dyDescent="0.25">
      <c r="A3136" s="35">
        <v>44680</v>
      </c>
      <c r="B3136" s="90" t="s">
        <v>13828</v>
      </c>
      <c r="C3136" s="41" t="s">
        <v>129</v>
      </c>
      <c r="D3136" s="87">
        <v>4839.3999999999996</v>
      </c>
      <c r="E3136" s="35">
        <v>44680</v>
      </c>
      <c r="F3136" s="87">
        <v>4839.3999999999996</v>
      </c>
      <c r="G3136" s="91">
        <f>Tabla15[[#This Row],[Importe]]-Tabla15[[#This Row],[Pagado]]</f>
        <v>0</v>
      </c>
      <c r="H3136" s="92" t="s">
        <v>10</v>
      </c>
    </row>
    <row r="3137" spans="1:8" ht="21.75" customHeight="1" x14ac:dyDescent="0.25">
      <c r="A3137" s="35">
        <v>44680</v>
      </c>
      <c r="B3137" s="90" t="s">
        <v>13829</v>
      </c>
      <c r="C3137" s="41" t="s">
        <v>127</v>
      </c>
      <c r="D3137" s="87">
        <v>1627.8</v>
      </c>
      <c r="E3137" s="35">
        <v>44680</v>
      </c>
      <c r="F3137" s="87">
        <v>1627.8</v>
      </c>
      <c r="G3137" s="91">
        <f>Tabla15[[#This Row],[Importe]]-Tabla15[[#This Row],[Pagado]]</f>
        <v>0</v>
      </c>
      <c r="H3137" s="92" t="s">
        <v>10</v>
      </c>
    </row>
    <row r="3138" spans="1:8" ht="21.75" customHeight="1" x14ac:dyDescent="0.25">
      <c r="A3138" s="35">
        <v>44680</v>
      </c>
      <c r="B3138" s="90" t="s">
        <v>13830</v>
      </c>
      <c r="C3138" s="41" t="s">
        <v>555</v>
      </c>
      <c r="D3138" s="87">
        <v>27221.4</v>
      </c>
      <c r="E3138" s="35">
        <v>44680</v>
      </c>
      <c r="F3138" s="87">
        <v>27221.4</v>
      </c>
      <c r="G3138" s="91">
        <f>Tabla15[[#This Row],[Importe]]-Tabla15[[#This Row],[Pagado]]</f>
        <v>0</v>
      </c>
      <c r="H3138" s="92" t="s">
        <v>10</v>
      </c>
    </row>
    <row r="3139" spans="1:8" ht="21.75" customHeight="1" x14ac:dyDescent="0.25">
      <c r="A3139" s="35">
        <v>44680</v>
      </c>
      <c r="B3139" s="90" t="s">
        <v>13831</v>
      </c>
      <c r="C3139" s="41" t="s">
        <v>9365</v>
      </c>
      <c r="D3139" s="87">
        <v>687.6</v>
      </c>
      <c r="E3139" s="35">
        <v>44680</v>
      </c>
      <c r="F3139" s="87">
        <v>687.6</v>
      </c>
      <c r="G3139" s="91">
        <f>Tabla15[[#This Row],[Importe]]-Tabla15[[#This Row],[Pagado]]</f>
        <v>0</v>
      </c>
      <c r="H3139" s="92" t="s">
        <v>10</v>
      </c>
    </row>
    <row r="3140" spans="1:8" ht="21.75" customHeight="1" x14ac:dyDescent="0.25">
      <c r="A3140" s="35">
        <v>44680</v>
      </c>
      <c r="B3140" s="90" t="s">
        <v>13832</v>
      </c>
      <c r="C3140" s="41" t="s">
        <v>45</v>
      </c>
      <c r="D3140" s="87">
        <v>10593</v>
      </c>
      <c r="E3140" s="35">
        <v>44680</v>
      </c>
      <c r="F3140" s="87">
        <v>10593</v>
      </c>
      <c r="G3140" s="91">
        <f>Tabla15[[#This Row],[Importe]]-Tabla15[[#This Row],[Pagado]]</f>
        <v>0</v>
      </c>
      <c r="H3140" s="92" t="s">
        <v>10</v>
      </c>
    </row>
    <row r="3141" spans="1:8" ht="21.75" customHeight="1" x14ac:dyDescent="0.25">
      <c r="A3141" s="35">
        <v>44680</v>
      </c>
      <c r="B3141" s="90" t="s">
        <v>13833</v>
      </c>
      <c r="C3141" s="41" t="s">
        <v>2114</v>
      </c>
      <c r="D3141" s="87">
        <v>1209.5999999999999</v>
      </c>
      <c r="E3141" s="35">
        <v>44680</v>
      </c>
      <c r="F3141" s="87">
        <v>1209.5999999999999</v>
      </c>
      <c r="G3141" s="91">
        <f>Tabla15[[#This Row],[Importe]]-Tabla15[[#This Row],[Pagado]]</f>
        <v>0</v>
      </c>
      <c r="H3141" s="92" t="s">
        <v>10</v>
      </c>
    </row>
    <row r="3142" spans="1:8" ht="21.75" customHeight="1" x14ac:dyDescent="0.25">
      <c r="A3142" s="35">
        <v>44680</v>
      </c>
      <c r="B3142" s="90" t="s">
        <v>13834</v>
      </c>
      <c r="C3142" s="41" t="s">
        <v>3971</v>
      </c>
      <c r="D3142" s="87">
        <v>1213.8</v>
      </c>
      <c r="E3142" s="35">
        <v>44680</v>
      </c>
      <c r="F3142" s="87">
        <v>1213.8</v>
      </c>
      <c r="G3142" s="91">
        <f>Tabla15[[#This Row],[Importe]]-Tabla15[[#This Row],[Pagado]]</f>
        <v>0</v>
      </c>
      <c r="H3142" s="92" t="s">
        <v>10</v>
      </c>
    </row>
    <row r="3143" spans="1:8" ht="21.75" customHeight="1" x14ac:dyDescent="0.25">
      <c r="A3143" s="35">
        <v>44680</v>
      </c>
      <c r="B3143" s="90" t="s">
        <v>13835</v>
      </c>
      <c r="C3143" s="41" t="s">
        <v>142</v>
      </c>
      <c r="D3143" s="87">
        <v>69268.88</v>
      </c>
      <c r="E3143" s="35">
        <v>44722</v>
      </c>
      <c r="F3143" s="87">
        <v>69268.88</v>
      </c>
      <c r="G3143" s="91">
        <f>Tabla15[[#This Row],[Importe]]-Tabla15[[#This Row],[Pagado]]</f>
        <v>0</v>
      </c>
      <c r="H3143" s="92" t="s">
        <v>10</v>
      </c>
    </row>
    <row r="3144" spans="1:8" ht="21.75" customHeight="1" x14ac:dyDescent="0.25">
      <c r="A3144" s="35">
        <v>44680</v>
      </c>
      <c r="B3144" s="90" t="s">
        <v>13836</v>
      </c>
      <c r="C3144" s="41" t="s">
        <v>127</v>
      </c>
      <c r="D3144" s="87">
        <v>3465</v>
      </c>
      <c r="E3144" s="35">
        <v>44680</v>
      </c>
      <c r="F3144" s="87">
        <v>3465</v>
      </c>
      <c r="G3144" s="91">
        <f>Tabla15[[#This Row],[Importe]]-Tabla15[[#This Row],[Pagado]]</f>
        <v>0</v>
      </c>
      <c r="H3144" s="92" t="s">
        <v>10</v>
      </c>
    </row>
    <row r="3145" spans="1:8" ht="21.75" customHeight="1" x14ac:dyDescent="0.25">
      <c r="A3145" s="35">
        <v>44680</v>
      </c>
      <c r="B3145" s="90" t="s">
        <v>13837</v>
      </c>
      <c r="C3145" s="41" t="s">
        <v>56</v>
      </c>
      <c r="D3145" s="87">
        <v>6389.3</v>
      </c>
      <c r="E3145" s="35">
        <v>44680</v>
      </c>
      <c r="F3145" s="87">
        <v>6389.3</v>
      </c>
      <c r="G3145" s="91">
        <f>Tabla15[[#This Row],[Importe]]-Tabla15[[#This Row],[Pagado]]</f>
        <v>0</v>
      </c>
      <c r="H3145" s="92" t="s">
        <v>10</v>
      </c>
    </row>
    <row r="3146" spans="1:8" ht="21.75" customHeight="1" x14ac:dyDescent="0.25">
      <c r="A3146" s="35">
        <v>44680</v>
      </c>
      <c r="B3146" s="90" t="s">
        <v>13838</v>
      </c>
      <c r="C3146" s="41" t="s">
        <v>31</v>
      </c>
      <c r="D3146" s="87">
        <v>611.1</v>
      </c>
      <c r="E3146" s="35">
        <v>44680</v>
      </c>
      <c r="F3146" s="87">
        <v>611.1</v>
      </c>
      <c r="G3146" s="91">
        <f>Tabla15[[#This Row],[Importe]]-Tabla15[[#This Row],[Pagado]]</f>
        <v>0</v>
      </c>
      <c r="H3146" s="92" t="s">
        <v>10</v>
      </c>
    </row>
    <row r="3147" spans="1:8" ht="21.75" customHeight="1" x14ac:dyDescent="0.25">
      <c r="A3147" s="35">
        <v>44680</v>
      </c>
      <c r="B3147" s="90" t="s">
        <v>13839</v>
      </c>
      <c r="C3147" s="41" t="s">
        <v>224</v>
      </c>
      <c r="D3147" s="87">
        <v>15154.6</v>
      </c>
      <c r="E3147" s="35">
        <v>44687</v>
      </c>
      <c r="F3147" s="87">
        <v>15154.6</v>
      </c>
      <c r="G3147" s="91">
        <f>Tabla15[[#This Row],[Importe]]-Tabla15[[#This Row],[Pagado]]</f>
        <v>0</v>
      </c>
      <c r="H3147" s="92" t="s">
        <v>4814</v>
      </c>
    </row>
    <row r="3148" spans="1:8" ht="21.75" customHeight="1" x14ac:dyDescent="0.25">
      <c r="A3148" s="35">
        <v>44680</v>
      </c>
      <c r="B3148" s="90" t="s">
        <v>13840</v>
      </c>
      <c r="C3148" s="41" t="s">
        <v>198</v>
      </c>
      <c r="D3148" s="87">
        <v>4495.8</v>
      </c>
      <c r="E3148" s="35">
        <v>44680</v>
      </c>
      <c r="F3148" s="87">
        <v>4495.8</v>
      </c>
      <c r="G3148" s="91">
        <f>Tabla15[[#This Row],[Importe]]-Tabla15[[#This Row],[Pagado]]</f>
        <v>0</v>
      </c>
      <c r="H3148" s="92" t="s">
        <v>10</v>
      </c>
    </row>
    <row r="3149" spans="1:8" ht="21.75" customHeight="1" x14ac:dyDescent="0.25">
      <c r="A3149" s="35">
        <v>44680</v>
      </c>
      <c r="B3149" s="90" t="s">
        <v>13841</v>
      </c>
      <c r="C3149" s="41" t="s">
        <v>407</v>
      </c>
      <c r="D3149" s="87">
        <v>4219.2</v>
      </c>
      <c r="E3149" s="35">
        <v>44693</v>
      </c>
      <c r="F3149" s="87">
        <v>4219.2</v>
      </c>
      <c r="G3149" s="91">
        <f>Tabla15[[#This Row],[Importe]]-Tabla15[[#This Row],[Pagado]]</f>
        <v>0</v>
      </c>
      <c r="H3149" s="92" t="s">
        <v>10</v>
      </c>
    </row>
    <row r="3150" spans="1:8" ht="21.75" customHeight="1" x14ac:dyDescent="0.25">
      <c r="A3150" s="35">
        <v>44680</v>
      </c>
      <c r="B3150" s="90" t="s">
        <v>13842</v>
      </c>
      <c r="C3150" s="41" t="s">
        <v>230</v>
      </c>
      <c r="D3150" s="87">
        <v>2200.6999999999998</v>
      </c>
      <c r="E3150" s="35">
        <v>44680</v>
      </c>
      <c r="F3150" s="87">
        <v>2200.6999999999998</v>
      </c>
      <c r="G3150" s="91">
        <f>Tabla15[[#This Row],[Importe]]-Tabla15[[#This Row],[Pagado]]</f>
        <v>0</v>
      </c>
      <c r="H3150" s="92" t="s">
        <v>10</v>
      </c>
    </row>
    <row r="3151" spans="1:8" ht="21.75" customHeight="1" x14ac:dyDescent="0.25">
      <c r="A3151" s="35">
        <v>44680</v>
      </c>
      <c r="B3151" s="90" t="s">
        <v>13843</v>
      </c>
      <c r="C3151" s="41" t="s">
        <v>664</v>
      </c>
      <c r="D3151" s="87">
        <v>5574.4</v>
      </c>
      <c r="E3151" s="35">
        <v>44680</v>
      </c>
      <c r="F3151" s="87">
        <v>5574.4</v>
      </c>
      <c r="G3151" s="91">
        <f>Tabla15[[#This Row],[Importe]]-Tabla15[[#This Row],[Pagado]]</f>
        <v>0</v>
      </c>
      <c r="H3151" s="92" t="s">
        <v>10</v>
      </c>
    </row>
    <row r="3152" spans="1:8" ht="21.75" customHeight="1" x14ac:dyDescent="0.25">
      <c r="A3152" s="35">
        <v>44680</v>
      </c>
      <c r="B3152" s="90" t="s">
        <v>13844</v>
      </c>
      <c r="C3152" s="41" t="s">
        <v>31</v>
      </c>
      <c r="D3152" s="87">
        <v>988.9</v>
      </c>
      <c r="E3152" s="35">
        <v>44680</v>
      </c>
      <c r="F3152" s="87">
        <v>988.9</v>
      </c>
      <c r="G3152" s="91">
        <f>Tabla15[[#This Row],[Importe]]-Tabla15[[#This Row],[Pagado]]</f>
        <v>0</v>
      </c>
      <c r="H3152" s="92" t="s">
        <v>10</v>
      </c>
    </row>
    <row r="3153" spans="1:8" ht="21.75" customHeight="1" x14ac:dyDescent="0.25">
      <c r="A3153" s="35">
        <v>44680</v>
      </c>
      <c r="B3153" s="90" t="s">
        <v>13845</v>
      </c>
      <c r="C3153" s="41" t="s">
        <v>131</v>
      </c>
      <c r="D3153" s="87">
        <v>18600</v>
      </c>
      <c r="E3153" s="35">
        <v>44680</v>
      </c>
      <c r="F3153" s="87">
        <v>18600</v>
      </c>
      <c r="G3153" s="91">
        <f>Tabla15[[#This Row],[Importe]]-Tabla15[[#This Row],[Pagado]]</f>
        <v>0</v>
      </c>
      <c r="H3153" s="92" t="s">
        <v>10</v>
      </c>
    </row>
    <row r="3154" spans="1:8" ht="21.75" customHeight="1" x14ac:dyDescent="0.25">
      <c r="A3154" s="35">
        <v>44680</v>
      </c>
      <c r="B3154" s="90" t="s">
        <v>13846</v>
      </c>
      <c r="C3154" s="41" t="s">
        <v>407</v>
      </c>
      <c r="D3154" s="87">
        <v>2151.8000000000002</v>
      </c>
      <c r="E3154" s="35">
        <v>44681</v>
      </c>
      <c r="F3154" s="87">
        <v>2151.8000000000002</v>
      </c>
      <c r="G3154" s="91">
        <f>Tabla15[[#This Row],[Importe]]-Tabla15[[#This Row],[Pagado]]</f>
        <v>0</v>
      </c>
      <c r="H3154" s="92" t="s">
        <v>10</v>
      </c>
    </row>
    <row r="3155" spans="1:8" ht="21.75" customHeight="1" x14ac:dyDescent="0.25">
      <c r="A3155" s="35">
        <v>44680</v>
      </c>
      <c r="B3155" s="90" t="s">
        <v>13847</v>
      </c>
      <c r="C3155" s="41" t="s">
        <v>179</v>
      </c>
      <c r="D3155" s="87">
        <v>1159.2</v>
      </c>
      <c r="E3155" s="35">
        <v>44680</v>
      </c>
      <c r="F3155" s="87">
        <v>1159.2</v>
      </c>
      <c r="G3155" s="91">
        <f>Tabla15[[#This Row],[Importe]]-Tabla15[[#This Row],[Pagado]]</f>
        <v>0</v>
      </c>
      <c r="H3155" s="92" t="s">
        <v>10</v>
      </c>
    </row>
    <row r="3156" spans="1:8" ht="21.75" customHeight="1" x14ac:dyDescent="0.25">
      <c r="A3156" s="35">
        <v>44680</v>
      </c>
      <c r="B3156" s="90" t="s">
        <v>13848</v>
      </c>
      <c r="C3156" s="41" t="s">
        <v>14</v>
      </c>
      <c r="D3156" s="87">
        <v>26678.9</v>
      </c>
      <c r="E3156" s="35">
        <v>44680</v>
      </c>
      <c r="F3156" s="87">
        <v>26678.9</v>
      </c>
      <c r="G3156" s="91">
        <f>Tabla15[[#This Row],[Importe]]-Tabla15[[#This Row],[Pagado]]</f>
        <v>0</v>
      </c>
      <c r="H3156" s="92" t="s">
        <v>10</v>
      </c>
    </row>
    <row r="3157" spans="1:8" ht="21.75" customHeight="1" x14ac:dyDescent="0.25">
      <c r="A3157" s="35">
        <v>44680</v>
      </c>
      <c r="B3157" s="90" t="s">
        <v>13849</v>
      </c>
      <c r="C3157" s="41" t="s">
        <v>12202</v>
      </c>
      <c r="D3157" s="87">
        <v>5475.6</v>
      </c>
      <c r="E3157" s="35">
        <v>44680</v>
      </c>
      <c r="F3157" s="87">
        <v>5475.6</v>
      </c>
      <c r="G3157" s="91">
        <f>Tabla15[[#This Row],[Importe]]-Tabla15[[#This Row],[Pagado]]</f>
        <v>0</v>
      </c>
      <c r="H3157" s="92" t="s">
        <v>10</v>
      </c>
    </row>
    <row r="3158" spans="1:8" ht="21.75" customHeight="1" x14ac:dyDescent="0.25">
      <c r="A3158" s="35">
        <v>44680</v>
      </c>
      <c r="B3158" s="90" t="s">
        <v>13850</v>
      </c>
      <c r="C3158" s="41" t="s">
        <v>9827</v>
      </c>
      <c r="D3158" s="87">
        <v>548.1</v>
      </c>
      <c r="E3158" s="35">
        <v>44680</v>
      </c>
      <c r="F3158" s="87">
        <v>548.1</v>
      </c>
      <c r="G3158" s="91">
        <f>Tabla15[[#This Row],[Importe]]-Tabla15[[#This Row],[Pagado]]</f>
        <v>0</v>
      </c>
      <c r="H3158" s="92" t="s">
        <v>10</v>
      </c>
    </row>
    <row r="3159" spans="1:8" ht="21.75" customHeight="1" x14ac:dyDescent="0.25">
      <c r="A3159" s="35">
        <v>44680</v>
      </c>
      <c r="B3159" s="90" t="s">
        <v>13851</v>
      </c>
      <c r="C3159" s="41" t="s">
        <v>67</v>
      </c>
      <c r="D3159" s="87">
        <v>1919.4</v>
      </c>
      <c r="E3159" s="35">
        <v>44680</v>
      </c>
      <c r="F3159" s="87">
        <v>1919.4</v>
      </c>
      <c r="G3159" s="91">
        <f>Tabla15[[#This Row],[Importe]]-Tabla15[[#This Row],[Pagado]]</f>
        <v>0</v>
      </c>
      <c r="H3159" s="92" t="s">
        <v>10</v>
      </c>
    </row>
    <row r="3160" spans="1:8" ht="21.75" customHeight="1" x14ac:dyDescent="0.25">
      <c r="A3160" s="35">
        <v>44680</v>
      </c>
      <c r="B3160" s="90" t="s">
        <v>13852</v>
      </c>
      <c r="C3160" s="41" t="s">
        <v>592</v>
      </c>
      <c r="D3160" s="87">
        <v>44603.7</v>
      </c>
      <c r="E3160" s="35">
        <v>44691</v>
      </c>
      <c r="F3160" s="87">
        <v>44603.7</v>
      </c>
      <c r="G3160" s="91">
        <f>Tabla15[[#This Row],[Importe]]-Tabla15[[#This Row],[Pagado]]</f>
        <v>0</v>
      </c>
      <c r="H3160" s="92" t="s">
        <v>10</v>
      </c>
    </row>
    <row r="3161" spans="1:8" ht="21.75" customHeight="1" x14ac:dyDescent="0.25">
      <c r="A3161" s="35">
        <v>44680</v>
      </c>
      <c r="B3161" s="90" t="s">
        <v>13853</v>
      </c>
      <c r="C3161" s="41" t="s">
        <v>13854</v>
      </c>
      <c r="D3161" s="87">
        <v>0</v>
      </c>
      <c r="E3161" s="39" t="s">
        <v>189</v>
      </c>
      <c r="F3161" s="87">
        <v>0</v>
      </c>
      <c r="G3161" s="91">
        <f>Tabla15[[#This Row],[Importe]]-Tabla15[[#This Row],[Pagado]]</f>
        <v>0</v>
      </c>
      <c r="H3161" s="92" t="s">
        <v>189</v>
      </c>
    </row>
    <row r="3162" spans="1:8" ht="21.75" customHeight="1" x14ac:dyDescent="0.25">
      <c r="A3162" s="35">
        <v>44680</v>
      </c>
      <c r="B3162" s="90" t="s">
        <v>13855</v>
      </c>
      <c r="C3162" s="41" t="s">
        <v>133</v>
      </c>
      <c r="D3162" s="87">
        <v>19189.8</v>
      </c>
      <c r="E3162" s="35">
        <v>44681</v>
      </c>
      <c r="F3162" s="87">
        <v>19189.8</v>
      </c>
      <c r="G3162" s="91">
        <f>Tabla15[[#This Row],[Importe]]-Tabla15[[#This Row],[Pagado]]</f>
        <v>0</v>
      </c>
      <c r="H3162" s="92" t="s">
        <v>10</v>
      </c>
    </row>
    <row r="3163" spans="1:8" ht="21.75" customHeight="1" x14ac:dyDescent="0.25">
      <c r="A3163" s="35">
        <v>44680</v>
      </c>
      <c r="B3163" s="90" t="s">
        <v>13856</v>
      </c>
      <c r="C3163" s="41" t="s">
        <v>31</v>
      </c>
      <c r="D3163" s="87">
        <v>515.20000000000005</v>
      </c>
      <c r="E3163" s="35">
        <v>44680</v>
      </c>
      <c r="F3163" s="87">
        <v>515.20000000000005</v>
      </c>
      <c r="G3163" s="91">
        <f>Tabla15[[#This Row],[Importe]]-Tabla15[[#This Row],[Pagado]]</f>
        <v>0</v>
      </c>
      <c r="H3163" s="92" t="s">
        <v>10</v>
      </c>
    </row>
    <row r="3164" spans="1:8" ht="21.75" customHeight="1" x14ac:dyDescent="0.25">
      <c r="A3164" s="35">
        <v>44680</v>
      </c>
      <c r="B3164" s="90" t="s">
        <v>13857</v>
      </c>
      <c r="C3164" s="41" t="s">
        <v>51</v>
      </c>
      <c r="D3164" s="87">
        <v>3489.6</v>
      </c>
      <c r="E3164" s="35">
        <v>44680</v>
      </c>
      <c r="F3164" s="87">
        <v>3489.6</v>
      </c>
      <c r="G3164" s="91">
        <f>Tabla15[[#This Row],[Importe]]-Tabla15[[#This Row],[Pagado]]</f>
        <v>0</v>
      </c>
      <c r="H3164" s="92" t="s">
        <v>10</v>
      </c>
    </row>
    <row r="3165" spans="1:8" ht="21.75" customHeight="1" x14ac:dyDescent="0.25">
      <c r="A3165" s="35">
        <v>44680</v>
      </c>
      <c r="B3165" s="90" t="s">
        <v>13858</v>
      </c>
      <c r="C3165" s="41" t="s">
        <v>2114</v>
      </c>
      <c r="D3165" s="87">
        <v>6491.4</v>
      </c>
      <c r="E3165" s="35">
        <v>44680</v>
      </c>
      <c r="F3165" s="87">
        <v>6491.4</v>
      </c>
      <c r="G3165" s="91">
        <f>Tabla15[[#This Row],[Importe]]-Tabla15[[#This Row],[Pagado]]</f>
        <v>0</v>
      </c>
      <c r="H3165" s="92" t="s">
        <v>10</v>
      </c>
    </row>
    <row r="3166" spans="1:8" ht="21.75" customHeight="1" x14ac:dyDescent="0.25">
      <c r="A3166" s="35">
        <v>44680</v>
      </c>
      <c r="B3166" s="90" t="s">
        <v>13859</v>
      </c>
      <c r="C3166" s="41" t="s">
        <v>228</v>
      </c>
      <c r="D3166" s="87">
        <v>950.4</v>
      </c>
      <c r="E3166" s="35">
        <v>44680</v>
      </c>
      <c r="F3166" s="87">
        <v>950.4</v>
      </c>
      <c r="G3166" s="91">
        <f>Tabla15[[#This Row],[Importe]]-Tabla15[[#This Row],[Pagado]]</f>
        <v>0</v>
      </c>
      <c r="H3166" s="92" t="s">
        <v>10</v>
      </c>
    </row>
    <row r="3167" spans="1:8" ht="21.75" customHeight="1" x14ac:dyDescent="0.25">
      <c r="A3167" s="35">
        <v>44680</v>
      </c>
      <c r="B3167" s="90" t="s">
        <v>13860</v>
      </c>
      <c r="C3167" s="41" t="s">
        <v>244</v>
      </c>
      <c r="D3167" s="87">
        <v>1056</v>
      </c>
      <c r="E3167" s="35">
        <v>44680</v>
      </c>
      <c r="F3167" s="87">
        <v>1056</v>
      </c>
      <c r="G3167" s="91">
        <f>Tabla15[[#This Row],[Importe]]-Tabla15[[#This Row],[Pagado]]</f>
        <v>0</v>
      </c>
      <c r="H3167" s="92" t="s">
        <v>10</v>
      </c>
    </row>
    <row r="3168" spans="1:8" ht="21.75" customHeight="1" x14ac:dyDescent="0.25">
      <c r="A3168" s="35">
        <v>44680</v>
      </c>
      <c r="B3168" s="90" t="s">
        <v>13861</v>
      </c>
      <c r="C3168" s="41" t="s">
        <v>840</v>
      </c>
      <c r="D3168" s="87">
        <v>55764.6</v>
      </c>
      <c r="E3168" s="35">
        <v>44680</v>
      </c>
      <c r="F3168" s="87">
        <v>55764.6</v>
      </c>
      <c r="G3168" s="91">
        <f>Tabla15[[#This Row],[Importe]]-Tabla15[[#This Row],[Pagado]]</f>
        <v>0</v>
      </c>
      <c r="H3168" s="92" t="s">
        <v>10</v>
      </c>
    </row>
    <row r="3169" spans="1:8" ht="21.75" customHeight="1" x14ac:dyDescent="0.25">
      <c r="A3169" s="35">
        <v>44680</v>
      </c>
      <c r="B3169" s="90" t="s">
        <v>13862</v>
      </c>
      <c r="C3169" s="41" t="s">
        <v>173</v>
      </c>
      <c r="D3169" s="87">
        <v>16002</v>
      </c>
      <c r="E3169" s="35">
        <v>44681</v>
      </c>
      <c r="F3169" s="87">
        <v>16002</v>
      </c>
      <c r="G3169" s="91">
        <f>Tabla15[[#This Row],[Importe]]-Tabla15[[#This Row],[Pagado]]</f>
        <v>0</v>
      </c>
      <c r="H3169" s="92" t="s">
        <v>10</v>
      </c>
    </row>
    <row r="3170" spans="1:8" ht="21.75" customHeight="1" x14ac:dyDescent="0.25">
      <c r="A3170" s="35">
        <v>44680</v>
      </c>
      <c r="B3170" s="90" t="s">
        <v>13863</v>
      </c>
      <c r="C3170" s="41" t="s">
        <v>402</v>
      </c>
      <c r="D3170" s="87">
        <v>2240</v>
      </c>
      <c r="E3170" s="35">
        <v>44680</v>
      </c>
      <c r="F3170" s="87">
        <v>2240</v>
      </c>
      <c r="G3170" s="91">
        <f>Tabla15[[#This Row],[Importe]]-Tabla15[[#This Row],[Pagado]]</f>
        <v>0</v>
      </c>
      <c r="H3170" s="92" t="s">
        <v>10</v>
      </c>
    </row>
    <row r="3171" spans="1:8" ht="21.75" customHeight="1" x14ac:dyDescent="0.25">
      <c r="A3171" s="35">
        <v>44680</v>
      </c>
      <c r="B3171" s="90" t="s">
        <v>13864</v>
      </c>
      <c r="C3171" s="41" t="s">
        <v>419</v>
      </c>
      <c r="D3171" s="87">
        <v>4044.8</v>
      </c>
      <c r="E3171" s="35">
        <v>44680</v>
      </c>
      <c r="F3171" s="87">
        <v>4044.8</v>
      </c>
      <c r="G3171" s="91">
        <f>Tabla15[[#This Row],[Importe]]-Tabla15[[#This Row],[Pagado]]</f>
        <v>0</v>
      </c>
      <c r="H3171" s="92" t="s">
        <v>10</v>
      </c>
    </row>
    <row r="3172" spans="1:8" ht="21.75" customHeight="1" x14ac:dyDescent="0.25">
      <c r="A3172" s="35">
        <v>44680</v>
      </c>
      <c r="B3172" s="90" t="s">
        <v>13865</v>
      </c>
      <c r="C3172" s="41" t="s">
        <v>5816</v>
      </c>
      <c r="D3172" s="87">
        <v>6300</v>
      </c>
      <c r="E3172" s="35">
        <v>44681</v>
      </c>
      <c r="F3172" s="87">
        <v>6300</v>
      </c>
      <c r="G3172" s="91">
        <f>Tabla15[[#This Row],[Importe]]-Tabla15[[#This Row],[Pagado]]</f>
        <v>0</v>
      </c>
      <c r="H3172" s="92" t="s">
        <v>10</v>
      </c>
    </row>
    <row r="3173" spans="1:8" ht="21.75" customHeight="1" x14ac:dyDescent="0.25">
      <c r="A3173" s="35">
        <v>44680</v>
      </c>
      <c r="B3173" s="90" t="s">
        <v>13866</v>
      </c>
      <c r="C3173" s="41" t="s">
        <v>804</v>
      </c>
      <c r="D3173" s="87">
        <v>21713.200000000001</v>
      </c>
      <c r="E3173" s="35">
        <v>44680</v>
      </c>
      <c r="F3173" s="87">
        <v>21713.200000000001</v>
      </c>
      <c r="G3173" s="91">
        <f>Tabla15[[#This Row],[Importe]]-Tabla15[[#This Row],[Pagado]]</f>
        <v>0</v>
      </c>
      <c r="H3173" s="92" t="s">
        <v>10</v>
      </c>
    </row>
    <row r="3174" spans="1:8" ht="21.75" customHeight="1" x14ac:dyDescent="0.25">
      <c r="A3174" s="35">
        <v>44680</v>
      </c>
      <c r="B3174" s="90" t="s">
        <v>13867</v>
      </c>
      <c r="C3174" s="41" t="s">
        <v>849</v>
      </c>
      <c r="D3174" s="87">
        <v>5778</v>
      </c>
      <c r="E3174" s="35">
        <v>44680</v>
      </c>
      <c r="F3174" s="87">
        <v>5778</v>
      </c>
      <c r="G3174" s="91">
        <f>Tabla15[[#This Row],[Importe]]-Tabla15[[#This Row],[Pagado]]</f>
        <v>0</v>
      </c>
      <c r="H3174" s="92" t="s">
        <v>10</v>
      </c>
    </row>
    <row r="3175" spans="1:8" ht="21.75" customHeight="1" x14ac:dyDescent="0.25">
      <c r="A3175" s="35">
        <v>44680</v>
      </c>
      <c r="B3175" s="90" t="s">
        <v>13868</v>
      </c>
      <c r="C3175" s="41" t="s">
        <v>10157</v>
      </c>
      <c r="D3175" s="87">
        <v>16754.400000000001</v>
      </c>
      <c r="E3175" s="35">
        <v>44687</v>
      </c>
      <c r="F3175" s="87">
        <v>16754.400000000001</v>
      </c>
      <c r="G3175" s="91">
        <f>Tabla15[[#This Row],[Importe]]-Tabla15[[#This Row],[Pagado]]</f>
        <v>0</v>
      </c>
      <c r="H3175" s="92" t="s">
        <v>10</v>
      </c>
    </row>
    <row r="3176" spans="1:8" ht="21.75" customHeight="1" x14ac:dyDescent="0.25">
      <c r="A3176" s="35">
        <v>44680</v>
      </c>
      <c r="B3176" s="90" t="s">
        <v>13869</v>
      </c>
      <c r="C3176" s="41" t="s">
        <v>67</v>
      </c>
      <c r="D3176" s="87">
        <v>9201</v>
      </c>
      <c r="E3176" s="35">
        <v>44680</v>
      </c>
      <c r="F3176" s="87">
        <v>9201</v>
      </c>
      <c r="G3176" s="91">
        <f>Tabla15[[#This Row],[Importe]]-Tabla15[[#This Row],[Pagado]]</f>
        <v>0</v>
      </c>
      <c r="H3176" s="92" t="s">
        <v>10</v>
      </c>
    </row>
    <row r="3177" spans="1:8" ht="21.75" customHeight="1" x14ac:dyDescent="0.25">
      <c r="A3177" s="35">
        <v>44680</v>
      </c>
      <c r="B3177" s="90" t="s">
        <v>13870</v>
      </c>
      <c r="C3177" s="41" t="s">
        <v>1064</v>
      </c>
      <c r="D3177" s="87">
        <v>1662</v>
      </c>
      <c r="E3177" s="35">
        <v>44680</v>
      </c>
      <c r="F3177" s="87">
        <v>1662</v>
      </c>
      <c r="G3177" s="91">
        <f>Tabla15[[#This Row],[Importe]]-Tabla15[[#This Row],[Pagado]]</f>
        <v>0</v>
      </c>
      <c r="H3177" s="92" t="s">
        <v>10</v>
      </c>
    </row>
    <row r="3178" spans="1:8" ht="21.75" customHeight="1" x14ac:dyDescent="0.25">
      <c r="A3178" s="35">
        <v>44680</v>
      </c>
      <c r="B3178" s="90" t="s">
        <v>13871</v>
      </c>
      <c r="C3178" s="41" t="s">
        <v>58</v>
      </c>
      <c r="D3178" s="87">
        <v>6346.4</v>
      </c>
      <c r="E3178" s="35">
        <v>44680</v>
      </c>
      <c r="F3178" s="87">
        <v>6346.4</v>
      </c>
      <c r="G3178" s="91">
        <f>Tabla15[[#This Row],[Importe]]-Tabla15[[#This Row],[Pagado]]</f>
        <v>0</v>
      </c>
      <c r="H3178" s="92" t="s">
        <v>10</v>
      </c>
    </row>
    <row r="3179" spans="1:8" ht="21.75" customHeight="1" x14ac:dyDescent="0.25">
      <c r="A3179" s="35">
        <v>44680</v>
      </c>
      <c r="B3179" s="90" t="s">
        <v>13872</v>
      </c>
      <c r="C3179" s="41" t="s">
        <v>67</v>
      </c>
      <c r="D3179" s="87">
        <v>768.6</v>
      </c>
      <c r="E3179" s="35">
        <v>44680</v>
      </c>
      <c r="F3179" s="87">
        <v>768.6</v>
      </c>
      <c r="G3179" s="91">
        <f>Tabla15[[#This Row],[Importe]]-Tabla15[[#This Row],[Pagado]]</f>
        <v>0</v>
      </c>
      <c r="H3179" s="92" t="s">
        <v>10</v>
      </c>
    </row>
    <row r="3180" spans="1:8" ht="21.75" customHeight="1" x14ac:dyDescent="0.25">
      <c r="A3180" s="35">
        <v>44680</v>
      </c>
      <c r="B3180" s="90" t="s">
        <v>13873</v>
      </c>
      <c r="C3180" s="41" t="s">
        <v>69</v>
      </c>
      <c r="D3180" s="87">
        <v>164.7</v>
      </c>
      <c r="E3180" s="35">
        <v>44680</v>
      </c>
      <c r="F3180" s="87">
        <v>164.7</v>
      </c>
      <c r="G3180" s="91">
        <f>Tabla15[[#This Row],[Importe]]-Tabla15[[#This Row],[Pagado]]</f>
        <v>0</v>
      </c>
      <c r="H3180" s="92" t="s">
        <v>10</v>
      </c>
    </row>
    <row r="3181" spans="1:8" ht="21.75" customHeight="1" x14ac:dyDescent="0.25">
      <c r="A3181" s="35">
        <v>44680</v>
      </c>
      <c r="B3181" s="90" t="s">
        <v>13874</v>
      </c>
      <c r="C3181" s="41" t="s">
        <v>12986</v>
      </c>
      <c r="D3181" s="87">
        <v>2192.4</v>
      </c>
      <c r="E3181" s="35">
        <v>44681</v>
      </c>
      <c r="F3181" s="87">
        <v>2192.4</v>
      </c>
      <c r="G3181" s="91">
        <f>Tabla15[[#This Row],[Importe]]-Tabla15[[#This Row],[Pagado]]</f>
        <v>0</v>
      </c>
      <c r="H3181" s="92" t="s">
        <v>10</v>
      </c>
    </row>
    <row r="3182" spans="1:8" ht="21.75" customHeight="1" x14ac:dyDescent="0.25">
      <c r="A3182" s="35">
        <v>44680</v>
      </c>
      <c r="B3182" s="90" t="s">
        <v>13875</v>
      </c>
      <c r="C3182" s="41" t="s">
        <v>473</v>
      </c>
      <c r="D3182" s="87">
        <v>5566.4</v>
      </c>
      <c r="E3182" s="35">
        <v>44681</v>
      </c>
      <c r="F3182" s="87">
        <v>5566.4</v>
      </c>
      <c r="G3182" s="91">
        <f>Tabla15[[#This Row],[Importe]]-Tabla15[[#This Row],[Pagado]]</f>
        <v>0</v>
      </c>
      <c r="H3182" s="92" t="s">
        <v>10</v>
      </c>
    </row>
    <row r="3183" spans="1:8" ht="21.75" customHeight="1" x14ac:dyDescent="0.25">
      <c r="A3183" s="35">
        <v>44680</v>
      </c>
      <c r="B3183" s="90" t="s">
        <v>13876</v>
      </c>
      <c r="C3183" s="41" t="s">
        <v>13877</v>
      </c>
      <c r="D3183" s="87">
        <v>0</v>
      </c>
      <c r="E3183" s="39" t="s">
        <v>189</v>
      </c>
      <c r="F3183" s="87">
        <v>0</v>
      </c>
      <c r="G3183" s="91">
        <f>Tabla15[[#This Row],[Importe]]-Tabla15[[#This Row],[Pagado]]</f>
        <v>0</v>
      </c>
      <c r="H3183" s="92" t="s">
        <v>189</v>
      </c>
    </row>
    <row r="3184" spans="1:8" ht="21.75" customHeight="1" x14ac:dyDescent="0.25">
      <c r="A3184" s="35">
        <v>44680</v>
      </c>
      <c r="B3184" s="90" t="s">
        <v>13878</v>
      </c>
      <c r="C3184" s="41" t="s">
        <v>200</v>
      </c>
      <c r="D3184" s="87">
        <v>863.1</v>
      </c>
      <c r="E3184" s="35">
        <v>44681</v>
      </c>
      <c r="F3184" s="87">
        <v>863.1</v>
      </c>
      <c r="G3184" s="91">
        <f>Tabla15[[#This Row],[Importe]]-Tabla15[[#This Row],[Pagado]]</f>
        <v>0</v>
      </c>
      <c r="H3184" s="92" t="s">
        <v>10</v>
      </c>
    </row>
    <row r="3185" spans="1:8" ht="21.75" customHeight="1" x14ac:dyDescent="0.25">
      <c r="A3185" s="35">
        <v>44680</v>
      </c>
      <c r="B3185" s="90" t="s">
        <v>13879</v>
      </c>
      <c r="C3185" s="41" t="s">
        <v>426</v>
      </c>
      <c r="D3185" s="87">
        <v>4073.6</v>
      </c>
      <c r="E3185" s="35">
        <v>44681</v>
      </c>
      <c r="F3185" s="87">
        <v>4073.6</v>
      </c>
      <c r="G3185" s="91">
        <f>Tabla15[[#This Row],[Importe]]-Tabla15[[#This Row],[Pagado]]</f>
        <v>0</v>
      </c>
      <c r="H3185" s="92" t="s">
        <v>10</v>
      </c>
    </row>
    <row r="3186" spans="1:8" ht="21.75" customHeight="1" x14ac:dyDescent="0.25">
      <c r="A3186" s="35">
        <v>44680</v>
      </c>
      <c r="B3186" s="90" t="s">
        <v>13880</v>
      </c>
      <c r="C3186" s="41" t="s">
        <v>75</v>
      </c>
      <c r="D3186" s="87">
        <v>5682.6</v>
      </c>
      <c r="E3186" s="35">
        <v>44681</v>
      </c>
      <c r="F3186" s="87">
        <v>5682.6</v>
      </c>
      <c r="G3186" s="91">
        <f>Tabla15[[#This Row],[Importe]]-Tabla15[[#This Row],[Pagado]]</f>
        <v>0</v>
      </c>
      <c r="H3186" s="92" t="s">
        <v>10</v>
      </c>
    </row>
    <row r="3187" spans="1:8" ht="21.75" customHeight="1" x14ac:dyDescent="0.25">
      <c r="A3187" s="35">
        <v>44680</v>
      </c>
      <c r="B3187" s="90" t="s">
        <v>13881</v>
      </c>
      <c r="C3187" s="41" t="s">
        <v>2151</v>
      </c>
      <c r="D3187" s="87">
        <v>3879.9</v>
      </c>
      <c r="E3187" s="35">
        <v>44681</v>
      </c>
      <c r="F3187" s="87">
        <v>3879.9</v>
      </c>
      <c r="G3187" s="91">
        <f>Tabla15[[#This Row],[Importe]]-Tabla15[[#This Row],[Pagado]]</f>
        <v>0</v>
      </c>
      <c r="H3187" s="92" t="s">
        <v>10</v>
      </c>
    </row>
    <row r="3188" spans="1:8" ht="21.75" customHeight="1" x14ac:dyDescent="0.25">
      <c r="A3188" s="35">
        <v>44680</v>
      </c>
      <c r="B3188" s="90" t="s">
        <v>13882</v>
      </c>
      <c r="C3188" s="41" t="s">
        <v>698</v>
      </c>
      <c r="D3188" s="87">
        <v>4630.5</v>
      </c>
      <c r="E3188" s="35">
        <v>44680</v>
      </c>
      <c r="F3188" s="87">
        <v>4630.5</v>
      </c>
      <c r="G3188" s="91">
        <f>Tabla15[[#This Row],[Importe]]-Tabla15[[#This Row],[Pagado]]</f>
        <v>0</v>
      </c>
      <c r="H3188" s="92" t="s">
        <v>10</v>
      </c>
    </row>
    <row r="3189" spans="1:8" ht="21.75" customHeight="1" x14ac:dyDescent="0.25">
      <c r="A3189" s="35">
        <v>44680</v>
      </c>
      <c r="B3189" s="90" t="s">
        <v>13883</v>
      </c>
      <c r="C3189" s="41" t="s">
        <v>6112</v>
      </c>
      <c r="D3189" s="87">
        <v>5821.2</v>
      </c>
      <c r="E3189" s="35">
        <v>44680</v>
      </c>
      <c r="F3189" s="87">
        <v>5821.2</v>
      </c>
      <c r="G3189" s="91">
        <f>Tabla15[[#This Row],[Importe]]-Tabla15[[#This Row],[Pagado]]</f>
        <v>0</v>
      </c>
      <c r="H3189" s="92" t="s">
        <v>10</v>
      </c>
    </row>
    <row r="3190" spans="1:8" ht="21.75" customHeight="1" x14ac:dyDescent="0.25">
      <c r="A3190" s="35">
        <v>44680</v>
      </c>
      <c r="B3190" s="90" t="s">
        <v>13884</v>
      </c>
      <c r="C3190" s="41" t="s">
        <v>10826</v>
      </c>
      <c r="D3190" s="87">
        <v>9709.2000000000007</v>
      </c>
      <c r="E3190" s="35">
        <v>44680</v>
      </c>
      <c r="F3190" s="87">
        <v>9709.2000000000007</v>
      </c>
      <c r="G3190" s="91">
        <f>Tabla15[[#This Row],[Importe]]-Tabla15[[#This Row],[Pagado]]</f>
        <v>0</v>
      </c>
      <c r="H3190" s="92" t="s">
        <v>10</v>
      </c>
    </row>
    <row r="3191" spans="1:8" ht="21.75" customHeight="1" x14ac:dyDescent="0.25">
      <c r="A3191" s="35">
        <v>44680</v>
      </c>
      <c r="B3191" s="90" t="s">
        <v>13885</v>
      </c>
      <c r="C3191" s="41" t="s">
        <v>31</v>
      </c>
      <c r="D3191" s="87">
        <v>3451.8</v>
      </c>
      <c r="E3191" s="35">
        <v>44680</v>
      </c>
      <c r="F3191" s="87">
        <v>3451.8</v>
      </c>
      <c r="G3191" s="91">
        <f>Tabla15[[#This Row],[Importe]]-Tabla15[[#This Row],[Pagado]]</f>
        <v>0</v>
      </c>
      <c r="H3191" s="92" t="s">
        <v>10</v>
      </c>
    </row>
    <row r="3192" spans="1:8" ht="21.75" customHeight="1" x14ac:dyDescent="0.25">
      <c r="A3192" s="35">
        <v>44680</v>
      </c>
      <c r="B3192" s="90" t="s">
        <v>13886</v>
      </c>
      <c r="C3192" s="41" t="s">
        <v>33</v>
      </c>
      <c r="D3192" s="87">
        <v>18337</v>
      </c>
      <c r="E3192" s="35">
        <v>44680</v>
      </c>
      <c r="F3192" s="87">
        <v>18337</v>
      </c>
      <c r="G3192" s="91">
        <f>Tabla15[[#This Row],[Importe]]-Tabla15[[#This Row],[Pagado]]</f>
        <v>0</v>
      </c>
      <c r="H3192" s="92" t="s">
        <v>10</v>
      </c>
    </row>
    <row r="3193" spans="1:8" ht="21.75" customHeight="1" x14ac:dyDescent="0.25">
      <c r="A3193" s="35">
        <v>44680</v>
      </c>
      <c r="B3193" s="90" t="s">
        <v>13887</v>
      </c>
      <c r="C3193" s="41" t="s">
        <v>11383</v>
      </c>
      <c r="D3193" s="87">
        <v>5334</v>
      </c>
      <c r="E3193" s="35">
        <v>44680</v>
      </c>
      <c r="F3193" s="87">
        <v>5334</v>
      </c>
      <c r="G3193" s="91">
        <f>Tabla15[[#This Row],[Importe]]-Tabla15[[#This Row],[Pagado]]</f>
        <v>0</v>
      </c>
      <c r="H3193" s="92" t="s">
        <v>10</v>
      </c>
    </row>
    <row r="3194" spans="1:8" ht="21.75" customHeight="1" x14ac:dyDescent="0.25">
      <c r="A3194" s="35">
        <v>44680</v>
      </c>
      <c r="B3194" s="90" t="s">
        <v>13888</v>
      </c>
      <c r="C3194" s="41" t="s">
        <v>1313</v>
      </c>
      <c r="D3194" s="87">
        <v>9655.7999999999993</v>
      </c>
      <c r="E3194" s="35">
        <v>44680</v>
      </c>
      <c r="F3194" s="87">
        <v>9655.7999999999993</v>
      </c>
      <c r="G3194" s="91">
        <f>Tabla15[[#This Row],[Importe]]-Tabla15[[#This Row],[Pagado]]</f>
        <v>0</v>
      </c>
      <c r="H3194" s="92" t="s">
        <v>10</v>
      </c>
    </row>
    <row r="3195" spans="1:8" ht="21.75" customHeight="1" x14ac:dyDescent="0.25">
      <c r="A3195" s="35">
        <v>44680</v>
      </c>
      <c r="B3195" s="90" t="s">
        <v>13889</v>
      </c>
      <c r="C3195" s="41" t="s">
        <v>175</v>
      </c>
      <c r="D3195" s="87">
        <v>8069.7</v>
      </c>
      <c r="E3195" s="35">
        <v>44681</v>
      </c>
      <c r="F3195" s="87">
        <v>8069.7</v>
      </c>
      <c r="G3195" s="91">
        <f>Tabla15[[#This Row],[Importe]]-Tabla15[[#This Row],[Pagado]]</f>
        <v>0</v>
      </c>
      <c r="H3195" s="92" t="s">
        <v>10</v>
      </c>
    </row>
    <row r="3196" spans="1:8" ht="21.75" customHeight="1" x14ac:dyDescent="0.25">
      <c r="A3196" s="35">
        <v>44680</v>
      </c>
      <c r="B3196" s="90" t="s">
        <v>13890</v>
      </c>
      <c r="C3196" s="41" t="s">
        <v>29</v>
      </c>
      <c r="D3196" s="87">
        <v>7799.4</v>
      </c>
      <c r="E3196" s="35">
        <v>44680</v>
      </c>
      <c r="F3196" s="87">
        <v>7799.4</v>
      </c>
      <c r="G3196" s="91">
        <f>Tabla15[[#This Row],[Importe]]-Tabla15[[#This Row],[Pagado]]</f>
        <v>0</v>
      </c>
      <c r="H3196" s="92" t="s">
        <v>10</v>
      </c>
    </row>
    <row r="3197" spans="1:8" ht="21.75" customHeight="1" x14ac:dyDescent="0.25">
      <c r="A3197" s="35">
        <v>44680</v>
      </c>
      <c r="B3197" s="90" t="s">
        <v>13891</v>
      </c>
      <c r="C3197" s="41" t="s">
        <v>275</v>
      </c>
      <c r="D3197" s="87">
        <v>50956.2</v>
      </c>
      <c r="E3197" s="35">
        <v>44694</v>
      </c>
      <c r="F3197" s="87">
        <v>50956.2</v>
      </c>
      <c r="G3197" s="91">
        <f>Tabla15[[#This Row],[Importe]]-Tabla15[[#This Row],[Pagado]]</f>
        <v>0</v>
      </c>
      <c r="H3197" s="92" t="s">
        <v>10</v>
      </c>
    </row>
    <row r="3198" spans="1:8" ht="21.75" customHeight="1" x14ac:dyDescent="0.25">
      <c r="A3198" s="35">
        <v>44680</v>
      </c>
      <c r="B3198" s="90" t="s">
        <v>13892</v>
      </c>
      <c r="C3198" s="41" t="s">
        <v>407</v>
      </c>
      <c r="D3198" s="87">
        <v>4420.8</v>
      </c>
      <c r="E3198" s="35">
        <v>44681</v>
      </c>
      <c r="F3198" s="87">
        <v>4420.8</v>
      </c>
      <c r="G3198" s="91">
        <f>Tabla15[[#This Row],[Importe]]-Tabla15[[#This Row],[Pagado]]</f>
        <v>0</v>
      </c>
      <c r="H3198" s="92" t="s">
        <v>10</v>
      </c>
    </row>
    <row r="3199" spans="1:8" ht="21.75" customHeight="1" x14ac:dyDescent="0.25">
      <c r="A3199" s="35">
        <v>44680</v>
      </c>
      <c r="B3199" s="90" t="s">
        <v>13893</v>
      </c>
      <c r="C3199" s="41" t="s">
        <v>681</v>
      </c>
      <c r="D3199" s="87">
        <v>3.51</v>
      </c>
      <c r="E3199" s="35">
        <v>44685</v>
      </c>
      <c r="F3199" s="87">
        <v>3.51</v>
      </c>
      <c r="G3199" s="91">
        <f>Tabla15[[#This Row],[Importe]]-Tabla15[[#This Row],[Pagado]]</f>
        <v>0</v>
      </c>
      <c r="H3199" s="92" t="s">
        <v>10</v>
      </c>
    </row>
    <row r="3200" spans="1:8" ht="21.75" customHeight="1" x14ac:dyDescent="0.25">
      <c r="A3200" s="35">
        <v>44680</v>
      </c>
      <c r="B3200" s="90" t="s">
        <v>13894</v>
      </c>
      <c r="C3200" s="41" t="s">
        <v>9</v>
      </c>
      <c r="D3200" s="87">
        <v>2444.4</v>
      </c>
      <c r="E3200" s="35">
        <v>44680</v>
      </c>
      <c r="F3200" s="87">
        <v>2444.4</v>
      </c>
      <c r="G3200" s="91">
        <f>Tabla15[[#This Row],[Importe]]-Tabla15[[#This Row],[Pagado]]</f>
        <v>0</v>
      </c>
      <c r="H3200" s="92" t="s">
        <v>10</v>
      </c>
    </row>
    <row r="3201" spans="1:8" ht="21.75" customHeight="1" x14ac:dyDescent="0.25">
      <c r="A3201" s="35">
        <v>44680</v>
      </c>
      <c r="B3201" s="90" t="s">
        <v>13895</v>
      </c>
      <c r="C3201" s="41" t="s">
        <v>9577</v>
      </c>
      <c r="D3201" s="87">
        <v>2295</v>
      </c>
      <c r="E3201" s="35">
        <v>44681</v>
      </c>
      <c r="F3201" s="87">
        <v>2295</v>
      </c>
      <c r="G3201" s="91">
        <f>Tabla15[[#This Row],[Importe]]-Tabla15[[#This Row],[Pagado]]</f>
        <v>0</v>
      </c>
      <c r="H3201" s="92" t="s">
        <v>10</v>
      </c>
    </row>
    <row r="3202" spans="1:8" ht="21.75" customHeight="1" x14ac:dyDescent="0.25">
      <c r="A3202" s="35">
        <v>44680</v>
      </c>
      <c r="B3202" s="90" t="s">
        <v>13896</v>
      </c>
      <c r="C3202" s="41" t="s">
        <v>246</v>
      </c>
      <c r="D3202" s="87">
        <v>44982.6</v>
      </c>
      <c r="E3202" s="35">
        <v>44680</v>
      </c>
      <c r="F3202" s="87">
        <v>44982.6</v>
      </c>
      <c r="G3202" s="91">
        <f>Tabla15[[#This Row],[Importe]]-Tabla15[[#This Row],[Pagado]]</f>
        <v>0</v>
      </c>
      <c r="H3202" s="92" t="s">
        <v>10</v>
      </c>
    </row>
    <row r="3203" spans="1:8" ht="21.75" customHeight="1" x14ac:dyDescent="0.25">
      <c r="A3203" s="35">
        <v>44680</v>
      </c>
      <c r="B3203" s="90" t="s">
        <v>13897</v>
      </c>
      <c r="C3203" s="41" t="s">
        <v>664</v>
      </c>
      <c r="D3203" s="87">
        <v>6233.6</v>
      </c>
      <c r="E3203" s="35">
        <v>44681</v>
      </c>
      <c r="F3203" s="87">
        <v>6233.6</v>
      </c>
      <c r="G3203" s="91">
        <f>Tabla15[[#This Row],[Importe]]-Tabla15[[#This Row],[Pagado]]</f>
        <v>0</v>
      </c>
      <c r="H3203" s="92" t="s">
        <v>10</v>
      </c>
    </row>
    <row r="3204" spans="1:8" ht="21.75" customHeight="1" x14ac:dyDescent="0.25">
      <c r="A3204" s="35">
        <v>44680</v>
      </c>
      <c r="B3204" s="90" t="s">
        <v>13898</v>
      </c>
      <c r="C3204" s="41" t="s">
        <v>107</v>
      </c>
      <c r="D3204" s="87">
        <v>8978.2000000000007</v>
      </c>
      <c r="E3204" s="35">
        <v>44681</v>
      </c>
      <c r="F3204" s="87">
        <v>8978.2000000000007</v>
      </c>
      <c r="G3204" s="91">
        <f>Tabla15[[#This Row],[Importe]]-Tabla15[[#This Row],[Pagado]]</f>
        <v>0</v>
      </c>
      <c r="H3204" s="92" t="s">
        <v>10</v>
      </c>
    </row>
    <row r="3205" spans="1:8" ht="21.75" customHeight="1" x14ac:dyDescent="0.25">
      <c r="A3205" s="35">
        <v>44680</v>
      </c>
      <c r="B3205" s="90" t="s">
        <v>13899</v>
      </c>
      <c r="C3205" s="41" t="s">
        <v>107</v>
      </c>
      <c r="D3205" s="87">
        <v>513</v>
      </c>
      <c r="E3205" s="35">
        <v>44681</v>
      </c>
      <c r="F3205" s="87">
        <v>513</v>
      </c>
      <c r="G3205" s="91">
        <f>Tabla15[[#This Row],[Importe]]-Tabla15[[#This Row],[Pagado]]</f>
        <v>0</v>
      </c>
      <c r="H3205" s="92" t="s">
        <v>10</v>
      </c>
    </row>
    <row r="3206" spans="1:8" ht="21.75" customHeight="1" x14ac:dyDescent="0.25">
      <c r="A3206" s="35">
        <v>44680</v>
      </c>
      <c r="B3206" s="90" t="s">
        <v>13900</v>
      </c>
      <c r="C3206" s="41" t="s">
        <v>31</v>
      </c>
      <c r="D3206" s="87">
        <v>560</v>
      </c>
      <c r="E3206" s="35">
        <v>44680</v>
      </c>
      <c r="F3206" s="87">
        <v>560</v>
      </c>
      <c r="G3206" s="91">
        <f>Tabla15[[#This Row],[Importe]]-Tabla15[[#This Row],[Pagado]]</f>
        <v>0</v>
      </c>
      <c r="H3206" s="92" t="s">
        <v>10</v>
      </c>
    </row>
    <row r="3207" spans="1:8" ht="21.75" customHeight="1" x14ac:dyDescent="0.25">
      <c r="A3207" s="35">
        <v>44680</v>
      </c>
      <c r="B3207" s="90" t="s">
        <v>13901</v>
      </c>
      <c r="C3207" s="41" t="s">
        <v>226</v>
      </c>
      <c r="D3207" s="87">
        <v>14784</v>
      </c>
      <c r="E3207" s="35">
        <v>44680</v>
      </c>
      <c r="F3207" s="87">
        <v>14784</v>
      </c>
      <c r="G3207" s="91">
        <f>Tabla15[[#This Row],[Importe]]-Tabla15[[#This Row],[Pagado]]</f>
        <v>0</v>
      </c>
      <c r="H3207" s="92" t="s">
        <v>10</v>
      </c>
    </row>
    <row r="3208" spans="1:8" ht="21.75" customHeight="1" x14ac:dyDescent="0.25">
      <c r="A3208" s="35">
        <v>44680</v>
      </c>
      <c r="B3208" s="90" t="s">
        <v>13902</v>
      </c>
      <c r="C3208" s="41" t="s">
        <v>282</v>
      </c>
      <c r="D3208" s="87">
        <v>6451.2</v>
      </c>
      <c r="E3208" s="35">
        <v>44680</v>
      </c>
      <c r="F3208" s="87">
        <v>6451.2</v>
      </c>
      <c r="G3208" s="91">
        <f>Tabla15[[#This Row],[Importe]]-Tabla15[[#This Row],[Pagado]]</f>
        <v>0</v>
      </c>
      <c r="H3208" s="92" t="s">
        <v>10</v>
      </c>
    </row>
    <row r="3209" spans="1:8" ht="21.75" customHeight="1" x14ac:dyDescent="0.25">
      <c r="A3209" s="35">
        <v>44680</v>
      </c>
      <c r="B3209" s="90" t="s">
        <v>13903</v>
      </c>
      <c r="C3209" s="41" t="s">
        <v>284</v>
      </c>
      <c r="D3209" s="87">
        <v>9399.6</v>
      </c>
      <c r="E3209" s="35">
        <v>44681</v>
      </c>
      <c r="F3209" s="87">
        <v>9399.6</v>
      </c>
      <c r="G3209" s="91">
        <f>Tabla15[[#This Row],[Importe]]-Tabla15[[#This Row],[Pagado]]</f>
        <v>0</v>
      </c>
      <c r="H3209" s="92" t="s">
        <v>10</v>
      </c>
    </row>
    <row r="3210" spans="1:8" ht="21.75" customHeight="1" x14ac:dyDescent="0.25">
      <c r="A3210" s="35">
        <v>44680</v>
      </c>
      <c r="B3210" s="90" t="s">
        <v>13904</v>
      </c>
      <c r="C3210" s="41" t="s">
        <v>280</v>
      </c>
      <c r="D3210" s="87">
        <v>989.1</v>
      </c>
      <c r="E3210" s="35">
        <v>44681</v>
      </c>
      <c r="F3210" s="87">
        <v>989.1</v>
      </c>
      <c r="G3210" s="91">
        <f>Tabla15[[#This Row],[Importe]]-Tabla15[[#This Row],[Pagado]]</f>
        <v>0</v>
      </c>
      <c r="H3210" s="92" t="s">
        <v>10</v>
      </c>
    </row>
    <row r="3211" spans="1:8" ht="21.75" customHeight="1" x14ac:dyDescent="0.25">
      <c r="A3211" s="35">
        <v>44680</v>
      </c>
      <c r="B3211" s="90" t="s">
        <v>13905</v>
      </c>
      <c r="C3211" s="41" t="s">
        <v>5345</v>
      </c>
      <c r="D3211" s="87">
        <v>1833.3</v>
      </c>
      <c r="E3211" s="35">
        <v>44681</v>
      </c>
      <c r="F3211" s="87">
        <v>1833.3</v>
      </c>
      <c r="G3211" s="91">
        <f>Tabla15[[#This Row],[Importe]]-Tabla15[[#This Row],[Pagado]]</f>
        <v>0</v>
      </c>
      <c r="H3211" s="92" t="s">
        <v>10</v>
      </c>
    </row>
    <row r="3212" spans="1:8" ht="21.75" customHeight="1" x14ac:dyDescent="0.25">
      <c r="A3212" s="35">
        <v>44680</v>
      </c>
      <c r="B3212" s="90" t="s">
        <v>13906</v>
      </c>
      <c r="C3212" s="41" t="s">
        <v>10678</v>
      </c>
      <c r="D3212" s="87">
        <v>5427.2</v>
      </c>
      <c r="E3212" s="35">
        <v>44680</v>
      </c>
      <c r="F3212" s="87">
        <v>5427.2</v>
      </c>
      <c r="G3212" s="91">
        <f>Tabla15[[#This Row],[Importe]]-Tabla15[[#This Row],[Pagado]]</f>
        <v>0</v>
      </c>
      <c r="H3212" s="92" t="s">
        <v>10</v>
      </c>
    </row>
    <row r="3213" spans="1:8" ht="21.75" customHeight="1" x14ac:dyDescent="0.25">
      <c r="A3213" s="35">
        <v>44680</v>
      </c>
      <c r="B3213" s="90" t="s">
        <v>13907</v>
      </c>
      <c r="C3213" s="41" t="s">
        <v>31</v>
      </c>
      <c r="D3213" s="87">
        <v>1264.2</v>
      </c>
      <c r="E3213" s="35">
        <v>44680</v>
      </c>
      <c r="F3213" s="87">
        <v>1264.2</v>
      </c>
      <c r="G3213" s="91">
        <f>Tabla15[[#This Row],[Importe]]-Tabla15[[#This Row],[Pagado]]</f>
        <v>0</v>
      </c>
      <c r="H3213" s="92" t="s">
        <v>10</v>
      </c>
    </row>
    <row r="3214" spans="1:8" ht="21.75" customHeight="1" x14ac:dyDescent="0.25">
      <c r="A3214" s="35">
        <v>44680</v>
      </c>
      <c r="B3214" s="90" t="s">
        <v>13908</v>
      </c>
      <c r="C3214" s="41" t="s">
        <v>31</v>
      </c>
      <c r="D3214" s="87">
        <v>74.400000000000006</v>
      </c>
      <c r="E3214" s="35">
        <v>44680</v>
      </c>
      <c r="F3214" s="87">
        <v>74.400000000000006</v>
      </c>
      <c r="G3214" s="91">
        <f>Tabla15[[#This Row],[Importe]]-Tabla15[[#This Row],[Pagado]]</f>
        <v>0</v>
      </c>
      <c r="H3214" s="92" t="s">
        <v>10</v>
      </c>
    </row>
    <row r="3215" spans="1:8" ht="21.75" customHeight="1" x14ac:dyDescent="0.25">
      <c r="A3215" s="35">
        <v>44680</v>
      </c>
      <c r="B3215" s="90" t="s">
        <v>13909</v>
      </c>
      <c r="C3215" s="41" t="s">
        <v>24</v>
      </c>
      <c r="D3215" s="87">
        <v>1045.5999999999999</v>
      </c>
      <c r="E3215" s="35">
        <v>44680</v>
      </c>
      <c r="F3215" s="87">
        <v>1045.5999999999999</v>
      </c>
      <c r="G3215" s="91">
        <f>Tabla15[[#This Row],[Importe]]-Tabla15[[#This Row],[Pagado]]</f>
        <v>0</v>
      </c>
      <c r="H3215" s="92" t="s">
        <v>10</v>
      </c>
    </row>
    <row r="3216" spans="1:8" ht="21.75" customHeight="1" x14ac:dyDescent="0.25">
      <c r="A3216" s="35">
        <v>44680</v>
      </c>
      <c r="B3216" s="90" t="s">
        <v>13910</v>
      </c>
      <c r="C3216" s="41" t="s">
        <v>10190</v>
      </c>
      <c r="D3216" s="87">
        <v>10504</v>
      </c>
      <c r="E3216" s="35">
        <v>44681</v>
      </c>
      <c r="F3216" s="87">
        <v>10504</v>
      </c>
      <c r="G3216" s="91">
        <f>Tabla15[[#This Row],[Importe]]-Tabla15[[#This Row],[Pagado]]</f>
        <v>0</v>
      </c>
      <c r="H3216" s="92" t="s">
        <v>10</v>
      </c>
    </row>
    <row r="3217" spans="1:8" ht="21.75" customHeight="1" x14ac:dyDescent="0.25">
      <c r="A3217" s="35">
        <v>44680</v>
      </c>
      <c r="B3217" s="90" t="s">
        <v>13911</v>
      </c>
      <c r="C3217" s="41" t="s">
        <v>31</v>
      </c>
      <c r="D3217" s="87">
        <v>3647.8</v>
      </c>
      <c r="E3217" s="35">
        <v>44680</v>
      </c>
      <c r="F3217" s="87">
        <v>3647.8</v>
      </c>
      <c r="G3217" s="91">
        <f>Tabla15[[#This Row],[Importe]]-Tabla15[[#This Row],[Pagado]]</f>
        <v>0</v>
      </c>
      <c r="H3217" s="92" t="s">
        <v>10</v>
      </c>
    </row>
    <row r="3218" spans="1:8" ht="21.75" customHeight="1" x14ac:dyDescent="0.25">
      <c r="A3218" s="35">
        <v>44680</v>
      </c>
      <c r="B3218" s="90" t="s">
        <v>13912</v>
      </c>
      <c r="C3218" s="41" t="s">
        <v>31</v>
      </c>
      <c r="D3218" s="87">
        <v>1983.1</v>
      </c>
      <c r="E3218" s="35">
        <v>44680</v>
      </c>
      <c r="F3218" s="87">
        <v>1983.1</v>
      </c>
      <c r="G3218" s="91">
        <f>Tabla15[[#This Row],[Importe]]-Tabla15[[#This Row],[Pagado]]</f>
        <v>0</v>
      </c>
      <c r="H3218" s="92" t="s">
        <v>10</v>
      </c>
    </row>
    <row r="3219" spans="1:8" ht="21.75" customHeight="1" x14ac:dyDescent="0.25">
      <c r="A3219" s="35">
        <v>44680</v>
      </c>
      <c r="B3219" s="90" t="s">
        <v>13913</v>
      </c>
      <c r="C3219" s="41" t="s">
        <v>31</v>
      </c>
      <c r="D3219" s="87">
        <v>4444.8</v>
      </c>
      <c r="E3219" s="35">
        <v>44680</v>
      </c>
      <c r="F3219" s="87">
        <v>4444.8</v>
      </c>
      <c r="G3219" s="91">
        <f>Tabla15[[#This Row],[Importe]]-Tabla15[[#This Row],[Pagado]]</f>
        <v>0</v>
      </c>
      <c r="H3219" s="92" t="s">
        <v>10</v>
      </c>
    </row>
    <row r="3220" spans="1:8" ht="21.75" customHeight="1" x14ac:dyDescent="0.25">
      <c r="A3220" s="35">
        <v>44680</v>
      </c>
      <c r="B3220" s="90" t="s">
        <v>13914</v>
      </c>
      <c r="C3220" s="41" t="s">
        <v>246</v>
      </c>
      <c r="D3220" s="87">
        <v>1102</v>
      </c>
      <c r="E3220" s="35">
        <v>44680</v>
      </c>
      <c r="F3220" s="87">
        <v>1102</v>
      </c>
      <c r="G3220" s="91">
        <f>Tabla15[[#This Row],[Importe]]-Tabla15[[#This Row],[Pagado]]</f>
        <v>0</v>
      </c>
      <c r="H3220" s="92" t="s">
        <v>10</v>
      </c>
    </row>
    <row r="3221" spans="1:8" ht="21.75" customHeight="1" x14ac:dyDescent="0.25">
      <c r="A3221" s="35">
        <v>44680</v>
      </c>
      <c r="B3221" s="90" t="s">
        <v>13915</v>
      </c>
      <c r="C3221" s="41" t="s">
        <v>11685</v>
      </c>
      <c r="D3221" s="87">
        <v>3032.4</v>
      </c>
      <c r="E3221" s="35">
        <v>44680</v>
      </c>
      <c r="F3221" s="87">
        <v>3032.4</v>
      </c>
      <c r="G3221" s="91">
        <f>Tabla15[[#This Row],[Importe]]-Tabla15[[#This Row],[Pagado]]</f>
        <v>0</v>
      </c>
      <c r="H3221" s="92" t="s">
        <v>10</v>
      </c>
    </row>
    <row r="3222" spans="1:8" ht="21.75" customHeight="1" x14ac:dyDescent="0.25">
      <c r="A3222" s="35">
        <v>44680</v>
      </c>
      <c r="B3222" s="90" t="s">
        <v>13916</v>
      </c>
      <c r="C3222" s="41" t="s">
        <v>857</v>
      </c>
      <c r="D3222" s="87">
        <v>1050.8</v>
      </c>
      <c r="E3222" s="35">
        <v>44680</v>
      </c>
      <c r="F3222" s="87">
        <v>1050.8</v>
      </c>
      <c r="G3222" s="91">
        <f>Tabla15[[#This Row],[Importe]]-Tabla15[[#This Row],[Pagado]]</f>
        <v>0</v>
      </c>
      <c r="H3222" s="92" t="s">
        <v>10</v>
      </c>
    </row>
    <row r="3223" spans="1:8" ht="21.75" customHeight="1" x14ac:dyDescent="0.25">
      <c r="A3223" s="35">
        <v>44680</v>
      </c>
      <c r="B3223" s="90" t="s">
        <v>13917</v>
      </c>
      <c r="C3223" s="41" t="s">
        <v>246</v>
      </c>
      <c r="D3223" s="87">
        <v>3211.96</v>
      </c>
      <c r="E3223" s="35">
        <v>44680</v>
      </c>
      <c r="F3223" s="87">
        <v>3211.96</v>
      </c>
      <c r="G3223" s="91">
        <f>Tabla15[[#This Row],[Importe]]-Tabla15[[#This Row],[Pagado]]</f>
        <v>0</v>
      </c>
      <c r="H3223" s="92" t="s">
        <v>10</v>
      </c>
    </row>
    <row r="3224" spans="1:8" ht="21.75" customHeight="1" x14ac:dyDescent="0.25">
      <c r="A3224" s="35">
        <v>44680</v>
      </c>
      <c r="B3224" s="90" t="s">
        <v>13918</v>
      </c>
      <c r="C3224" s="41" t="s">
        <v>373</v>
      </c>
      <c r="D3224" s="87">
        <v>457.5</v>
      </c>
      <c r="E3224" s="35">
        <v>44680</v>
      </c>
      <c r="F3224" s="87">
        <v>457.5</v>
      </c>
      <c r="G3224" s="91">
        <f>Tabla15[[#This Row],[Importe]]-Tabla15[[#This Row],[Pagado]]</f>
        <v>0</v>
      </c>
      <c r="H3224" s="92" t="s">
        <v>10</v>
      </c>
    </row>
    <row r="3225" spans="1:8" ht="21.75" customHeight="1" x14ac:dyDescent="0.25">
      <c r="A3225" s="35">
        <v>44680</v>
      </c>
      <c r="B3225" s="90" t="s">
        <v>13919</v>
      </c>
      <c r="C3225" s="41" t="s">
        <v>3900</v>
      </c>
      <c r="D3225" s="87">
        <v>1975.8</v>
      </c>
      <c r="E3225" s="35">
        <v>44680</v>
      </c>
      <c r="F3225" s="87">
        <v>1975.8</v>
      </c>
      <c r="G3225" s="91">
        <f>Tabla15[[#This Row],[Importe]]-Tabla15[[#This Row],[Pagado]]</f>
        <v>0</v>
      </c>
      <c r="H3225" s="92" t="s">
        <v>10</v>
      </c>
    </row>
    <row r="3226" spans="1:8" ht="21.75" customHeight="1" x14ac:dyDescent="0.25">
      <c r="A3226" s="35">
        <v>44680</v>
      </c>
      <c r="B3226" s="90" t="s">
        <v>13920</v>
      </c>
      <c r="C3226" s="41" t="s">
        <v>3900</v>
      </c>
      <c r="D3226" s="87">
        <v>4764.8999999999996</v>
      </c>
      <c r="E3226" s="35">
        <v>44680</v>
      </c>
      <c r="F3226" s="87">
        <v>4764.8999999999996</v>
      </c>
      <c r="G3226" s="91">
        <f>Tabla15[[#This Row],[Importe]]-Tabla15[[#This Row],[Pagado]]</f>
        <v>0</v>
      </c>
      <c r="H3226" s="92" t="s">
        <v>10</v>
      </c>
    </row>
    <row r="3227" spans="1:8" ht="21.75" customHeight="1" x14ac:dyDescent="0.25">
      <c r="A3227" s="35">
        <v>44680</v>
      </c>
      <c r="B3227" s="90" t="s">
        <v>13921</v>
      </c>
      <c r="C3227" s="41" t="s">
        <v>5694</v>
      </c>
      <c r="D3227" s="87">
        <v>3263.4</v>
      </c>
      <c r="E3227" s="35">
        <v>44680</v>
      </c>
      <c r="F3227" s="87">
        <v>3263.4</v>
      </c>
      <c r="G3227" s="91">
        <f>Tabla15[[#This Row],[Importe]]-Tabla15[[#This Row],[Pagado]]</f>
        <v>0</v>
      </c>
      <c r="H3227" s="92" t="s">
        <v>10</v>
      </c>
    </row>
    <row r="3228" spans="1:8" ht="21.75" customHeight="1" x14ac:dyDescent="0.25">
      <c r="A3228" s="35">
        <v>44680</v>
      </c>
      <c r="B3228" s="90" t="s">
        <v>13922</v>
      </c>
      <c r="C3228" s="41" t="s">
        <v>2020</v>
      </c>
      <c r="D3228" s="87">
        <v>5200</v>
      </c>
      <c r="E3228" s="35">
        <v>44680</v>
      </c>
      <c r="F3228" s="87">
        <v>5200</v>
      </c>
      <c r="G3228" s="91">
        <f>Tabla15[[#This Row],[Importe]]-Tabla15[[#This Row],[Pagado]]</f>
        <v>0</v>
      </c>
      <c r="H3228" s="92" t="s">
        <v>10</v>
      </c>
    </row>
    <row r="3229" spans="1:8" ht="21.75" customHeight="1" x14ac:dyDescent="0.25">
      <c r="A3229" s="35">
        <v>44680</v>
      </c>
      <c r="B3229" s="90" t="s">
        <v>13923</v>
      </c>
      <c r="C3229" s="41" t="s">
        <v>31</v>
      </c>
      <c r="D3229" s="87">
        <v>1561.6</v>
      </c>
      <c r="E3229" s="35">
        <v>44680</v>
      </c>
      <c r="F3229" s="87">
        <v>1561.6</v>
      </c>
      <c r="G3229" s="91">
        <f>Tabla15[[#This Row],[Importe]]-Tabla15[[#This Row],[Pagado]]</f>
        <v>0</v>
      </c>
      <c r="H3229" s="92" t="s">
        <v>10</v>
      </c>
    </row>
    <row r="3230" spans="1:8" ht="21.75" customHeight="1" x14ac:dyDescent="0.25">
      <c r="A3230" s="35">
        <v>44680</v>
      </c>
      <c r="B3230" s="90" t="s">
        <v>13924</v>
      </c>
      <c r="C3230" s="41" t="s">
        <v>246</v>
      </c>
      <c r="D3230" s="87">
        <v>1722.6</v>
      </c>
      <c r="E3230" s="35">
        <v>44680</v>
      </c>
      <c r="F3230" s="87">
        <v>1722.6</v>
      </c>
      <c r="G3230" s="91">
        <f>Tabla15[[#This Row],[Importe]]-Tabla15[[#This Row],[Pagado]]</f>
        <v>0</v>
      </c>
      <c r="H3230" s="92" t="s">
        <v>10</v>
      </c>
    </row>
    <row r="3231" spans="1:8" ht="21.75" customHeight="1" x14ac:dyDescent="0.25">
      <c r="A3231" s="35">
        <v>44681</v>
      </c>
      <c r="B3231" s="90" t="s">
        <v>13925</v>
      </c>
      <c r="C3231" s="41" t="s">
        <v>12</v>
      </c>
      <c r="D3231" s="87">
        <v>44267.55</v>
      </c>
      <c r="E3231" s="35">
        <v>44681</v>
      </c>
      <c r="F3231" s="87">
        <v>44267.55</v>
      </c>
      <c r="G3231" s="91">
        <f>Tabla15[[#This Row],[Importe]]-Tabla15[[#This Row],[Pagado]]</f>
        <v>0</v>
      </c>
      <c r="H3231" s="92" t="s">
        <v>10</v>
      </c>
    </row>
    <row r="3232" spans="1:8" ht="21.75" customHeight="1" x14ac:dyDescent="0.25">
      <c r="A3232" s="35">
        <v>44681</v>
      </c>
      <c r="B3232" s="90" t="s">
        <v>13926</v>
      </c>
      <c r="C3232" s="41" t="s">
        <v>481</v>
      </c>
      <c r="D3232" s="87">
        <v>1946.8</v>
      </c>
      <c r="E3232" s="35">
        <v>44681</v>
      </c>
      <c r="F3232" s="87">
        <v>1946.8</v>
      </c>
      <c r="G3232" s="91">
        <f>Tabla15[[#This Row],[Importe]]-Tabla15[[#This Row],[Pagado]]</f>
        <v>0</v>
      </c>
      <c r="H3232" s="92" t="s">
        <v>10</v>
      </c>
    </row>
    <row r="3233" spans="1:8" ht="21.75" customHeight="1" x14ac:dyDescent="0.25">
      <c r="A3233" s="35">
        <v>44681</v>
      </c>
      <c r="B3233" s="90" t="s">
        <v>13927</v>
      </c>
      <c r="C3233" s="41" t="s">
        <v>31</v>
      </c>
      <c r="D3233" s="87">
        <v>3861.3</v>
      </c>
      <c r="E3233" s="35">
        <v>44681</v>
      </c>
      <c r="F3233" s="87">
        <v>3861.3</v>
      </c>
      <c r="G3233" s="91">
        <f>Tabla15[[#This Row],[Importe]]-Tabla15[[#This Row],[Pagado]]</f>
        <v>0</v>
      </c>
      <c r="H3233" s="92" t="s">
        <v>10</v>
      </c>
    </row>
    <row r="3234" spans="1:8" ht="21.75" customHeight="1" x14ac:dyDescent="0.25">
      <c r="A3234" s="35">
        <v>44681</v>
      </c>
      <c r="B3234" s="90" t="s">
        <v>13928</v>
      </c>
      <c r="C3234" s="41" t="s">
        <v>414</v>
      </c>
      <c r="D3234" s="87">
        <v>24924</v>
      </c>
      <c r="E3234" s="35">
        <v>44681</v>
      </c>
      <c r="F3234" s="87">
        <v>24924</v>
      </c>
      <c r="G3234" s="91">
        <f>Tabla15[[#This Row],[Importe]]-Tabla15[[#This Row],[Pagado]]</f>
        <v>0</v>
      </c>
      <c r="H3234" s="92" t="s">
        <v>10</v>
      </c>
    </row>
    <row r="3235" spans="1:8" ht="21.75" customHeight="1" x14ac:dyDescent="0.25">
      <c r="A3235" s="35">
        <v>44681</v>
      </c>
      <c r="B3235" s="90" t="s">
        <v>13929</v>
      </c>
      <c r="C3235" s="41" t="s">
        <v>31</v>
      </c>
      <c r="D3235" s="87">
        <v>2513.6999999999998</v>
      </c>
      <c r="E3235" s="35">
        <v>44681</v>
      </c>
      <c r="F3235" s="87">
        <v>2513.6999999999998</v>
      </c>
      <c r="G3235" s="91">
        <f>Tabla15[[#This Row],[Importe]]-Tabla15[[#This Row],[Pagado]]</f>
        <v>0</v>
      </c>
      <c r="H3235" s="92" t="s">
        <v>10</v>
      </c>
    </row>
    <row r="3236" spans="1:8" ht="21.75" customHeight="1" x14ac:dyDescent="0.25">
      <c r="A3236" s="35">
        <v>44681</v>
      </c>
      <c r="B3236" s="90" t="s">
        <v>13930</v>
      </c>
      <c r="C3236" s="41" t="s">
        <v>9415</v>
      </c>
      <c r="D3236" s="87">
        <v>19932</v>
      </c>
      <c r="E3236" s="35">
        <v>44681</v>
      </c>
      <c r="F3236" s="87">
        <v>19932</v>
      </c>
      <c r="G3236" s="91">
        <f>Tabla15[[#This Row],[Importe]]-Tabla15[[#This Row],[Pagado]]</f>
        <v>0</v>
      </c>
      <c r="H3236" s="92" t="s">
        <v>10</v>
      </c>
    </row>
    <row r="3237" spans="1:8" ht="21.75" customHeight="1" x14ac:dyDescent="0.25">
      <c r="A3237" s="35">
        <v>44681</v>
      </c>
      <c r="B3237" s="90" t="s">
        <v>13931</v>
      </c>
      <c r="C3237" s="41" t="s">
        <v>9</v>
      </c>
      <c r="D3237" s="87">
        <v>7904.3</v>
      </c>
      <c r="E3237" s="35">
        <v>44681</v>
      </c>
      <c r="F3237" s="87">
        <v>7904.3</v>
      </c>
      <c r="G3237" s="91">
        <f>Tabla15[[#This Row],[Importe]]-Tabla15[[#This Row],[Pagado]]</f>
        <v>0</v>
      </c>
      <c r="H3237" s="92" t="s">
        <v>10</v>
      </c>
    </row>
    <row r="3238" spans="1:8" ht="31.5" x14ac:dyDescent="0.25">
      <c r="A3238" s="35">
        <v>44681</v>
      </c>
      <c r="B3238" s="90" t="s">
        <v>13932</v>
      </c>
      <c r="C3238" s="41" t="s">
        <v>475</v>
      </c>
      <c r="D3238" s="87">
        <v>94627</v>
      </c>
      <c r="E3238" s="35" t="s">
        <v>14069</v>
      </c>
      <c r="F3238" s="87">
        <f>90000+4627</f>
        <v>94627</v>
      </c>
      <c r="G3238" s="91">
        <f>Tabla15[[#This Row],[Importe]]-Tabla15[[#This Row],[Pagado]]</f>
        <v>0</v>
      </c>
      <c r="H3238" s="92" t="s">
        <v>10</v>
      </c>
    </row>
    <row r="3239" spans="1:8" ht="31.5" x14ac:dyDescent="0.25">
      <c r="A3239" s="35">
        <v>44681</v>
      </c>
      <c r="B3239" s="90" t="s">
        <v>13933</v>
      </c>
      <c r="C3239" s="41" t="s">
        <v>22</v>
      </c>
      <c r="D3239" s="87">
        <v>68308.600000000006</v>
      </c>
      <c r="E3239" s="35" t="s">
        <v>14070</v>
      </c>
      <c r="F3239" s="87">
        <f>50000+18308.6</f>
        <v>68308.600000000006</v>
      </c>
      <c r="G3239" s="91">
        <f>Tabla15[[#This Row],[Importe]]-Tabla15[[#This Row],[Pagado]]</f>
        <v>0</v>
      </c>
      <c r="H3239" s="92" t="s">
        <v>10</v>
      </c>
    </row>
    <row r="3240" spans="1:8" ht="21.75" customHeight="1" x14ac:dyDescent="0.25">
      <c r="A3240" s="35">
        <v>44681</v>
      </c>
      <c r="B3240" s="90" t="s">
        <v>13934</v>
      </c>
      <c r="C3240" s="41" t="s">
        <v>24</v>
      </c>
      <c r="D3240" s="87">
        <v>6193.2</v>
      </c>
      <c r="E3240" s="35">
        <v>44681</v>
      </c>
      <c r="F3240" s="87">
        <v>6193.2</v>
      </c>
      <c r="G3240" s="91">
        <f>Tabla15[[#This Row],[Importe]]-Tabla15[[#This Row],[Pagado]]</f>
        <v>0</v>
      </c>
      <c r="H3240" s="92" t="s">
        <v>10</v>
      </c>
    </row>
    <row r="3241" spans="1:8" ht="21.75" customHeight="1" x14ac:dyDescent="0.25">
      <c r="A3241" s="35">
        <v>44681</v>
      </c>
      <c r="B3241" s="90" t="s">
        <v>13935</v>
      </c>
      <c r="C3241" s="41" t="s">
        <v>85</v>
      </c>
      <c r="D3241" s="87">
        <v>6083</v>
      </c>
      <c r="E3241" s="35">
        <v>44681</v>
      </c>
      <c r="F3241" s="87">
        <v>6083</v>
      </c>
      <c r="G3241" s="91">
        <f>Tabla15[[#This Row],[Importe]]-Tabla15[[#This Row],[Pagado]]</f>
        <v>0</v>
      </c>
      <c r="H3241" s="92" t="s">
        <v>10</v>
      </c>
    </row>
    <row r="3242" spans="1:8" ht="21.75" customHeight="1" x14ac:dyDescent="0.25">
      <c r="A3242" s="35">
        <v>44681</v>
      </c>
      <c r="B3242" s="90" t="s">
        <v>13936</v>
      </c>
      <c r="C3242" s="41" t="s">
        <v>12</v>
      </c>
      <c r="D3242" s="87">
        <v>1764.1</v>
      </c>
      <c r="E3242" s="35">
        <v>44681</v>
      </c>
      <c r="F3242" s="87">
        <v>1764.1</v>
      </c>
      <c r="G3242" s="91">
        <f>Tabla15[[#This Row],[Importe]]-Tabla15[[#This Row],[Pagado]]</f>
        <v>0</v>
      </c>
      <c r="H3242" s="92" t="s">
        <v>10</v>
      </c>
    </row>
    <row r="3243" spans="1:8" ht="21.75" customHeight="1" x14ac:dyDescent="0.25">
      <c r="A3243" s="35">
        <v>44681</v>
      </c>
      <c r="B3243" s="90" t="s">
        <v>13937</v>
      </c>
      <c r="C3243" s="41" t="s">
        <v>9415</v>
      </c>
      <c r="D3243" s="87">
        <v>2384</v>
      </c>
      <c r="E3243" s="35">
        <v>44681</v>
      </c>
      <c r="F3243" s="87">
        <v>2384</v>
      </c>
      <c r="G3243" s="91">
        <f>Tabla15[[#This Row],[Importe]]-Tabla15[[#This Row],[Pagado]]</f>
        <v>0</v>
      </c>
      <c r="H3243" s="92" t="s">
        <v>10</v>
      </c>
    </row>
    <row r="3244" spans="1:8" ht="21.75" customHeight="1" x14ac:dyDescent="0.25">
      <c r="A3244" s="35">
        <v>44681</v>
      </c>
      <c r="B3244" s="90" t="s">
        <v>13938</v>
      </c>
      <c r="C3244" s="41" t="s">
        <v>49</v>
      </c>
      <c r="D3244" s="87">
        <v>3911.4</v>
      </c>
      <c r="E3244" s="35">
        <v>44681</v>
      </c>
      <c r="F3244" s="87">
        <v>3911.4</v>
      </c>
      <c r="G3244" s="91">
        <f>Tabla15[[#This Row],[Importe]]-Tabla15[[#This Row],[Pagado]]</f>
        <v>0</v>
      </c>
      <c r="H3244" s="92" t="s">
        <v>10</v>
      </c>
    </row>
    <row r="3245" spans="1:8" ht="21.75" customHeight="1" x14ac:dyDescent="0.25">
      <c r="A3245" s="35">
        <v>44681</v>
      </c>
      <c r="B3245" s="90" t="s">
        <v>13939</v>
      </c>
      <c r="C3245" s="41" t="s">
        <v>11033</v>
      </c>
      <c r="D3245" s="87">
        <v>3142.4</v>
      </c>
      <c r="E3245" s="35">
        <v>44681</v>
      </c>
      <c r="F3245" s="87">
        <v>3142.4</v>
      </c>
      <c r="G3245" s="91">
        <f>Tabla15[[#This Row],[Importe]]-Tabla15[[#This Row],[Pagado]]</f>
        <v>0</v>
      </c>
      <c r="H3245" s="92" t="s">
        <v>10</v>
      </c>
    </row>
    <row r="3246" spans="1:8" ht="21.75" customHeight="1" x14ac:dyDescent="0.25">
      <c r="A3246" s="35">
        <v>44681</v>
      </c>
      <c r="B3246" s="90" t="s">
        <v>13940</v>
      </c>
      <c r="C3246" s="41" t="s">
        <v>79</v>
      </c>
      <c r="D3246" s="87">
        <v>32274.9</v>
      </c>
      <c r="E3246" s="35">
        <v>44681</v>
      </c>
      <c r="F3246" s="87">
        <v>32274.9</v>
      </c>
      <c r="G3246" s="91">
        <f>Tabla15[[#This Row],[Importe]]-Tabla15[[#This Row],[Pagado]]</f>
        <v>0</v>
      </c>
      <c r="H3246" s="92" t="s">
        <v>10</v>
      </c>
    </row>
    <row r="3247" spans="1:8" ht="21.75" customHeight="1" x14ac:dyDescent="0.25">
      <c r="A3247" s="35">
        <v>44681</v>
      </c>
      <c r="B3247" s="90" t="s">
        <v>13941</v>
      </c>
      <c r="C3247" s="41" t="s">
        <v>27</v>
      </c>
      <c r="D3247" s="87">
        <v>1606.5</v>
      </c>
      <c r="E3247" s="35">
        <v>44681</v>
      </c>
      <c r="F3247" s="87">
        <v>1606.5</v>
      </c>
      <c r="G3247" s="91">
        <f>Tabla15[[#This Row],[Importe]]-Tabla15[[#This Row],[Pagado]]</f>
        <v>0</v>
      </c>
      <c r="H3247" s="92" t="s">
        <v>10</v>
      </c>
    </row>
    <row r="3248" spans="1:8" ht="21.75" customHeight="1" x14ac:dyDescent="0.25">
      <c r="A3248" s="35">
        <v>44681</v>
      </c>
      <c r="B3248" s="90" t="s">
        <v>13942</v>
      </c>
      <c r="C3248" s="41" t="s">
        <v>131</v>
      </c>
      <c r="D3248" s="87">
        <v>17087.2</v>
      </c>
      <c r="E3248" s="35">
        <v>44681</v>
      </c>
      <c r="F3248" s="87">
        <v>17087.2</v>
      </c>
      <c r="G3248" s="91">
        <f>Tabla15[[#This Row],[Importe]]-Tabla15[[#This Row],[Pagado]]</f>
        <v>0</v>
      </c>
      <c r="H3248" s="92" t="s">
        <v>10</v>
      </c>
    </row>
    <row r="3249" spans="1:8" ht="21.75" customHeight="1" x14ac:dyDescent="0.25">
      <c r="A3249" s="35">
        <v>44681</v>
      </c>
      <c r="B3249" s="90" t="s">
        <v>13943</v>
      </c>
      <c r="C3249" s="41" t="s">
        <v>31</v>
      </c>
      <c r="D3249" s="87">
        <v>2461.4</v>
      </c>
      <c r="E3249" s="35">
        <v>44681</v>
      </c>
      <c r="F3249" s="87">
        <v>2461.4</v>
      </c>
      <c r="G3249" s="91">
        <f>Tabla15[[#This Row],[Importe]]-Tabla15[[#This Row],[Pagado]]</f>
        <v>0</v>
      </c>
      <c r="H3249" s="92" t="s">
        <v>10</v>
      </c>
    </row>
    <row r="3250" spans="1:8" ht="21.75" customHeight="1" x14ac:dyDescent="0.25">
      <c r="A3250" s="35">
        <v>44681</v>
      </c>
      <c r="B3250" s="90" t="s">
        <v>13944</v>
      </c>
      <c r="C3250" s="41" t="s">
        <v>111</v>
      </c>
      <c r="D3250" s="87">
        <v>8486.4</v>
      </c>
      <c r="E3250" s="35">
        <v>44683</v>
      </c>
      <c r="F3250" s="87">
        <v>8486.4</v>
      </c>
      <c r="G3250" s="91">
        <f>Tabla15[[#This Row],[Importe]]-Tabla15[[#This Row],[Pagado]]</f>
        <v>0</v>
      </c>
      <c r="H3250" s="92" t="s">
        <v>10</v>
      </c>
    </row>
    <row r="3251" spans="1:8" ht="21.75" customHeight="1" x14ac:dyDescent="0.25">
      <c r="A3251" s="35">
        <v>44681</v>
      </c>
      <c r="B3251" s="90" t="s">
        <v>13945</v>
      </c>
      <c r="C3251" s="41" t="s">
        <v>13946</v>
      </c>
      <c r="D3251" s="87">
        <v>4539</v>
      </c>
      <c r="E3251" s="35">
        <v>44683</v>
      </c>
      <c r="F3251" s="87">
        <v>4539</v>
      </c>
      <c r="G3251" s="91">
        <f>Tabla15[[#This Row],[Importe]]-Tabla15[[#This Row],[Pagado]]</f>
        <v>0</v>
      </c>
      <c r="H3251" s="92" t="s">
        <v>10</v>
      </c>
    </row>
    <row r="3252" spans="1:8" ht="21.75" customHeight="1" x14ac:dyDescent="0.25">
      <c r="A3252" s="35">
        <v>44681</v>
      </c>
      <c r="B3252" s="90" t="s">
        <v>13947</v>
      </c>
      <c r="C3252" s="41" t="s">
        <v>109</v>
      </c>
      <c r="D3252" s="87">
        <v>8506.7999999999993</v>
      </c>
      <c r="E3252" s="35">
        <v>44683</v>
      </c>
      <c r="F3252" s="87">
        <v>8506.7999999999993</v>
      </c>
      <c r="G3252" s="91">
        <f>Tabla15[[#This Row],[Importe]]-Tabla15[[#This Row],[Pagado]]</f>
        <v>0</v>
      </c>
      <c r="H3252" s="92" t="s">
        <v>10</v>
      </c>
    </row>
    <row r="3253" spans="1:8" ht="21.75" customHeight="1" x14ac:dyDescent="0.25">
      <c r="A3253" s="35">
        <v>44681</v>
      </c>
      <c r="B3253" s="90" t="s">
        <v>13948</v>
      </c>
      <c r="C3253" s="41" t="s">
        <v>56</v>
      </c>
      <c r="D3253" s="87">
        <v>8780.4</v>
      </c>
      <c r="E3253" s="35">
        <v>44681</v>
      </c>
      <c r="F3253" s="87">
        <v>8780.4</v>
      </c>
      <c r="G3253" s="91">
        <f>Tabla15[[#This Row],[Importe]]-Tabla15[[#This Row],[Pagado]]</f>
        <v>0</v>
      </c>
      <c r="H3253" s="92" t="s">
        <v>10</v>
      </c>
    </row>
    <row r="3254" spans="1:8" ht="21.75" customHeight="1" x14ac:dyDescent="0.25">
      <c r="A3254" s="35">
        <v>44681</v>
      </c>
      <c r="B3254" s="90" t="s">
        <v>13949</v>
      </c>
      <c r="C3254" s="41" t="s">
        <v>5043</v>
      </c>
      <c r="D3254" s="87">
        <v>9068.2999999999993</v>
      </c>
      <c r="E3254" s="35">
        <v>44683</v>
      </c>
      <c r="F3254" s="87">
        <v>9068.2999999999993</v>
      </c>
      <c r="G3254" s="91">
        <f>Tabla15[[#This Row],[Importe]]-Tabla15[[#This Row],[Pagado]]</f>
        <v>0</v>
      </c>
      <c r="H3254" s="92" t="s">
        <v>10</v>
      </c>
    </row>
    <row r="3255" spans="1:8" ht="21.75" customHeight="1" x14ac:dyDescent="0.25">
      <c r="A3255" s="35">
        <v>44681</v>
      </c>
      <c r="B3255" s="90" t="s">
        <v>13950</v>
      </c>
      <c r="C3255" s="41" t="s">
        <v>10742</v>
      </c>
      <c r="D3255" s="87">
        <v>12879</v>
      </c>
      <c r="E3255" s="35">
        <v>44683</v>
      </c>
      <c r="F3255" s="87">
        <v>12879</v>
      </c>
      <c r="G3255" s="91">
        <f>Tabla15[[#This Row],[Importe]]-Tabla15[[#This Row],[Pagado]]</f>
        <v>0</v>
      </c>
      <c r="H3255" s="92" t="s">
        <v>10</v>
      </c>
    </row>
    <row r="3256" spans="1:8" ht="21.75" customHeight="1" x14ac:dyDescent="0.25">
      <c r="A3256" s="35">
        <v>44681</v>
      </c>
      <c r="B3256" s="90" t="s">
        <v>13951</v>
      </c>
      <c r="C3256" s="41" t="s">
        <v>161</v>
      </c>
      <c r="D3256" s="87">
        <v>3391.6</v>
      </c>
      <c r="E3256" s="35">
        <v>44681</v>
      </c>
      <c r="F3256" s="87">
        <v>3391.6</v>
      </c>
      <c r="G3256" s="91">
        <f>Tabla15[[#This Row],[Importe]]-Tabla15[[#This Row],[Pagado]]</f>
        <v>0</v>
      </c>
      <c r="H3256" s="92" t="s">
        <v>10</v>
      </c>
    </row>
    <row r="3257" spans="1:8" ht="21.75" customHeight="1" x14ac:dyDescent="0.25">
      <c r="A3257" s="35">
        <v>44681</v>
      </c>
      <c r="B3257" s="90" t="s">
        <v>13952</v>
      </c>
      <c r="C3257" s="41" t="s">
        <v>2151</v>
      </c>
      <c r="D3257" s="87">
        <v>37082.1</v>
      </c>
      <c r="E3257" s="35">
        <v>44681</v>
      </c>
      <c r="F3257" s="87">
        <v>37082.1</v>
      </c>
      <c r="G3257" s="91">
        <f>Tabla15[[#This Row],[Importe]]-Tabla15[[#This Row],[Pagado]]</f>
        <v>0</v>
      </c>
      <c r="H3257" s="92" t="s">
        <v>10</v>
      </c>
    </row>
    <row r="3258" spans="1:8" ht="21.75" customHeight="1" x14ac:dyDescent="0.25">
      <c r="A3258" s="35">
        <v>44681</v>
      </c>
      <c r="B3258" s="90" t="s">
        <v>13953</v>
      </c>
      <c r="C3258" s="41" t="s">
        <v>216</v>
      </c>
      <c r="D3258" s="87">
        <v>2097.9</v>
      </c>
      <c r="E3258" s="35">
        <v>44681</v>
      </c>
      <c r="F3258" s="87">
        <v>2097.9</v>
      </c>
      <c r="G3258" s="91">
        <f>Tabla15[[#This Row],[Importe]]-Tabla15[[#This Row],[Pagado]]</f>
        <v>0</v>
      </c>
      <c r="H3258" s="92" t="s">
        <v>10</v>
      </c>
    </row>
    <row r="3259" spans="1:8" ht="21.75" customHeight="1" x14ac:dyDescent="0.25">
      <c r="A3259" s="35">
        <v>44681</v>
      </c>
      <c r="B3259" s="90" t="s">
        <v>13954</v>
      </c>
      <c r="C3259" s="41" t="s">
        <v>31</v>
      </c>
      <c r="D3259" s="87">
        <v>4803.1000000000004</v>
      </c>
      <c r="E3259" s="35">
        <v>44681</v>
      </c>
      <c r="F3259" s="87">
        <v>4803.1000000000004</v>
      </c>
      <c r="G3259" s="91">
        <f>Tabla15[[#This Row],[Importe]]-Tabla15[[#This Row],[Pagado]]</f>
        <v>0</v>
      </c>
      <c r="H3259" s="92" t="s">
        <v>10</v>
      </c>
    </row>
    <row r="3260" spans="1:8" ht="21.75" customHeight="1" x14ac:dyDescent="0.25">
      <c r="A3260" s="35">
        <v>44681</v>
      </c>
      <c r="B3260" s="90" t="s">
        <v>13955</v>
      </c>
      <c r="C3260" s="41" t="s">
        <v>1239</v>
      </c>
      <c r="D3260" s="87">
        <v>14032</v>
      </c>
      <c r="E3260" s="35">
        <v>44681</v>
      </c>
      <c r="F3260" s="87">
        <v>14032</v>
      </c>
      <c r="G3260" s="91">
        <f>Tabla15[[#This Row],[Importe]]-Tabla15[[#This Row],[Pagado]]</f>
        <v>0</v>
      </c>
      <c r="H3260" s="92" t="s">
        <v>10</v>
      </c>
    </row>
    <row r="3261" spans="1:8" ht="21.75" customHeight="1" x14ac:dyDescent="0.25">
      <c r="A3261" s="35">
        <v>44681</v>
      </c>
      <c r="B3261" s="90" t="s">
        <v>13956</v>
      </c>
      <c r="C3261" s="41" t="s">
        <v>326</v>
      </c>
      <c r="D3261" s="87">
        <v>9088.2000000000007</v>
      </c>
      <c r="E3261" s="35">
        <v>44683</v>
      </c>
      <c r="F3261" s="87">
        <v>9088.2000000000007</v>
      </c>
      <c r="G3261" s="91">
        <f>Tabla15[[#This Row],[Importe]]-Tabla15[[#This Row],[Pagado]]</f>
        <v>0</v>
      </c>
      <c r="H3261" s="92" t="s">
        <v>10</v>
      </c>
    </row>
    <row r="3262" spans="1:8" ht="21.75" customHeight="1" x14ac:dyDescent="0.25">
      <c r="A3262" s="35">
        <v>44681</v>
      </c>
      <c r="B3262" s="90" t="s">
        <v>13957</v>
      </c>
      <c r="C3262" s="41" t="s">
        <v>116</v>
      </c>
      <c r="D3262" s="87">
        <v>4202.8999999999996</v>
      </c>
      <c r="E3262" s="35">
        <v>44683</v>
      </c>
      <c r="F3262" s="87">
        <v>4202.8999999999996</v>
      </c>
      <c r="G3262" s="91">
        <f>Tabla15[[#This Row],[Importe]]-Tabla15[[#This Row],[Pagado]]</f>
        <v>0</v>
      </c>
      <c r="H3262" s="92" t="s">
        <v>10</v>
      </c>
    </row>
    <row r="3263" spans="1:8" ht="21.75" customHeight="1" x14ac:dyDescent="0.25">
      <c r="A3263" s="35">
        <v>44681</v>
      </c>
      <c r="B3263" s="90" t="s">
        <v>13958</v>
      </c>
      <c r="C3263" s="41" t="s">
        <v>120</v>
      </c>
      <c r="D3263" s="87">
        <v>4616.3</v>
      </c>
      <c r="E3263" s="35">
        <v>44683</v>
      </c>
      <c r="F3263" s="87">
        <v>4616.3</v>
      </c>
      <c r="G3263" s="91">
        <f>Tabla15[[#This Row],[Importe]]-Tabla15[[#This Row],[Pagado]]</f>
        <v>0</v>
      </c>
      <c r="H3263" s="92" t="s">
        <v>10</v>
      </c>
    </row>
    <row r="3264" spans="1:8" ht="21.75" customHeight="1" x14ac:dyDescent="0.25">
      <c r="A3264" s="35">
        <v>44681</v>
      </c>
      <c r="B3264" s="90" t="s">
        <v>13959</v>
      </c>
      <c r="C3264" s="41" t="s">
        <v>97</v>
      </c>
      <c r="D3264" s="87">
        <v>18752.7</v>
      </c>
      <c r="E3264" s="35">
        <v>44684</v>
      </c>
      <c r="F3264" s="87">
        <v>18752.7</v>
      </c>
      <c r="G3264" s="91">
        <f>Tabla15[[#This Row],[Importe]]-Tabla15[[#This Row],[Pagado]]</f>
        <v>0</v>
      </c>
      <c r="H3264" s="92" t="s">
        <v>10</v>
      </c>
    </row>
    <row r="3265" spans="1:8" ht="21.75" customHeight="1" x14ac:dyDescent="0.25">
      <c r="A3265" s="35">
        <v>44681</v>
      </c>
      <c r="B3265" s="90" t="s">
        <v>13960</v>
      </c>
      <c r="C3265" s="41" t="s">
        <v>31</v>
      </c>
      <c r="D3265" s="87">
        <v>740</v>
      </c>
      <c r="E3265" s="35">
        <v>44681</v>
      </c>
      <c r="F3265" s="87">
        <v>740</v>
      </c>
      <c r="G3265" s="91">
        <f>Tabla15[[#This Row],[Importe]]-Tabla15[[#This Row],[Pagado]]</f>
        <v>0</v>
      </c>
      <c r="H3265" s="92" t="s">
        <v>10</v>
      </c>
    </row>
    <row r="3266" spans="1:8" ht="21.75" customHeight="1" x14ac:dyDescent="0.25">
      <c r="A3266" s="35">
        <v>44681</v>
      </c>
      <c r="B3266" s="90" t="s">
        <v>13961</v>
      </c>
      <c r="C3266" s="41" t="s">
        <v>105</v>
      </c>
      <c r="D3266" s="87">
        <v>15061.4</v>
      </c>
      <c r="E3266" s="35">
        <v>44683</v>
      </c>
      <c r="F3266" s="87">
        <v>15061.4</v>
      </c>
      <c r="G3266" s="91">
        <f>Tabla15[[#This Row],[Importe]]-Tabla15[[#This Row],[Pagado]]</f>
        <v>0</v>
      </c>
      <c r="H3266" s="92" t="s">
        <v>10</v>
      </c>
    </row>
    <row r="3267" spans="1:8" ht="21.75" customHeight="1" x14ac:dyDescent="0.25">
      <c r="A3267" s="35">
        <v>44681</v>
      </c>
      <c r="B3267" s="90" t="s">
        <v>13962</v>
      </c>
      <c r="C3267" s="41" t="s">
        <v>16</v>
      </c>
      <c r="D3267" s="87">
        <v>5049.6000000000004</v>
      </c>
      <c r="E3267" s="35">
        <v>44681</v>
      </c>
      <c r="F3267" s="87">
        <v>5049.6000000000004</v>
      </c>
      <c r="G3267" s="91">
        <f>Tabla15[[#This Row],[Importe]]-Tabla15[[#This Row],[Pagado]]</f>
        <v>0</v>
      </c>
      <c r="H3267" s="92" t="s">
        <v>10</v>
      </c>
    </row>
    <row r="3268" spans="1:8" ht="21.75" customHeight="1" x14ac:dyDescent="0.25">
      <c r="A3268" s="35">
        <v>44681</v>
      </c>
      <c r="B3268" s="90" t="s">
        <v>13963</v>
      </c>
      <c r="C3268" s="41" t="s">
        <v>12202</v>
      </c>
      <c r="D3268" s="87">
        <v>6300</v>
      </c>
      <c r="E3268" s="35">
        <v>44682</v>
      </c>
      <c r="F3268" s="87">
        <v>6300</v>
      </c>
      <c r="G3268" s="91">
        <f>Tabla15[[#This Row],[Importe]]-Tabla15[[#This Row],[Pagado]]</f>
        <v>0</v>
      </c>
      <c r="H3268" s="92" t="s">
        <v>10</v>
      </c>
    </row>
    <row r="3269" spans="1:8" ht="21.75" customHeight="1" x14ac:dyDescent="0.25">
      <c r="A3269" s="35">
        <v>44681</v>
      </c>
      <c r="B3269" s="90" t="s">
        <v>13964</v>
      </c>
      <c r="C3269" s="41" t="s">
        <v>348</v>
      </c>
      <c r="D3269" s="87">
        <v>5908.2</v>
      </c>
      <c r="E3269" s="35">
        <v>44681</v>
      </c>
      <c r="F3269" s="87">
        <v>5908.2</v>
      </c>
      <c r="G3269" s="91">
        <f>Tabla15[[#This Row],[Importe]]-Tabla15[[#This Row],[Pagado]]</f>
        <v>0</v>
      </c>
      <c r="H3269" s="92" t="s">
        <v>10</v>
      </c>
    </row>
    <row r="3270" spans="1:8" ht="21.75" customHeight="1" x14ac:dyDescent="0.25">
      <c r="A3270" s="35">
        <v>44681</v>
      </c>
      <c r="B3270" s="90" t="s">
        <v>13965</v>
      </c>
      <c r="C3270" s="41" t="s">
        <v>89</v>
      </c>
      <c r="D3270" s="87">
        <v>12201</v>
      </c>
      <c r="E3270" s="35">
        <v>44683</v>
      </c>
      <c r="F3270" s="87">
        <v>12201</v>
      </c>
      <c r="G3270" s="91">
        <f>Tabla15[[#This Row],[Importe]]-Tabla15[[#This Row],[Pagado]]</f>
        <v>0</v>
      </c>
      <c r="H3270" s="92" t="s">
        <v>10</v>
      </c>
    </row>
    <row r="3271" spans="1:8" ht="21.75" customHeight="1" x14ac:dyDescent="0.25">
      <c r="A3271" s="35">
        <v>44681</v>
      </c>
      <c r="B3271" s="90" t="s">
        <v>13966</v>
      </c>
      <c r="C3271" s="41" t="s">
        <v>93</v>
      </c>
      <c r="D3271" s="87">
        <v>21484.799999999999</v>
      </c>
      <c r="E3271" s="35">
        <v>44683</v>
      </c>
      <c r="F3271" s="87">
        <v>21484.799999999999</v>
      </c>
      <c r="G3271" s="91">
        <f>Tabla15[[#This Row],[Importe]]-Tabla15[[#This Row],[Pagado]]</f>
        <v>0</v>
      </c>
      <c r="H3271" s="92" t="s">
        <v>10</v>
      </c>
    </row>
    <row r="3272" spans="1:8" ht="21.75" customHeight="1" x14ac:dyDescent="0.25">
      <c r="A3272" s="35">
        <v>44681</v>
      </c>
      <c r="B3272" s="90" t="s">
        <v>13967</v>
      </c>
      <c r="C3272" s="41" t="s">
        <v>13493</v>
      </c>
      <c r="D3272" s="87">
        <v>5413.7</v>
      </c>
      <c r="E3272" s="35">
        <v>44681</v>
      </c>
      <c r="F3272" s="87">
        <v>5413.7</v>
      </c>
      <c r="G3272" s="91">
        <f>Tabla15[[#This Row],[Importe]]-Tabla15[[#This Row],[Pagado]]</f>
        <v>0</v>
      </c>
      <c r="H3272" s="92" t="s">
        <v>10</v>
      </c>
    </row>
    <row r="3273" spans="1:8" ht="21.75" customHeight="1" x14ac:dyDescent="0.25">
      <c r="A3273" s="35">
        <v>44681</v>
      </c>
      <c r="B3273" s="90" t="s">
        <v>13968</v>
      </c>
      <c r="C3273" s="41" t="s">
        <v>924</v>
      </c>
      <c r="D3273" s="87">
        <v>16102.6</v>
      </c>
      <c r="E3273" s="35">
        <v>44681</v>
      </c>
      <c r="F3273" s="87">
        <v>16102.6</v>
      </c>
      <c r="G3273" s="91">
        <f>Tabla15[[#This Row],[Importe]]-Tabla15[[#This Row],[Pagado]]</f>
        <v>0</v>
      </c>
      <c r="H3273" s="92" t="s">
        <v>10</v>
      </c>
    </row>
    <row r="3274" spans="1:8" ht="21.75" customHeight="1" x14ac:dyDescent="0.25">
      <c r="A3274" s="35">
        <v>44681</v>
      </c>
      <c r="B3274" s="90" t="s">
        <v>13969</v>
      </c>
      <c r="C3274" s="41" t="s">
        <v>326</v>
      </c>
      <c r="D3274" s="87">
        <v>999</v>
      </c>
      <c r="E3274" s="35">
        <v>44683</v>
      </c>
      <c r="F3274" s="87">
        <v>999</v>
      </c>
      <c r="G3274" s="91">
        <f>Tabla15[[#This Row],[Importe]]-Tabla15[[#This Row],[Pagado]]</f>
        <v>0</v>
      </c>
      <c r="H3274" s="92" t="s">
        <v>10</v>
      </c>
    </row>
    <row r="3275" spans="1:8" ht="21.75" customHeight="1" x14ac:dyDescent="0.25">
      <c r="A3275" s="35">
        <v>44681</v>
      </c>
      <c r="B3275" s="90" t="s">
        <v>13970</v>
      </c>
      <c r="C3275" s="41" t="s">
        <v>99</v>
      </c>
      <c r="D3275" s="87">
        <v>14317.8</v>
      </c>
      <c r="E3275" s="35">
        <v>44683</v>
      </c>
      <c r="F3275" s="87">
        <v>14317.8</v>
      </c>
      <c r="G3275" s="91">
        <f>Tabla15[[#This Row],[Importe]]-Tabla15[[#This Row],[Pagado]]</f>
        <v>0</v>
      </c>
      <c r="H3275" s="92" t="s">
        <v>10</v>
      </c>
    </row>
    <row r="3276" spans="1:8" ht="31.5" x14ac:dyDescent="0.25">
      <c r="A3276" s="35">
        <v>44681</v>
      </c>
      <c r="B3276" s="90" t="s">
        <v>13971</v>
      </c>
      <c r="C3276" s="41" t="s">
        <v>39</v>
      </c>
      <c r="D3276" s="87">
        <v>30423.9</v>
      </c>
      <c r="E3276" s="35" t="s">
        <v>14072</v>
      </c>
      <c r="F3276" s="87">
        <f>6000+24423.9</f>
        <v>30423.9</v>
      </c>
      <c r="G3276" s="91">
        <f>Tabla15[[#This Row],[Importe]]-Tabla15[[#This Row],[Pagado]]</f>
        <v>0</v>
      </c>
      <c r="H3276" s="92" t="s">
        <v>10</v>
      </c>
    </row>
    <row r="3277" spans="1:8" ht="21.75" customHeight="1" x14ac:dyDescent="0.25">
      <c r="A3277" s="35">
        <v>44681</v>
      </c>
      <c r="B3277" s="90" t="s">
        <v>13972</v>
      </c>
      <c r="C3277" s="41" t="s">
        <v>12202</v>
      </c>
      <c r="D3277" s="87">
        <v>7800</v>
      </c>
      <c r="E3277" s="35">
        <v>44681</v>
      </c>
      <c r="F3277" s="87">
        <v>7800</v>
      </c>
      <c r="G3277" s="91">
        <f>Tabla15[[#This Row],[Importe]]-Tabla15[[#This Row],[Pagado]]</f>
        <v>0</v>
      </c>
      <c r="H3277" s="92" t="s">
        <v>10</v>
      </c>
    </row>
    <row r="3278" spans="1:8" ht="21.75" customHeight="1" x14ac:dyDescent="0.25">
      <c r="A3278" s="35">
        <v>44681</v>
      </c>
      <c r="B3278" s="90" t="s">
        <v>13973</v>
      </c>
      <c r="C3278" s="41" t="s">
        <v>60</v>
      </c>
      <c r="D3278" s="87">
        <v>4465.8999999999996</v>
      </c>
      <c r="E3278" s="35">
        <v>44684</v>
      </c>
      <c r="F3278" s="87">
        <v>4465.8999999999996</v>
      </c>
      <c r="G3278" s="91">
        <f>Tabla15[[#This Row],[Importe]]-Tabla15[[#This Row],[Pagado]]</f>
        <v>0</v>
      </c>
      <c r="H3278" s="92" t="s">
        <v>10</v>
      </c>
    </row>
    <row r="3279" spans="1:8" ht="21.75" customHeight="1" x14ac:dyDescent="0.25">
      <c r="A3279" s="35">
        <v>44681</v>
      </c>
      <c r="B3279" s="90" t="s">
        <v>13974</v>
      </c>
      <c r="C3279" s="41" t="s">
        <v>135</v>
      </c>
      <c r="D3279" s="87">
        <v>1624.4</v>
      </c>
      <c r="E3279" s="35">
        <v>44681</v>
      </c>
      <c r="F3279" s="87">
        <v>1624.4</v>
      </c>
      <c r="G3279" s="91">
        <f>Tabla15[[#This Row],[Importe]]-Tabla15[[#This Row],[Pagado]]</f>
        <v>0</v>
      </c>
      <c r="H3279" s="92" t="s">
        <v>10</v>
      </c>
    </row>
    <row r="3280" spans="1:8" ht="21.75" customHeight="1" x14ac:dyDescent="0.25">
      <c r="A3280" s="35">
        <v>44681</v>
      </c>
      <c r="B3280" s="90" t="s">
        <v>13975</v>
      </c>
      <c r="C3280" s="41" t="s">
        <v>64</v>
      </c>
      <c r="D3280" s="87">
        <v>14259.9</v>
      </c>
      <c r="E3280" s="35">
        <v>44683</v>
      </c>
      <c r="F3280" s="87">
        <v>14259.9</v>
      </c>
      <c r="G3280" s="91">
        <f>Tabla15[[#This Row],[Importe]]-Tabla15[[#This Row],[Pagado]]</f>
        <v>0</v>
      </c>
      <c r="H3280" s="92" t="s">
        <v>10</v>
      </c>
    </row>
    <row r="3281" spans="1:8" ht="21.75" customHeight="1" x14ac:dyDescent="0.25">
      <c r="A3281" s="35">
        <v>44681</v>
      </c>
      <c r="B3281" s="90" t="s">
        <v>13976</v>
      </c>
      <c r="C3281" s="41" t="s">
        <v>314</v>
      </c>
      <c r="D3281" s="87">
        <v>5191.2</v>
      </c>
      <c r="E3281" s="35">
        <v>44681</v>
      </c>
      <c r="F3281" s="87">
        <v>5191.2</v>
      </c>
      <c r="G3281" s="91">
        <f>Tabla15[[#This Row],[Importe]]-Tabla15[[#This Row],[Pagado]]</f>
        <v>0</v>
      </c>
      <c r="H3281" s="92" t="s">
        <v>10</v>
      </c>
    </row>
    <row r="3282" spans="1:8" ht="21.75" customHeight="1" x14ac:dyDescent="0.25">
      <c r="A3282" s="35">
        <v>44681</v>
      </c>
      <c r="B3282" s="90" t="s">
        <v>13977</v>
      </c>
      <c r="C3282" s="41" t="s">
        <v>87</v>
      </c>
      <c r="D3282" s="87">
        <v>5828.9</v>
      </c>
      <c r="E3282" s="35">
        <v>44681</v>
      </c>
      <c r="F3282" s="87">
        <v>5828.9</v>
      </c>
      <c r="G3282" s="91">
        <f>Tabla15[[#This Row],[Importe]]-Tabla15[[#This Row],[Pagado]]</f>
        <v>0</v>
      </c>
      <c r="H3282" s="92" t="s">
        <v>10</v>
      </c>
    </row>
    <row r="3283" spans="1:8" ht="21.75" customHeight="1" x14ac:dyDescent="0.25">
      <c r="A3283" s="35">
        <v>44681</v>
      </c>
      <c r="B3283" s="90" t="s">
        <v>13978</v>
      </c>
      <c r="C3283" s="41" t="s">
        <v>114</v>
      </c>
      <c r="D3283" s="87">
        <v>16845.599999999999</v>
      </c>
      <c r="E3283" s="35">
        <v>44683</v>
      </c>
      <c r="F3283" s="87">
        <v>16845.599999999999</v>
      </c>
      <c r="G3283" s="91">
        <f>Tabla15[[#This Row],[Importe]]-Tabla15[[#This Row],[Pagado]]</f>
        <v>0</v>
      </c>
      <c r="H3283" s="92" t="s">
        <v>10</v>
      </c>
    </row>
    <row r="3284" spans="1:8" ht="21.75" customHeight="1" x14ac:dyDescent="0.25">
      <c r="A3284" s="35">
        <v>44681</v>
      </c>
      <c r="B3284" s="90" t="s">
        <v>13979</v>
      </c>
      <c r="C3284" s="41" t="s">
        <v>45</v>
      </c>
      <c r="D3284" s="87">
        <v>13304.4</v>
      </c>
      <c r="E3284" s="35">
        <v>44681</v>
      </c>
      <c r="F3284" s="87">
        <v>13304.4</v>
      </c>
      <c r="G3284" s="91">
        <f>Tabla15[[#This Row],[Importe]]-Tabla15[[#This Row],[Pagado]]</f>
        <v>0</v>
      </c>
      <c r="H3284" s="92" t="s">
        <v>10</v>
      </c>
    </row>
    <row r="3285" spans="1:8" ht="21.75" customHeight="1" x14ac:dyDescent="0.25">
      <c r="A3285" s="35">
        <v>44681</v>
      </c>
      <c r="B3285" s="90" t="s">
        <v>13980</v>
      </c>
      <c r="C3285" s="41" t="s">
        <v>83</v>
      </c>
      <c r="D3285" s="87">
        <v>6000</v>
      </c>
      <c r="E3285" s="35">
        <v>44681</v>
      </c>
      <c r="F3285" s="87">
        <v>6000</v>
      </c>
      <c r="G3285" s="91">
        <f>Tabla15[[#This Row],[Importe]]-Tabla15[[#This Row],[Pagado]]</f>
        <v>0</v>
      </c>
      <c r="H3285" s="92" t="s">
        <v>10</v>
      </c>
    </row>
    <row r="3286" spans="1:8" ht="21.75" customHeight="1" x14ac:dyDescent="0.25">
      <c r="A3286" s="35">
        <v>44681</v>
      </c>
      <c r="B3286" s="90" t="s">
        <v>13981</v>
      </c>
      <c r="C3286" s="41" t="s">
        <v>289</v>
      </c>
      <c r="D3286" s="87">
        <v>12575.3</v>
      </c>
      <c r="E3286" s="35">
        <v>44681</v>
      </c>
      <c r="F3286" s="87">
        <v>12575.3</v>
      </c>
      <c r="G3286" s="91">
        <f>Tabla15[[#This Row],[Importe]]-Tabla15[[#This Row],[Pagado]]</f>
        <v>0</v>
      </c>
      <c r="H3286" s="92" t="s">
        <v>10</v>
      </c>
    </row>
    <row r="3287" spans="1:8" ht="21.75" customHeight="1" x14ac:dyDescent="0.25">
      <c r="A3287" s="35">
        <v>44681</v>
      </c>
      <c r="B3287" s="90" t="s">
        <v>13982</v>
      </c>
      <c r="C3287" s="41" t="s">
        <v>107</v>
      </c>
      <c r="D3287" s="87">
        <v>22663.1</v>
      </c>
      <c r="E3287" s="35">
        <v>44681</v>
      </c>
      <c r="F3287" s="87">
        <v>22663.1</v>
      </c>
      <c r="G3287" s="91">
        <f>Tabla15[[#This Row],[Importe]]-Tabla15[[#This Row],[Pagado]]</f>
        <v>0</v>
      </c>
      <c r="H3287" s="92" t="s">
        <v>10</v>
      </c>
    </row>
    <row r="3288" spans="1:8" ht="21.75" customHeight="1" x14ac:dyDescent="0.25">
      <c r="A3288" s="35">
        <v>44681</v>
      </c>
      <c r="B3288" s="90" t="s">
        <v>13983</v>
      </c>
      <c r="C3288" s="41" t="s">
        <v>473</v>
      </c>
      <c r="D3288" s="87">
        <v>5808</v>
      </c>
      <c r="E3288" s="35">
        <v>44682</v>
      </c>
      <c r="F3288" s="87">
        <v>5808</v>
      </c>
      <c r="G3288" s="91">
        <f>Tabla15[[#This Row],[Importe]]-Tabla15[[#This Row],[Pagado]]</f>
        <v>0</v>
      </c>
      <c r="H3288" s="92" t="s">
        <v>10</v>
      </c>
    </row>
    <row r="3289" spans="1:8" ht="21.75" customHeight="1" x14ac:dyDescent="0.25">
      <c r="A3289" s="35">
        <v>44681</v>
      </c>
      <c r="B3289" s="90" t="s">
        <v>13984</v>
      </c>
      <c r="C3289" s="41" t="s">
        <v>31</v>
      </c>
      <c r="D3289" s="87">
        <v>5896.8</v>
      </c>
      <c r="E3289" s="35">
        <v>44681</v>
      </c>
      <c r="F3289" s="87">
        <v>5896.8</v>
      </c>
      <c r="G3289" s="91">
        <f>Tabla15[[#This Row],[Importe]]-Tabla15[[#This Row],[Pagado]]</f>
        <v>0</v>
      </c>
      <c r="H3289" s="92" t="s">
        <v>10</v>
      </c>
    </row>
    <row r="3290" spans="1:8" ht="21.75" customHeight="1" x14ac:dyDescent="0.25">
      <c r="A3290" s="35">
        <v>44681</v>
      </c>
      <c r="B3290" s="90" t="s">
        <v>13985</v>
      </c>
      <c r="C3290" s="41" t="s">
        <v>75</v>
      </c>
      <c r="D3290" s="87">
        <v>20840.400000000001</v>
      </c>
      <c r="E3290" s="35">
        <v>44682</v>
      </c>
      <c r="F3290" s="87">
        <v>20840.400000000001</v>
      </c>
      <c r="G3290" s="91">
        <f>Tabla15[[#This Row],[Importe]]-Tabla15[[#This Row],[Pagado]]</f>
        <v>0</v>
      </c>
      <c r="H3290" s="92" t="s">
        <v>10</v>
      </c>
    </row>
    <row r="3291" spans="1:8" ht="21.75" customHeight="1" x14ac:dyDescent="0.25">
      <c r="A3291" s="35">
        <v>44681</v>
      </c>
      <c r="B3291" s="90" t="s">
        <v>13986</v>
      </c>
      <c r="C3291" s="41" t="s">
        <v>230</v>
      </c>
      <c r="D3291" s="87">
        <v>6415</v>
      </c>
      <c r="E3291" s="35">
        <v>44681</v>
      </c>
      <c r="F3291" s="87">
        <v>6415</v>
      </c>
      <c r="G3291" s="91">
        <f>Tabla15[[#This Row],[Importe]]-Tabla15[[#This Row],[Pagado]]</f>
        <v>0</v>
      </c>
      <c r="H3291" s="92" t="s">
        <v>10</v>
      </c>
    </row>
    <row r="3292" spans="1:8" ht="21.75" customHeight="1" x14ac:dyDescent="0.25">
      <c r="A3292" s="35">
        <v>44681</v>
      </c>
      <c r="B3292" s="90" t="s">
        <v>13987</v>
      </c>
      <c r="C3292" s="41" t="s">
        <v>142</v>
      </c>
      <c r="D3292" s="87">
        <v>25197.4</v>
      </c>
      <c r="E3292" s="35">
        <v>44722</v>
      </c>
      <c r="F3292" s="87">
        <v>25197.4</v>
      </c>
      <c r="G3292" s="91">
        <f>Tabla15[[#This Row],[Importe]]-Tabla15[[#This Row],[Pagado]]</f>
        <v>0</v>
      </c>
      <c r="H3292" s="92" t="s">
        <v>10</v>
      </c>
    </row>
    <row r="3293" spans="1:8" ht="31.5" x14ac:dyDescent="0.25">
      <c r="A3293" s="35">
        <v>44681</v>
      </c>
      <c r="B3293" s="90" t="s">
        <v>13988</v>
      </c>
      <c r="C3293" s="41" t="s">
        <v>97</v>
      </c>
      <c r="D3293" s="87">
        <v>3677.4</v>
      </c>
      <c r="E3293" s="35" t="s">
        <v>14071</v>
      </c>
      <c r="F3293" s="87">
        <f>2900+777.4</f>
        <v>3677.4</v>
      </c>
      <c r="G3293" s="91">
        <f>Tabla15[[#This Row],[Importe]]-Tabla15[[#This Row],[Pagado]]</f>
        <v>0</v>
      </c>
      <c r="H3293" s="92" t="s">
        <v>10</v>
      </c>
    </row>
    <row r="3294" spans="1:8" ht="21.75" customHeight="1" x14ac:dyDescent="0.25">
      <c r="A3294" s="35">
        <v>44681</v>
      </c>
      <c r="B3294" s="90" t="s">
        <v>13989</v>
      </c>
      <c r="C3294" s="41" t="s">
        <v>53</v>
      </c>
      <c r="D3294" s="87">
        <v>5254.4</v>
      </c>
      <c r="E3294" s="35">
        <v>44681</v>
      </c>
      <c r="F3294" s="87">
        <v>5254.4</v>
      </c>
      <c r="G3294" s="91">
        <f>Tabla15[[#This Row],[Importe]]-Tabla15[[#This Row],[Pagado]]</f>
        <v>0</v>
      </c>
      <c r="H3294" s="92" t="s">
        <v>10</v>
      </c>
    </row>
    <row r="3295" spans="1:8" ht="21.75" customHeight="1" x14ac:dyDescent="0.25">
      <c r="A3295" s="35">
        <v>44681</v>
      </c>
      <c r="B3295" s="90" t="s">
        <v>13990</v>
      </c>
      <c r="C3295" s="41" t="s">
        <v>140</v>
      </c>
      <c r="D3295" s="87">
        <v>1644.8</v>
      </c>
      <c r="E3295" s="35">
        <v>44681</v>
      </c>
      <c r="F3295" s="87">
        <v>1644.8</v>
      </c>
      <c r="G3295" s="91">
        <f>Tabla15[[#This Row],[Importe]]-Tabla15[[#This Row],[Pagado]]</f>
        <v>0</v>
      </c>
      <c r="H3295" s="92" t="s">
        <v>10</v>
      </c>
    </row>
    <row r="3296" spans="1:8" ht="21.75" customHeight="1" x14ac:dyDescent="0.25">
      <c r="A3296" s="35">
        <v>44681</v>
      </c>
      <c r="B3296" s="90" t="s">
        <v>13991</v>
      </c>
      <c r="C3296" s="41" t="s">
        <v>11383</v>
      </c>
      <c r="D3296" s="87">
        <v>19629.900000000001</v>
      </c>
      <c r="E3296" s="35">
        <v>44681</v>
      </c>
      <c r="F3296" s="87">
        <v>19629.900000000001</v>
      </c>
      <c r="G3296" s="91">
        <f>Tabla15[[#This Row],[Importe]]-Tabla15[[#This Row],[Pagado]]</f>
        <v>0</v>
      </c>
      <c r="H3296" s="92" t="s">
        <v>10</v>
      </c>
    </row>
    <row r="3297" spans="1:8" ht="21.75" customHeight="1" x14ac:dyDescent="0.25">
      <c r="A3297" s="35">
        <v>44681</v>
      </c>
      <c r="B3297" s="90" t="s">
        <v>13992</v>
      </c>
      <c r="C3297" s="41" t="s">
        <v>357</v>
      </c>
      <c r="D3297" s="87">
        <v>3645.6</v>
      </c>
      <c r="E3297" s="35">
        <v>44681</v>
      </c>
      <c r="F3297" s="87">
        <v>3645.6</v>
      </c>
      <c r="G3297" s="91">
        <f>Tabla15[[#This Row],[Importe]]-Tabla15[[#This Row],[Pagado]]</f>
        <v>0</v>
      </c>
      <c r="H3297" s="92" t="s">
        <v>10</v>
      </c>
    </row>
    <row r="3298" spans="1:8" ht="21.75" customHeight="1" x14ac:dyDescent="0.25">
      <c r="A3298" s="35">
        <v>44681</v>
      </c>
      <c r="B3298" s="90" t="s">
        <v>13993</v>
      </c>
      <c r="C3298" s="41" t="s">
        <v>196</v>
      </c>
      <c r="D3298" s="87">
        <v>101114.1</v>
      </c>
      <c r="E3298" s="35">
        <v>44687</v>
      </c>
      <c r="F3298" s="87">
        <v>101114.1</v>
      </c>
      <c r="G3298" s="91">
        <f>Tabla15[[#This Row],[Importe]]-Tabla15[[#This Row],[Pagado]]</f>
        <v>0</v>
      </c>
      <c r="H3298" s="92" t="s">
        <v>10</v>
      </c>
    </row>
    <row r="3299" spans="1:8" ht="21.75" customHeight="1" x14ac:dyDescent="0.25">
      <c r="A3299" s="35">
        <v>44681</v>
      </c>
      <c r="B3299" s="90" t="s">
        <v>13994</v>
      </c>
      <c r="C3299" s="41" t="s">
        <v>127</v>
      </c>
      <c r="D3299" s="87">
        <v>5360.2</v>
      </c>
      <c r="E3299" s="35">
        <v>44681</v>
      </c>
      <c r="F3299" s="87">
        <v>5360.2</v>
      </c>
      <c r="G3299" s="91">
        <f>Tabla15[[#This Row],[Importe]]-Tabla15[[#This Row],[Pagado]]</f>
        <v>0</v>
      </c>
      <c r="H3299" s="92" t="s">
        <v>10</v>
      </c>
    </row>
    <row r="3300" spans="1:8" ht="21.75" customHeight="1" x14ac:dyDescent="0.25">
      <c r="A3300" s="35">
        <v>44681</v>
      </c>
      <c r="B3300" s="90" t="s">
        <v>13995</v>
      </c>
      <c r="C3300" s="41" t="s">
        <v>71</v>
      </c>
      <c r="D3300" s="87">
        <v>3558.4</v>
      </c>
      <c r="E3300" s="35">
        <v>44681</v>
      </c>
      <c r="F3300" s="87">
        <v>3558.4</v>
      </c>
      <c r="G3300" s="91">
        <f>Tabla15[[#This Row],[Importe]]-Tabla15[[#This Row],[Pagado]]</f>
        <v>0</v>
      </c>
      <c r="H3300" s="92" t="s">
        <v>10</v>
      </c>
    </row>
    <row r="3301" spans="1:8" ht="21.75" customHeight="1" x14ac:dyDescent="0.25">
      <c r="A3301" s="35">
        <v>44681</v>
      </c>
      <c r="B3301" s="90" t="s">
        <v>13996</v>
      </c>
      <c r="C3301" s="41" t="s">
        <v>129</v>
      </c>
      <c r="D3301" s="87">
        <v>2219.6</v>
      </c>
      <c r="E3301" s="35">
        <v>44681</v>
      </c>
      <c r="F3301" s="87">
        <v>2219.6</v>
      </c>
      <c r="G3301" s="91">
        <f>Tabla15[[#This Row],[Importe]]-Tabla15[[#This Row],[Pagado]]</f>
        <v>0</v>
      </c>
      <c r="H3301" s="92" t="s">
        <v>10</v>
      </c>
    </row>
    <row r="3302" spans="1:8" ht="21.75" customHeight="1" x14ac:dyDescent="0.25">
      <c r="A3302" s="35">
        <v>44681</v>
      </c>
      <c r="B3302" s="90" t="s">
        <v>13997</v>
      </c>
      <c r="C3302" s="41" t="s">
        <v>31</v>
      </c>
      <c r="D3302" s="87">
        <v>494</v>
      </c>
      <c r="E3302" s="35">
        <v>44681</v>
      </c>
      <c r="F3302" s="87">
        <v>494</v>
      </c>
      <c r="G3302" s="91">
        <f>Tabla15[[#This Row],[Importe]]-Tabla15[[#This Row],[Pagado]]</f>
        <v>0</v>
      </c>
      <c r="H3302" s="92" t="s">
        <v>10</v>
      </c>
    </row>
    <row r="3303" spans="1:8" ht="21.75" customHeight="1" x14ac:dyDescent="0.25">
      <c r="A3303" s="35">
        <v>44681</v>
      </c>
      <c r="B3303" s="90" t="s">
        <v>13998</v>
      </c>
      <c r="C3303" s="41" t="s">
        <v>2139</v>
      </c>
      <c r="D3303" s="87">
        <v>1333.4</v>
      </c>
      <c r="E3303" s="35">
        <v>44681</v>
      </c>
      <c r="F3303" s="87">
        <v>1333.4</v>
      </c>
      <c r="G3303" s="91">
        <f>Tabla15[[#This Row],[Importe]]-Tabla15[[#This Row],[Pagado]]</f>
        <v>0</v>
      </c>
      <c r="H3303" s="92" t="s">
        <v>10</v>
      </c>
    </row>
    <row r="3304" spans="1:8" ht="21.75" customHeight="1" x14ac:dyDescent="0.25">
      <c r="A3304" s="35">
        <v>44681</v>
      </c>
      <c r="B3304" s="90" t="s">
        <v>13999</v>
      </c>
      <c r="C3304" s="41" t="s">
        <v>12202</v>
      </c>
      <c r="D3304" s="87">
        <v>6240</v>
      </c>
      <c r="E3304" s="35">
        <v>44681</v>
      </c>
      <c r="F3304" s="87">
        <v>6240</v>
      </c>
      <c r="G3304" s="91">
        <f>Tabla15[[#This Row],[Importe]]-Tabla15[[#This Row],[Pagado]]</f>
        <v>0</v>
      </c>
      <c r="H3304" s="92" t="s">
        <v>10</v>
      </c>
    </row>
    <row r="3305" spans="1:8" ht="21.75" customHeight="1" x14ac:dyDescent="0.25">
      <c r="A3305" s="35">
        <v>44681</v>
      </c>
      <c r="B3305" s="90" t="s">
        <v>14000</v>
      </c>
      <c r="C3305" s="41" t="s">
        <v>31</v>
      </c>
      <c r="D3305" s="87">
        <v>1051.5999999999999</v>
      </c>
      <c r="E3305" s="35">
        <v>44681</v>
      </c>
      <c r="F3305" s="87">
        <v>1051.5999999999999</v>
      </c>
      <c r="G3305" s="91">
        <f>Tabla15[[#This Row],[Importe]]-Tabla15[[#This Row],[Pagado]]</f>
        <v>0</v>
      </c>
      <c r="H3305" s="92" t="s">
        <v>10</v>
      </c>
    </row>
    <row r="3306" spans="1:8" ht="21.75" customHeight="1" x14ac:dyDescent="0.25">
      <c r="A3306" s="35">
        <v>44681</v>
      </c>
      <c r="B3306" s="90" t="s">
        <v>14001</v>
      </c>
      <c r="C3306" s="41" t="s">
        <v>275</v>
      </c>
      <c r="D3306" s="87">
        <v>153700.56</v>
      </c>
      <c r="E3306" s="35">
        <v>44694</v>
      </c>
      <c r="F3306" s="87">
        <v>153700.56</v>
      </c>
      <c r="G3306" s="91">
        <f>Tabla15[[#This Row],[Importe]]-Tabla15[[#This Row],[Pagado]]</f>
        <v>0</v>
      </c>
      <c r="H3306" s="92" t="s">
        <v>10</v>
      </c>
    </row>
    <row r="3307" spans="1:8" ht="21.75" customHeight="1" x14ac:dyDescent="0.25">
      <c r="A3307" s="35">
        <v>44681</v>
      </c>
      <c r="B3307" s="90" t="s">
        <v>14002</v>
      </c>
      <c r="C3307" s="41" t="s">
        <v>14003</v>
      </c>
      <c r="D3307" s="87">
        <v>0</v>
      </c>
      <c r="E3307" s="39" t="s">
        <v>189</v>
      </c>
      <c r="F3307" s="87">
        <v>0</v>
      </c>
      <c r="G3307" s="91">
        <f>Tabla15[[#This Row],[Importe]]-Tabla15[[#This Row],[Pagado]]</f>
        <v>0</v>
      </c>
      <c r="H3307" s="92" t="s">
        <v>189</v>
      </c>
    </row>
    <row r="3308" spans="1:8" ht="21.75" customHeight="1" x14ac:dyDescent="0.25">
      <c r="A3308" s="35">
        <v>44681</v>
      </c>
      <c r="B3308" s="90" t="s">
        <v>14004</v>
      </c>
      <c r="C3308" s="41" t="s">
        <v>31</v>
      </c>
      <c r="D3308" s="87">
        <v>674.1</v>
      </c>
      <c r="E3308" s="35">
        <v>44681</v>
      </c>
      <c r="F3308" s="87">
        <v>674.1</v>
      </c>
      <c r="G3308" s="91">
        <f>Tabla15[[#This Row],[Importe]]-Tabla15[[#This Row],[Pagado]]</f>
        <v>0</v>
      </c>
      <c r="H3308" s="92" t="s">
        <v>10</v>
      </c>
    </row>
    <row r="3309" spans="1:8" ht="21.75" customHeight="1" x14ac:dyDescent="0.25">
      <c r="A3309" s="35">
        <v>44681</v>
      </c>
      <c r="B3309" s="90" t="s">
        <v>14005</v>
      </c>
      <c r="C3309" s="41" t="s">
        <v>9827</v>
      </c>
      <c r="D3309" s="87">
        <v>1253.7</v>
      </c>
      <c r="E3309" s="35">
        <v>44681</v>
      </c>
      <c r="F3309" s="87">
        <v>1253.7</v>
      </c>
      <c r="G3309" s="91">
        <f>Tabla15[[#This Row],[Importe]]-Tabla15[[#This Row],[Pagado]]</f>
        <v>0</v>
      </c>
      <c r="H3309" s="92" t="s">
        <v>10</v>
      </c>
    </row>
    <row r="3310" spans="1:8" ht="21.75" customHeight="1" x14ac:dyDescent="0.25">
      <c r="A3310" s="35">
        <v>44681</v>
      </c>
      <c r="B3310" s="90" t="s">
        <v>14006</v>
      </c>
      <c r="C3310" s="41" t="s">
        <v>275</v>
      </c>
      <c r="D3310" s="87">
        <v>33584.480000000003</v>
      </c>
      <c r="E3310" s="35">
        <v>44694</v>
      </c>
      <c r="F3310" s="87">
        <v>33584.480000000003</v>
      </c>
      <c r="G3310" s="91">
        <f>Tabla15[[#This Row],[Importe]]-Tabla15[[#This Row],[Pagado]]</f>
        <v>0</v>
      </c>
      <c r="H3310" s="92" t="s">
        <v>10</v>
      </c>
    </row>
    <row r="3311" spans="1:8" ht="21.75" customHeight="1" x14ac:dyDescent="0.25">
      <c r="A3311" s="35">
        <v>44681</v>
      </c>
      <c r="B3311" s="90" t="s">
        <v>14007</v>
      </c>
      <c r="C3311" s="41" t="s">
        <v>12</v>
      </c>
      <c r="D3311" s="87">
        <v>500</v>
      </c>
      <c r="E3311" s="35">
        <v>44681</v>
      </c>
      <c r="F3311" s="87">
        <v>500</v>
      </c>
      <c r="G3311" s="91">
        <f>Tabla15[[#This Row],[Importe]]-Tabla15[[#This Row],[Pagado]]</f>
        <v>0</v>
      </c>
      <c r="H3311" s="92" t="s">
        <v>10</v>
      </c>
    </row>
    <row r="3312" spans="1:8" ht="21.75" customHeight="1" x14ac:dyDescent="0.25">
      <c r="A3312" s="35">
        <v>44681</v>
      </c>
      <c r="B3312" s="90" t="s">
        <v>14008</v>
      </c>
      <c r="C3312" s="41" t="s">
        <v>463</v>
      </c>
      <c r="D3312" s="87">
        <v>550</v>
      </c>
      <c r="E3312" s="35">
        <v>44691</v>
      </c>
      <c r="F3312" s="87">
        <v>550</v>
      </c>
      <c r="G3312" s="91">
        <f>Tabla15[[#This Row],[Importe]]-Tabla15[[#This Row],[Pagado]]</f>
        <v>0</v>
      </c>
      <c r="H3312" s="92" t="s">
        <v>10</v>
      </c>
    </row>
    <row r="3313" spans="1:8" ht="21.75" customHeight="1" x14ac:dyDescent="0.25">
      <c r="A3313" s="35">
        <v>44681</v>
      </c>
      <c r="B3313" s="90" t="s">
        <v>14009</v>
      </c>
      <c r="C3313" s="41" t="s">
        <v>461</v>
      </c>
      <c r="D3313" s="87">
        <v>394</v>
      </c>
      <c r="E3313" s="35">
        <v>44682</v>
      </c>
      <c r="F3313" s="87">
        <v>394</v>
      </c>
      <c r="G3313" s="91">
        <f>Tabla15[[#This Row],[Importe]]-Tabla15[[#This Row],[Pagado]]</f>
        <v>0</v>
      </c>
      <c r="H3313" s="92" t="s">
        <v>10</v>
      </c>
    </row>
    <row r="3314" spans="1:8" ht="21.75" customHeight="1" x14ac:dyDescent="0.25">
      <c r="A3314" s="35">
        <v>44681</v>
      </c>
      <c r="B3314" s="90" t="s">
        <v>14010</v>
      </c>
      <c r="C3314" s="41" t="s">
        <v>459</v>
      </c>
      <c r="D3314" s="87">
        <v>213</v>
      </c>
      <c r="E3314" s="35">
        <v>44681</v>
      </c>
      <c r="F3314" s="87">
        <v>213</v>
      </c>
      <c r="G3314" s="91">
        <f>Tabla15[[#This Row],[Importe]]-Tabla15[[#This Row],[Pagado]]</f>
        <v>0</v>
      </c>
      <c r="H3314" s="92" t="s">
        <v>10</v>
      </c>
    </row>
    <row r="3315" spans="1:8" ht="21.75" customHeight="1" x14ac:dyDescent="0.25">
      <c r="A3315" s="35">
        <v>44681</v>
      </c>
      <c r="B3315" s="90" t="s">
        <v>14011</v>
      </c>
      <c r="C3315" s="41" t="s">
        <v>457</v>
      </c>
      <c r="D3315" s="87">
        <v>198</v>
      </c>
      <c r="E3315" s="35">
        <v>44681</v>
      </c>
      <c r="F3315" s="87">
        <v>198</v>
      </c>
      <c r="G3315" s="91">
        <f>Tabla15[[#This Row],[Importe]]-Tabla15[[#This Row],[Pagado]]</f>
        <v>0</v>
      </c>
      <c r="H3315" s="92" t="s">
        <v>10</v>
      </c>
    </row>
    <row r="3316" spans="1:8" ht="21.75" customHeight="1" x14ac:dyDescent="0.25">
      <c r="A3316" s="35">
        <v>44681</v>
      </c>
      <c r="B3316" s="90" t="s">
        <v>14012</v>
      </c>
      <c r="C3316" s="41" t="s">
        <v>382</v>
      </c>
      <c r="D3316" s="87">
        <v>8076.6</v>
      </c>
      <c r="E3316" s="35">
        <v>44681</v>
      </c>
      <c r="F3316" s="87">
        <v>8076.6</v>
      </c>
      <c r="G3316" s="91">
        <f>Tabla15[[#This Row],[Importe]]-Tabla15[[#This Row],[Pagado]]</f>
        <v>0</v>
      </c>
      <c r="H3316" s="92" t="s">
        <v>10</v>
      </c>
    </row>
    <row r="3317" spans="1:8" ht="21.75" customHeight="1" x14ac:dyDescent="0.25">
      <c r="A3317" s="35">
        <v>44681</v>
      </c>
      <c r="B3317" s="90" t="s">
        <v>14013</v>
      </c>
      <c r="C3317" s="41" t="s">
        <v>843</v>
      </c>
      <c r="D3317" s="87">
        <v>16275</v>
      </c>
      <c r="E3317" s="35">
        <v>44681</v>
      </c>
      <c r="F3317" s="87">
        <v>16275</v>
      </c>
      <c r="G3317" s="91">
        <f>Tabla15[[#This Row],[Importe]]-Tabla15[[#This Row],[Pagado]]</f>
        <v>0</v>
      </c>
      <c r="H3317" s="92" t="s">
        <v>10</v>
      </c>
    </row>
    <row r="3318" spans="1:8" ht="21.75" customHeight="1" x14ac:dyDescent="0.25">
      <c r="A3318" s="35">
        <v>44681</v>
      </c>
      <c r="B3318" s="90" t="s">
        <v>14014</v>
      </c>
      <c r="C3318" s="41" t="s">
        <v>698</v>
      </c>
      <c r="D3318" s="87">
        <v>3490.2</v>
      </c>
      <c r="E3318" s="35">
        <v>44681</v>
      </c>
      <c r="F3318" s="87">
        <v>3490.2</v>
      </c>
      <c r="G3318" s="91">
        <f>Tabla15[[#This Row],[Importe]]-Tabla15[[#This Row],[Pagado]]</f>
        <v>0</v>
      </c>
      <c r="H3318" s="92" t="s">
        <v>10</v>
      </c>
    </row>
    <row r="3319" spans="1:8" ht="21.75" customHeight="1" x14ac:dyDescent="0.25">
      <c r="A3319" s="35">
        <v>44681</v>
      </c>
      <c r="B3319" s="90" t="s">
        <v>14015</v>
      </c>
      <c r="C3319" s="41" t="s">
        <v>214</v>
      </c>
      <c r="D3319" s="87">
        <v>1285.2</v>
      </c>
      <c r="E3319" s="35">
        <v>44681</v>
      </c>
      <c r="F3319" s="87">
        <v>1285.2</v>
      </c>
      <c r="G3319" s="91">
        <f>Tabla15[[#This Row],[Importe]]-Tabla15[[#This Row],[Pagado]]</f>
        <v>0</v>
      </c>
      <c r="H3319" s="92" t="s">
        <v>10</v>
      </c>
    </row>
    <row r="3320" spans="1:8" ht="21.75" customHeight="1" x14ac:dyDescent="0.25">
      <c r="A3320" s="35">
        <v>44681</v>
      </c>
      <c r="B3320" s="90" t="s">
        <v>14016</v>
      </c>
      <c r="C3320" s="41" t="s">
        <v>1265</v>
      </c>
      <c r="D3320" s="87">
        <v>510.4</v>
      </c>
      <c r="E3320" s="35">
        <v>44681</v>
      </c>
      <c r="F3320" s="87">
        <v>510.4</v>
      </c>
      <c r="G3320" s="91">
        <f>Tabla15[[#This Row],[Importe]]-Tabla15[[#This Row],[Pagado]]</f>
        <v>0</v>
      </c>
      <c r="H3320" s="92" t="s">
        <v>10</v>
      </c>
    </row>
    <row r="3321" spans="1:8" ht="21.75" customHeight="1" x14ac:dyDescent="0.25">
      <c r="A3321" s="35">
        <v>44681</v>
      </c>
      <c r="B3321" s="90" t="s">
        <v>14017</v>
      </c>
      <c r="C3321" s="41" t="s">
        <v>58</v>
      </c>
      <c r="D3321" s="87">
        <v>3921.6</v>
      </c>
      <c r="E3321" s="35">
        <v>44681</v>
      </c>
      <c r="F3321" s="87">
        <v>3921.6</v>
      </c>
      <c r="G3321" s="91">
        <f>Tabla15[[#This Row],[Importe]]-Tabla15[[#This Row],[Pagado]]</f>
        <v>0</v>
      </c>
      <c r="H3321" s="92" t="s">
        <v>10</v>
      </c>
    </row>
    <row r="3322" spans="1:8" ht="21.75" customHeight="1" x14ac:dyDescent="0.25">
      <c r="A3322" s="35">
        <v>44681</v>
      </c>
      <c r="B3322" s="90" t="s">
        <v>14018</v>
      </c>
      <c r="C3322" s="41" t="s">
        <v>56</v>
      </c>
      <c r="D3322" s="87">
        <v>4127.2</v>
      </c>
      <c r="E3322" s="35">
        <v>44681</v>
      </c>
      <c r="F3322" s="87">
        <v>4127.2</v>
      </c>
      <c r="G3322" s="91">
        <f>Tabla15[[#This Row],[Importe]]-Tabla15[[#This Row],[Pagado]]</f>
        <v>0</v>
      </c>
      <c r="H3322" s="92" t="s">
        <v>10</v>
      </c>
    </row>
    <row r="3323" spans="1:8" ht="21.75" customHeight="1" x14ac:dyDescent="0.25">
      <c r="A3323" s="35">
        <v>44681</v>
      </c>
      <c r="B3323" s="90" t="s">
        <v>14019</v>
      </c>
      <c r="C3323" s="41" t="s">
        <v>181</v>
      </c>
      <c r="D3323" s="87">
        <v>18812.2</v>
      </c>
      <c r="E3323" s="35">
        <v>44682</v>
      </c>
      <c r="F3323" s="87">
        <v>18812.2</v>
      </c>
      <c r="G3323" s="91">
        <f>Tabla15[[#This Row],[Importe]]-Tabla15[[#This Row],[Pagado]]</f>
        <v>0</v>
      </c>
      <c r="H3323" s="92" t="s">
        <v>10</v>
      </c>
    </row>
    <row r="3324" spans="1:8" ht="21.75" customHeight="1" x14ac:dyDescent="0.25">
      <c r="A3324" s="35">
        <v>44681</v>
      </c>
      <c r="B3324" s="90" t="s">
        <v>14020</v>
      </c>
      <c r="C3324" s="41" t="s">
        <v>31</v>
      </c>
      <c r="D3324" s="87">
        <v>1244.4000000000001</v>
      </c>
      <c r="E3324" s="35">
        <v>44682</v>
      </c>
      <c r="F3324" s="87">
        <v>1244.4000000000001</v>
      </c>
      <c r="G3324" s="91">
        <f>Tabla15[[#This Row],[Importe]]-Tabla15[[#This Row],[Pagado]]</f>
        <v>0</v>
      </c>
      <c r="H3324" s="92" t="s">
        <v>10</v>
      </c>
    </row>
    <row r="3325" spans="1:8" ht="21.75" customHeight="1" x14ac:dyDescent="0.25">
      <c r="A3325" s="35">
        <v>44681</v>
      </c>
      <c r="B3325" s="90" t="s">
        <v>14021</v>
      </c>
      <c r="C3325" s="41" t="s">
        <v>359</v>
      </c>
      <c r="D3325" s="87">
        <v>985.3</v>
      </c>
      <c r="E3325" s="35">
        <v>44682</v>
      </c>
      <c r="F3325" s="87">
        <v>985.3</v>
      </c>
      <c r="G3325" s="91">
        <f>Tabla15[[#This Row],[Importe]]-Tabla15[[#This Row],[Pagado]]</f>
        <v>0</v>
      </c>
      <c r="H3325" s="92" t="s">
        <v>10</v>
      </c>
    </row>
    <row r="3326" spans="1:8" ht="21.75" customHeight="1" x14ac:dyDescent="0.25">
      <c r="A3326" s="35">
        <v>44681</v>
      </c>
      <c r="B3326" s="90" t="s">
        <v>14022</v>
      </c>
      <c r="C3326" s="41" t="s">
        <v>179</v>
      </c>
      <c r="D3326" s="87">
        <v>1222.2</v>
      </c>
      <c r="E3326" s="35">
        <v>44682</v>
      </c>
      <c r="F3326" s="87">
        <v>1222.2</v>
      </c>
      <c r="G3326" s="91">
        <f>Tabla15[[#This Row],[Importe]]-Tabla15[[#This Row],[Pagado]]</f>
        <v>0</v>
      </c>
      <c r="H3326" s="92" t="s">
        <v>10</v>
      </c>
    </row>
    <row r="3327" spans="1:8" ht="21.75" customHeight="1" x14ac:dyDescent="0.25">
      <c r="A3327" s="35">
        <v>44681</v>
      </c>
      <c r="B3327" s="90" t="s">
        <v>14023</v>
      </c>
      <c r="C3327" s="41" t="s">
        <v>200</v>
      </c>
      <c r="D3327" s="87">
        <v>1770.3</v>
      </c>
      <c r="E3327" s="35">
        <v>44682</v>
      </c>
      <c r="F3327" s="87">
        <v>1770.3</v>
      </c>
      <c r="G3327" s="91">
        <f>Tabla15[[#This Row],[Importe]]-Tabla15[[#This Row],[Pagado]]</f>
        <v>0</v>
      </c>
      <c r="H3327" s="92" t="s">
        <v>10</v>
      </c>
    </row>
    <row r="3328" spans="1:8" ht="21.75" customHeight="1" x14ac:dyDescent="0.25">
      <c r="A3328" s="35">
        <v>44681</v>
      </c>
      <c r="B3328" s="90" t="s">
        <v>14024</v>
      </c>
      <c r="C3328" s="41" t="s">
        <v>67</v>
      </c>
      <c r="D3328" s="87">
        <v>2211.3000000000002</v>
      </c>
      <c r="E3328" s="35">
        <v>44681</v>
      </c>
      <c r="F3328" s="87">
        <v>2211.3000000000002</v>
      </c>
      <c r="G3328" s="91">
        <f>Tabla15[[#This Row],[Importe]]-Tabla15[[#This Row],[Pagado]]</f>
        <v>0</v>
      </c>
      <c r="H3328" s="92" t="s">
        <v>10</v>
      </c>
    </row>
    <row r="3329" spans="1:8" ht="21.75" customHeight="1" x14ac:dyDescent="0.25">
      <c r="A3329" s="35">
        <v>44681</v>
      </c>
      <c r="B3329" s="90" t="s">
        <v>14025</v>
      </c>
      <c r="C3329" s="41" t="s">
        <v>371</v>
      </c>
      <c r="D3329" s="87">
        <v>4233</v>
      </c>
      <c r="E3329" s="35">
        <v>44681</v>
      </c>
      <c r="F3329" s="87">
        <v>4233</v>
      </c>
      <c r="G3329" s="91">
        <f>Tabla15[[#This Row],[Importe]]-Tabla15[[#This Row],[Pagado]]</f>
        <v>0</v>
      </c>
      <c r="H3329" s="92" t="s">
        <v>10</v>
      </c>
    </row>
    <row r="3330" spans="1:8" ht="21.75" customHeight="1" x14ac:dyDescent="0.25">
      <c r="A3330" s="35">
        <v>44681</v>
      </c>
      <c r="B3330" s="90" t="s">
        <v>14026</v>
      </c>
      <c r="C3330" s="41" t="s">
        <v>555</v>
      </c>
      <c r="D3330" s="87">
        <v>34482</v>
      </c>
      <c r="E3330" s="35">
        <v>44681</v>
      </c>
      <c r="F3330" s="87">
        <v>34482</v>
      </c>
      <c r="G3330" s="91">
        <f>Tabla15[[#This Row],[Importe]]-Tabla15[[#This Row],[Pagado]]</f>
        <v>0</v>
      </c>
      <c r="H3330" s="92" t="s">
        <v>10</v>
      </c>
    </row>
    <row r="3331" spans="1:8" ht="31.5" x14ac:dyDescent="0.25">
      <c r="A3331" s="35">
        <v>44681</v>
      </c>
      <c r="B3331" s="90" t="s">
        <v>14027</v>
      </c>
      <c r="C3331" s="41" t="s">
        <v>421</v>
      </c>
      <c r="D3331" s="87">
        <v>12985.8</v>
      </c>
      <c r="E3331" s="35" t="s">
        <v>14076</v>
      </c>
      <c r="F3331" s="87">
        <f>4000+8985.8</f>
        <v>12985.8</v>
      </c>
      <c r="G3331" s="91">
        <f>Tabla15[[#This Row],[Importe]]-Tabla15[[#This Row],[Pagado]]</f>
        <v>0</v>
      </c>
      <c r="H3331" s="92" t="s">
        <v>10</v>
      </c>
    </row>
    <row r="3332" spans="1:8" ht="21.75" customHeight="1" x14ac:dyDescent="0.25">
      <c r="A3332" s="35">
        <v>44681</v>
      </c>
      <c r="B3332" s="90" t="s">
        <v>14028</v>
      </c>
      <c r="C3332" s="41" t="s">
        <v>31</v>
      </c>
      <c r="D3332" s="87">
        <v>832</v>
      </c>
      <c r="E3332" s="35">
        <v>44681</v>
      </c>
      <c r="F3332" s="87">
        <v>832</v>
      </c>
      <c r="G3332" s="91">
        <f>Tabla15[[#This Row],[Importe]]-Tabla15[[#This Row],[Pagado]]</f>
        <v>0</v>
      </c>
      <c r="H3332" s="92" t="s">
        <v>10</v>
      </c>
    </row>
    <row r="3333" spans="1:8" ht="21.75" customHeight="1" x14ac:dyDescent="0.25">
      <c r="A3333" s="35">
        <v>44681</v>
      </c>
      <c r="B3333" s="90" t="s">
        <v>14029</v>
      </c>
      <c r="C3333" s="41" t="s">
        <v>282</v>
      </c>
      <c r="D3333" s="87">
        <v>7522.2</v>
      </c>
      <c r="E3333" s="35">
        <v>44682</v>
      </c>
      <c r="F3333" s="87">
        <v>7522.2</v>
      </c>
      <c r="G3333" s="91">
        <f>Tabla15[[#This Row],[Importe]]-Tabla15[[#This Row],[Pagado]]</f>
        <v>0</v>
      </c>
      <c r="H3333" s="92" t="s">
        <v>10</v>
      </c>
    </row>
    <row r="3334" spans="1:8" ht="21.75" customHeight="1" x14ac:dyDescent="0.25">
      <c r="A3334" s="35">
        <v>44681</v>
      </c>
      <c r="B3334" s="90" t="s">
        <v>14030</v>
      </c>
      <c r="C3334" s="41" t="s">
        <v>6112</v>
      </c>
      <c r="D3334" s="87">
        <v>5745.6</v>
      </c>
      <c r="E3334" s="35">
        <v>44681</v>
      </c>
      <c r="F3334" s="87">
        <v>5745.6</v>
      </c>
      <c r="G3334" s="91">
        <f>Tabla15[[#This Row],[Importe]]-Tabla15[[#This Row],[Pagado]]</f>
        <v>0</v>
      </c>
      <c r="H3334" s="92" t="s">
        <v>10</v>
      </c>
    </row>
    <row r="3335" spans="1:8" ht="21.75" customHeight="1" x14ac:dyDescent="0.25">
      <c r="A3335" s="35">
        <v>44681</v>
      </c>
      <c r="B3335" s="90" t="s">
        <v>14031</v>
      </c>
      <c r="C3335" s="41" t="s">
        <v>12107</v>
      </c>
      <c r="D3335" s="87">
        <v>1960</v>
      </c>
      <c r="E3335" s="35">
        <v>44681</v>
      </c>
      <c r="F3335" s="87">
        <v>1960</v>
      </c>
      <c r="G3335" s="91">
        <f>Tabla15[[#This Row],[Importe]]-Tabla15[[#This Row],[Pagado]]</f>
        <v>0</v>
      </c>
      <c r="H3335" s="92" t="s">
        <v>10</v>
      </c>
    </row>
    <row r="3336" spans="1:8" ht="21.75" customHeight="1" x14ac:dyDescent="0.25">
      <c r="A3336" s="35">
        <v>44681</v>
      </c>
      <c r="B3336" s="90" t="s">
        <v>14032</v>
      </c>
      <c r="C3336" s="41" t="s">
        <v>280</v>
      </c>
      <c r="D3336" s="87">
        <v>3276</v>
      </c>
      <c r="E3336" s="35">
        <v>44682</v>
      </c>
      <c r="F3336" s="87">
        <v>3276</v>
      </c>
      <c r="G3336" s="91">
        <f>Tabla15[[#This Row],[Importe]]-Tabla15[[#This Row],[Pagado]]</f>
        <v>0</v>
      </c>
      <c r="H3336" s="92" t="s">
        <v>10</v>
      </c>
    </row>
    <row r="3337" spans="1:8" ht="21.75" customHeight="1" x14ac:dyDescent="0.25">
      <c r="A3337" s="35">
        <v>44681</v>
      </c>
      <c r="B3337" s="90" t="s">
        <v>14033</v>
      </c>
      <c r="C3337" s="41" t="s">
        <v>284</v>
      </c>
      <c r="D3337" s="87">
        <v>6363</v>
      </c>
      <c r="E3337" s="35">
        <v>44682</v>
      </c>
      <c r="F3337" s="87">
        <v>6363</v>
      </c>
      <c r="G3337" s="91">
        <f>Tabla15[[#This Row],[Importe]]-Tabla15[[#This Row],[Pagado]]</f>
        <v>0</v>
      </c>
      <c r="H3337" s="92" t="s">
        <v>10</v>
      </c>
    </row>
    <row r="3338" spans="1:8" ht="21.75" customHeight="1" x14ac:dyDescent="0.25">
      <c r="A3338" s="35">
        <v>44681</v>
      </c>
      <c r="B3338" s="90" t="s">
        <v>14034</v>
      </c>
      <c r="C3338" s="41" t="s">
        <v>5345</v>
      </c>
      <c r="D3338" s="87">
        <v>3143.7</v>
      </c>
      <c r="E3338" s="35">
        <v>44682</v>
      </c>
      <c r="F3338" s="87">
        <v>3143.7</v>
      </c>
      <c r="G3338" s="91">
        <f>Tabla15[[#This Row],[Importe]]-Tabla15[[#This Row],[Pagado]]</f>
        <v>0</v>
      </c>
      <c r="H3338" s="92" t="s">
        <v>10</v>
      </c>
    </row>
    <row r="3339" spans="1:8" ht="21.75" customHeight="1" x14ac:dyDescent="0.25">
      <c r="A3339" s="35">
        <v>44681</v>
      </c>
      <c r="B3339" s="90" t="s">
        <v>14035</v>
      </c>
      <c r="C3339" s="41" t="s">
        <v>27</v>
      </c>
      <c r="D3339" s="87">
        <v>1052.0999999999999</v>
      </c>
      <c r="E3339" s="35">
        <v>44681</v>
      </c>
      <c r="F3339" s="87">
        <v>1052.0999999999999</v>
      </c>
      <c r="G3339" s="91">
        <f>Tabla15[[#This Row],[Importe]]-Tabla15[[#This Row],[Pagado]]</f>
        <v>0</v>
      </c>
      <c r="H3339" s="92" t="s">
        <v>10</v>
      </c>
    </row>
    <row r="3340" spans="1:8" ht="21.75" customHeight="1" x14ac:dyDescent="0.25">
      <c r="A3340" s="35">
        <v>44681</v>
      </c>
      <c r="B3340" s="90" t="s">
        <v>14036</v>
      </c>
      <c r="C3340" s="41" t="s">
        <v>319</v>
      </c>
      <c r="D3340" s="87">
        <v>11273.28</v>
      </c>
      <c r="E3340" s="35">
        <v>44683</v>
      </c>
      <c r="F3340" s="87">
        <v>11273.28</v>
      </c>
      <c r="G3340" s="91">
        <f>Tabla15[[#This Row],[Importe]]-Tabla15[[#This Row],[Pagado]]</f>
        <v>0</v>
      </c>
      <c r="H3340" s="92" t="s">
        <v>10</v>
      </c>
    </row>
    <row r="3341" spans="1:8" ht="21.75" customHeight="1" x14ac:dyDescent="0.25">
      <c r="A3341" s="35">
        <v>44681</v>
      </c>
      <c r="B3341" s="90" t="s">
        <v>14037</v>
      </c>
      <c r="C3341" s="41" t="s">
        <v>518</v>
      </c>
      <c r="D3341" s="87">
        <v>1201.2</v>
      </c>
      <c r="E3341" s="35">
        <v>44683</v>
      </c>
      <c r="F3341" s="87">
        <v>1201.2</v>
      </c>
      <c r="G3341" s="91">
        <f>Tabla15[[#This Row],[Importe]]-Tabla15[[#This Row],[Pagado]]</f>
        <v>0</v>
      </c>
      <c r="H3341" s="92" t="s">
        <v>10</v>
      </c>
    </row>
    <row r="3342" spans="1:8" ht="21.75" customHeight="1" x14ac:dyDescent="0.25">
      <c r="A3342" s="35">
        <v>44681</v>
      </c>
      <c r="B3342" s="90" t="s">
        <v>14038</v>
      </c>
      <c r="C3342" s="41" t="s">
        <v>157</v>
      </c>
      <c r="D3342" s="87">
        <v>3586.4</v>
      </c>
      <c r="E3342" s="35">
        <v>44683</v>
      </c>
      <c r="F3342" s="87">
        <v>3586.4</v>
      </c>
      <c r="G3342" s="91">
        <f>Tabla15[[#This Row],[Importe]]-Tabla15[[#This Row],[Pagado]]</f>
        <v>0</v>
      </c>
      <c r="H3342" s="92" t="s">
        <v>10</v>
      </c>
    </row>
    <row r="3343" spans="1:8" ht="21.75" customHeight="1" x14ac:dyDescent="0.25">
      <c r="A3343" s="35">
        <v>44681</v>
      </c>
      <c r="B3343" s="90" t="s">
        <v>14039</v>
      </c>
      <c r="C3343" s="41" t="s">
        <v>380</v>
      </c>
      <c r="D3343" s="87">
        <v>5548.8</v>
      </c>
      <c r="E3343" s="35">
        <v>44683</v>
      </c>
      <c r="F3343" s="87">
        <v>5548.8</v>
      </c>
      <c r="G3343" s="91">
        <f>Tabla15[[#This Row],[Importe]]-Tabla15[[#This Row],[Pagado]]</f>
        <v>0</v>
      </c>
      <c r="H3343" s="92" t="s">
        <v>10</v>
      </c>
    </row>
    <row r="3344" spans="1:8" ht="21.75" customHeight="1" x14ac:dyDescent="0.25">
      <c r="A3344" s="35">
        <v>44681</v>
      </c>
      <c r="B3344" s="90" t="s">
        <v>14040</v>
      </c>
      <c r="C3344" s="41" t="s">
        <v>151</v>
      </c>
      <c r="D3344" s="87">
        <v>10770</v>
      </c>
      <c r="E3344" s="35">
        <v>44683</v>
      </c>
      <c r="F3344" s="87">
        <v>10770</v>
      </c>
      <c r="G3344" s="91">
        <f>Tabla15[[#This Row],[Importe]]-Tabla15[[#This Row],[Pagado]]</f>
        <v>0</v>
      </c>
      <c r="H3344" s="92" t="s">
        <v>10</v>
      </c>
    </row>
    <row r="3345" spans="1:8" ht="21.75" customHeight="1" x14ac:dyDescent="0.25">
      <c r="A3345" s="35">
        <v>44681</v>
      </c>
      <c r="B3345" s="90" t="s">
        <v>14041</v>
      </c>
      <c r="C3345" s="41" t="s">
        <v>520</v>
      </c>
      <c r="D3345" s="87">
        <v>12877.2</v>
      </c>
      <c r="E3345" s="35">
        <v>44683</v>
      </c>
      <c r="F3345" s="87">
        <v>12877.2</v>
      </c>
      <c r="G3345" s="91">
        <f>Tabla15[[#This Row],[Importe]]-Tabla15[[#This Row],[Pagado]]</f>
        <v>0</v>
      </c>
      <c r="H3345" s="92" t="s">
        <v>10</v>
      </c>
    </row>
    <row r="3346" spans="1:8" ht="21.75" customHeight="1" x14ac:dyDescent="0.25">
      <c r="A3346" s="35">
        <v>44681</v>
      </c>
      <c r="B3346" s="90" t="s">
        <v>14042</v>
      </c>
      <c r="C3346" s="41" t="s">
        <v>159</v>
      </c>
      <c r="D3346" s="87">
        <v>5696.8</v>
      </c>
      <c r="E3346" s="35">
        <v>44683</v>
      </c>
      <c r="F3346" s="87">
        <v>5696.8</v>
      </c>
      <c r="G3346" s="91">
        <f>Tabla15[[#This Row],[Importe]]-Tabla15[[#This Row],[Pagado]]</f>
        <v>0</v>
      </c>
      <c r="H3346" s="92" t="s">
        <v>10</v>
      </c>
    </row>
    <row r="3347" spans="1:8" ht="21.75" customHeight="1" x14ac:dyDescent="0.25">
      <c r="A3347" s="35">
        <v>44681</v>
      </c>
      <c r="B3347" s="90" t="s">
        <v>14043</v>
      </c>
      <c r="C3347" s="41" t="s">
        <v>407</v>
      </c>
      <c r="D3347" s="87">
        <v>37183.4</v>
      </c>
      <c r="E3347" s="35">
        <v>44693</v>
      </c>
      <c r="F3347" s="87">
        <v>37183.4</v>
      </c>
      <c r="G3347" s="91">
        <f>Tabla15[[#This Row],[Importe]]-Tabla15[[#This Row],[Pagado]]</f>
        <v>0</v>
      </c>
      <c r="H3347" s="92" t="s">
        <v>10</v>
      </c>
    </row>
    <row r="3348" spans="1:8" ht="21.75" customHeight="1" x14ac:dyDescent="0.25">
      <c r="A3348" s="35">
        <v>44681</v>
      </c>
      <c r="B3348" s="90" t="s">
        <v>14044</v>
      </c>
      <c r="C3348" s="41" t="s">
        <v>872</v>
      </c>
      <c r="D3348" s="87">
        <v>4866.3599999999997</v>
      </c>
      <c r="E3348" s="35">
        <v>44681</v>
      </c>
      <c r="F3348" s="87">
        <v>4866.3599999999997</v>
      </c>
      <c r="G3348" s="91">
        <f>Tabla15[[#This Row],[Importe]]-Tabla15[[#This Row],[Pagado]]</f>
        <v>0</v>
      </c>
      <c r="H3348" s="92" t="s">
        <v>10</v>
      </c>
    </row>
    <row r="3349" spans="1:8" ht="21.75" customHeight="1" x14ac:dyDescent="0.25">
      <c r="A3349" s="35">
        <v>44681</v>
      </c>
      <c r="B3349" s="90" t="s">
        <v>14045</v>
      </c>
      <c r="C3349" s="41" t="s">
        <v>10190</v>
      </c>
      <c r="D3349" s="87">
        <v>12272</v>
      </c>
      <c r="E3349" s="35">
        <v>44681</v>
      </c>
      <c r="F3349" s="87">
        <v>12272</v>
      </c>
      <c r="G3349" s="91">
        <f>Tabla15[[#This Row],[Importe]]-Tabla15[[#This Row],[Pagado]]</f>
        <v>0</v>
      </c>
      <c r="H3349" s="92" t="s">
        <v>10</v>
      </c>
    </row>
    <row r="3350" spans="1:8" ht="21.75" customHeight="1" x14ac:dyDescent="0.25">
      <c r="A3350" s="35">
        <v>44681</v>
      </c>
      <c r="B3350" s="90" t="s">
        <v>14046</v>
      </c>
      <c r="C3350" s="41" t="s">
        <v>9</v>
      </c>
      <c r="D3350" s="87">
        <v>950</v>
      </c>
      <c r="E3350" s="35">
        <v>44681</v>
      </c>
      <c r="F3350" s="87">
        <v>950</v>
      </c>
      <c r="G3350" s="91">
        <f>Tabla15[[#This Row],[Importe]]-Tabla15[[#This Row],[Pagado]]</f>
        <v>0</v>
      </c>
      <c r="H3350" s="92" t="s">
        <v>10</v>
      </c>
    </row>
    <row r="3351" spans="1:8" ht="21.75" customHeight="1" x14ac:dyDescent="0.25">
      <c r="A3351" s="35">
        <v>44681</v>
      </c>
      <c r="B3351" s="90" t="s">
        <v>14047</v>
      </c>
      <c r="C3351" s="41" t="s">
        <v>43</v>
      </c>
      <c r="D3351" s="87">
        <v>15078.4</v>
      </c>
      <c r="E3351" s="35">
        <v>44681</v>
      </c>
      <c r="F3351" s="87">
        <v>15078.4</v>
      </c>
      <c r="G3351" s="91">
        <f>Tabla15[[#This Row],[Importe]]-Tabla15[[#This Row],[Pagado]]</f>
        <v>0</v>
      </c>
      <c r="H3351" s="92" t="s">
        <v>10</v>
      </c>
    </row>
    <row r="3352" spans="1:8" ht="21.75" customHeight="1" x14ac:dyDescent="0.25">
      <c r="A3352" s="35">
        <v>44681</v>
      </c>
      <c r="B3352" s="90" t="s">
        <v>14048</v>
      </c>
      <c r="C3352" s="41" t="s">
        <v>31</v>
      </c>
      <c r="D3352" s="87">
        <v>249.6</v>
      </c>
      <c r="E3352" s="35">
        <v>44681</v>
      </c>
      <c r="F3352" s="87">
        <v>249.6</v>
      </c>
      <c r="G3352" s="91">
        <f>Tabla15[[#This Row],[Importe]]-Tabla15[[#This Row],[Pagado]]</f>
        <v>0</v>
      </c>
      <c r="H3352" s="92" t="s">
        <v>10</v>
      </c>
    </row>
    <row r="3353" spans="1:8" ht="21.75" customHeight="1" x14ac:dyDescent="0.25">
      <c r="A3353" s="35">
        <v>44681</v>
      </c>
      <c r="B3353" s="90" t="s">
        <v>14049</v>
      </c>
      <c r="C3353" s="41" t="s">
        <v>1421</v>
      </c>
      <c r="D3353" s="87">
        <v>39400</v>
      </c>
      <c r="E3353" s="35">
        <v>44681</v>
      </c>
      <c r="F3353" s="87">
        <v>39400</v>
      </c>
      <c r="G3353" s="91">
        <f>Tabla15[[#This Row],[Importe]]-Tabla15[[#This Row],[Pagado]]</f>
        <v>0</v>
      </c>
      <c r="H3353" s="92" t="s">
        <v>10</v>
      </c>
    </row>
    <row r="3354" spans="1:8" ht="21.75" customHeight="1" x14ac:dyDescent="0.25">
      <c r="A3354" s="35">
        <v>44681</v>
      </c>
      <c r="B3354" s="90" t="s">
        <v>14050</v>
      </c>
      <c r="C3354" s="41" t="s">
        <v>14</v>
      </c>
      <c r="D3354" s="87">
        <v>28963.5</v>
      </c>
      <c r="E3354" s="35">
        <v>44681</v>
      </c>
      <c r="F3354" s="87">
        <v>28963.5</v>
      </c>
      <c r="G3354" s="91">
        <f>Tabla15[[#This Row],[Importe]]-Tabla15[[#This Row],[Pagado]]</f>
        <v>0</v>
      </c>
      <c r="H3354" s="92" t="s">
        <v>10</v>
      </c>
    </row>
    <row r="3355" spans="1:8" ht="21.75" customHeight="1" x14ac:dyDescent="0.25">
      <c r="A3355" s="35">
        <v>44681</v>
      </c>
      <c r="B3355" s="90" t="s">
        <v>14051</v>
      </c>
      <c r="C3355" s="41" t="s">
        <v>6405</v>
      </c>
      <c r="D3355" s="87">
        <v>2.5499999999999998</v>
      </c>
      <c r="E3355" s="35">
        <v>44694</v>
      </c>
      <c r="F3355" s="87">
        <v>2.5499999999999998</v>
      </c>
      <c r="G3355" s="91">
        <f>Tabla15[[#This Row],[Importe]]-Tabla15[[#This Row],[Pagado]]</f>
        <v>0</v>
      </c>
      <c r="H3355" s="92" t="s">
        <v>10</v>
      </c>
    </row>
    <row r="3356" spans="1:8" ht="21.75" customHeight="1" x14ac:dyDescent="0.25">
      <c r="A3356" s="35">
        <v>44681</v>
      </c>
      <c r="B3356" s="90" t="s">
        <v>14052</v>
      </c>
      <c r="C3356" s="41" t="s">
        <v>1008</v>
      </c>
      <c r="D3356" s="87">
        <v>3972.9</v>
      </c>
      <c r="E3356" s="35">
        <v>44681</v>
      </c>
      <c r="F3356" s="87">
        <v>3972.9</v>
      </c>
      <c r="G3356" s="91">
        <f>Tabla15[[#This Row],[Importe]]-Tabla15[[#This Row],[Pagado]]</f>
        <v>0</v>
      </c>
      <c r="H3356" s="92" t="s">
        <v>10</v>
      </c>
    </row>
    <row r="3357" spans="1:8" ht="21.75" customHeight="1" x14ac:dyDescent="0.25">
      <c r="A3357" s="35">
        <v>44681</v>
      </c>
      <c r="B3357" s="90" t="s">
        <v>14053</v>
      </c>
      <c r="C3357" s="41" t="s">
        <v>275</v>
      </c>
      <c r="D3357" s="87">
        <v>81937.039999999994</v>
      </c>
      <c r="E3357" s="35">
        <v>44694</v>
      </c>
      <c r="F3357" s="87">
        <v>81937.039999999994</v>
      </c>
      <c r="G3357" s="91">
        <f>Tabla15[[#This Row],[Importe]]-Tabla15[[#This Row],[Pagado]]</f>
        <v>0</v>
      </c>
      <c r="H3357" s="92" t="s">
        <v>10</v>
      </c>
    </row>
    <row r="3358" spans="1:8" ht="21.75" customHeight="1" x14ac:dyDescent="0.25">
      <c r="A3358" s="35">
        <v>44681</v>
      </c>
      <c r="B3358" s="90" t="s">
        <v>14054</v>
      </c>
      <c r="C3358" s="41" t="s">
        <v>681</v>
      </c>
      <c r="D3358" s="87">
        <v>2.82</v>
      </c>
      <c r="E3358" s="35">
        <v>44687</v>
      </c>
      <c r="F3358" s="87">
        <v>2.82</v>
      </c>
      <c r="G3358" s="91">
        <f>Tabla15[[#This Row],[Importe]]-Tabla15[[#This Row],[Pagado]]</f>
        <v>0</v>
      </c>
      <c r="H3358" s="92" t="s">
        <v>10</v>
      </c>
    </row>
    <row r="3359" spans="1:8" ht="21.75" customHeight="1" x14ac:dyDescent="0.25">
      <c r="A3359" s="35">
        <v>44681</v>
      </c>
      <c r="B3359" s="90" t="s">
        <v>14055</v>
      </c>
      <c r="C3359" s="41" t="s">
        <v>10840</v>
      </c>
      <c r="D3359" s="87">
        <v>13347.2</v>
      </c>
      <c r="E3359" s="35">
        <v>44681</v>
      </c>
      <c r="F3359" s="87">
        <v>13347.2</v>
      </c>
      <c r="G3359" s="91">
        <f>Tabla15[[#This Row],[Importe]]-Tabla15[[#This Row],[Pagado]]</f>
        <v>0</v>
      </c>
      <c r="H3359" s="92" t="s">
        <v>10</v>
      </c>
    </row>
    <row r="3360" spans="1:8" ht="21.75" customHeight="1" x14ac:dyDescent="0.25">
      <c r="A3360" s="35">
        <v>44681</v>
      </c>
      <c r="B3360" s="90" t="s">
        <v>14056</v>
      </c>
      <c r="C3360" s="41" t="s">
        <v>35</v>
      </c>
      <c r="D3360" s="87">
        <v>3763.9</v>
      </c>
      <c r="E3360" s="35">
        <v>44681</v>
      </c>
      <c r="F3360" s="87">
        <v>3763.9</v>
      </c>
      <c r="G3360" s="91">
        <f>Tabla15[[#This Row],[Importe]]-Tabla15[[#This Row],[Pagado]]</f>
        <v>0</v>
      </c>
      <c r="H3360" s="92" t="s">
        <v>10</v>
      </c>
    </row>
    <row r="3361" spans="1:8" ht="21.75" customHeight="1" x14ac:dyDescent="0.25">
      <c r="A3361" s="35">
        <v>44681</v>
      </c>
      <c r="B3361" s="90" t="s">
        <v>14057</v>
      </c>
      <c r="C3361" s="41" t="s">
        <v>10840</v>
      </c>
      <c r="D3361" s="87">
        <v>280</v>
      </c>
      <c r="E3361" s="35">
        <v>44681</v>
      </c>
      <c r="F3361" s="87">
        <v>280</v>
      </c>
      <c r="G3361" s="91">
        <f>Tabla15[[#This Row],[Importe]]-Tabla15[[#This Row],[Pagado]]</f>
        <v>0</v>
      </c>
      <c r="H3361" s="92" t="s">
        <v>10</v>
      </c>
    </row>
    <row r="3362" spans="1:8" ht="21.75" customHeight="1" x14ac:dyDescent="0.25">
      <c r="A3362" s="35">
        <v>44681</v>
      </c>
      <c r="B3362" s="90" t="s">
        <v>14058</v>
      </c>
      <c r="C3362" s="41" t="s">
        <v>51</v>
      </c>
      <c r="D3362" s="87">
        <v>4051.2</v>
      </c>
      <c r="E3362" s="35">
        <v>44681</v>
      </c>
      <c r="F3362" s="87">
        <v>4051.2</v>
      </c>
      <c r="G3362" s="91">
        <f>Tabla15[[#This Row],[Importe]]-Tabla15[[#This Row],[Pagado]]</f>
        <v>0</v>
      </c>
      <c r="H3362" s="92" t="s">
        <v>10</v>
      </c>
    </row>
    <row r="3363" spans="1:8" ht="21.75" customHeight="1" x14ac:dyDescent="0.25">
      <c r="A3363" s="35">
        <v>44681</v>
      </c>
      <c r="B3363" s="90" t="s">
        <v>14059</v>
      </c>
      <c r="C3363" s="41" t="s">
        <v>31</v>
      </c>
      <c r="D3363" s="87">
        <v>1171.2</v>
      </c>
      <c r="E3363" s="35">
        <v>44681</v>
      </c>
      <c r="F3363" s="87">
        <v>1171.2</v>
      </c>
      <c r="G3363" s="91">
        <f>Tabla15[[#This Row],[Importe]]-Tabla15[[#This Row],[Pagado]]</f>
        <v>0</v>
      </c>
      <c r="H3363" s="92" t="s">
        <v>10</v>
      </c>
    </row>
    <row r="3364" spans="1:8" ht="21.75" customHeight="1" x14ac:dyDescent="0.25">
      <c r="A3364" s="35">
        <v>44681</v>
      </c>
      <c r="B3364" s="90" t="s">
        <v>14060</v>
      </c>
      <c r="C3364" s="41" t="s">
        <v>12</v>
      </c>
      <c r="D3364" s="87">
        <v>812.4</v>
      </c>
      <c r="E3364" s="35">
        <v>44682</v>
      </c>
      <c r="F3364" s="87">
        <v>812.4</v>
      </c>
      <c r="G3364" s="91">
        <f>Tabla15[[#This Row],[Importe]]-Tabla15[[#This Row],[Pagado]]</f>
        <v>0</v>
      </c>
      <c r="H3364" s="92" t="s">
        <v>10</v>
      </c>
    </row>
    <row r="3365" spans="1:8" ht="21.75" customHeight="1" x14ac:dyDescent="0.25">
      <c r="A3365" s="35">
        <v>44681</v>
      </c>
      <c r="B3365" s="90" t="s">
        <v>14061</v>
      </c>
      <c r="C3365" s="41" t="s">
        <v>31</v>
      </c>
      <c r="D3365" s="87">
        <v>1063.3</v>
      </c>
      <c r="E3365" s="35">
        <v>44681</v>
      </c>
      <c r="F3365" s="87">
        <v>1063.3</v>
      </c>
      <c r="G3365" s="91">
        <f>Tabla15[[#This Row],[Importe]]-Tabla15[[#This Row],[Pagado]]</f>
        <v>0</v>
      </c>
      <c r="H3365" s="92" t="s">
        <v>10</v>
      </c>
    </row>
    <row r="3366" spans="1:8" ht="21.75" customHeight="1" x14ac:dyDescent="0.25">
      <c r="A3366" s="35">
        <v>44681</v>
      </c>
      <c r="B3366" s="90" t="s">
        <v>14062</v>
      </c>
      <c r="C3366" s="41" t="s">
        <v>12</v>
      </c>
      <c r="D3366" s="87">
        <v>176.4</v>
      </c>
      <c r="E3366" s="35">
        <v>44682</v>
      </c>
      <c r="F3366" s="87">
        <v>176.4</v>
      </c>
      <c r="G3366" s="91">
        <f>Tabla15[[#This Row],[Importe]]-Tabla15[[#This Row],[Pagado]]</f>
        <v>0</v>
      </c>
      <c r="H3366" s="92" t="s">
        <v>10</v>
      </c>
    </row>
    <row r="3367" spans="1:8" ht="21.75" customHeight="1" x14ac:dyDescent="0.25">
      <c r="A3367" s="35">
        <v>44681</v>
      </c>
      <c r="B3367" s="90" t="s">
        <v>14063</v>
      </c>
      <c r="C3367" s="41" t="s">
        <v>857</v>
      </c>
      <c r="D3367" s="87">
        <v>713.6</v>
      </c>
      <c r="E3367" s="35">
        <v>44681</v>
      </c>
      <c r="F3367" s="87">
        <v>713.6</v>
      </c>
      <c r="G3367" s="91">
        <f>Tabla15[[#This Row],[Importe]]-Tabla15[[#This Row],[Pagado]]</f>
        <v>0</v>
      </c>
      <c r="H3367" s="92" t="s">
        <v>10</v>
      </c>
    </row>
    <row r="3368" spans="1:8" ht="21.75" customHeight="1" x14ac:dyDescent="0.25">
      <c r="A3368" s="35">
        <v>44681</v>
      </c>
      <c r="B3368" s="90" t="s">
        <v>14064</v>
      </c>
      <c r="C3368" s="41" t="s">
        <v>31</v>
      </c>
      <c r="D3368" s="87">
        <v>100.8</v>
      </c>
      <c r="E3368" s="35">
        <v>44681</v>
      </c>
      <c r="F3368" s="87">
        <v>100.8</v>
      </c>
      <c r="G3368" s="91">
        <f>Tabla15[[#This Row],[Importe]]-Tabla15[[#This Row],[Pagado]]</f>
        <v>0</v>
      </c>
      <c r="H3368" s="92" t="s">
        <v>10</v>
      </c>
    </row>
    <row r="3369" spans="1:8" ht="31.5" x14ac:dyDescent="0.25">
      <c r="A3369" s="35">
        <v>44681</v>
      </c>
      <c r="B3369" s="90" t="s">
        <v>14065</v>
      </c>
      <c r="C3369" s="41" t="s">
        <v>196</v>
      </c>
      <c r="D3369" s="87">
        <v>28591.200000000001</v>
      </c>
      <c r="E3369" s="35">
        <v>44687</v>
      </c>
      <c r="F3369" s="87">
        <v>28591.200000000001</v>
      </c>
      <c r="G3369" s="91">
        <f>Tabla15[[#This Row],[Importe]]-Tabla15[[#This Row],[Pagado]]</f>
        <v>0</v>
      </c>
      <c r="H3369" s="92" t="s">
        <v>10</v>
      </c>
    </row>
    <row r="3370" spans="1:8" ht="21.75" customHeight="1" x14ac:dyDescent="0.25">
      <c r="A3370" s="35">
        <v>44681</v>
      </c>
      <c r="B3370" s="90" t="s">
        <v>14066</v>
      </c>
      <c r="C3370" s="41" t="s">
        <v>475</v>
      </c>
      <c r="D3370" s="87">
        <v>20712.400000000001</v>
      </c>
      <c r="E3370" s="35">
        <v>44683</v>
      </c>
      <c r="F3370" s="87">
        <v>20712.400000000001</v>
      </c>
      <c r="G3370" s="91">
        <f>Tabla15[[#This Row],[Importe]]-Tabla15[[#This Row],[Pagado]]</f>
        <v>0</v>
      </c>
      <c r="H3370" s="92" t="s">
        <v>10</v>
      </c>
    </row>
    <row r="3371" spans="1:8" x14ac:dyDescent="0.25">
      <c r="D3371" s="87">
        <v>0</v>
      </c>
      <c r="F3371" s="87">
        <v>0</v>
      </c>
      <c r="G3371" s="91">
        <f>Tabla15[[#This Row],[Importe]]-Tabla15[[#This Row],[Pagado]]</f>
        <v>0</v>
      </c>
    </row>
    <row r="3372" spans="1:8" x14ac:dyDescent="0.25">
      <c r="D3372" s="87">
        <v>0</v>
      </c>
      <c r="F3372" s="87">
        <v>0</v>
      </c>
      <c r="G3372" s="91">
        <f>Tabla15[[#This Row],[Importe]]-Tabla15[[#This Row],[Pagado]]</f>
        <v>0</v>
      </c>
    </row>
    <row r="3373" spans="1:8" x14ac:dyDescent="0.25">
      <c r="D3373" s="87">
        <v>0</v>
      </c>
      <c r="F3373" s="87">
        <v>0</v>
      </c>
      <c r="G3373" s="91">
        <f>Tabla15[[#This Row],[Importe]]-Tabla15[[#This Row],[Pagado]]</f>
        <v>0</v>
      </c>
    </row>
    <row r="3374" spans="1:8" s="95" customFormat="1" ht="31.5" customHeight="1" x14ac:dyDescent="0.3">
      <c r="A3374" s="96"/>
      <c r="B3374" s="97"/>
      <c r="C3374" s="98"/>
      <c r="D3374" s="99">
        <f>SUBTOTAL(109,Tabla15[Importe])</f>
        <v>34530578.769999951</v>
      </c>
      <c r="E3374" s="100"/>
      <c r="F3374" s="99">
        <f>SUBTOTAL(109,Tabla15[Pagado])</f>
        <v>34530578.769999951</v>
      </c>
      <c r="G3374" s="101">
        <f>SUBTOTAL(109,Tabla15[Saldo])</f>
        <v>0</v>
      </c>
      <c r="H3374" s="102"/>
    </row>
    <row r="3380" spans="1:6" ht="16.5" thickBot="1" x14ac:dyDescent="0.3"/>
    <row r="3381" spans="1:6" x14ac:dyDescent="0.25">
      <c r="A3381" s="118"/>
      <c r="B3381" s="119"/>
      <c r="C3381" s="120"/>
      <c r="D3381" s="121"/>
      <c r="E3381" s="207">
        <f>Tabla15[[#Totals],[Importe]]-Tabla15[[#Totals],[Pagado]]</f>
        <v>0</v>
      </c>
      <c r="F3381" s="208"/>
    </row>
    <row r="3382" spans="1:6" ht="16.5" thickBot="1" x14ac:dyDescent="0.3">
      <c r="E3382" s="209"/>
      <c r="F3382" s="210"/>
    </row>
  </sheetData>
  <mergeCells count="1">
    <mergeCell ref="E3381:F3382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J3564"/>
  <sheetViews>
    <sheetView zoomScale="115" zoomScaleNormal="115" workbookViewId="0">
      <pane xSplit="2" ySplit="1" topLeftCell="D3542" activePane="bottomRight" state="frozen"/>
      <selection pane="topRight" activeCell="C1" sqref="C1"/>
      <selection pane="bottomLeft" activeCell="A2" sqref="A2"/>
      <selection pane="bottomRight" activeCell="E3565" sqref="E3565"/>
    </sheetView>
  </sheetViews>
  <sheetFormatPr baseColWidth="10" defaultRowHeight="15.75" x14ac:dyDescent="0.25"/>
  <cols>
    <col min="1" max="1" width="14" style="31" customWidth="1"/>
    <col min="2" max="2" width="13" style="33" bestFit="1" customWidth="1"/>
    <col min="3" max="3" width="50.140625" style="33" bestFit="1" customWidth="1"/>
    <col min="4" max="4" width="20.5703125" style="34" customWidth="1"/>
    <col min="5" max="5" width="16.42578125" style="35" customWidth="1"/>
    <col min="6" max="6" width="21.85546875" style="34" customWidth="1"/>
    <col min="7" max="7" width="21.855468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3" t="s">
        <v>1</v>
      </c>
      <c r="C1" s="33" t="s">
        <v>2</v>
      </c>
      <c r="D1" s="34" t="s">
        <v>3</v>
      </c>
      <c r="E1" s="35" t="s">
        <v>4</v>
      </c>
      <c r="F1" s="34" t="s">
        <v>5</v>
      </c>
      <c r="G1" s="52" t="s">
        <v>6</v>
      </c>
      <c r="H1" s="33" t="s">
        <v>7</v>
      </c>
    </row>
    <row r="2" spans="1:8" x14ac:dyDescent="0.25">
      <c r="A2" s="31">
        <v>44682</v>
      </c>
      <c r="B2" s="38" t="s">
        <v>14077</v>
      </c>
      <c r="C2" s="38" t="s">
        <v>9</v>
      </c>
      <c r="D2" s="34">
        <v>6840.2</v>
      </c>
      <c r="E2" s="35">
        <v>44682</v>
      </c>
      <c r="F2" s="34">
        <v>6840.2</v>
      </c>
      <c r="G2" s="36">
        <f>Tabla16[[#This Row],[Importe]]-Tabla16[[#This Row],[Pagado]]</f>
        <v>0</v>
      </c>
      <c r="H2" s="38" t="s">
        <v>10</v>
      </c>
    </row>
    <row r="3" spans="1:8" x14ac:dyDescent="0.25">
      <c r="A3" s="31">
        <v>44682</v>
      </c>
      <c r="B3" s="38" t="s">
        <v>14078</v>
      </c>
      <c r="C3" s="38" t="s">
        <v>513</v>
      </c>
      <c r="D3" s="34">
        <v>4056</v>
      </c>
      <c r="E3" s="35">
        <v>44682</v>
      </c>
      <c r="F3" s="34">
        <v>4056</v>
      </c>
      <c r="G3" s="36">
        <f>Tabla16[[#This Row],[Importe]]-Tabla16[[#This Row],[Pagado]]</f>
        <v>0</v>
      </c>
      <c r="H3" s="38" t="s">
        <v>10</v>
      </c>
    </row>
    <row r="4" spans="1:8" x14ac:dyDescent="0.25">
      <c r="A4" s="31">
        <v>44682</v>
      </c>
      <c r="B4" s="38" t="s">
        <v>14079</v>
      </c>
      <c r="C4" s="38" t="s">
        <v>12</v>
      </c>
      <c r="D4" s="34">
        <v>65180.65</v>
      </c>
      <c r="E4" s="35">
        <v>44682</v>
      </c>
      <c r="F4" s="34">
        <v>65180.65</v>
      </c>
      <c r="G4" s="36">
        <f>Tabla16[[#This Row],[Importe]]-Tabla16[[#This Row],[Pagado]]</f>
        <v>0</v>
      </c>
      <c r="H4" s="38" t="s">
        <v>10</v>
      </c>
    </row>
    <row r="5" spans="1:8" ht="31.5" x14ac:dyDescent="0.25">
      <c r="A5" s="31">
        <v>44682</v>
      </c>
      <c r="B5" s="38" t="s">
        <v>14080</v>
      </c>
      <c r="C5" s="38" t="s">
        <v>475</v>
      </c>
      <c r="D5" s="34">
        <v>55729.5</v>
      </c>
      <c r="E5" s="35" t="s">
        <v>14072</v>
      </c>
      <c r="F5" s="34">
        <f>36000+19729.5</f>
        <v>55729.5</v>
      </c>
      <c r="G5" s="36">
        <f>Tabla16[[#This Row],[Importe]]-Tabla16[[#This Row],[Pagado]]</f>
        <v>0</v>
      </c>
      <c r="H5" s="38" t="s">
        <v>10</v>
      </c>
    </row>
    <row r="6" spans="1:8" ht="31.5" x14ac:dyDescent="0.25">
      <c r="A6" s="31">
        <v>44682</v>
      </c>
      <c r="B6" s="38" t="s">
        <v>14081</v>
      </c>
      <c r="C6" s="38" t="s">
        <v>22</v>
      </c>
      <c r="D6" s="34">
        <v>50136.4</v>
      </c>
      <c r="E6" s="35" t="s">
        <v>14082</v>
      </c>
      <c r="F6" s="34">
        <f>41000+9136.4</f>
        <v>50136.4</v>
      </c>
      <c r="G6" s="36">
        <f>Tabla16[[#This Row],[Importe]]-Tabla16[[#This Row],[Pagado]]</f>
        <v>0</v>
      </c>
      <c r="H6" s="38" t="s">
        <v>10</v>
      </c>
    </row>
    <row r="7" spans="1:8" x14ac:dyDescent="0.25">
      <c r="A7" s="31">
        <v>44682</v>
      </c>
      <c r="B7" s="38" t="s">
        <v>14083</v>
      </c>
      <c r="C7" s="38" t="s">
        <v>224</v>
      </c>
      <c r="D7" s="34">
        <v>919.6</v>
      </c>
      <c r="E7" s="35">
        <v>44682</v>
      </c>
      <c r="F7" s="34">
        <v>919.6</v>
      </c>
      <c r="G7" s="36">
        <f>Tabla16[[#This Row],[Importe]]-Tabla16[[#This Row],[Pagado]]</f>
        <v>0</v>
      </c>
      <c r="H7" s="38" t="s">
        <v>10</v>
      </c>
    </row>
    <row r="8" spans="1:8" x14ac:dyDescent="0.25">
      <c r="A8" s="31">
        <v>44682</v>
      </c>
      <c r="B8" s="38" t="s">
        <v>14084</v>
      </c>
      <c r="C8" s="38" t="s">
        <v>29</v>
      </c>
      <c r="D8" s="34">
        <v>10672.2</v>
      </c>
      <c r="E8" s="35">
        <v>44682</v>
      </c>
      <c r="F8" s="34">
        <v>10672.2</v>
      </c>
      <c r="G8" s="36">
        <f>Tabla16[[#This Row],[Importe]]-Tabla16[[#This Row],[Pagado]]</f>
        <v>0</v>
      </c>
      <c r="H8" s="38" t="s">
        <v>10</v>
      </c>
    </row>
    <row r="9" spans="1:8" x14ac:dyDescent="0.25">
      <c r="A9" s="31">
        <v>44682</v>
      </c>
      <c r="B9" s="38" t="s">
        <v>14085</v>
      </c>
      <c r="C9" s="38" t="s">
        <v>373</v>
      </c>
      <c r="D9" s="34">
        <v>1897.6</v>
      </c>
      <c r="E9" s="35">
        <v>44682</v>
      </c>
      <c r="F9" s="34">
        <v>1897.6</v>
      </c>
      <c r="G9" s="36">
        <f>Tabla16[[#This Row],[Importe]]-Tabla16[[#This Row],[Pagado]]</f>
        <v>0</v>
      </c>
      <c r="H9" s="38" t="s">
        <v>10</v>
      </c>
    </row>
    <row r="10" spans="1:8" x14ac:dyDescent="0.25">
      <c r="A10" s="31">
        <v>44682</v>
      </c>
      <c r="B10" s="38" t="s">
        <v>14086</v>
      </c>
      <c r="C10" s="38" t="s">
        <v>214</v>
      </c>
      <c r="D10" s="34">
        <v>1959.3</v>
      </c>
      <c r="E10" s="35">
        <v>44682</v>
      </c>
      <c r="F10" s="34">
        <v>1959.3</v>
      </c>
      <c r="G10" s="36">
        <f>Tabla16[[#This Row],[Importe]]-Tabla16[[#This Row],[Pagado]]</f>
        <v>0</v>
      </c>
      <c r="H10" s="38" t="s">
        <v>10</v>
      </c>
    </row>
    <row r="11" spans="1:8" x14ac:dyDescent="0.25">
      <c r="A11" s="31">
        <v>44682</v>
      </c>
      <c r="B11" s="38" t="s">
        <v>14087</v>
      </c>
      <c r="C11" s="38" t="s">
        <v>27</v>
      </c>
      <c r="D11" s="34">
        <v>3126.8</v>
      </c>
      <c r="E11" s="35">
        <v>44682</v>
      </c>
      <c r="F11" s="34">
        <v>3126.8</v>
      </c>
      <c r="G11" s="36">
        <f>Tabla16[[#This Row],[Importe]]-Tabla16[[#This Row],[Pagado]]</f>
        <v>0</v>
      </c>
      <c r="H11" s="38" t="s">
        <v>10</v>
      </c>
    </row>
    <row r="12" spans="1:8" x14ac:dyDescent="0.25">
      <c r="A12" s="31">
        <v>44682</v>
      </c>
      <c r="B12" s="38" t="s">
        <v>14088</v>
      </c>
      <c r="C12" s="38" t="s">
        <v>216</v>
      </c>
      <c r="D12" s="34">
        <v>2822.4</v>
      </c>
      <c r="E12" s="35">
        <v>44682</v>
      </c>
      <c r="F12" s="34">
        <v>2822.4</v>
      </c>
      <c r="G12" s="36">
        <f>Tabla16[[#This Row],[Importe]]-Tabla16[[#This Row],[Pagado]]</f>
        <v>0</v>
      </c>
      <c r="H12" s="38" t="s">
        <v>10</v>
      </c>
    </row>
    <row r="13" spans="1:8" x14ac:dyDescent="0.25">
      <c r="A13" s="31">
        <v>44682</v>
      </c>
      <c r="B13" s="38" t="s">
        <v>14089</v>
      </c>
      <c r="C13" s="38" t="s">
        <v>16</v>
      </c>
      <c r="D13" s="34">
        <v>10554.2</v>
      </c>
      <c r="E13" s="35">
        <v>44682</v>
      </c>
      <c r="F13" s="34">
        <v>10554.2</v>
      </c>
      <c r="G13" s="36">
        <f>Tabla16[[#This Row],[Importe]]-Tabla16[[#This Row],[Pagado]]</f>
        <v>0</v>
      </c>
      <c r="H13" s="38" t="s">
        <v>10</v>
      </c>
    </row>
    <row r="14" spans="1:8" x14ac:dyDescent="0.25">
      <c r="A14" s="31">
        <v>44682</v>
      </c>
      <c r="B14" s="38" t="s">
        <v>14090</v>
      </c>
      <c r="C14" s="38" t="s">
        <v>47</v>
      </c>
      <c r="D14" s="34">
        <v>48187.6</v>
      </c>
      <c r="E14" s="35">
        <v>44682</v>
      </c>
      <c r="F14" s="34">
        <v>48187.6</v>
      </c>
      <c r="G14" s="36">
        <f>Tabla16[[#This Row],[Importe]]-Tabla16[[#This Row],[Pagado]]</f>
        <v>0</v>
      </c>
      <c r="H14" s="38" t="s">
        <v>10</v>
      </c>
    </row>
    <row r="15" spans="1:8" x14ac:dyDescent="0.25">
      <c r="A15" s="31">
        <v>44682</v>
      </c>
      <c r="B15" s="38" t="s">
        <v>14091</v>
      </c>
      <c r="C15" s="38" t="s">
        <v>105</v>
      </c>
      <c r="D15" s="34">
        <v>5143.8999999999996</v>
      </c>
      <c r="E15" s="35">
        <v>44682</v>
      </c>
      <c r="F15" s="34">
        <v>5143.8999999999996</v>
      </c>
      <c r="G15" s="36">
        <f>Tabla16[[#This Row],[Importe]]-Tabla16[[#This Row],[Pagado]]</f>
        <v>0</v>
      </c>
      <c r="H15" s="38" t="s">
        <v>10</v>
      </c>
    </row>
    <row r="16" spans="1:8" x14ac:dyDescent="0.25">
      <c r="A16" s="31">
        <v>44682</v>
      </c>
      <c r="B16" s="38" t="s">
        <v>14092</v>
      </c>
      <c r="C16" s="38" t="s">
        <v>481</v>
      </c>
      <c r="D16" s="34">
        <v>916.5</v>
      </c>
      <c r="E16" s="35">
        <v>44682</v>
      </c>
      <c r="F16" s="34">
        <v>916.5</v>
      </c>
      <c r="G16" s="36">
        <f>Tabla16[[#This Row],[Importe]]-Tabla16[[#This Row],[Pagado]]</f>
        <v>0</v>
      </c>
      <c r="H16" s="38" t="s">
        <v>10</v>
      </c>
    </row>
    <row r="17" spans="1:8" x14ac:dyDescent="0.25">
      <c r="A17" s="31">
        <v>44682</v>
      </c>
      <c r="B17" s="38" t="s">
        <v>14093</v>
      </c>
      <c r="C17" s="38" t="s">
        <v>37</v>
      </c>
      <c r="D17" s="34">
        <v>3114</v>
      </c>
      <c r="E17" s="35">
        <v>44682</v>
      </c>
      <c r="F17" s="34">
        <v>3114</v>
      </c>
      <c r="G17" s="36">
        <f>Tabla16[[#This Row],[Importe]]-Tabla16[[#This Row],[Pagado]]</f>
        <v>0</v>
      </c>
      <c r="H17" s="38" t="s">
        <v>10</v>
      </c>
    </row>
    <row r="18" spans="1:8" x14ac:dyDescent="0.25">
      <c r="A18" s="31">
        <v>44682</v>
      </c>
      <c r="B18" s="38" t="s">
        <v>14094</v>
      </c>
      <c r="C18" s="38" t="s">
        <v>24</v>
      </c>
      <c r="D18" s="34">
        <v>4762.2</v>
      </c>
      <c r="E18" s="35">
        <v>44682</v>
      </c>
      <c r="F18" s="34">
        <v>4762.2</v>
      </c>
      <c r="G18" s="36">
        <f>Tabla16[[#This Row],[Importe]]-Tabla16[[#This Row],[Pagado]]</f>
        <v>0</v>
      </c>
      <c r="H18" s="38" t="s">
        <v>10</v>
      </c>
    </row>
    <row r="19" spans="1:8" x14ac:dyDescent="0.25">
      <c r="A19" s="31">
        <v>44682</v>
      </c>
      <c r="B19" s="38" t="s">
        <v>14095</v>
      </c>
      <c r="C19" s="38" t="s">
        <v>49</v>
      </c>
      <c r="D19" s="34">
        <v>4236.8</v>
      </c>
      <c r="E19" s="35">
        <v>44682</v>
      </c>
      <c r="F19" s="34">
        <v>4236.8</v>
      </c>
      <c r="G19" s="36">
        <f>Tabla16[[#This Row],[Importe]]-Tabla16[[#This Row],[Pagado]]</f>
        <v>0</v>
      </c>
      <c r="H19" s="38" t="s">
        <v>10</v>
      </c>
    </row>
    <row r="20" spans="1:8" x14ac:dyDescent="0.25">
      <c r="A20" s="31">
        <v>44682</v>
      </c>
      <c r="B20" s="38" t="s">
        <v>14096</v>
      </c>
      <c r="C20" s="38" t="s">
        <v>20</v>
      </c>
      <c r="D20" s="34">
        <v>7332.4</v>
      </c>
      <c r="E20" s="35">
        <v>44682</v>
      </c>
      <c r="F20" s="34">
        <v>7332.4</v>
      </c>
      <c r="G20" s="36">
        <f>Tabla16[[#This Row],[Importe]]-Tabla16[[#This Row],[Pagado]]</f>
        <v>0</v>
      </c>
      <c r="H20" s="38" t="s">
        <v>10</v>
      </c>
    </row>
    <row r="21" spans="1:8" x14ac:dyDescent="0.25">
      <c r="A21" s="31">
        <v>44682</v>
      </c>
      <c r="B21" s="38" t="s">
        <v>14097</v>
      </c>
      <c r="C21" s="38" t="s">
        <v>31</v>
      </c>
      <c r="D21" s="34">
        <v>3693.6</v>
      </c>
      <c r="E21" s="35">
        <v>44682</v>
      </c>
      <c r="F21" s="34">
        <v>3693.6</v>
      </c>
      <c r="G21" s="36">
        <f>Tabla16[[#This Row],[Importe]]-Tabla16[[#This Row],[Pagado]]</f>
        <v>0</v>
      </c>
      <c r="H21" s="38" t="s">
        <v>10</v>
      </c>
    </row>
    <row r="22" spans="1:8" x14ac:dyDescent="0.25">
      <c r="A22" s="31">
        <v>44682</v>
      </c>
      <c r="B22" s="38" t="s">
        <v>14098</v>
      </c>
      <c r="C22" s="38" t="s">
        <v>815</v>
      </c>
      <c r="D22" s="34">
        <v>4557</v>
      </c>
      <c r="E22" s="35">
        <v>44682</v>
      </c>
      <c r="F22" s="34">
        <v>4557</v>
      </c>
      <c r="G22" s="36">
        <f>Tabla16[[#This Row],[Importe]]-Tabla16[[#This Row],[Pagado]]</f>
        <v>0</v>
      </c>
      <c r="H22" s="38" t="s">
        <v>10</v>
      </c>
    </row>
    <row r="23" spans="1:8" x14ac:dyDescent="0.25">
      <c r="A23" s="31">
        <v>44682</v>
      </c>
      <c r="B23" s="38" t="s">
        <v>14099</v>
      </c>
      <c r="C23" s="38" t="s">
        <v>45</v>
      </c>
      <c r="D23" s="34">
        <v>6452.1</v>
      </c>
      <c r="E23" s="35">
        <v>44682</v>
      </c>
      <c r="F23" s="34">
        <v>6452.1</v>
      </c>
      <c r="G23" s="36">
        <f>Tabla16[[#This Row],[Importe]]-Tabla16[[#This Row],[Pagado]]</f>
        <v>0</v>
      </c>
      <c r="H23" s="38" t="s">
        <v>10</v>
      </c>
    </row>
    <row r="24" spans="1:8" x14ac:dyDescent="0.25">
      <c r="A24" s="31">
        <v>44682</v>
      </c>
      <c r="B24" s="38" t="s">
        <v>14100</v>
      </c>
      <c r="C24" s="38" t="s">
        <v>62</v>
      </c>
      <c r="D24" s="34">
        <v>3572.1</v>
      </c>
      <c r="E24" s="35">
        <v>44682</v>
      </c>
      <c r="F24" s="34">
        <v>3572.1</v>
      </c>
      <c r="G24" s="36">
        <f>Tabla16[[#This Row],[Importe]]-Tabla16[[#This Row],[Pagado]]</f>
        <v>0</v>
      </c>
      <c r="H24" s="38" t="s">
        <v>10</v>
      </c>
    </row>
    <row r="25" spans="1:8" x14ac:dyDescent="0.25">
      <c r="A25" s="31">
        <v>44682</v>
      </c>
      <c r="B25" s="38" t="s">
        <v>14101</v>
      </c>
      <c r="C25" s="38" t="s">
        <v>67</v>
      </c>
      <c r="D25" s="34">
        <v>3099.6</v>
      </c>
      <c r="E25" s="35">
        <v>44682</v>
      </c>
      <c r="F25" s="34">
        <v>3099.6</v>
      </c>
      <c r="G25" s="36">
        <f>Tabla16[[#This Row],[Importe]]-Tabla16[[#This Row],[Pagado]]</f>
        <v>0</v>
      </c>
      <c r="H25" s="38" t="s">
        <v>10</v>
      </c>
    </row>
    <row r="26" spans="1:8" x14ac:dyDescent="0.25">
      <c r="A26" s="31">
        <v>44682</v>
      </c>
      <c r="B26" s="38" t="s">
        <v>14102</v>
      </c>
      <c r="C26" s="38" t="s">
        <v>31</v>
      </c>
      <c r="D26" s="34">
        <v>2219.8000000000002</v>
      </c>
      <c r="E26" s="35">
        <v>44682</v>
      </c>
      <c r="F26" s="34">
        <v>2219.8000000000002</v>
      </c>
      <c r="G26" s="36">
        <f>Tabla16[[#This Row],[Importe]]-Tabla16[[#This Row],[Pagado]]</f>
        <v>0</v>
      </c>
      <c r="H26" s="38" t="s">
        <v>10</v>
      </c>
    </row>
    <row r="27" spans="1:8" x14ac:dyDescent="0.25">
      <c r="A27" s="31">
        <v>44682</v>
      </c>
      <c r="B27" s="38" t="s">
        <v>14103</v>
      </c>
      <c r="C27" s="38" t="s">
        <v>31</v>
      </c>
      <c r="D27" s="34">
        <v>592.20000000000005</v>
      </c>
      <c r="E27" s="35">
        <v>44682</v>
      </c>
      <c r="F27" s="34">
        <v>592.20000000000005</v>
      </c>
      <c r="G27" s="36">
        <f>Tabla16[[#This Row],[Importe]]-Tabla16[[#This Row],[Pagado]]</f>
        <v>0</v>
      </c>
      <c r="H27" s="38" t="s">
        <v>10</v>
      </c>
    </row>
    <row r="28" spans="1:8" x14ac:dyDescent="0.25">
      <c r="A28" s="31">
        <v>44682</v>
      </c>
      <c r="B28" s="38" t="s">
        <v>14104</v>
      </c>
      <c r="C28" s="38" t="s">
        <v>244</v>
      </c>
      <c r="D28" s="34">
        <v>1904</v>
      </c>
      <c r="E28" s="35">
        <v>44682</v>
      </c>
      <c r="F28" s="34">
        <v>1904</v>
      </c>
      <c r="G28" s="36">
        <f>Tabla16[[#This Row],[Importe]]-Tabla16[[#This Row],[Pagado]]</f>
        <v>0</v>
      </c>
      <c r="H28" s="38" t="s">
        <v>10</v>
      </c>
    </row>
    <row r="29" spans="1:8" x14ac:dyDescent="0.25">
      <c r="A29" s="31">
        <v>44682</v>
      </c>
      <c r="B29" s="38" t="s">
        <v>14105</v>
      </c>
      <c r="C29" s="38" t="s">
        <v>56</v>
      </c>
      <c r="D29" s="34">
        <v>9461.2999999999993</v>
      </c>
      <c r="E29" s="35">
        <v>44682</v>
      </c>
      <c r="F29" s="34">
        <v>9461.2999999999993</v>
      </c>
      <c r="G29" s="36">
        <f>Tabla16[[#This Row],[Importe]]-Tabla16[[#This Row],[Pagado]]</f>
        <v>0</v>
      </c>
      <c r="H29" s="38" t="s">
        <v>10</v>
      </c>
    </row>
    <row r="30" spans="1:8" x14ac:dyDescent="0.25">
      <c r="A30" s="31">
        <v>44682</v>
      </c>
      <c r="B30" s="38" t="s">
        <v>14106</v>
      </c>
      <c r="C30" s="38" t="s">
        <v>7444</v>
      </c>
      <c r="D30" s="34">
        <v>4000</v>
      </c>
      <c r="E30" s="35">
        <v>44688</v>
      </c>
      <c r="F30" s="34">
        <v>4000</v>
      </c>
      <c r="G30" s="36">
        <f>Tabla16[[#This Row],[Importe]]-Tabla16[[#This Row],[Pagado]]</f>
        <v>0</v>
      </c>
      <c r="H30" s="38" t="s">
        <v>10</v>
      </c>
    </row>
    <row r="31" spans="1:8" x14ac:dyDescent="0.25">
      <c r="A31" s="31">
        <v>44682</v>
      </c>
      <c r="B31" s="38" t="s">
        <v>14107</v>
      </c>
      <c r="C31" s="38" t="s">
        <v>58</v>
      </c>
      <c r="D31" s="34">
        <v>3576</v>
      </c>
      <c r="E31" s="35">
        <v>44682</v>
      </c>
      <c r="F31" s="34">
        <v>3576</v>
      </c>
      <c r="G31" s="36">
        <f>Tabla16[[#This Row],[Importe]]-Tabla16[[#This Row],[Pagado]]</f>
        <v>0</v>
      </c>
      <c r="H31" s="38" t="s">
        <v>10</v>
      </c>
    </row>
    <row r="32" spans="1:8" x14ac:dyDescent="0.25">
      <c r="A32" s="31">
        <v>44682</v>
      </c>
      <c r="B32" s="38" t="s">
        <v>14108</v>
      </c>
      <c r="C32" s="38" t="s">
        <v>58</v>
      </c>
      <c r="D32" s="34">
        <v>648</v>
      </c>
      <c r="E32" s="35">
        <v>44682</v>
      </c>
      <c r="F32" s="34">
        <v>648</v>
      </c>
      <c r="G32" s="36">
        <f>Tabla16[[#This Row],[Importe]]-Tabla16[[#This Row],[Pagado]]</f>
        <v>0</v>
      </c>
      <c r="H32" s="38" t="s">
        <v>10</v>
      </c>
    </row>
    <row r="33" spans="1:8" x14ac:dyDescent="0.25">
      <c r="A33" s="31">
        <v>44682</v>
      </c>
      <c r="B33" s="38" t="s">
        <v>14109</v>
      </c>
      <c r="C33" s="38" t="s">
        <v>226</v>
      </c>
      <c r="D33" s="34">
        <v>3351.6</v>
      </c>
      <c r="E33" s="35">
        <v>44682</v>
      </c>
      <c r="F33" s="34">
        <v>3351.6</v>
      </c>
      <c r="G33" s="36">
        <f>Tabla16[[#This Row],[Importe]]-Tabla16[[#This Row],[Pagado]]</f>
        <v>0</v>
      </c>
      <c r="H33" s="38" t="s">
        <v>10</v>
      </c>
    </row>
    <row r="34" spans="1:8" x14ac:dyDescent="0.25">
      <c r="A34" s="31">
        <v>44682</v>
      </c>
      <c r="B34" s="38" t="s">
        <v>14110</v>
      </c>
      <c r="C34" s="38" t="s">
        <v>53</v>
      </c>
      <c r="D34" s="34">
        <v>1108.8</v>
      </c>
      <c r="E34" s="35">
        <v>44682</v>
      </c>
      <c r="F34" s="34">
        <v>1108.8</v>
      </c>
      <c r="G34" s="36">
        <f>Tabla16[[#This Row],[Importe]]-Tabla16[[#This Row],[Pagado]]</f>
        <v>0</v>
      </c>
      <c r="H34" s="38" t="s">
        <v>10</v>
      </c>
    </row>
    <row r="35" spans="1:8" x14ac:dyDescent="0.25">
      <c r="A35" s="31">
        <v>44682</v>
      </c>
      <c r="B35" s="38" t="s">
        <v>14111</v>
      </c>
      <c r="C35" s="38" t="s">
        <v>71</v>
      </c>
      <c r="D35" s="34">
        <v>1715.2</v>
      </c>
      <c r="E35" s="35">
        <v>44682</v>
      </c>
      <c r="F35" s="34">
        <v>1715.2</v>
      </c>
      <c r="G35" s="36">
        <f>Tabla16[[#This Row],[Importe]]-Tabla16[[#This Row],[Pagado]]</f>
        <v>0</v>
      </c>
      <c r="H35" s="38" t="s">
        <v>10</v>
      </c>
    </row>
    <row r="36" spans="1:8" x14ac:dyDescent="0.25">
      <c r="A36" s="31">
        <v>44682</v>
      </c>
      <c r="B36" s="38" t="s">
        <v>14112</v>
      </c>
      <c r="C36" s="38" t="s">
        <v>71</v>
      </c>
      <c r="D36" s="34">
        <v>2835.2</v>
      </c>
      <c r="E36" s="35">
        <v>44682</v>
      </c>
      <c r="F36" s="34">
        <v>2835.2</v>
      </c>
      <c r="G36" s="36">
        <f>Tabla16[[#This Row],[Importe]]-Tabla16[[#This Row],[Pagado]]</f>
        <v>0</v>
      </c>
      <c r="H36" s="38" t="s">
        <v>10</v>
      </c>
    </row>
    <row r="37" spans="1:8" x14ac:dyDescent="0.25">
      <c r="A37" s="31">
        <v>44682</v>
      </c>
      <c r="B37" s="38" t="s">
        <v>14113</v>
      </c>
      <c r="C37" s="38" t="s">
        <v>804</v>
      </c>
      <c r="D37" s="34">
        <v>17359.400000000001</v>
      </c>
      <c r="E37" s="35">
        <v>44682</v>
      </c>
      <c r="F37" s="34">
        <v>17359.400000000001</v>
      </c>
      <c r="G37" s="36">
        <f>Tabla16[[#This Row],[Importe]]-Tabla16[[#This Row],[Pagado]]</f>
        <v>0</v>
      </c>
      <c r="H37" s="38" t="s">
        <v>10</v>
      </c>
    </row>
    <row r="38" spans="1:8" x14ac:dyDescent="0.25">
      <c r="A38" s="31">
        <v>44682</v>
      </c>
      <c r="B38" s="38" t="s">
        <v>14114</v>
      </c>
      <c r="C38" s="38" t="s">
        <v>296</v>
      </c>
      <c r="D38" s="34">
        <v>3760.8</v>
      </c>
      <c r="E38" s="35">
        <v>44682</v>
      </c>
      <c r="F38" s="34">
        <v>3760.8</v>
      </c>
      <c r="G38" s="36">
        <f>Tabla16[[#This Row],[Importe]]-Tabla16[[#This Row],[Pagado]]</f>
        <v>0</v>
      </c>
      <c r="H38" s="38" t="s">
        <v>10</v>
      </c>
    </row>
    <row r="39" spans="1:8" x14ac:dyDescent="0.25">
      <c r="A39" s="31">
        <v>44682</v>
      </c>
      <c r="B39" s="38" t="s">
        <v>14115</v>
      </c>
      <c r="C39" s="38" t="s">
        <v>409</v>
      </c>
      <c r="D39" s="34">
        <v>18727.8</v>
      </c>
      <c r="E39" s="35">
        <v>44687</v>
      </c>
      <c r="F39" s="34">
        <v>18727.8</v>
      </c>
      <c r="G39" s="36">
        <f>Tabla16[[#This Row],[Importe]]-Tabla16[[#This Row],[Pagado]]</f>
        <v>0</v>
      </c>
      <c r="H39" s="38" t="s">
        <v>10</v>
      </c>
    </row>
    <row r="40" spans="1:8" x14ac:dyDescent="0.25">
      <c r="A40" s="31">
        <v>44682</v>
      </c>
      <c r="B40" s="38" t="s">
        <v>14116</v>
      </c>
      <c r="C40" s="38" t="s">
        <v>296</v>
      </c>
      <c r="D40" s="34">
        <v>1614.4</v>
      </c>
      <c r="E40" s="35">
        <v>44682</v>
      </c>
      <c r="F40" s="34">
        <v>1614.4</v>
      </c>
      <c r="G40" s="36">
        <f>Tabla16[[#This Row],[Importe]]-Tabla16[[#This Row],[Pagado]]</f>
        <v>0</v>
      </c>
      <c r="H40" s="38" t="s">
        <v>10</v>
      </c>
    </row>
    <row r="41" spans="1:8" x14ac:dyDescent="0.25">
      <c r="A41" s="31">
        <v>44682</v>
      </c>
      <c r="B41" s="38" t="s">
        <v>14117</v>
      </c>
      <c r="C41" s="38" t="s">
        <v>2139</v>
      </c>
      <c r="D41" s="34">
        <v>4662.3999999999996</v>
      </c>
      <c r="E41" s="35">
        <v>44682</v>
      </c>
      <c r="F41" s="34">
        <v>4662.3999999999996</v>
      </c>
      <c r="G41" s="36">
        <f>Tabla16[[#This Row],[Importe]]-Tabla16[[#This Row],[Pagado]]</f>
        <v>0</v>
      </c>
      <c r="H41" s="38" t="s">
        <v>10</v>
      </c>
    </row>
    <row r="42" spans="1:8" x14ac:dyDescent="0.25">
      <c r="A42" s="31">
        <v>44682</v>
      </c>
      <c r="B42" s="38" t="s">
        <v>14118</v>
      </c>
      <c r="C42" s="38" t="s">
        <v>31</v>
      </c>
      <c r="D42" s="34">
        <v>94.4</v>
      </c>
      <c r="E42" s="35">
        <v>44682</v>
      </c>
      <c r="F42" s="34">
        <v>94.4</v>
      </c>
      <c r="G42" s="36">
        <f>Tabla16[[#This Row],[Importe]]-Tabla16[[#This Row],[Pagado]]</f>
        <v>0</v>
      </c>
      <c r="H42" s="38" t="s">
        <v>10</v>
      </c>
    </row>
    <row r="43" spans="1:8" x14ac:dyDescent="0.25">
      <c r="A43" s="31">
        <v>44682</v>
      </c>
      <c r="B43" s="38" t="s">
        <v>14119</v>
      </c>
      <c r="C43" s="38" t="s">
        <v>75</v>
      </c>
      <c r="D43" s="34">
        <v>1171.8</v>
      </c>
      <c r="E43" s="35">
        <v>44682</v>
      </c>
      <c r="F43" s="34">
        <v>1171.8</v>
      </c>
      <c r="G43" s="36">
        <f>Tabla16[[#This Row],[Importe]]-Tabla16[[#This Row],[Pagado]]</f>
        <v>0</v>
      </c>
      <c r="H43" s="38" t="s">
        <v>10</v>
      </c>
    </row>
    <row r="44" spans="1:8" x14ac:dyDescent="0.25">
      <c r="A44" s="31">
        <v>44682</v>
      </c>
      <c r="B44" s="38" t="s">
        <v>14120</v>
      </c>
      <c r="C44" s="38" t="s">
        <v>67</v>
      </c>
      <c r="D44" s="34">
        <v>1176</v>
      </c>
      <c r="E44" s="35">
        <v>44682</v>
      </c>
      <c r="F44" s="34">
        <v>1176</v>
      </c>
      <c r="G44" s="36">
        <f>Tabla16[[#This Row],[Importe]]-Tabla16[[#This Row],[Pagado]]</f>
        <v>0</v>
      </c>
      <c r="H44" s="38" t="s">
        <v>10</v>
      </c>
    </row>
    <row r="45" spans="1:8" x14ac:dyDescent="0.25">
      <c r="A45" s="31">
        <v>44682</v>
      </c>
      <c r="B45" s="38" t="s">
        <v>14121</v>
      </c>
      <c r="C45" s="38" t="s">
        <v>1339</v>
      </c>
      <c r="D45" s="34">
        <v>1233.5999999999999</v>
      </c>
      <c r="E45" s="35">
        <v>44682</v>
      </c>
      <c r="F45" s="34">
        <v>1233.5999999999999</v>
      </c>
      <c r="G45" s="36">
        <f>Tabla16[[#This Row],[Importe]]-Tabla16[[#This Row],[Pagado]]</f>
        <v>0</v>
      </c>
      <c r="H45" s="38" t="s">
        <v>10</v>
      </c>
    </row>
    <row r="46" spans="1:8" x14ac:dyDescent="0.25">
      <c r="A46" s="31">
        <v>44682</v>
      </c>
      <c r="B46" s="38" t="s">
        <v>14122</v>
      </c>
      <c r="C46" s="38" t="s">
        <v>31</v>
      </c>
      <c r="D46" s="34">
        <v>626.52</v>
      </c>
      <c r="E46" s="35">
        <v>44682</v>
      </c>
      <c r="F46" s="34">
        <v>626.52</v>
      </c>
      <c r="G46" s="36">
        <f>Tabla16[[#This Row],[Importe]]-Tabla16[[#This Row],[Pagado]]</f>
        <v>0</v>
      </c>
      <c r="H46" s="38" t="s">
        <v>10</v>
      </c>
    </row>
    <row r="47" spans="1:8" x14ac:dyDescent="0.25">
      <c r="A47" s="31">
        <v>44683</v>
      </c>
      <c r="B47" s="38" t="s">
        <v>14123</v>
      </c>
      <c r="C47" s="38" t="s">
        <v>12</v>
      </c>
      <c r="D47" s="34">
        <v>53422.8</v>
      </c>
      <c r="E47" s="35">
        <v>44683</v>
      </c>
      <c r="F47" s="34">
        <v>53422.8</v>
      </c>
      <c r="G47" s="36">
        <f>Tabla16[[#This Row],[Importe]]-Tabla16[[#This Row],[Pagado]]</f>
        <v>0</v>
      </c>
      <c r="H47" s="38" t="s">
        <v>10</v>
      </c>
    </row>
    <row r="48" spans="1:8" x14ac:dyDescent="0.25">
      <c r="A48" s="31">
        <v>44683</v>
      </c>
      <c r="B48" s="38" t="s">
        <v>14124</v>
      </c>
      <c r="C48" s="38" t="s">
        <v>353</v>
      </c>
      <c r="D48" s="34">
        <v>1619.2</v>
      </c>
      <c r="E48" s="35">
        <v>44683</v>
      </c>
      <c r="F48" s="34">
        <v>1619.2</v>
      </c>
      <c r="G48" s="36">
        <f>Tabla16[[#This Row],[Importe]]-Tabla16[[#This Row],[Pagado]]</f>
        <v>0</v>
      </c>
      <c r="H48" s="38" t="s">
        <v>10</v>
      </c>
    </row>
    <row r="49" spans="1:8" x14ac:dyDescent="0.25">
      <c r="A49" s="31">
        <v>44683</v>
      </c>
      <c r="B49" s="38" t="s">
        <v>14125</v>
      </c>
      <c r="C49" s="38" t="s">
        <v>481</v>
      </c>
      <c r="D49" s="34">
        <v>604.6</v>
      </c>
      <c r="E49" s="35">
        <v>44683</v>
      </c>
      <c r="F49" s="34">
        <v>604.6</v>
      </c>
      <c r="G49" s="36">
        <f>Tabla16[[#This Row],[Importe]]-Tabla16[[#This Row],[Pagado]]</f>
        <v>0</v>
      </c>
      <c r="H49" s="38" t="s">
        <v>10</v>
      </c>
    </row>
    <row r="50" spans="1:8" x14ac:dyDescent="0.25">
      <c r="A50" s="31">
        <v>44683</v>
      </c>
      <c r="B50" s="38" t="s">
        <v>14126</v>
      </c>
      <c r="C50" s="38" t="s">
        <v>31</v>
      </c>
      <c r="D50" s="34">
        <v>3968</v>
      </c>
      <c r="E50" s="35">
        <v>44683</v>
      </c>
      <c r="F50" s="34">
        <v>3968</v>
      </c>
      <c r="G50" s="36">
        <f>Tabla16[[#This Row],[Importe]]-Tabla16[[#This Row],[Pagado]]</f>
        <v>0</v>
      </c>
      <c r="H50" s="38" t="s">
        <v>10</v>
      </c>
    </row>
    <row r="51" spans="1:8" x14ac:dyDescent="0.25">
      <c r="A51" s="31">
        <v>44683</v>
      </c>
      <c r="B51" s="38" t="s">
        <v>14127</v>
      </c>
      <c r="C51" s="38" t="s">
        <v>83</v>
      </c>
      <c r="D51" s="34">
        <v>8395.6</v>
      </c>
      <c r="E51" s="35">
        <v>44683</v>
      </c>
      <c r="F51" s="34">
        <v>8395.6</v>
      </c>
      <c r="G51" s="36">
        <f>Tabla16[[#This Row],[Importe]]-Tabla16[[#This Row],[Pagado]]</f>
        <v>0</v>
      </c>
      <c r="H51" s="38" t="s">
        <v>10</v>
      </c>
    </row>
    <row r="52" spans="1:8" x14ac:dyDescent="0.25">
      <c r="A52" s="31">
        <v>44683</v>
      </c>
      <c r="B52" s="38" t="s">
        <v>14128</v>
      </c>
      <c r="C52" s="38" t="s">
        <v>31</v>
      </c>
      <c r="D52" s="34">
        <v>1939.8</v>
      </c>
      <c r="E52" s="35">
        <v>44683</v>
      </c>
      <c r="F52" s="34">
        <v>1939.8</v>
      </c>
      <c r="G52" s="36">
        <f>Tabla16[[#This Row],[Importe]]-Tabla16[[#This Row],[Pagado]]</f>
        <v>0</v>
      </c>
      <c r="H52" s="38" t="s">
        <v>10</v>
      </c>
    </row>
    <row r="53" spans="1:8" x14ac:dyDescent="0.25">
      <c r="A53" s="31">
        <v>44683</v>
      </c>
      <c r="B53" s="38" t="s">
        <v>14129</v>
      </c>
      <c r="C53" s="38" t="s">
        <v>9</v>
      </c>
      <c r="D53" s="34">
        <v>6445.4</v>
      </c>
      <c r="E53" s="35">
        <v>44683</v>
      </c>
      <c r="F53" s="34">
        <v>6445.4</v>
      </c>
      <c r="G53" s="36">
        <f>Tabla16[[#This Row],[Importe]]-Tabla16[[#This Row],[Pagado]]</f>
        <v>0</v>
      </c>
      <c r="H53" s="38" t="s">
        <v>10</v>
      </c>
    </row>
    <row r="54" spans="1:8" x14ac:dyDescent="0.25">
      <c r="A54" s="31">
        <v>44683</v>
      </c>
      <c r="B54" s="38" t="s">
        <v>14130</v>
      </c>
      <c r="C54" s="38" t="s">
        <v>85</v>
      </c>
      <c r="D54" s="34">
        <v>588.79999999999995</v>
      </c>
      <c r="E54" s="35">
        <v>44683</v>
      </c>
      <c r="F54" s="34">
        <v>588.79999999999995</v>
      </c>
      <c r="G54" s="36">
        <f>Tabla16[[#This Row],[Importe]]-Tabla16[[#This Row],[Pagado]]</f>
        <v>0</v>
      </c>
      <c r="H54" s="38" t="s">
        <v>10</v>
      </c>
    </row>
    <row r="55" spans="1:8" ht="31.5" x14ac:dyDescent="0.25">
      <c r="A55" s="31">
        <v>44683</v>
      </c>
      <c r="B55" s="38" t="s">
        <v>14131</v>
      </c>
      <c r="C55" s="38" t="s">
        <v>475</v>
      </c>
      <c r="D55" s="34">
        <v>93681.9</v>
      </c>
      <c r="E55" s="35" t="s">
        <v>14132</v>
      </c>
      <c r="F55" s="34">
        <f>80000+13681.9</f>
        <v>93681.9</v>
      </c>
      <c r="G55" s="36">
        <f>Tabla16[[#This Row],[Importe]]-Tabla16[[#This Row],[Pagado]]</f>
        <v>0</v>
      </c>
      <c r="H55" s="38" t="s">
        <v>10</v>
      </c>
    </row>
    <row r="56" spans="1:8" x14ac:dyDescent="0.25">
      <c r="A56" s="31">
        <v>44683</v>
      </c>
      <c r="B56" s="38" t="s">
        <v>14133</v>
      </c>
      <c r="C56" s="38" t="s">
        <v>22</v>
      </c>
      <c r="D56" s="34">
        <v>46581.9</v>
      </c>
      <c r="E56" s="35">
        <v>44684</v>
      </c>
      <c r="F56" s="34">
        <v>46581.9</v>
      </c>
      <c r="G56" s="36">
        <f>Tabla16[[#This Row],[Importe]]-Tabla16[[#This Row],[Pagado]]</f>
        <v>0</v>
      </c>
      <c r="H56" s="38" t="s">
        <v>10</v>
      </c>
    </row>
    <row r="57" spans="1:8" x14ac:dyDescent="0.25">
      <c r="A57" s="31">
        <v>44683</v>
      </c>
      <c r="B57" s="38" t="s">
        <v>14134</v>
      </c>
      <c r="C57" s="38" t="s">
        <v>131</v>
      </c>
      <c r="D57" s="34">
        <v>9399.2000000000007</v>
      </c>
      <c r="E57" s="35">
        <v>44683</v>
      </c>
      <c r="F57" s="34">
        <v>9399.2000000000007</v>
      </c>
      <c r="G57" s="36">
        <f>Tabla16[[#This Row],[Importe]]-Tabla16[[#This Row],[Pagado]]</f>
        <v>0</v>
      </c>
      <c r="H57" s="38" t="s">
        <v>10</v>
      </c>
    </row>
    <row r="58" spans="1:8" x14ac:dyDescent="0.25">
      <c r="A58" s="31">
        <v>44683</v>
      </c>
      <c r="B58" s="38" t="s">
        <v>14135</v>
      </c>
      <c r="C58" s="38" t="s">
        <v>314</v>
      </c>
      <c r="D58" s="34">
        <v>1088</v>
      </c>
      <c r="E58" s="35">
        <v>44683</v>
      </c>
      <c r="F58" s="34">
        <v>1088</v>
      </c>
      <c r="G58" s="36">
        <f>Tabla16[[#This Row],[Importe]]-Tabla16[[#This Row],[Pagado]]</f>
        <v>0</v>
      </c>
      <c r="H58" s="38" t="s">
        <v>10</v>
      </c>
    </row>
    <row r="59" spans="1:8" x14ac:dyDescent="0.25">
      <c r="A59" s="31">
        <v>44683</v>
      </c>
      <c r="B59" s="38" t="s">
        <v>14136</v>
      </c>
      <c r="C59" s="38" t="s">
        <v>33</v>
      </c>
      <c r="D59" s="34">
        <v>12665.8</v>
      </c>
      <c r="E59" s="35">
        <v>44683</v>
      </c>
      <c r="F59" s="34">
        <v>12665.8</v>
      </c>
      <c r="G59" s="36">
        <f>Tabla16[[#This Row],[Importe]]-Tabla16[[#This Row],[Pagado]]</f>
        <v>0</v>
      </c>
      <c r="H59" s="38" t="s">
        <v>10</v>
      </c>
    </row>
    <row r="60" spans="1:8" x14ac:dyDescent="0.25">
      <c r="A60" s="31">
        <v>44683</v>
      </c>
      <c r="B60" s="38" t="s">
        <v>14137</v>
      </c>
      <c r="C60" s="38" t="s">
        <v>87</v>
      </c>
      <c r="D60" s="34">
        <v>3820</v>
      </c>
      <c r="E60" s="35">
        <v>44683</v>
      </c>
      <c r="F60" s="34">
        <v>3820</v>
      </c>
      <c r="G60" s="36">
        <f>Tabla16[[#This Row],[Importe]]-Tabla16[[#This Row],[Pagado]]</f>
        <v>0</v>
      </c>
      <c r="H60" s="38" t="s">
        <v>10</v>
      </c>
    </row>
    <row r="61" spans="1:8" x14ac:dyDescent="0.25">
      <c r="A61" s="31">
        <v>44683</v>
      </c>
      <c r="B61" s="38" t="s">
        <v>14138</v>
      </c>
      <c r="C61" s="38" t="s">
        <v>27</v>
      </c>
      <c r="D61" s="34">
        <v>4107.6000000000004</v>
      </c>
      <c r="E61" s="35">
        <v>44683</v>
      </c>
      <c r="F61" s="34">
        <v>4107.6000000000004</v>
      </c>
      <c r="G61" s="36">
        <f>Tabla16[[#This Row],[Importe]]-Tabla16[[#This Row],[Pagado]]</f>
        <v>0</v>
      </c>
      <c r="H61" s="38" t="s">
        <v>10</v>
      </c>
    </row>
    <row r="62" spans="1:8" x14ac:dyDescent="0.25">
      <c r="A62" s="31">
        <v>44683</v>
      </c>
      <c r="B62" s="38" t="s">
        <v>14139</v>
      </c>
      <c r="C62" s="38" t="s">
        <v>89</v>
      </c>
      <c r="D62" s="34">
        <v>5982.9</v>
      </c>
      <c r="E62" s="35">
        <v>44684</v>
      </c>
      <c r="F62" s="34">
        <v>5982.9</v>
      </c>
      <c r="G62" s="36">
        <f>Tabla16[[#This Row],[Importe]]-Tabla16[[#This Row],[Pagado]]</f>
        <v>0</v>
      </c>
      <c r="H62" s="38" t="s">
        <v>10</v>
      </c>
    </row>
    <row r="63" spans="1:8" x14ac:dyDescent="0.25">
      <c r="A63" s="31">
        <v>44683</v>
      </c>
      <c r="B63" s="38" t="s">
        <v>14140</v>
      </c>
      <c r="C63" s="38" t="s">
        <v>2151</v>
      </c>
      <c r="D63" s="34">
        <v>13389.2</v>
      </c>
      <c r="E63" s="35">
        <v>44683</v>
      </c>
      <c r="F63" s="34">
        <v>13389.2</v>
      </c>
      <c r="G63" s="36">
        <f>Tabla16[[#This Row],[Importe]]-Tabla16[[#This Row],[Pagado]]</f>
        <v>0</v>
      </c>
      <c r="H63" s="38" t="s">
        <v>10</v>
      </c>
    </row>
    <row r="64" spans="1:8" x14ac:dyDescent="0.25">
      <c r="A64" s="31">
        <v>44683</v>
      </c>
      <c r="B64" s="38" t="s">
        <v>14141</v>
      </c>
      <c r="C64" s="38" t="s">
        <v>93</v>
      </c>
      <c r="D64" s="34">
        <v>7956.7</v>
      </c>
      <c r="E64" s="35">
        <v>44684</v>
      </c>
      <c r="F64" s="34">
        <v>7956.7</v>
      </c>
      <c r="G64" s="36">
        <f>Tabla16[[#This Row],[Importe]]-Tabla16[[#This Row],[Pagado]]</f>
        <v>0</v>
      </c>
      <c r="H64" s="38" t="s">
        <v>10</v>
      </c>
    </row>
    <row r="65" spans="1:8" x14ac:dyDescent="0.25">
      <c r="A65" s="31">
        <v>44683</v>
      </c>
      <c r="B65" s="38" t="s">
        <v>14142</v>
      </c>
      <c r="C65" s="38" t="s">
        <v>16</v>
      </c>
      <c r="D65" s="34">
        <v>5487.4</v>
      </c>
      <c r="E65" s="35">
        <v>44683</v>
      </c>
      <c r="F65" s="34">
        <v>5487.4</v>
      </c>
      <c r="G65" s="36">
        <f>Tabla16[[#This Row],[Importe]]-Tabla16[[#This Row],[Pagado]]</f>
        <v>0</v>
      </c>
      <c r="H65" s="38" t="s">
        <v>10</v>
      </c>
    </row>
    <row r="66" spans="1:8" x14ac:dyDescent="0.25">
      <c r="A66" s="31">
        <v>44683</v>
      </c>
      <c r="B66" s="38" t="s">
        <v>14143</v>
      </c>
      <c r="C66" s="38" t="s">
        <v>670</v>
      </c>
      <c r="D66" s="34">
        <v>4582.7</v>
      </c>
      <c r="E66" s="35">
        <v>44683</v>
      </c>
      <c r="F66" s="34">
        <v>4582.7</v>
      </c>
      <c r="G66" s="36">
        <f>Tabla16[[#This Row],[Importe]]-Tabla16[[#This Row],[Pagado]]</f>
        <v>0</v>
      </c>
      <c r="H66" s="38" t="s">
        <v>10</v>
      </c>
    </row>
    <row r="67" spans="1:8" x14ac:dyDescent="0.25">
      <c r="A67" s="31">
        <v>44683</v>
      </c>
      <c r="B67" s="38" t="s">
        <v>14144</v>
      </c>
      <c r="C67" s="38" t="s">
        <v>60</v>
      </c>
      <c r="D67" s="34">
        <v>4171.1000000000004</v>
      </c>
      <c r="E67" s="35">
        <v>44686</v>
      </c>
      <c r="F67" s="34">
        <v>4171.1000000000004</v>
      </c>
      <c r="G67" s="36">
        <f>Tabla16[[#This Row],[Importe]]-Tabla16[[#This Row],[Pagado]]</f>
        <v>0</v>
      </c>
      <c r="H67" s="38" t="s">
        <v>10</v>
      </c>
    </row>
    <row r="68" spans="1:8" x14ac:dyDescent="0.25">
      <c r="A68" s="31">
        <v>44683</v>
      </c>
      <c r="B68" s="38" t="s">
        <v>14145</v>
      </c>
      <c r="C68" s="38" t="s">
        <v>2563</v>
      </c>
      <c r="D68" s="34">
        <v>4420.2</v>
      </c>
      <c r="E68" s="35">
        <v>44683</v>
      </c>
      <c r="F68" s="34">
        <v>4420.2</v>
      </c>
      <c r="G68" s="36">
        <f>Tabla16[[#This Row],[Importe]]-Tabla16[[#This Row],[Pagado]]</f>
        <v>0</v>
      </c>
      <c r="H68" s="38" t="s">
        <v>10</v>
      </c>
    </row>
    <row r="69" spans="1:8" x14ac:dyDescent="0.25">
      <c r="A69" s="31">
        <v>44683</v>
      </c>
      <c r="B69" s="38" t="s">
        <v>14146</v>
      </c>
      <c r="C69" s="38" t="s">
        <v>109</v>
      </c>
      <c r="D69" s="34">
        <v>4365.6000000000004</v>
      </c>
      <c r="E69" s="35">
        <v>44684</v>
      </c>
      <c r="F69" s="34">
        <v>4365.6000000000004</v>
      </c>
      <c r="G69" s="36">
        <f>Tabla16[[#This Row],[Importe]]-Tabla16[[#This Row],[Pagado]]</f>
        <v>0</v>
      </c>
      <c r="H69" s="38" t="s">
        <v>10</v>
      </c>
    </row>
    <row r="70" spans="1:8" x14ac:dyDescent="0.25">
      <c r="A70" s="31">
        <v>44683</v>
      </c>
      <c r="B70" s="38" t="s">
        <v>14147</v>
      </c>
      <c r="C70" s="38" t="s">
        <v>135</v>
      </c>
      <c r="D70" s="34">
        <v>1284.8</v>
      </c>
      <c r="E70" s="35">
        <v>44683</v>
      </c>
      <c r="F70" s="34">
        <v>1284.8</v>
      </c>
      <c r="G70" s="36">
        <f>Tabla16[[#This Row],[Importe]]-Tabla16[[#This Row],[Pagado]]</f>
        <v>0</v>
      </c>
      <c r="H70" s="38" t="s">
        <v>10</v>
      </c>
    </row>
    <row r="71" spans="1:8" x14ac:dyDescent="0.25">
      <c r="A71" s="31">
        <v>44683</v>
      </c>
      <c r="B71" s="38" t="s">
        <v>14148</v>
      </c>
      <c r="C71" s="38" t="s">
        <v>13946</v>
      </c>
      <c r="D71" s="34">
        <v>3967.8</v>
      </c>
      <c r="E71" s="35">
        <v>44685</v>
      </c>
      <c r="F71" s="34">
        <v>3967.8</v>
      </c>
      <c r="G71" s="36">
        <f>Tabla16[[#This Row],[Importe]]-Tabla16[[#This Row],[Pagado]]</f>
        <v>0</v>
      </c>
      <c r="H71" s="38" t="s">
        <v>10</v>
      </c>
    </row>
    <row r="72" spans="1:8" x14ac:dyDescent="0.25">
      <c r="A72" s="31">
        <v>44683</v>
      </c>
      <c r="B72" s="38" t="s">
        <v>14149</v>
      </c>
      <c r="C72" s="38" t="s">
        <v>105</v>
      </c>
      <c r="D72" s="34">
        <v>3993.3</v>
      </c>
      <c r="E72" s="35">
        <v>44684</v>
      </c>
      <c r="F72" s="34">
        <v>3993.3</v>
      </c>
      <c r="G72" s="36">
        <f>Tabla16[[#This Row],[Importe]]-Tabla16[[#This Row],[Pagado]]</f>
        <v>0</v>
      </c>
      <c r="H72" s="38" t="s">
        <v>10</v>
      </c>
    </row>
    <row r="73" spans="1:8" x14ac:dyDescent="0.25">
      <c r="A73" s="31">
        <v>44683</v>
      </c>
      <c r="B73" s="38" t="s">
        <v>14150</v>
      </c>
      <c r="C73" s="38" t="s">
        <v>111</v>
      </c>
      <c r="D73" s="34">
        <v>3860.7</v>
      </c>
      <c r="E73" s="35">
        <v>44684</v>
      </c>
      <c r="F73" s="34">
        <v>3860.7</v>
      </c>
      <c r="G73" s="36">
        <f>Tabla16[[#This Row],[Importe]]-Tabla16[[#This Row],[Pagado]]</f>
        <v>0</v>
      </c>
      <c r="H73" s="38" t="s">
        <v>10</v>
      </c>
    </row>
    <row r="74" spans="1:8" x14ac:dyDescent="0.25">
      <c r="A74" s="31">
        <v>44683</v>
      </c>
      <c r="B74" s="38" t="s">
        <v>14151</v>
      </c>
      <c r="C74" s="38" t="s">
        <v>64</v>
      </c>
      <c r="D74" s="34">
        <v>7690.3</v>
      </c>
      <c r="E74" s="35">
        <v>44684</v>
      </c>
      <c r="F74" s="34">
        <v>7690.3</v>
      </c>
      <c r="G74" s="36">
        <f>Tabla16[[#This Row],[Importe]]-Tabla16[[#This Row],[Pagado]]</f>
        <v>0</v>
      </c>
      <c r="H74" s="38" t="s">
        <v>10</v>
      </c>
    </row>
    <row r="75" spans="1:8" x14ac:dyDescent="0.25">
      <c r="A75" s="31">
        <v>44683</v>
      </c>
      <c r="B75" s="38" t="s">
        <v>14152</v>
      </c>
      <c r="C75" s="38" t="s">
        <v>120</v>
      </c>
      <c r="D75" s="34">
        <v>4282.3999999999996</v>
      </c>
      <c r="E75" s="35">
        <v>44685</v>
      </c>
      <c r="F75" s="34">
        <v>4282.3999999999996</v>
      </c>
      <c r="G75" s="36">
        <f>Tabla16[[#This Row],[Importe]]-Tabla16[[#This Row],[Pagado]]</f>
        <v>0</v>
      </c>
      <c r="H75" s="38" t="s">
        <v>10</v>
      </c>
    </row>
    <row r="76" spans="1:8" ht="31.5" x14ac:dyDescent="0.25">
      <c r="A76" s="31">
        <v>44683</v>
      </c>
      <c r="B76" s="38" t="s">
        <v>14153</v>
      </c>
      <c r="C76" s="38" t="s">
        <v>39</v>
      </c>
      <c r="D76" s="34">
        <v>22835</v>
      </c>
      <c r="E76" s="35" t="s">
        <v>14132</v>
      </c>
      <c r="F76" s="34">
        <f>5000+17835</f>
        <v>22835</v>
      </c>
      <c r="G76" s="36">
        <f>Tabla16[[#This Row],[Importe]]-Tabla16[[#This Row],[Pagado]]</f>
        <v>0</v>
      </c>
      <c r="H76" s="38" t="s">
        <v>10</v>
      </c>
    </row>
    <row r="77" spans="1:8" x14ac:dyDescent="0.25">
      <c r="A77" s="31">
        <v>44683</v>
      </c>
      <c r="B77" s="38" t="s">
        <v>14154</v>
      </c>
      <c r="C77" s="38" t="s">
        <v>10742</v>
      </c>
      <c r="D77" s="34">
        <v>4107.5</v>
      </c>
      <c r="E77" s="35">
        <v>44684</v>
      </c>
      <c r="F77" s="34">
        <v>4107.5</v>
      </c>
      <c r="G77" s="36">
        <f>Tabla16[[#This Row],[Importe]]-Tabla16[[#This Row],[Pagado]]</f>
        <v>0</v>
      </c>
      <c r="H77" s="38" t="s">
        <v>10</v>
      </c>
    </row>
    <row r="78" spans="1:8" x14ac:dyDescent="0.25">
      <c r="A78" s="31">
        <v>44683</v>
      </c>
      <c r="B78" s="38" t="s">
        <v>14155</v>
      </c>
      <c r="C78" s="38" t="s">
        <v>114</v>
      </c>
      <c r="D78" s="34">
        <v>10142.5</v>
      </c>
      <c r="E78" s="35">
        <v>44684</v>
      </c>
      <c r="F78" s="34">
        <v>10142.5</v>
      </c>
      <c r="G78" s="36">
        <f>Tabla16[[#This Row],[Importe]]-Tabla16[[#This Row],[Pagado]]</f>
        <v>0</v>
      </c>
      <c r="H78" s="38" t="s">
        <v>10</v>
      </c>
    </row>
    <row r="79" spans="1:8" x14ac:dyDescent="0.25">
      <c r="A79" s="31">
        <v>44683</v>
      </c>
      <c r="B79" s="38" t="s">
        <v>14156</v>
      </c>
      <c r="C79" s="38" t="s">
        <v>116</v>
      </c>
      <c r="D79" s="34">
        <v>3932.6</v>
      </c>
      <c r="E79" s="35">
        <v>44685</v>
      </c>
      <c r="F79" s="34">
        <v>3932.6</v>
      </c>
      <c r="G79" s="36">
        <f>Tabla16[[#This Row],[Importe]]-Tabla16[[#This Row],[Pagado]]</f>
        <v>0</v>
      </c>
      <c r="H79" s="38" t="s">
        <v>10</v>
      </c>
    </row>
    <row r="80" spans="1:8" x14ac:dyDescent="0.25">
      <c r="A80" s="31">
        <v>44683</v>
      </c>
      <c r="B80" s="38" t="s">
        <v>14157</v>
      </c>
      <c r="C80" s="38" t="s">
        <v>348</v>
      </c>
      <c r="D80" s="34">
        <v>3765.9</v>
      </c>
      <c r="E80" s="35">
        <v>44683</v>
      </c>
      <c r="F80" s="34">
        <v>3765.9</v>
      </c>
      <c r="G80" s="36">
        <f>Tabla16[[#This Row],[Importe]]-Tabla16[[#This Row],[Pagado]]</f>
        <v>0</v>
      </c>
      <c r="H80" s="38" t="s">
        <v>10</v>
      </c>
    </row>
    <row r="81" spans="1:8" x14ac:dyDescent="0.25">
      <c r="A81" s="31">
        <v>44683</v>
      </c>
      <c r="B81" s="38" t="s">
        <v>14158</v>
      </c>
      <c r="C81" s="38" t="s">
        <v>5286</v>
      </c>
      <c r="D81" s="34">
        <v>0</v>
      </c>
      <c r="E81" s="39" t="s">
        <v>189</v>
      </c>
      <c r="F81" s="34">
        <v>0</v>
      </c>
      <c r="G81" s="36">
        <f>Tabla16[[#This Row],[Importe]]-Tabla16[[#This Row],[Pagado]]</f>
        <v>0</v>
      </c>
      <c r="H81" s="38" t="s">
        <v>189</v>
      </c>
    </row>
    <row r="82" spans="1:8" x14ac:dyDescent="0.25">
      <c r="A82" s="31">
        <v>44683</v>
      </c>
      <c r="B82" s="38" t="s">
        <v>14159</v>
      </c>
      <c r="C82" s="38" t="s">
        <v>31</v>
      </c>
      <c r="D82" s="34">
        <v>755.2</v>
      </c>
      <c r="E82" s="35">
        <v>44683</v>
      </c>
      <c r="F82" s="34">
        <v>755.2</v>
      </c>
      <c r="G82" s="36">
        <f>Tabla16[[#This Row],[Importe]]-Tabla16[[#This Row],[Pagado]]</f>
        <v>0</v>
      </c>
      <c r="H82" s="38" t="s">
        <v>10</v>
      </c>
    </row>
    <row r="83" spans="1:8" x14ac:dyDescent="0.25">
      <c r="A83" s="31">
        <v>44683</v>
      </c>
      <c r="B83" s="38" t="s">
        <v>14160</v>
      </c>
      <c r="C83" s="38" t="s">
        <v>161</v>
      </c>
      <c r="D83" s="34">
        <v>4202.8999999999996</v>
      </c>
      <c r="E83" s="35">
        <v>44683</v>
      </c>
      <c r="F83" s="34">
        <v>4202.8999999999996</v>
      </c>
      <c r="G83" s="36">
        <f>Tabla16[[#This Row],[Importe]]-Tabla16[[#This Row],[Pagado]]</f>
        <v>0</v>
      </c>
      <c r="H83" s="38" t="s">
        <v>10</v>
      </c>
    </row>
    <row r="84" spans="1:8" x14ac:dyDescent="0.25">
      <c r="A84" s="31">
        <v>44683</v>
      </c>
      <c r="B84" s="38" t="s">
        <v>14161</v>
      </c>
      <c r="C84" s="38" t="s">
        <v>154</v>
      </c>
      <c r="D84" s="34">
        <v>31624.2</v>
      </c>
      <c r="E84" s="35">
        <v>44687</v>
      </c>
      <c r="F84" s="34">
        <v>31624.2</v>
      </c>
      <c r="G84" s="36">
        <f>Tabla16[[#This Row],[Importe]]-Tabla16[[#This Row],[Pagado]]</f>
        <v>0</v>
      </c>
      <c r="H84" s="38" t="s">
        <v>10</v>
      </c>
    </row>
    <row r="85" spans="1:8" x14ac:dyDescent="0.25">
      <c r="A85" s="31">
        <v>44683</v>
      </c>
      <c r="B85" s="38" t="s">
        <v>14162</v>
      </c>
      <c r="C85" s="38" t="s">
        <v>212</v>
      </c>
      <c r="D85" s="34">
        <v>29567.4</v>
      </c>
      <c r="E85" s="35">
        <v>44685</v>
      </c>
      <c r="F85" s="34">
        <v>29567.4</v>
      </c>
      <c r="G85" s="36">
        <f>Tabla16[[#This Row],[Importe]]-Tabla16[[#This Row],[Pagado]]</f>
        <v>0</v>
      </c>
      <c r="H85" s="38" t="s">
        <v>10</v>
      </c>
    </row>
    <row r="86" spans="1:8" x14ac:dyDescent="0.25">
      <c r="A86" s="31">
        <v>44683</v>
      </c>
      <c r="B86" s="38" t="s">
        <v>14163</v>
      </c>
      <c r="C86" s="38" t="s">
        <v>137</v>
      </c>
      <c r="D86" s="34">
        <v>1820</v>
      </c>
      <c r="E86" s="35">
        <v>44683</v>
      </c>
      <c r="F86" s="34">
        <v>1820</v>
      </c>
      <c r="G86" s="36">
        <f>Tabla16[[#This Row],[Importe]]-Tabla16[[#This Row],[Pagado]]</f>
        <v>0</v>
      </c>
      <c r="H86" s="38" t="s">
        <v>10</v>
      </c>
    </row>
    <row r="87" spans="1:8" x14ac:dyDescent="0.25">
      <c r="A87" s="31">
        <v>44683</v>
      </c>
      <c r="B87" s="38" t="s">
        <v>14164</v>
      </c>
      <c r="C87" s="38" t="s">
        <v>218</v>
      </c>
      <c r="D87" s="34">
        <v>20570.099999999999</v>
      </c>
      <c r="E87" s="35">
        <v>44687</v>
      </c>
      <c r="F87" s="34">
        <v>20570.099999999999</v>
      </c>
      <c r="G87" s="36">
        <f>Tabla16[[#This Row],[Importe]]-Tabla16[[#This Row],[Pagado]]</f>
        <v>0</v>
      </c>
      <c r="H87" s="38" t="s">
        <v>10</v>
      </c>
    </row>
    <row r="88" spans="1:8" x14ac:dyDescent="0.25">
      <c r="A88" s="31">
        <v>44683</v>
      </c>
      <c r="B88" s="38" t="s">
        <v>14165</v>
      </c>
      <c r="C88" s="38" t="s">
        <v>175</v>
      </c>
      <c r="D88" s="34">
        <v>23439.7</v>
      </c>
      <c r="E88" s="35">
        <v>44683</v>
      </c>
      <c r="F88" s="34">
        <v>23439.7</v>
      </c>
      <c r="G88" s="36">
        <f>Tabla16[[#This Row],[Importe]]-Tabla16[[#This Row],[Pagado]]</f>
        <v>0</v>
      </c>
      <c r="H88" s="38" t="s">
        <v>10</v>
      </c>
    </row>
    <row r="89" spans="1:8" x14ac:dyDescent="0.25">
      <c r="A89" s="31">
        <v>44683</v>
      </c>
      <c r="B89" s="38" t="s">
        <v>14166</v>
      </c>
      <c r="C89" s="38" t="s">
        <v>273</v>
      </c>
      <c r="D89" s="34">
        <v>1579.92</v>
      </c>
      <c r="E89" s="35">
        <v>44683</v>
      </c>
      <c r="F89" s="34">
        <v>1579.92</v>
      </c>
      <c r="G89" s="36">
        <f>Tabla16[[#This Row],[Importe]]-Tabla16[[#This Row],[Pagado]]</f>
        <v>0</v>
      </c>
      <c r="H89" s="38" t="s">
        <v>10</v>
      </c>
    </row>
    <row r="90" spans="1:8" x14ac:dyDescent="0.25">
      <c r="A90" s="31">
        <v>44683</v>
      </c>
      <c r="B90" s="38" t="s">
        <v>14167</v>
      </c>
      <c r="C90" s="38" t="s">
        <v>14168</v>
      </c>
      <c r="D90" s="34">
        <v>0</v>
      </c>
      <c r="E90" s="39" t="s">
        <v>189</v>
      </c>
      <c r="F90" s="34">
        <v>0</v>
      </c>
      <c r="G90" s="36">
        <f>Tabla16[[#This Row],[Importe]]-Tabla16[[#This Row],[Pagado]]</f>
        <v>0</v>
      </c>
      <c r="H90" s="38" t="s">
        <v>189</v>
      </c>
    </row>
    <row r="91" spans="1:8" x14ac:dyDescent="0.25">
      <c r="A91" s="31">
        <v>44683</v>
      </c>
      <c r="B91" s="38" t="s">
        <v>14169</v>
      </c>
      <c r="C91" s="38" t="s">
        <v>365</v>
      </c>
      <c r="D91" s="34">
        <v>688.8</v>
      </c>
      <c r="E91" s="35">
        <v>44683</v>
      </c>
      <c r="F91" s="34">
        <v>688.8</v>
      </c>
      <c r="G91" s="36">
        <f>Tabla16[[#This Row],[Importe]]-Tabla16[[#This Row],[Pagado]]</f>
        <v>0</v>
      </c>
      <c r="H91" s="38" t="s">
        <v>10</v>
      </c>
    </row>
    <row r="92" spans="1:8" x14ac:dyDescent="0.25">
      <c r="A92" s="31">
        <v>44683</v>
      </c>
      <c r="B92" s="38" t="s">
        <v>14170</v>
      </c>
      <c r="C92" s="38" t="s">
        <v>45</v>
      </c>
      <c r="D92" s="34">
        <v>10938.9</v>
      </c>
      <c r="E92" s="35">
        <v>44683</v>
      </c>
      <c r="F92" s="34">
        <v>10938.9</v>
      </c>
      <c r="G92" s="36">
        <f>Tabla16[[#This Row],[Importe]]-Tabla16[[#This Row],[Pagado]]</f>
        <v>0</v>
      </c>
      <c r="H92" s="38" t="s">
        <v>10</v>
      </c>
    </row>
    <row r="93" spans="1:8" x14ac:dyDescent="0.25">
      <c r="A93" s="31">
        <v>44683</v>
      </c>
      <c r="B93" s="38" t="s">
        <v>14171</v>
      </c>
      <c r="C93" s="38" t="s">
        <v>312</v>
      </c>
      <c r="D93" s="34">
        <v>3571.2</v>
      </c>
      <c r="E93" s="35">
        <v>44683</v>
      </c>
      <c r="F93" s="34">
        <v>3571.2</v>
      </c>
      <c r="G93" s="36">
        <f>Tabla16[[#This Row],[Importe]]-Tabla16[[#This Row],[Pagado]]</f>
        <v>0</v>
      </c>
      <c r="H93" s="38" t="s">
        <v>10</v>
      </c>
    </row>
    <row r="94" spans="1:8" x14ac:dyDescent="0.25">
      <c r="A94" s="31">
        <v>44683</v>
      </c>
      <c r="B94" s="38" t="s">
        <v>14172</v>
      </c>
      <c r="C94" s="38" t="s">
        <v>206</v>
      </c>
      <c r="D94" s="34">
        <v>17518.5</v>
      </c>
      <c r="E94" s="35">
        <v>44687</v>
      </c>
      <c r="F94" s="34">
        <v>17518.5</v>
      </c>
      <c r="G94" s="36">
        <f>Tabla16[[#This Row],[Importe]]-Tabla16[[#This Row],[Pagado]]</f>
        <v>0</v>
      </c>
      <c r="H94" s="38" t="s">
        <v>10</v>
      </c>
    </row>
    <row r="95" spans="1:8" x14ac:dyDescent="0.25">
      <c r="A95" s="31">
        <v>44683</v>
      </c>
      <c r="B95" s="38" t="s">
        <v>14173</v>
      </c>
      <c r="C95" s="38" t="s">
        <v>10157</v>
      </c>
      <c r="D95" s="34">
        <v>5993.2</v>
      </c>
      <c r="E95" s="35">
        <v>44688</v>
      </c>
      <c r="F95" s="34">
        <v>5993.2</v>
      </c>
      <c r="G95" s="36">
        <f>Tabla16[[#This Row],[Importe]]-Tabla16[[#This Row],[Pagado]]</f>
        <v>0</v>
      </c>
      <c r="H95" s="38" t="s">
        <v>10</v>
      </c>
    </row>
    <row r="96" spans="1:8" x14ac:dyDescent="0.25">
      <c r="A96" s="31">
        <v>44683</v>
      </c>
      <c r="B96" s="38" t="s">
        <v>14174</v>
      </c>
      <c r="C96" s="38" t="s">
        <v>206</v>
      </c>
      <c r="D96" s="34">
        <v>10355.200000000001</v>
      </c>
      <c r="E96" s="35">
        <v>44687</v>
      </c>
      <c r="F96" s="34">
        <v>10355.200000000001</v>
      </c>
      <c r="G96" s="36">
        <f>Tabla16[[#This Row],[Importe]]-Tabla16[[#This Row],[Pagado]]</f>
        <v>0</v>
      </c>
      <c r="H96" s="38" t="s">
        <v>10</v>
      </c>
    </row>
    <row r="97" spans="1:8" x14ac:dyDescent="0.25">
      <c r="A97" s="31">
        <v>44683</v>
      </c>
      <c r="B97" s="38" t="s">
        <v>14175</v>
      </c>
      <c r="C97" s="38" t="s">
        <v>53</v>
      </c>
      <c r="D97" s="34">
        <v>1651</v>
      </c>
      <c r="E97" s="35">
        <v>44683</v>
      </c>
      <c r="F97" s="34">
        <v>1651</v>
      </c>
      <c r="G97" s="36">
        <f>Tabla16[[#This Row],[Importe]]-Tabla16[[#This Row],[Pagado]]</f>
        <v>0</v>
      </c>
      <c r="H97" s="38" t="s">
        <v>10</v>
      </c>
    </row>
    <row r="98" spans="1:8" x14ac:dyDescent="0.25">
      <c r="A98" s="31">
        <v>44683</v>
      </c>
      <c r="B98" s="38" t="s">
        <v>14176</v>
      </c>
      <c r="C98" s="38" t="s">
        <v>97</v>
      </c>
      <c r="D98" s="34">
        <v>2919</v>
      </c>
      <c r="E98" s="35">
        <v>44683</v>
      </c>
      <c r="F98" s="34">
        <v>2919</v>
      </c>
      <c r="G98" s="36">
        <f>Tabla16[[#This Row],[Importe]]-Tabla16[[#This Row],[Pagado]]</f>
        <v>0</v>
      </c>
      <c r="H98" s="38" t="s">
        <v>10</v>
      </c>
    </row>
    <row r="99" spans="1:8" x14ac:dyDescent="0.25">
      <c r="A99" s="31">
        <v>44683</v>
      </c>
      <c r="B99" s="38" t="s">
        <v>14177</v>
      </c>
      <c r="C99" s="38" t="s">
        <v>208</v>
      </c>
      <c r="D99" s="34">
        <v>15263</v>
      </c>
      <c r="E99" s="35">
        <v>44693</v>
      </c>
      <c r="F99" s="34">
        <v>15263</v>
      </c>
      <c r="G99" s="36">
        <f>Tabla16[[#This Row],[Importe]]-Tabla16[[#This Row],[Pagado]]</f>
        <v>0</v>
      </c>
      <c r="H99" s="38" t="s">
        <v>10</v>
      </c>
    </row>
    <row r="100" spans="1:8" x14ac:dyDescent="0.25">
      <c r="A100" s="31">
        <v>44683</v>
      </c>
      <c r="B100" s="38" t="s">
        <v>14178</v>
      </c>
      <c r="C100" s="38" t="s">
        <v>140</v>
      </c>
      <c r="D100" s="34">
        <v>4473.2</v>
      </c>
      <c r="E100" s="35">
        <v>44683</v>
      </c>
      <c r="F100" s="34">
        <v>4473.2</v>
      </c>
      <c r="G100" s="36">
        <f>Tabla16[[#This Row],[Importe]]-Tabla16[[#This Row],[Pagado]]</f>
        <v>0</v>
      </c>
      <c r="H100" s="38" t="s">
        <v>10</v>
      </c>
    </row>
    <row r="101" spans="1:8" x14ac:dyDescent="0.25">
      <c r="A101" s="31">
        <v>44683</v>
      </c>
      <c r="B101" s="38" t="s">
        <v>14179</v>
      </c>
      <c r="C101" s="38" t="s">
        <v>129</v>
      </c>
      <c r="D101" s="34">
        <v>4957</v>
      </c>
      <c r="E101" s="35">
        <v>44683</v>
      </c>
      <c r="F101" s="34">
        <v>4957</v>
      </c>
      <c r="G101" s="36">
        <f>Tabla16[[#This Row],[Importe]]-Tabla16[[#This Row],[Pagado]]</f>
        <v>0</v>
      </c>
      <c r="H101" s="38" t="s">
        <v>10</v>
      </c>
    </row>
    <row r="102" spans="1:8" x14ac:dyDescent="0.25">
      <c r="A102" s="31">
        <v>44683</v>
      </c>
      <c r="B102" s="38" t="s">
        <v>14180</v>
      </c>
      <c r="C102" s="38" t="s">
        <v>127</v>
      </c>
      <c r="D102" s="34">
        <v>5223.2</v>
      </c>
      <c r="E102" s="35">
        <v>44683</v>
      </c>
      <c r="F102" s="34">
        <v>5223.2</v>
      </c>
      <c r="G102" s="36">
        <f>Tabla16[[#This Row],[Importe]]-Tabla16[[#This Row],[Pagado]]</f>
        <v>0</v>
      </c>
      <c r="H102" s="38" t="s">
        <v>10</v>
      </c>
    </row>
    <row r="103" spans="1:8" x14ac:dyDescent="0.25">
      <c r="A103" s="31">
        <v>44683</v>
      </c>
      <c r="B103" s="38" t="s">
        <v>14181</v>
      </c>
      <c r="C103" s="38" t="s">
        <v>75</v>
      </c>
      <c r="D103" s="34">
        <v>8339.2000000000007</v>
      </c>
      <c r="E103" s="35">
        <v>44683</v>
      </c>
      <c r="F103" s="34">
        <v>8339.2000000000007</v>
      </c>
      <c r="G103" s="36">
        <f>Tabla16[[#This Row],[Importe]]-Tabla16[[#This Row],[Pagado]]</f>
        <v>0</v>
      </c>
      <c r="H103" s="38" t="s">
        <v>10</v>
      </c>
    </row>
    <row r="104" spans="1:8" x14ac:dyDescent="0.25">
      <c r="A104" s="31">
        <v>44683</v>
      </c>
      <c r="B104" s="38" t="s">
        <v>14182</v>
      </c>
      <c r="C104" s="38" t="s">
        <v>840</v>
      </c>
      <c r="D104" s="34">
        <v>20502</v>
      </c>
      <c r="E104" s="35">
        <v>44683</v>
      </c>
      <c r="F104" s="34">
        <v>20502</v>
      </c>
      <c r="G104" s="36">
        <f>Tabla16[[#This Row],[Importe]]-Tabla16[[#This Row],[Pagado]]</f>
        <v>0</v>
      </c>
      <c r="H104" s="38" t="s">
        <v>10</v>
      </c>
    </row>
    <row r="105" spans="1:8" x14ac:dyDescent="0.25">
      <c r="A105" s="31">
        <v>44683</v>
      </c>
      <c r="B105" s="38" t="s">
        <v>14183</v>
      </c>
      <c r="C105" s="38" t="s">
        <v>173</v>
      </c>
      <c r="D105" s="34">
        <v>16192</v>
      </c>
      <c r="E105" s="35">
        <v>44685</v>
      </c>
      <c r="F105" s="34">
        <v>16192</v>
      </c>
      <c r="G105" s="36">
        <f>Tabla16[[#This Row],[Importe]]-Tabla16[[#This Row],[Pagado]]</f>
        <v>0</v>
      </c>
      <c r="H105" s="38" t="s">
        <v>10</v>
      </c>
    </row>
    <row r="106" spans="1:8" x14ac:dyDescent="0.25">
      <c r="A106" s="31">
        <v>44683</v>
      </c>
      <c r="B106" s="38" t="s">
        <v>14184</v>
      </c>
      <c r="C106" s="38" t="s">
        <v>144</v>
      </c>
      <c r="D106" s="34">
        <v>2685.9</v>
      </c>
      <c r="E106" s="35">
        <v>44683</v>
      </c>
      <c r="F106" s="34">
        <v>2685.9</v>
      </c>
      <c r="G106" s="36">
        <f>Tabla16[[#This Row],[Importe]]-Tabla16[[#This Row],[Pagado]]</f>
        <v>0</v>
      </c>
      <c r="H106" s="38" t="s">
        <v>10</v>
      </c>
    </row>
    <row r="107" spans="1:8" x14ac:dyDescent="0.25">
      <c r="A107" s="31">
        <v>44683</v>
      </c>
      <c r="B107" s="38" t="s">
        <v>14185</v>
      </c>
      <c r="C107" s="38" t="s">
        <v>3971</v>
      </c>
      <c r="D107" s="34">
        <v>6142.4</v>
      </c>
      <c r="E107" s="35">
        <v>44683</v>
      </c>
      <c r="F107" s="34">
        <v>6142.4</v>
      </c>
      <c r="G107" s="36">
        <f>Tabla16[[#This Row],[Importe]]-Tabla16[[#This Row],[Pagado]]</f>
        <v>0</v>
      </c>
      <c r="H107" s="38" t="s">
        <v>10</v>
      </c>
    </row>
    <row r="108" spans="1:8" x14ac:dyDescent="0.25">
      <c r="A108" s="31">
        <v>44683</v>
      </c>
      <c r="B108" s="38" t="s">
        <v>14186</v>
      </c>
      <c r="C108" s="38" t="s">
        <v>339</v>
      </c>
      <c r="D108" s="34">
        <v>894</v>
      </c>
      <c r="E108" s="35">
        <v>44683</v>
      </c>
      <c r="F108" s="34">
        <v>894</v>
      </c>
      <c r="G108" s="36">
        <f>Tabla16[[#This Row],[Importe]]-Tabla16[[#This Row],[Pagado]]</f>
        <v>0</v>
      </c>
      <c r="H108" s="38" t="s">
        <v>10</v>
      </c>
    </row>
    <row r="109" spans="1:8" x14ac:dyDescent="0.25">
      <c r="A109" s="31">
        <v>44683</v>
      </c>
      <c r="B109" s="38" t="s">
        <v>14187</v>
      </c>
      <c r="C109" s="38" t="s">
        <v>133</v>
      </c>
      <c r="D109" s="34">
        <v>16364.8</v>
      </c>
      <c r="E109" s="35">
        <v>44685</v>
      </c>
      <c r="F109" s="34">
        <v>16364.8</v>
      </c>
      <c r="G109" s="36">
        <f>Tabla16[[#This Row],[Importe]]-Tabla16[[#This Row],[Pagado]]</f>
        <v>0</v>
      </c>
      <c r="H109" s="38" t="s">
        <v>10</v>
      </c>
    </row>
    <row r="110" spans="1:8" x14ac:dyDescent="0.25">
      <c r="A110" s="31">
        <v>44683</v>
      </c>
      <c r="B110" s="38" t="s">
        <v>14188</v>
      </c>
      <c r="C110" s="38" t="s">
        <v>333</v>
      </c>
      <c r="D110" s="34">
        <v>688.26</v>
      </c>
      <c r="E110" s="35">
        <v>44683</v>
      </c>
      <c r="F110" s="34">
        <v>688.26</v>
      </c>
      <c r="G110" s="36">
        <f>Tabla16[[#This Row],[Importe]]-Tabla16[[#This Row],[Pagado]]</f>
        <v>0</v>
      </c>
      <c r="H110" s="38" t="s">
        <v>10</v>
      </c>
    </row>
    <row r="111" spans="1:8" x14ac:dyDescent="0.25">
      <c r="A111" s="31">
        <v>44683</v>
      </c>
      <c r="B111" s="38" t="s">
        <v>14189</v>
      </c>
      <c r="C111" s="38" t="s">
        <v>146</v>
      </c>
      <c r="D111" s="34">
        <v>4032</v>
      </c>
      <c r="E111" s="35">
        <v>44683</v>
      </c>
      <c r="F111" s="34">
        <v>4032</v>
      </c>
      <c r="G111" s="36">
        <f>Tabla16[[#This Row],[Importe]]-Tabla16[[#This Row],[Pagado]]</f>
        <v>0</v>
      </c>
      <c r="H111" s="38" t="s">
        <v>10</v>
      </c>
    </row>
    <row r="112" spans="1:8" x14ac:dyDescent="0.25">
      <c r="A112" s="31">
        <v>44683</v>
      </c>
      <c r="B112" s="38" t="s">
        <v>14190</v>
      </c>
      <c r="C112" s="38" t="s">
        <v>5816</v>
      </c>
      <c r="D112" s="34">
        <v>7352.9</v>
      </c>
      <c r="E112" s="35">
        <v>44685</v>
      </c>
      <c r="F112" s="34">
        <v>7352.9</v>
      </c>
      <c r="G112" s="36">
        <f>Tabla16[[#This Row],[Importe]]-Tabla16[[#This Row],[Pagado]]</f>
        <v>0</v>
      </c>
      <c r="H112" s="38" t="s">
        <v>10</v>
      </c>
    </row>
    <row r="113" spans="1:8" x14ac:dyDescent="0.25">
      <c r="A113" s="31">
        <v>44683</v>
      </c>
      <c r="B113" s="38" t="s">
        <v>14191</v>
      </c>
      <c r="C113" s="38" t="s">
        <v>107</v>
      </c>
      <c r="D113" s="34">
        <v>8697.2000000000007</v>
      </c>
      <c r="E113" s="35">
        <v>44683</v>
      </c>
      <c r="F113" s="34">
        <v>8697.2000000000007</v>
      </c>
      <c r="G113" s="36">
        <f>Tabla16[[#This Row],[Importe]]-Tabla16[[#This Row],[Pagado]]</f>
        <v>0</v>
      </c>
      <c r="H113" s="38" t="s">
        <v>10</v>
      </c>
    </row>
    <row r="114" spans="1:8" x14ac:dyDescent="0.25">
      <c r="A114" s="31">
        <v>44683</v>
      </c>
      <c r="B114" s="38" t="s">
        <v>14192</v>
      </c>
      <c r="C114" s="38" t="s">
        <v>181</v>
      </c>
      <c r="D114" s="34">
        <v>13197.6</v>
      </c>
      <c r="E114" s="35">
        <v>44683</v>
      </c>
      <c r="F114" s="34">
        <v>13197.6</v>
      </c>
      <c r="G114" s="36">
        <f>Tabla16[[#This Row],[Importe]]-Tabla16[[#This Row],[Pagado]]</f>
        <v>0</v>
      </c>
      <c r="H114" s="38" t="s">
        <v>10</v>
      </c>
    </row>
    <row r="115" spans="1:8" x14ac:dyDescent="0.25">
      <c r="A115" s="31">
        <v>44683</v>
      </c>
      <c r="B115" s="38" t="s">
        <v>14193</v>
      </c>
      <c r="C115" s="38" t="s">
        <v>14</v>
      </c>
      <c r="D115" s="34">
        <v>21667</v>
      </c>
      <c r="E115" s="35">
        <v>44683</v>
      </c>
      <c r="F115" s="34">
        <v>21667</v>
      </c>
      <c r="G115" s="36">
        <f>Tabla16[[#This Row],[Importe]]-Tabla16[[#This Row],[Pagado]]</f>
        <v>0</v>
      </c>
      <c r="H115" s="38" t="s">
        <v>10</v>
      </c>
    </row>
    <row r="116" spans="1:8" x14ac:dyDescent="0.25">
      <c r="A116" s="31">
        <v>44683</v>
      </c>
      <c r="B116" s="38" t="s">
        <v>14194</v>
      </c>
      <c r="C116" s="38" t="s">
        <v>224</v>
      </c>
      <c r="D116" s="34">
        <v>1050.4000000000001</v>
      </c>
      <c r="E116" s="35">
        <v>44683</v>
      </c>
      <c r="F116" s="34">
        <v>1050.4000000000001</v>
      </c>
      <c r="G116" s="36">
        <f>Tabla16[[#This Row],[Importe]]-Tabla16[[#This Row],[Pagado]]</f>
        <v>0</v>
      </c>
      <c r="H116" s="38" t="s">
        <v>10</v>
      </c>
    </row>
    <row r="117" spans="1:8" x14ac:dyDescent="0.25">
      <c r="A117" s="31">
        <v>44683</v>
      </c>
      <c r="B117" s="38" t="s">
        <v>14195</v>
      </c>
      <c r="C117" s="38" t="s">
        <v>49</v>
      </c>
      <c r="D117" s="34">
        <v>390.6</v>
      </c>
      <c r="E117" s="35">
        <v>44683</v>
      </c>
      <c r="F117" s="34">
        <v>390.6</v>
      </c>
      <c r="G117" s="36">
        <f>Tabla16[[#This Row],[Importe]]-Tabla16[[#This Row],[Pagado]]</f>
        <v>0</v>
      </c>
      <c r="H117" s="38" t="s">
        <v>10</v>
      </c>
    </row>
    <row r="118" spans="1:8" x14ac:dyDescent="0.25">
      <c r="A118" s="31">
        <v>44683</v>
      </c>
      <c r="B118" s="38" t="s">
        <v>14196</v>
      </c>
      <c r="C118" s="38" t="s">
        <v>664</v>
      </c>
      <c r="D118" s="34">
        <v>15587</v>
      </c>
      <c r="E118" s="35">
        <v>44683</v>
      </c>
      <c r="F118" s="34">
        <v>15587</v>
      </c>
      <c r="G118" s="36">
        <f>Tabla16[[#This Row],[Importe]]-Tabla16[[#This Row],[Pagado]]</f>
        <v>0</v>
      </c>
      <c r="H118" s="38" t="s">
        <v>10</v>
      </c>
    </row>
    <row r="119" spans="1:8" x14ac:dyDescent="0.25">
      <c r="A119" s="31">
        <v>44683</v>
      </c>
      <c r="B119" s="38" t="s">
        <v>14197</v>
      </c>
      <c r="C119" s="38" t="s">
        <v>216</v>
      </c>
      <c r="D119" s="34">
        <v>1878.4</v>
      </c>
      <c r="E119" s="35">
        <v>44683</v>
      </c>
      <c r="F119" s="34">
        <v>1878.4</v>
      </c>
      <c r="G119" s="36">
        <f>Tabla16[[#This Row],[Importe]]-Tabla16[[#This Row],[Pagado]]</f>
        <v>0</v>
      </c>
      <c r="H119" s="38" t="s">
        <v>10</v>
      </c>
    </row>
    <row r="120" spans="1:8" x14ac:dyDescent="0.25">
      <c r="A120" s="31">
        <v>44683</v>
      </c>
      <c r="B120" s="38" t="s">
        <v>14198</v>
      </c>
      <c r="C120" s="38" t="s">
        <v>214</v>
      </c>
      <c r="D120" s="34">
        <v>14009.5</v>
      </c>
      <c r="E120" s="35">
        <v>44683</v>
      </c>
      <c r="F120" s="34">
        <v>14009.5</v>
      </c>
      <c r="G120" s="36">
        <f>Tabla16[[#This Row],[Importe]]-Tabla16[[#This Row],[Pagado]]</f>
        <v>0</v>
      </c>
      <c r="H120" s="38" t="s">
        <v>10</v>
      </c>
    </row>
    <row r="121" spans="1:8" x14ac:dyDescent="0.25">
      <c r="A121" s="31">
        <v>44683</v>
      </c>
      <c r="B121" s="38" t="s">
        <v>14199</v>
      </c>
      <c r="C121" s="38" t="s">
        <v>426</v>
      </c>
      <c r="D121" s="34">
        <v>7899.6</v>
      </c>
      <c r="E121" s="35">
        <v>44683</v>
      </c>
      <c r="F121" s="34">
        <v>7899.6</v>
      </c>
      <c r="G121" s="36">
        <f>Tabla16[[#This Row],[Importe]]-Tabla16[[#This Row],[Pagado]]</f>
        <v>0</v>
      </c>
      <c r="H121" s="38" t="s">
        <v>10</v>
      </c>
    </row>
    <row r="122" spans="1:8" x14ac:dyDescent="0.25">
      <c r="A122" s="31">
        <v>44683</v>
      </c>
      <c r="B122" s="38" t="s">
        <v>14200</v>
      </c>
      <c r="C122" s="38" t="s">
        <v>24</v>
      </c>
      <c r="D122" s="34">
        <v>980.9</v>
      </c>
      <c r="E122" s="35">
        <v>44683</v>
      </c>
      <c r="F122" s="34">
        <v>980.9</v>
      </c>
      <c r="G122" s="36">
        <f>Tabla16[[#This Row],[Importe]]-Tabla16[[#This Row],[Pagado]]</f>
        <v>0</v>
      </c>
      <c r="H122" s="38" t="s">
        <v>10</v>
      </c>
    </row>
    <row r="123" spans="1:8" x14ac:dyDescent="0.25">
      <c r="A123" s="31">
        <v>44683</v>
      </c>
      <c r="B123" s="38" t="s">
        <v>14201</v>
      </c>
      <c r="C123" s="38" t="s">
        <v>142</v>
      </c>
      <c r="D123" s="34">
        <v>58580.5</v>
      </c>
      <c r="E123" s="35">
        <v>44722</v>
      </c>
      <c r="F123" s="34">
        <v>58580.5</v>
      </c>
      <c r="G123" s="36">
        <f>Tabla16[[#This Row],[Importe]]-Tabla16[[#This Row],[Pagado]]</f>
        <v>0</v>
      </c>
      <c r="H123" s="38" t="s">
        <v>10</v>
      </c>
    </row>
    <row r="124" spans="1:8" x14ac:dyDescent="0.25">
      <c r="A124" s="31">
        <v>44683</v>
      </c>
      <c r="B124" s="38" t="s">
        <v>14202</v>
      </c>
      <c r="C124" s="38" t="s">
        <v>191</v>
      </c>
      <c r="D124" s="34">
        <v>1616.8</v>
      </c>
      <c r="E124" s="35">
        <v>44683</v>
      </c>
      <c r="F124" s="34">
        <v>1616.8</v>
      </c>
      <c r="G124" s="36">
        <f>Tabla16[[#This Row],[Importe]]-Tabla16[[#This Row],[Pagado]]</f>
        <v>0</v>
      </c>
      <c r="H124" s="38" t="s">
        <v>10</v>
      </c>
    </row>
    <row r="125" spans="1:8" x14ac:dyDescent="0.25">
      <c r="A125" s="31">
        <v>44683</v>
      </c>
      <c r="B125" s="38" t="s">
        <v>14203</v>
      </c>
      <c r="C125" s="38" t="s">
        <v>2114</v>
      </c>
      <c r="D125" s="34">
        <v>2000</v>
      </c>
      <c r="E125" s="35">
        <v>44683</v>
      </c>
      <c r="F125" s="34">
        <v>2000</v>
      </c>
      <c r="G125" s="36">
        <f>Tabla16[[#This Row],[Importe]]-Tabla16[[#This Row],[Pagado]]</f>
        <v>0</v>
      </c>
      <c r="H125" s="38" t="s">
        <v>10</v>
      </c>
    </row>
    <row r="126" spans="1:8" x14ac:dyDescent="0.25">
      <c r="A126" s="31">
        <v>44683</v>
      </c>
      <c r="B126" s="38" t="s">
        <v>14204</v>
      </c>
      <c r="C126" s="38" t="s">
        <v>240</v>
      </c>
      <c r="D126" s="34">
        <v>9961.6</v>
      </c>
      <c r="E126" s="35">
        <v>44683</v>
      </c>
      <c r="F126" s="34">
        <v>9961.6</v>
      </c>
      <c r="G126" s="36">
        <f>Tabla16[[#This Row],[Importe]]-Tabla16[[#This Row],[Pagado]]</f>
        <v>0</v>
      </c>
      <c r="H126" s="38" t="s">
        <v>10</v>
      </c>
    </row>
    <row r="127" spans="1:8" x14ac:dyDescent="0.25">
      <c r="A127" s="31">
        <v>44683</v>
      </c>
      <c r="B127" s="38" t="s">
        <v>14205</v>
      </c>
      <c r="C127" s="38" t="s">
        <v>196</v>
      </c>
      <c r="D127" s="34">
        <v>12615</v>
      </c>
      <c r="E127" s="35">
        <v>44687</v>
      </c>
      <c r="F127" s="34">
        <v>12615</v>
      </c>
      <c r="G127" s="36">
        <f>Tabla16[[#This Row],[Importe]]-Tabla16[[#This Row],[Pagado]]</f>
        <v>0</v>
      </c>
      <c r="H127" s="38" t="s">
        <v>10</v>
      </c>
    </row>
    <row r="128" spans="1:8" x14ac:dyDescent="0.25">
      <c r="A128" s="31">
        <v>44683</v>
      </c>
      <c r="B128" s="38" t="s">
        <v>14206</v>
      </c>
      <c r="C128" s="38" t="s">
        <v>58</v>
      </c>
      <c r="D128" s="34">
        <v>2832.9</v>
      </c>
      <c r="E128" s="35">
        <v>44683</v>
      </c>
      <c r="F128" s="34">
        <v>2832.9</v>
      </c>
      <c r="G128" s="36">
        <f>Tabla16[[#This Row],[Importe]]-Tabla16[[#This Row],[Pagado]]</f>
        <v>0</v>
      </c>
      <c r="H128" s="38" t="s">
        <v>10</v>
      </c>
    </row>
    <row r="129" spans="1:8" x14ac:dyDescent="0.25">
      <c r="A129" s="31">
        <v>44683</v>
      </c>
      <c r="B129" s="38" t="s">
        <v>14207</v>
      </c>
      <c r="C129" s="38" t="s">
        <v>7745</v>
      </c>
      <c r="D129" s="34">
        <v>30000</v>
      </c>
      <c r="E129" s="35">
        <v>44683</v>
      </c>
      <c r="F129" s="34">
        <v>30000</v>
      </c>
      <c r="G129" s="36">
        <f>Tabla16[[#This Row],[Importe]]-Tabla16[[#This Row],[Pagado]]</f>
        <v>0</v>
      </c>
      <c r="H129" s="38" t="s">
        <v>10</v>
      </c>
    </row>
    <row r="130" spans="1:8" x14ac:dyDescent="0.25">
      <c r="A130" s="31">
        <v>44683</v>
      </c>
      <c r="B130" s="38" t="s">
        <v>14208</v>
      </c>
      <c r="C130" s="38" t="s">
        <v>289</v>
      </c>
      <c r="D130" s="34">
        <v>8212.6</v>
      </c>
      <c r="E130" s="35">
        <v>44683</v>
      </c>
      <c r="F130" s="34">
        <v>8212.6</v>
      </c>
      <c r="G130" s="36">
        <f>Tabla16[[#This Row],[Importe]]-Tabla16[[#This Row],[Pagado]]</f>
        <v>0</v>
      </c>
      <c r="H130" s="38" t="s">
        <v>10</v>
      </c>
    </row>
    <row r="131" spans="1:8" x14ac:dyDescent="0.25">
      <c r="A131" s="31">
        <v>44683</v>
      </c>
      <c r="B131" s="38" t="s">
        <v>14209</v>
      </c>
      <c r="C131" s="38" t="s">
        <v>222</v>
      </c>
      <c r="D131" s="34">
        <v>7579.3</v>
      </c>
      <c r="E131" s="35">
        <v>44683</v>
      </c>
      <c r="F131" s="34">
        <v>7579.3</v>
      </c>
      <c r="G131" s="36">
        <f>Tabla16[[#This Row],[Importe]]-Tabla16[[#This Row],[Pagado]]</f>
        <v>0</v>
      </c>
      <c r="H131" s="38" t="s">
        <v>10</v>
      </c>
    </row>
    <row r="132" spans="1:8" x14ac:dyDescent="0.25">
      <c r="A132" s="31">
        <v>44683</v>
      </c>
      <c r="B132" s="38" t="s">
        <v>14210</v>
      </c>
      <c r="C132" s="38" t="s">
        <v>419</v>
      </c>
      <c r="D132" s="34">
        <v>6956.6</v>
      </c>
      <c r="E132" s="35">
        <v>44683</v>
      </c>
      <c r="F132" s="34">
        <v>6956.6</v>
      </c>
      <c r="G132" s="36">
        <f>Tabla16[[#This Row],[Importe]]-Tabla16[[#This Row],[Pagado]]</f>
        <v>0</v>
      </c>
      <c r="H132" s="38" t="s">
        <v>10</v>
      </c>
    </row>
    <row r="133" spans="1:8" x14ac:dyDescent="0.25">
      <c r="A133" s="31">
        <v>44683</v>
      </c>
      <c r="B133" s="38" t="s">
        <v>14211</v>
      </c>
      <c r="C133" s="38" t="s">
        <v>3402</v>
      </c>
      <c r="D133" s="34">
        <v>2828.8</v>
      </c>
      <c r="E133" s="35">
        <v>44683</v>
      </c>
      <c r="F133" s="34">
        <v>2828.8</v>
      </c>
      <c r="G133" s="36">
        <f>Tabla16[[#This Row],[Importe]]-Tabla16[[#This Row],[Pagado]]</f>
        <v>0</v>
      </c>
      <c r="H133" s="38" t="s">
        <v>10</v>
      </c>
    </row>
    <row r="134" spans="1:8" x14ac:dyDescent="0.25">
      <c r="A134" s="31">
        <v>44683</v>
      </c>
      <c r="B134" s="38" t="s">
        <v>14212</v>
      </c>
      <c r="C134" s="38" t="s">
        <v>233</v>
      </c>
      <c r="D134" s="34">
        <v>5574.4</v>
      </c>
      <c r="E134" s="35">
        <v>44683</v>
      </c>
      <c r="F134" s="34">
        <v>5574.4</v>
      </c>
      <c r="G134" s="36">
        <f>Tabla16[[#This Row],[Importe]]-Tabla16[[#This Row],[Pagado]]</f>
        <v>0</v>
      </c>
      <c r="H134" s="38" t="s">
        <v>10</v>
      </c>
    </row>
    <row r="135" spans="1:8" x14ac:dyDescent="0.25">
      <c r="A135" s="31">
        <v>44683</v>
      </c>
      <c r="B135" s="38" t="s">
        <v>14213</v>
      </c>
      <c r="C135" s="38" t="s">
        <v>13223</v>
      </c>
      <c r="D135" s="34">
        <v>55988.800000000003</v>
      </c>
      <c r="E135" s="35">
        <v>44685</v>
      </c>
      <c r="F135" s="34">
        <v>55988.800000000003</v>
      </c>
      <c r="G135" s="36">
        <f>Tabla16[[#This Row],[Importe]]-Tabla16[[#This Row],[Pagado]]</f>
        <v>0</v>
      </c>
      <c r="H135" s="38" t="s">
        <v>10</v>
      </c>
    </row>
    <row r="136" spans="1:8" x14ac:dyDescent="0.25">
      <c r="A136" s="31">
        <v>44683</v>
      </c>
      <c r="B136" s="38" t="s">
        <v>14214</v>
      </c>
      <c r="C136" s="38" t="s">
        <v>31</v>
      </c>
      <c r="D136" s="34">
        <v>60000</v>
      </c>
      <c r="E136" s="35">
        <v>44683</v>
      </c>
      <c r="F136" s="34">
        <v>60000</v>
      </c>
      <c r="G136" s="36">
        <f>Tabla16[[#This Row],[Importe]]-Tabla16[[#This Row],[Pagado]]</f>
        <v>0</v>
      </c>
      <c r="H136" s="38" t="s">
        <v>10</v>
      </c>
    </row>
    <row r="137" spans="1:8" x14ac:dyDescent="0.25">
      <c r="A137" s="31">
        <v>44683</v>
      </c>
      <c r="B137" s="38" t="s">
        <v>14215</v>
      </c>
      <c r="C137" s="38" t="s">
        <v>16</v>
      </c>
      <c r="D137" s="34">
        <v>1180</v>
      </c>
      <c r="E137" s="35">
        <v>44683</v>
      </c>
      <c r="F137" s="34">
        <v>1180</v>
      </c>
      <c r="G137" s="36">
        <f>Tabla16[[#This Row],[Importe]]-Tabla16[[#This Row],[Pagado]]</f>
        <v>0</v>
      </c>
      <c r="H137" s="38" t="s">
        <v>10</v>
      </c>
    </row>
    <row r="138" spans="1:8" x14ac:dyDescent="0.25">
      <c r="A138" s="31">
        <v>44683</v>
      </c>
      <c r="B138" s="38" t="s">
        <v>14216</v>
      </c>
      <c r="C138" s="38" t="s">
        <v>214</v>
      </c>
      <c r="D138" s="34">
        <v>1292.8</v>
      </c>
      <c r="E138" s="35">
        <v>44683</v>
      </c>
      <c r="F138" s="34">
        <v>1292.8</v>
      </c>
      <c r="G138" s="36">
        <f>Tabla16[[#This Row],[Importe]]-Tabla16[[#This Row],[Pagado]]</f>
        <v>0</v>
      </c>
      <c r="H138" s="38" t="s">
        <v>10</v>
      </c>
    </row>
    <row r="139" spans="1:8" x14ac:dyDescent="0.25">
      <c r="A139" s="31">
        <v>44683</v>
      </c>
      <c r="B139" s="38" t="s">
        <v>14217</v>
      </c>
      <c r="C139" s="38" t="s">
        <v>249</v>
      </c>
      <c r="D139" s="34">
        <v>6012.5</v>
      </c>
      <c r="E139" s="35">
        <v>44683</v>
      </c>
      <c r="F139" s="34">
        <v>6012.5</v>
      </c>
      <c r="G139" s="36">
        <f>Tabla16[[#This Row],[Importe]]-Tabla16[[#This Row],[Pagado]]</f>
        <v>0</v>
      </c>
      <c r="H139" s="38" t="s">
        <v>10</v>
      </c>
    </row>
    <row r="140" spans="1:8" x14ac:dyDescent="0.25">
      <c r="A140" s="31">
        <v>44683</v>
      </c>
      <c r="B140" s="38" t="s">
        <v>14218</v>
      </c>
      <c r="C140" s="38" t="s">
        <v>142</v>
      </c>
      <c r="D140" s="34">
        <v>8932</v>
      </c>
      <c r="E140" s="35">
        <v>44722</v>
      </c>
      <c r="F140" s="34">
        <v>8932</v>
      </c>
      <c r="G140" s="36">
        <f>Tabla16[[#This Row],[Importe]]-Tabla16[[#This Row],[Pagado]]</f>
        <v>0</v>
      </c>
      <c r="H140" s="38" t="s">
        <v>10</v>
      </c>
    </row>
    <row r="141" spans="1:8" x14ac:dyDescent="0.25">
      <c r="A141" s="31">
        <v>44683</v>
      </c>
      <c r="B141" s="38" t="s">
        <v>14219</v>
      </c>
      <c r="C141" s="38" t="s">
        <v>3747</v>
      </c>
      <c r="D141" s="34">
        <v>29984</v>
      </c>
      <c r="E141" s="35">
        <v>44683</v>
      </c>
      <c r="F141" s="34">
        <v>29984</v>
      </c>
      <c r="G141" s="36">
        <f>Tabla16[[#This Row],[Importe]]-Tabla16[[#This Row],[Pagado]]</f>
        <v>0</v>
      </c>
      <c r="H141" s="38" t="s">
        <v>10</v>
      </c>
    </row>
    <row r="142" spans="1:8" x14ac:dyDescent="0.25">
      <c r="A142" s="31">
        <v>44683</v>
      </c>
      <c r="B142" s="38" t="s">
        <v>14220</v>
      </c>
      <c r="C142" s="38" t="s">
        <v>31</v>
      </c>
      <c r="D142" s="34">
        <v>408</v>
      </c>
      <c r="E142" s="35">
        <v>44683</v>
      </c>
      <c r="F142" s="34">
        <v>408</v>
      </c>
      <c r="G142" s="36">
        <f>Tabla16[[#This Row],[Importe]]-Tabla16[[#This Row],[Pagado]]</f>
        <v>0</v>
      </c>
      <c r="H142" s="38" t="s">
        <v>10</v>
      </c>
    </row>
    <row r="143" spans="1:8" x14ac:dyDescent="0.25">
      <c r="A143" s="31">
        <v>44683</v>
      </c>
      <c r="B143" s="38" t="s">
        <v>14221</v>
      </c>
      <c r="C143" s="38" t="s">
        <v>275</v>
      </c>
      <c r="D143" s="34">
        <v>162464.5</v>
      </c>
      <c r="E143" s="35">
        <v>44694</v>
      </c>
      <c r="F143" s="34">
        <v>162464.5</v>
      </c>
      <c r="G143" s="36">
        <f>Tabla16[[#This Row],[Importe]]-Tabla16[[#This Row],[Pagado]]</f>
        <v>0</v>
      </c>
      <c r="H143" s="38" t="s">
        <v>10</v>
      </c>
    </row>
    <row r="144" spans="1:8" x14ac:dyDescent="0.25">
      <c r="A144" s="31">
        <v>44683</v>
      </c>
      <c r="B144" s="38" t="s">
        <v>14222</v>
      </c>
      <c r="C144" s="38" t="s">
        <v>56</v>
      </c>
      <c r="D144" s="34">
        <v>4021.1</v>
      </c>
      <c r="E144" s="35">
        <v>44683</v>
      </c>
      <c r="F144" s="34">
        <v>4021.1</v>
      </c>
      <c r="G144" s="36">
        <f>Tabla16[[#This Row],[Importe]]-Tabla16[[#This Row],[Pagado]]</f>
        <v>0</v>
      </c>
      <c r="H144" s="38" t="s">
        <v>10</v>
      </c>
    </row>
    <row r="145" spans="1:8" x14ac:dyDescent="0.25">
      <c r="A145" s="31">
        <v>44683</v>
      </c>
      <c r="B145" s="38" t="s">
        <v>14223</v>
      </c>
      <c r="C145" s="38" t="s">
        <v>31</v>
      </c>
      <c r="D145" s="34">
        <v>436</v>
      </c>
      <c r="E145" s="35">
        <v>44683</v>
      </c>
      <c r="F145" s="34">
        <v>436</v>
      </c>
      <c r="G145" s="36">
        <f>Tabla16[[#This Row],[Importe]]-Tabla16[[#This Row],[Pagado]]</f>
        <v>0</v>
      </c>
      <c r="H145" s="38" t="s">
        <v>10</v>
      </c>
    </row>
    <row r="146" spans="1:8" x14ac:dyDescent="0.25">
      <c r="A146" s="31">
        <v>44683</v>
      </c>
      <c r="B146" s="38" t="s">
        <v>14224</v>
      </c>
      <c r="C146" s="38" t="s">
        <v>1174</v>
      </c>
      <c r="D146" s="34">
        <v>34726.400000000001</v>
      </c>
      <c r="E146" s="35">
        <v>44683</v>
      </c>
      <c r="F146" s="34">
        <v>34726.400000000001</v>
      </c>
      <c r="G146" s="36">
        <f>Tabla16[[#This Row],[Importe]]-Tabla16[[#This Row],[Pagado]]</f>
        <v>0</v>
      </c>
      <c r="H146" s="38" t="s">
        <v>10</v>
      </c>
    </row>
    <row r="147" spans="1:8" x14ac:dyDescent="0.25">
      <c r="A147" s="31">
        <v>44683</v>
      </c>
      <c r="B147" s="38" t="s">
        <v>14225</v>
      </c>
      <c r="C147" s="38" t="s">
        <v>452</v>
      </c>
      <c r="D147" s="34">
        <v>6617.6</v>
      </c>
      <c r="E147" s="35">
        <v>44683</v>
      </c>
      <c r="F147" s="34">
        <v>6617.6</v>
      </c>
      <c r="G147" s="36">
        <f>Tabla16[[#This Row],[Importe]]-Tabla16[[#This Row],[Pagado]]</f>
        <v>0</v>
      </c>
      <c r="H147" s="38" t="s">
        <v>10</v>
      </c>
    </row>
    <row r="148" spans="1:8" x14ac:dyDescent="0.25">
      <c r="A148" s="31">
        <v>44683</v>
      </c>
      <c r="B148" s="38" t="s">
        <v>14226</v>
      </c>
      <c r="C148" s="38" t="s">
        <v>31</v>
      </c>
      <c r="D148" s="34">
        <v>105.4</v>
      </c>
      <c r="E148" s="35">
        <v>44683</v>
      </c>
      <c r="F148" s="34">
        <v>105.4</v>
      </c>
      <c r="G148" s="36">
        <f>Tabla16[[#This Row],[Importe]]-Tabla16[[#This Row],[Pagado]]</f>
        <v>0</v>
      </c>
      <c r="H148" s="38" t="s">
        <v>10</v>
      </c>
    </row>
    <row r="149" spans="1:8" x14ac:dyDescent="0.25">
      <c r="A149" s="31">
        <v>44683</v>
      </c>
      <c r="B149" s="38" t="s">
        <v>14227</v>
      </c>
      <c r="C149" s="38" t="s">
        <v>698</v>
      </c>
      <c r="D149" s="34">
        <v>6343.2</v>
      </c>
      <c r="E149" s="35">
        <v>44683</v>
      </c>
      <c r="F149" s="34">
        <v>6343.2</v>
      </c>
      <c r="G149" s="36">
        <f>Tabla16[[#This Row],[Importe]]-Tabla16[[#This Row],[Pagado]]</f>
        <v>0</v>
      </c>
      <c r="H149" s="38" t="s">
        <v>10</v>
      </c>
    </row>
    <row r="150" spans="1:8" x14ac:dyDescent="0.25">
      <c r="A150" s="31">
        <v>44683</v>
      </c>
      <c r="B150" s="38" t="s">
        <v>14228</v>
      </c>
      <c r="C150" s="38" t="s">
        <v>11685</v>
      </c>
      <c r="D150" s="34">
        <v>3321.2</v>
      </c>
      <c r="E150" s="35">
        <v>44683</v>
      </c>
      <c r="F150" s="34">
        <v>3321.2</v>
      </c>
      <c r="G150" s="36">
        <f>Tabla16[[#This Row],[Importe]]-Tabla16[[#This Row],[Pagado]]</f>
        <v>0</v>
      </c>
      <c r="H150" s="38" t="s">
        <v>10</v>
      </c>
    </row>
    <row r="151" spans="1:8" x14ac:dyDescent="0.25">
      <c r="A151" s="31">
        <v>44683</v>
      </c>
      <c r="B151" s="38" t="s">
        <v>14229</v>
      </c>
      <c r="C151" s="38" t="s">
        <v>12107</v>
      </c>
      <c r="D151" s="34">
        <v>1960</v>
      </c>
      <c r="E151" s="35">
        <v>44683</v>
      </c>
      <c r="F151" s="34">
        <v>1960</v>
      </c>
      <c r="G151" s="36">
        <f>Tabla16[[#This Row],[Importe]]-Tabla16[[#This Row],[Pagado]]</f>
        <v>0</v>
      </c>
      <c r="H151" s="38" t="s">
        <v>10</v>
      </c>
    </row>
    <row r="152" spans="1:8" x14ac:dyDescent="0.25">
      <c r="A152" s="31">
        <v>44683</v>
      </c>
      <c r="B152" s="38" t="s">
        <v>14230</v>
      </c>
      <c r="C152" s="38" t="s">
        <v>857</v>
      </c>
      <c r="D152" s="34">
        <v>732</v>
      </c>
      <c r="E152" s="35">
        <v>44683</v>
      </c>
      <c r="F152" s="34">
        <v>732</v>
      </c>
      <c r="G152" s="36">
        <f>Tabla16[[#This Row],[Importe]]-Tabla16[[#This Row],[Pagado]]</f>
        <v>0</v>
      </c>
      <c r="H152" s="38" t="s">
        <v>10</v>
      </c>
    </row>
    <row r="153" spans="1:8" x14ac:dyDescent="0.25">
      <c r="A153" s="31">
        <v>44683</v>
      </c>
      <c r="B153" s="38" t="s">
        <v>14231</v>
      </c>
      <c r="C153" s="38" t="s">
        <v>286</v>
      </c>
      <c r="D153" s="34">
        <v>12833.8</v>
      </c>
      <c r="E153" s="35">
        <v>44684</v>
      </c>
      <c r="F153" s="34">
        <v>12833.8</v>
      </c>
      <c r="G153" s="36">
        <f>Tabla16[[#This Row],[Importe]]-Tabla16[[#This Row],[Pagado]]</f>
        <v>0</v>
      </c>
      <c r="H153" s="38" t="s">
        <v>10</v>
      </c>
    </row>
    <row r="154" spans="1:8" x14ac:dyDescent="0.25">
      <c r="A154" s="31">
        <v>44683</v>
      </c>
      <c r="B154" s="38" t="s">
        <v>14232</v>
      </c>
      <c r="C154" s="38" t="s">
        <v>31</v>
      </c>
      <c r="D154" s="34">
        <v>32</v>
      </c>
      <c r="E154" s="35">
        <v>44683</v>
      </c>
      <c r="F154" s="34">
        <v>32</v>
      </c>
      <c r="G154" s="36">
        <f>Tabla16[[#This Row],[Importe]]-Tabla16[[#This Row],[Pagado]]</f>
        <v>0</v>
      </c>
      <c r="H154" s="38" t="s">
        <v>10</v>
      </c>
    </row>
    <row r="155" spans="1:8" x14ac:dyDescent="0.25">
      <c r="A155" s="31">
        <v>44683</v>
      </c>
      <c r="B155" s="38" t="s">
        <v>14233</v>
      </c>
      <c r="C155" s="38" t="s">
        <v>440</v>
      </c>
      <c r="D155" s="34">
        <v>4970.3999999999996</v>
      </c>
      <c r="E155" s="35">
        <v>44697</v>
      </c>
      <c r="F155" s="34">
        <v>4970.3999999999996</v>
      </c>
      <c r="G155" s="36">
        <f>Tabla16[[#This Row],[Importe]]-Tabla16[[#This Row],[Pagado]]</f>
        <v>0</v>
      </c>
      <c r="H155" s="38" t="s">
        <v>10</v>
      </c>
    </row>
    <row r="156" spans="1:8" x14ac:dyDescent="0.25">
      <c r="A156" s="31">
        <v>44683</v>
      </c>
      <c r="B156" s="38" t="s">
        <v>14234</v>
      </c>
      <c r="C156" s="38" t="s">
        <v>284</v>
      </c>
      <c r="D156" s="34">
        <v>7680</v>
      </c>
      <c r="E156" s="35">
        <v>44684</v>
      </c>
      <c r="F156" s="34">
        <v>7680</v>
      </c>
      <c r="G156" s="36">
        <f>Tabla16[[#This Row],[Importe]]-Tabla16[[#This Row],[Pagado]]</f>
        <v>0</v>
      </c>
      <c r="H156" s="38" t="s">
        <v>10</v>
      </c>
    </row>
    <row r="157" spans="1:8" x14ac:dyDescent="0.25">
      <c r="A157" s="31">
        <v>44683</v>
      </c>
      <c r="B157" s="38" t="s">
        <v>14235</v>
      </c>
      <c r="C157" s="38" t="s">
        <v>282</v>
      </c>
      <c r="D157" s="34">
        <v>2457.6</v>
      </c>
      <c r="E157" s="35">
        <v>44684</v>
      </c>
      <c r="F157" s="34">
        <v>2457.6</v>
      </c>
      <c r="G157" s="36">
        <f>Tabla16[[#This Row],[Importe]]-Tabla16[[#This Row],[Pagado]]</f>
        <v>0</v>
      </c>
      <c r="H157" s="38" t="s">
        <v>10</v>
      </c>
    </row>
    <row r="158" spans="1:8" x14ac:dyDescent="0.25">
      <c r="A158" s="31">
        <v>44683</v>
      </c>
      <c r="B158" s="38" t="s">
        <v>14236</v>
      </c>
      <c r="C158" s="38" t="s">
        <v>5345</v>
      </c>
      <c r="D158" s="34">
        <v>2528</v>
      </c>
      <c r="E158" s="35">
        <v>44684</v>
      </c>
      <c r="F158" s="34">
        <v>2528</v>
      </c>
      <c r="G158" s="36">
        <f>Tabla16[[#This Row],[Importe]]-Tabla16[[#This Row],[Pagado]]</f>
        <v>0</v>
      </c>
      <c r="H158" s="38" t="s">
        <v>10</v>
      </c>
    </row>
    <row r="159" spans="1:8" x14ac:dyDescent="0.25">
      <c r="A159" s="31">
        <v>44683</v>
      </c>
      <c r="B159" s="38" t="s">
        <v>14237</v>
      </c>
      <c r="C159" s="38" t="s">
        <v>431</v>
      </c>
      <c r="D159" s="34">
        <v>665.6</v>
      </c>
      <c r="E159" s="35">
        <v>44684</v>
      </c>
      <c r="F159" s="34">
        <v>665.6</v>
      </c>
      <c r="G159" s="36">
        <f>Tabla16[[#This Row],[Importe]]-Tabla16[[#This Row],[Pagado]]</f>
        <v>0</v>
      </c>
      <c r="H159" s="38" t="s">
        <v>10</v>
      </c>
    </row>
    <row r="160" spans="1:8" x14ac:dyDescent="0.25">
      <c r="A160" s="31">
        <v>44683</v>
      </c>
      <c r="B160" s="38" t="s">
        <v>14238</v>
      </c>
      <c r="C160" s="38" t="s">
        <v>280</v>
      </c>
      <c r="D160" s="34">
        <v>1286.4000000000001</v>
      </c>
      <c r="E160" s="35">
        <v>44684</v>
      </c>
      <c r="F160" s="34">
        <v>1286.4000000000001</v>
      </c>
      <c r="G160" s="36">
        <f>Tabla16[[#This Row],[Importe]]-Tabla16[[#This Row],[Pagado]]</f>
        <v>0</v>
      </c>
      <c r="H160" s="38" t="s">
        <v>10</v>
      </c>
    </row>
    <row r="161" spans="1:8" x14ac:dyDescent="0.25">
      <c r="A161" s="31">
        <v>44683</v>
      </c>
      <c r="B161" s="38" t="s">
        <v>14239</v>
      </c>
      <c r="C161" s="38" t="s">
        <v>179</v>
      </c>
      <c r="D161" s="34">
        <v>2081.6</v>
      </c>
      <c r="E161" s="35">
        <v>44684</v>
      </c>
      <c r="F161" s="34">
        <v>2081.6</v>
      </c>
      <c r="G161" s="36">
        <f>Tabla16[[#This Row],[Importe]]-Tabla16[[#This Row],[Pagado]]</f>
        <v>0</v>
      </c>
      <c r="H161" s="38" t="s">
        <v>10</v>
      </c>
    </row>
    <row r="162" spans="1:8" x14ac:dyDescent="0.25">
      <c r="A162" s="31">
        <v>44683</v>
      </c>
      <c r="B162" s="38" t="s">
        <v>14240</v>
      </c>
      <c r="C162" s="38" t="s">
        <v>368</v>
      </c>
      <c r="D162" s="34">
        <v>1250</v>
      </c>
      <c r="E162" s="35">
        <v>44684</v>
      </c>
      <c r="F162" s="34">
        <v>1250</v>
      </c>
      <c r="G162" s="36">
        <f>Tabla16[[#This Row],[Importe]]-Tabla16[[#This Row],[Pagado]]</f>
        <v>0</v>
      </c>
      <c r="H162" s="38" t="s">
        <v>10</v>
      </c>
    </row>
    <row r="163" spans="1:8" x14ac:dyDescent="0.25">
      <c r="A163" s="31">
        <v>44683</v>
      </c>
      <c r="B163" s="38" t="s">
        <v>14241</v>
      </c>
      <c r="C163" s="38" t="s">
        <v>2961</v>
      </c>
      <c r="D163" s="34">
        <v>57916</v>
      </c>
      <c r="E163" s="35">
        <v>44691</v>
      </c>
      <c r="F163" s="34">
        <v>57916</v>
      </c>
      <c r="G163" s="36">
        <f>Tabla16[[#This Row],[Importe]]-Tabla16[[#This Row],[Pagado]]</f>
        <v>0</v>
      </c>
      <c r="H163" s="38" t="s">
        <v>10</v>
      </c>
    </row>
    <row r="164" spans="1:8" x14ac:dyDescent="0.25">
      <c r="A164" s="31">
        <v>44683</v>
      </c>
      <c r="B164" s="38" t="s">
        <v>14242</v>
      </c>
      <c r="C164" s="38" t="s">
        <v>10678</v>
      </c>
      <c r="D164" s="34">
        <v>2664.8</v>
      </c>
      <c r="E164" s="35">
        <v>44683</v>
      </c>
      <c r="F164" s="34">
        <v>2664.8</v>
      </c>
      <c r="G164" s="36">
        <f>Tabla16[[#This Row],[Importe]]-Tabla16[[#This Row],[Pagado]]</f>
        <v>0</v>
      </c>
      <c r="H164" s="38" t="s">
        <v>10</v>
      </c>
    </row>
    <row r="165" spans="1:8" x14ac:dyDescent="0.25">
      <c r="A165" s="31">
        <v>44683</v>
      </c>
      <c r="B165" s="38" t="s">
        <v>14243</v>
      </c>
      <c r="C165" s="38" t="s">
        <v>484</v>
      </c>
      <c r="D165" s="34">
        <v>4883.2</v>
      </c>
      <c r="E165" s="35">
        <v>44683</v>
      </c>
      <c r="F165" s="34">
        <v>4883.2</v>
      </c>
      <c r="G165" s="36">
        <f>Tabla16[[#This Row],[Importe]]-Tabla16[[#This Row],[Pagado]]</f>
        <v>0</v>
      </c>
      <c r="H165" s="38" t="s">
        <v>10</v>
      </c>
    </row>
    <row r="166" spans="1:8" x14ac:dyDescent="0.25">
      <c r="A166" s="31">
        <v>44683</v>
      </c>
      <c r="B166" s="38" t="s">
        <v>14244</v>
      </c>
      <c r="C166" s="38" t="s">
        <v>843</v>
      </c>
      <c r="D166" s="34">
        <v>651.20000000000005</v>
      </c>
      <c r="E166" s="35">
        <v>44683</v>
      </c>
      <c r="F166" s="34">
        <v>651.20000000000005</v>
      </c>
      <c r="G166" s="36">
        <f>Tabla16[[#This Row],[Importe]]-Tabla16[[#This Row],[Pagado]]</f>
        <v>0</v>
      </c>
      <c r="H166" s="38" t="s">
        <v>10</v>
      </c>
    </row>
    <row r="167" spans="1:8" x14ac:dyDescent="0.25">
      <c r="A167" s="31">
        <v>44683</v>
      </c>
      <c r="B167" s="38" t="s">
        <v>14245</v>
      </c>
      <c r="C167" s="38" t="s">
        <v>31</v>
      </c>
      <c r="D167" s="34">
        <v>560</v>
      </c>
      <c r="E167" s="35">
        <v>44683</v>
      </c>
      <c r="F167" s="34">
        <v>560</v>
      </c>
      <c r="G167" s="36">
        <f>Tabla16[[#This Row],[Importe]]-Tabla16[[#This Row],[Pagado]]</f>
        <v>0</v>
      </c>
      <c r="H167" s="38" t="s">
        <v>10</v>
      </c>
    </row>
    <row r="168" spans="1:8" x14ac:dyDescent="0.25">
      <c r="A168" s="31">
        <v>44683</v>
      </c>
      <c r="B168" s="38" t="s">
        <v>14246</v>
      </c>
      <c r="C168" s="38" t="s">
        <v>296</v>
      </c>
      <c r="D168" s="34">
        <v>2112.5</v>
      </c>
      <c r="E168" s="35">
        <v>44683</v>
      </c>
      <c r="F168" s="34">
        <v>2112.5</v>
      </c>
      <c r="G168" s="36">
        <f>Tabla16[[#This Row],[Importe]]-Tabla16[[#This Row],[Pagado]]</f>
        <v>0</v>
      </c>
      <c r="H168" s="38" t="s">
        <v>10</v>
      </c>
    </row>
    <row r="169" spans="1:8" x14ac:dyDescent="0.25">
      <c r="A169" s="31">
        <v>44683</v>
      </c>
      <c r="B169" s="38" t="s">
        <v>14247</v>
      </c>
      <c r="C169" s="38" t="s">
        <v>10984</v>
      </c>
      <c r="D169" s="34">
        <v>20953.599999999999</v>
      </c>
      <c r="E169" s="35">
        <v>44683</v>
      </c>
      <c r="F169" s="34">
        <v>20953.599999999999</v>
      </c>
      <c r="G169" s="36">
        <f>Tabla16[[#This Row],[Importe]]-Tabla16[[#This Row],[Pagado]]</f>
        <v>0</v>
      </c>
      <c r="H169" s="38" t="s">
        <v>10</v>
      </c>
    </row>
    <row r="170" spans="1:8" x14ac:dyDescent="0.25">
      <c r="A170" s="31">
        <v>44683</v>
      </c>
      <c r="B170" s="38" t="s">
        <v>14248</v>
      </c>
      <c r="C170" s="38" t="s">
        <v>448</v>
      </c>
      <c r="D170" s="34">
        <v>22566.6</v>
      </c>
      <c r="E170" s="35">
        <v>44684</v>
      </c>
      <c r="F170" s="34">
        <v>22566.6</v>
      </c>
      <c r="G170" s="36">
        <f>Tabla16[[#This Row],[Importe]]-Tabla16[[#This Row],[Pagado]]</f>
        <v>0</v>
      </c>
      <c r="H170" s="38" t="s">
        <v>10</v>
      </c>
    </row>
    <row r="171" spans="1:8" x14ac:dyDescent="0.25">
      <c r="A171" s="31">
        <v>44683</v>
      </c>
      <c r="B171" s="38" t="s">
        <v>14249</v>
      </c>
      <c r="C171" s="38" t="s">
        <v>56</v>
      </c>
      <c r="D171" s="34">
        <v>197.1</v>
      </c>
      <c r="E171" s="35">
        <v>44683</v>
      </c>
      <c r="F171" s="34">
        <v>197.1</v>
      </c>
      <c r="G171" s="36">
        <f>Tabla16[[#This Row],[Importe]]-Tabla16[[#This Row],[Pagado]]</f>
        <v>0</v>
      </c>
      <c r="H171" s="38" t="s">
        <v>10</v>
      </c>
    </row>
    <row r="172" spans="1:8" x14ac:dyDescent="0.25">
      <c r="A172" s="31">
        <v>44683</v>
      </c>
      <c r="B172" s="38" t="s">
        <v>14250</v>
      </c>
      <c r="C172" s="38" t="s">
        <v>56</v>
      </c>
      <c r="D172" s="34">
        <v>26</v>
      </c>
      <c r="E172" s="35">
        <v>44683</v>
      </c>
      <c r="F172" s="34">
        <v>26</v>
      </c>
      <c r="G172" s="36">
        <f>Tabla16[[#This Row],[Importe]]-Tabla16[[#This Row],[Pagado]]</f>
        <v>0</v>
      </c>
      <c r="H172" s="38" t="s">
        <v>10</v>
      </c>
    </row>
    <row r="173" spans="1:8" x14ac:dyDescent="0.25">
      <c r="A173" s="31">
        <v>44683</v>
      </c>
      <c r="B173" s="38" t="s">
        <v>14251</v>
      </c>
      <c r="C173" s="38" t="s">
        <v>994</v>
      </c>
      <c r="D173" s="34">
        <v>2592.6999999999998</v>
      </c>
      <c r="E173" s="35">
        <v>44683</v>
      </c>
      <c r="F173" s="34">
        <v>2592.6999999999998</v>
      </c>
      <c r="G173" s="36">
        <f>Tabla16[[#This Row],[Importe]]-Tabla16[[#This Row],[Pagado]]</f>
        <v>0</v>
      </c>
      <c r="H173" s="38" t="s">
        <v>10</v>
      </c>
    </row>
    <row r="174" spans="1:8" x14ac:dyDescent="0.25">
      <c r="A174" s="31">
        <v>44683</v>
      </c>
      <c r="B174" s="38" t="s">
        <v>14252</v>
      </c>
      <c r="C174" s="38" t="s">
        <v>1313</v>
      </c>
      <c r="D174" s="34">
        <v>8484</v>
      </c>
      <c r="E174" s="35">
        <v>44683</v>
      </c>
      <c r="F174" s="34">
        <v>8484</v>
      </c>
      <c r="G174" s="36">
        <f>Tabla16[[#This Row],[Importe]]-Tabla16[[#This Row],[Pagado]]</f>
        <v>0</v>
      </c>
      <c r="H174" s="38" t="s">
        <v>10</v>
      </c>
    </row>
    <row r="175" spans="1:8" x14ac:dyDescent="0.25">
      <c r="A175" s="31">
        <v>44683</v>
      </c>
      <c r="B175" s="38" t="s">
        <v>14253</v>
      </c>
      <c r="C175" s="38" t="s">
        <v>296</v>
      </c>
      <c r="D175" s="34">
        <v>2749.5</v>
      </c>
      <c r="E175" s="35">
        <v>44683</v>
      </c>
      <c r="F175" s="34">
        <v>2749.5</v>
      </c>
      <c r="G175" s="36">
        <f>Tabla16[[#This Row],[Importe]]-Tabla16[[#This Row],[Pagado]]</f>
        <v>0</v>
      </c>
      <c r="H175" s="38" t="s">
        <v>10</v>
      </c>
    </row>
    <row r="176" spans="1:8" x14ac:dyDescent="0.25">
      <c r="A176" s="31">
        <v>44683</v>
      </c>
      <c r="B176" s="38" t="s">
        <v>14254</v>
      </c>
      <c r="C176" s="38" t="s">
        <v>10190</v>
      </c>
      <c r="D176" s="34">
        <v>12649</v>
      </c>
      <c r="E176" s="35">
        <v>44684</v>
      </c>
      <c r="F176" s="34">
        <v>12649</v>
      </c>
      <c r="G176" s="36">
        <f>Tabla16[[#This Row],[Importe]]-Tabla16[[#This Row],[Pagado]]</f>
        <v>0</v>
      </c>
      <c r="H176" s="38" t="s">
        <v>10</v>
      </c>
    </row>
    <row r="177" spans="1:8" ht="31.5" x14ac:dyDescent="0.25">
      <c r="A177" s="31">
        <v>44683</v>
      </c>
      <c r="B177" s="38" t="s">
        <v>14255</v>
      </c>
      <c r="C177" s="38" t="s">
        <v>10840</v>
      </c>
      <c r="D177" s="34">
        <v>28958.7</v>
      </c>
      <c r="E177" s="35" t="s">
        <v>14256</v>
      </c>
      <c r="F177" s="34">
        <f>24000+4958.7</f>
        <v>28958.7</v>
      </c>
      <c r="G177" s="36">
        <f>Tabla16[[#This Row],[Importe]]-Tabla16[[#This Row],[Pagado]]</f>
        <v>0</v>
      </c>
      <c r="H177" s="38" t="s">
        <v>10</v>
      </c>
    </row>
    <row r="178" spans="1:8" x14ac:dyDescent="0.25">
      <c r="A178" s="31">
        <v>44683</v>
      </c>
      <c r="B178" s="38" t="s">
        <v>14257</v>
      </c>
      <c r="C178" s="38" t="s">
        <v>246</v>
      </c>
      <c r="D178" s="34">
        <v>55321</v>
      </c>
      <c r="E178" s="35">
        <v>44684</v>
      </c>
      <c r="F178" s="34">
        <v>55321</v>
      </c>
      <c r="G178" s="36">
        <f>Tabla16[[#This Row],[Importe]]-Tabla16[[#This Row],[Pagado]]</f>
        <v>0</v>
      </c>
      <c r="H178" s="38" t="s">
        <v>10</v>
      </c>
    </row>
    <row r="179" spans="1:8" x14ac:dyDescent="0.25">
      <c r="A179" s="31">
        <v>44683</v>
      </c>
      <c r="B179" s="38" t="s">
        <v>14258</v>
      </c>
      <c r="C179" s="38" t="s">
        <v>461</v>
      </c>
      <c r="D179" s="34">
        <v>216</v>
      </c>
      <c r="E179" s="35">
        <v>44684</v>
      </c>
      <c r="F179" s="34">
        <v>216</v>
      </c>
      <c r="G179" s="36">
        <f>Tabla16[[#This Row],[Importe]]-Tabla16[[#This Row],[Pagado]]</f>
        <v>0</v>
      </c>
      <c r="H179" s="38" t="s">
        <v>10</v>
      </c>
    </row>
    <row r="180" spans="1:8" x14ac:dyDescent="0.25">
      <c r="A180" s="31">
        <v>44683</v>
      </c>
      <c r="B180" s="38" t="s">
        <v>14259</v>
      </c>
      <c r="C180" s="38" t="s">
        <v>555</v>
      </c>
      <c r="D180" s="34">
        <v>2116.9</v>
      </c>
      <c r="E180" s="35">
        <v>44684</v>
      </c>
      <c r="F180" s="34">
        <v>2116.9</v>
      </c>
      <c r="G180" s="36">
        <f>Tabla16[[#This Row],[Importe]]-Tabla16[[#This Row],[Pagado]]</f>
        <v>0</v>
      </c>
      <c r="H180" s="38" t="s">
        <v>10</v>
      </c>
    </row>
    <row r="181" spans="1:8" x14ac:dyDescent="0.25">
      <c r="A181" s="31">
        <v>44683</v>
      </c>
      <c r="B181" s="38" t="s">
        <v>14260</v>
      </c>
      <c r="C181" s="38" t="s">
        <v>2961</v>
      </c>
      <c r="D181" s="34">
        <v>56168</v>
      </c>
      <c r="E181" s="35">
        <v>44691</v>
      </c>
      <c r="F181" s="34">
        <v>56168</v>
      </c>
      <c r="G181" s="36">
        <f>Tabla16[[#This Row],[Importe]]-Tabla16[[#This Row],[Pagado]]</f>
        <v>0</v>
      </c>
      <c r="H181" s="38" t="s">
        <v>10</v>
      </c>
    </row>
    <row r="182" spans="1:8" x14ac:dyDescent="0.25">
      <c r="A182" s="31">
        <v>44683</v>
      </c>
      <c r="B182" s="38" t="s">
        <v>14261</v>
      </c>
      <c r="C182" s="38" t="s">
        <v>4027</v>
      </c>
      <c r="D182" s="34">
        <v>38</v>
      </c>
      <c r="E182" s="35">
        <v>44684</v>
      </c>
      <c r="F182" s="34">
        <v>38</v>
      </c>
      <c r="G182" s="36">
        <f>Tabla16[[#This Row],[Importe]]-Tabla16[[#This Row],[Pagado]]</f>
        <v>0</v>
      </c>
      <c r="H182" s="38" t="s">
        <v>10</v>
      </c>
    </row>
    <row r="183" spans="1:8" x14ac:dyDescent="0.25">
      <c r="A183" s="31">
        <v>44684</v>
      </c>
      <c r="B183" s="38" t="s">
        <v>14262</v>
      </c>
      <c r="C183" s="38" t="s">
        <v>481</v>
      </c>
      <c r="D183" s="34">
        <v>183.6</v>
      </c>
      <c r="E183" s="35">
        <v>44684</v>
      </c>
      <c r="F183" s="34">
        <v>183.6</v>
      </c>
      <c r="G183" s="36">
        <f>Tabla16[[#This Row],[Importe]]-Tabla16[[#This Row],[Pagado]]</f>
        <v>0</v>
      </c>
      <c r="H183" s="38" t="s">
        <v>10</v>
      </c>
    </row>
    <row r="184" spans="1:8" x14ac:dyDescent="0.25">
      <c r="A184" s="31">
        <v>44684</v>
      </c>
      <c r="B184" s="38" t="s">
        <v>14263</v>
      </c>
      <c r="C184" s="38" t="s">
        <v>95</v>
      </c>
      <c r="D184" s="34">
        <v>711.2</v>
      </c>
      <c r="E184" s="35">
        <v>44684</v>
      </c>
      <c r="F184" s="34">
        <v>711.2</v>
      </c>
      <c r="G184" s="36">
        <f>Tabla16[[#This Row],[Importe]]-Tabla16[[#This Row],[Pagado]]</f>
        <v>0</v>
      </c>
      <c r="H184" s="38" t="s">
        <v>10</v>
      </c>
    </row>
    <row r="185" spans="1:8" x14ac:dyDescent="0.25">
      <c r="A185" s="31">
        <v>44684</v>
      </c>
      <c r="B185" s="38" t="s">
        <v>14264</v>
      </c>
      <c r="C185" s="38" t="s">
        <v>95</v>
      </c>
      <c r="D185" s="34">
        <v>1760</v>
      </c>
      <c r="E185" s="35">
        <v>44684</v>
      </c>
      <c r="F185" s="34">
        <v>1760</v>
      </c>
      <c r="G185" s="36">
        <f>Tabla16[[#This Row],[Importe]]-Tabla16[[#This Row],[Pagado]]</f>
        <v>0</v>
      </c>
      <c r="H185" s="38" t="s">
        <v>10</v>
      </c>
    </row>
    <row r="186" spans="1:8" x14ac:dyDescent="0.25">
      <c r="A186" s="31">
        <v>44684</v>
      </c>
      <c r="B186" s="38" t="s">
        <v>14265</v>
      </c>
      <c r="C186" s="38" t="s">
        <v>12</v>
      </c>
      <c r="D186" s="34">
        <v>33200.300000000003</v>
      </c>
      <c r="E186" s="35">
        <v>44684</v>
      </c>
      <c r="F186" s="34">
        <v>33200.300000000003</v>
      </c>
      <c r="G186" s="36">
        <f>Tabla16[[#This Row],[Importe]]-Tabla16[[#This Row],[Pagado]]</f>
        <v>0</v>
      </c>
      <c r="H186" s="38" t="s">
        <v>10</v>
      </c>
    </row>
    <row r="187" spans="1:8" x14ac:dyDescent="0.25">
      <c r="A187" s="31">
        <v>44684</v>
      </c>
      <c r="B187" s="38" t="s">
        <v>14266</v>
      </c>
      <c r="C187" s="38" t="s">
        <v>348</v>
      </c>
      <c r="D187" s="34">
        <v>4542.8</v>
      </c>
      <c r="E187" s="35">
        <v>44684</v>
      </c>
      <c r="F187" s="34">
        <v>4542.8</v>
      </c>
      <c r="G187" s="36">
        <f>Tabla16[[#This Row],[Importe]]-Tabla16[[#This Row],[Pagado]]</f>
        <v>0</v>
      </c>
      <c r="H187" s="38" t="s">
        <v>10</v>
      </c>
    </row>
    <row r="188" spans="1:8" x14ac:dyDescent="0.25">
      <c r="A188" s="31">
        <v>44684</v>
      </c>
      <c r="B188" s="38" t="s">
        <v>14267</v>
      </c>
      <c r="C188" s="38" t="s">
        <v>9</v>
      </c>
      <c r="D188" s="34">
        <v>6406.6</v>
      </c>
      <c r="E188" s="35">
        <v>44684</v>
      </c>
      <c r="F188" s="34">
        <v>6406.6</v>
      </c>
      <c r="G188" s="36">
        <f>Tabla16[[#This Row],[Importe]]-Tabla16[[#This Row],[Pagado]]</f>
        <v>0</v>
      </c>
      <c r="H188" s="38" t="s">
        <v>10</v>
      </c>
    </row>
    <row r="189" spans="1:8" ht="31.5" x14ac:dyDescent="0.25">
      <c r="A189" s="31">
        <v>44684</v>
      </c>
      <c r="B189" s="38" t="s">
        <v>14268</v>
      </c>
      <c r="C189" s="38" t="s">
        <v>22</v>
      </c>
      <c r="D189" s="34">
        <v>45175.8</v>
      </c>
      <c r="E189" s="35" t="s">
        <v>14269</v>
      </c>
      <c r="F189" s="34">
        <f>40000+5175.8</f>
        <v>45175.8</v>
      </c>
      <c r="G189" s="36">
        <f>Tabla16[[#This Row],[Importe]]-Tabla16[[#This Row],[Pagado]]</f>
        <v>0</v>
      </c>
      <c r="H189" s="38" t="s">
        <v>10</v>
      </c>
    </row>
    <row r="190" spans="1:8" x14ac:dyDescent="0.25">
      <c r="A190" s="31">
        <v>44684</v>
      </c>
      <c r="B190" s="38" t="s">
        <v>14270</v>
      </c>
      <c r="C190" s="38" t="s">
        <v>33</v>
      </c>
      <c r="D190" s="34">
        <v>14880.6</v>
      </c>
      <c r="E190" s="35">
        <v>44684</v>
      </c>
      <c r="F190" s="34">
        <v>14880.6</v>
      </c>
      <c r="G190" s="36">
        <f>Tabla16[[#This Row],[Importe]]-Tabla16[[#This Row],[Pagado]]</f>
        <v>0</v>
      </c>
      <c r="H190" s="38" t="s">
        <v>10</v>
      </c>
    </row>
    <row r="191" spans="1:8" x14ac:dyDescent="0.25">
      <c r="A191" s="31">
        <v>44684</v>
      </c>
      <c r="B191" s="38" t="s">
        <v>14271</v>
      </c>
      <c r="C191" s="38" t="s">
        <v>314</v>
      </c>
      <c r="D191" s="34">
        <v>1574.4</v>
      </c>
      <c r="E191" s="35">
        <v>44684</v>
      </c>
      <c r="F191" s="34">
        <v>1574.4</v>
      </c>
      <c r="G191" s="36">
        <f>Tabla16[[#This Row],[Importe]]-Tabla16[[#This Row],[Pagado]]</f>
        <v>0</v>
      </c>
      <c r="H191" s="38" t="s">
        <v>10</v>
      </c>
    </row>
    <row r="192" spans="1:8" x14ac:dyDescent="0.25">
      <c r="A192" s="31">
        <v>44684</v>
      </c>
      <c r="B192" s="38" t="s">
        <v>14272</v>
      </c>
      <c r="C192" s="38" t="s">
        <v>9415</v>
      </c>
      <c r="D192" s="34">
        <v>20176.2</v>
      </c>
      <c r="E192" s="35">
        <v>44685</v>
      </c>
      <c r="F192" s="34">
        <v>20176.2</v>
      </c>
      <c r="G192" s="36">
        <f>Tabla16[[#This Row],[Importe]]-Tabla16[[#This Row],[Pagado]]</f>
        <v>0</v>
      </c>
      <c r="H192" s="38" t="s">
        <v>10</v>
      </c>
    </row>
    <row r="193" spans="1:8" x14ac:dyDescent="0.25">
      <c r="A193" s="31">
        <v>44684</v>
      </c>
      <c r="B193" s="38" t="s">
        <v>14273</v>
      </c>
      <c r="C193" s="38" t="s">
        <v>466</v>
      </c>
      <c r="D193" s="34">
        <v>7158</v>
      </c>
      <c r="E193" s="35">
        <v>44684</v>
      </c>
      <c r="F193" s="34">
        <v>7158</v>
      </c>
      <c r="G193" s="36">
        <f>Tabla16[[#This Row],[Importe]]-Tabla16[[#This Row],[Pagado]]</f>
        <v>0</v>
      </c>
      <c r="H193" s="38" t="s">
        <v>10</v>
      </c>
    </row>
    <row r="194" spans="1:8" x14ac:dyDescent="0.25">
      <c r="A194" s="31">
        <v>44684</v>
      </c>
      <c r="B194" s="38" t="s">
        <v>14274</v>
      </c>
      <c r="C194" s="38" t="s">
        <v>12202</v>
      </c>
      <c r="D194" s="34">
        <v>2880</v>
      </c>
      <c r="E194" s="35">
        <v>44684</v>
      </c>
      <c r="F194" s="34">
        <v>2880</v>
      </c>
      <c r="G194" s="36">
        <f>Tabla16[[#This Row],[Importe]]-Tabla16[[#This Row],[Pagado]]</f>
        <v>0</v>
      </c>
      <c r="H194" s="38" t="s">
        <v>10</v>
      </c>
    </row>
    <row r="195" spans="1:8" x14ac:dyDescent="0.25">
      <c r="A195" s="31">
        <v>44684</v>
      </c>
      <c r="B195" s="38" t="s">
        <v>14275</v>
      </c>
      <c r="C195" s="38" t="s">
        <v>16</v>
      </c>
      <c r="D195" s="34">
        <v>1027.8</v>
      </c>
      <c r="E195" s="35">
        <v>44684</v>
      </c>
      <c r="F195" s="34">
        <v>1027.8</v>
      </c>
      <c r="G195" s="36">
        <f>Tabla16[[#This Row],[Importe]]-Tabla16[[#This Row],[Pagado]]</f>
        <v>0</v>
      </c>
      <c r="H195" s="38" t="s">
        <v>10</v>
      </c>
    </row>
    <row r="196" spans="1:8" x14ac:dyDescent="0.25">
      <c r="A196" s="31">
        <v>44684</v>
      </c>
      <c r="B196" s="38" t="s">
        <v>14276</v>
      </c>
      <c r="C196" s="38" t="s">
        <v>16</v>
      </c>
      <c r="D196" s="34">
        <v>3264</v>
      </c>
      <c r="E196" s="35">
        <v>44684</v>
      </c>
      <c r="F196" s="34">
        <v>3264</v>
      </c>
      <c r="G196" s="36">
        <f>Tabla16[[#This Row],[Importe]]-Tabla16[[#This Row],[Pagado]]</f>
        <v>0</v>
      </c>
      <c r="H196" s="38" t="s">
        <v>10</v>
      </c>
    </row>
    <row r="197" spans="1:8" x14ac:dyDescent="0.25">
      <c r="A197" s="31">
        <v>44684</v>
      </c>
      <c r="B197" s="38" t="s">
        <v>14277</v>
      </c>
      <c r="C197" s="38" t="s">
        <v>105</v>
      </c>
      <c r="D197" s="34">
        <v>4457.3999999999996</v>
      </c>
      <c r="E197" s="35">
        <v>44685</v>
      </c>
      <c r="F197" s="34">
        <v>4457.3999999999996</v>
      </c>
      <c r="G197" s="36">
        <f>Tabla16[[#This Row],[Importe]]-Tabla16[[#This Row],[Pagado]]</f>
        <v>0</v>
      </c>
      <c r="H197" s="38" t="s">
        <v>10</v>
      </c>
    </row>
    <row r="198" spans="1:8" x14ac:dyDescent="0.25">
      <c r="A198" s="31">
        <v>44684</v>
      </c>
      <c r="B198" s="38" t="s">
        <v>14278</v>
      </c>
      <c r="C198" s="38" t="s">
        <v>111</v>
      </c>
      <c r="D198" s="34">
        <v>4161.6000000000004</v>
      </c>
      <c r="E198" s="35">
        <v>44685</v>
      </c>
      <c r="F198" s="34">
        <v>4161.6000000000004</v>
      </c>
      <c r="G198" s="36">
        <f>Tabla16[[#This Row],[Importe]]-Tabla16[[#This Row],[Pagado]]</f>
        <v>0</v>
      </c>
      <c r="H198" s="38" t="s">
        <v>10</v>
      </c>
    </row>
    <row r="199" spans="1:8" x14ac:dyDescent="0.25">
      <c r="A199" s="31">
        <v>44684</v>
      </c>
      <c r="B199" s="38" t="s">
        <v>14279</v>
      </c>
      <c r="C199" s="38" t="s">
        <v>93</v>
      </c>
      <c r="D199" s="34">
        <v>8418.2000000000007</v>
      </c>
      <c r="E199" s="35">
        <v>44686</v>
      </c>
      <c r="F199" s="34">
        <v>8418.2000000000007</v>
      </c>
      <c r="G199" s="36">
        <f>Tabla16[[#This Row],[Importe]]-Tabla16[[#This Row],[Pagado]]</f>
        <v>0</v>
      </c>
      <c r="H199" s="38" t="s">
        <v>10</v>
      </c>
    </row>
    <row r="200" spans="1:8" x14ac:dyDescent="0.25">
      <c r="A200" s="31">
        <v>44684</v>
      </c>
      <c r="B200" s="38" t="s">
        <v>14280</v>
      </c>
      <c r="C200" s="38" t="s">
        <v>11033</v>
      </c>
      <c r="D200" s="34">
        <v>3552</v>
      </c>
      <c r="E200" s="35">
        <v>44684</v>
      </c>
      <c r="F200" s="34">
        <v>3552</v>
      </c>
      <c r="G200" s="36">
        <f>Tabla16[[#This Row],[Importe]]-Tabla16[[#This Row],[Pagado]]</f>
        <v>0</v>
      </c>
      <c r="H200" s="38" t="s">
        <v>10</v>
      </c>
    </row>
    <row r="201" spans="1:8" x14ac:dyDescent="0.25">
      <c r="A201" s="31">
        <v>44684</v>
      </c>
      <c r="B201" s="38" t="s">
        <v>14281</v>
      </c>
      <c r="C201" s="38" t="s">
        <v>64</v>
      </c>
      <c r="D201" s="34">
        <v>7971.3</v>
      </c>
      <c r="E201" s="35">
        <v>44686</v>
      </c>
      <c r="F201" s="34">
        <v>7971.3</v>
      </c>
      <c r="G201" s="36">
        <f>Tabla16[[#This Row],[Importe]]-Tabla16[[#This Row],[Pagado]]</f>
        <v>0</v>
      </c>
      <c r="H201" s="38" t="s">
        <v>10</v>
      </c>
    </row>
    <row r="202" spans="1:8" x14ac:dyDescent="0.25">
      <c r="A202" s="31">
        <v>44684</v>
      </c>
      <c r="B202" s="38" t="s">
        <v>14282</v>
      </c>
      <c r="C202" s="38" t="s">
        <v>27</v>
      </c>
      <c r="D202" s="34">
        <v>4063.2</v>
      </c>
      <c r="E202" s="35">
        <v>44684</v>
      </c>
      <c r="F202" s="34">
        <v>4063.2</v>
      </c>
      <c r="G202" s="36">
        <f>Tabla16[[#This Row],[Importe]]-Tabla16[[#This Row],[Pagado]]</f>
        <v>0</v>
      </c>
      <c r="H202" s="38" t="s">
        <v>10</v>
      </c>
    </row>
    <row r="203" spans="1:8" x14ac:dyDescent="0.25">
      <c r="A203" s="31">
        <v>44684</v>
      </c>
      <c r="B203" s="38" t="s">
        <v>14283</v>
      </c>
      <c r="C203" s="38" t="s">
        <v>99</v>
      </c>
      <c r="D203" s="34">
        <v>5444.1</v>
      </c>
      <c r="E203" s="35">
        <v>44685</v>
      </c>
      <c r="F203" s="34">
        <v>5444.1</v>
      </c>
      <c r="G203" s="36">
        <f>Tabla16[[#This Row],[Importe]]-Tabla16[[#This Row],[Pagado]]</f>
        <v>0</v>
      </c>
      <c r="H203" s="38" t="s">
        <v>10</v>
      </c>
    </row>
    <row r="204" spans="1:8" ht="31.5" x14ac:dyDescent="0.25">
      <c r="A204" s="31">
        <v>44684</v>
      </c>
      <c r="B204" s="38" t="s">
        <v>14284</v>
      </c>
      <c r="C204" s="38" t="s">
        <v>39</v>
      </c>
      <c r="D204" s="34">
        <v>18710.900000000001</v>
      </c>
      <c r="E204" s="35" t="s">
        <v>14285</v>
      </c>
      <c r="F204" s="34">
        <f>7000+11710.9</f>
        <v>18710.900000000001</v>
      </c>
      <c r="G204" s="36">
        <f>Tabla16[[#This Row],[Importe]]-Tabla16[[#This Row],[Pagado]]</f>
        <v>0</v>
      </c>
      <c r="H204" s="38" t="s">
        <v>10</v>
      </c>
    </row>
    <row r="205" spans="1:8" x14ac:dyDescent="0.25">
      <c r="A205" s="31">
        <v>44684</v>
      </c>
      <c r="B205" s="38" t="s">
        <v>14286</v>
      </c>
      <c r="C205" s="38" t="s">
        <v>348</v>
      </c>
      <c r="D205" s="34">
        <v>3747.2</v>
      </c>
      <c r="E205" s="35">
        <v>44684</v>
      </c>
      <c r="F205" s="34">
        <v>3747.2</v>
      </c>
      <c r="G205" s="36">
        <f>Tabla16[[#This Row],[Importe]]-Tabla16[[#This Row],[Pagado]]</f>
        <v>0</v>
      </c>
      <c r="H205" s="38" t="s">
        <v>10</v>
      </c>
    </row>
    <row r="206" spans="1:8" x14ac:dyDescent="0.25">
      <c r="A206" s="31">
        <v>44684</v>
      </c>
      <c r="B206" s="38" t="s">
        <v>14287</v>
      </c>
      <c r="C206" s="38" t="s">
        <v>2563</v>
      </c>
      <c r="D206" s="34">
        <v>4346</v>
      </c>
      <c r="E206" s="35">
        <v>44684</v>
      </c>
      <c r="F206" s="34">
        <v>4346</v>
      </c>
      <c r="G206" s="36">
        <f>Tabla16[[#This Row],[Importe]]-Tabla16[[#This Row],[Pagado]]</f>
        <v>0</v>
      </c>
      <c r="H206" s="38" t="s">
        <v>10</v>
      </c>
    </row>
    <row r="207" spans="1:8" x14ac:dyDescent="0.25">
      <c r="A207" s="31">
        <v>44684</v>
      </c>
      <c r="B207" s="38" t="s">
        <v>14288</v>
      </c>
      <c r="C207" s="38" t="s">
        <v>89</v>
      </c>
      <c r="D207" s="34">
        <v>4135.6000000000004</v>
      </c>
      <c r="E207" s="35">
        <v>44685</v>
      </c>
      <c r="F207" s="34">
        <v>4135.6000000000004</v>
      </c>
      <c r="G207" s="36">
        <f>Tabla16[[#This Row],[Importe]]-Tabla16[[#This Row],[Pagado]]</f>
        <v>0</v>
      </c>
      <c r="H207" s="38" t="s">
        <v>10</v>
      </c>
    </row>
    <row r="208" spans="1:8" x14ac:dyDescent="0.25">
      <c r="A208" s="31">
        <v>44684</v>
      </c>
      <c r="B208" s="38" t="s">
        <v>14289</v>
      </c>
      <c r="C208" s="38" t="s">
        <v>114</v>
      </c>
      <c r="D208" s="34">
        <v>11374.2</v>
      </c>
      <c r="E208" s="35">
        <v>44685</v>
      </c>
      <c r="F208" s="34">
        <v>11374.2</v>
      </c>
      <c r="G208" s="36">
        <f>Tabla16[[#This Row],[Importe]]-Tabla16[[#This Row],[Pagado]]</f>
        <v>0</v>
      </c>
      <c r="H208" s="38" t="s">
        <v>10</v>
      </c>
    </row>
    <row r="209" spans="1:8" x14ac:dyDescent="0.25">
      <c r="A209" s="31">
        <v>44684</v>
      </c>
      <c r="B209" s="38" t="s">
        <v>14290</v>
      </c>
      <c r="C209" s="38" t="s">
        <v>357</v>
      </c>
      <c r="D209" s="34">
        <v>1760.8</v>
      </c>
      <c r="E209" s="35">
        <v>44684</v>
      </c>
      <c r="F209" s="34">
        <v>1760.8</v>
      </c>
      <c r="G209" s="36">
        <f>Tabla16[[#This Row],[Importe]]-Tabla16[[#This Row],[Pagado]]</f>
        <v>0</v>
      </c>
      <c r="H209" s="38" t="s">
        <v>10</v>
      </c>
    </row>
    <row r="210" spans="1:8" x14ac:dyDescent="0.25">
      <c r="A210" s="31">
        <v>44684</v>
      </c>
      <c r="B210" s="38" t="s">
        <v>14291</v>
      </c>
      <c r="C210" s="38" t="s">
        <v>105</v>
      </c>
      <c r="D210" s="34">
        <v>3654.4</v>
      </c>
      <c r="E210" s="35">
        <v>44685</v>
      </c>
      <c r="F210" s="34">
        <v>3654.4</v>
      </c>
      <c r="G210" s="36">
        <f>Tabla16[[#This Row],[Importe]]-Tabla16[[#This Row],[Pagado]]</f>
        <v>0</v>
      </c>
      <c r="H210" s="38" t="s">
        <v>10</v>
      </c>
    </row>
    <row r="211" spans="1:8" x14ac:dyDescent="0.25">
      <c r="A211" s="31">
        <v>44684</v>
      </c>
      <c r="B211" s="38" t="s">
        <v>14292</v>
      </c>
      <c r="C211" s="38" t="s">
        <v>97</v>
      </c>
      <c r="D211" s="34">
        <v>6541.5</v>
      </c>
      <c r="E211" s="35">
        <v>44685</v>
      </c>
      <c r="F211" s="34">
        <v>6541.5</v>
      </c>
      <c r="G211" s="36">
        <f>Tabla16[[#This Row],[Importe]]-Tabla16[[#This Row],[Pagado]]</f>
        <v>0</v>
      </c>
      <c r="H211" s="38" t="s">
        <v>10</v>
      </c>
    </row>
    <row r="212" spans="1:8" x14ac:dyDescent="0.25">
      <c r="A212" s="31">
        <v>44684</v>
      </c>
      <c r="B212" s="38" t="s">
        <v>14293</v>
      </c>
      <c r="C212" s="38" t="s">
        <v>116</v>
      </c>
      <c r="D212" s="34">
        <v>4006.8</v>
      </c>
      <c r="E212" s="35">
        <v>44686</v>
      </c>
      <c r="F212" s="34">
        <v>4006.8</v>
      </c>
      <c r="G212" s="36">
        <f>Tabla16[[#This Row],[Importe]]-Tabla16[[#This Row],[Pagado]]</f>
        <v>0</v>
      </c>
      <c r="H212" s="38" t="s">
        <v>10</v>
      </c>
    </row>
    <row r="213" spans="1:8" x14ac:dyDescent="0.25">
      <c r="A213" s="31">
        <v>44684</v>
      </c>
      <c r="B213" s="38" t="s">
        <v>14294</v>
      </c>
      <c r="C213" s="38" t="s">
        <v>326</v>
      </c>
      <c r="D213" s="34">
        <v>4294.2</v>
      </c>
      <c r="E213" s="35">
        <v>44685</v>
      </c>
      <c r="F213" s="34">
        <v>4294.2</v>
      </c>
      <c r="G213" s="36">
        <f>Tabla16[[#This Row],[Importe]]-Tabla16[[#This Row],[Pagado]]</f>
        <v>0</v>
      </c>
      <c r="H213" s="38" t="s">
        <v>10</v>
      </c>
    </row>
    <row r="214" spans="1:8" x14ac:dyDescent="0.25">
      <c r="A214" s="31">
        <v>44684</v>
      </c>
      <c r="B214" s="38" t="s">
        <v>14295</v>
      </c>
      <c r="C214" s="38" t="s">
        <v>60</v>
      </c>
      <c r="D214" s="34">
        <v>4070.4</v>
      </c>
      <c r="E214" s="35">
        <v>44688</v>
      </c>
      <c r="F214" s="34">
        <v>4070.4</v>
      </c>
      <c r="G214" s="36">
        <f>Tabla16[[#This Row],[Importe]]-Tabla16[[#This Row],[Pagado]]</f>
        <v>0</v>
      </c>
      <c r="H214" s="38" t="s">
        <v>10</v>
      </c>
    </row>
    <row r="215" spans="1:8" x14ac:dyDescent="0.25">
      <c r="A215" s="31">
        <v>44684</v>
      </c>
      <c r="B215" s="38" t="s">
        <v>14296</v>
      </c>
      <c r="C215" s="38" t="s">
        <v>140</v>
      </c>
      <c r="D215" s="34">
        <v>1040</v>
      </c>
      <c r="E215" s="35">
        <v>44684</v>
      </c>
      <c r="F215" s="34">
        <v>1040</v>
      </c>
      <c r="G215" s="36">
        <f>Tabla16[[#This Row],[Importe]]-Tabla16[[#This Row],[Pagado]]</f>
        <v>0</v>
      </c>
      <c r="H215" s="38" t="s">
        <v>10</v>
      </c>
    </row>
    <row r="216" spans="1:8" x14ac:dyDescent="0.25">
      <c r="A216" s="31">
        <v>44684</v>
      </c>
      <c r="B216" s="38" t="s">
        <v>14297</v>
      </c>
      <c r="C216" s="38" t="s">
        <v>131</v>
      </c>
      <c r="D216" s="34">
        <v>5103</v>
      </c>
      <c r="E216" s="35">
        <v>44684</v>
      </c>
      <c r="F216" s="34">
        <v>5103</v>
      </c>
      <c r="G216" s="36">
        <f>Tabla16[[#This Row],[Importe]]-Tabla16[[#This Row],[Pagado]]</f>
        <v>0</v>
      </c>
      <c r="H216" s="38" t="s">
        <v>10</v>
      </c>
    </row>
    <row r="217" spans="1:8" x14ac:dyDescent="0.25">
      <c r="A217" s="31">
        <v>44684</v>
      </c>
      <c r="B217" s="38" t="s">
        <v>14298</v>
      </c>
      <c r="C217" s="38" t="s">
        <v>244</v>
      </c>
      <c r="D217" s="34">
        <v>1994.4</v>
      </c>
      <c r="E217" s="35">
        <v>44684</v>
      </c>
      <c r="F217" s="34">
        <v>1994.4</v>
      </c>
      <c r="G217" s="36">
        <f>Tabla16[[#This Row],[Importe]]-Tabla16[[#This Row],[Pagado]]</f>
        <v>0</v>
      </c>
      <c r="H217" s="38" t="s">
        <v>10</v>
      </c>
    </row>
    <row r="218" spans="1:8" x14ac:dyDescent="0.25">
      <c r="A218" s="31">
        <v>44684</v>
      </c>
      <c r="B218" s="38" t="s">
        <v>14299</v>
      </c>
      <c r="C218" s="38" t="s">
        <v>339</v>
      </c>
      <c r="D218" s="34">
        <v>494</v>
      </c>
      <c r="E218" s="35">
        <v>44684</v>
      </c>
      <c r="F218" s="34">
        <v>494</v>
      </c>
      <c r="G218" s="36">
        <f>Tabla16[[#This Row],[Importe]]-Tabla16[[#This Row],[Pagado]]</f>
        <v>0</v>
      </c>
      <c r="H218" s="38" t="s">
        <v>10</v>
      </c>
    </row>
    <row r="219" spans="1:8" x14ac:dyDescent="0.25">
      <c r="A219" s="31">
        <v>44684</v>
      </c>
      <c r="B219" s="38" t="s">
        <v>14300</v>
      </c>
      <c r="C219" s="38" t="s">
        <v>2151</v>
      </c>
      <c r="D219" s="34">
        <v>17938.099999999999</v>
      </c>
      <c r="E219" s="35">
        <v>44684</v>
      </c>
      <c r="F219" s="34">
        <v>17938.099999999999</v>
      </c>
      <c r="G219" s="36">
        <f>Tabla16[[#This Row],[Importe]]-Tabla16[[#This Row],[Pagado]]</f>
        <v>0</v>
      </c>
      <c r="H219" s="38" t="s">
        <v>10</v>
      </c>
    </row>
    <row r="220" spans="1:8" x14ac:dyDescent="0.25">
      <c r="A220" s="31">
        <v>44684</v>
      </c>
      <c r="B220" s="38" t="s">
        <v>14301</v>
      </c>
      <c r="C220" s="38" t="s">
        <v>127</v>
      </c>
      <c r="D220" s="34">
        <v>1612</v>
      </c>
      <c r="E220" s="35">
        <v>44684</v>
      </c>
      <c r="F220" s="34">
        <v>1612</v>
      </c>
      <c r="G220" s="36">
        <f>Tabla16[[#This Row],[Importe]]-Tabla16[[#This Row],[Pagado]]</f>
        <v>0</v>
      </c>
      <c r="H220" s="38" t="s">
        <v>10</v>
      </c>
    </row>
    <row r="221" spans="1:8" x14ac:dyDescent="0.25">
      <c r="A221" s="31">
        <v>44684</v>
      </c>
      <c r="B221" s="38" t="s">
        <v>14302</v>
      </c>
      <c r="C221" s="38" t="s">
        <v>129</v>
      </c>
      <c r="D221" s="34">
        <v>2270.5</v>
      </c>
      <c r="E221" s="35">
        <v>44684</v>
      </c>
      <c r="F221" s="34">
        <v>2270.5</v>
      </c>
      <c r="G221" s="36">
        <f>Tabla16[[#This Row],[Importe]]-Tabla16[[#This Row],[Pagado]]</f>
        <v>0</v>
      </c>
      <c r="H221" s="38" t="s">
        <v>10</v>
      </c>
    </row>
    <row r="222" spans="1:8" x14ac:dyDescent="0.25">
      <c r="A222" s="31">
        <v>44684</v>
      </c>
      <c r="B222" s="38" t="s">
        <v>14303</v>
      </c>
      <c r="C222" s="38" t="s">
        <v>129</v>
      </c>
      <c r="D222" s="34">
        <v>832</v>
      </c>
      <c r="E222" s="35">
        <v>44684</v>
      </c>
      <c r="F222" s="34">
        <v>832</v>
      </c>
      <c r="G222" s="36">
        <f>Tabla16[[#This Row],[Importe]]-Tabla16[[#This Row],[Pagado]]</f>
        <v>0</v>
      </c>
      <c r="H222" s="38" t="s">
        <v>10</v>
      </c>
    </row>
    <row r="223" spans="1:8" x14ac:dyDescent="0.25">
      <c r="A223" s="31">
        <v>44684</v>
      </c>
      <c r="B223" s="38" t="s">
        <v>14304</v>
      </c>
      <c r="C223" s="38" t="s">
        <v>83</v>
      </c>
      <c r="D223" s="34">
        <v>7131.6</v>
      </c>
      <c r="E223" s="35">
        <v>44684</v>
      </c>
      <c r="F223" s="34">
        <v>7131.6</v>
      </c>
      <c r="G223" s="36">
        <f>Tabla16[[#This Row],[Importe]]-Tabla16[[#This Row],[Pagado]]</f>
        <v>0</v>
      </c>
      <c r="H223" s="38" t="s">
        <v>10</v>
      </c>
    </row>
    <row r="224" spans="1:8" x14ac:dyDescent="0.25">
      <c r="A224" s="31">
        <v>44684</v>
      </c>
      <c r="B224" s="38" t="s">
        <v>14305</v>
      </c>
      <c r="C224" s="38" t="s">
        <v>146</v>
      </c>
      <c r="D224" s="34">
        <v>3308.8</v>
      </c>
      <c r="E224" s="35">
        <v>44684</v>
      </c>
      <c r="F224" s="34">
        <v>3308.8</v>
      </c>
      <c r="G224" s="36">
        <f>Tabla16[[#This Row],[Importe]]-Tabla16[[#This Row],[Pagado]]</f>
        <v>0</v>
      </c>
      <c r="H224" s="38" t="s">
        <v>10</v>
      </c>
    </row>
    <row r="225" spans="1:8" x14ac:dyDescent="0.25">
      <c r="A225" s="31">
        <v>44684</v>
      </c>
      <c r="B225" s="38" t="s">
        <v>14306</v>
      </c>
      <c r="C225" s="38" t="s">
        <v>85</v>
      </c>
      <c r="D225" s="34">
        <v>2528</v>
      </c>
      <c r="E225" s="35">
        <v>44684</v>
      </c>
      <c r="F225" s="34">
        <v>2528</v>
      </c>
      <c r="G225" s="36">
        <f>Tabla16[[#This Row],[Importe]]-Tabla16[[#This Row],[Pagado]]</f>
        <v>0</v>
      </c>
      <c r="H225" s="38" t="s">
        <v>10</v>
      </c>
    </row>
    <row r="226" spans="1:8" x14ac:dyDescent="0.25">
      <c r="A226" s="31">
        <v>44684</v>
      </c>
      <c r="B226" s="38" t="s">
        <v>14307</v>
      </c>
      <c r="C226" s="38" t="s">
        <v>47</v>
      </c>
      <c r="D226" s="34">
        <v>36088.92</v>
      </c>
      <c r="E226" s="35">
        <v>44684</v>
      </c>
      <c r="F226" s="34">
        <v>36088.92</v>
      </c>
      <c r="G226" s="36">
        <f>Tabla16[[#This Row],[Importe]]-Tabla16[[#This Row],[Pagado]]</f>
        <v>0</v>
      </c>
      <c r="H226" s="38" t="s">
        <v>10</v>
      </c>
    </row>
    <row r="227" spans="1:8" x14ac:dyDescent="0.25">
      <c r="A227" s="31">
        <v>44684</v>
      </c>
      <c r="B227" s="38" t="s">
        <v>14308</v>
      </c>
      <c r="C227" s="38" t="s">
        <v>79</v>
      </c>
      <c r="D227" s="34">
        <v>12913.2</v>
      </c>
      <c r="E227" s="35">
        <v>44685</v>
      </c>
      <c r="F227" s="34">
        <v>12913.2</v>
      </c>
      <c r="G227" s="36">
        <f>Tabla16[[#This Row],[Importe]]-Tabla16[[#This Row],[Pagado]]</f>
        <v>0</v>
      </c>
      <c r="H227" s="38" t="s">
        <v>10</v>
      </c>
    </row>
    <row r="228" spans="1:8" x14ac:dyDescent="0.25">
      <c r="A228" s="31">
        <v>44684</v>
      </c>
      <c r="B228" s="38" t="s">
        <v>14309</v>
      </c>
      <c r="C228" s="38" t="s">
        <v>319</v>
      </c>
      <c r="D228" s="34">
        <v>5962.4</v>
      </c>
      <c r="E228" s="35">
        <v>44685</v>
      </c>
      <c r="F228" s="34">
        <v>5962.4</v>
      </c>
      <c r="G228" s="36">
        <f>Tabla16[[#This Row],[Importe]]-Tabla16[[#This Row],[Pagado]]</f>
        <v>0</v>
      </c>
      <c r="H228" s="38" t="s">
        <v>10</v>
      </c>
    </row>
    <row r="229" spans="1:8" x14ac:dyDescent="0.25">
      <c r="A229" s="31">
        <v>44684</v>
      </c>
      <c r="B229" s="38" t="s">
        <v>14310</v>
      </c>
      <c r="C229" s="38" t="s">
        <v>518</v>
      </c>
      <c r="D229" s="34">
        <v>1295.2</v>
      </c>
      <c r="E229" s="35">
        <v>44685</v>
      </c>
      <c r="F229" s="34">
        <v>1295.2</v>
      </c>
      <c r="G229" s="36">
        <f>Tabla16[[#This Row],[Importe]]-Tabla16[[#This Row],[Pagado]]</f>
        <v>0</v>
      </c>
      <c r="H229" s="38" t="s">
        <v>10</v>
      </c>
    </row>
    <row r="230" spans="1:8" x14ac:dyDescent="0.25">
      <c r="A230" s="31">
        <v>44684</v>
      </c>
      <c r="B230" s="38" t="s">
        <v>14311</v>
      </c>
      <c r="C230" s="38" t="s">
        <v>520</v>
      </c>
      <c r="D230" s="34">
        <v>11493.9</v>
      </c>
      <c r="E230" s="35">
        <v>44685</v>
      </c>
      <c r="F230" s="34">
        <v>11493.9</v>
      </c>
      <c r="G230" s="36">
        <f>Tabla16[[#This Row],[Importe]]-Tabla16[[#This Row],[Pagado]]</f>
        <v>0</v>
      </c>
      <c r="H230" s="38" t="s">
        <v>10</v>
      </c>
    </row>
    <row r="231" spans="1:8" x14ac:dyDescent="0.25">
      <c r="A231" s="31">
        <v>44684</v>
      </c>
      <c r="B231" s="38" t="s">
        <v>14312</v>
      </c>
      <c r="C231" s="38" t="s">
        <v>157</v>
      </c>
      <c r="D231" s="34">
        <v>4114.1000000000004</v>
      </c>
      <c r="E231" s="35">
        <v>44685</v>
      </c>
      <c r="F231" s="34">
        <v>4114.1000000000004</v>
      </c>
      <c r="G231" s="36">
        <f>Tabla16[[#This Row],[Importe]]-Tabla16[[#This Row],[Pagado]]</f>
        <v>0</v>
      </c>
      <c r="H231" s="38" t="s">
        <v>10</v>
      </c>
    </row>
    <row r="232" spans="1:8" x14ac:dyDescent="0.25">
      <c r="A232" s="31">
        <v>44684</v>
      </c>
      <c r="B232" s="38" t="s">
        <v>14313</v>
      </c>
      <c r="C232" s="38" t="s">
        <v>159</v>
      </c>
      <c r="D232" s="34">
        <v>1935.5</v>
      </c>
      <c r="E232" s="35">
        <v>44685</v>
      </c>
      <c r="F232" s="34">
        <v>1935.5</v>
      </c>
      <c r="G232" s="36">
        <f>Tabla16[[#This Row],[Importe]]-Tabla16[[#This Row],[Pagado]]</f>
        <v>0</v>
      </c>
      <c r="H232" s="38" t="s">
        <v>10</v>
      </c>
    </row>
    <row r="233" spans="1:8" x14ac:dyDescent="0.25">
      <c r="A233" s="31">
        <v>44684</v>
      </c>
      <c r="B233" s="38" t="s">
        <v>14314</v>
      </c>
      <c r="C233" s="38" t="s">
        <v>426</v>
      </c>
      <c r="D233" s="34">
        <v>3620.5</v>
      </c>
      <c r="E233" s="35">
        <v>44684</v>
      </c>
      <c r="F233" s="34">
        <v>3620.5</v>
      </c>
      <c r="G233" s="36">
        <f>Tabla16[[#This Row],[Importe]]-Tabla16[[#This Row],[Pagado]]</f>
        <v>0</v>
      </c>
      <c r="H233" s="38" t="s">
        <v>10</v>
      </c>
    </row>
    <row r="234" spans="1:8" x14ac:dyDescent="0.25">
      <c r="A234" s="31">
        <v>44684</v>
      </c>
      <c r="B234" s="38" t="s">
        <v>14315</v>
      </c>
      <c r="C234" s="38" t="s">
        <v>75</v>
      </c>
      <c r="D234" s="34">
        <v>5625.6</v>
      </c>
      <c r="E234" s="35">
        <v>44684</v>
      </c>
      <c r="F234" s="34">
        <v>5625.6</v>
      </c>
      <c r="G234" s="36">
        <f>Tabla16[[#This Row],[Importe]]-Tabla16[[#This Row],[Pagado]]</f>
        <v>0</v>
      </c>
      <c r="H234" s="38" t="s">
        <v>10</v>
      </c>
    </row>
    <row r="235" spans="1:8" x14ac:dyDescent="0.25">
      <c r="A235" s="31">
        <v>44684</v>
      </c>
      <c r="B235" s="38" t="s">
        <v>14316</v>
      </c>
      <c r="C235" s="38" t="s">
        <v>518</v>
      </c>
      <c r="D235" s="34">
        <v>947.2</v>
      </c>
      <c r="E235" s="35">
        <v>44685</v>
      </c>
      <c r="F235" s="34">
        <v>947.2</v>
      </c>
      <c r="G235" s="36">
        <f>Tabla16[[#This Row],[Importe]]-Tabla16[[#This Row],[Pagado]]</f>
        <v>0</v>
      </c>
      <c r="H235" s="38" t="s">
        <v>10</v>
      </c>
    </row>
    <row r="236" spans="1:8" x14ac:dyDescent="0.25">
      <c r="A236" s="31">
        <v>44684</v>
      </c>
      <c r="B236" s="38" t="s">
        <v>14317</v>
      </c>
      <c r="C236" s="38" t="s">
        <v>151</v>
      </c>
      <c r="D236" s="34">
        <v>20050.8</v>
      </c>
      <c r="E236" s="35">
        <v>44685</v>
      </c>
      <c r="F236" s="34">
        <v>20050.8</v>
      </c>
      <c r="G236" s="36">
        <f>Tabla16[[#This Row],[Importe]]-Tabla16[[#This Row],[Pagado]]</f>
        <v>0</v>
      </c>
      <c r="H236" s="38" t="s">
        <v>10</v>
      </c>
    </row>
    <row r="237" spans="1:8" x14ac:dyDescent="0.25">
      <c r="A237" s="31">
        <v>44684</v>
      </c>
      <c r="B237" s="38" t="s">
        <v>14318</v>
      </c>
      <c r="C237" s="38" t="s">
        <v>175</v>
      </c>
      <c r="D237" s="34">
        <v>4554</v>
      </c>
      <c r="E237" s="35">
        <v>44684</v>
      </c>
      <c r="F237" s="34">
        <v>4554</v>
      </c>
      <c r="G237" s="36">
        <f>Tabla16[[#This Row],[Importe]]-Tabla16[[#This Row],[Pagado]]</f>
        <v>0</v>
      </c>
      <c r="H237" s="38" t="s">
        <v>10</v>
      </c>
    </row>
    <row r="238" spans="1:8" x14ac:dyDescent="0.25">
      <c r="A238" s="31">
        <v>44684</v>
      </c>
      <c r="B238" s="38" t="s">
        <v>14319</v>
      </c>
      <c r="C238" s="38" t="s">
        <v>291</v>
      </c>
      <c r="D238" s="34">
        <v>2958</v>
      </c>
      <c r="E238" s="35">
        <v>44685</v>
      </c>
      <c r="F238" s="34">
        <v>2958</v>
      </c>
      <c r="G238" s="36">
        <f>Tabla16[[#This Row],[Importe]]-Tabla16[[#This Row],[Pagado]]</f>
        <v>0</v>
      </c>
      <c r="H238" s="38" t="s">
        <v>10</v>
      </c>
    </row>
    <row r="239" spans="1:8" x14ac:dyDescent="0.25">
      <c r="A239" s="31">
        <v>44684</v>
      </c>
      <c r="B239" s="38" t="s">
        <v>14320</v>
      </c>
      <c r="C239" s="38" t="s">
        <v>14321</v>
      </c>
      <c r="D239" s="34">
        <v>0</v>
      </c>
      <c r="E239" s="39" t="s">
        <v>189</v>
      </c>
      <c r="F239" s="34">
        <v>0</v>
      </c>
      <c r="G239" s="36">
        <f>Tabla16[[#This Row],[Importe]]-Tabla16[[#This Row],[Pagado]]</f>
        <v>0</v>
      </c>
      <c r="H239" s="38" t="s">
        <v>189</v>
      </c>
    </row>
    <row r="240" spans="1:8" x14ac:dyDescent="0.25">
      <c r="A240" s="31">
        <v>44684</v>
      </c>
      <c r="B240" s="38" t="s">
        <v>14322</v>
      </c>
      <c r="C240" s="38" t="s">
        <v>83</v>
      </c>
      <c r="D240" s="34">
        <v>2824</v>
      </c>
      <c r="E240" s="35">
        <v>44684</v>
      </c>
      <c r="F240" s="34">
        <v>2824</v>
      </c>
      <c r="G240" s="36">
        <f>Tabla16[[#This Row],[Importe]]-Tabla16[[#This Row],[Pagado]]</f>
        <v>0</v>
      </c>
      <c r="H240" s="38" t="s">
        <v>10</v>
      </c>
    </row>
    <row r="241" spans="1:8" x14ac:dyDescent="0.25">
      <c r="A241" s="31">
        <v>44684</v>
      </c>
      <c r="B241" s="38" t="s">
        <v>14323</v>
      </c>
      <c r="C241" s="38" t="s">
        <v>56</v>
      </c>
      <c r="D241" s="34">
        <v>4272.2</v>
      </c>
      <c r="E241" s="35">
        <v>44684</v>
      </c>
      <c r="F241" s="34">
        <v>4272.2</v>
      </c>
      <c r="G241" s="36">
        <f>Tabla16[[#This Row],[Importe]]-Tabla16[[#This Row],[Pagado]]</f>
        <v>0</v>
      </c>
      <c r="H241" s="38" t="s">
        <v>10</v>
      </c>
    </row>
    <row r="242" spans="1:8" x14ac:dyDescent="0.25">
      <c r="A242" s="31">
        <v>44684</v>
      </c>
      <c r="B242" s="38" t="s">
        <v>14324</v>
      </c>
      <c r="C242" s="38" t="s">
        <v>216</v>
      </c>
      <c r="D242" s="34">
        <v>2086.4</v>
      </c>
      <c r="E242" s="35">
        <v>44684</v>
      </c>
      <c r="F242" s="34">
        <v>2086.4</v>
      </c>
      <c r="G242" s="36">
        <f>Tabla16[[#This Row],[Importe]]-Tabla16[[#This Row],[Pagado]]</f>
        <v>0</v>
      </c>
      <c r="H242" s="38" t="s">
        <v>10</v>
      </c>
    </row>
    <row r="243" spans="1:8" x14ac:dyDescent="0.25">
      <c r="A243" s="31">
        <v>44684</v>
      </c>
      <c r="B243" s="38" t="s">
        <v>14325</v>
      </c>
      <c r="C243" s="38" t="s">
        <v>1362</v>
      </c>
      <c r="D243" s="34">
        <v>5304</v>
      </c>
      <c r="E243" s="35">
        <v>44684</v>
      </c>
      <c r="F243" s="34">
        <v>5304</v>
      </c>
      <c r="G243" s="36">
        <f>Tabla16[[#This Row],[Importe]]-Tabla16[[#This Row],[Pagado]]</f>
        <v>0</v>
      </c>
      <c r="H243" s="38" t="s">
        <v>10</v>
      </c>
    </row>
    <row r="244" spans="1:8" x14ac:dyDescent="0.25">
      <c r="A244" s="31">
        <v>44684</v>
      </c>
      <c r="B244" s="38" t="s">
        <v>14326</v>
      </c>
      <c r="C244" s="38" t="s">
        <v>142</v>
      </c>
      <c r="D244" s="34">
        <v>51784.4</v>
      </c>
      <c r="E244" s="35">
        <v>44722</v>
      </c>
      <c r="F244" s="34">
        <v>51784.4</v>
      </c>
      <c r="G244" s="36">
        <f>Tabla16[[#This Row],[Importe]]-Tabla16[[#This Row],[Pagado]]</f>
        <v>0</v>
      </c>
      <c r="H244" s="38" t="s">
        <v>10</v>
      </c>
    </row>
    <row r="245" spans="1:8" x14ac:dyDescent="0.25">
      <c r="A245" s="31">
        <v>44684</v>
      </c>
      <c r="B245" s="38" t="s">
        <v>14327</v>
      </c>
      <c r="C245" s="38" t="s">
        <v>670</v>
      </c>
      <c r="D245" s="34">
        <v>4605.5</v>
      </c>
      <c r="E245" s="35">
        <v>44684</v>
      </c>
      <c r="F245" s="34">
        <v>4605.5</v>
      </c>
      <c r="G245" s="36">
        <f>Tabla16[[#This Row],[Importe]]-Tabla16[[#This Row],[Pagado]]</f>
        <v>0</v>
      </c>
      <c r="H245" s="38" t="s">
        <v>10</v>
      </c>
    </row>
    <row r="246" spans="1:8" x14ac:dyDescent="0.25">
      <c r="A246" s="31">
        <v>44684</v>
      </c>
      <c r="B246" s="38" t="s">
        <v>14328</v>
      </c>
      <c r="C246" s="38" t="s">
        <v>24</v>
      </c>
      <c r="D246" s="34">
        <v>3753.9</v>
      </c>
      <c r="E246" s="35">
        <v>44684</v>
      </c>
      <c r="F246" s="34">
        <v>3753.9</v>
      </c>
      <c r="G246" s="36">
        <f>Tabla16[[#This Row],[Importe]]-Tabla16[[#This Row],[Pagado]]</f>
        <v>0</v>
      </c>
      <c r="H246" s="38" t="s">
        <v>10</v>
      </c>
    </row>
    <row r="247" spans="1:8" x14ac:dyDescent="0.25">
      <c r="A247" s="31">
        <v>44684</v>
      </c>
      <c r="B247" s="38" t="s">
        <v>14329</v>
      </c>
      <c r="C247" s="38" t="s">
        <v>224</v>
      </c>
      <c r="D247" s="34">
        <v>616</v>
      </c>
      <c r="E247" s="35">
        <v>44684</v>
      </c>
      <c r="F247" s="34">
        <v>616</v>
      </c>
      <c r="G247" s="36">
        <f>Tabla16[[#This Row],[Importe]]-Tabla16[[#This Row],[Pagado]]</f>
        <v>0</v>
      </c>
      <c r="H247" s="38" t="s">
        <v>10</v>
      </c>
    </row>
    <row r="248" spans="1:8" x14ac:dyDescent="0.25">
      <c r="A248" s="31">
        <v>44684</v>
      </c>
      <c r="B248" s="38" t="s">
        <v>14330</v>
      </c>
      <c r="C248" s="38" t="s">
        <v>31</v>
      </c>
      <c r="D248" s="34">
        <v>1158.4000000000001</v>
      </c>
      <c r="E248" s="35">
        <v>44684</v>
      </c>
      <c r="F248" s="34">
        <v>1158.4000000000001</v>
      </c>
      <c r="G248" s="36">
        <f>Tabla16[[#This Row],[Importe]]-Tabla16[[#This Row],[Pagado]]</f>
        <v>0</v>
      </c>
      <c r="H248" s="38" t="s">
        <v>10</v>
      </c>
    </row>
    <row r="249" spans="1:8" x14ac:dyDescent="0.25">
      <c r="A249" s="31">
        <v>44684</v>
      </c>
      <c r="B249" s="38" t="s">
        <v>14331</v>
      </c>
      <c r="C249" s="38" t="s">
        <v>45</v>
      </c>
      <c r="D249" s="34">
        <v>6001.8</v>
      </c>
      <c r="E249" s="35">
        <v>44684</v>
      </c>
      <c r="F249" s="34">
        <v>6001.8</v>
      </c>
      <c r="G249" s="36">
        <f>Tabla16[[#This Row],[Importe]]-Tabla16[[#This Row],[Pagado]]</f>
        <v>0</v>
      </c>
      <c r="H249" s="38" t="s">
        <v>10</v>
      </c>
    </row>
    <row r="250" spans="1:8" x14ac:dyDescent="0.25">
      <c r="A250" s="31">
        <v>44684</v>
      </c>
      <c r="B250" s="38" t="s">
        <v>14332</v>
      </c>
      <c r="C250" s="38" t="s">
        <v>62</v>
      </c>
      <c r="D250" s="34">
        <v>3672.9</v>
      </c>
      <c r="E250" s="35">
        <v>44684</v>
      </c>
      <c r="F250" s="34">
        <v>3672.9</v>
      </c>
      <c r="G250" s="36">
        <f>Tabla16[[#This Row],[Importe]]-Tabla16[[#This Row],[Pagado]]</f>
        <v>0</v>
      </c>
      <c r="H250" s="38" t="s">
        <v>10</v>
      </c>
    </row>
    <row r="251" spans="1:8" x14ac:dyDescent="0.25">
      <c r="A251" s="31">
        <v>44684</v>
      </c>
      <c r="B251" s="38" t="s">
        <v>14333</v>
      </c>
      <c r="C251" s="38" t="s">
        <v>2139</v>
      </c>
      <c r="D251" s="34">
        <v>1298</v>
      </c>
      <c r="E251" s="35">
        <v>44684</v>
      </c>
      <c r="F251" s="34">
        <v>1298</v>
      </c>
      <c r="G251" s="36">
        <f>Tabla16[[#This Row],[Importe]]-Tabla16[[#This Row],[Pagado]]</f>
        <v>0</v>
      </c>
      <c r="H251" s="38" t="s">
        <v>10</v>
      </c>
    </row>
    <row r="252" spans="1:8" x14ac:dyDescent="0.25">
      <c r="A252" s="31">
        <v>44684</v>
      </c>
      <c r="B252" s="38" t="s">
        <v>14334</v>
      </c>
      <c r="C252" s="38" t="s">
        <v>191</v>
      </c>
      <c r="D252" s="34">
        <v>1737.6</v>
      </c>
      <c r="E252" s="35">
        <v>44684</v>
      </c>
      <c r="F252" s="34">
        <v>1737.6</v>
      </c>
      <c r="G252" s="36">
        <f>Tabla16[[#This Row],[Importe]]-Tabla16[[#This Row],[Pagado]]</f>
        <v>0</v>
      </c>
      <c r="H252" s="38" t="s">
        <v>10</v>
      </c>
    </row>
    <row r="253" spans="1:8" x14ac:dyDescent="0.25">
      <c r="A253" s="31">
        <v>44684</v>
      </c>
      <c r="B253" s="38" t="s">
        <v>14335</v>
      </c>
      <c r="C253" s="38" t="s">
        <v>230</v>
      </c>
      <c r="D253" s="34">
        <v>3872</v>
      </c>
      <c r="E253" s="35">
        <v>44684</v>
      </c>
      <c r="F253" s="34">
        <v>3872</v>
      </c>
      <c r="G253" s="36">
        <f>Tabla16[[#This Row],[Importe]]-Tabla16[[#This Row],[Pagado]]</f>
        <v>0</v>
      </c>
      <c r="H253" s="38" t="s">
        <v>10</v>
      </c>
    </row>
    <row r="254" spans="1:8" x14ac:dyDescent="0.25">
      <c r="A254" s="31">
        <v>44684</v>
      </c>
      <c r="B254" s="38" t="s">
        <v>14336</v>
      </c>
      <c r="C254" s="38" t="s">
        <v>58</v>
      </c>
      <c r="D254" s="34">
        <v>6241.9</v>
      </c>
      <c r="E254" s="35">
        <v>44684</v>
      </c>
      <c r="F254" s="34">
        <v>6241.9</v>
      </c>
      <c r="G254" s="36">
        <f>Tabla16[[#This Row],[Importe]]-Tabla16[[#This Row],[Pagado]]</f>
        <v>0</v>
      </c>
      <c r="H254" s="38" t="s">
        <v>10</v>
      </c>
    </row>
    <row r="255" spans="1:8" x14ac:dyDescent="0.25">
      <c r="A255" s="31">
        <v>44684</v>
      </c>
      <c r="B255" s="38" t="s">
        <v>14337</v>
      </c>
      <c r="C255" s="38" t="s">
        <v>419</v>
      </c>
      <c r="D255" s="34">
        <v>7574.1</v>
      </c>
      <c r="E255" s="35">
        <v>44684</v>
      </c>
      <c r="F255" s="34">
        <v>7574.1</v>
      </c>
      <c r="G255" s="36">
        <f>Tabla16[[#This Row],[Importe]]-Tabla16[[#This Row],[Pagado]]</f>
        <v>0</v>
      </c>
      <c r="H255" s="38" t="s">
        <v>10</v>
      </c>
    </row>
    <row r="256" spans="1:8" x14ac:dyDescent="0.25">
      <c r="A256" s="31">
        <v>44684</v>
      </c>
      <c r="B256" s="38" t="s">
        <v>14338</v>
      </c>
      <c r="C256" s="38" t="s">
        <v>196</v>
      </c>
      <c r="D256" s="34">
        <v>17596.349999999999</v>
      </c>
      <c r="E256" s="35">
        <v>44687</v>
      </c>
      <c r="F256" s="34">
        <v>17596.349999999999</v>
      </c>
      <c r="G256" s="36">
        <f>Tabla16[[#This Row],[Importe]]-Tabla16[[#This Row],[Pagado]]</f>
        <v>0</v>
      </c>
      <c r="H256" s="38" t="s">
        <v>10</v>
      </c>
    </row>
    <row r="257" spans="1:8" x14ac:dyDescent="0.25">
      <c r="A257" s="31">
        <v>44684</v>
      </c>
      <c r="B257" s="38" t="s">
        <v>14339</v>
      </c>
      <c r="C257" s="38" t="s">
        <v>14340</v>
      </c>
      <c r="D257" s="34">
        <v>0</v>
      </c>
      <c r="E257" s="39" t="s">
        <v>189</v>
      </c>
      <c r="F257" s="34">
        <v>0</v>
      </c>
      <c r="G257" s="36">
        <f>Tabla16[[#This Row],[Importe]]-Tabla16[[#This Row],[Pagado]]</f>
        <v>0</v>
      </c>
      <c r="H257" s="38" t="s">
        <v>189</v>
      </c>
    </row>
    <row r="258" spans="1:8" x14ac:dyDescent="0.25">
      <c r="A258" s="31">
        <v>44684</v>
      </c>
      <c r="B258" s="38" t="s">
        <v>14341</v>
      </c>
      <c r="C258" s="38" t="s">
        <v>4502</v>
      </c>
      <c r="D258" s="34">
        <v>735</v>
      </c>
      <c r="E258" s="35">
        <v>44684</v>
      </c>
      <c r="F258" s="34">
        <v>735</v>
      </c>
      <c r="G258" s="36">
        <f>Tabla16[[#This Row],[Importe]]-Tabla16[[#This Row],[Pagado]]</f>
        <v>0</v>
      </c>
      <c r="H258" s="38" t="s">
        <v>10</v>
      </c>
    </row>
    <row r="259" spans="1:8" x14ac:dyDescent="0.25">
      <c r="A259" s="31">
        <v>44684</v>
      </c>
      <c r="B259" s="38" t="s">
        <v>14342</v>
      </c>
      <c r="C259" s="38" t="s">
        <v>107</v>
      </c>
      <c r="D259" s="34">
        <v>14421.7</v>
      </c>
      <c r="E259" s="35">
        <v>44684</v>
      </c>
      <c r="F259" s="34">
        <v>14421.7</v>
      </c>
      <c r="G259" s="36">
        <f>Tabla16[[#This Row],[Importe]]-Tabla16[[#This Row],[Pagado]]</f>
        <v>0</v>
      </c>
      <c r="H259" s="38" t="s">
        <v>10</v>
      </c>
    </row>
    <row r="260" spans="1:8" x14ac:dyDescent="0.25">
      <c r="A260" s="31">
        <v>44684</v>
      </c>
      <c r="B260" s="38" t="s">
        <v>14343</v>
      </c>
      <c r="C260" s="38" t="s">
        <v>275</v>
      </c>
      <c r="D260" s="34">
        <v>147257</v>
      </c>
      <c r="E260" s="35">
        <v>44694</v>
      </c>
      <c r="F260" s="34">
        <v>147257</v>
      </c>
      <c r="G260" s="36">
        <f>Tabla16[[#This Row],[Importe]]-Tabla16[[#This Row],[Pagado]]</f>
        <v>0</v>
      </c>
      <c r="H260" s="38" t="s">
        <v>10</v>
      </c>
    </row>
    <row r="261" spans="1:8" x14ac:dyDescent="0.25">
      <c r="A261" s="31">
        <v>44684</v>
      </c>
      <c r="B261" s="38" t="s">
        <v>14344</v>
      </c>
      <c r="C261" s="38" t="s">
        <v>16</v>
      </c>
      <c r="D261" s="34">
        <v>589.6</v>
      </c>
      <c r="E261" s="35">
        <v>44684</v>
      </c>
      <c r="F261" s="34">
        <v>589.6</v>
      </c>
      <c r="G261" s="36">
        <f>Tabla16[[#This Row],[Importe]]-Tabla16[[#This Row],[Pagado]]</f>
        <v>0</v>
      </c>
      <c r="H261" s="38" t="s">
        <v>10</v>
      </c>
    </row>
    <row r="262" spans="1:8" x14ac:dyDescent="0.25">
      <c r="A262" s="31">
        <v>44684</v>
      </c>
      <c r="B262" s="38" t="s">
        <v>14345</v>
      </c>
      <c r="C262" s="38" t="s">
        <v>698</v>
      </c>
      <c r="D262" s="34">
        <v>4788.8999999999996</v>
      </c>
      <c r="E262" s="35">
        <v>44684</v>
      </c>
      <c r="F262" s="34">
        <v>4788.8999999999996</v>
      </c>
      <c r="G262" s="36">
        <f>Tabla16[[#This Row],[Importe]]-Tabla16[[#This Row],[Pagado]]</f>
        <v>0</v>
      </c>
      <c r="H262" s="38" t="s">
        <v>10</v>
      </c>
    </row>
    <row r="263" spans="1:8" x14ac:dyDescent="0.25">
      <c r="A263" s="31">
        <v>44684</v>
      </c>
      <c r="B263" s="38" t="s">
        <v>14346</v>
      </c>
      <c r="C263" s="38" t="s">
        <v>698</v>
      </c>
      <c r="D263" s="34">
        <v>164</v>
      </c>
      <c r="E263" s="35">
        <v>44684</v>
      </c>
      <c r="F263" s="34">
        <v>164</v>
      </c>
      <c r="G263" s="36">
        <f>Tabla16[[#This Row],[Importe]]-Tabla16[[#This Row],[Pagado]]</f>
        <v>0</v>
      </c>
      <c r="H263" s="38" t="s">
        <v>10</v>
      </c>
    </row>
    <row r="264" spans="1:8" x14ac:dyDescent="0.25">
      <c r="A264" s="31">
        <v>44684</v>
      </c>
      <c r="B264" s="38" t="s">
        <v>14347</v>
      </c>
      <c r="C264" s="38" t="s">
        <v>1174</v>
      </c>
      <c r="D264" s="34">
        <v>38169.599999999999</v>
      </c>
      <c r="E264" s="35">
        <v>44684</v>
      </c>
      <c r="F264" s="34">
        <v>38169.599999999999</v>
      </c>
      <c r="G264" s="36">
        <f>Tabla16[[#This Row],[Importe]]-Tabla16[[#This Row],[Pagado]]</f>
        <v>0</v>
      </c>
      <c r="H264" s="38" t="s">
        <v>10</v>
      </c>
    </row>
    <row r="265" spans="1:8" x14ac:dyDescent="0.25">
      <c r="A265" s="31">
        <v>44684</v>
      </c>
      <c r="B265" s="38" t="s">
        <v>14348</v>
      </c>
      <c r="C265" s="38" t="s">
        <v>95</v>
      </c>
      <c r="D265" s="34">
        <v>13977.6</v>
      </c>
      <c r="E265" s="35">
        <v>44684</v>
      </c>
      <c r="F265" s="34">
        <v>13977.6</v>
      </c>
      <c r="G265" s="36">
        <f>Tabla16[[#This Row],[Importe]]-Tabla16[[#This Row],[Pagado]]</f>
        <v>0</v>
      </c>
      <c r="H265" s="38" t="s">
        <v>10</v>
      </c>
    </row>
    <row r="266" spans="1:8" x14ac:dyDescent="0.25">
      <c r="A266" s="31">
        <v>44684</v>
      </c>
      <c r="B266" s="38" t="s">
        <v>14349</v>
      </c>
      <c r="C266" s="38" t="s">
        <v>53</v>
      </c>
      <c r="D266" s="34">
        <v>2973.9</v>
      </c>
      <c r="E266" s="35">
        <v>44684</v>
      </c>
      <c r="F266" s="34">
        <v>2973.9</v>
      </c>
      <c r="G266" s="36">
        <f>Tabla16[[#This Row],[Importe]]-Tabla16[[#This Row],[Pagado]]</f>
        <v>0</v>
      </c>
      <c r="H266" s="38" t="s">
        <v>10</v>
      </c>
    </row>
    <row r="267" spans="1:8" x14ac:dyDescent="0.25">
      <c r="A267" s="31">
        <v>44684</v>
      </c>
      <c r="B267" s="38" t="s">
        <v>14350</v>
      </c>
      <c r="C267" s="38" t="s">
        <v>433</v>
      </c>
      <c r="D267" s="34">
        <v>33000</v>
      </c>
      <c r="E267" s="35">
        <v>44684</v>
      </c>
      <c r="F267" s="34">
        <v>33000</v>
      </c>
      <c r="G267" s="36">
        <f>Tabla16[[#This Row],[Importe]]-Tabla16[[#This Row],[Pagado]]</f>
        <v>0</v>
      </c>
      <c r="H267" s="38" t="s">
        <v>10</v>
      </c>
    </row>
    <row r="268" spans="1:8" x14ac:dyDescent="0.25">
      <c r="A268" s="31">
        <v>44684</v>
      </c>
      <c r="B268" s="38" t="s">
        <v>14351</v>
      </c>
      <c r="C268" s="38" t="s">
        <v>198</v>
      </c>
      <c r="D268" s="34">
        <v>5091.3999999999996</v>
      </c>
      <c r="E268" s="35">
        <v>44685</v>
      </c>
      <c r="F268" s="34">
        <v>5091.3999999999996</v>
      </c>
      <c r="G268" s="36">
        <f>Tabla16[[#This Row],[Importe]]-Tabla16[[#This Row],[Pagado]]</f>
        <v>0</v>
      </c>
      <c r="H268" s="38" t="s">
        <v>10</v>
      </c>
    </row>
    <row r="269" spans="1:8" x14ac:dyDescent="0.25">
      <c r="A269" s="31">
        <v>44684</v>
      </c>
      <c r="B269" s="38" t="s">
        <v>14352</v>
      </c>
      <c r="C269" s="38" t="s">
        <v>284</v>
      </c>
      <c r="D269" s="34">
        <v>8217</v>
      </c>
      <c r="E269" s="35">
        <v>44685</v>
      </c>
      <c r="F269" s="34">
        <v>8217</v>
      </c>
      <c r="G269" s="36">
        <f>Tabla16[[#This Row],[Importe]]-Tabla16[[#This Row],[Pagado]]</f>
        <v>0</v>
      </c>
      <c r="H269" s="38" t="s">
        <v>10</v>
      </c>
    </row>
    <row r="270" spans="1:8" x14ac:dyDescent="0.25">
      <c r="A270" s="31">
        <v>44684</v>
      </c>
      <c r="B270" s="38" t="s">
        <v>14353</v>
      </c>
      <c r="C270" s="38" t="s">
        <v>282</v>
      </c>
      <c r="D270" s="34">
        <v>1999.8</v>
      </c>
      <c r="E270" s="35">
        <v>44685</v>
      </c>
      <c r="F270" s="34">
        <v>1999.8</v>
      </c>
      <c r="G270" s="36">
        <f>Tabla16[[#This Row],[Importe]]-Tabla16[[#This Row],[Pagado]]</f>
        <v>0</v>
      </c>
      <c r="H270" s="38" t="s">
        <v>10</v>
      </c>
    </row>
    <row r="271" spans="1:8" x14ac:dyDescent="0.25">
      <c r="A271" s="31">
        <v>44684</v>
      </c>
      <c r="B271" s="38" t="s">
        <v>14354</v>
      </c>
      <c r="C271" s="38" t="s">
        <v>273</v>
      </c>
      <c r="D271" s="34">
        <v>3159.84</v>
      </c>
      <c r="E271" s="35">
        <v>44685</v>
      </c>
      <c r="F271" s="34">
        <v>3159.84</v>
      </c>
      <c r="G271" s="36">
        <f>Tabla16[[#This Row],[Importe]]-Tabla16[[#This Row],[Pagado]]</f>
        <v>0</v>
      </c>
      <c r="H271" s="38" t="s">
        <v>10</v>
      </c>
    </row>
    <row r="272" spans="1:8" x14ac:dyDescent="0.25">
      <c r="A272" s="31">
        <v>44684</v>
      </c>
      <c r="B272" s="38" t="s">
        <v>14355</v>
      </c>
      <c r="C272" s="38" t="s">
        <v>5345</v>
      </c>
      <c r="D272" s="34">
        <v>2613.6</v>
      </c>
      <c r="E272" s="35">
        <v>44685</v>
      </c>
      <c r="F272" s="34">
        <v>2613.6</v>
      </c>
      <c r="G272" s="36">
        <f>Tabla16[[#This Row],[Importe]]-Tabla16[[#This Row],[Pagado]]</f>
        <v>0</v>
      </c>
      <c r="H272" s="38" t="s">
        <v>10</v>
      </c>
    </row>
    <row r="273" spans="1:8" x14ac:dyDescent="0.25">
      <c r="A273" s="31">
        <v>44684</v>
      </c>
      <c r="B273" s="38" t="s">
        <v>14356</v>
      </c>
      <c r="C273" s="38" t="s">
        <v>612</v>
      </c>
      <c r="D273" s="34">
        <v>984</v>
      </c>
      <c r="E273" s="35">
        <v>44684</v>
      </c>
      <c r="F273" s="34">
        <v>984</v>
      </c>
      <c r="G273" s="36">
        <f>Tabla16[[#This Row],[Importe]]-Tabla16[[#This Row],[Pagado]]</f>
        <v>0</v>
      </c>
      <c r="H273" s="38" t="s">
        <v>10</v>
      </c>
    </row>
    <row r="274" spans="1:8" x14ac:dyDescent="0.25">
      <c r="A274" s="31">
        <v>44684</v>
      </c>
      <c r="B274" s="38" t="s">
        <v>14357</v>
      </c>
      <c r="C274" s="38" t="s">
        <v>296</v>
      </c>
      <c r="D274" s="34">
        <v>2194.1999999999998</v>
      </c>
      <c r="E274" s="35">
        <v>44684</v>
      </c>
      <c r="F274" s="34">
        <v>2194.1999999999998</v>
      </c>
      <c r="G274" s="36">
        <f>Tabla16[[#This Row],[Importe]]-Tabla16[[#This Row],[Pagado]]</f>
        <v>0</v>
      </c>
      <c r="H274" s="38" t="s">
        <v>10</v>
      </c>
    </row>
    <row r="275" spans="1:8" x14ac:dyDescent="0.25">
      <c r="A275" s="31">
        <v>44684</v>
      </c>
      <c r="B275" s="38" t="s">
        <v>14358</v>
      </c>
      <c r="C275" s="38" t="s">
        <v>1008</v>
      </c>
      <c r="D275" s="34">
        <v>3458.7</v>
      </c>
      <c r="E275" s="35">
        <v>44684</v>
      </c>
      <c r="F275" s="34">
        <v>3458.7</v>
      </c>
      <c r="G275" s="36">
        <f>Tabla16[[#This Row],[Importe]]-Tabla16[[#This Row],[Pagado]]</f>
        <v>0</v>
      </c>
      <c r="H275" s="38" t="s">
        <v>10</v>
      </c>
    </row>
    <row r="276" spans="1:8" x14ac:dyDescent="0.25">
      <c r="A276" s="31">
        <v>44684</v>
      </c>
      <c r="B276" s="38" t="s">
        <v>14359</v>
      </c>
      <c r="C276" s="38" t="s">
        <v>31</v>
      </c>
      <c r="D276" s="34">
        <v>2108.4</v>
      </c>
      <c r="E276" s="35">
        <v>44684</v>
      </c>
      <c r="F276" s="34">
        <v>2108.4</v>
      </c>
      <c r="G276" s="36">
        <f>Tabla16[[#This Row],[Importe]]-Tabla16[[#This Row],[Pagado]]</f>
        <v>0</v>
      </c>
      <c r="H276" s="38" t="s">
        <v>10</v>
      </c>
    </row>
    <row r="277" spans="1:8" x14ac:dyDescent="0.25">
      <c r="A277" s="31">
        <v>44684</v>
      </c>
      <c r="B277" s="38" t="s">
        <v>14360</v>
      </c>
      <c r="C277" s="38" t="s">
        <v>31</v>
      </c>
      <c r="D277" s="34">
        <v>375</v>
      </c>
      <c r="E277" s="35">
        <v>44684</v>
      </c>
      <c r="F277" s="34">
        <v>375</v>
      </c>
      <c r="G277" s="36">
        <f>Tabla16[[#This Row],[Importe]]-Tabla16[[#This Row],[Pagado]]</f>
        <v>0</v>
      </c>
      <c r="H277" s="38" t="s">
        <v>10</v>
      </c>
    </row>
    <row r="278" spans="1:8" x14ac:dyDescent="0.25">
      <c r="A278" s="31">
        <v>44684</v>
      </c>
      <c r="B278" s="38" t="s">
        <v>14361</v>
      </c>
      <c r="C278" s="38" t="s">
        <v>473</v>
      </c>
      <c r="D278" s="34">
        <v>4820.8</v>
      </c>
      <c r="E278" s="35">
        <v>44685</v>
      </c>
      <c r="F278" s="34">
        <v>4820.8</v>
      </c>
      <c r="G278" s="36">
        <f>Tabla16[[#This Row],[Importe]]-Tabla16[[#This Row],[Pagado]]</f>
        <v>0</v>
      </c>
      <c r="H278" s="38" t="s">
        <v>10</v>
      </c>
    </row>
    <row r="279" spans="1:8" x14ac:dyDescent="0.25">
      <c r="A279" s="31">
        <v>44684</v>
      </c>
      <c r="B279" s="38" t="s">
        <v>14362</v>
      </c>
      <c r="C279" s="38" t="s">
        <v>296</v>
      </c>
      <c r="D279" s="34">
        <v>1690.5</v>
      </c>
      <c r="E279" s="35">
        <v>44684</v>
      </c>
      <c r="F279" s="34">
        <v>1690.5</v>
      </c>
      <c r="G279" s="36">
        <f>Tabla16[[#This Row],[Importe]]-Tabla16[[#This Row],[Pagado]]</f>
        <v>0</v>
      </c>
      <c r="H279" s="38" t="s">
        <v>10</v>
      </c>
    </row>
    <row r="280" spans="1:8" x14ac:dyDescent="0.25">
      <c r="A280" s="31">
        <v>44684</v>
      </c>
      <c r="B280" s="38" t="s">
        <v>14363</v>
      </c>
      <c r="C280" s="38" t="s">
        <v>10678</v>
      </c>
      <c r="D280" s="34">
        <v>676</v>
      </c>
      <c r="E280" s="35">
        <v>44684</v>
      </c>
      <c r="F280" s="34">
        <v>676</v>
      </c>
      <c r="G280" s="36">
        <f>Tabla16[[#This Row],[Importe]]-Tabla16[[#This Row],[Pagado]]</f>
        <v>0</v>
      </c>
      <c r="H280" s="38" t="s">
        <v>10</v>
      </c>
    </row>
    <row r="281" spans="1:8" x14ac:dyDescent="0.25">
      <c r="A281" s="31">
        <v>44684</v>
      </c>
      <c r="B281" s="38" t="s">
        <v>14364</v>
      </c>
      <c r="C281" s="38" t="s">
        <v>196</v>
      </c>
      <c r="D281" s="34">
        <v>74815.3</v>
      </c>
      <c r="E281" s="35">
        <v>44687</v>
      </c>
      <c r="F281" s="34">
        <v>74815.3</v>
      </c>
      <c r="G281" s="36">
        <f>Tabla16[[#This Row],[Importe]]-Tabla16[[#This Row],[Pagado]]</f>
        <v>0</v>
      </c>
      <c r="H281" s="38" t="s">
        <v>10</v>
      </c>
    </row>
    <row r="282" spans="1:8" x14ac:dyDescent="0.25">
      <c r="A282" s="31">
        <v>44684</v>
      </c>
      <c r="B282" s="38" t="s">
        <v>14365</v>
      </c>
      <c r="C282" s="38" t="s">
        <v>402</v>
      </c>
      <c r="D282" s="34">
        <v>14031</v>
      </c>
      <c r="E282" s="35">
        <v>44693</v>
      </c>
      <c r="F282" s="34">
        <v>14031</v>
      </c>
      <c r="G282" s="36">
        <f>Tabla16[[#This Row],[Importe]]-Tabla16[[#This Row],[Pagado]]</f>
        <v>0</v>
      </c>
      <c r="H282" s="38" t="s">
        <v>10</v>
      </c>
    </row>
    <row r="283" spans="1:8" x14ac:dyDescent="0.25">
      <c r="A283" s="31">
        <v>44684</v>
      </c>
      <c r="B283" s="38" t="s">
        <v>14366</v>
      </c>
      <c r="C283" s="38" t="s">
        <v>612</v>
      </c>
      <c r="D283" s="34">
        <v>1338</v>
      </c>
      <c r="E283" s="35">
        <v>44684</v>
      </c>
      <c r="F283" s="34">
        <v>1338</v>
      </c>
      <c r="G283" s="36">
        <f>Tabla16[[#This Row],[Importe]]-Tabla16[[#This Row],[Pagado]]</f>
        <v>0</v>
      </c>
      <c r="H283" s="38" t="s">
        <v>10</v>
      </c>
    </row>
    <row r="284" spans="1:8" x14ac:dyDescent="0.25">
      <c r="A284" s="31">
        <v>44684</v>
      </c>
      <c r="B284" s="38" t="s">
        <v>14367</v>
      </c>
      <c r="C284" s="38" t="s">
        <v>14368</v>
      </c>
      <c r="D284" s="34">
        <v>0</v>
      </c>
      <c r="E284" s="39" t="s">
        <v>189</v>
      </c>
      <c r="F284" s="34">
        <v>0</v>
      </c>
      <c r="G284" s="36">
        <f>Tabla16[[#This Row],[Importe]]-Tabla16[[#This Row],[Pagado]]</f>
        <v>0</v>
      </c>
      <c r="H284" s="38" t="s">
        <v>189</v>
      </c>
    </row>
    <row r="285" spans="1:8" x14ac:dyDescent="0.25">
      <c r="A285" s="31">
        <v>44684</v>
      </c>
      <c r="B285" s="38" t="s">
        <v>14369</v>
      </c>
      <c r="C285" s="38" t="s">
        <v>400</v>
      </c>
      <c r="D285" s="34">
        <v>5362.9</v>
      </c>
      <c r="E285" s="35">
        <v>44693</v>
      </c>
      <c r="F285" s="34">
        <v>5362.9</v>
      </c>
      <c r="G285" s="36">
        <f>Tabla16[[#This Row],[Importe]]-Tabla16[[#This Row],[Pagado]]</f>
        <v>0</v>
      </c>
      <c r="H285" s="38" t="s">
        <v>10</v>
      </c>
    </row>
    <row r="286" spans="1:8" x14ac:dyDescent="0.25">
      <c r="A286" s="31">
        <v>44684</v>
      </c>
      <c r="B286" s="38" t="s">
        <v>14370</v>
      </c>
      <c r="C286" s="38" t="s">
        <v>3177</v>
      </c>
      <c r="D286" s="34">
        <v>6000</v>
      </c>
      <c r="E286" s="35">
        <v>44684</v>
      </c>
      <c r="F286" s="34">
        <v>6000</v>
      </c>
      <c r="G286" s="36">
        <f>Tabla16[[#This Row],[Importe]]-Tabla16[[#This Row],[Pagado]]</f>
        <v>0</v>
      </c>
      <c r="H286" s="38" t="s">
        <v>10</v>
      </c>
    </row>
    <row r="287" spans="1:8" x14ac:dyDescent="0.25">
      <c r="A287" s="31">
        <v>44684</v>
      </c>
      <c r="B287" s="38" t="s">
        <v>14371</v>
      </c>
      <c r="C287" s="38" t="s">
        <v>196</v>
      </c>
      <c r="D287" s="34">
        <v>41825.300000000003</v>
      </c>
      <c r="E287" s="35">
        <v>44687</v>
      </c>
      <c r="F287" s="34">
        <v>41825.300000000003</v>
      </c>
      <c r="G287" s="36">
        <f>Tabla16[[#This Row],[Importe]]-Tabla16[[#This Row],[Pagado]]</f>
        <v>0</v>
      </c>
      <c r="H287" s="38" t="s">
        <v>10</v>
      </c>
    </row>
    <row r="288" spans="1:8" x14ac:dyDescent="0.25">
      <c r="A288" s="31">
        <v>44684</v>
      </c>
      <c r="B288" s="38" t="s">
        <v>14372</v>
      </c>
      <c r="C288" s="38" t="s">
        <v>407</v>
      </c>
      <c r="D288" s="34">
        <v>8120</v>
      </c>
      <c r="E288" s="35">
        <v>44688</v>
      </c>
      <c r="F288" s="34">
        <v>8120</v>
      </c>
      <c r="G288" s="36">
        <f>Tabla16[[#This Row],[Importe]]-Tabla16[[#This Row],[Pagado]]</f>
        <v>0</v>
      </c>
      <c r="H288" s="38" t="s">
        <v>10</v>
      </c>
    </row>
    <row r="289" spans="1:8" x14ac:dyDescent="0.25">
      <c r="A289" s="31">
        <v>44684</v>
      </c>
      <c r="B289" s="38" t="s">
        <v>14373</v>
      </c>
      <c r="C289" s="38" t="s">
        <v>10190</v>
      </c>
      <c r="D289" s="34">
        <v>18752.599999999999</v>
      </c>
      <c r="E289" s="35">
        <v>44685</v>
      </c>
      <c r="F289" s="34">
        <v>18752.599999999999</v>
      </c>
      <c r="G289" s="36">
        <f>Tabla16[[#This Row],[Importe]]-Tabla16[[#This Row],[Pagado]]</f>
        <v>0</v>
      </c>
      <c r="H289" s="38" t="s">
        <v>10</v>
      </c>
    </row>
    <row r="290" spans="1:8" x14ac:dyDescent="0.25">
      <c r="A290" s="31">
        <v>44685</v>
      </c>
      <c r="B290" s="38" t="s">
        <v>14374</v>
      </c>
      <c r="C290" s="38" t="s">
        <v>14375</v>
      </c>
      <c r="D290" s="34">
        <v>0</v>
      </c>
      <c r="E290" s="39" t="s">
        <v>189</v>
      </c>
      <c r="F290" s="34">
        <v>0</v>
      </c>
      <c r="G290" s="36">
        <f>Tabla16[[#This Row],[Importe]]-Tabla16[[#This Row],[Pagado]]</f>
        <v>0</v>
      </c>
      <c r="H290" s="38" t="s">
        <v>189</v>
      </c>
    </row>
    <row r="291" spans="1:8" x14ac:dyDescent="0.25">
      <c r="A291" s="31">
        <v>44685</v>
      </c>
      <c r="B291" s="38" t="s">
        <v>14376</v>
      </c>
      <c r="C291" s="38" t="s">
        <v>481</v>
      </c>
      <c r="D291" s="34">
        <v>1224.4000000000001</v>
      </c>
      <c r="E291" s="35">
        <v>44685</v>
      </c>
      <c r="F291" s="34">
        <v>1224.4000000000001</v>
      </c>
      <c r="G291" s="36">
        <f>Tabla16[[#This Row],[Importe]]-Tabla16[[#This Row],[Pagado]]</f>
        <v>0</v>
      </c>
      <c r="H291" s="38" t="s">
        <v>10</v>
      </c>
    </row>
    <row r="292" spans="1:8" x14ac:dyDescent="0.25">
      <c r="A292" s="31">
        <v>44685</v>
      </c>
      <c r="B292" s="38" t="s">
        <v>14377</v>
      </c>
      <c r="C292" s="38" t="s">
        <v>12</v>
      </c>
      <c r="D292" s="34">
        <v>37537.699999999997</v>
      </c>
      <c r="E292" s="35">
        <v>44685</v>
      </c>
      <c r="F292" s="34">
        <v>37537.699999999997</v>
      </c>
      <c r="G292" s="36">
        <f>Tabla16[[#This Row],[Importe]]-Tabla16[[#This Row],[Pagado]]</f>
        <v>0</v>
      </c>
      <c r="H292" s="38" t="s">
        <v>10</v>
      </c>
    </row>
    <row r="293" spans="1:8" x14ac:dyDescent="0.25">
      <c r="A293" s="31">
        <v>44685</v>
      </c>
      <c r="B293" s="38" t="s">
        <v>14378</v>
      </c>
      <c r="C293" s="38" t="s">
        <v>12</v>
      </c>
      <c r="D293" s="34">
        <v>1165</v>
      </c>
      <c r="E293" s="35">
        <v>44685</v>
      </c>
      <c r="F293" s="34">
        <v>1165</v>
      </c>
      <c r="G293" s="36">
        <f>Tabla16[[#This Row],[Importe]]-Tabla16[[#This Row],[Pagado]]</f>
        <v>0</v>
      </c>
      <c r="H293" s="38" t="s">
        <v>10</v>
      </c>
    </row>
    <row r="294" spans="1:8" x14ac:dyDescent="0.25">
      <c r="A294" s="31">
        <v>44685</v>
      </c>
      <c r="B294" s="38" t="s">
        <v>14379</v>
      </c>
      <c r="C294" s="38" t="s">
        <v>31</v>
      </c>
      <c r="D294" s="34">
        <v>4125.6000000000004</v>
      </c>
      <c r="E294" s="35">
        <v>44685</v>
      </c>
      <c r="F294" s="34">
        <v>4125.6000000000004</v>
      </c>
      <c r="G294" s="36">
        <f>Tabla16[[#This Row],[Importe]]-Tabla16[[#This Row],[Pagado]]</f>
        <v>0</v>
      </c>
      <c r="H294" s="38" t="s">
        <v>10</v>
      </c>
    </row>
    <row r="295" spans="1:8" x14ac:dyDescent="0.25">
      <c r="A295" s="31">
        <v>44685</v>
      </c>
      <c r="B295" s="38" t="s">
        <v>14380</v>
      </c>
      <c r="C295" s="38" t="s">
        <v>49</v>
      </c>
      <c r="D295" s="34">
        <v>2610.4</v>
      </c>
      <c r="E295" s="35">
        <v>44685</v>
      </c>
      <c r="F295" s="34">
        <v>2610.4</v>
      </c>
      <c r="G295" s="36">
        <f>Tabla16[[#This Row],[Importe]]-Tabla16[[#This Row],[Pagado]]</f>
        <v>0</v>
      </c>
      <c r="H295" s="38" t="s">
        <v>10</v>
      </c>
    </row>
    <row r="296" spans="1:8" x14ac:dyDescent="0.25">
      <c r="A296" s="31">
        <v>44685</v>
      </c>
      <c r="B296" s="38" t="s">
        <v>14381</v>
      </c>
      <c r="C296" s="38" t="s">
        <v>20</v>
      </c>
      <c r="D296" s="34">
        <v>1897.6</v>
      </c>
      <c r="E296" s="35">
        <v>44685</v>
      </c>
      <c r="F296" s="34">
        <v>1897.6</v>
      </c>
      <c r="G296" s="36">
        <f>Tabla16[[#This Row],[Importe]]-Tabla16[[#This Row],[Pagado]]</f>
        <v>0</v>
      </c>
      <c r="H296" s="38" t="s">
        <v>10</v>
      </c>
    </row>
    <row r="297" spans="1:8" x14ac:dyDescent="0.25">
      <c r="A297" s="31">
        <v>44685</v>
      </c>
      <c r="B297" s="38" t="s">
        <v>14382</v>
      </c>
      <c r="C297" s="38" t="s">
        <v>31</v>
      </c>
      <c r="D297" s="34">
        <v>2125.3000000000002</v>
      </c>
      <c r="E297" s="35">
        <v>44685</v>
      </c>
      <c r="F297" s="34">
        <v>2125.3000000000002</v>
      </c>
      <c r="G297" s="36">
        <f>Tabla16[[#This Row],[Importe]]-Tabla16[[#This Row],[Pagado]]</f>
        <v>0</v>
      </c>
      <c r="H297" s="38" t="s">
        <v>10</v>
      </c>
    </row>
    <row r="298" spans="1:8" x14ac:dyDescent="0.25">
      <c r="A298" s="31">
        <v>44685</v>
      </c>
      <c r="B298" s="38" t="s">
        <v>14383</v>
      </c>
      <c r="C298" s="38" t="s">
        <v>9</v>
      </c>
      <c r="D298" s="34">
        <v>6135.1</v>
      </c>
      <c r="E298" s="35">
        <v>44685</v>
      </c>
      <c r="F298" s="34">
        <v>6135.1</v>
      </c>
      <c r="G298" s="36">
        <f>Tabla16[[#This Row],[Importe]]-Tabla16[[#This Row],[Pagado]]</f>
        <v>0</v>
      </c>
      <c r="H298" s="38" t="s">
        <v>10</v>
      </c>
    </row>
    <row r="299" spans="1:8" x14ac:dyDescent="0.25">
      <c r="A299" s="31">
        <v>44685</v>
      </c>
      <c r="B299" s="38" t="s">
        <v>14384</v>
      </c>
      <c r="C299" s="38" t="s">
        <v>475</v>
      </c>
      <c r="D299" s="34">
        <v>136596.20000000001</v>
      </c>
      <c r="E299" s="35">
        <v>44687</v>
      </c>
      <c r="F299" s="34">
        <v>136596.20000000001</v>
      </c>
      <c r="G299" s="36">
        <f>Tabla16[[#This Row],[Importe]]-Tabla16[[#This Row],[Pagado]]</f>
        <v>0</v>
      </c>
      <c r="H299" s="38" t="s">
        <v>10</v>
      </c>
    </row>
    <row r="300" spans="1:8" ht="31.5" x14ac:dyDescent="0.25">
      <c r="A300" s="31">
        <v>44685</v>
      </c>
      <c r="B300" s="38" t="s">
        <v>14385</v>
      </c>
      <c r="C300" s="38" t="s">
        <v>22</v>
      </c>
      <c r="D300" s="34">
        <v>46182.9</v>
      </c>
      <c r="E300" s="35" t="s">
        <v>14386</v>
      </c>
      <c r="F300" s="34">
        <f>32000+14182.9</f>
        <v>46182.9</v>
      </c>
      <c r="G300" s="36">
        <f>Tabla16[[#This Row],[Importe]]-Tabla16[[#This Row],[Pagado]]</f>
        <v>0</v>
      </c>
      <c r="H300" s="38" t="s">
        <v>10</v>
      </c>
    </row>
    <row r="301" spans="1:8" x14ac:dyDescent="0.25">
      <c r="A301" s="31">
        <v>44685</v>
      </c>
      <c r="B301" s="38" t="s">
        <v>14387</v>
      </c>
      <c r="C301" s="38" t="s">
        <v>924</v>
      </c>
      <c r="D301" s="34">
        <v>15261.22</v>
      </c>
      <c r="E301" s="35">
        <v>44685</v>
      </c>
      <c r="F301" s="34">
        <v>15261.22</v>
      </c>
      <c r="G301" s="36">
        <f>Tabla16[[#This Row],[Importe]]-Tabla16[[#This Row],[Pagado]]</f>
        <v>0</v>
      </c>
      <c r="H301" s="38" t="s">
        <v>10</v>
      </c>
    </row>
    <row r="302" spans="1:8" x14ac:dyDescent="0.25">
      <c r="A302" s="31">
        <v>44685</v>
      </c>
      <c r="B302" s="38" t="s">
        <v>14388</v>
      </c>
      <c r="C302" s="38" t="s">
        <v>27</v>
      </c>
      <c r="D302" s="34">
        <v>3416.1</v>
      </c>
      <c r="E302" s="35">
        <v>44685</v>
      </c>
      <c r="F302" s="34">
        <v>3416.1</v>
      </c>
      <c r="G302" s="36">
        <f>Tabla16[[#This Row],[Importe]]-Tabla16[[#This Row],[Pagado]]</f>
        <v>0</v>
      </c>
      <c r="H302" s="38" t="s">
        <v>10</v>
      </c>
    </row>
    <row r="303" spans="1:8" x14ac:dyDescent="0.25">
      <c r="A303" s="31">
        <v>44685</v>
      </c>
      <c r="B303" s="38" t="s">
        <v>14389</v>
      </c>
      <c r="C303" s="38" t="s">
        <v>16</v>
      </c>
      <c r="D303" s="34">
        <v>3732</v>
      </c>
      <c r="E303" s="35">
        <v>44685</v>
      </c>
      <c r="F303" s="34">
        <v>3732</v>
      </c>
      <c r="G303" s="36">
        <f>Tabla16[[#This Row],[Importe]]-Tabla16[[#This Row],[Pagado]]</f>
        <v>0</v>
      </c>
      <c r="H303" s="38" t="s">
        <v>10</v>
      </c>
    </row>
    <row r="304" spans="1:8" x14ac:dyDescent="0.25">
      <c r="A304" s="31">
        <v>44685</v>
      </c>
      <c r="B304" s="38" t="s">
        <v>14390</v>
      </c>
      <c r="C304" s="38" t="s">
        <v>2563</v>
      </c>
      <c r="D304" s="34">
        <v>4658.7</v>
      </c>
      <c r="E304" s="35">
        <v>44685</v>
      </c>
      <c r="F304" s="34">
        <v>4658.7</v>
      </c>
      <c r="G304" s="36">
        <f>Tabla16[[#This Row],[Importe]]-Tabla16[[#This Row],[Pagado]]</f>
        <v>0</v>
      </c>
      <c r="H304" s="38" t="s">
        <v>10</v>
      </c>
    </row>
    <row r="305" spans="1:8" x14ac:dyDescent="0.25">
      <c r="A305" s="31">
        <v>44685</v>
      </c>
      <c r="B305" s="38" t="s">
        <v>14391</v>
      </c>
      <c r="C305" s="38" t="s">
        <v>111</v>
      </c>
      <c r="D305" s="34">
        <v>4804.2</v>
      </c>
      <c r="E305" s="35">
        <v>44686</v>
      </c>
      <c r="F305" s="34">
        <v>4804.2</v>
      </c>
      <c r="G305" s="36">
        <f>Tabla16[[#This Row],[Importe]]-Tabla16[[#This Row],[Pagado]]</f>
        <v>0</v>
      </c>
      <c r="H305" s="38" t="s">
        <v>10</v>
      </c>
    </row>
    <row r="306" spans="1:8" x14ac:dyDescent="0.25">
      <c r="A306" s="31">
        <v>44685</v>
      </c>
      <c r="B306" s="38" t="s">
        <v>14392</v>
      </c>
      <c r="C306" s="38" t="s">
        <v>326</v>
      </c>
      <c r="D306" s="34">
        <v>4763.3999999999996</v>
      </c>
      <c r="E306" s="35">
        <v>44688</v>
      </c>
      <c r="F306" s="34">
        <v>4763.3999999999996</v>
      </c>
      <c r="G306" s="36">
        <f>Tabla16[[#This Row],[Importe]]-Tabla16[[#This Row],[Pagado]]</f>
        <v>0</v>
      </c>
      <c r="H306" s="38" t="s">
        <v>10</v>
      </c>
    </row>
    <row r="307" spans="1:8" ht="31.5" x14ac:dyDescent="0.25">
      <c r="A307" s="31">
        <v>44685</v>
      </c>
      <c r="B307" s="38" t="s">
        <v>14393</v>
      </c>
      <c r="C307" s="38" t="s">
        <v>99</v>
      </c>
      <c r="D307" s="34">
        <v>4258.5</v>
      </c>
      <c r="E307" s="35" t="s">
        <v>14386</v>
      </c>
      <c r="F307" s="34">
        <f>2500+1758.5</f>
        <v>4258.5</v>
      </c>
      <c r="G307" s="36">
        <f>Tabla16[[#This Row],[Importe]]-Tabla16[[#This Row],[Pagado]]</f>
        <v>0</v>
      </c>
      <c r="H307" s="38" t="s">
        <v>10</v>
      </c>
    </row>
    <row r="308" spans="1:8" x14ac:dyDescent="0.25">
      <c r="A308" s="31">
        <v>44685</v>
      </c>
      <c r="B308" s="38" t="s">
        <v>14394</v>
      </c>
      <c r="C308" s="38" t="s">
        <v>2151</v>
      </c>
      <c r="D308" s="34">
        <v>19128.400000000001</v>
      </c>
      <c r="E308" s="35">
        <v>44685</v>
      </c>
      <c r="F308" s="34">
        <v>19128.400000000001</v>
      </c>
      <c r="G308" s="36">
        <f>Tabla16[[#This Row],[Importe]]-Tabla16[[#This Row],[Pagado]]</f>
        <v>0</v>
      </c>
      <c r="H308" s="38" t="s">
        <v>10</v>
      </c>
    </row>
    <row r="309" spans="1:8" x14ac:dyDescent="0.25">
      <c r="A309" s="31">
        <v>44685</v>
      </c>
      <c r="B309" s="38" t="s">
        <v>14395</v>
      </c>
      <c r="C309" s="38" t="s">
        <v>93</v>
      </c>
      <c r="D309" s="34">
        <v>2592.5</v>
      </c>
      <c r="E309" s="35">
        <v>44686</v>
      </c>
      <c r="F309" s="34">
        <v>2592.5</v>
      </c>
      <c r="G309" s="36">
        <f>Tabla16[[#This Row],[Importe]]-Tabla16[[#This Row],[Pagado]]</f>
        <v>0</v>
      </c>
      <c r="H309" s="38" t="s">
        <v>10</v>
      </c>
    </row>
    <row r="310" spans="1:8" x14ac:dyDescent="0.25">
      <c r="A310" s="31">
        <v>44685</v>
      </c>
      <c r="B310" s="38" t="s">
        <v>14396</v>
      </c>
      <c r="C310" s="38" t="s">
        <v>39</v>
      </c>
      <c r="D310" s="34">
        <v>10026.4</v>
      </c>
      <c r="E310" s="35">
        <v>44685</v>
      </c>
      <c r="F310" s="34">
        <v>10026.4</v>
      </c>
      <c r="G310" s="36">
        <f>Tabla16[[#This Row],[Importe]]-Tabla16[[#This Row],[Pagado]]</f>
        <v>0</v>
      </c>
      <c r="H310" s="38" t="s">
        <v>10</v>
      </c>
    </row>
    <row r="311" spans="1:8" x14ac:dyDescent="0.25">
      <c r="A311" s="31">
        <v>44685</v>
      </c>
      <c r="B311" s="38" t="s">
        <v>14397</v>
      </c>
      <c r="C311" s="38" t="s">
        <v>105</v>
      </c>
      <c r="D311" s="34">
        <v>6254.3</v>
      </c>
      <c r="E311" s="35">
        <v>44686</v>
      </c>
      <c r="F311" s="34">
        <v>6254.3</v>
      </c>
      <c r="G311" s="36">
        <f>Tabla16[[#This Row],[Importe]]-Tabla16[[#This Row],[Pagado]]</f>
        <v>0</v>
      </c>
      <c r="H311" s="38" t="s">
        <v>10</v>
      </c>
    </row>
    <row r="312" spans="1:8" x14ac:dyDescent="0.25">
      <c r="A312" s="31">
        <v>44685</v>
      </c>
      <c r="B312" s="38" t="s">
        <v>14398</v>
      </c>
      <c r="C312" s="38" t="s">
        <v>64</v>
      </c>
      <c r="D312" s="34">
        <v>9170.6</v>
      </c>
      <c r="E312" s="35">
        <v>44686</v>
      </c>
      <c r="F312" s="34">
        <v>9170.6</v>
      </c>
      <c r="G312" s="36">
        <f>Tabla16[[#This Row],[Importe]]-Tabla16[[#This Row],[Pagado]]</f>
        <v>0</v>
      </c>
      <c r="H312" s="38" t="s">
        <v>10</v>
      </c>
    </row>
    <row r="313" spans="1:8" x14ac:dyDescent="0.25">
      <c r="A313" s="31">
        <v>44685</v>
      </c>
      <c r="B313" s="38" t="s">
        <v>14399</v>
      </c>
      <c r="C313" s="38" t="s">
        <v>97</v>
      </c>
      <c r="D313" s="34">
        <v>6302.7</v>
      </c>
      <c r="E313" s="35">
        <v>44686</v>
      </c>
      <c r="F313" s="34">
        <v>6302.7</v>
      </c>
      <c r="G313" s="36">
        <f>Tabla16[[#This Row],[Importe]]-Tabla16[[#This Row],[Pagado]]</f>
        <v>0</v>
      </c>
      <c r="H313" s="38" t="s">
        <v>10</v>
      </c>
    </row>
    <row r="314" spans="1:8" x14ac:dyDescent="0.25">
      <c r="A314" s="31">
        <v>44685</v>
      </c>
      <c r="B314" s="38" t="s">
        <v>14400</v>
      </c>
      <c r="C314" s="38" t="s">
        <v>89</v>
      </c>
      <c r="D314" s="34">
        <v>7002.3</v>
      </c>
      <c r="E314" s="35">
        <v>44687</v>
      </c>
      <c r="F314" s="34">
        <v>7002.3</v>
      </c>
      <c r="G314" s="36">
        <f>Tabla16[[#This Row],[Importe]]-Tabla16[[#This Row],[Pagado]]</f>
        <v>0</v>
      </c>
      <c r="H314" s="38" t="s">
        <v>10</v>
      </c>
    </row>
    <row r="315" spans="1:8" x14ac:dyDescent="0.25">
      <c r="A315" s="31">
        <v>44685</v>
      </c>
      <c r="B315" s="38" t="s">
        <v>14401</v>
      </c>
      <c r="C315" s="38" t="s">
        <v>114</v>
      </c>
      <c r="D315" s="34">
        <v>6395.4</v>
      </c>
      <c r="E315" s="35">
        <v>44686</v>
      </c>
      <c r="F315" s="34">
        <v>6395.4</v>
      </c>
      <c r="G315" s="36">
        <f>Tabla16[[#This Row],[Importe]]-Tabla16[[#This Row],[Pagado]]</f>
        <v>0</v>
      </c>
      <c r="H315" s="38" t="s">
        <v>10</v>
      </c>
    </row>
    <row r="316" spans="1:8" x14ac:dyDescent="0.25">
      <c r="A316" s="31">
        <v>44685</v>
      </c>
      <c r="B316" s="38" t="s">
        <v>14402</v>
      </c>
      <c r="C316" s="38" t="s">
        <v>348</v>
      </c>
      <c r="D316" s="34">
        <v>4590</v>
      </c>
      <c r="E316" s="35">
        <v>44685</v>
      </c>
      <c r="F316" s="34">
        <v>4590</v>
      </c>
      <c r="G316" s="36">
        <f>Tabla16[[#This Row],[Importe]]-Tabla16[[#This Row],[Pagado]]</f>
        <v>0</v>
      </c>
      <c r="H316" s="38" t="s">
        <v>10</v>
      </c>
    </row>
    <row r="317" spans="1:8" x14ac:dyDescent="0.25">
      <c r="A317" s="31">
        <v>44685</v>
      </c>
      <c r="B317" s="38" t="s">
        <v>14403</v>
      </c>
      <c r="C317" s="38" t="s">
        <v>196</v>
      </c>
      <c r="D317" s="34">
        <v>16650.34</v>
      </c>
      <c r="E317" s="35">
        <v>44687</v>
      </c>
      <c r="F317" s="34">
        <v>16650.34</v>
      </c>
      <c r="G317" s="36">
        <f>Tabla16[[#This Row],[Importe]]-Tabla16[[#This Row],[Pagado]]</f>
        <v>0</v>
      </c>
      <c r="H317" s="38" t="s">
        <v>10</v>
      </c>
    </row>
    <row r="318" spans="1:8" x14ac:dyDescent="0.25">
      <c r="A318" s="31">
        <v>44685</v>
      </c>
      <c r="B318" s="38" t="s">
        <v>14404</v>
      </c>
      <c r="C318" s="38" t="s">
        <v>206</v>
      </c>
      <c r="D318" s="34">
        <v>29585.7</v>
      </c>
      <c r="E318" s="35">
        <v>44691</v>
      </c>
      <c r="F318" s="34">
        <v>29585.7</v>
      </c>
      <c r="G318" s="36">
        <f>Tabla16[[#This Row],[Importe]]-Tabla16[[#This Row],[Pagado]]</f>
        <v>0</v>
      </c>
      <c r="H318" s="38" t="s">
        <v>10</v>
      </c>
    </row>
    <row r="319" spans="1:8" x14ac:dyDescent="0.25">
      <c r="A319" s="31">
        <v>44685</v>
      </c>
      <c r="B319" s="38" t="s">
        <v>14405</v>
      </c>
      <c r="C319" s="38" t="s">
        <v>135</v>
      </c>
      <c r="D319" s="34">
        <v>2772</v>
      </c>
      <c r="E319" s="35">
        <v>44685</v>
      </c>
      <c r="F319" s="34">
        <v>2772</v>
      </c>
      <c r="G319" s="36">
        <f>Tabla16[[#This Row],[Importe]]-Tabla16[[#This Row],[Pagado]]</f>
        <v>0</v>
      </c>
      <c r="H319" s="38" t="s">
        <v>10</v>
      </c>
    </row>
    <row r="320" spans="1:8" x14ac:dyDescent="0.25">
      <c r="A320" s="31">
        <v>44685</v>
      </c>
      <c r="B320" s="38" t="s">
        <v>14406</v>
      </c>
      <c r="C320" s="38" t="s">
        <v>218</v>
      </c>
      <c r="D320" s="34">
        <v>21367</v>
      </c>
      <c r="E320" s="35">
        <v>44691</v>
      </c>
      <c r="F320" s="34">
        <v>21367</v>
      </c>
      <c r="G320" s="36">
        <f>Tabla16[[#This Row],[Importe]]-Tabla16[[#This Row],[Pagado]]</f>
        <v>0</v>
      </c>
      <c r="H320" s="38" t="s">
        <v>10</v>
      </c>
    </row>
    <row r="321" spans="1:8" x14ac:dyDescent="0.25">
      <c r="A321" s="31">
        <v>44685</v>
      </c>
      <c r="B321" s="38" t="s">
        <v>14407</v>
      </c>
      <c r="C321" s="38" t="s">
        <v>83</v>
      </c>
      <c r="D321" s="34">
        <v>7874.4</v>
      </c>
      <c r="E321" s="35">
        <v>44685</v>
      </c>
      <c r="F321" s="34">
        <v>7874.4</v>
      </c>
      <c r="G321" s="36">
        <f>Tabla16[[#This Row],[Importe]]-Tabla16[[#This Row],[Pagado]]</f>
        <v>0</v>
      </c>
      <c r="H321" s="38" t="s">
        <v>10</v>
      </c>
    </row>
    <row r="322" spans="1:8" x14ac:dyDescent="0.25">
      <c r="A322" s="31">
        <v>44685</v>
      </c>
      <c r="B322" s="38" t="s">
        <v>14408</v>
      </c>
      <c r="C322" s="38" t="s">
        <v>212</v>
      </c>
      <c r="D322" s="34">
        <v>8296</v>
      </c>
      <c r="E322" s="35">
        <v>44688</v>
      </c>
      <c r="F322" s="34">
        <v>8296</v>
      </c>
      <c r="G322" s="36">
        <f>Tabla16[[#This Row],[Importe]]-Tabla16[[#This Row],[Pagado]]</f>
        <v>0</v>
      </c>
      <c r="H322" s="38" t="s">
        <v>10</v>
      </c>
    </row>
    <row r="323" spans="1:8" x14ac:dyDescent="0.25">
      <c r="A323" s="31">
        <v>44685</v>
      </c>
      <c r="B323" s="38" t="s">
        <v>14409</v>
      </c>
      <c r="C323" s="38" t="s">
        <v>87</v>
      </c>
      <c r="D323" s="34">
        <v>2242.6</v>
      </c>
      <c r="E323" s="35">
        <v>44685</v>
      </c>
      <c r="F323" s="34">
        <v>2242.6</v>
      </c>
      <c r="G323" s="36">
        <f>Tabla16[[#This Row],[Importe]]-Tabla16[[#This Row],[Pagado]]</f>
        <v>0</v>
      </c>
      <c r="H323" s="38" t="s">
        <v>10</v>
      </c>
    </row>
    <row r="324" spans="1:8" x14ac:dyDescent="0.25">
      <c r="A324" s="31">
        <v>44685</v>
      </c>
      <c r="B324" s="38" t="s">
        <v>14410</v>
      </c>
      <c r="C324" s="38" t="s">
        <v>146</v>
      </c>
      <c r="D324" s="34">
        <v>4073.2</v>
      </c>
      <c r="E324" s="35">
        <v>44685</v>
      </c>
      <c r="F324" s="34">
        <v>4073.2</v>
      </c>
      <c r="G324" s="36">
        <f>Tabla16[[#This Row],[Importe]]-Tabla16[[#This Row],[Pagado]]</f>
        <v>0</v>
      </c>
      <c r="H324" s="38" t="s">
        <v>10</v>
      </c>
    </row>
    <row r="325" spans="1:8" x14ac:dyDescent="0.25">
      <c r="A325" s="31">
        <v>44685</v>
      </c>
      <c r="B325" s="38" t="s">
        <v>14411</v>
      </c>
      <c r="C325" s="38" t="s">
        <v>175</v>
      </c>
      <c r="D325" s="34">
        <v>24550</v>
      </c>
      <c r="E325" s="35">
        <v>44685</v>
      </c>
      <c r="F325" s="34">
        <v>24550</v>
      </c>
      <c r="G325" s="36">
        <f>Tabla16[[#This Row],[Importe]]-Tabla16[[#This Row],[Pagado]]</f>
        <v>0</v>
      </c>
      <c r="H325" s="38" t="s">
        <v>10</v>
      </c>
    </row>
    <row r="326" spans="1:8" x14ac:dyDescent="0.25">
      <c r="A326" s="31">
        <v>44685</v>
      </c>
      <c r="B326" s="38" t="s">
        <v>14412</v>
      </c>
      <c r="C326" s="38" t="s">
        <v>333</v>
      </c>
      <c r="D326" s="34">
        <v>1085.7</v>
      </c>
      <c r="E326" s="35">
        <v>44685</v>
      </c>
      <c r="F326" s="34">
        <v>1085.7</v>
      </c>
      <c r="G326" s="36">
        <f>Tabla16[[#This Row],[Importe]]-Tabla16[[#This Row],[Pagado]]</f>
        <v>0</v>
      </c>
      <c r="H326" s="38" t="s">
        <v>10</v>
      </c>
    </row>
    <row r="327" spans="1:8" x14ac:dyDescent="0.25">
      <c r="A327" s="31">
        <v>44685</v>
      </c>
      <c r="B327" s="38" t="s">
        <v>14413</v>
      </c>
      <c r="C327" s="38" t="s">
        <v>224</v>
      </c>
      <c r="D327" s="34">
        <v>1322.4</v>
      </c>
      <c r="E327" s="35">
        <v>44685</v>
      </c>
      <c r="F327" s="34">
        <v>1322.4</v>
      </c>
      <c r="G327" s="36">
        <f>Tabla16[[#This Row],[Importe]]-Tabla16[[#This Row],[Pagado]]</f>
        <v>0</v>
      </c>
      <c r="H327" s="38" t="s">
        <v>10</v>
      </c>
    </row>
    <row r="328" spans="1:8" x14ac:dyDescent="0.25">
      <c r="A328" s="31">
        <v>44685</v>
      </c>
      <c r="B328" s="38" t="s">
        <v>14414</v>
      </c>
      <c r="C328" s="38" t="s">
        <v>24</v>
      </c>
      <c r="D328" s="34">
        <v>4437.8999999999996</v>
      </c>
      <c r="E328" s="35">
        <v>44685</v>
      </c>
      <c r="F328" s="34">
        <v>4437.8999999999996</v>
      </c>
      <c r="G328" s="36">
        <f>Tabla16[[#This Row],[Importe]]-Tabla16[[#This Row],[Pagado]]</f>
        <v>0</v>
      </c>
      <c r="H328" s="38" t="s">
        <v>10</v>
      </c>
    </row>
    <row r="329" spans="1:8" x14ac:dyDescent="0.25">
      <c r="A329" s="31">
        <v>44685</v>
      </c>
      <c r="B329" s="38" t="s">
        <v>14415</v>
      </c>
      <c r="C329" s="38" t="s">
        <v>154</v>
      </c>
      <c r="D329" s="34">
        <v>47153</v>
      </c>
      <c r="E329" s="35">
        <v>44688</v>
      </c>
      <c r="F329" s="34">
        <v>47153</v>
      </c>
      <c r="G329" s="36">
        <f>Tabla16[[#This Row],[Importe]]-Tabla16[[#This Row],[Pagado]]</f>
        <v>0</v>
      </c>
      <c r="H329" s="38" t="s">
        <v>10</v>
      </c>
    </row>
    <row r="330" spans="1:8" x14ac:dyDescent="0.25">
      <c r="A330" s="31">
        <v>44685</v>
      </c>
      <c r="B330" s="38" t="s">
        <v>14416</v>
      </c>
      <c r="C330" s="38" t="s">
        <v>85</v>
      </c>
      <c r="D330" s="34">
        <v>1638.2</v>
      </c>
      <c r="E330" s="35">
        <v>44685</v>
      </c>
      <c r="F330" s="34">
        <v>1638.2</v>
      </c>
      <c r="G330" s="36">
        <f>Tabla16[[#This Row],[Importe]]-Tabla16[[#This Row],[Pagado]]</f>
        <v>0</v>
      </c>
      <c r="H330" s="38" t="s">
        <v>10</v>
      </c>
    </row>
    <row r="331" spans="1:8" x14ac:dyDescent="0.25">
      <c r="A331" s="31">
        <v>44685</v>
      </c>
      <c r="B331" s="38" t="s">
        <v>14417</v>
      </c>
      <c r="C331" s="38" t="s">
        <v>131</v>
      </c>
      <c r="D331" s="34">
        <v>10103.6</v>
      </c>
      <c r="E331" s="35">
        <v>44685</v>
      </c>
      <c r="F331" s="34">
        <v>10103.6</v>
      </c>
      <c r="G331" s="36">
        <f>Tabla16[[#This Row],[Importe]]-Tabla16[[#This Row],[Pagado]]</f>
        <v>0</v>
      </c>
      <c r="H331" s="38" t="s">
        <v>10</v>
      </c>
    </row>
    <row r="332" spans="1:8" x14ac:dyDescent="0.25">
      <c r="A332" s="31">
        <v>44685</v>
      </c>
      <c r="B332" s="38" t="s">
        <v>14418</v>
      </c>
      <c r="C332" s="38" t="s">
        <v>208</v>
      </c>
      <c r="D332" s="34">
        <v>15207.1</v>
      </c>
      <c r="E332" s="35">
        <v>44691</v>
      </c>
      <c r="F332" s="34">
        <v>15207.1</v>
      </c>
      <c r="G332" s="36">
        <f>Tabla16[[#This Row],[Importe]]-Tabla16[[#This Row],[Pagado]]</f>
        <v>0</v>
      </c>
      <c r="H332" s="38" t="s">
        <v>10</v>
      </c>
    </row>
    <row r="333" spans="1:8" x14ac:dyDescent="0.25">
      <c r="A333" s="31">
        <v>44685</v>
      </c>
      <c r="B333" s="38" t="s">
        <v>14419</v>
      </c>
      <c r="C333" s="38" t="s">
        <v>53</v>
      </c>
      <c r="D333" s="34">
        <v>1922.1</v>
      </c>
      <c r="E333" s="35">
        <v>44685</v>
      </c>
      <c r="F333" s="34">
        <v>1922.1</v>
      </c>
      <c r="G333" s="36">
        <f>Tabla16[[#This Row],[Importe]]-Tabla16[[#This Row],[Pagado]]</f>
        <v>0</v>
      </c>
      <c r="H333" s="38" t="s">
        <v>10</v>
      </c>
    </row>
    <row r="334" spans="1:8" x14ac:dyDescent="0.25">
      <c r="A334" s="31">
        <v>44685</v>
      </c>
      <c r="B334" s="38" t="s">
        <v>14420</v>
      </c>
      <c r="C334" s="38" t="s">
        <v>9587</v>
      </c>
      <c r="D334" s="34">
        <v>1390.2</v>
      </c>
      <c r="E334" s="35">
        <v>44685</v>
      </c>
      <c r="F334" s="34">
        <v>1390.2</v>
      </c>
      <c r="G334" s="36">
        <f>Tabla16[[#This Row],[Importe]]-Tabla16[[#This Row],[Pagado]]</f>
        <v>0</v>
      </c>
      <c r="H334" s="38" t="s">
        <v>10</v>
      </c>
    </row>
    <row r="335" spans="1:8" x14ac:dyDescent="0.25">
      <c r="A335" s="31">
        <v>44685</v>
      </c>
      <c r="B335" s="38" t="s">
        <v>14421</v>
      </c>
      <c r="C335" s="38" t="s">
        <v>14422</v>
      </c>
      <c r="D335" s="34">
        <v>0</v>
      </c>
      <c r="E335" s="39" t="s">
        <v>189</v>
      </c>
      <c r="F335" s="34">
        <v>0</v>
      </c>
      <c r="G335" s="36">
        <f>Tabla16[[#This Row],[Importe]]-Tabla16[[#This Row],[Pagado]]</f>
        <v>0</v>
      </c>
      <c r="H335" s="38" t="s">
        <v>189</v>
      </c>
    </row>
    <row r="336" spans="1:8" x14ac:dyDescent="0.25">
      <c r="A336" s="31">
        <v>44685</v>
      </c>
      <c r="B336" s="38" t="s">
        <v>14423</v>
      </c>
      <c r="C336" s="38" t="s">
        <v>312</v>
      </c>
      <c r="D336" s="34">
        <v>4519.2</v>
      </c>
      <c r="E336" s="35">
        <v>44685</v>
      </c>
      <c r="F336" s="34">
        <v>4519.2</v>
      </c>
      <c r="G336" s="36">
        <f>Tabla16[[#This Row],[Importe]]-Tabla16[[#This Row],[Pagado]]</f>
        <v>0</v>
      </c>
      <c r="H336" s="38" t="s">
        <v>10</v>
      </c>
    </row>
    <row r="337" spans="1:8" x14ac:dyDescent="0.25">
      <c r="A337" s="31">
        <v>44685</v>
      </c>
      <c r="B337" s="38" t="s">
        <v>14424</v>
      </c>
      <c r="C337" s="38" t="s">
        <v>56</v>
      </c>
      <c r="D337" s="34">
        <v>5753.4</v>
      </c>
      <c r="E337" s="35">
        <v>44685</v>
      </c>
      <c r="F337" s="34">
        <v>5753.4</v>
      </c>
      <c r="G337" s="36">
        <f>Tabla16[[#This Row],[Importe]]-Tabla16[[#This Row],[Pagado]]</f>
        <v>0</v>
      </c>
      <c r="H337" s="38" t="s">
        <v>10</v>
      </c>
    </row>
    <row r="338" spans="1:8" x14ac:dyDescent="0.25">
      <c r="A338" s="31">
        <v>44685</v>
      </c>
      <c r="B338" s="38" t="s">
        <v>14425</v>
      </c>
      <c r="C338" s="38" t="s">
        <v>140</v>
      </c>
      <c r="D338" s="34">
        <v>5238.2</v>
      </c>
      <c r="E338" s="35">
        <v>44685</v>
      </c>
      <c r="F338" s="34">
        <v>5238.2</v>
      </c>
      <c r="G338" s="36">
        <f>Tabla16[[#This Row],[Importe]]-Tabla16[[#This Row],[Pagado]]</f>
        <v>0</v>
      </c>
      <c r="H338" s="38" t="s">
        <v>10</v>
      </c>
    </row>
    <row r="339" spans="1:8" x14ac:dyDescent="0.25">
      <c r="A339" s="31">
        <v>44685</v>
      </c>
      <c r="B339" s="38" t="s">
        <v>14426</v>
      </c>
      <c r="C339" s="38" t="s">
        <v>426</v>
      </c>
      <c r="D339" s="34">
        <v>5478.4</v>
      </c>
      <c r="E339" s="35">
        <v>44685</v>
      </c>
      <c r="F339" s="34">
        <v>5478.4</v>
      </c>
      <c r="G339" s="36">
        <f>Tabla16[[#This Row],[Importe]]-Tabla16[[#This Row],[Pagado]]</f>
        <v>0</v>
      </c>
      <c r="H339" s="38" t="s">
        <v>10</v>
      </c>
    </row>
    <row r="340" spans="1:8" x14ac:dyDescent="0.25">
      <c r="A340" s="31">
        <v>44685</v>
      </c>
      <c r="B340" s="38" t="s">
        <v>14427</v>
      </c>
      <c r="C340" s="38" t="s">
        <v>200</v>
      </c>
      <c r="D340" s="34">
        <v>660</v>
      </c>
      <c r="E340" s="35">
        <v>44685</v>
      </c>
      <c r="F340" s="34">
        <v>660</v>
      </c>
      <c r="G340" s="36">
        <f>Tabla16[[#This Row],[Importe]]-Tabla16[[#This Row],[Pagado]]</f>
        <v>0</v>
      </c>
      <c r="H340" s="38" t="s">
        <v>10</v>
      </c>
    </row>
    <row r="341" spans="1:8" x14ac:dyDescent="0.25">
      <c r="A341" s="31">
        <v>44685</v>
      </c>
      <c r="B341" s="38" t="s">
        <v>14428</v>
      </c>
      <c r="C341" s="38" t="s">
        <v>175</v>
      </c>
      <c r="D341" s="34">
        <v>988</v>
      </c>
      <c r="E341" s="35">
        <v>44685</v>
      </c>
      <c r="F341" s="34">
        <v>988</v>
      </c>
      <c r="G341" s="36">
        <f>Tabla16[[#This Row],[Importe]]-Tabla16[[#This Row],[Pagado]]</f>
        <v>0</v>
      </c>
      <c r="H341" s="38" t="s">
        <v>10</v>
      </c>
    </row>
    <row r="342" spans="1:8" x14ac:dyDescent="0.25">
      <c r="A342" s="31">
        <v>44685</v>
      </c>
      <c r="B342" s="38" t="s">
        <v>14429</v>
      </c>
      <c r="C342" s="38" t="s">
        <v>173</v>
      </c>
      <c r="D342" s="34">
        <v>16552.8</v>
      </c>
      <c r="E342" s="35">
        <v>44686</v>
      </c>
      <c r="F342" s="34">
        <v>16552.8</v>
      </c>
      <c r="G342" s="36">
        <f>Tabla16[[#This Row],[Importe]]-Tabla16[[#This Row],[Pagado]]</f>
        <v>0</v>
      </c>
      <c r="H342" s="38" t="s">
        <v>10</v>
      </c>
    </row>
    <row r="343" spans="1:8" x14ac:dyDescent="0.25">
      <c r="A343" s="31">
        <v>44685</v>
      </c>
      <c r="B343" s="38" t="s">
        <v>14430</v>
      </c>
      <c r="C343" s="38" t="s">
        <v>191</v>
      </c>
      <c r="D343" s="34">
        <v>1689.6</v>
      </c>
      <c r="E343" s="35">
        <v>44685</v>
      </c>
      <c r="F343" s="34">
        <v>1689.6</v>
      </c>
      <c r="G343" s="36">
        <f>Tabla16[[#This Row],[Importe]]-Tabla16[[#This Row],[Pagado]]</f>
        <v>0</v>
      </c>
      <c r="H343" s="38" t="s">
        <v>10</v>
      </c>
    </row>
    <row r="344" spans="1:8" x14ac:dyDescent="0.25">
      <c r="A344" s="31">
        <v>44685</v>
      </c>
      <c r="B344" s="38" t="s">
        <v>14431</v>
      </c>
      <c r="C344" s="38" t="s">
        <v>359</v>
      </c>
      <c r="D344" s="34">
        <v>1953</v>
      </c>
      <c r="E344" s="35">
        <v>44685</v>
      </c>
      <c r="F344" s="34">
        <v>1953</v>
      </c>
      <c r="G344" s="36">
        <f>Tabla16[[#This Row],[Importe]]-Tabla16[[#This Row],[Pagado]]</f>
        <v>0</v>
      </c>
      <c r="H344" s="38" t="s">
        <v>10</v>
      </c>
    </row>
    <row r="345" spans="1:8" x14ac:dyDescent="0.25">
      <c r="A345" s="31">
        <v>44685</v>
      </c>
      <c r="B345" s="38" t="s">
        <v>14432</v>
      </c>
      <c r="C345" s="38" t="s">
        <v>129</v>
      </c>
      <c r="D345" s="34">
        <v>4943</v>
      </c>
      <c r="E345" s="35">
        <v>44685</v>
      </c>
      <c r="F345" s="34">
        <v>4943</v>
      </c>
      <c r="G345" s="36">
        <f>Tabla16[[#This Row],[Importe]]-Tabla16[[#This Row],[Pagado]]</f>
        <v>0</v>
      </c>
      <c r="H345" s="38" t="s">
        <v>10</v>
      </c>
    </row>
    <row r="346" spans="1:8" x14ac:dyDescent="0.25">
      <c r="A346" s="31">
        <v>44685</v>
      </c>
      <c r="B346" s="38" t="s">
        <v>14433</v>
      </c>
      <c r="C346" s="38" t="s">
        <v>273</v>
      </c>
      <c r="D346" s="34">
        <v>817.6</v>
      </c>
      <c r="E346" s="35">
        <v>44685</v>
      </c>
      <c r="F346" s="34">
        <v>817.6</v>
      </c>
      <c r="G346" s="36">
        <f>Tabla16[[#This Row],[Importe]]-Tabla16[[#This Row],[Pagado]]</f>
        <v>0</v>
      </c>
      <c r="H346" s="38" t="s">
        <v>10</v>
      </c>
    </row>
    <row r="347" spans="1:8" x14ac:dyDescent="0.25">
      <c r="A347" s="31">
        <v>44685</v>
      </c>
      <c r="B347" s="38" t="s">
        <v>14434</v>
      </c>
      <c r="C347" s="38" t="s">
        <v>244</v>
      </c>
      <c r="D347" s="34">
        <v>2640</v>
      </c>
      <c r="E347" s="35">
        <v>44685</v>
      </c>
      <c r="F347" s="34">
        <v>2640</v>
      </c>
      <c r="G347" s="36">
        <f>Tabla16[[#This Row],[Importe]]-Tabla16[[#This Row],[Pagado]]</f>
        <v>0</v>
      </c>
      <c r="H347" s="38" t="s">
        <v>10</v>
      </c>
    </row>
    <row r="348" spans="1:8" x14ac:dyDescent="0.25">
      <c r="A348" s="31">
        <v>44685</v>
      </c>
      <c r="B348" s="38" t="s">
        <v>14435</v>
      </c>
      <c r="C348" s="38" t="s">
        <v>45</v>
      </c>
      <c r="D348" s="34">
        <v>8326.7999999999993</v>
      </c>
      <c r="E348" s="35">
        <v>44685</v>
      </c>
      <c r="F348" s="34">
        <v>8326.7999999999993</v>
      </c>
      <c r="G348" s="36">
        <f>Tabla16[[#This Row],[Importe]]-Tabla16[[#This Row],[Pagado]]</f>
        <v>0</v>
      </c>
      <c r="H348" s="38" t="s">
        <v>10</v>
      </c>
    </row>
    <row r="349" spans="1:8" x14ac:dyDescent="0.25">
      <c r="A349" s="31">
        <v>44685</v>
      </c>
      <c r="B349" s="38" t="s">
        <v>14436</v>
      </c>
      <c r="C349" s="38" t="s">
        <v>127</v>
      </c>
      <c r="D349" s="34">
        <v>4287.3999999999996</v>
      </c>
      <c r="E349" s="35">
        <v>44685</v>
      </c>
      <c r="F349" s="34">
        <v>4287.3999999999996</v>
      </c>
      <c r="G349" s="36">
        <f>Tabla16[[#This Row],[Importe]]-Tabla16[[#This Row],[Pagado]]</f>
        <v>0</v>
      </c>
      <c r="H349" s="38" t="s">
        <v>10</v>
      </c>
    </row>
    <row r="350" spans="1:8" x14ac:dyDescent="0.25">
      <c r="A350" s="31">
        <v>44685</v>
      </c>
      <c r="B350" s="38" t="s">
        <v>14437</v>
      </c>
      <c r="C350" s="38" t="s">
        <v>339</v>
      </c>
      <c r="D350" s="34">
        <v>1075.9000000000001</v>
      </c>
      <c r="E350" s="35">
        <v>44685</v>
      </c>
      <c r="F350" s="34">
        <v>1075.9000000000001</v>
      </c>
      <c r="G350" s="36">
        <f>Tabla16[[#This Row],[Importe]]-Tabla16[[#This Row],[Pagado]]</f>
        <v>0</v>
      </c>
      <c r="H350" s="38" t="s">
        <v>10</v>
      </c>
    </row>
    <row r="351" spans="1:8" x14ac:dyDescent="0.25">
      <c r="A351" s="31">
        <v>44685</v>
      </c>
      <c r="B351" s="38" t="s">
        <v>14438</v>
      </c>
      <c r="C351" s="38" t="s">
        <v>804</v>
      </c>
      <c r="D351" s="34">
        <v>20902.400000000001</v>
      </c>
      <c r="E351" s="35">
        <v>44685</v>
      </c>
      <c r="F351" s="34">
        <v>20902.400000000001</v>
      </c>
      <c r="G351" s="36">
        <f>Tabla16[[#This Row],[Importe]]-Tabla16[[#This Row],[Pagado]]</f>
        <v>0</v>
      </c>
      <c r="H351" s="38" t="s">
        <v>10</v>
      </c>
    </row>
    <row r="352" spans="1:8" x14ac:dyDescent="0.25">
      <c r="A352" s="31">
        <v>44685</v>
      </c>
      <c r="B352" s="38" t="s">
        <v>14439</v>
      </c>
      <c r="C352" s="38" t="s">
        <v>31</v>
      </c>
      <c r="D352" s="34">
        <v>620.4</v>
      </c>
      <c r="E352" s="35">
        <v>44685</v>
      </c>
      <c r="F352" s="34">
        <v>620.4</v>
      </c>
      <c r="G352" s="36">
        <f>Tabla16[[#This Row],[Importe]]-Tabla16[[#This Row],[Pagado]]</f>
        <v>0</v>
      </c>
      <c r="H352" s="38" t="s">
        <v>10</v>
      </c>
    </row>
    <row r="353" spans="1:8" x14ac:dyDescent="0.25">
      <c r="A353" s="31">
        <v>44685</v>
      </c>
      <c r="B353" s="38" t="s">
        <v>14440</v>
      </c>
      <c r="C353" s="38" t="s">
        <v>31</v>
      </c>
      <c r="D353" s="34">
        <v>5267.2</v>
      </c>
      <c r="E353" s="35">
        <v>44685</v>
      </c>
      <c r="F353" s="34">
        <v>5267.2</v>
      </c>
      <c r="G353" s="36">
        <f>Tabla16[[#This Row],[Importe]]-Tabla16[[#This Row],[Pagado]]</f>
        <v>0</v>
      </c>
      <c r="H353" s="38" t="s">
        <v>10</v>
      </c>
    </row>
    <row r="354" spans="1:8" x14ac:dyDescent="0.25">
      <c r="A354" s="31">
        <v>44685</v>
      </c>
      <c r="B354" s="38" t="s">
        <v>14441</v>
      </c>
      <c r="C354" s="38" t="s">
        <v>142</v>
      </c>
      <c r="D354" s="34">
        <v>15291.4</v>
      </c>
      <c r="E354" s="35">
        <v>44722</v>
      </c>
      <c r="F354" s="34">
        <v>15291.4</v>
      </c>
      <c r="G354" s="36">
        <f>Tabla16[[#This Row],[Importe]]-Tabla16[[#This Row],[Pagado]]</f>
        <v>0</v>
      </c>
      <c r="H354" s="38" t="s">
        <v>10</v>
      </c>
    </row>
    <row r="355" spans="1:8" x14ac:dyDescent="0.25">
      <c r="A355" s="31">
        <v>44685</v>
      </c>
      <c r="B355" s="38" t="s">
        <v>14442</v>
      </c>
      <c r="C355" s="38" t="s">
        <v>12202</v>
      </c>
      <c r="D355" s="34">
        <v>2880</v>
      </c>
      <c r="E355" s="35">
        <v>44685</v>
      </c>
      <c r="F355" s="34">
        <v>2880</v>
      </c>
      <c r="G355" s="36">
        <f>Tabla16[[#This Row],[Importe]]-Tabla16[[#This Row],[Pagado]]</f>
        <v>0</v>
      </c>
      <c r="H355" s="38" t="s">
        <v>10</v>
      </c>
    </row>
    <row r="356" spans="1:8" x14ac:dyDescent="0.25">
      <c r="A356" s="31">
        <v>44685</v>
      </c>
      <c r="B356" s="38" t="s">
        <v>14443</v>
      </c>
      <c r="C356" s="38" t="s">
        <v>12202</v>
      </c>
      <c r="D356" s="34">
        <v>25200</v>
      </c>
      <c r="E356" s="35">
        <v>44685</v>
      </c>
      <c r="F356" s="34">
        <v>25200</v>
      </c>
      <c r="G356" s="36">
        <f>Tabla16[[#This Row],[Importe]]-Tabla16[[#This Row],[Pagado]]</f>
        <v>0</v>
      </c>
      <c r="H356" s="38" t="s">
        <v>10</v>
      </c>
    </row>
    <row r="357" spans="1:8" x14ac:dyDescent="0.25">
      <c r="A357" s="31">
        <v>44685</v>
      </c>
      <c r="B357" s="38" t="s">
        <v>14444</v>
      </c>
      <c r="C357" s="38" t="s">
        <v>11383</v>
      </c>
      <c r="D357" s="34">
        <v>17036.8</v>
      </c>
      <c r="E357" s="35">
        <v>44685</v>
      </c>
      <c r="F357" s="34">
        <v>17036.8</v>
      </c>
      <c r="G357" s="36">
        <f>Tabla16[[#This Row],[Importe]]-Tabla16[[#This Row],[Pagado]]</f>
        <v>0</v>
      </c>
      <c r="H357" s="38" t="s">
        <v>10</v>
      </c>
    </row>
    <row r="358" spans="1:8" x14ac:dyDescent="0.25">
      <c r="A358" s="31">
        <v>44685</v>
      </c>
      <c r="B358" s="38" t="s">
        <v>14445</v>
      </c>
      <c r="C358" s="38" t="s">
        <v>382</v>
      </c>
      <c r="D358" s="34">
        <v>7276</v>
      </c>
      <c r="E358" s="35">
        <v>44685</v>
      </c>
      <c r="F358" s="34">
        <v>7276</v>
      </c>
      <c r="G358" s="36">
        <f>Tabla16[[#This Row],[Importe]]-Tabla16[[#This Row],[Pagado]]</f>
        <v>0</v>
      </c>
      <c r="H358" s="38" t="s">
        <v>10</v>
      </c>
    </row>
    <row r="359" spans="1:8" x14ac:dyDescent="0.25">
      <c r="A359" s="31">
        <v>44685</v>
      </c>
      <c r="B359" s="38" t="s">
        <v>14446</v>
      </c>
      <c r="C359" s="38" t="s">
        <v>414</v>
      </c>
      <c r="D359" s="34">
        <v>22698</v>
      </c>
      <c r="E359" s="35">
        <v>44690</v>
      </c>
      <c r="F359" s="34">
        <v>22698</v>
      </c>
      <c r="G359" s="36">
        <f>Tabla16[[#This Row],[Importe]]-Tabla16[[#This Row],[Pagado]]</f>
        <v>0</v>
      </c>
      <c r="H359" s="38" t="s">
        <v>10</v>
      </c>
    </row>
    <row r="360" spans="1:8" x14ac:dyDescent="0.25">
      <c r="A360" s="31">
        <v>44685</v>
      </c>
      <c r="B360" s="38" t="s">
        <v>14447</v>
      </c>
      <c r="C360" s="38" t="s">
        <v>555</v>
      </c>
      <c r="D360" s="34">
        <v>39934.400000000001</v>
      </c>
      <c r="E360" s="35">
        <v>44685</v>
      </c>
      <c r="F360" s="34">
        <v>39934.400000000001</v>
      </c>
      <c r="G360" s="36">
        <f>Tabla16[[#This Row],[Importe]]-Tabla16[[#This Row],[Pagado]]</f>
        <v>0</v>
      </c>
      <c r="H360" s="38" t="s">
        <v>10</v>
      </c>
    </row>
    <row r="361" spans="1:8" x14ac:dyDescent="0.25">
      <c r="A361" s="31">
        <v>44685</v>
      </c>
      <c r="B361" s="38" t="s">
        <v>14448</v>
      </c>
      <c r="C361" s="38" t="s">
        <v>216</v>
      </c>
      <c r="D361" s="34">
        <v>1557.6</v>
      </c>
      <c r="E361" s="35">
        <v>44685</v>
      </c>
      <c r="F361" s="34">
        <v>1557.6</v>
      </c>
      <c r="G361" s="36">
        <f>Tabla16[[#This Row],[Importe]]-Tabla16[[#This Row],[Pagado]]</f>
        <v>0</v>
      </c>
      <c r="H361" s="38" t="s">
        <v>10</v>
      </c>
    </row>
    <row r="362" spans="1:8" x14ac:dyDescent="0.25">
      <c r="A362" s="31">
        <v>44685</v>
      </c>
      <c r="B362" s="38" t="s">
        <v>14449</v>
      </c>
      <c r="C362" s="38" t="s">
        <v>9827</v>
      </c>
      <c r="D362" s="34">
        <v>600.6</v>
      </c>
      <c r="E362" s="35">
        <v>44685</v>
      </c>
      <c r="F362" s="34">
        <v>600.6</v>
      </c>
      <c r="G362" s="36">
        <f>Tabla16[[#This Row],[Importe]]-Tabla16[[#This Row],[Pagado]]</f>
        <v>0</v>
      </c>
      <c r="H362" s="38" t="s">
        <v>10</v>
      </c>
    </row>
    <row r="363" spans="1:8" x14ac:dyDescent="0.25">
      <c r="A363" s="31">
        <v>44685</v>
      </c>
      <c r="B363" s="38" t="s">
        <v>14450</v>
      </c>
      <c r="C363" s="38" t="s">
        <v>230</v>
      </c>
      <c r="D363" s="34">
        <v>1430.4</v>
      </c>
      <c r="E363" s="35">
        <v>44685</v>
      </c>
      <c r="F363" s="34">
        <v>1430.4</v>
      </c>
      <c r="G363" s="36">
        <f>Tabla16[[#This Row],[Importe]]-Tabla16[[#This Row],[Pagado]]</f>
        <v>0</v>
      </c>
      <c r="H363" s="38" t="s">
        <v>10</v>
      </c>
    </row>
    <row r="364" spans="1:8" x14ac:dyDescent="0.25">
      <c r="A364" s="31">
        <v>44685</v>
      </c>
      <c r="B364" s="38" t="s">
        <v>14451</v>
      </c>
      <c r="C364" s="38" t="s">
        <v>31</v>
      </c>
      <c r="D364" s="34">
        <v>765.6</v>
      </c>
      <c r="E364" s="35">
        <v>44685</v>
      </c>
      <c r="F364" s="34">
        <v>765.6</v>
      </c>
      <c r="G364" s="36">
        <f>Tabla16[[#This Row],[Importe]]-Tabla16[[#This Row],[Pagado]]</f>
        <v>0</v>
      </c>
      <c r="H364" s="38" t="s">
        <v>10</v>
      </c>
    </row>
    <row r="365" spans="1:8" x14ac:dyDescent="0.25">
      <c r="A365" s="31">
        <v>44685</v>
      </c>
      <c r="B365" s="38" t="s">
        <v>14452</v>
      </c>
      <c r="C365" s="38" t="s">
        <v>528</v>
      </c>
      <c r="D365" s="34">
        <v>65113.599999999999</v>
      </c>
      <c r="E365" s="35">
        <v>44686</v>
      </c>
      <c r="F365" s="34">
        <v>65113.599999999999</v>
      </c>
      <c r="G365" s="36">
        <f>Tabla16[[#This Row],[Importe]]-Tabla16[[#This Row],[Pagado]]</f>
        <v>0</v>
      </c>
      <c r="H365" s="38" t="s">
        <v>10</v>
      </c>
    </row>
    <row r="366" spans="1:8" x14ac:dyDescent="0.25">
      <c r="A366" s="31">
        <v>44685</v>
      </c>
      <c r="B366" s="38" t="s">
        <v>14453</v>
      </c>
      <c r="C366" s="38" t="s">
        <v>133</v>
      </c>
      <c r="D366" s="34">
        <v>20508.8</v>
      </c>
      <c r="E366" s="35">
        <v>44686</v>
      </c>
      <c r="F366" s="34">
        <v>20508.8</v>
      </c>
      <c r="G366" s="36">
        <f>Tabla16[[#This Row],[Importe]]-Tabla16[[#This Row],[Pagado]]</f>
        <v>0</v>
      </c>
      <c r="H366" s="38" t="s">
        <v>10</v>
      </c>
    </row>
    <row r="367" spans="1:8" x14ac:dyDescent="0.25">
      <c r="A367" s="31">
        <v>44685</v>
      </c>
      <c r="B367" s="38" t="s">
        <v>14454</v>
      </c>
      <c r="C367" s="38" t="s">
        <v>4136</v>
      </c>
      <c r="D367" s="34">
        <v>2636.2</v>
      </c>
      <c r="E367" s="35">
        <v>44685</v>
      </c>
      <c r="F367" s="34">
        <v>2636.2</v>
      </c>
      <c r="G367" s="36">
        <f>Tabla16[[#This Row],[Importe]]-Tabla16[[#This Row],[Pagado]]</f>
        <v>0</v>
      </c>
      <c r="H367" s="38" t="s">
        <v>10</v>
      </c>
    </row>
    <row r="368" spans="1:8" x14ac:dyDescent="0.25">
      <c r="A368" s="31">
        <v>44685</v>
      </c>
      <c r="B368" s="38" t="s">
        <v>14455</v>
      </c>
      <c r="C368" s="38" t="s">
        <v>204</v>
      </c>
      <c r="D368" s="34">
        <v>2184</v>
      </c>
      <c r="E368" s="35">
        <v>44685</v>
      </c>
      <c r="F368" s="34">
        <v>2184</v>
      </c>
      <c r="G368" s="36">
        <f>Tabla16[[#This Row],[Importe]]-Tabla16[[#This Row],[Pagado]]</f>
        <v>0</v>
      </c>
      <c r="H368" s="38" t="s">
        <v>10</v>
      </c>
    </row>
    <row r="369" spans="1:8" x14ac:dyDescent="0.25">
      <c r="A369" s="31">
        <v>44685</v>
      </c>
      <c r="B369" s="38" t="s">
        <v>14456</v>
      </c>
      <c r="C369" s="38" t="s">
        <v>698</v>
      </c>
      <c r="D369" s="34">
        <v>5743.7</v>
      </c>
      <c r="E369" s="35">
        <v>44685</v>
      </c>
      <c r="F369" s="34">
        <v>5743.7</v>
      </c>
      <c r="G369" s="36">
        <f>Tabla16[[#This Row],[Importe]]-Tabla16[[#This Row],[Pagado]]</f>
        <v>0</v>
      </c>
      <c r="H369" s="38" t="s">
        <v>10</v>
      </c>
    </row>
    <row r="370" spans="1:8" x14ac:dyDescent="0.25">
      <c r="A370" s="31">
        <v>44685</v>
      </c>
      <c r="B370" s="38" t="s">
        <v>14457</v>
      </c>
      <c r="C370" s="38" t="s">
        <v>698</v>
      </c>
      <c r="D370" s="34">
        <v>3143.7</v>
      </c>
      <c r="E370" s="35">
        <v>44685</v>
      </c>
      <c r="F370" s="34">
        <v>3143.7</v>
      </c>
      <c r="G370" s="36">
        <f>Tabla16[[#This Row],[Importe]]-Tabla16[[#This Row],[Pagado]]</f>
        <v>0</v>
      </c>
      <c r="H370" s="38" t="s">
        <v>10</v>
      </c>
    </row>
    <row r="371" spans="1:8" x14ac:dyDescent="0.25">
      <c r="A371" s="31">
        <v>44685</v>
      </c>
      <c r="B371" s="38" t="s">
        <v>14458</v>
      </c>
      <c r="C371" s="38" t="s">
        <v>419</v>
      </c>
      <c r="D371" s="34">
        <v>6690.5</v>
      </c>
      <c r="E371" s="35">
        <v>44685</v>
      </c>
      <c r="F371" s="34">
        <v>6690.5</v>
      </c>
      <c r="G371" s="36">
        <f>Tabla16[[#This Row],[Importe]]-Tabla16[[#This Row],[Pagado]]</f>
        <v>0</v>
      </c>
      <c r="H371" s="38" t="s">
        <v>10</v>
      </c>
    </row>
    <row r="372" spans="1:8" x14ac:dyDescent="0.25">
      <c r="A372" s="31">
        <v>44685</v>
      </c>
      <c r="B372" s="38" t="s">
        <v>14459</v>
      </c>
      <c r="C372" s="38" t="s">
        <v>71</v>
      </c>
      <c r="D372" s="34">
        <v>593.4</v>
      </c>
      <c r="E372" s="35">
        <v>44685</v>
      </c>
      <c r="F372" s="34">
        <v>593.4</v>
      </c>
      <c r="G372" s="36">
        <f>Tabla16[[#This Row],[Importe]]-Tabla16[[#This Row],[Pagado]]</f>
        <v>0</v>
      </c>
      <c r="H372" s="38" t="s">
        <v>10</v>
      </c>
    </row>
    <row r="373" spans="1:8" x14ac:dyDescent="0.25">
      <c r="A373" s="31">
        <v>44685</v>
      </c>
      <c r="B373" s="38" t="s">
        <v>14460</v>
      </c>
      <c r="C373" s="38" t="s">
        <v>289</v>
      </c>
      <c r="D373" s="34">
        <v>8221.2000000000007</v>
      </c>
      <c r="E373" s="35">
        <v>44685</v>
      </c>
      <c r="F373" s="34">
        <v>8221.2000000000007</v>
      </c>
      <c r="G373" s="36">
        <f>Tabla16[[#This Row],[Importe]]-Tabla16[[#This Row],[Pagado]]</f>
        <v>0</v>
      </c>
      <c r="H373" s="38" t="s">
        <v>10</v>
      </c>
    </row>
    <row r="374" spans="1:8" x14ac:dyDescent="0.25">
      <c r="A374" s="31">
        <v>44685</v>
      </c>
      <c r="B374" s="38" t="s">
        <v>14461</v>
      </c>
      <c r="C374" s="38" t="s">
        <v>58</v>
      </c>
      <c r="D374" s="34">
        <v>3355.8</v>
      </c>
      <c r="E374" s="35">
        <v>44685</v>
      </c>
      <c r="F374" s="34">
        <v>3355.8</v>
      </c>
      <c r="G374" s="36">
        <f>Tabla16[[#This Row],[Importe]]-Tabla16[[#This Row],[Pagado]]</f>
        <v>0</v>
      </c>
      <c r="H374" s="38" t="s">
        <v>10</v>
      </c>
    </row>
    <row r="375" spans="1:8" x14ac:dyDescent="0.25">
      <c r="A375" s="31">
        <v>44685</v>
      </c>
      <c r="B375" s="38" t="s">
        <v>14462</v>
      </c>
      <c r="C375" s="38" t="s">
        <v>31</v>
      </c>
      <c r="D375" s="34">
        <v>22899.599999999999</v>
      </c>
      <c r="E375" s="35">
        <v>44685</v>
      </c>
      <c r="F375" s="34">
        <v>22899.599999999999</v>
      </c>
      <c r="G375" s="36">
        <f>Tabla16[[#This Row],[Importe]]-Tabla16[[#This Row],[Pagado]]</f>
        <v>0</v>
      </c>
      <c r="H375" s="38" t="s">
        <v>10</v>
      </c>
    </row>
    <row r="376" spans="1:8" x14ac:dyDescent="0.25">
      <c r="A376" s="31">
        <v>44685</v>
      </c>
      <c r="B376" s="38" t="s">
        <v>14463</v>
      </c>
      <c r="C376" s="38" t="s">
        <v>31</v>
      </c>
      <c r="D376" s="34">
        <v>10403.200000000001</v>
      </c>
      <c r="E376" s="35">
        <v>44685</v>
      </c>
      <c r="F376" s="34">
        <v>10403.200000000001</v>
      </c>
      <c r="G376" s="36">
        <f>Tabla16[[#This Row],[Importe]]-Tabla16[[#This Row],[Pagado]]</f>
        <v>0</v>
      </c>
      <c r="H376" s="38" t="s">
        <v>10</v>
      </c>
    </row>
    <row r="377" spans="1:8" x14ac:dyDescent="0.25">
      <c r="A377" s="31">
        <v>44685</v>
      </c>
      <c r="B377" s="38" t="s">
        <v>14464</v>
      </c>
      <c r="C377" s="38" t="s">
        <v>214</v>
      </c>
      <c r="D377" s="34">
        <v>1287</v>
      </c>
      <c r="E377" s="35">
        <v>44685</v>
      </c>
      <c r="F377" s="34">
        <v>1287</v>
      </c>
      <c r="G377" s="36">
        <f>Tabla16[[#This Row],[Importe]]-Tabla16[[#This Row],[Pagado]]</f>
        <v>0</v>
      </c>
      <c r="H377" s="38" t="s">
        <v>10</v>
      </c>
    </row>
    <row r="378" spans="1:8" x14ac:dyDescent="0.25">
      <c r="A378" s="31">
        <v>44685</v>
      </c>
      <c r="B378" s="38" t="s">
        <v>14465</v>
      </c>
      <c r="C378" s="38" t="s">
        <v>107</v>
      </c>
      <c r="D378" s="34">
        <v>10012.1</v>
      </c>
      <c r="E378" s="35">
        <v>44686</v>
      </c>
      <c r="F378" s="34">
        <v>10012.1</v>
      </c>
      <c r="G378" s="36">
        <f>Tabla16[[#This Row],[Importe]]-Tabla16[[#This Row],[Pagado]]</f>
        <v>0</v>
      </c>
      <c r="H378" s="38" t="s">
        <v>10</v>
      </c>
    </row>
    <row r="379" spans="1:8" x14ac:dyDescent="0.25">
      <c r="A379" s="31">
        <v>44685</v>
      </c>
      <c r="B379" s="38" t="s">
        <v>14466</v>
      </c>
      <c r="C379" s="38" t="s">
        <v>214</v>
      </c>
      <c r="D379" s="34">
        <v>9066.6</v>
      </c>
      <c r="E379" s="35">
        <v>44686</v>
      </c>
      <c r="F379" s="34">
        <v>9066.6</v>
      </c>
      <c r="G379" s="36">
        <f>Tabla16[[#This Row],[Importe]]-Tabla16[[#This Row],[Pagado]]</f>
        <v>0</v>
      </c>
      <c r="H379" s="38" t="s">
        <v>10</v>
      </c>
    </row>
    <row r="380" spans="1:8" x14ac:dyDescent="0.25">
      <c r="A380" s="31">
        <v>44685</v>
      </c>
      <c r="B380" s="38" t="s">
        <v>14467</v>
      </c>
      <c r="C380" s="38" t="s">
        <v>291</v>
      </c>
      <c r="D380" s="34">
        <v>3523.1</v>
      </c>
      <c r="E380" s="35">
        <v>44686</v>
      </c>
      <c r="F380" s="34">
        <v>3523.1</v>
      </c>
      <c r="G380" s="36">
        <f>Tabla16[[#This Row],[Importe]]-Tabla16[[#This Row],[Pagado]]</f>
        <v>0</v>
      </c>
      <c r="H380" s="38" t="s">
        <v>10</v>
      </c>
    </row>
    <row r="381" spans="1:8" x14ac:dyDescent="0.25">
      <c r="A381" s="31">
        <v>44685</v>
      </c>
      <c r="B381" s="38" t="s">
        <v>14468</v>
      </c>
      <c r="C381" s="38" t="s">
        <v>16</v>
      </c>
      <c r="D381" s="34">
        <v>1521.7</v>
      </c>
      <c r="E381" s="35">
        <v>44685</v>
      </c>
      <c r="F381" s="34">
        <v>1521.7</v>
      </c>
      <c r="G381" s="36">
        <f>Tabla16[[#This Row],[Importe]]-Tabla16[[#This Row],[Pagado]]</f>
        <v>0</v>
      </c>
      <c r="H381" s="38" t="s">
        <v>10</v>
      </c>
    </row>
    <row r="382" spans="1:8" x14ac:dyDescent="0.25">
      <c r="A382" s="31">
        <v>44685</v>
      </c>
      <c r="B382" s="38" t="s">
        <v>14469</v>
      </c>
      <c r="C382" s="38" t="s">
        <v>282</v>
      </c>
      <c r="D382" s="34">
        <v>1980</v>
      </c>
      <c r="E382" s="35">
        <v>44686</v>
      </c>
      <c r="F382" s="34">
        <v>1980</v>
      </c>
      <c r="G382" s="36">
        <f>Tabla16[[#This Row],[Importe]]-Tabla16[[#This Row],[Pagado]]</f>
        <v>0</v>
      </c>
      <c r="H382" s="38" t="s">
        <v>10</v>
      </c>
    </row>
    <row r="383" spans="1:8" x14ac:dyDescent="0.25">
      <c r="A383" s="31">
        <v>44685</v>
      </c>
      <c r="B383" s="38" t="s">
        <v>14470</v>
      </c>
      <c r="C383" s="38" t="s">
        <v>284</v>
      </c>
      <c r="D383" s="34">
        <v>8071.8</v>
      </c>
      <c r="E383" s="35">
        <v>44686</v>
      </c>
      <c r="F383" s="34">
        <v>8071.8</v>
      </c>
      <c r="G383" s="36">
        <f>Tabla16[[#This Row],[Importe]]-Tabla16[[#This Row],[Pagado]]</f>
        <v>0</v>
      </c>
      <c r="H383" s="38" t="s">
        <v>10</v>
      </c>
    </row>
    <row r="384" spans="1:8" x14ac:dyDescent="0.25">
      <c r="A384" s="31">
        <v>44685</v>
      </c>
      <c r="B384" s="38" t="s">
        <v>14471</v>
      </c>
      <c r="C384" s="38" t="s">
        <v>179</v>
      </c>
      <c r="D384" s="34">
        <v>1221.8</v>
      </c>
      <c r="E384" s="35">
        <v>44686</v>
      </c>
      <c r="F384" s="34">
        <v>1221.8</v>
      </c>
      <c r="G384" s="36">
        <f>Tabla16[[#This Row],[Importe]]-Tabla16[[#This Row],[Pagado]]</f>
        <v>0</v>
      </c>
      <c r="H384" s="38" t="s">
        <v>10</v>
      </c>
    </row>
    <row r="385" spans="1:8" x14ac:dyDescent="0.25">
      <c r="A385" s="31">
        <v>44685</v>
      </c>
      <c r="B385" s="38" t="s">
        <v>14472</v>
      </c>
      <c r="C385" s="38" t="s">
        <v>275</v>
      </c>
      <c r="D385" s="34">
        <v>54345.599999999999</v>
      </c>
      <c r="E385" s="35">
        <v>44694</v>
      </c>
      <c r="F385" s="34">
        <v>54345.599999999999</v>
      </c>
      <c r="G385" s="36">
        <f>Tabla16[[#This Row],[Importe]]-Tabla16[[#This Row],[Pagado]]</f>
        <v>0</v>
      </c>
      <c r="H385" s="38" t="s">
        <v>10</v>
      </c>
    </row>
    <row r="386" spans="1:8" x14ac:dyDescent="0.25">
      <c r="A386" s="31">
        <v>44685</v>
      </c>
      <c r="B386" s="38" t="s">
        <v>14473</v>
      </c>
      <c r="C386" s="38" t="s">
        <v>31</v>
      </c>
      <c r="D386" s="34">
        <v>690</v>
      </c>
      <c r="E386" s="35">
        <v>44685</v>
      </c>
      <c r="F386" s="34">
        <v>690</v>
      </c>
      <c r="G386" s="36">
        <f>Tabla16[[#This Row],[Importe]]-Tabla16[[#This Row],[Pagado]]</f>
        <v>0</v>
      </c>
      <c r="H386" s="38" t="s">
        <v>10</v>
      </c>
    </row>
    <row r="387" spans="1:8" x14ac:dyDescent="0.25">
      <c r="A387" s="31">
        <v>44685</v>
      </c>
      <c r="B387" s="38" t="s">
        <v>14474</v>
      </c>
      <c r="C387" s="38" t="s">
        <v>10273</v>
      </c>
      <c r="D387" s="34">
        <v>500</v>
      </c>
      <c r="E387" s="35">
        <v>44718</v>
      </c>
      <c r="F387" s="34">
        <v>500</v>
      </c>
      <c r="G387" s="36">
        <f>Tabla16[[#This Row],[Importe]]-Tabla16[[#This Row],[Pagado]]</f>
        <v>0</v>
      </c>
      <c r="H387" s="38" t="s">
        <v>10</v>
      </c>
    </row>
    <row r="388" spans="1:8" x14ac:dyDescent="0.25">
      <c r="A388" s="31">
        <v>44685</v>
      </c>
      <c r="B388" s="38" t="s">
        <v>14475</v>
      </c>
      <c r="C388" s="38" t="s">
        <v>191</v>
      </c>
      <c r="D388" s="34">
        <v>554.4</v>
      </c>
      <c r="E388" s="35">
        <v>44685</v>
      </c>
      <c r="F388" s="34">
        <v>554.4</v>
      </c>
      <c r="G388" s="36">
        <f>Tabla16[[#This Row],[Importe]]-Tabla16[[#This Row],[Pagado]]</f>
        <v>0</v>
      </c>
      <c r="H388" s="38" t="s">
        <v>10</v>
      </c>
    </row>
    <row r="389" spans="1:8" x14ac:dyDescent="0.25">
      <c r="A389" s="31">
        <v>44685</v>
      </c>
      <c r="B389" s="38" t="s">
        <v>14476</v>
      </c>
      <c r="C389" s="38" t="s">
        <v>53</v>
      </c>
      <c r="D389" s="34">
        <v>1587</v>
      </c>
      <c r="E389" s="35">
        <v>44685</v>
      </c>
      <c r="F389" s="34">
        <v>1587</v>
      </c>
      <c r="G389" s="36">
        <f>Tabla16[[#This Row],[Importe]]-Tabla16[[#This Row],[Pagado]]</f>
        <v>0</v>
      </c>
      <c r="H389" s="38" t="s">
        <v>10</v>
      </c>
    </row>
    <row r="390" spans="1:8" x14ac:dyDescent="0.25">
      <c r="A390" s="31">
        <v>44685</v>
      </c>
      <c r="B390" s="38" t="s">
        <v>14477</v>
      </c>
      <c r="C390" s="38" t="s">
        <v>10840</v>
      </c>
      <c r="D390" s="34">
        <v>3328</v>
      </c>
      <c r="E390" s="35">
        <v>44685</v>
      </c>
      <c r="F390" s="34">
        <v>3328</v>
      </c>
      <c r="G390" s="36">
        <f>Tabla16[[#This Row],[Importe]]-Tabla16[[#This Row],[Pagado]]</f>
        <v>0</v>
      </c>
      <c r="H390" s="38" t="s">
        <v>10</v>
      </c>
    </row>
    <row r="391" spans="1:8" x14ac:dyDescent="0.25">
      <c r="A391" s="31">
        <v>44685</v>
      </c>
      <c r="B391" s="38" t="s">
        <v>14478</v>
      </c>
      <c r="C391" s="38" t="s">
        <v>1339</v>
      </c>
      <c r="D391" s="34">
        <v>2691.2</v>
      </c>
      <c r="E391" s="35">
        <v>44685</v>
      </c>
      <c r="F391" s="34">
        <v>2691.2</v>
      </c>
      <c r="G391" s="36">
        <f>Tabla16[[#This Row],[Importe]]-Tabla16[[#This Row],[Pagado]]</f>
        <v>0</v>
      </c>
      <c r="H391" s="38" t="s">
        <v>10</v>
      </c>
    </row>
    <row r="392" spans="1:8" x14ac:dyDescent="0.25">
      <c r="A392" s="31">
        <v>44685</v>
      </c>
      <c r="B392" s="38" t="s">
        <v>14479</v>
      </c>
      <c r="C392" s="38" t="s">
        <v>62</v>
      </c>
      <c r="D392" s="34">
        <v>3748.5</v>
      </c>
      <c r="E392" s="35">
        <v>44685</v>
      </c>
      <c r="F392" s="34">
        <v>3748.5</v>
      </c>
      <c r="G392" s="36">
        <f>Tabla16[[#This Row],[Importe]]-Tabla16[[#This Row],[Pagado]]</f>
        <v>0</v>
      </c>
      <c r="H392" s="38" t="s">
        <v>10</v>
      </c>
    </row>
    <row r="393" spans="1:8" x14ac:dyDescent="0.25">
      <c r="A393" s="31">
        <v>44685</v>
      </c>
      <c r="B393" s="38" t="s">
        <v>14480</v>
      </c>
      <c r="C393" s="38" t="s">
        <v>62</v>
      </c>
      <c r="D393" s="34">
        <v>248</v>
      </c>
      <c r="E393" s="35">
        <v>44685</v>
      </c>
      <c r="F393" s="34">
        <v>248</v>
      </c>
      <c r="G393" s="36">
        <f>Tabla16[[#This Row],[Importe]]-Tabla16[[#This Row],[Pagado]]</f>
        <v>0</v>
      </c>
      <c r="H393" s="38" t="s">
        <v>10</v>
      </c>
    </row>
    <row r="394" spans="1:8" x14ac:dyDescent="0.25">
      <c r="A394" s="31">
        <v>44685</v>
      </c>
      <c r="B394" s="38" t="s">
        <v>14481</v>
      </c>
      <c r="C394" s="38" t="s">
        <v>12107</v>
      </c>
      <c r="D394" s="34">
        <v>2800</v>
      </c>
      <c r="E394" s="35">
        <v>44685</v>
      </c>
      <c r="F394" s="34">
        <v>2800</v>
      </c>
      <c r="G394" s="36">
        <f>Tabla16[[#This Row],[Importe]]-Tabla16[[#This Row],[Pagado]]</f>
        <v>0</v>
      </c>
      <c r="H394" s="38" t="s">
        <v>10</v>
      </c>
    </row>
    <row r="395" spans="1:8" x14ac:dyDescent="0.25">
      <c r="A395" s="31">
        <v>44685</v>
      </c>
      <c r="B395" s="38" t="s">
        <v>14482</v>
      </c>
      <c r="C395" s="38" t="s">
        <v>167</v>
      </c>
      <c r="D395" s="34">
        <v>35296</v>
      </c>
      <c r="E395" s="35">
        <v>44685</v>
      </c>
      <c r="F395" s="34">
        <v>35296</v>
      </c>
      <c r="G395" s="36">
        <f>Tabla16[[#This Row],[Importe]]-Tabla16[[#This Row],[Pagado]]</f>
        <v>0</v>
      </c>
      <c r="H395" s="38" t="s">
        <v>10</v>
      </c>
    </row>
    <row r="396" spans="1:8" x14ac:dyDescent="0.25">
      <c r="A396" s="31">
        <v>44685</v>
      </c>
      <c r="B396" s="38" t="s">
        <v>14483</v>
      </c>
      <c r="C396" s="38" t="s">
        <v>9577</v>
      </c>
      <c r="D396" s="34">
        <v>19419.2</v>
      </c>
      <c r="E396" s="35">
        <v>44686</v>
      </c>
      <c r="F396" s="34">
        <v>19419.2</v>
      </c>
      <c r="G396" s="36">
        <f>Tabla16[[#This Row],[Importe]]-Tabla16[[#This Row],[Pagado]]</f>
        <v>0</v>
      </c>
      <c r="H396" s="38" t="s">
        <v>10</v>
      </c>
    </row>
    <row r="397" spans="1:8" x14ac:dyDescent="0.25">
      <c r="A397" s="31">
        <v>44685</v>
      </c>
      <c r="B397" s="38" t="s">
        <v>14484</v>
      </c>
      <c r="C397" s="38" t="s">
        <v>610</v>
      </c>
      <c r="D397" s="34">
        <v>19328</v>
      </c>
      <c r="E397" s="35">
        <v>44685</v>
      </c>
      <c r="F397" s="34">
        <v>19328</v>
      </c>
      <c r="G397" s="36">
        <f>Tabla16[[#This Row],[Importe]]-Tabla16[[#This Row],[Pagado]]</f>
        <v>0</v>
      </c>
      <c r="H397" s="38" t="s">
        <v>10</v>
      </c>
    </row>
    <row r="398" spans="1:8" x14ac:dyDescent="0.25">
      <c r="A398" s="31">
        <v>44685</v>
      </c>
      <c r="B398" s="38" t="s">
        <v>14485</v>
      </c>
      <c r="C398" s="38" t="s">
        <v>373</v>
      </c>
      <c r="D398" s="34">
        <v>56</v>
      </c>
      <c r="E398" s="35">
        <v>44685</v>
      </c>
      <c r="F398" s="34">
        <v>56</v>
      </c>
      <c r="G398" s="36">
        <f>Tabla16[[#This Row],[Importe]]-Tabla16[[#This Row],[Pagado]]</f>
        <v>0</v>
      </c>
      <c r="H398" s="38" t="s">
        <v>10</v>
      </c>
    </row>
    <row r="399" spans="1:8" x14ac:dyDescent="0.25">
      <c r="A399" s="31">
        <v>44685</v>
      </c>
      <c r="B399" s="38" t="s">
        <v>14486</v>
      </c>
      <c r="C399" s="38" t="s">
        <v>31</v>
      </c>
      <c r="D399" s="34">
        <v>22</v>
      </c>
      <c r="E399" s="35">
        <v>44685</v>
      </c>
      <c r="F399" s="34">
        <v>22</v>
      </c>
      <c r="G399" s="36">
        <f>Tabla16[[#This Row],[Importe]]-Tabla16[[#This Row],[Pagado]]</f>
        <v>0</v>
      </c>
      <c r="H399" s="38" t="s">
        <v>10</v>
      </c>
    </row>
    <row r="400" spans="1:8" x14ac:dyDescent="0.25">
      <c r="A400" s="31">
        <v>44685</v>
      </c>
      <c r="B400" s="38" t="s">
        <v>14487</v>
      </c>
      <c r="C400" s="38" t="s">
        <v>5345</v>
      </c>
      <c r="D400" s="34">
        <v>7015.8</v>
      </c>
      <c r="E400" s="35">
        <v>44686</v>
      </c>
      <c r="F400" s="34">
        <v>7015.8</v>
      </c>
      <c r="G400" s="36">
        <f>Tabla16[[#This Row],[Importe]]-Tabla16[[#This Row],[Pagado]]</f>
        <v>0</v>
      </c>
      <c r="H400" s="38" t="s">
        <v>10</v>
      </c>
    </row>
    <row r="401" spans="1:8" x14ac:dyDescent="0.25">
      <c r="A401" s="31">
        <v>44686</v>
      </c>
      <c r="B401" s="38" t="s">
        <v>14488</v>
      </c>
      <c r="C401" s="38" t="s">
        <v>20</v>
      </c>
      <c r="D401" s="34">
        <v>1248</v>
      </c>
      <c r="E401" s="35">
        <v>44686</v>
      </c>
      <c r="F401" s="34">
        <v>1248</v>
      </c>
      <c r="G401" s="36">
        <f>Tabla16[[#This Row],[Importe]]-Tabla16[[#This Row],[Pagado]]</f>
        <v>0</v>
      </c>
      <c r="H401" s="38" t="s">
        <v>10</v>
      </c>
    </row>
    <row r="402" spans="1:8" x14ac:dyDescent="0.25">
      <c r="A402" s="31">
        <v>44686</v>
      </c>
      <c r="B402" s="38" t="s">
        <v>14489</v>
      </c>
      <c r="C402" s="38" t="s">
        <v>12</v>
      </c>
      <c r="D402" s="34">
        <v>23500.75</v>
      </c>
      <c r="E402" s="35">
        <v>44686</v>
      </c>
      <c r="F402" s="34">
        <v>23500.75</v>
      </c>
      <c r="G402" s="36">
        <f>Tabla16[[#This Row],[Importe]]-Tabla16[[#This Row],[Pagado]]</f>
        <v>0</v>
      </c>
      <c r="H402" s="38" t="s">
        <v>10</v>
      </c>
    </row>
    <row r="403" spans="1:8" x14ac:dyDescent="0.25">
      <c r="A403" s="31">
        <v>44686</v>
      </c>
      <c r="B403" s="38" t="s">
        <v>14490</v>
      </c>
      <c r="C403" s="38" t="s">
        <v>481</v>
      </c>
      <c r="D403" s="34">
        <v>1657.6</v>
      </c>
      <c r="E403" s="35">
        <v>44686</v>
      </c>
      <c r="F403" s="34">
        <v>1657.6</v>
      </c>
      <c r="G403" s="36">
        <f>Tabla16[[#This Row],[Importe]]-Tabla16[[#This Row],[Pagado]]</f>
        <v>0</v>
      </c>
      <c r="H403" s="38" t="s">
        <v>10</v>
      </c>
    </row>
    <row r="404" spans="1:8" x14ac:dyDescent="0.25">
      <c r="A404" s="31">
        <v>44686</v>
      </c>
      <c r="B404" s="38" t="s">
        <v>14491</v>
      </c>
      <c r="C404" s="38" t="s">
        <v>481</v>
      </c>
      <c r="D404" s="34">
        <v>80</v>
      </c>
      <c r="E404" s="35">
        <v>44686</v>
      </c>
      <c r="F404" s="34">
        <v>80</v>
      </c>
      <c r="G404" s="36">
        <f>Tabla16[[#This Row],[Importe]]-Tabla16[[#This Row],[Pagado]]</f>
        <v>0</v>
      </c>
      <c r="H404" s="38" t="s">
        <v>10</v>
      </c>
    </row>
    <row r="405" spans="1:8" x14ac:dyDescent="0.25">
      <c r="A405" s="31">
        <v>44686</v>
      </c>
      <c r="B405" s="38" t="s">
        <v>14492</v>
      </c>
      <c r="C405" s="38" t="s">
        <v>83</v>
      </c>
      <c r="D405" s="34">
        <v>9262.4</v>
      </c>
      <c r="E405" s="35">
        <v>44686</v>
      </c>
      <c r="F405" s="34">
        <v>9262.4</v>
      </c>
      <c r="G405" s="36">
        <f>Tabla16[[#This Row],[Importe]]-Tabla16[[#This Row],[Pagado]]</f>
        <v>0</v>
      </c>
      <c r="H405" s="38" t="s">
        <v>10</v>
      </c>
    </row>
    <row r="406" spans="1:8" x14ac:dyDescent="0.25">
      <c r="A406" s="31">
        <v>44686</v>
      </c>
      <c r="B406" s="38" t="s">
        <v>14493</v>
      </c>
      <c r="C406" s="38" t="s">
        <v>618</v>
      </c>
      <c r="D406" s="34">
        <v>12677.5</v>
      </c>
      <c r="E406" s="35">
        <v>44686</v>
      </c>
      <c r="F406" s="34">
        <v>12677.5</v>
      </c>
      <c r="G406" s="36">
        <f>Tabla16[[#This Row],[Importe]]-Tabla16[[#This Row],[Pagado]]</f>
        <v>0</v>
      </c>
      <c r="H406" s="38" t="s">
        <v>10</v>
      </c>
    </row>
    <row r="407" spans="1:8" x14ac:dyDescent="0.25">
      <c r="A407" s="31">
        <v>44686</v>
      </c>
      <c r="B407" s="38" t="s">
        <v>14494</v>
      </c>
      <c r="C407" s="38" t="s">
        <v>9</v>
      </c>
      <c r="D407" s="34">
        <v>6782.6</v>
      </c>
      <c r="E407" s="35">
        <v>44686</v>
      </c>
      <c r="F407" s="34">
        <v>6782.6</v>
      </c>
      <c r="G407" s="36">
        <f>Tabla16[[#This Row],[Importe]]-Tabla16[[#This Row],[Pagado]]</f>
        <v>0</v>
      </c>
      <c r="H407" s="38" t="s">
        <v>10</v>
      </c>
    </row>
    <row r="408" spans="1:8" x14ac:dyDescent="0.25">
      <c r="A408" s="31">
        <v>44686</v>
      </c>
      <c r="B408" s="38" t="s">
        <v>14495</v>
      </c>
      <c r="C408" s="38" t="s">
        <v>49</v>
      </c>
      <c r="D408" s="34">
        <v>5348.6</v>
      </c>
      <c r="E408" s="35">
        <v>44686</v>
      </c>
      <c r="F408" s="34">
        <v>5348.6</v>
      </c>
      <c r="G408" s="36">
        <f>Tabla16[[#This Row],[Importe]]-Tabla16[[#This Row],[Pagado]]</f>
        <v>0</v>
      </c>
      <c r="H408" s="38" t="s">
        <v>10</v>
      </c>
    </row>
    <row r="409" spans="1:8" x14ac:dyDescent="0.25">
      <c r="A409" s="31">
        <v>44686</v>
      </c>
      <c r="B409" s="38" t="s">
        <v>14496</v>
      </c>
      <c r="C409" s="38" t="s">
        <v>85</v>
      </c>
      <c r="D409" s="34">
        <v>2922.6</v>
      </c>
      <c r="E409" s="35">
        <v>44686</v>
      </c>
      <c r="F409" s="34">
        <v>2922.6</v>
      </c>
      <c r="G409" s="36">
        <f>Tabla16[[#This Row],[Importe]]-Tabla16[[#This Row],[Pagado]]</f>
        <v>0</v>
      </c>
      <c r="H409" s="38" t="s">
        <v>10</v>
      </c>
    </row>
    <row r="410" spans="1:8" x14ac:dyDescent="0.25">
      <c r="A410" s="31">
        <v>44686</v>
      </c>
      <c r="B410" s="38" t="s">
        <v>14497</v>
      </c>
      <c r="C410" s="38" t="s">
        <v>31</v>
      </c>
      <c r="D410" s="34">
        <v>1217.5999999999999</v>
      </c>
      <c r="E410" s="35">
        <v>44686</v>
      </c>
      <c r="F410" s="34">
        <v>1217.5999999999999</v>
      </c>
      <c r="G410" s="36">
        <f>Tabla16[[#This Row],[Importe]]-Tabla16[[#This Row],[Pagado]]</f>
        <v>0</v>
      </c>
      <c r="H410" s="38" t="s">
        <v>10</v>
      </c>
    </row>
    <row r="411" spans="1:8" ht="31.5" x14ac:dyDescent="0.25">
      <c r="A411" s="31">
        <v>44686</v>
      </c>
      <c r="B411" s="38" t="s">
        <v>14498</v>
      </c>
      <c r="C411" s="38" t="s">
        <v>22</v>
      </c>
      <c r="D411" s="34">
        <v>43780.9</v>
      </c>
      <c r="E411" s="35" t="s">
        <v>14285</v>
      </c>
      <c r="F411" s="34">
        <f>28000+15780.9</f>
        <v>43780.9</v>
      </c>
      <c r="G411" s="36">
        <f>Tabla16[[#This Row],[Importe]]-Tabla16[[#This Row],[Pagado]]</f>
        <v>0</v>
      </c>
      <c r="H411" s="38" t="s">
        <v>10</v>
      </c>
    </row>
    <row r="412" spans="1:8" x14ac:dyDescent="0.25">
      <c r="A412" s="31">
        <v>44686</v>
      </c>
      <c r="B412" s="38" t="s">
        <v>14499</v>
      </c>
      <c r="C412" s="38" t="s">
        <v>116</v>
      </c>
      <c r="D412" s="34">
        <v>4605.7</v>
      </c>
      <c r="E412" s="35">
        <v>44690</v>
      </c>
      <c r="F412" s="34">
        <v>4605.7</v>
      </c>
      <c r="G412" s="36">
        <f>Tabla16[[#This Row],[Importe]]-Tabla16[[#This Row],[Pagado]]</f>
        <v>0</v>
      </c>
      <c r="H412" s="38" t="s">
        <v>10</v>
      </c>
    </row>
    <row r="413" spans="1:8" x14ac:dyDescent="0.25">
      <c r="A413" s="31">
        <v>44686</v>
      </c>
      <c r="B413" s="38" t="s">
        <v>14500</v>
      </c>
      <c r="C413" s="38" t="s">
        <v>13946</v>
      </c>
      <c r="D413" s="34">
        <v>5110.2</v>
      </c>
      <c r="E413" s="35">
        <v>44688</v>
      </c>
      <c r="F413" s="34">
        <v>5110.2</v>
      </c>
      <c r="G413" s="36">
        <f>Tabla16[[#This Row],[Importe]]-Tabla16[[#This Row],[Pagado]]</f>
        <v>0</v>
      </c>
      <c r="H413" s="38" t="s">
        <v>10</v>
      </c>
    </row>
    <row r="414" spans="1:8" x14ac:dyDescent="0.25">
      <c r="A414" s="31">
        <v>44686</v>
      </c>
      <c r="B414" s="38" t="s">
        <v>14501</v>
      </c>
      <c r="C414" s="38" t="s">
        <v>120</v>
      </c>
      <c r="D414" s="34">
        <v>4361.8999999999996</v>
      </c>
      <c r="E414" s="35">
        <v>44688</v>
      </c>
      <c r="F414" s="34">
        <v>4361.8999999999996</v>
      </c>
      <c r="G414" s="36">
        <f>Tabla16[[#This Row],[Importe]]-Tabla16[[#This Row],[Pagado]]</f>
        <v>0</v>
      </c>
      <c r="H414" s="38" t="s">
        <v>10</v>
      </c>
    </row>
    <row r="415" spans="1:8" x14ac:dyDescent="0.25">
      <c r="A415" s="31">
        <v>44686</v>
      </c>
      <c r="B415" s="38" t="s">
        <v>14502</v>
      </c>
      <c r="C415" s="38" t="s">
        <v>2151</v>
      </c>
      <c r="D415" s="34">
        <v>18560.599999999999</v>
      </c>
      <c r="E415" s="35">
        <v>44686</v>
      </c>
      <c r="F415" s="34">
        <v>18560.599999999999</v>
      </c>
      <c r="G415" s="36">
        <f>Tabla16[[#This Row],[Importe]]-Tabla16[[#This Row],[Pagado]]</f>
        <v>0</v>
      </c>
      <c r="H415" s="38" t="s">
        <v>10</v>
      </c>
    </row>
    <row r="416" spans="1:8" x14ac:dyDescent="0.25">
      <c r="A416" s="31">
        <v>44686</v>
      </c>
      <c r="B416" s="38" t="s">
        <v>14503</v>
      </c>
      <c r="C416" s="38" t="s">
        <v>93</v>
      </c>
      <c r="D416" s="34">
        <v>6739.8</v>
      </c>
      <c r="E416" s="35">
        <v>44687</v>
      </c>
      <c r="F416" s="34">
        <v>6739.8</v>
      </c>
      <c r="G416" s="36">
        <f>Tabla16[[#This Row],[Importe]]-Tabla16[[#This Row],[Pagado]]</f>
        <v>0</v>
      </c>
      <c r="H416" s="38" t="s">
        <v>10</v>
      </c>
    </row>
    <row r="417" spans="1:8" x14ac:dyDescent="0.25">
      <c r="A417" s="31">
        <v>44686</v>
      </c>
      <c r="B417" s="38" t="s">
        <v>14504</v>
      </c>
      <c r="C417" s="38" t="s">
        <v>109</v>
      </c>
      <c r="D417" s="34">
        <v>4957.2</v>
      </c>
      <c r="E417" s="35">
        <v>44687</v>
      </c>
      <c r="F417" s="34">
        <v>4957.2</v>
      </c>
      <c r="G417" s="36">
        <f>Tabla16[[#This Row],[Importe]]-Tabla16[[#This Row],[Pagado]]</f>
        <v>0</v>
      </c>
      <c r="H417" s="38" t="s">
        <v>10</v>
      </c>
    </row>
    <row r="418" spans="1:8" ht="31.5" x14ac:dyDescent="0.25">
      <c r="A418" s="31">
        <v>44686</v>
      </c>
      <c r="B418" s="38" t="s">
        <v>14505</v>
      </c>
      <c r="C418" s="38" t="s">
        <v>39</v>
      </c>
      <c r="D418" s="34">
        <v>19100.7</v>
      </c>
      <c r="E418" s="35" t="s">
        <v>14506</v>
      </c>
      <c r="F418" s="34">
        <f>10500+8600.7</f>
        <v>19100.7</v>
      </c>
      <c r="G418" s="36">
        <f>Tabla16[[#This Row],[Importe]]-Tabla16[[#This Row],[Pagado]]</f>
        <v>0</v>
      </c>
      <c r="H418" s="38" t="s">
        <v>10</v>
      </c>
    </row>
    <row r="419" spans="1:8" x14ac:dyDescent="0.25">
      <c r="A419" s="31">
        <v>44686</v>
      </c>
      <c r="B419" s="38" t="s">
        <v>14507</v>
      </c>
      <c r="C419" s="38" t="s">
        <v>99</v>
      </c>
      <c r="D419" s="34">
        <v>2240</v>
      </c>
      <c r="E419" s="35">
        <v>44688</v>
      </c>
      <c r="F419" s="34">
        <v>2240</v>
      </c>
      <c r="G419" s="36">
        <f>Tabla16[[#This Row],[Importe]]-Tabla16[[#This Row],[Pagado]]</f>
        <v>0</v>
      </c>
      <c r="H419" s="38" t="s">
        <v>10</v>
      </c>
    </row>
    <row r="420" spans="1:8" x14ac:dyDescent="0.25">
      <c r="A420" s="31">
        <v>44686</v>
      </c>
      <c r="B420" s="38" t="s">
        <v>14508</v>
      </c>
      <c r="C420" s="38" t="s">
        <v>60</v>
      </c>
      <c r="D420" s="34">
        <v>4918.3999999999996</v>
      </c>
      <c r="E420" s="35">
        <v>44689</v>
      </c>
      <c r="F420" s="34">
        <v>4918.3999999999996</v>
      </c>
      <c r="G420" s="36">
        <f>Tabla16[[#This Row],[Importe]]-Tabla16[[#This Row],[Pagado]]</f>
        <v>0</v>
      </c>
      <c r="H420" s="38" t="s">
        <v>10</v>
      </c>
    </row>
    <row r="421" spans="1:8" x14ac:dyDescent="0.25">
      <c r="A421" s="31">
        <v>44686</v>
      </c>
      <c r="B421" s="38" t="s">
        <v>14509</v>
      </c>
      <c r="C421" s="38" t="s">
        <v>326</v>
      </c>
      <c r="D421" s="34">
        <v>1774.8</v>
      </c>
      <c r="E421" s="35">
        <v>44688</v>
      </c>
      <c r="F421" s="34">
        <v>1774.8</v>
      </c>
      <c r="G421" s="36">
        <f>Tabla16[[#This Row],[Importe]]-Tabla16[[#This Row],[Pagado]]</f>
        <v>0</v>
      </c>
      <c r="H421" s="38" t="s">
        <v>10</v>
      </c>
    </row>
    <row r="422" spans="1:8" x14ac:dyDescent="0.25">
      <c r="A422" s="31">
        <v>44686</v>
      </c>
      <c r="B422" s="38" t="s">
        <v>14510</v>
      </c>
      <c r="C422" s="38" t="s">
        <v>64</v>
      </c>
      <c r="D422" s="34">
        <v>9200.2999999999993</v>
      </c>
      <c r="E422" s="35">
        <v>44688</v>
      </c>
      <c r="F422" s="34">
        <v>9200.2999999999993</v>
      </c>
      <c r="G422" s="36">
        <f>Tabla16[[#This Row],[Importe]]-Tabla16[[#This Row],[Pagado]]</f>
        <v>0</v>
      </c>
      <c r="H422" s="38" t="s">
        <v>10</v>
      </c>
    </row>
    <row r="423" spans="1:8" x14ac:dyDescent="0.25">
      <c r="A423" s="31">
        <v>44686</v>
      </c>
      <c r="B423" s="38" t="s">
        <v>14511</v>
      </c>
      <c r="C423" s="38" t="s">
        <v>89</v>
      </c>
      <c r="D423" s="34">
        <v>5064.3</v>
      </c>
      <c r="E423" s="35">
        <v>44686</v>
      </c>
      <c r="F423" s="34">
        <v>5064.3</v>
      </c>
      <c r="G423" s="36">
        <f>Tabla16[[#This Row],[Importe]]-Tabla16[[#This Row],[Pagado]]</f>
        <v>0</v>
      </c>
      <c r="H423" s="38" t="s">
        <v>10</v>
      </c>
    </row>
    <row r="424" spans="1:8" x14ac:dyDescent="0.25">
      <c r="A424" s="31">
        <v>44686</v>
      </c>
      <c r="B424" s="38" t="s">
        <v>14512</v>
      </c>
      <c r="C424" s="38" t="s">
        <v>105</v>
      </c>
      <c r="D424" s="34">
        <v>6171</v>
      </c>
      <c r="E424" s="35">
        <v>44687</v>
      </c>
      <c r="F424" s="34">
        <v>6171</v>
      </c>
      <c r="G424" s="36">
        <f>Tabla16[[#This Row],[Importe]]-Tabla16[[#This Row],[Pagado]]</f>
        <v>0</v>
      </c>
      <c r="H424" s="38" t="s">
        <v>10</v>
      </c>
    </row>
    <row r="425" spans="1:8" x14ac:dyDescent="0.25">
      <c r="A425" s="31">
        <v>44686</v>
      </c>
      <c r="B425" s="38" t="s">
        <v>14513</v>
      </c>
      <c r="C425" s="38" t="s">
        <v>58</v>
      </c>
      <c r="D425" s="34">
        <v>3446.1</v>
      </c>
      <c r="E425" s="35">
        <v>44686</v>
      </c>
      <c r="F425" s="34">
        <v>3446.1</v>
      </c>
      <c r="G425" s="36">
        <f>Tabla16[[#This Row],[Importe]]-Tabla16[[#This Row],[Pagado]]</f>
        <v>0</v>
      </c>
      <c r="H425" s="38" t="s">
        <v>10</v>
      </c>
    </row>
    <row r="426" spans="1:8" x14ac:dyDescent="0.25">
      <c r="A426" s="31">
        <v>44686</v>
      </c>
      <c r="B426" s="38" t="s">
        <v>14514</v>
      </c>
      <c r="C426" s="38" t="s">
        <v>348</v>
      </c>
      <c r="D426" s="34">
        <v>2993.7</v>
      </c>
      <c r="E426" s="35">
        <v>44686</v>
      </c>
      <c r="F426" s="34">
        <v>2993.7</v>
      </c>
      <c r="G426" s="36">
        <f>Tabla16[[#This Row],[Importe]]-Tabla16[[#This Row],[Pagado]]</f>
        <v>0</v>
      </c>
      <c r="H426" s="38" t="s">
        <v>10</v>
      </c>
    </row>
    <row r="427" spans="1:8" x14ac:dyDescent="0.25">
      <c r="A427" s="31">
        <v>44686</v>
      </c>
      <c r="B427" s="38" t="s">
        <v>14515</v>
      </c>
      <c r="C427" s="38" t="s">
        <v>161</v>
      </c>
      <c r="D427" s="34">
        <v>3623.4</v>
      </c>
      <c r="E427" s="35">
        <v>44686</v>
      </c>
      <c r="F427" s="34">
        <v>3623.4</v>
      </c>
      <c r="G427" s="36">
        <f>Tabla16[[#This Row],[Importe]]-Tabla16[[#This Row],[Pagado]]</f>
        <v>0</v>
      </c>
      <c r="H427" s="38" t="s">
        <v>10</v>
      </c>
    </row>
    <row r="428" spans="1:8" x14ac:dyDescent="0.25">
      <c r="A428" s="31">
        <v>44686</v>
      </c>
      <c r="B428" s="38" t="s">
        <v>14516</v>
      </c>
      <c r="C428" s="38" t="s">
        <v>58</v>
      </c>
      <c r="D428" s="34">
        <v>1259.7</v>
      </c>
      <c r="E428" s="35">
        <v>44686</v>
      </c>
      <c r="F428" s="34">
        <v>1259.7</v>
      </c>
      <c r="G428" s="36">
        <f>Tabla16[[#This Row],[Importe]]-Tabla16[[#This Row],[Pagado]]</f>
        <v>0</v>
      </c>
      <c r="H428" s="38" t="s">
        <v>10</v>
      </c>
    </row>
    <row r="429" spans="1:8" x14ac:dyDescent="0.25">
      <c r="A429" s="31">
        <v>44686</v>
      </c>
      <c r="B429" s="38" t="s">
        <v>14517</v>
      </c>
      <c r="C429" s="38" t="s">
        <v>97</v>
      </c>
      <c r="D429" s="34">
        <v>6093</v>
      </c>
      <c r="E429" s="35">
        <v>44687</v>
      </c>
      <c r="F429" s="34">
        <v>6093</v>
      </c>
      <c r="G429" s="36">
        <f>Tabla16[[#This Row],[Importe]]-Tabla16[[#This Row],[Pagado]]</f>
        <v>0</v>
      </c>
      <c r="H429" s="38" t="s">
        <v>10</v>
      </c>
    </row>
    <row r="430" spans="1:8" x14ac:dyDescent="0.25">
      <c r="A430" s="31">
        <v>44686</v>
      </c>
      <c r="B430" s="38" t="s">
        <v>14518</v>
      </c>
      <c r="C430" s="38" t="s">
        <v>114</v>
      </c>
      <c r="D430" s="34">
        <v>6726.9</v>
      </c>
      <c r="E430" s="35">
        <v>44687</v>
      </c>
      <c r="F430" s="34">
        <v>6726.9</v>
      </c>
      <c r="G430" s="36">
        <f>Tabla16[[#This Row],[Importe]]-Tabla16[[#This Row],[Pagado]]</f>
        <v>0</v>
      </c>
      <c r="H430" s="38" t="s">
        <v>10</v>
      </c>
    </row>
    <row r="431" spans="1:8" x14ac:dyDescent="0.25">
      <c r="A431" s="31">
        <v>44686</v>
      </c>
      <c r="B431" s="38" t="s">
        <v>14519</v>
      </c>
      <c r="C431" s="38" t="s">
        <v>11033</v>
      </c>
      <c r="D431" s="34">
        <v>3123.2</v>
      </c>
      <c r="E431" s="35">
        <v>44686</v>
      </c>
      <c r="F431" s="34">
        <v>3123.2</v>
      </c>
      <c r="G431" s="36">
        <f>Tabla16[[#This Row],[Importe]]-Tabla16[[#This Row],[Pagado]]</f>
        <v>0</v>
      </c>
      <c r="H431" s="38" t="s">
        <v>10</v>
      </c>
    </row>
    <row r="432" spans="1:8" x14ac:dyDescent="0.25">
      <c r="A432" s="31">
        <v>44686</v>
      </c>
      <c r="B432" s="38" t="s">
        <v>14520</v>
      </c>
      <c r="C432" s="38" t="s">
        <v>67</v>
      </c>
      <c r="D432" s="34">
        <v>8718.6</v>
      </c>
      <c r="E432" s="35">
        <v>44686</v>
      </c>
      <c r="F432" s="34">
        <v>8718.6</v>
      </c>
      <c r="G432" s="36">
        <f>Tabla16[[#This Row],[Importe]]-Tabla16[[#This Row],[Pagado]]</f>
        <v>0</v>
      </c>
      <c r="H432" s="38" t="s">
        <v>10</v>
      </c>
    </row>
    <row r="433" spans="1:8" x14ac:dyDescent="0.25">
      <c r="A433" s="31">
        <v>44686</v>
      </c>
      <c r="B433" s="38" t="s">
        <v>14521</v>
      </c>
      <c r="C433" s="38" t="s">
        <v>27</v>
      </c>
      <c r="D433" s="34">
        <v>3905.9</v>
      </c>
      <c r="E433" s="35">
        <v>44686</v>
      </c>
      <c r="F433" s="34">
        <v>3905.9</v>
      </c>
      <c r="G433" s="36">
        <f>Tabla16[[#This Row],[Importe]]-Tabla16[[#This Row],[Pagado]]</f>
        <v>0</v>
      </c>
      <c r="H433" s="38" t="s">
        <v>10</v>
      </c>
    </row>
    <row r="434" spans="1:8" x14ac:dyDescent="0.25">
      <c r="A434" s="31">
        <v>44686</v>
      </c>
      <c r="B434" s="38" t="s">
        <v>14522</v>
      </c>
      <c r="C434" s="38" t="s">
        <v>27</v>
      </c>
      <c r="D434" s="34">
        <v>2973.5</v>
      </c>
      <c r="E434" s="35">
        <v>44686</v>
      </c>
      <c r="F434" s="34">
        <v>2973.5</v>
      </c>
      <c r="G434" s="36">
        <f>Tabla16[[#This Row],[Importe]]-Tabla16[[#This Row],[Pagado]]</f>
        <v>0</v>
      </c>
      <c r="H434" s="38" t="s">
        <v>10</v>
      </c>
    </row>
    <row r="435" spans="1:8" x14ac:dyDescent="0.25">
      <c r="A435" s="31">
        <v>44686</v>
      </c>
      <c r="B435" s="38" t="s">
        <v>14523</v>
      </c>
      <c r="C435" s="38" t="s">
        <v>33</v>
      </c>
      <c r="D435" s="34">
        <v>5195.8999999999996</v>
      </c>
      <c r="E435" s="35">
        <v>44686</v>
      </c>
      <c r="F435" s="34">
        <v>5195.8999999999996</v>
      </c>
      <c r="G435" s="36">
        <f>Tabla16[[#This Row],[Importe]]-Tabla16[[#This Row],[Pagado]]</f>
        <v>0</v>
      </c>
      <c r="H435" s="38" t="s">
        <v>10</v>
      </c>
    </row>
    <row r="436" spans="1:8" x14ac:dyDescent="0.25">
      <c r="A436" s="31">
        <v>44686</v>
      </c>
      <c r="B436" s="38" t="s">
        <v>14524</v>
      </c>
      <c r="C436" s="38" t="s">
        <v>31</v>
      </c>
      <c r="D436" s="34">
        <v>580.79999999999995</v>
      </c>
      <c r="E436" s="35">
        <v>44686</v>
      </c>
      <c r="F436" s="34">
        <v>580.79999999999995</v>
      </c>
      <c r="G436" s="36">
        <f>Tabla16[[#This Row],[Importe]]-Tabla16[[#This Row],[Pagado]]</f>
        <v>0</v>
      </c>
      <c r="H436" s="38" t="s">
        <v>10</v>
      </c>
    </row>
    <row r="437" spans="1:8" x14ac:dyDescent="0.25">
      <c r="A437" s="31">
        <v>44686</v>
      </c>
      <c r="B437" s="38" t="s">
        <v>14525</v>
      </c>
      <c r="C437" s="38" t="s">
        <v>33</v>
      </c>
      <c r="D437" s="34">
        <v>6564.6</v>
      </c>
      <c r="E437" s="35">
        <v>44686</v>
      </c>
      <c r="F437" s="34">
        <v>6564.6</v>
      </c>
      <c r="G437" s="36">
        <f>Tabla16[[#This Row],[Importe]]-Tabla16[[#This Row],[Pagado]]</f>
        <v>0</v>
      </c>
      <c r="H437" s="38" t="s">
        <v>10</v>
      </c>
    </row>
    <row r="438" spans="1:8" x14ac:dyDescent="0.25">
      <c r="A438" s="31">
        <v>44686</v>
      </c>
      <c r="B438" s="38" t="s">
        <v>14526</v>
      </c>
      <c r="C438" s="38" t="s">
        <v>142</v>
      </c>
      <c r="D438" s="34">
        <v>66691.399999999994</v>
      </c>
      <c r="E438" s="35">
        <v>44722</v>
      </c>
      <c r="F438" s="34">
        <v>66691.399999999994</v>
      </c>
      <c r="G438" s="36">
        <f>Tabla16[[#This Row],[Importe]]-Tabla16[[#This Row],[Pagado]]</f>
        <v>0</v>
      </c>
      <c r="H438" s="38" t="s">
        <v>10</v>
      </c>
    </row>
    <row r="439" spans="1:8" x14ac:dyDescent="0.25">
      <c r="A439" s="31">
        <v>44686</v>
      </c>
      <c r="B439" s="38" t="s">
        <v>14527</v>
      </c>
      <c r="C439" s="38" t="s">
        <v>12202</v>
      </c>
      <c r="D439" s="34">
        <v>4320</v>
      </c>
      <c r="E439" s="35">
        <v>44686</v>
      </c>
      <c r="F439" s="34">
        <v>4320</v>
      </c>
      <c r="G439" s="36">
        <f>Tabla16[[#This Row],[Importe]]-Tabla16[[#This Row],[Pagado]]</f>
        <v>0</v>
      </c>
      <c r="H439" s="38" t="s">
        <v>10</v>
      </c>
    </row>
    <row r="440" spans="1:8" x14ac:dyDescent="0.25">
      <c r="A440" s="31">
        <v>44686</v>
      </c>
      <c r="B440" s="38" t="s">
        <v>14528</v>
      </c>
      <c r="C440" s="38" t="s">
        <v>1239</v>
      </c>
      <c r="D440" s="34">
        <v>9531.9</v>
      </c>
      <c r="E440" s="35">
        <v>44686</v>
      </c>
      <c r="F440" s="34">
        <v>9531.9</v>
      </c>
      <c r="G440" s="36">
        <f>Tabla16[[#This Row],[Importe]]-Tabla16[[#This Row],[Pagado]]</f>
        <v>0</v>
      </c>
      <c r="H440" s="38" t="s">
        <v>10</v>
      </c>
    </row>
    <row r="441" spans="1:8" x14ac:dyDescent="0.25">
      <c r="A441" s="31">
        <v>44686</v>
      </c>
      <c r="B441" s="38" t="s">
        <v>14529</v>
      </c>
      <c r="C441" s="38" t="s">
        <v>647</v>
      </c>
      <c r="D441" s="34">
        <v>1766.4</v>
      </c>
      <c r="E441" s="35">
        <v>44686</v>
      </c>
      <c r="F441" s="34">
        <v>1766.4</v>
      </c>
      <c r="G441" s="36">
        <f>Tabla16[[#This Row],[Importe]]-Tabla16[[#This Row],[Pagado]]</f>
        <v>0</v>
      </c>
      <c r="H441" s="38" t="s">
        <v>10</v>
      </c>
    </row>
    <row r="442" spans="1:8" x14ac:dyDescent="0.25">
      <c r="A442" s="31">
        <v>44686</v>
      </c>
      <c r="B442" s="38" t="s">
        <v>14530</v>
      </c>
      <c r="C442" s="38" t="s">
        <v>222</v>
      </c>
      <c r="D442" s="34">
        <v>7572.8</v>
      </c>
      <c r="E442" s="35">
        <v>44686</v>
      </c>
      <c r="F442" s="34">
        <v>7572.8</v>
      </c>
      <c r="G442" s="36">
        <f>Tabla16[[#This Row],[Importe]]-Tabla16[[#This Row],[Pagado]]</f>
        <v>0</v>
      </c>
      <c r="H442" s="38" t="s">
        <v>10</v>
      </c>
    </row>
    <row r="443" spans="1:8" x14ac:dyDescent="0.25">
      <c r="A443" s="31">
        <v>44686</v>
      </c>
      <c r="B443" s="38" t="s">
        <v>14531</v>
      </c>
      <c r="C443" s="38" t="s">
        <v>222</v>
      </c>
      <c r="D443" s="34">
        <v>4347.2</v>
      </c>
      <c r="E443" s="35">
        <v>44686</v>
      </c>
      <c r="F443" s="34">
        <v>4347.2</v>
      </c>
      <c r="G443" s="36">
        <f>Tabla16[[#This Row],[Importe]]-Tabla16[[#This Row],[Pagado]]</f>
        <v>0</v>
      </c>
      <c r="H443" s="38" t="s">
        <v>10</v>
      </c>
    </row>
    <row r="444" spans="1:8" x14ac:dyDescent="0.25">
      <c r="A444" s="31">
        <v>44686</v>
      </c>
      <c r="B444" s="38" t="s">
        <v>14532</v>
      </c>
      <c r="C444" s="38" t="s">
        <v>664</v>
      </c>
      <c r="D444" s="34">
        <v>3379.2</v>
      </c>
      <c r="E444" s="35">
        <v>44686</v>
      </c>
      <c r="F444" s="34">
        <v>3379.2</v>
      </c>
      <c r="G444" s="36">
        <f>Tabla16[[#This Row],[Importe]]-Tabla16[[#This Row],[Pagado]]</f>
        <v>0</v>
      </c>
      <c r="H444" s="38" t="s">
        <v>10</v>
      </c>
    </row>
    <row r="445" spans="1:8" x14ac:dyDescent="0.25">
      <c r="A445" s="31">
        <v>44686</v>
      </c>
      <c r="B445" s="38" t="s">
        <v>14533</v>
      </c>
      <c r="C445" s="38" t="s">
        <v>392</v>
      </c>
      <c r="D445" s="34">
        <v>15733</v>
      </c>
      <c r="E445" s="35">
        <v>44693</v>
      </c>
      <c r="F445" s="34">
        <v>15733</v>
      </c>
      <c r="G445" s="36">
        <f>Tabla16[[#This Row],[Importe]]-Tabla16[[#This Row],[Pagado]]</f>
        <v>0</v>
      </c>
      <c r="H445" s="38" t="s">
        <v>10</v>
      </c>
    </row>
    <row r="446" spans="1:8" x14ac:dyDescent="0.25">
      <c r="A446" s="31">
        <v>44686</v>
      </c>
      <c r="B446" s="38" t="s">
        <v>14534</v>
      </c>
      <c r="C446" s="38" t="s">
        <v>520</v>
      </c>
      <c r="D446" s="34">
        <v>18435.400000000001</v>
      </c>
      <c r="E446" s="35">
        <v>44687</v>
      </c>
      <c r="F446" s="34">
        <v>18435.400000000001</v>
      </c>
      <c r="G446" s="36">
        <f>Tabla16[[#This Row],[Importe]]-Tabla16[[#This Row],[Pagado]]</f>
        <v>0</v>
      </c>
      <c r="H446" s="38" t="s">
        <v>10</v>
      </c>
    </row>
    <row r="447" spans="1:8" x14ac:dyDescent="0.25">
      <c r="A447" s="31">
        <v>44686</v>
      </c>
      <c r="B447" s="38" t="s">
        <v>14535</v>
      </c>
      <c r="C447" s="38" t="s">
        <v>518</v>
      </c>
      <c r="D447" s="34">
        <v>1088</v>
      </c>
      <c r="E447" s="35">
        <v>44687</v>
      </c>
      <c r="F447" s="34">
        <v>1088</v>
      </c>
      <c r="G447" s="36">
        <f>Tabla16[[#This Row],[Importe]]-Tabla16[[#This Row],[Pagado]]</f>
        <v>0</v>
      </c>
      <c r="H447" s="38" t="s">
        <v>10</v>
      </c>
    </row>
    <row r="448" spans="1:8" x14ac:dyDescent="0.25">
      <c r="A448" s="31">
        <v>44686</v>
      </c>
      <c r="B448" s="38" t="s">
        <v>14536</v>
      </c>
      <c r="C448" s="38" t="s">
        <v>159</v>
      </c>
      <c r="D448" s="34">
        <v>1713.6</v>
      </c>
      <c r="E448" s="35">
        <v>44687</v>
      </c>
      <c r="F448" s="34">
        <v>1713.6</v>
      </c>
      <c r="G448" s="36">
        <f>Tabla16[[#This Row],[Importe]]-Tabla16[[#This Row],[Pagado]]</f>
        <v>0</v>
      </c>
      <c r="H448" s="38" t="s">
        <v>10</v>
      </c>
    </row>
    <row r="449" spans="1:8" x14ac:dyDescent="0.25">
      <c r="A449" s="31">
        <v>44686</v>
      </c>
      <c r="B449" s="38" t="s">
        <v>14537</v>
      </c>
      <c r="C449" s="38" t="s">
        <v>319</v>
      </c>
      <c r="D449" s="34">
        <v>4357.1000000000004</v>
      </c>
      <c r="E449" s="35">
        <v>44687</v>
      </c>
      <c r="F449" s="34">
        <v>4357.1000000000004</v>
      </c>
      <c r="G449" s="36">
        <f>Tabla16[[#This Row],[Importe]]-Tabla16[[#This Row],[Pagado]]</f>
        <v>0</v>
      </c>
      <c r="H449" s="38" t="s">
        <v>10</v>
      </c>
    </row>
    <row r="450" spans="1:8" x14ac:dyDescent="0.25">
      <c r="A450" s="31">
        <v>44686</v>
      </c>
      <c r="B450" s="38" t="s">
        <v>14538</v>
      </c>
      <c r="C450" s="38" t="s">
        <v>157</v>
      </c>
      <c r="D450" s="34">
        <v>3503.2</v>
      </c>
      <c r="E450" s="35">
        <v>44687</v>
      </c>
      <c r="F450" s="34">
        <v>3503.2</v>
      </c>
      <c r="G450" s="36">
        <f>Tabla16[[#This Row],[Importe]]-Tabla16[[#This Row],[Pagado]]</f>
        <v>0</v>
      </c>
      <c r="H450" s="38" t="s">
        <v>10</v>
      </c>
    </row>
    <row r="451" spans="1:8" x14ac:dyDescent="0.25">
      <c r="A451" s="31">
        <v>44686</v>
      </c>
      <c r="B451" s="38" t="s">
        <v>14539</v>
      </c>
      <c r="C451" s="38" t="s">
        <v>45</v>
      </c>
      <c r="D451" s="34">
        <v>13251</v>
      </c>
      <c r="E451" s="35">
        <v>44686</v>
      </c>
      <c r="F451" s="34">
        <v>13251</v>
      </c>
      <c r="G451" s="36">
        <f>Tabla16[[#This Row],[Importe]]-Tabla16[[#This Row],[Pagado]]</f>
        <v>0</v>
      </c>
      <c r="H451" s="38" t="s">
        <v>10</v>
      </c>
    </row>
    <row r="452" spans="1:8" x14ac:dyDescent="0.25">
      <c r="A452" s="31">
        <v>44686</v>
      </c>
      <c r="B452" s="38" t="s">
        <v>14540</v>
      </c>
      <c r="C452" s="38" t="s">
        <v>129</v>
      </c>
      <c r="D452" s="34">
        <v>1048.8</v>
      </c>
      <c r="E452" s="35">
        <v>44686</v>
      </c>
      <c r="F452" s="34">
        <v>1048.8</v>
      </c>
      <c r="G452" s="36">
        <f>Tabla16[[#This Row],[Importe]]-Tabla16[[#This Row],[Pagado]]</f>
        <v>0</v>
      </c>
      <c r="H452" s="38" t="s">
        <v>10</v>
      </c>
    </row>
    <row r="453" spans="1:8" x14ac:dyDescent="0.25">
      <c r="A453" s="31">
        <v>44686</v>
      </c>
      <c r="B453" s="38" t="s">
        <v>14541</v>
      </c>
      <c r="C453" s="38" t="s">
        <v>1505</v>
      </c>
      <c r="D453" s="34">
        <v>7569.2</v>
      </c>
      <c r="E453" s="35">
        <v>44686</v>
      </c>
      <c r="F453" s="34">
        <v>7569.2</v>
      </c>
      <c r="G453" s="36">
        <f>Tabla16[[#This Row],[Importe]]-Tabla16[[#This Row],[Pagado]]</f>
        <v>0</v>
      </c>
      <c r="H453" s="38" t="s">
        <v>10</v>
      </c>
    </row>
    <row r="454" spans="1:8" x14ac:dyDescent="0.25">
      <c r="A454" s="31">
        <v>44686</v>
      </c>
      <c r="B454" s="38" t="s">
        <v>14542</v>
      </c>
      <c r="C454" s="38" t="s">
        <v>339</v>
      </c>
      <c r="D454" s="34">
        <v>565.79999999999995</v>
      </c>
      <c r="E454" s="35">
        <v>44686</v>
      </c>
      <c r="F454" s="34">
        <v>565.79999999999995</v>
      </c>
      <c r="G454" s="36">
        <f>Tabla16[[#This Row],[Importe]]-Tabla16[[#This Row],[Pagado]]</f>
        <v>0</v>
      </c>
      <c r="H454" s="38" t="s">
        <v>10</v>
      </c>
    </row>
    <row r="455" spans="1:8" x14ac:dyDescent="0.25">
      <c r="A455" s="31">
        <v>44686</v>
      </c>
      <c r="B455" s="38" t="s">
        <v>14543</v>
      </c>
      <c r="C455" s="38" t="s">
        <v>79</v>
      </c>
      <c r="D455" s="34">
        <v>11688.6</v>
      </c>
      <c r="E455" s="35">
        <v>44687</v>
      </c>
      <c r="F455" s="34">
        <v>11688.6</v>
      </c>
      <c r="G455" s="36">
        <f>Tabla16[[#This Row],[Importe]]-Tabla16[[#This Row],[Pagado]]</f>
        <v>0</v>
      </c>
      <c r="H455" s="38" t="s">
        <v>10</v>
      </c>
    </row>
    <row r="456" spans="1:8" x14ac:dyDescent="0.25">
      <c r="A456" s="31">
        <v>44686</v>
      </c>
      <c r="B456" s="38" t="s">
        <v>14544</v>
      </c>
      <c r="C456" s="38" t="s">
        <v>127</v>
      </c>
      <c r="D456" s="34">
        <v>1725</v>
      </c>
      <c r="E456" s="35">
        <v>44686</v>
      </c>
      <c r="F456" s="34">
        <v>1725</v>
      </c>
      <c r="G456" s="36">
        <f>Tabla16[[#This Row],[Importe]]-Tabla16[[#This Row],[Pagado]]</f>
        <v>0</v>
      </c>
      <c r="H456" s="38" t="s">
        <v>10</v>
      </c>
    </row>
    <row r="457" spans="1:8" x14ac:dyDescent="0.25">
      <c r="A457" s="31">
        <v>44686</v>
      </c>
      <c r="B457" s="38" t="s">
        <v>14545</v>
      </c>
      <c r="C457" s="38" t="s">
        <v>357</v>
      </c>
      <c r="D457" s="34">
        <v>4178.8</v>
      </c>
      <c r="E457" s="35">
        <v>44686</v>
      </c>
      <c r="F457" s="34">
        <v>4178.8</v>
      </c>
      <c r="G457" s="36">
        <f>Tabla16[[#This Row],[Importe]]-Tabla16[[#This Row],[Pagado]]</f>
        <v>0</v>
      </c>
      <c r="H457" s="38" t="s">
        <v>10</v>
      </c>
    </row>
    <row r="458" spans="1:8" x14ac:dyDescent="0.25">
      <c r="A458" s="31">
        <v>44686</v>
      </c>
      <c r="B458" s="38" t="s">
        <v>14546</v>
      </c>
      <c r="C458" s="38" t="s">
        <v>24</v>
      </c>
      <c r="D458" s="34">
        <v>140</v>
      </c>
      <c r="E458" s="35">
        <v>44686</v>
      </c>
      <c r="F458" s="34">
        <v>140</v>
      </c>
      <c r="G458" s="36">
        <f>Tabla16[[#This Row],[Importe]]-Tabla16[[#This Row],[Pagado]]</f>
        <v>0</v>
      </c>
      <c r="H458" s="38" t="s">
        <v>10</v>
      </c>
    </row>
    <row r="459" spans="1:8" x14ac:dyDescent="0.25">
      <c r="A459" s="31">
        <v>44686</v>
      </c>
      <c r="B459" s="38" t="s">
        <v>14547</v>
      </c>
      <c r="C459" s="38" t="s">
        <v>31</v>
      </c>
      <c r="D459" s="34">
        <v>4652.8</v>
      </c>
      <c r="E459" s="35">
        <v>44686</v>
      </c>
      <c r="F459" s="34">
        <v>4652.8</v>
      </c>
      <c r="G459" s="36">
        <f>Tabla16[[#This Row],[Importe]]-Tabla16[[#This Row],[Pagado]]</f>
        <v>0</v>
      </c>
      <c r="H459" s="38" t="s">
        <v>10</v>
      </c>
    </row>
    <row r="460" spans="1:8" x14ac:dyDescent="0.25">
      <c r="A460" s="31">
        <v>44686</v>
      </c>
      <c r="B460" s="38" t="s">
        <v>14548</v>
      </c>
      <c r="C460" s="38" t="s">
        <v>146</v>
      </c>
      <c r="D460" s="34">
        <v>2822</v>
      </c>
      <c r="E460" s="35">
        <v>44686</v>
      </c>
      <c r="F460" s="34">
        <v>2822</v>
      </c>
      <c r="G460" s="36">
        <f>Tabla16[[#This Row],[Importe]]-Tabla16[[#This Row],[Pagado]]</f>
        <v>0</v>
      </c>
      <c r="H460" s="38" t="s">
        <v>10</v>
      </c>
    </row>
    <row r="461" spans="1:8" x14ac:dyDescent="0.25">
      <c r="A461" s="31">
        <v>44686</v>
      </c>
      <c r="B461" s="38" t="s">
        <v>14549</v>
      </c>
      <c r="C461" s="38" t="s">
        <v>216</v>
      </c>
      <c r="D461" s="34">
        <v>1188</v>
      </c>
      <c r="E461" s="35">
        <v>44686</v>
      </c>
      <c r="F461" s="34">
        <v>1188</v>
      </c>
      <c r="G461" s="36">
        <f>Tabla16[[#This Row],[Importe]]-Tabla16[[#This Row],[Pagado]]</f>
        <v>0</v>
      </c>
      <c r="H461" s="38" t="s">
        <v>10</v>
      </c>
    </row>
    <row r="462" spans="1:8" x14ac:dyDescent="0.25">
      <c r="A462" s="31">
        <v>44686</v>
      </c>
      <c r="B462" s="38" t="s">
        <v>14550</v>
      </c>
      <c r="C462" s="38" t="s">
        <v>87</v>
      </c>
      <c r="D462" s="34">
        <v>3010</v>
      </c>
      <c r="E462" s="35">
        <v>44686</v>
      </c>
      <c r="F462" s="34">
        <v>3010</v>
      </c>
      <c r="G462" s="36">
        <f>Tabla16[[#This Row],[Importe]]-Tabla16[[#This Row],[Pagado]]</f>
        <v>0</v>
      </c>
      <c r="H462" s="38" t="s">
        <v>10</v>
      </c>
    </row>
    <row r="463" spans="1:8" x14ac:dyDescent="0.25">
      <c r="A463" s="31">
        <v>44686</v>
      </c>
      <c r="B463" s="38" t="s">
        <v>14551</v>
      </c>
      <c r="C463" s="38" t="s">
        <v>37</v>
      </c>
      <c r="D463" s="34">
        <v>3192.6</v>
      </c>
      <c r="E463" s="35">
        <v>44686</v>
      </c>
      <c r="F463" s="34">
        <v>3192.6</v>
      </c>
      <c r="G463" s="36">
        <f>Tabla16[[#This Row],[Importe]]-Tabla16[[#This Row],[Pagado]]</f>
        <v>0</v>
      </c>
      <c r="H463" s="38" t="s">
        <v>10</v>
      </c>
    </row>
    <row r="464" spans="1:8" x14ac:dyDescent="0.25">
      <c r="A464" s="31">
        <v>44686</v>
      </c>
      <c r="B464" s="38" t="s">
        <v>14552</v>
      </c>
      <c r="C464" s="38" t="s">
        <v>1558</v>
      </c>
      <c r="D464" s="34">
        <v>1395.2</v>
      </c>
      <c r="E464" s="35">
        <v>44686</v>
      </c>
      <c r="F464" s="34">
        <v>1395.2</v>
      </c>
      <c r="G464" s="36">
        <f>Tabla16[[#This Row],[Importe]]-Tabla16[[#This Row],[Pagado]]</f>
        <v>0</v>
      </c>
      <c r="H464" s="38" t="s">
        <v>10</v>
      </c>
    </row>
    <row r="465" spans="1:8" x14ac:dyDescent="0.25">
      <c r="A465" s="31">
        <v>44686</v>
      </c>
      <c r="B465" s="38" t="s">
        <v>14553</v>
      </c>
      <c r="C465" s="38" t="s">
        <v>53</v>
      </c>
      <c r="D465" s="34">
        <v>2159.6999999999998</v>
      </c>
      <c r="E465" s="35">
        <v>44686</v>
      </c>
      <c r="F465" s="34">
        <v>2159.6999999999998</v>
      </c>
      <c r="G465" s="36">
        <f>Tabla16[[#This Row],[Importe]]-Tabla16[[#This Row],[Pagado]]</f>
        <v>0</v>
      </c>
      <c r="H465" s="38" t="s">
        <v>10</v>
      </c>
    </row>
    <row r="466" spans="1:8" x14ac:dyDescent="0.25">
      <c r="A466" s="31">
        <v>44686</v>
      </c>
      <c r="B466" s="38" t="s">
        <v>14554</v>
      </c>
      <c r="C466" s="38" t="s">
        <v>664</v>
      </c>
      <c r="D466" s="34">
        <v>750</v>
      </c>
      <c r="E466" s="35">
        <v>44686</v>
      </c>
      <c r="F466" s="34">
        <v>750</v>
      </c>
      <c r="G466" s="36">
        <f>Tabla16[[#This Row],[Importe]]-Tabla16[[#This Row],[Pagado]]</f>
        <v>0</v>
      </c>
      <c r="H466" s="38" t="s">
        <v>10</v>
      </c>
    </row>
    <row r="467" spans="1:8" x14ac:dyDescent="0.25">
      <c r="A467" s="31">
        <v>44686</v>
      </c>
      <c r="B467" s="38" t="s">
        <v>14555</v>
      </c>
      <c r="C467" s="38" t="s">
        <v>396</v>
      </c>
      <c r="D467" s="34">
        <v>12713.3</v>
      </c>
      <c r="E467" s="35">
        <v>44693</v>
      </c>
      <c r="F467" s="34">
        <v>12713.3</v>
      </c>
      <c r="G467" s="36">
        <f>Tabla16[[#This Row],[Importe]]-Tabla16[[#This Row],[Pagado]]</f>
        <v>0</v>
      </c>
      <c r="H467" s="38" t="s">
        <v>10</v>
      </c>
    </row>
    <row r="468" spans="1:8" x14ac:dyDescent="0.25">
      <c r="A468" s="31">
        <v>44686</v>
      </c>
      <c r="B468" s="38" t="s">
        <v>14556</v>
      </c>
      <c r="C468" s="38" t="s">
        <v>664</v>
      </c>
      <c r="D468" s="34">
        <v>4114</v>
      </c>
      <c r="E468" s="35">
        <v>44686</v>
      </c>
      <c r="F468" s="34">
        <v>4114</v>
      </c>
      <c r="G468" s="36">
        <f>Tabla16[[#This Row],[Importe]]-Tabla16[[#This Row],[Pagado]]</f>
        <v>0</v>
      </c>
      <c r="H468" s="38" t="s">
        <v>10</v>
      </c>
    </row>
    <row r="469" spans="1:8" x14ac:dyDescent="0.25">
      <c r="A469" s="31">
        <v>44686</v>
      </c>
      <c r="B469" s="38" t="s">
        <v>14557</v>
      </c>
      <c r="C469" s="38" t="s">
        <v>107</v>
      </c>
      <c r="D469" s="34">
        <v>13085.7</v>
      </c>
      <c r="E469" s="35">
        <v>44686</v>
      </c>
      <c r="F469" s="34">
        <v>13085.7</v>
      </c>
      <c r="G469" s="36">
        <f>Tabla16[[#This Row],[Importe]]-Tabla16[[#This Row],[Pagado]]</f>
        <v>0</v>
      </c>
      <c r="H469" s="38" t="s">
        <v>10</v>
      </c>
    </row>
    <row r="470" spans="1:8" x14ac:dyDescent="0.25">
      <c r="A470" s="31">
        <v>44686</v>
      </c>
      <c r="B470" s="38" t="s">
        <v>14558</v>
      </c>
      <c r="C470" s="38" t="s">
        <v>14559</v>
      </c>
      <c r="D470" s="34">
        <v>0</v>
      </c>
      <c r="E470" s="39" t="s">
        <v>189</v>
      </c>
      <c r="F470" s="34">
        <v>0</v>
      </c>
      <c r="G470" s="36">
        <f>Tabla16[[#This Row],[Importe]]-Tabla16[[#This Row],[Pagado]]</f>
        <v>0</v>
      </c>
      <c r="H470" s="38" t="s">
        <v>189</v>
      </c>
    </row>
    <row r="471" spans="1:8" x14ac:dyDescent="0.25">
      <c r="A471" s="31">
        <v>44686</v>
      </c>
      <c r="B471" s="38" t="s">
        <v>14560</v>
      </c>
      <c r="C471" s="38" t="s">
        <v>14</v>
      </c>
      <c r="D471" s="34">
        <v>10973.4</v>
      </c>
      <c r="E471" s="35">
        <v>44686</v>
      </c>
      <c r="F471" s="34">
        <v>10973.4</v>
      </c>
      <c r="G471" s="36">
        <f>Tabla16[[#This Row],[Importe]]-Tabla16[[#This Row],[Pagado]]</f>
        <v>0</v>
      </c>
      <c r="H471" s="38" t="s">
        <v>10</v>
      </c>
    </row>
    <row r="472" spans="1:8" x14ac:dyDescent="0.25">
      <c r="A472" s="31">
        <v>44686</v>
      </c>
      <c r="B472" s="38" t="s">
        <v>14561</v>
      </c>
      <c r="C472" s="38" t="s">
        <v>175</v>
      </c>
      <c r="D472" s="34">
        <v>43009</v>
      </c>
      <c r="E472" s="35">
        <v>44686</v>
      </c>
      <c r="F472" s="34">
        <v>43009</v>
      </c>
      <c r="G472" s="36">
        <f>Tabla16[[#This Row],[Importe]]-Tabla16[[#This Row],[Pagado]]</f>
        <v>0</v>
      </c>
      <c r="H472" s="38" t="s">
        <v>10</v>
      </c>
    </row>
    <row r="473" spans="1:8" x14ac:dyDescent="0.25">
      <c r="A473" s="31">
        <v>44686</v>
      </c>
      <c r="B473" s="38" t="s">
        <v>14562</v>
      </c>
      <c r="C473" s="38" t="s">
        <v>175</v>
      </c>
      <c r="D473" s="34">
        <v>408</v>
      </c>
      <c r="E473" s="35">
        <v>44686</v>
      </c>
      <c r="F473" s="34">
        <v>408</v>
      </c>
      <c r="G473" s="36">
        <f>Tabla16[[#This Row],[Importe]]-Tabla16[[#This Row],[Pagado]]</f>
        <v>0</v>
      </c>
      <c r="H473" s="38" t="s">
        <v>10</v>
      </c>
    </row>
    <row r="474" spans="1:8" x14ac:dyDescent="0.25">
      <c r="A474" s="31">
        <v>44686</v>
      </c>
      <c r="B474" s="38" t="s">
        <v>14563</v>
      </c>
      <c r="C474" s="38" t="s">
        <v>5043</v>
      </c>
      <c r="D474" s="34">
        <v>6534.4</v>
      </c>
      <c r="E474" s="35">
        <v>44686</v>
      </c>
      <c r="F474" s="34">
        <v>6534.4</v>
      </c>
      <c r="G474" s="36">
        <f>Tabla16[[#This Row],[Importe]]-Tabla16[[#This Row],[Pagado]]</f>
        <v>0</v>
      </c>
      <c r="H474" s="38" t="s">
        <v>10</v>
      </c>
    </row>
    <row r="475" spans="1:8" x14ac:dyDescent="0.25">
      <c r="A475" s="31">
        <v>44686</v>
      </c>
      <c r="B475" s="38" t="s">
        <v>14564</v>
      </c>
      <c r="C475" s="38" t="s">
        <v>196</v>
      </c>
      <c r="D475" s="34">
        <v>123347.09</v>
      </c>
      <c r="E475" s="35">
        <v>44687</v>
      </c>
      <c r="F475" s="34">
        <v>123347.09</v>
      </c>
      <c r="G475" s="36">
        <f>Tabla16[[#This Row],[Importe]]-Tabla16[[#This Row],[Pagado]]</f>
        <v>0</v>
      </c>
      <c r="H475" s="38" t="s">
        <v>10</v>
      </c>
    </row>
    <row r="476" spans="1:8" x14ac:dyDescent="0.25">
      <c r="A476" s="31">
        <v>44686</v>
      </c>
      <c r="B476" s="38" t="s">
        <v>14565</v>
      </c>
      <c r="C476" s="38" t="s">
        <v>291</v>
      </c>
      <c r="D476" s="34">
        <v>1478</v>
      </c>
      <c r="E476" s="35">
        <v>44686</v>
      </c>
      <c r="F476" s="34">
        <v>1478</v>
      </c>
      <c r="G476" s="36">
        <f>Tabla16[[#This Row],[Importe]]-Tabla16[[#This Row],[Pagado]]</f>
        <v>0</v>
      </c>
      <c r="H476" s="38" t="s">
        <v>10</v>
      </c>
    </row>
    <row r="477" spans="1:8" x14ac:dyDescent="0.25">
      <c r="A477" s="31">
        <v>44686</v>
      </c>
      <c r="B477" s="38" t="s">
        <v>14566</v>
      </c>
      <c r="C477" s="38" t="s">
        <v>56</v>
      </c>
      <c r="D477" s="34">
        <v>7799.4</v>
      </c>
      <c r="E477" s="35">
        <v>44686</v>
      </c>
      <c r="F477" s="34">
        <v>7799.4</v>
      </c>
      <c r="G477" s="36">
        <f>Tabla16[[#This Row],[Importe]]-Tabla16[[#This Row],[Pagado]]</f>
        <v>0</v>
      </c>
      <c r="H477" s="38" t="s">
        <v>10</v>
      </c>
    </row>
    <row r="478" spans="1:8" x14ac:dyDescent="0.25">
      <c r="A478" s="31">
        <v>44686</v>
      </c>
      <c r="B478" s="38" t="s">
        <v>14567</v>
      </c>
      <c r="C478" s="38" t="s">
        <v>14568</v>
      </c>
      <c r="D478" s="34">
        <v>0</v>
      </c>
      <c r="E478" s="39" t="s">
        <v>189</v>
      </c>
      <c r="F478" s="34">
        <v>0</v>
      </c>
      <c r="G478" s="36">
        <f>Tabla16[[#This Row],[Importe]]-Tabla16[[#This Row],[Pagado]]</f>
        <v>0</v>
      </c>
      <c r="H478" s="38" t="s">
        <v>189</v>
      </c>
    </row>
    <row r="479" spans="1:8" x14ac:dyDescent="0.25">
      <c r="A479" s="31">
        <v>44686</v>
      </c>
      <c r="B479" s="38" t="s">
        <v>14569</v>
      </c>
      <c r="C479" s="38" t="s">
        <v>9827</v>
      </c>
      <c r="D479" s="34">
        <v>640.20000000000005</v>
      </c>
      <c r="E479" s="35">
        <v>44686</v>
      </c>
      <c r="F479" s="34">
        <v>640.20000000000005</v>
      </c>
      <c r="G479" s="36">
        <f>Tabla16[[#This Row],[Importe]]-Tabla16[[#This Row],[Pagado]]</f>
        <v>0</v>
      </c>
      <c r="H479" s="38" t="s">
        <v>10</v>
      </c>
    </row>
    <row r="480" spans="1:8" x14ac:dyDescent="0.25">
      <c r="A480" s="31">
        <v>44686</v>
      </c>
      <c r="B480" s="38" t="s">
        <v>14570</v>
      </c>
      <c r="C480" s="38" t="s">
        <v>200</v>
      </c>
      <c r="D480" s="34">
        <v>851.4</v>
      </c>
      <c r="E480" s="35">
        <v>44686</v>
      </c>
      <c r="F480" s="34">
        <v>851.4</v>
      </c>
      <c r="G480" s="36">
        <f>Tabla16[[#This Row],[Importe]]-Tabla16[[#This Row],[Pagado]]</f>
        <v>0</v>
      </c>
      <c r="H480" s="38" t="s">
        <v>10</v>
      </c>
    </row>
    <row r="481" spans="1:8" x14ac:dyDescent="0.25">
      <c r="A481" s="31">
        <v>44686</v>
      </c>
      <c r="B481" s="38" t="s">
        <v>14571</v>
      </c>
      <c r="C481" s="38" t="s">
        <v>31</v>
      </c>
      <c r="D481" s="34">
        <v>528</v>
      </c>
      <c r="E481" s="35">
        <v>44686</v>
      </c>
      <c r="F481" s="34">
        <v>528</v>
      </c>
      <c r="G481" s="36">
        <f>Tabla16[[#This Row],[Importe]]-Tabla16[[#This Row],[Pagado]]</f>
        <v>0</v>
      </c>
      <c r="H481" s="38" t="s">
        <v>10</v>
      </c>
    </row>
    <row r="482" spans="1:8" x14ac:dyDescent="0.25">
      <c r="A482" s="31">
        <v>44686</v>
      </c>
      <c r="B482" s="38" t="s">
        <v>14572</v>
      </c>
      <c r="C482" s="38" t="s">
        <v>181</v>
      </c>
      <c r="D482" s="34">
        <v>6766.4</v>
      </c>
      <c r="E482" s="35">
        <v>44686</v>
      </c>
      <c r="F482" s="34">
        <v>6766.4</v>
      </c>
      <c r="G482" s="36">
        <f>Tabla16[[#This Row],[Importe]]-Tabla16[[#This Row],[Pagado]]</f>
        <v>0</v>
      </c>
      <c r="H482" s="38" t="s">
        <v>10</v>
      </c>
    </row>
    <row r="483" spans="1:8" x14ac:dyDescent="0.25">
      <c r="A483" s="31">
        <v>44686</v>
      </c>
      <c r="B483" s="38" t="s">
        <v>14573</v>
      </c>
      <c r="C483" s="38" t="s">
        <v>31</v>
      </c>
      <c r="D483" s="34">
        <v>1122</v>
      </c>
      <c r="E483" s="35">
        <v>44686</v>
      </c>
      <c r="F483" s="34">
        <v>1122</v>
      </c>
      <c r="G483" s="36">
        <f>Tabla16[[#This Row],[Importe]]-Tabla16[[#This Row],[Pagado]]</f>
        <v>0</v>
      </c>
      <c r="H483" s="38" t="s">
        <v>10</v>
      </c>
    </row>
    <row r="484" spans="1:8" x14ac:dyDescent="0.25">
      <c r="A484" s="31">
        <v>44686</v>
      </c>
      <c r="B484" s="38" t="s">
        <v>14574</v>
      </c>
      <c r="C484" s="38" t="s">
        <v>473</v>
      </c>
      <c r="D484" s="34">
        <v>4919.8</v>
      </c>
      <c r="E484" s="35">
        <v>44686</v>
      </c>
      <c r="F484" s="34">
        <v>4919.8</v>
      </c>
      <c r="G484" s="36">
        <f>Tabla16[[#This Row],[Importe]]-Tabla16[[#This Row],[Pagado]]</f>
        <v>0</v>
      </c>
      <c r="H484" s="38" t="s">
        <v>10</v>
      </c>
    </row>
    <row r="485" spans="1:8" x14ac:dyDescent="0.25">
      <c r="A485" s="31">
        <v>44686</v>
      </c>
      <c r="B485" s="38" t="s">
        <v>14575</v>
      </c>
      <c r="C485" s="38" t="s">
        <v>10678</v>
      </c>
      <c r="D485" s="34">
        <v>3176.8</v>
      </c>
      <c r="E485" s="35">
        <v>44686</v>
      </c>
      <c r="F485" s="34">
        <v>3176.8</v>
      </c>
      <c r="G485" s="36">
        <f>Tabla16[[#This Row],[Importe]]-Tabla16[[#This Row],[Pagado]]</f>
        <v>0</v>
      </c>
      <c r="H485" s="38" t="s">
        <v>10</v>
      </c>
    </row>
    <row r="486" spans="1:8" x14ac:dyDescent="0.25">
      <c r="A486" s="31">
        <v>44686</v>
      </c>
      <c r="B486" s="38" t="s">
        <v>14576</v>
      </c>
      <c r="C486" s="38" t="s">
        <v>75</v>
      </c>
      <c r="D486" s="34">
        <v>6190.8</v>
      </c>
      <c r="E486" s="35">
        <v>44686</v>
      </c>
      <c r="F486" s="34">
        <v>6190.8</v>
      </c>
      <c r="G486" s="36">
        <f>Tabla16[[#This Row],[Importe]]-Tabla16[[#This Row],[Pagado]]</f>
        <v>0</v>
      </c>
      <c r="H486" s="38" t="s">
        <v>10</v>
      </c>
    </row>
    <row r="487" spans="1:8" x14ac:dyDescent="0.25">
      <c r="A487" s="31">
        <v>44686</v>
      </c>
      <c r="B487" s="38" t="s">
        <v>14577</v>
      </c>
      <c r="C487" s="38" t="s">
        <v>179</v>
      </c>
      <c r="D487" s="34">
        <v>1214.4000000000001</v>
      </c>
      <c r="E487" s="35">
        <v>44686</v>
      </c>
      <c r="F487" s="34">
        <v>1214.4000000000001</v>
      </c>
      <c r="G487" s="36">
        <f>Tabla16[[#This Row],[Importe]]-Tabla16[[#This Row],[Pagado]]</f>
        <v>0</v>
      </c>
      <c r="H487" s="38" t="s">
        <v>10</v>
      </c>
    </row>
    <row r="488" spans="1:8" x14ac:dyDescent="0.25">
      <c r="A488" s="31">
        <v>44686</v>
      </c>
      <c r="B488" s="38" t="s">
        <v>14578</v>
      </c>
      <c r="C488" s="38" t="s">
        <v>140</v>
      </c>
      <c r="D488" s="34">
        <v>92</v>
      </c>
      <c r="E488" s="35">
        <v>44686</v>
      </c>
      <c r="F488" s="34">
        <v>92</v>
      </c>
      <c r="G488" s="36">
        <f>Tabla16[[#This Row],[Importe]]-Tabla16[[#This Row],[Pagado]]</f>
        <v>0</v>
      </c>
      <c r="H488" s="38" t="s">
        <v>10</v>
      </c>
    </row>
    <row r="489" spans="1:8" x14ac:dyDescent="0.25">
      <c r="A489" s="31">
        <v>44686</v>
      </c>
      <c r="B489" s="38" t="s">
        <v>14579</v>
      </c>
      <c r="C489" s="38" t="s">
        <v>670</v>
      </c>
      <c r="D489" s="34">
        <v>3983.3</v>
      </c>
      <c r="E489" s="35">
        <v>44686</v>
      </c>
      <c r="F489" s="34">
        <v>3983.3</v>
      </c>
      <c r="G489" s="36">
        <f>Tabla16[[#This Row],[Importe]]-Tabla16[[#This Row],[Pagado]]</f>
        <v>0</v>
      </c>
      <c r="H489" s="38" t="s">
        <v>10</v>
      </c>
    </row>
    <row r="490" spans="1:8" x14ac:dyDescent="0.25">
      <c r="A490" s="31">
        <v>44686</v>
      </c>
      <c r="B490" s="38" t="s">
        <v>14580</v>
      </c>
      <c r="C490" s="38" t="s">
        <v>670</v>
      </c>
      <c r="D490" s="34">
        <v>912</v>
      </c>
      <c r="E490" s="35">
        <v>44686</v>
      </c>
      <c r="F490" s="34">
        <v>912</v>
      </c>
      <c r="G490" s="36">
        <f>Tabla16[[#This Row],[Importe]]-Tabla16[[#This Row],[Pagado]]</f>
        <v>0</v>
      </c>
      <c r="H490" s="38" t="s">
        <v>10</v>
      </c>
    </row>
    <row r="491" spans="1:8" x14ac:dyDescent="0.25">
      <c r="A491" s="31">
        <v>44686</v>
      </c>
      <c r="B491" s="38" t="s">
        <v>14581</v>
      </c>
      <c r="C491" s="38" t="s">
        <v>71</v>
      </c>
      <c r="D491" s="34">
        <v>6454</v>
      </c>
      <c r="E491" s="35">
        <v>44686</v>
      </c>
      <c r="F491" s="34">
        <v>6454</v>
      </c>
      <c r="G491" s="36">
        <f>Tabla16[[#This Row],[Importe]]-Tabla16[[#This Row],[Pagado]]</f>
        <v>0</v>
      </c>
      <c r="H491" s="38" t="s">
        <v>10</v>
      </c>
    </row>
    <row r="492" spans="1:8" x14ac:dyDescent="0.25">
      <c r="A492" s="31">
        <v>44686</v>
      </c>
      <c r="B492" s="38" t="s">
        <v>14582</v>
      </c>
      <c r="C492" s="38" t="s">
        <v>196</v>
      </c>
      <c r="D492" s="34">
        <v>8068.6</v>
      </c>
      <c r="E492" s="35">
        <v>44687</v>
      </c>
      <c r="F492" s="34">
        <v>8068.6</v>
      </c>
      <c r="G492" s="36">
        <f>Tabla16[[#This Row],[Importe]]-Tabla16[[#This Row],[Pagado]]</f>
        <v>0</v>
      </c>
      <c r="H492" s="38" t="s">
        <v>10</v>
      </c>
    </row>
    <row r="493" spans="1:8" x14ac:dyDescent="0.25">
      <c r="A493" s="31">
        <v>44686</v>
      </c>
      <c r="B493" s="38" t="s">
        <v>14583</v>
      </c>
      <c r="C493" s="38" t="s">
        <v>296</v>
      </c>
      <c r="D493" s="34">
        <v>4581.6000000000004</v>
      </c>
      <c r="E493" s="35">
        <v>44686</v>
      </c>
      <c r="F493" s="34">
        <v>4581.6000000000004</v>
      </c>
      <c r="G493" s="36">
        <f>Tabla16[[#This Row],[Importe]]-Tabla16[[#This Row],[Pagado]]</f>
        <v>0</v>
      </c>
      <c r="H493" s="38" t="s">
        <v>10</v>
      </c>
    </row>
    <row r="494" spans="1:8" x14ac:dyDescent="0.25">
      <c r="A494" s="31">
        <v>44686</v>
      </c>
      <c r="B494" s="38" t="s">
        <v>14584</v>
      </c>
      <c r="C494" s="38" t="s">
        <v>14585</v>
      </c>
      <c r="D494" s="34">
        <v>0</v>
      </c>
      <c r="E494" s="39" t="s">
        <v>189</v>
      </c>
      <c r="F494" s="34">
        <v>0</v>
      </c>
      <c r="G494" s="36">
        <f>Tabla16[[#This Row],[Importe]]-Tabla16[[#This Row],[Pagado]]</f>
        <v>0</v>
      </c>
      <c r="H494" s="38" t="s">
        <v>189</v>
      </c>
    </row>
    <row r="495" spans="1:8" x14ac:dyDescent="0.25">
      <c r="A495" s="31">
        <v>44686</v>
      </c>
      <c r="B495" s="38" t="s">
        <v>14586</v>
      </c>
      <c r="C495" s="38" t="s">
        <v>419</v>
      </c>
      <c r="D495" s="34">
        <v>8373.2000000000007</v>
      </c>
      <c r="E495" s="35">
        <v>44686</v>
      </c>
      <c r="F495" s="34">
        <v>8373.2000000000007</v>
      </c>
      <c r="G495" s="36">
        <f>Tabla16[[#This Row],[Importe]]-Tabla16[[#This Row],[Pagado]]</f>
        <v>0</v>
      </c>
      <c r="H495" s="38" t="s">
        <v>10</v>
      </c>
    </row>
    <row r="496" spans="1:8" x14ac:dyDescent="0.25">
      <c r="A496" s="31">
        <v>44686</v>
      </c>
      <c r="B496" s="38" t="s">
        <v>14587</v>
      </c>
      <c r="C496" s="38" t="s">
        <v>7862</v>
      </c>
      <c r="D496" s="34">
        <v>19891.8</v>
      </c>
      <c r="E496" s="35">
        <v>44686</v>
      </c>
      <c r="F496" s="34">
        <v>19891.8</v>
      </c>
      <c r="G496" s="36">
        <f>Tabla16[[#This Row],[Importe]]-Tabla16[[#This Row],[Pagado]]</f>
        <v>0</v>
      </c>
      <c r="H496" s="38" t="s">
        <v>10</v>
      </c>
    </row>
    <row r="497" spans="1:8" x14ac:dyDescent="0.25">
      <c r="A497" s="31">
        <v>44686</v>
      </c>
      <c r="B497" s="38" t="s">
        <v>14588</v>
      </c>
      <c r="C497" s="38" t="s">
        <v>31</v>
      </c>
      <c r="D497" s="34">
        <v>7847.6</v>
      </c>
      <c r="E497" s="35">
        <v>44686</v>
      </c>
      <c r="F497" s="34">
        <v>7847.6</v>
      </c>
      <c r="G497" s="36">
        <f>Tabla16[[#This Row],[Importe]]-Tabla16[[#This Row],[Pagado]]</f>
        <v>0</v>
      </c>
      <c r="H497" s="38" t="s">
        <v>10</v>
      </c>
    </row>
    <row r="498" spans="1:8" x14ac:dyDescent="0.25">
      <c r="A498" s="31">
        <v>44686</v>
      </c>
      <c r="B498" s="38" t="s">
        <v>14589</v>
      </c>
      <c r="C498" s="38" t="s">
        <v>647</v>
      </c>
      <c r="D498" s="34">
        <v>1715.2</v>
      </c>
      <c r="E498" s="35">
        <v>44686</v>
      </c>
      <c r="F498" s="34">
        <v>1715.2</v>
      </c>
      <c r="G498" s="36">
        <f>Tabla16[[#This Row],[Importe]]-Tabla16[[#This Row],[Pagado]]</f>
        <v>0</v>
      </c>
      <c r="H498" s="38" t="s">
        <v>10</v>
      </c>
    </row>
    <row r="499" spans="1:8" x14ac:dyDescent="0.25">
      <c r="A499" s="31">
        <v>44686</v>
      </c>
      <c r="B499" s="38" t="s">
        <v>14590</v>
      </c>
      <c r="C499" s="38" t="s">
        <v>732</v>
      </c>
      <c r="D499" s="34">
        <v>6094</v>
      </c>
      <c r="E499" s="35">
        <v>44686</v>
      </c>
      <c r="F499" s="34">
        <v>6094</v>
      </c>
      <c r="G499" s="36">
        <f>Tabla16[[#This Row],[Importe]]-Tabla16[[#This Row],[Pagado]]</f>
        <v>0</v>
      </c>
      <c r="H499" s="38" t="s">
        <v>10</v>
      </c>
    </row>
    <row r="500" spans="1:8" x14ac:dyDescent="0.25">
      <c r="A500" s="31">
        <v>44686</v>
      </c>
      <c r="B500" s="38" t="s">
        <v>14591</v>
      </c>
      <c r="C500" s="38" t="s">
        <v>698</v>
      </c>
      <c r="D500" s="34">
        <v>4193.7</v>
      </c>
      <c r="E500" s="35">
        <v>44686</v>
      </c>
      <c r="F500" s="34">
        <v>4193.7</v>
      </c>
      <c r="G500" s="36">
        <f>Tabla16[[#This Row],[Importe]]-Tabla16[[#This Row],[Pagado]]</f>
        <v>0</v>
      </c>
      <c r="H500" s="38" t="s">
        <v>10</v>
      </c>
    </row>
    <row r="501" spans="1:8" x14ac:dyDescent="0.25">
      <c r="A501" s="31">
        <v>44686</v>
      </c>
      <c r="B501" s="38" t="s">
        <v>14592</v>
      </c>
      <c r="C501" s="38" t="s">
        <v>275</v>
      </c>
      <c r="D501" s="34">
        <v>50880.33</v>
      </c>
      <c r="E501" s="35">
        <v>44694</v>
      </c>
      <c r="F501" s="34">
        <v>50880.33</v>
      </c>
      <c r="G501" s="36">
        <f>Tabla16[[#This Row],[Importe]]-Tabla16[[#This Row],[Pagado]]</f>
        <v>0</v>
      </c>
      <c r="H501" s="38" t="s">
        <v>10</v>
      </c>
    </row>
    <row r="502" spans="1:8" x14ac:dyDescent="0.25">
      <c r="A502" s="31">
        <v>44686</v>
      </c>
      <c r="B502" s="38" t="s">
        <v>14593</v>
      </c>
      <c r="C502" s="38" t="s">
        <v>284</v>
      </c>
      <c r="D502" s="34">
        <v>8012.4</v>
      </c>
      <c r="E502" s="35">
        <v>44687</v>
      </c>
      <c r="F502" s="34">
        <v>8012.4</v>
      </c>
      <c r="G502" s="36">
        <f>Tabla16[[#This Row],[Importe]]-Tabla16[[#This Row],[Pagado]]</f>
        <v>0</v>
      </c>
      <c r="H502" s="38" t="s">
        <v>10</v>
      </c>
    </row>
    <row r="503" spans="1:8" x14ac:dyDescent="0.25">
      <c r="A503" s="31">
        <v>44686</v>
      </c>
      <c r="B503" s="38" t="s">
        <v>14594</v>
      </c>
      <c r="C503" s="38" t="s">
        <v>282</v>
      </c>
      <c r="D503" s="34">
        <v>2844.6</v>
      </c>
      <c r="E503" s="35">
        <v>44687</v>
      </c>
      <c r="F503" s="34">
        <v>2844.6</v>
      </c>
      <c r="G503" s="36">
        <f>Tabla16[[#This Row],[Importe]]-Tabla16[[#This Row],[Pagado]]</f>
        <v>0</v>
      </c>
      <c r="H503" s="38" t="s">
        <v>10</v>
      </c>
    </row>
    <row r="504" spans="1:8" x14ac:dyDescent="0.25">
      <c r="A504" s="31">
        <v>44686</v>
      </c>
      <c r="B504" s="38" t="s">
        <v>14595</v>
      </c>
      <c r="C504" s="38" t="s">
        <v>280</v>
      </c>
      <c r="D504" s="34">
        <v>1108.8</v>
      </c>
      <c r="E504" s="35">
        <v>44687</v>
      </c>
      <c r="F504" s="34">
        <v>1108.8</v>
      </c>
      <c r="G504" s="36">
        <f>Tabla16[[#This Row],[Importe]]-Tabla16[[#This Row],[Pagado]]</f>
        <v>0</v>
      </c>
      <c r="H504" s="38" t="s">
        <v>10</v>
      </c>
    </row>
    <row r="505" spans="1:8" x14ac:dyDescent="0.25">
      <c r="A505" s="31">
        <v>44686</v>
      </c>
      <c r="B505" s="38" t="s">
        <v>14596</v>
      </c>
      <c r="C505" s="38" t="s">
        <v>5345</v>
      </c>
      <c r="D505" s="34">
        <v>1234.2</v>
      </c>
      <c r="E505" s="35">
        <v>44687</v>
      </c>
      <c r="F505" s="34">
        <v>1234.2</v>
      </c>
      <c r="G505" s="36">
        <f>Tabla16[[#This Row],[Importe]]-Tabla16[[#This Row],[Pagado]]</f>
        <v>0</v>
      </c>
      <c r="H505" s="38" t="s">
        <v>10</v>
      </c>
    </row>
    <row r="506" spans="1:8" x14ac:dyDescent="0.25">
      <c r="A506" s="31">
        <v>44686</v>
      </c>
      <c r="B506" s="38" t="s">
        <v>14597</v>
      </c>
      <c r="C506" s="38" t="s">
        <v>431</v>
      </c>
      <c r="D506" s="34">
        <v>547.79999999999995</v>
      </c>
      <c r="E506" s="35">
        <v>44687</v>
      </c>
      <c r="F506" s="34">
        <v>547.79999999999995</v>
      </c>
      <c r="G506" s="36">
        <f>Tabla16[[#This Row],[Importe]]-Tabla16[[#This Row],[Pagado]]</f>
        <v>0</v>
      </c>
      <c r="H506" s="38" t="s">
        <v>10</v>
      </c>
    </row>
    <row r="507" spans="1:8" x14ac:dyDescent="0.25">
      <c r="A507" s="31">
        <v>44686</v>
      </c>
      <c r="B507" s="38" t="s">
        <v>14598</v>
      </c>
      <c r="C507" s="38" t="s">
        <v>31</v>
      </c>
      <c r="D507" s="34">
        <v>575</v>
      </c>
      <c r="E507" s="35">
        <v>44686</v>
      </c>
      <c r="F507" s="34">
        <v>575</v>
      </c>
      <c r="G507" s="36">
        <f>Tabla16[[#This Row],[Importe]]-Tabla16[[#This Row],[Pagado]]</f>
        <v>0</v>
      </c>
      <c r="H507" s="38" t="s">
        <v>10</v>
      </c>
    </row>
    <row r="508" spans="1:8" x14ac:dyDescent="0.25">
      <c r="A508" s="31">
        <v>44686</v>
      </c>
      <c r="B508" s="38" t="s">
        <v>14599</v>
      </c>
      <c r="C508" s="38" t="s">
        <v>729</v>
      </c>
      <c r="D508" s="34">
        <v>19555</v>
      </c>
      <c r="E508" s="35">
        <v>44687</v>
      </c>
      <c r="F508" s="34">
        <v>19555</v>
      </c>
      <c r="G508" s="36">
        <f>Tabla16[[#This Row],[Importe]]-Tabla16[[#This Row],[Pagado]]</f>
        <v>0</v>
      </c>
      <c r="H508" s="38" t="s">
        <v>10</v>
      </c>
    </row>
    <row r="509" spans="1:8" x14ac:dyDescent="0.25">
      <c r="A509" s="31">
        <v>44686</v>
      </c>
      <c r="B509" s="38" t="s">
        <v>14600</v>
      </c>
      <c r="C509" s="38" t="s">
        <v>461</v>
      </c>
      <c r="D509" s="34">
        <v>481.8</v>
      </c>
      <c r="E509" s="35">
        <v>44686</v>
      </c>
      <c r="F509" s="34">
        <v>481.8</v>
      </c>
      <c r="G509" s="36">
        <f>Tabla16[[#This Row],[Importe]]-Tabla16[[#This Row],[Pagado]]</f>
        <v>0</v>
      </c>
      <c r="H509" s="38" t="s">
        <v>10</v>
      </c>
    </row>
    <row r="510" spans="1:8" x14ac:dyDescent="0.25">
      <c r="A510" s="31">
        <v>44686</v>
      </c>
      <c r="B510" s="38" t="s">
        <v>14601</v>
      </c>
      <c r="C510" s="38" t="s">
        <v>14602</v>
      </c>
      <c r="D510" s="34">
        <v>0</v>
      </c>
      <c r="E510" s="39" t="s">
        <v>189</v>
      </c>
      <c r="F510" s="34">
        <v>0</v>
      </c>
      <c r="G510" s="36">
        <f>Tabla16[[#This Row],[Importe]]-Tabla16[[#This Row],[Pagado]]</f>
        <v>0</v>
      </c>
      <c r="H510" s="38" t="s">
        <v>189</v>
      </c>
    </row>
    <row r="511" spans="1:8" x14ac:dyDescent="0.25">
      <c r="A511" s="31">
        <v>44686</v>
      </c>
      <c r="B511" s="38" t="s">
        <v>14603</v>
      </c>
      <c r="C511" s="38" t="s">
        <v>407</v>
      </c>
      <c r="D511" s="34">
        <v>8298.4</v>
      </c>
      <c r="E511" s="35">
        <v>44688</v>
      </c>
      <c r="F511" s="34">
        <v>8298.4</v>
      </c>
      <c r="G511" s="36">
        <f>Tabla16[[#This Row],[Importe]]-Tabla16[[#This Row],[Pagado]]</f>
        <v>0</v>
      </c>
      <c r="H511" s="38" t="s">
        <v>10</v>
      </c>
    </row>
    <row r="512" spans="1:8" x14ac:dyDescent="0.25">
      <c r="A512" s="31">
        <v>44686</v>
      </c>
      <c r="B512" s="38" t="s">
        <v>14604</v>
      </c>
      <c r="C512" s="38" t="s">
        <v>484</v>
      </c>
      <c r="D512" s="34">
        <v>6745.6</v>
      </c>
      <c r="E512" s="35">
        <v>44686</v>
      </c>
      <c r="F512" s="34">
        <v>6745.6</v>
      </c>
      <c r="G512" s="36">
        <f>Tabla16[[#This Row],[Importe]]-Tabla16[[#This Row],[Pagado]]</f>
        <v>0</v>
      </c>
      <c r="H512" s="38" t="s">
        <v>10</v>
      </c>
    </row>
    <row r="513" spans="1:8" x14ac:dyDescent="0.25">
      <c r="A513" s="31">
        <v>44686</v>
      </c>
      <c r="B513" s="38" t="s">
        <v>14605</v>
      </c>
      <c r="C513" s="38" t="s">
        <v>11121</v>
      </c>
      <c r="D513" s="34">
        <v>47287</v>
      </c>
      <c r="E513" s="35">
        <v>44688</v>
      </c>
      <c r="F513" s="34">
        <v>47287</v>
      </c>
      <c r="G513" s="36">
        <f>Tabla16[[#This Row],[Importe]]-Tabla16[[#This Row],[Pagado]]</f>
        <v>0</v>
      </c>
      <c r="H513" s="38" t="s">
        <v>10</v>
      </c>
    </row>
    <row r="514" spans="1:8" x14ac:dyDescent="0.25">
      <c r="A514" s="31">
        <v>44686</v>
      </c>
      <c r="B514" s="38" t="s">
        <v>14606</v>
      </c>
      <c r="C514" s="38" t="s">
        <v>53</v>
      </c>
      <c r="D514" s="34">
        <v>1021.2</v>
      </c>
      <c r="E514" s="35">
        <v>44686</v>
      </c>
      <c r="F514" s="34">
        <v>1021.2</v>
      </c>
      <c r="G514" s="36">
        <f>Tabla16[[#This Row],[Importe]]-Tabla16[[#This Row],[Pagado]]</f>
        <v>0</v>
      </c>
      <c r="H514" s="38" t="s">
        <v>10</v>
      </c>
    </row>
    <row r="515" spans="1:8" x14ac:dyDescent="0.25">
      <c r="A515" s="31">
        <v>44686</v>
      </c>
      <c r="B515" s="38" t="s">
        <v>14607</v>
      </c>
      <c r="C515" s="38" t="s">
        <v>12107</v>
      </c>
      <c r="D515" s="34">
        <v>1960</v>
      </c>
      <c r="E515" s="35">
        <v>44686</v>
      </c>
      <c r="F515" s="34">
        <v>1960</v>
      </c>
      <c r="G515" s="36">
        <f>Tabla16[[#This Row],[Importe]]-Tabla16[[#This Row],[Pagado]]</f>
        <v>0</v>
      </c>
      <c r="H515" s="38" t="s">
        <v>10</v>
      </c>
    </row>
    <row r="516" spans="1:8" x14ac:dyDescent="0.25">
      <c r="A516" s="31">
        <v>44686</v>
      </c>
      <c r="B516" s="38" t="s">
        <v>14608</v>
      </c>
      <c r="C516" s="38" t="s">
        <v>843</v>
      </c>
      <c r="D516" s="34">
        <v>9548</v>
      </c>
      <c r="E516" s="35">
        <v>44687</v>
      </c>
      <c r="F516" s="34">
        <v>9548</v>
      </c>
      <c r="G516" s="36">
        <f>Tabla16[[#This Row],[Importe]]-Tabla16[[#This Row],[Pagado]]</f>
        <v>0</v>
      </c>
      <c r="H516" s="38" t="s">
        <v>10</v>
      </c>
    </row>
    <row r="517" spans="1:8" x14ac:dyDescent="0.25">
      <c r="A517" s="31">
        <v>44687</v>
      </c>
      <c r="B517" s="38" t="s">
        <v>14609</v>
      </c>
      <c r="C517" s="38" t="s">
        <v>475</v>
      </c>
      <c r="D517" s="34">
        <v>62089.3</v>
      </c>
      <c r="E517" s="35">
        <v>44688</v>
      </c>
      <c r="F517" s="34">
        <v>62089.3</v>
      </c>
      <c r="G517" s="36">
        <f>Tabla16[[#This Row],[Importe]]-Tabla16[[#This Row],[Pagado]]</f>
        <v>0</v>
      </c>
      <c r="H517" s="38" t="s">
        <v>10</v>
      </c>
    </row>
    <row r="518" spans="1:8" x14ac:dyDescent="0.25">
      <c r="A518" s="31">
        <v>44687</v>
      </c>
      <c r="B518" s="38" t="s">
        <v>14610</v>
      </c>
      <c r="C518" s="38" t="s">
        <v>481</v>
      </c>
      <c r="D518" s="34">
        <v>1254.5</v>
      </c>
      <c r="E518" s="35">
        <v>44687</v>
      </c>
      <c r="F518" s="34">
        <v>1254.5</v>
      </c>
      <c r="G518" s="36">
        <f>Tabla16[[#This Row],[Importe]]-Tabla16[[#This Row],[Pagado]]</f>
        <v>0</v>
      </c>
      <c r="H518" s="38" t="s">
        <v>10</v>
      </c>
    </row>
    <row r="519" spans="1:8" x14ac:dyDescent="0.25">
      <c r="A519" s="31">
        <v>44687</v>
      </c>
      <c r="B519" s="38" t="s">
        <v>14611</v>
      </c>
      <c r="C519" s="38" t="s">
        <v>12</v>
      </c>
      <c r="D519" s="34">
        <v>43102.400000000001</v>
      </c>
      <c r="E519" s="35">
        <v>44687</v>
      </c>
      <c r="F519" s="34">
        <v>43102.400000000001</v>
      </c>
      <c r="G519" s="36">
        <f>Tabla16[[#This Row],[Importe]]-Tabla16[[#This Row],[Pagado]]</f>
        <v>0</v>
      </c>
      <c r="H519" s="38" t="s">
        <v>10</v>
      </c>
    </row>
    <row r="520" spans="1:8" x14ac:dyDescent="0.25">
      <c r="A520" s="31">
        <v>44687</v>
      </c>
      <c r="B520" s="38" t="s">
        <v>14612</v>
      </c>
      <c r="C520" s="38" t="s">
        <v>14613</v>
      </c>
      <c r="D520" s="34">
        <v>6947.73</v>
      </c>
      <c r="E520" s="35">
        <v>44687</v>
      </c>
      <c r="F520" s="34">
        <v>6947.73</v>
      </c>
      <c r="G520" s="36">
        <f>Tabla16[[#This Row],[Importe]]-Tabla16[[#This Row],[Pagado]]</f>
        <v>0</v>
      </c>
      <c r="H520" s="38" t="s">
        <v>10</v>
      </c>
    </row>
    <row r="521" spans="1:8" x14ac:dyDescent="0.25">
      <c r="A521" s="31">
        <v>44687</v>
      </c>
      <c r="B521" s="38" t="s">
        <v>14614</v>
      </c>
      <c r="C521" s="38" t="s">
        <v>64</v>
      </c>
      <c r="D521" s="34">
        <v>3495.3</v>
      </c>
      <c r="E521" s="35">
        <v>44687</v>
      </c>
      <c r="F521" s="34">
        <v>3495.3</v>
      </c>
      <c r="G521" s="36">
        <f>Tabla16[[#This Row],[Importe]]-Tabla16[[#This Row],[Pagado]]</f>
        <v>0</v>
      </c>
      <c r="H521" s="38" t="s">
        <v>10</v>
      </c>
    </row>
    <row r="522" spans="1:8" x14ac:dyDescent="0.25">
      <c r="A522" s="31">
        <v>44687</v>
      </c>
      <c r="B522" s="38" t="s">
        <v>14615</v>
      </c>
      <c r="C522" s="38" t="s">
        <v>9</v>
      </c>
      <c r="D522" s="34">
        <v>6106.2</v>
      </c>
      <c r="E522" s="35">
        <v>44687</v>
      </c>
      <c r="F522" s="34">
        <v>6106.2</v>
      </c>
      <c r="G522" s="36">
        <f>Tabla16[[#This Row],[Importe]]-Tabla16[[#This Row],[Pagado]]</f>
        <v>0</v>
      </c>
      <c r="H522" s="38" t="s">
        <v>10</v>
      </c>
    </row>
    <row r="523" spans="1:8" x14ac:dyDescent="0.25">
      <c r="A523" s="31">
        <v>44687</v>
      </c>
      <c r="B523" s="38" t="s">
        <v>14616</v>
      </c>
      <c r="C523" s="38" t="s">
        <v>12</v>
      </c>
      <c r="D523" s="34">
        <v>1202.8</v>
      </c>
      <c r="E523" s="35">
        <v>44687</v>
      </c>
      <c r="F523" s="34">
        <v>1202.8</v>
      </c>
      <c r="G523" s="36">
        <f>Tabla16[[#This Row],[Importe]]-Tabla16[[#This Row],[Pagado]]</f>
        <v>0</v>
      </c>
      <c r="H523" s="38" t="s">
        <v>10</v>
      </c>
    </row>
    <row r="524" spans="1:8" x14ac:dyDescent="0.25">
      <c r="A524" s="31">
        <v>44687</v>
      </c>
      <c r="B524" s="38" t="s">
        <v>14617</v>
      </c>
      <c r="C524" s="38" t="s">
        <v>31</v>
      </c>
      <c r="D524" s="34">
        <v>2154.6</v>
      </c>
      <c r="E524" s="35">
        <v>44687</v>
      </c>
      <c r="F524" s="34">
        <v>2154.6</v>
      </c>
      <c r="G524" s="36">
        <f>Tabla16[[#This Row],[Importe]]-Tabla16[[#This Row],[Pagado]]</f>
        <v>0</v>
      </c>
      <c r="H524" s="38" t="s">
        <v>10</v>
      </c>
    </row>
    <row r="525" spans="1:8" ht="31.5" x14ac:dyDescent="0.25">
      <c r="A525" s="31">
        <v>44687</v>
      </c>
      <c r="B525" s="38" t="s">
        <v>14618</v>
      </c>
      <c r="C525" s="38" t="s">
        <v>22</v>
      </c>
      <c r="D525" s="34">
        <v>27059.7</v>
      </c>
      <c r="E525" s="35" t="s">
        <v>14619</v>
      </c>
      <c r="F525" s="34">
        <f>25000+2059.7</f>
        <v>27059.7</v>
      </c>
      <c r="G525" s="36">
        <f>Tabla16[[#This Row],[Importe]]-Tabla16[[#This Row],[Pagado]]</f>
        <v>0</v>
      </c>
      <c r="H525" s="38" t="s">
        <v>10</v>
      </c>
    </row>
    <row r="526" spans="1:8" x14ac:dyDescent="0.25">
      <c r="A526" s="31">
        <v>44687</v>
      </c>
      <c r="B526" s="38" t="s">
        <v>14620</v>
      </c>
      <c r="C526" s="38" t="s">
        <v>473</v>
      </c>
      <c r="D526" s="34">
        <v>10727.6</v>
      </c>
      <c r="E526" s="35">
        <v>44687</v>
      </c>
      <c r="F526" s="34">
        <v>10727.6</v>
      </c>
      <c r="G526" s="36">
        <f>Tabla16[[#This Row],[Importe]]-Tabla16[[#This Row],[Pagado]]</f>
        <v>0</v>
      </c>
      <c r="H526" s="38" t="s">
        <v>10</v>
      </c>
    </row>
    <row r="527" spans="1:8" x14ac:dyDescent="0.25">
      <c r="A527" s="31">
        <v>44687</v>
      </c>
      <c r="B527" s="38" t="s">
        <v>14621</v>
      </c>
      <c r="C527" s="38" t="s">
        <v>75</v>
      </c>
      <c r="D527" s="34">
        <v>7392</v>
      </c>
      <c r="E527" s="35">
        <v>44687</v>
      </c>
      <c r="F527" s="34">
        <v>7392</v>
      </c>
      <c r="G527" s="36">
        <f>Tabla16[[#This Row],[Importe]]-Tabla16[[#This Row],[Pagado]]</f>
        <v>0</v>
      </c>
      <c r="H527" s="38" t="s">
        <v>10</v>
      </c>
    </row>
    <row r="528" spans="1:8" x14ac:dyDescent="0.25">
      <c r="A528" s="31">
        <v>44687</v>
      </c>
      <c r="B528" s="38" t="s">
        <v>14622</v>
      </c>
      <c r="C528" s="38" t="s">
        <v>27</v>
      </c>
      <c r="D528" s="34">
        <v>3207.3</v>
      </c>
      <c r="E528" s="35">
        <v>44687</v>
      </c>
      <c r="F528" s="34">
        <v>3207.3</v>
      </c>
      <c r="G528" s="36">
        <f>Tabla16[[#This Row],[Importe]]-Tabla16[[#This Row],[Pagado]]</f>
        <v>0</v>
      </c>
      <c r="H528" s="38" t="s">
        <v>10</v>
      </c>
    </row>
    <row r="529" spans="1:8" x14ac:dyDescent="0.25">
      <c r="A529" s="31">
        <v>44687</v>
      </c>
      <c r="B529" s="38" t="s">
        <v>14623</v>
      </c>
      <c r="C529" s="38" t="s">
        <v>9415</v>
      </c>
      <c r="D529" s="34">
        <v>15925.2</v>
      </c>
      <c r="E529" s="35">
        <v>44689</v>
      </c>
      <c r="F529" s="34">
        <v>15925.2</v>
      </c>
      <c r="G529" s="36">
        <f>Tabla16[[#This Row],[Importe]]-Tabla16[[#This Row],[Pagado]]</f>
        <v>0</v>
      </c>
      <c r="H529" s="38" t="s">
        <v>10</v>
      </c>
    </row>
    <row r="530" spans="1:8" x14ac:dyDescent="0.25">
      <c r="A530" s="31">
        <v>44687</v>
      </c>
      <c r="B530" s="38" t="s">
        <v>14624</v>
      </c>
      <c r="C530" s="38" t="s">
        <v>87</v>
      </c>
      <c r="D530" s="34">
        <v>3314.6</v>
      </c>
      <c r="E530" s="35">
        <v>44687</v>
      </c>
      <c r="F530" s="34">
        <v>3314.6</v>
      </c>
      <c r="G530" s="36">
        <f>Tabla16[[#This Row],[Importe]]-Tabla16[[#This Row],[Pagado]]</f>
        <v>0</v>
      </c>
      <c r="H530" s="38" t="s">
        <v>10</v>
      </c>
    </row>
    <row r="531" spans="1:8" x14ac:dyDescent="0.25">
      <c r="A531" s="31">
        <v>44687</v>
      </c>
      <c r="B531" s="38" t="s">
        <v>14625</v>
      </c>
      <c r="C531" s="38" t="s">
        <v>314</v>
      </c>
      <c r="D531" s="34">
        <v>4791.6000000000004</v>
      </c>
      <c r="E531" s="35">
        <v>44687</v>
      </c>
      <c r="F531" s="34">
        <v>4791.6000000000004</v>
      </c>
      <c r="G531" s="36">
        <f>Tabla16[[#This Row],[Importe]]-Tabla16[[#This Row],[Pagado]]</f>
        <v>0</v>
      </c>
      <c r="H531" s="38" t="s">
        <v>10</v>
      </c>
    </row>
    <row r="532" spans="1:8" x14ac:dyDescent="0.25">
      <c r="A532" s="31">
        <v>44687</v>
      </c>
      <c r="B532" s="38" t="s">
        <v>14626</v>
      </c>
      <c r="C532" s="38" t="s">
        <v>426</v>
      </c>
      <c r="D532" s="34">
        <v>2601.3000000000002</v>
      </c>
      <c r="E532" s="35">
        <v>44687</v>
      </c>
      <c r="F532" s="34">
        <v>2601.3000000000002</v>
      </c>
      <c r="G532" s="36">
        <f>Tabla16[[#This Row],[Importe]]-Tabla16[[#This Row],[Pagado]]</f>
        <v>0</v>
      </c>
      <c r="H532" s="38" t="s">
        <v>10</v>
      </c>
    </row>
    <row r="533" spans="1:8" x14ac:dyDescent="0.25">
      <c r="A533" s="31">
        <v>44687</v>
      </c>
      <c r="B533" s="38" t="s">
        <v>14627</v>
      </c>
      <c r="C533" s="38" t="s">
        <v>83</v>
      </c>
      <c r="D533" s="34">
        <v>3045.2</v>
      </c>
      <c r="E533" s="35">
        <v>44687</v>
      </c>
      <c r="F533" s="34">
        <v>3045.2</v>
      </c>
      <c r="G533" s="36">
        <f>Tabla16[[#This Row],[Importe]]-Tabla16[[#This Row],[Pagado]]</f>
        <v>0</v>
      </c>
      <c r="H533" s="38" t="s">
        <v>10</v>
      </c>
    </row>
    <row r="534" spans="1:8" x14ac:dyDescent="0.25">
      <c r="A534" s="31">
        <v>44687</v>
      </c>
      <c r="B534" s="38" t="s">
        <v>14628</v>
      </c>
      <c r="C534" s="38" t="s">
        <v>83</v>
      </c>
      <c r="D534" s="34">
        <v>14505.2</v>
      </c>
      <c r="E534" s="35">
        <v>44687</v>
      </c>
      <c r="F534" s="34">
        <v>14505.2</v>
      </c>
      <c r="G534" s="36">
        <f>Tabla16[[#This Row],[Importe]]-Tabla16[[#This Row],[Pagado]]</f>
        <v>0</v>
      </c>
      <c r="H534" s="38" t="s">
        <v>10</v>
      </c>
    </row>
    <row r="535" spans="1:8" x14ac:dyDescent="0.25">
      <c r="A535" s="31">
        <v>44687</v>
      </c>
      <c r="B535" s="38" t="s">
        <v>14629</v>
      </c>
      <c r="C535" s="38" t="s">
        <v>95</v>
      </c>
      <c r="D535" s="34">
        <v>19083.36</v>
      </c>
      <c r="E535" s="35">
        <v>44687</v>
      </c>
      <c r="F535" s="34">
        <v>19083.36</v>
      </c>
      <c r="G535" s="36">
        <f>Tabla16[[#This Row],[Importe]]-Tabla16[[#This Row],[Pagado]]</f>
        <v>0</v>
      </c>
      <c r="H535" s="38" t="s">
        <v>10</v>
      </c>
    </row>
    <row r="536" spans="1:8" x14ac:dyDescent="0.25">
      <c r="A536" s="31">
        <v>44687</v>
      </c>
      <c r="B536" s="38" t="s">
        <v>14630</v>
      </c>
      <c r="C536" s="38" t="s">
        <v>109</v>
      </c>
      <c r="D536" s="34">
        <v>4426.8</v>
      </c>
      <c r="E536" s="35">
        <v>44688</v>
      </c>
      <c r="F536" s="34">
        <v>4426.8</v>
      </c>
      <c r="G536" s="36">
        <f>Tabla16[[#This Row],[Importe]]-Tabla16[[#This Row],[Pagado]]</f>
        <v>0</v>
      </c>
      <c r="H536" s="38" t="s">
        <v>10</v>
      </c>
    </row>
    <row r="537" spans="1:8" x14ac:dyDescent="0.25">
      <c r="A537" s="31">
        <v>44687</v>
      </c>
      <c r="B537" s="38" t="s">
        <v>14631</v>
      </c>
      <c r="C537" s="38" t="s">
        <v>111</v>
      </c>
      <c r="D537" s="34">
        <v>4161.6000000000004</v>
      </c>
      <c r="E537" s="35">
        <v>44688</v>
      </c>
      <c r="F537" s="34">
        <v>4161.6000000000004</v>
      </c>
      <c r="G537" s="36">
        <f>Tabla16[[#This Row],[Importe]]-Tabla16[[#This Row],[Pagado]]</f>
        <v>0</v>
      </c>
      <c r="H537" s="38" t="s">
        <v>10</v>
      </c>
    </row>
    <row r="538" spans="1:8" x14ac:dyDescent="0.25">
      <c r="A538" s="31">
        <v>44687</v>
      </c>
      <c r="B538" s="38" t="s">
        <v>14632</v>
      </c>
      <c r="C538" s="38" t="s">
        <v>105</v>
      </c>
      <c r="D538" s="34">
        <v>9592.2000000000007</v>
      </c>
      <c r="E538" s="35">
        <v>44688</v>
      </c>
      <c r="F538" s="34">
        <v>9592.2000000000007</v>
      </c>
      <c r="G538" s="36">
        <f>Tabla16[[#This Row],[Importe]]-Tabla16[[#This Row],[Pagado]]</f>
        <v>0</v>
      </c>
      <c r="H538" s="38" t="s">
        <v>10</v>
      </c>
    </row>
    <row r="539" spans="1:8" x14ac:dyDescent="0.25">
      <c r="A539" s="31">
        <v>44687</v>
      </c>
      <c r="B539" s="38" t="s">
        <v>14633</v>
      </c>
      <c r="C539" s="38" t="s">
        <v>326</v>
      </c>
      <c r="D539" s="34">
        <v>4227.8999999999996</v>
      </c>
      <c r="E539" s="35">
        <v>44688</v>
      </c>
      <c r="F539" s="34">
        <v>4227.8999999999996</v>
      </c>
      <c r="G539" s="36">
        <f>Tabla16[[#This Row],[Importe]]-Tabla16[[#This Row],[Pagado]]</f>
        <v>0</v>
      </c>
      <c r="H539" s="38" t="s">
        <v>10</v>
      </c>
    </row>
    <row r="540" spans="1:8" x14ac:dyDescent="0.25">
      <c r="A540" s="31">
        <v>44687</v>
      </c>
      <c r="B540" s="38" t="s">
        <v>14634</v>
      </c>
      <c r="C540" s="38" t="s">
        <v>312</v>
      </c>
      <c r="D540" s="34">
        <v>1002.8</v>
      </c>
      <c r="E540" s="35">
        <v>44687</v>
      </c>
      <c r="F540" s="34">
        <v>1002.8</v>
      </c>
      <c r="G540" s="36">
        <f>Tabla16[[#This Row],[Importe]]-Tabla16[[#This Row],[Pagado]]</f>
        <v>0</v>
      </c>
      <c r="H540" s="38" t="s">
        <v>10</v>
      </c>
    </row>
    <row r="541" spans="1:8" x14ac:dyDescent="0.25">
      <c r="A541" s="31">
        <v>44687</v>
      </c>
      <c r="B541" s="38" t="s">
        <v>14635</v>
      </c>
      <c r="C541" s="38" t="s">
        <v>198</v>
      </c>
      <c r="D541" s="34">
        <v>428.8</v>
      </c>
      <c r="E541" s="35">
        <v>44687</v>
      </c>
      <c r="F541" s="34">
        <v>428.8</v>
      </c>
      <c r="G541" s="36">
        <f>Tabla16[[#This Row],[Importe]]-Tabla16[[#This Row],[Pagado]]</f>
        <v>0</v>
      </c>
      <c r="H541" s="38" t="s">
        <v>10</v>
      </c>
    </row>
    <row r="542" spans="1:8" ht="31.5" x14ac:dyDescent="0.25">
      <c r="A542" s="31">
        <v>44687</v>
      </c>
      <c r="B542" s="38" t="s">
        <v>14636</v>
      </c>
      <c r="C542" s="38" t="s">
        <v>196</v>
      </c>
      <c r="D542" s="34">
        <v>150685.6</v>
      </c>
      <c r="E542" s="35" t="s">
        <v>14075</v>
      </c>
      <c r="F542" s="34">
        <f>108860.3+41825.3</f>
        <v>150685.6</v>
      </c>
      <c r="G542" s="36">
        <f>Tabla16[[#This Row],[Importe]]-Tabla16[[#This Row],[Pagado]]</f>
        <v>0</v>
      </c>
      <c r="H542" s="38" t="s">
        <v>10</v>
      </c>
    </row>
    <row r="543" spans="1:8" x14ac:dyDescent="0.25">
      <c r="A543" s="31">
        <v>44687</v>
      </c>
      <c r="B543" s="38" t="s">
        <v>14637</v>
      </c>
      <c r="C543" s="38" t="s">
        <v>2151</v>
      </c>
      <c r="D543" s="34">
        <v>15876.8</v>
      </c>
      <c r="E543" s="35">
        <v>44687</v>
      </c>
      <c r="F543" s="34">
        <v>15876.8</v>
      </c>
      <c r="G543" s="36">
        <f>Tabla16[[#This Row],[Importe]]-Tabla16[[#This Row],[Pagado]]</f>
        <v>0</v>
      </c>
      <c r="H543" s="38" t="s">
        <v>10</v>
      </c>
    </row>
    <row r="544" spans="1:8" x14ac:dyDescent="0.25">
      <c r="A544" s="31">
        <v>44687</v>
      </c>
      <c r="B544" s="38" t="s">
        <v>14638</v>
      </c>
      <c r="C544" s="38" t="s">
        <v>99</v>
      </c>
      <c r="D544" s="34">
        <v>4227</v>
      </c>
      <c r="E544" s="35">
        <v>44688</v>
      </c>
      <c r="F544" s="34">
        <v>4227</v>
      </c>
      <c r="G544" s="36">
        <f>Tabla16[[#This Row],[Importe]]-Tabla16[[#This Row],[Pagado]]</f>
        <v>0</v>
      </c>
      <c r="H544" s="38" t="s">
        <v>10</v>
      </c>
    </row>
    <row r="545" spans="1:8" x14ac:dyDescent="0.25">
      <c r="A545" s="31">
        <v>44687</v>
      </c>
      <c r="B545" s="38" t="s">
        <v>14639</v>
      </c>
      <c r="C545" s="38" t="s">
        <v>345</v>
      </c>
      <c r="D545" s="34">
        <v>1131.0999999999999</v>
      </c>
      <c r="E545" s="35">
        <v>44687</v>
      </c>
      <c r="F545" s="34">
        <v>1131.0999999999999</v>
      </c>
      <c r="G545" s="36">
        <f>Tabla16[[#This Row],[Importe]]-Tabla16[[#This Row],[Pagado]]</f>
        <v>0</v>
      </c>
      <c r="H545" s="38" t="s">
        <v>10</v>
      </c>
    </row>
    <row r="546" spans="1:8" x14ac:dyDescent="0.25">
      <c r="A546" s="31">
        <v>44687</v>
      </c>
      <c r="B546" s="38" t="s">
        <v>14640</v>
      </c>
      <c r="C546" s="38" t="s">
        <v>93</v>
      </c>
      <c r="D546" s="34">
        <v>6342.3</v>
      </c>
      <c r="E546" s="35">
        <v>44688</v>
      </c>
      <c r="F546" s="34">
        <v>6342.3</v>
      </c>
      <c r="G546" s="36">
        <f>Tabla16[[#This Row],[Importe]]-Tabla16[[#This Row],[Pagado]]</f>
        <v>0</v>
      </c>
      <c r="H546" s="38" t="s">
        <v>10</v>
      </c>
    </row>
    <row r="547" spans="1:8" x14ac:dyDescent="0.25">
      <c r="A547" s="31">
        <v>44687</v>
      </c>
      <c r="B547" s="38" t="s">
        <v>14641</v>
      </c>
      <c r="C547" s="38" t="s">
        <v>64</v>
      </c>
      <c r="D547" s="34">
        <v>13602.7</v>
      </c>
      <c r="E547" s="35">
        <v>44688</v>
      </c>
      <c r="F547" s="34">
        <v>13602.7</v>
      </c>
      <c r="G547" s="36">
        <f>Tabla16[[#This Row],[Importe]]-Tabla16[[#This Row],[Pagado]]</f>
        <v>0</v>
      </c>
      <c r="H547" s="38" t="s">
        <v>10</v>
      </c>
    </row>
    <row r="548" spans="1:8" x14ac:dyDescent="0.25">
      <c r="A548" s="31">
        <v>44687</v>
      </c>
      <c r="B548" s="38" t="s">
        <v>14642</v>
      </c>
      <c r="C548" s="38" t="s">
        <v>97</v>
      </c>
      <c r="D548" s="34">
        <v>11078.4</v>
      </c>
      <c r="E548" s="35">
        <v>44688</v>
      </c>
      <c r="F548" s="34">
        <v>11078.4</v>
      </c>
      <c r="G548" s="36">
        <f>Tabla16[[#This Row],[Importe]]-Tabla16[[#This Row],[Pagado]]</f>
        <v>0</v>
      </c>
      <c r="H548" s="38" t="s">
        <v>10</v>
      </c>
    </row>
    <row r="549" spans="1:8" x14ac:dyDescent="0.25">
      <c r="A549" s="31">
        <v>44687</v>
      </c>
      <c r="B549" s="38" t="s">
        <v>14643</v>
      </c>
      <c r="C549" s="38" t="s">
        <v>114</v>
      </c>
      <c r="D549" s="34">
        <v>8965.7999999999993</v>
      </c>
      <c r="E549" s="35">
        <v>44688</v>
      </c>
      <c r="F549" s="34">
        <v>8965.7999999999993</v>
      </c>
      <c r="G549" s="36">
        <f>Tabla16[[#This Row],[Importe]]-Tabla16[[#This Row],[Pagado]]</f>
        <v>0</v>
      </c>
      <c r="H549" s="38" t="s">
        <v>10</v>
      </c>
    </row>
    <row r="550" spans="1:8" x14ac:dyDescent="0.25">
      <c r="A550" s="31">
        <v>44687</v>
      </c>
      <c r="B550" s="38" t="s">
        <v>14644</v>
      </c>
      <c r="C550" s="38" t="s">
        <v>89</v>
      </c>
      <c r="D550" s="34">
        <v>10174.5</v>
      </c>
      <c r="E550" s="35">
        <v>44688</v>
      </c>
      <c r="F550" s="34">
        <v>10174.5</v>
      </c>
      <c r="G550" s="36">
        <f>Tabla16[[#This Row],[Importe]]-Tabla16[[#This Row],[Pagado]]</f>
        <v>0</v>
      </c>
      <c r="H550" s="38" t="s">
        <v>10</v>
      </c>
    </row>
    <row r="551" spans="1:8" x14ac:dyDescent="0.25">
      <c r="A551" s="31">
        <v>44687</v>
      </c>
      <c r="B551" s="38" t="s">
        <v>14645</v>
      </c>
      <c r="C551" s="38" t="s">
        <v>31</v>
      </c>
      <c r="D551" s="34">
        <v>5734.4</v>
      </c>
      <c r="E551" s="35">
        <v>44687</v>
      </c>
      <c r="F551" s="34">
        <v>5734.4</v>
      </c>
      <c r="G551" s="36">
        <f>Tabla16[[#This Row],[Importe]]-Tabla16[[#This Row],[Pagado]]</f>
        <v>0</v>
      </c>
      <c r="H551" s="38" t="s">
        <v>10</v>
      </c>
    </row>
    <row r="552" spans="1:8" x14ac:dyDescent="0.25">
      <c r="A552" s="31">
        <v>44687</v>
      </c>
      <c r="B552" s="38" t="s">
        <v>14646</v>
      </c>
      <c r="C552" s="38" t="s">
        <v>11033</v>
      </c>
      <c r="D552" s="34">
        <v>1689.6</v>
      </c>
      <c r="E552" s="35">
        <v>44687</v>
      </c>
      <c r="F552" s="34">
        <v>1689.6</v>
      </c>
      <c r="G552" s="36">
        <f>Tabla16[[#This Row],[Importe]]-Tabla16[[#This Row],[Pagado]]</f>
        <v>0</v>
      </c>
      <c r="H552" s="38" t="s">
        <v>10</v>
      </c>
    </row>
    <row r="553" spans="1:8" x14ac:dyDescent="0.25">
      <c r="A553" s="31">
        <v>44687</v>
      </c>
      <c r="B553" s="38" t="s">
        <v>14647</v>
      </c>
      <c r="C553" s="38" t="s">
        <v>114</v>
      </c>
      <c r="D553" s="34">
        <v>1902.3</v>
      </c>
      <c r="E553" s="35">
        <v>44688</v>
      </c>
      <c r="F553" s="34">
        <v>1902.3</v>
      </c>
      <c r="G553" s="36">
        <f>Tabla16[[#This Row],[Importe]]-Tabla16[[#This Row],[Pagado]]</f>
        <v>0</v>
      </c>
      <c r="H553" s="38" t="s">
        <v>10</v>
      </c>
    </row>
    <row r="554" spans="1:8" x14ac:dyDescent="0.25">
      <c r="A554" s="31">
        <v>44687</v>
      </c>
      <c r="B554" s="38" t="s">
        <v>14648</v>
      </c>
      <c r="C554" s="38" t="s">
        <v>49</v>
      </c>
      <c r="D554" s="34">
        <v>4102.3999999999996</v>
      </c>
      <c r="E554" s="35">
        <v>44687</v>
      </c>
      <c r="F554" s="34">
        <v>4102.3999999999996</v>
      </c>
      <c r="G554" s="36">
        <f>Tabla16[[#This Row],[Importe]]-Tabla16[[#This Row],[Pagado]]</f>
        <v>0</v>
      </c>
      <c r="H554" s="38" t="s">
        <v>10</v>
      </c>
    </row>
    <row r="555" spans="1:8" ht="31.5" x14ac:dyDescent="0.25">
      <c r="A555" s="31">
        <v>44687</v>
      </c>
      <c r="B555" s="38" t="s">
        <v>14649</v>
      </c>
      <c r="C555" s="38" t="s">
        <v>39</v>
      </c>
      <c r="D555" s="34">
        <v>14668.5</v>
      </c>
      <c r="E555" s="35" t="s">
        <v>14619</v>
      </c>
      <c r="F555" s="34">
        <f>6500+8168.5</f>
        <v>14668.5</v>
      </c>
      <c r="G555" s="36">
        <f>Tabla16[[#This Row],[Importe]]-Tabla16[[#This Row],[Pagado]]</f>
        <v>0</v>
      </c>
      <c r="H555" s="38" t="s">
        <v>10</v>
      </c>
    </row>
    <row r="556" spans="1:8" x14ac:dyDescent="0.25">
      <c r="A556" s="31">
        <v>44687</v>
      </c>
      <c r="B556" s="38" t="s">
        <v>14650</v>
      </c>
      <c r="C556" s="38" t="s">
        <v>12202</v>
      </c>
      <c r="D556" s="34">
        <v>7200</v>
      </c>
      <c r="E556" s="35">
        <v>44687</v>
      </c>
      <c r="F556" s="34">
        <v>7200</v>
      </c>
      <c r="G556" s="36">
        <f>Tabla16[[#This Row],[Importe]]-Tabla16[[#This Row],[Pagado]]</f>
        <v>0</v>
      </c>
      <c r="H556" s="38" t="s">
        <v>10</v>
      </c>
    </row>
    <row r="557" spans="1:8" x14ac:dyDescent="0.25">
      <c r="A557" s="31">
        <v>44687</v>
      </c>
      <c r="B557" s="38" t="s">
        <v>14651</v>
      </c>
      <c r="C557" s="38" t="s">
        <v>135</v>
      </c>
      <c r="D557" s="34">
        <v>2035.5</v>
      </c>
      <c r="E557" s="35">
        <v>44687</v>
      </c>
      <c r="F557" s="34">
        <v>2035.5</v>
      </c>
      <c r="G557" s="36">
        <f>Tabla16[[#This Row],[Importe]]-Tabla16[[#This Row],[Pagado]]</f>
        <v>0</v>
      </c>
      <c r="H557" s="38" t="s">
        <v>10</v>
      </c>
    </row>
    <row r="558" spans="1:8" x14ac:dyDescent="0.25">
      <c r="A558" s="31">
        <v>44687</v>
      </c>
      <c r="B558" s="38" t="s">
        <v>14652</v>
      </c>
      <c r="C558" s="38" t="s">
        <v>146</v>
      </c>
      <c r="D558" s="34">
        <v>3413.6</v>
      </c>
      <c r="E558" s="35">
        <v>44687</v>
      </c>
      <c r="F558" s="34">
        <v>3413.6</v>
      </c>
      <c r="G558" s="36">
        <f>Tabla16[[#This Row],[Importe]]-Tabla16[[#This Row],[Pagado]]</f>
        <v>0</v>
      </c>
      <c r="H558" s="38" t="s">
        <v>10</v>
      </c>
    </row>
    <row r="559" spans="1:8" x14ac:dyDescent="0.25">
      <c r="A559" s="31">
        <v>44687</v>
      </c>
      <c r="B559" s="38" t="s">
        <v>14653</v>
      </c>
      <c r="C559" s="38" t="s">
        <v>35</v>
      </c>
      <c r="D559" s="34">
        <v>431.2</v>
      </c>
      <c r="E559" s="35">
        <v>44687</v>
      </c>
      <c r="F559" s="34">
        <v>431.2</v>
      </c>
      <c r="G559" s="36">
        <f>Tabla16[[#This Row],[Importe]]-Tabla16[[#This Row],[Pagado]]</f>
        <v>0</v>
      </c>
      <c r="H559" s="38" t="s">
        <v>10</v>
      </c>
    </row>
    <row r="560" spans="1:8" x14ac:dyDescent="0.25">
      <c r="A560" s="31">
        <v>44687</v>
      </c>
      <c r="B560" s="38" t="s">
        <v>14654</v>
      </c>
      <c r="C560" s="38" t="s">
        <v>47</v>
      </c>
      <c r="D560" s="34">
        <v>59089.22</v>
      </c>
      <c r="E560" s="35">
        <v>44687</v>
      </c>
      <c r="F560" s="34">
        <v>59089.22</v>
      </c>
      <c r="G560" s="36">
        <f>Tabla16[[#This Row],[Importe]]-Tabla16[[#This Row],[Pagado]]</f>
        <v>0</v>
      </c>
      <c r="H560" s="38" t="s">
        <v>10</v>
      </c>
    </row>
    <row r="561" spans="1:8" x14ac:dyDescent="0.25">
      <c r="A561" s="31">
        <v>44687</v>
      </c>
      <c r="B561" s="38" t="s">
        <v>14655</v>
      </c>
      <c r="C561" s="38" t="s">
        <v>518</v>
      </c>
      <c r="D561" s="34">
        <v>3850.5</v>
      </c>
      <c r="E561" s="35">
        <v>44687</v>
      </c>
      <c r="F561" s="34">
        <v>3850.5</v>
      </c>
      <c r="G561" s="36">
        <f>Tabla16[[#This Row],[Importe]]-Tabla16[[#This Row],[Pagado]]</f>
        <v>0</v>
      </c>
      <c r="H561" s="38" t="s">
        <v>10</v>
      </c>
    </row>
    <row r="562" spans="1:8" x14ac:dyDescent="0.25">
      <c r="A562" s="31">
        <v>44687</v>
      </c>
      <c r="B562" s="38" t="s">
        <v>14656</v>
      </c>
      <c r="C562" s="38" t="s">
        <v>647</v>
      </c>
      <c r="D562" s="34">
        <v>1753.6</v>
      </c>
      <c r="E562" s="35">
        <v>44687</v>
      </c>
      <c r="F562" s="34">
        <v>1753.6</v>
      </c>
      <c r="G562" s="36">
        <f>Tabla16[[#This Row],[Importe]]-Tabla16[[#This Row],[Pagado]]</f>
        <v>0</v>
      </c>
      <c r="H562" s="38" t="s">
        <v>10</v>
      </c>
    </row>
    <row r="563" spans="1:8" x14ac:dyDescent="0.25">
      <c r="A563" s="31">
        <v>44687</v>
      </c>
      <c r="B563" s="38" t="s">
        <v>14657</v>
      </c>
      <c r="C563" s="38" t="s">
        <v>777</v>
      </c>
      <c r="D563" s="34">
        <v>1915.2</v>
      </c>
      <c r="E563" s="35">
        <v>44687</v>
      </c>
      <c r="F563" s="34">
        <v>1915.2</v>
      </c>
      <c r="G563" s="36">
        <f>Tabla16[[#This Row],[Importe]]-Tabla16[[#This Row],[Pagado]]</f>
        <v>0</v>
      </c>
      <c r="H563" s="38" t="s">
        <v>10</v>
      </c>
    </row>
    <row r="564" spans="1:8" x14ac:dyDescent="0.25">
      <c r="A564" s="31">
        <v>44687</v>
      </c>
      <c r="B564" s="38" t="s">
        <v>14658</v>
      </c>
      <c r="C564" s="38" t="s">
        <v>14659</v>
      </c>
      <c r="D564" s="34">
        <v>4209</v>
      </c>
      <c r="E564" s="35">
        <v>44687</v>
      </c>
      <c r="F564" s="34">
        <v>4209</v>
      </c>
      <c r="G564" s="36">
        <f>Tabla16[[#This Row],[Importe]]-Tabla16[[#This Row],[Pagado]]</f>
        <v>0</v>
      </c>
      <c r="H564" s="38" t="s">
        <v>10</v>
      </c>
    </row>
    <row r="565" spans="1:8" x14ac:dyDescent="0.25">
      <c r="A565" s="31">
        <v>44687</v>
      </c>
      <c r="B565" s="38" t="s">
        <v>14660</v>
      </c>
      <c r="C565" s="38" t="s">
        <v>541</v>
      </c>
      <c r="D565" s="34">
        <v>19064.599999999999</v>
      </c>
      <c r="E565" s="35">
        <v>44688</v>
      </c>
      <c r="F565" s="34">
        <v>19064.599999999999</v>
      </c>
      <c r="G565" s="36">
        <f>Tabla16[[#This Row],[Importe]]-Tabla16[[#This Row],[Pagado]]</f>
        <v>0</v>
      </c>
      <c r="H565" s="38" t="s">
        <v>10</v>
      </c>
    </row>
    <row r="566" spans="1:8" x14ac:dyDescent="0.25">
      <c r="A566" s="31">
        <v>44687</v>
      </c>
      <c r="B566" s="38" t="s">
        <v>14661</v>
      </c>
      <c r="C566" s="38" t="s">
        <v>777</v>
      </c>
      <c r="D566" s="34">
        <v>364</v>
      </c>
      <c r="E566" s="35">
        <v>44687</v>
      </c>
      <c r="F566" s="34">
        <v>364</v>
      </c>
      <c r="G566" s="36">
        <f>Tabla16[[#This Row],[Importe]]-Tabla16[[#This Row],[Pagado]]</f>
        <v>0</v>
      </c>
      <c r="H566" s="38" t="s">
        <v>10</v>
      </c>
    </row>
    <row r="567" spans="1:8" x14ac:dyDescent="0.25">
      <c r="A567" s="31">
        <v>44687</v>
      </c>
      <c r="B567" s="38" t="s">
        <v>14662</v>
      </c>
      <c r="C567" s="38" t="s">
        <v>49</v>
      </c>
      <c r="D567" s="34">
        <v>4856.2</v>
      </c>
      <c r="E567" s="35">
        <v>44687</v>
      </c>
      <c r="F567" s="34">
        <v>4856.2</v>
      </c>
      <c r="G567" s="36">
        <f>Tabla16[[#This Row],[Importe]]-Tabla16[[#This Row],[Pagado]]</f>
        <v>0</v>
      </c>
      <c r="H567" s="38" t="s">
        <v>10</v>
      </c>
    </row>
    <row r="568" spans="1:8" x14ac:dyDescent="0.25">
      <c r="A568" s="31">
        <v>44687</v>
      </c>
      <c r="B568" s="38" t="s">
        <v>14663</v>
      </c>
      <c r="C568" s="38" t="s">
        <v>133</v>
      </c>
      <c r="D568" s="34">
        <v>25377.599999999999</v>
      </c>
      <c r="E568" s="35">
        <v>44695</v>
      </c>
      <c r="F568" s="34">
        <v>25377.599999999999</v>
      </c>
      <c r="G568" s="36">
        <f>Tabla16[[#This Row],[Importe]]-Tabla16[[#This Row],[Pagado]]</f>
        <v>0</v>
      </c>
      <c r="H568" s="38" t="s">
        <v>10</v>
      </c>
    </row>
    <row r="569" spans="1:8" x14ac:dyDescent="0.25">
      <c r="A569" s="31">
        <v>44687</v>
      </c>
      <c r="B569" s="38" t="s">
        <v>14664</v>
      </c>
      <c r="C569" s="38" t="s">
        <v>216</v>
      </c>
      <c r="D569" s="34">
        <v>2112</v>
      </c>
      <c r="E569" s="35">
        <v>44687</v>
      </c>
      <c r="F569" s="34">
        <v>2112</v>
      </c>
      <c r="G569" s="36">
        <f>Tabla16[[#This Row],[Importe]]-Tabla16[[#This Row],[Pagado]]</f>
        <v>0</v>
      </c>
      <c r="H569" s="38" t="s">
        <v>10</v>
      </c>
    </row>
    <row r="570" spans="1:8" x14ac:dyDescent="0.25">
      <c r="A570" s="31">
        <v>44687</v>
      </c>
      <c r="B570" s="38" t="s">
        <v>14665</v>
      </c>
      <c r="C570" s="38" t="s">
        <v>191</v>
      </c>
      <c r="D570" s="34">
        <v>1491.2</v>
      </c>
      <c r="E570" s="35">
        <v>44687</v>
      </c>
      <c r="F570" s="34">
        <v>1491.2</v>
      </c>
      <c r="G570" s="36">
        <f>Tabla16[[#This Row],[Importe]]-Tabla16[[#This Row],[Pagado]]</f>
        <v>0</v>
      </c>
      <c r="H570" s="38" t="s">
        <v>10</v>
      </c>
    </row>
    <row r="571" spans="1:8" x14ac:dyDescent="0.25">
      <c r="A571" s="31">
        <v>44687</v>
      </c>
      <c r="B571" s="38" t="s">
        <v>14666</v>
      </c>
      <c r="C571" s="38" t="s">
        <v>140</v>
      </c>
      <c r="D571" s="34">
        <v>1676.4</v>
      </c>
      <c r="E571" s="35">
        <v>44687</v>
      </c>
      <c r="F571" s="34">
        <v>1676.4</v>
      </c>
      <c r="G571" s="36">
        <f>Tabla16[[#This Row],[Importe]]-Tabla16[[#This Row],[Pagado]]</f>
        <v>0</v>
      </c>
      <c r="H571" s="38" t="s">
        <v>10</v>
      </c>
    </row>
    <row r="572" spans="1:8" x14ac:dyDescent="0.25">
      <c r="A572" s="31">
        <v>44687</v>
      </c>
      <c r="B572" s="38" t="s">
        <v>14667</v>
      </c>
      <c r="C572" s="38" t="s">
        <v>339</v>
      </c>
      <c r="D572" s="34">
        <v>524.4</v>
      </c>
      <c r="E572" s="35">
        <v>44687</v>
      </c>
      <c r="F572" s="34">
        <v>524.4</v>
      </c>
      <c r="G572" s="36">
        <f>Tabla16[[#This Row],[Importe]]-Tabla16[[#This Row],[Pagado]]</f>
        <v>0</v>
      </c>
      <c r="H572" s="38" t="s">
        <v>10</v>
      </c>
    </row>
    <row r="573" spans="1:8" x14ac:dyDescent="0.25">
      <c r="A573" s="31">
        <v>44687</v>
      </c>
      <c r="B573" s="38" t="s">
        <v>14668</v>
      </c>
      <c r="C573" s="38" t="s">
        <v>365</v>
      </c>
      <c r="D573" s="34">
        <v>779.1</v>
      </c>
      <c r="E573" s="35">
        <v>44687</v>
      </c>
      <c r="F573" s="34">
        <v>779.1</v>
      </c>
      <c r="G573" s="36">
        <f>Tabla16[[#This Row],[Importe]]-Tabla16[[#This Row],[Pagado]]</f>
        <v>0</v>
      </c>
      <c r="H573" s="38" t="s">
        <v>10</v>
      </c>
    </row>
    <row r="574" spans="1:8" x14ac:dyDescent="0.25">
      <c r="A574" s="31">
        <v>44687</v>
      </c>
      <c r="B574" s="38" t="s">
        <v>14669</v>
      </c>
      <c r="C574" s="38" t="s">
        <v>127</v>
      </c>
      <c r="D574" s="34">
        <v>5204.8</v>
      </c>
      <c r="E574" s="35">
        <v>44687</v>
      </c>
      <c r="F574" s="34">
        <v>5204.8</v>
      </c>
      <c r="G574" s="36">
        <f>Tabla16[[#This Row],[Importe]]-Tabla16[[#This Row],[Pagado]]</f>
        <v>0</v>
      </c>
      <c r="H574" s="38" t="s">
        <v>10</v>
      </c>
    </row>
    <row r="575" spans="1:8" x14ac:dyDescent="0.25">
      <c r="A575" s="31">
        <v>44687</v>
      </c>
      <c r="B575" s="38" t="s">
        <v>14670</v>
      </c>
      <c r="C575" s="38" t="s">
        <v>129</v>
      </c>
      <c r="D575" s="34">
        <v>3943.2</v>
      </c>
      <c r="E575" s="35">
        <v>44687</v>
      </c>
      <c r="F575" s="34">
        <v>3943.2</v>
      </c>
      <c r="G575" s="36">
        <f>Tabla16[[#This Row],[Importe]]-Tabla16[[#This Row],[Pagado]]</f>
        <v>0</v>
      </c>
      <c r="H575" s="38" t="s">
        <v>10</v>
      </c>
    </row>
    <row r="576" spans="1:8" x14ac:dyDescent="0.25">
      <c r="A576" s="31">
        <v>44687</v>
      </c>
      <c r="B576" s="38" t="s">
        <v>14671</v>
      </c>
      <c r="C576" s="38" t="s">
        <v>592</v>
      </c>
      <c r="D576" s="34">
        <v>22327.8</v>
      </c>
      <c r="E576" s="35">
        <v>44688</v>
      </c>
      <c r="F576" s="34">
        <v>22327.8</v>
      </c>
      <c r="G576" s="36">
        <f>Tabla16[[#This Row],[Importe]]-Tabla16[[#This Row],[Pagado]]</f>
        <v>0</v>
      </c>
      <c r="H576" s="38" t="s">
        <v>10</v>
      </c>
    </row>
    <row r="577" spans="1:8" x14ac:dyDescent="0.25">
      <c r="A577" s="31">
        <v>44687</v>
      </c>
      <c r="B577" s="38" t="s">
        <v>14672</v>
      </c>
      <c r="C577" s="38" t="s">
        <v>49</v>
      </c>
      <c r="D577" s="34">
        <v>112</v>
      </c>
      <c r="E577" s="35">
        <v>44687</v>
      </c>
      <c r="F577" s="34">
        <v>112</v>
      </c>
      <c r="G577" s="36">
        <f>Tabla16[[#This Row],[Importe]]-Tabla16[[#This Row],[Pagado]]</f>
        <v>0</v>
      </c>
      <c r="H577" s="38" t="s">
        <v>10</v>
      </c>
    </row>
    <row r="578" spans="1:8" x14ac:dyDescent="0.25">
      <c r="A578" s="31">
        <v>44687</v>
      </c>
      <c r="B578" s="38" t="s">
        <v>14673</v>
      </c>
      <c r="C578" s="38" t="s">
        <v>51</v>
      </c>
      <c r="D578" s="34">
        <v>3723.4</v>
      </c>
      <c r="E578" s="35">
        <v>44687</v>
      </c>
      <c r="F578" s="34">
        <v>3723.4</v>
      </c>
      <c r="G578" s="36">
        <f>Tabla16[[#This Row],[Importe]]-Tabla16[[#This Row],[Pagado]]</f>
        <v>0</v>
      </c>
      <c r="H578" s="38" t="s">
        <v>10</v>
      </c>
    </row>
    <row r="579" spans="1:8" x14ac:dyDescent="0.25">
      <c r="A579" s="31">
        <v>44687</v>
      </c>
      <c r="B579" s="38" t="s">
        <v>14674</v>
      </c>
      <c r="C579" s="38" t="s">
        <v>212</v>
      </c>
      <c r="D579" s="34">
        <v>41493.699999999997</v>
      </c>
      <c r="E579" s="35">
        <v>44691</v>
      </c>
      <c r="F579" s="34">
        <v>41493.699999999997</v>
      </c>
      <c r="G579" s="36">
        <f>Tabla16[[#This Row],[Importe]]-Tabla16[[#This Row],[Pagado]]</f>
        <v>0</v>
      </c>
      <c r="H579" s="38" t="s">
        <v>10</v>
      </c>
    </row>
    <row r="580" spans="1:8" x14ac:dyDescent="0.25">
      <c r="A580" s="31">
        <v>44687</v>
      </c>
      <c r="B580" s="38" t="s">
        <v>14675</v>
      </c>
      <c r="C580" s="38" t="s">
        <v>2114</v>
      </c>
      <c r="D580" s="34">
        <v>1872</v>
      </c>
      <c r="E580" s="35">
        <v>44687</v>
      </c>
      <c r="F580" s="34">
        <v>1872</v>
      </c>
      <c r="G580" s="36">
        <f>Tabla16[[#This Row],[Importe]]-Tabla16[[#This Row],[Pagado]]</f>
        <v>0</v>
      </c>
      <c r="H580" s="38" t="s">
        <v>10</v>
      </c>
    </row>
    <row r="581" spans="1:8" x14ac:dyDescent="0.25">
      <c r="A581" s="31">
        <v>44687</v>
      </c>
      <c r="B581" s="38" t="s">
        <v>14676</v>
      </c>
      <c r="C581" s="38" t="s">
        <v>11383</v>
      </c>
      <c r="D581" s="34">
        <v>37469.699999999997</v>
      </c>
      <c r="E581" s="35">
        <v>44687</v>
      </c>
      <c r="F581" s="34">
        <v>37469.699999999997</v>
      </c>
      <c r="G581" s="36">
        <f>Tabla16[[#This Row],[Importe]]-Tabla16[[#This Row],[Pagado]]</f>
        <v>0</v>
      </c>
      <c r="H581" s="38" t="s">
        <v>10</v>
      </c>
    </row>
    <row r="582" spans="1:8" x14ac:dyDescent="0.25">
      <c r="A582" s="31">
        <v>44687</v>
      </c>
      <c r="B582" s="38" t="s">
        <v>14677</v>
      </c>
      <c r="C582" s="38" t="s">
        <v>85</v>
      </c>
      <c r="D582" s="34">
        <v>4499.8</v>
      </c>
      <c r="E582" s="35">
        <v>44687</v>
      </c>
      <c r="F582" s="34">
        <v>4499.8</v>
      </c>
      <c r="G582" s="36">
        <f>Tabla16[[#This Row],[Importe]]-Tabla16[[#This Row],[Pagado]]</f>
        <v>0</v>
      </c>
      <c r="H582" s="38" t="s">
        <v>10</v>
      </c>
    </row>
    <row r="583" spans="1:8" x14ac:dyDescent="0.25">
      <c r="A583" s="31">
        <v>44687</v>
      </c>
      <c r="B583" s="38" t="s">
        <v>14678</v>
      </c>
      <c r="C583" s="38" t="s">
        <v>31</v>
      </c>
      <c r="D583" s="34">
        <v>541.20000000000005</v>
      </c>
      <c r="E583" s="35">
        <v>44687</v>
      </c>
      <c r="F583" s="34">
        <v>541.20000000000005</v>
      </c>
      <c r="G583" s="36">
        <f>Tabla16[[#This Row],[Importe]]-Tabla16[[#This Row],[Pagado]]</f>
        <v>0</v>
      </c>
      <c r="H583" s="38" t="s">
        <v>10</v>
      </c>
    </row>
    <row r="584" spans="1:8" x14ac:dyDescent="0.25">
      <c r="A584" s="31">
        <v>44687</v>
      </c>
      <c r="B584" s="38" t="s">
        <v>14679</v>
      </c>
      <c r="C584" s="38" t="s">
        <v>5816</v>
      </c>
      <c r="D584" s="34">
        <v>9898.4</v>
      </c>
      <c r="E584" s="35">
        <v>44688</v>
      </c>
      <c r="F584" s="34">
        <v>9898.4</v>
      </c>
      <c r="G584" s="36">
        <f>Tabla16[[#This Row],[Importe]]-Tabla16[[#This Row],[Pagado]]</f>
        <v>0</v>
      </c>
      <c r="H584" s="38" t="s">
        <v>10</v>
      </c>
    </row>
    <row r="585" spans="1:8" x14ac:dyDescent="0.25">
      <c r="A585" s="31">
        <v>44687</v>
      </c>
      <c r="B585" s="38" t="s">
        <v>14680</v>
      </c>
      <c r="C585" s="38" t="s">
        <v>840</v>
      </c>
      <c r="D585" s="34">
        <v>38066.400000000001</v>
      </c>
      <c r="E585" s="35">
        <v>44687</v>
      </c>
      <c r="F585" s="34">
        <v>38066.400000000001</v>
      </c>
      <c r="G585" s="36">
        <f>Tabla16[[#This Row],[Importe]]-Tabla16[[#This Row],[Pagado]]</f>
        <v>0</v>
      </c>
      <c r="H585" s="38" t="s">
        <v>10</v>
      </c>
    </row>
    <row r="586" spans="1:8" x14ac:dyDescent="0.25">
      <c r="A586" s="31">
        <v>44687</v>
      </c>
      <c r="B586" s="38" t="s">
        <v>14681</v>
      </c>
      <c r="C586" s="38" t="s">
        <v>179</v>
      </c>
      <c r="D586" s="34">
        <v>1320</v>
      </c>
      <c r="E586" s="35">
        <v>44687</v>
      </c>
      <c r="F586" s="34">
        <v>1320</v>
      </c>
      <c r="G586" s="36">
        <f>Tabla16[[#This Row],[Importe]]-Tabla16[[#This Row],[Pagado]]</f>
        <v>0</v>
      </c>
      <c r="H586" s="38" t="s">
        <v>10</v>
      </c>
    </row>
    <row r="587" spans="1:8" x14ac:dyDescent="0.25">
      <c r="A587" s="31">
        <v>44687</v>
      </c>
      <c r="B587" s="38" t="s">
        <v>14682</v>
      </c>
      <c r="C587" s="38" t="s">
        <v>14</v>
      </c>
      <c r="D587" s="34">
        <v>39934.400000000001</v>
      </c>
      <c r="E587" s="35">
        <v>44687</v>
      </c>
      <c r="F587" s="34">
        <v>39934.400000000001</v>
      </c>
      <c r="G587" s="36">
        <f>Tabla16[[#This Row],[Importe]]-Tabla16[[#This Row],[Pagado]]</f>
        <v>0</v>
      </c>
      <c r="H587" s="38" t="s">
        <v>10</v>
      </c>
    </row>
    <row r="588" spans="1:8" x14ac:dyDescent="0.25">
      <c r="A588" s="31">
        <v>44687</v>
      </c>
      <c r="B588" s="38" t="s">
        <v>14683</v>
      </c>
      <c r="C588" s="38" t="s">
        <v>24</v>
      </c>
      <c r="D588" s="34">
        <v>4069.1</v>
      </c>
      <c r="E588" s="35">
        <v>44687</v>
      </c>
      <c r="F588" s="34">
        <v>4069.1</v>
      </c>
      <c r="G588" s="36">
        <f>Tabla16[[#This Row],[Importe]]-Tabla16[[#This Row],[Pagado]]</f>
        <v>0</v>
      </c>
      <c r="H588" s="38" t="s">
        <v>10</v>
      </c>
    </row>
    <row r="589" spans="1:8" x14ac:dyDescent="0.25">
      <c r="A589" s="31">
        <v>44687</v>
      </c>
      <c r="B589" s="38" t="s">
        <v>14684</v>
      </c>
      <c r="C589" s="38" t="s">
        <v>11383</v>
      </c>
      <c r="D589" s="34">
        <v>2790.7</v>
      </c>
      <c r="E589" s="35">
        <v>44687</v>
      </c>
      <c r="F589" s="34">
        <v>2790.7</v>
      </c>
      <c r="G589" s="36">
        <f>Tabla16[[#This Row],[Importe]]-Tabla16[[#This Row],[Pagado]]</f>
        <v>0</v>
      </c>
      <c r="H589" s="38" t="s">
        <v>10</v>
      </c>
    </row>
    <row r="590" spans="1:8" x14ac:dyDescent="0.25">
      <c r="A590" s="31">
        <v>44687</v>
      </c>
      <c r="B590" s="38" t="s">
        <v>14685</v>
      </c>
      <c r="C590" s="38" t="s">
        <v>14</v>
      </c>
      <c r="D590" s="34">
        <v>750</v>
      </c>
      <c r="E590" s="35">
        <v>44687</v>
      </c>
      <c r="F590" s="34">
        <v>750</v>
      </c>
      <c r="G590" s="36">
        <f>Tabla16[[#This Row],[Importe]]-Tabla16[[#This Row],[Pagado]]</f>
        <v>0</v>
      </c>
      <c r="H590" s="38" t="s">
        <v>10</v>
      </c>
    </row>
    <row r="591" spans="1:8" x14ac:dyDescent="0.25">
      <c r="A591" s="31">
        <v>44687</v>
      </c>
      <c r="B591" s="38" t="s">
        <v>14686</v>
      </c>
      <c r="C591" s="38" t="s">
        <v>45</v>
      </c>
      <c r="D591" s="34">
        <v>16115.7</v>
      </c>
      <c r="E591" s="35">
        <v>44687</v>
      </c>
      <c r="F591" s="34">
        <v>16115.7</v>
      </c>
      <c r="G591" s="36">
        <f>Tabla16[[#This Row],[Importe]]-Tabla16[[#This Row],[Pagado]]</f>
        <v>0</v>
      </c>
      <c r="H591" s="38" t="s">
        <v>10</v>
      </c>
    </row>
    <row r="592" spans="1:8" x14ac:dyDescent="0.25">
      <c r="A592" s="31">
        <v>44687</v>
      </c>
      <c r="B592" s="38" t="s">
        <v>14687</v>
      </c>
      <c r="C592" s="38" t="s">
        <v>214</v>
      </c>
      <c r="D592" s="34">
        <v>1630.2</v>
      </c>
      <c r="E592" s="35">
        <v>44687</v>
      </c>
      <c r="F592" s="34">
        <v>1630.2</v>
      </c>
      <c r="G592" s="36">
        <f>Tabla16[[#This Row],[Importe]]-Tabla16[[#This Row],[Pagado]]</f>
        <v>0</v>
      </c>
      <c r="H592" s="38" t="s">
        <v>10</v>
      </c>
    </row>
    <row r="593" spans="1:8" x14ac:dyDescent="0.25">
      <c r="A593" s="31">
        <v>44687</v>
      </c>
      <c r="B593" s="38" t="s">
        <v>14688</v>
      </c>
      <c r="C593" s="38" t="s">
        <v>173</v>
      </c>
      <c r="D593" s="34">
        <v>16698</v>
      </c>
      <c r="E593" s="35">
        <v>44688</v>
      </c>
      <c r="F593" s="34">
        <v>16698</v>
      </c>
      <c r="G593" s="36">
        <f>Tabla16[[#This Row],[Importe]]-Tabla16[[#This Row],[Pagado]]</f>
        <v>0</v>
      </c>
      <c r="H593" s="38" t="s">
        <v>10</v>
      </c>
    </row>
    <row r="594" spans="1:8" x14ac:dyDescent="0.25">
      <c r="A594" s="31">
        <v>44687</v>
      </c>
      <c r="B594" s="38" t="s">
        <v>14689</v>
      </c>
      <c r="C594" s="38" t="s">
        <v>142</v>
      </c>
      <c r="D594" s="34">
        <v>70251.75</v>
      </c>
      <c r="E594" s="35">
        <v>44722</v>
      </c>
      <c r="F594" s="34">
        <v>70251.75</v>
      </c>
      <c r="G594" s="36">
        <f>Tabla16[[#This Row],[Importe]]-Tabla16[[#This Row],[Pagado]]</f>
        <v>0</v>
      </c>
      <c r="H594" s="38" t="s">
        <v>10</v>
      </c>
    </row>
    <row r="595" spans="1:8" x14ac:dyDescent="0.25">
      <c r="A595" s="31">
        <v>44687</v>
      </c>
      <c r="B595" s="38" t="s">
        <v>14690</v>
      </c>
      <c r="C595" s="38" t="s">
        <v>382</v>
      </c>
      <c r="D595" s="34">
        <v>6766</v>
      </c>
      <c r="E595" s="35">
        <v>44687</v>
      </c>
      <c r="F595" s="34">
        <v>6766</v>
      </c>
      <c r="G595" s="36">
        <f>Tabla16[[#This Row],[Importe]]-Tabla16[[#This Row],[Pagado]]</f>
        <v>0</v>
      </c>
      <c r="H595" s="38" t="s">
        <v>10</v>
      </c>
    </row>
    <row r="596" spans="1:8" x14ac:dyDescent="0.25">
      <c r="A596" s="31">
        <v>44687</v>
      </c>
      <c r="B596" s="38" t="s">
        <v>14691</v>
      </c>
      <c r="C596" s="38" t="s">
        <v>409</v>
      </c>
      <c r="D596" s="34">
        <v>8136</v>
      </c>
      <c r="E596" s="35">
        <v>44692</v>
      </c>
      <c r="F596" s="34">
        <v>8136</v>
      </c>
      <c r="G596" s="36">
        <f>Tabla16[[#This Row],[Importe]]-Tabla16[[#This Row],[Pagado]]</f>
        <v>0</v>
      </c>
      <c r="H596" s="38" t="s">
        <v>10</v>
      </c>
    </row>
    <row r="597" spans="1:8" x14ac:dyDescent="0.25">
      <c r="A597" s="31">
        <v>44687</v>
      </c>
      <c r="B597" s="38" t="s">
        <v>14692</v>
      </c>
      <c r="C597" s="38" t="s">
        <v>10157</v>
      </c>
      <c r="D597" s="34">
        <v>10762.7</v>
      </c>
      <c r="E597" s="35">
        <v>44692</v>
      </c>
      <c r="F597" s="34">
        <v>10762.7</v>
      </c>
      <c r="G597" s="36">
        <f>Tabla16[[#This Row],[Importe]]-Tabla16[[#This Row],[Pagado]]</f>
        <v>0</v>
      </c>
      <c r="H597" s="38" t="s">
        <v>10</v>
      </c>
    </row>
    <row r="598" spans="1:8" x14ac:dyDescent="0.25">
      <c r="A598" s="31">
        <v>44687</v>
      </c>
      <c r="B598" s="38" t="s">
        <v>14693</v>
      </c>
      <c r="C598" s="38" t="s">
        <v>230</v>
      </c>
      <c r="D598" s="34">
        <v>2350.6999999999998</v>
      </c>
      <c r="E598" s="35">
        <v>44687</v>
      </c>
      <c r="F598" s="34">
        <v>2350.6999999999998</v>
      </c>
      <c r="G598" s="36">
        <f>Tabla16[[#This Row],[Importe]]-Tabla16[[#This Row],[Pagado]]</f>
        <v>0</v>
      </c>
      <c r="H598" s="38" t="s">
        <v>10</v>
      </c>
    </row>
    <row r="599" spans="1:8" x14ac:dyDescent="0.25">
      <c r="A599" s="31">
        <v>44687</v>
      </c>
      <c r="B599" s="38" t="s">
        <v>14694</v>
      </c>
      <c r="C599" s="38" t="s">
        <v>154</v>
      </c>
      <c r="D599" s="34">
        <v>54752</v>
      </c>
      <c r="E599" s="35">
        <v>44692</v>
      </c>
      <c r="F599" s="34">
        <v>54752</v>
      </c>
      <c r="G599" s="36">
        <f>Tabla16[[#This Row],[Importe]]-Tabla16[[#This Row],[Pagado]]</f>
        <v>0</v>
      </c>
      <c r="H599" s="38" t="s">
        <v>10</v>
      </c>
    </row>
    <row r="600" spans="1:8" x14ac:dyDescent="0.25">
      <c r="A600" s="31">
        <v>44687</v>
      </c>
      <c r="B600" s="38" t="s">
        <v>14695</v>
      </c>
      <c r="C600" s="38" t="s">
        <v>206</v>
      </c>
      <c r="D600" s="34">
        <v>58010.7</v>
      </c>
      <c r="E600" s="35">
        <v>44691</v>
      </c>
      <c r="F600" s="34">
        <v>58010.7</v>
      </c>
      <c r="G600" s="36">
        <f>Tabla16[[#This Row],[Importe]]-Tabla16[[#This Row],[Pagado]]</f>
        <v>0</v>
      </c>
      <c r="H600" s="38" t="s">
        <v>10</v>
      </c>
    </row>
    <row r="601" spans="1:8" x14ac:dyDescent="0.25">
      <c r="A601" s="31">
        <v>44687</v>
      </c>
      <c r="B601" s="38" t="s">
        <v>14696</v>
      </c>
      <c r="C601" s="38" t="s">
        <v>2139</v>
      </c>
      <c r="D601" s="34">
        <v>4532.2</v>
      </c>
      <c r="E601" s="35">
        <v>44687</v>
      </c>
      <c r="F601" s="34">
        <v>4532.2</v>
      </c>
      <c r="G601" s="36">
        <f>Tabla16[[#This Row],[Importe]]-Tabla16[[#This Row],[Pagado]]</f>
        <v>0</v>
      </c>
      <c r="H601" s="38" t="s">
        <v>10</v>
      </c>
    </row>
    <row r="602" spans="1:8" x14ac:dyDescent="0.25">
      <c r="A602" s="31">
        <v>44687</v>
      </c>
      <c r="B602" s="38" t="s">
        <v>14697</v>
      </c>
      <c r="C602" s="38" t="s">
        <v>218</v>
      </c>
      <c r="D602" s="34">
        <v>38149.5</v>
      </c>
      <c r="E602" s="35">
        <v>44691</v>
      </c>
      <c r="F602" s="34">
        <v>38149.5</v>
      </c>
      <c r="G602" s="36">
        <f>Tabla16[[#This Row],[Importe]]-Tabla16[[#This Row],[Pagado]]</f>
        <v>0</v>
      </c>
      <c r="H602" s="38" t="s">
        <v>10</v>
      </c>
    </row>
    <row r="603" spans="1:8" x14ac:dyDescent="0.25">
      <c r="A603" s="31">
        <v>44687</v>
      </c>
      <c r="B603" s="38" t="s">
        <v>14698</v>
      </c>
      <c r="C603" s="38" t="s">
        <v>9</v>
      </c>
      <c r="D603" s="34">
        <v>6396</v>
      </c>
      <c r="E603" s="35">
        <v>44687</v>
      </c>
      <c r="F603" s="34">
        <v>6396</v>
      </c>
      <c r="G603" s="36">
        <f>Tabla16[[#This Row],[Importe]]-Tabla16[[#This Row],[Pagado]]</f>
        <v>0</v>
      </c>
      <c r="H603" s="38" t="s">
        <v>10</v>
      </c>
    </row>
    <row r="604" spans="1:8" x14ac:dyDescent="0.25">
      <c r="A604" s="31">
        <v>44687</v>
      </c>
      <c r="B604" s="38" t="s">
        <v>14699</v>
      </c>
      <c r="C604" s="38" t="s">
        <v>6170</v>
      </c>
      <c r="D604" s="34">
        <v>0</v>
      </c>
      <c r="E604" s="39" t="s">
        <v>189</v>
      </c>
      <c r="F604" s="34">
        <v>0</v>
      </c>
      <c r="G604" s="36">
        <f>Tabla16[[#This Row],[Importe]]-Tabla16[[#This Row],[Pagado]]</f>
        <v>0</v>
      </c>
      <c r="H604" s="40" t="s">
        <v>14700</v>
      </c>
    </row>
    <row r="605" spans="1:8" x14ac:dyDescent="0.25">
      <c r="A605" s="31">
        <v>44687</v>
      </c>
      <c r="B605" s="38" t="s">
        <v>14701</v>
      </c>
      <c r="C605" s="38" t="s">
        <v>56</v>
      </c>
      <c r="D605" s="34">
        <v>10178.9</v>
      </c>
      <c r="E605" s="35">
        <v>44687</v>
      </c>
      <c r="F605" s="34">
        <v>10178.9</v>
      </c>
      <c r="G605" s="36">
        <f>Tabla16[[#This Row],[Importe]]-Tabla16[[#This Row],[Pagado]]</f>
        <v>0</v>
      </c>
      <c r="H605" s="40" t="s">
        <v>14702</v>
      </c>
    </row>
    <row r="606" spans="1:8" x14ac:dyDescent="0.25">
      <c r="A606" s="31">
        <v>44687</v>
      </c>
      <c r="B606" s="38" t="s">
        <v>14703</v>
      </c>
      <c r="C606" s="38" t="s">
        <v>10157</v>
      </c>
      <c r="D606" s="34">
        <v>1634.4</v>
      </c>
      <c r="E606" s="35">
        <v>44692</v>
      </c>
      <c r="F606" s="34">
        <v>1634.4</v>
      </c>
      <c r="G606" s="36">
        <f>Tabla16[[#This Row],[Importe]]-Tabla16[[#This Row],[Pagado]]</f>
        <v>0</v>
      </c>
      <c r="H606" s="38" t="s">
        <v>10</v>
      </c>
    </row>
    <row r="607" spans="1:8" x14ac:dyDescent="0.25">
      <c r="A607" s="31">
        <v>44687</v>
      </c>
      <c r="B607" s="38" t="s">
        <v>14704</v>
      </c>
      <c r="C607" s="38" t="s">
        <v>31</v>
      </c>
      <c r="D607" s="34">
        <v>163.74</v>
      </c>
      <c r="E607" s="35">
        <v>44687</v>
      </c>
      <c r="F607" s="34">
        <v>163.74</v>
      </c>
      <c r="G607" s="36">
        <f>Tabla16[[#This Row],[Importe]]-Tabla16[[#This Row],[Pagado]]</f>
        <v>0</v>
      </c>
      <c r="H607" s="38" t="s">
        <v>10</v>
      </c>
    </row>
    <row r="608" spans="1:8" x14ac:dyDescent="0.25">
      <c r="A608" s="31">
        <v>44687</v>
      </c>
      <c r="B608" s="38" t="s">
        <v>14705</v>
      </c>
      <c r="C608" s="38" t="s">
        <v>233</v>
      </c>
      <c r="D608" s="34">
        <v>6052</v>
      </c>
      <c r="E608" s="35">
        <v>44687</v>
      </c>
      <c r="F608" s="34">
        <v>6052</v>
      </c>
      <c r="G608" s="36">
        <f>Tabla16[[#This Row],[Importe]]-Tabla16[[#This Row],[Pagado]]</f>
        <v>0</v>
      </c>
      <c r="H608" s="38" t="s">
        <v>10</v>
      </c>
    </row>
    <row r="609" spans="1:8" x14ac:dyDescent="0.25">
      <c r="A609" s="31">
        <v>44687</v>
      </c>
      <c r="B609" s="38" t="s">
        <v>14706</v>
      </c>
      <c r="C609" s="38" t="s">
        <v>12</v>
      </c>
      <c r="D609" s="34">
        <v>7390.2</v>
      </c>
      <c r="E609" s="35">
        <v>44688</v>
      </c>
      <c r="F609" s="34">
        <v>7390.2</v>
      </c>
      <c r="G609" s="36">
        <f>Tabla16[[#This Row],[Importe]]-Tabla16[[#This Row],[Pagado]]</f>
        <v>0</v>
      </c>
      <c r="H609" s="38" t="s">
        <v>10</v>
      </c>
    </row>
    <row r="610" spans="1:8" x14ac:dyDescent="0.25">
      <c r="A610" s="31">
        <v>44687</v>
      </c>
      <c r="B610" s="38" t="s">
        <v>14707</v>
      </c>
      <c r="C610" s="38" t="s">
        <v>6112</v>
      </c>
      <c r="D610" s="34">
        <v>3652</v>
      </c>
      <c r="E610" s="35">
        <v>44687</v>
      </c>
      <c r="F610" s="34">
        <v>3652</v>
      </c>
      <c r="G610" s="36">
        <f>Tabla16[[#This Row],[Importe]]-Tabla16[[#This Row],[Pagado]]</f>
        <v>0</v>
      </c>
      <c r="H610" s="38" t="s">
        <v>10</v>
      </c>
    </row>
    <row r="611" spans="1:8" x14ac:dyDescent="0.25">
      <c r="A611" s="31">
        <v>44687</v>
      </c>
      <c r="B611" s="38" t="s">
        <v>14708</v>
      </c>
      <c r="C611" s="38" t="s">
        <v>60</v>
      </c>
      <c r="D611" s="34">
        <v>2371.5</v>
      </c>
      <c r="E611" s="35">
        <v>44687</v>
      </c>
      <c r="F611" s="34">
        <v>2371.5</v>
      </c>
      <c r="G611" s="36">
        <f>Tabla16[[#This Row],[Importe]]-Tabla16[[#This Row],[Pagado]]</f>
        <v>0</v>
      </c>
      <c r="H611" s="38" t="s">
        <v>10</v>
      </c>
    </row>
    <row r="612" spans="1:8" x14ac:dyDescent="0.25">
      <c r="A612" s="31">
        <v>44687</v>
      </c>
      <c r="B612" s="38" t="s">
        <v>14709</v>
      </c>
      <c r="C612" s="38" t="s">
        <v>14710</v>
      </c>
      <c r="D612" s="34">
        <v>0</v>
      </c>
      <c r="E612" s="39" t="s">
        <v>189</v>
      </c>
      <c r="F612" s="34">
        <v>0</v>
      </c>
      <c r="G612" s="36">
        <f>Tabla16[[#This Row],[Importe]]-Tabla16[[#This Row],[Pagado]]</f>
        <v>0</v>
      </c>
      <c r="H612" s="38" t="s">
        <v>189</v>
      </c>
    </row>
    <row r="613" spans="1:8" x14ac:dyDescent="0.25">
      <c r="A613" s="31">
        <v>44687</v>
      </c>
      <c r="B613" s="38" t="s">
        <v>14711</v>
      </c>
      <c r="C613" s="38" t="s">
        <v>9827</v>
      </c>
      <c r="D613" s="34">
        <v>1293.5999999999999</v>
      </c>
      <c r="E613" s="35">
        <v>44687</v>
      </c>
      <c r="F613" s="34">
        <v>1293.5999999999999</v>
      </c>
      <c r="G613" s="36">
        <f>Tabla16[[#This Row],[Importe]]-Tabla16[[#This Row],[Pagado]]</f>
        <v>0</v>
      </c>
      <c r="H613" s="38" t="s">
        <v>10</v>
      </c>
    </row>
    <row r="614" spans="1:8" x14ac:dyDescent="0.25">
      <c r="A614" s="31">
        <v>44687</v>
      </c>
      <c r="B614" s="38" t="s">
        <v>14712</v>
      </c>
      <c r="C614" s="38" t="s">
        <v>58</v>
      </c>
      <c r="D614" s="34">
        <v>3825</v>
      </c>
      <c r="E614" s="35">
        <v>44687</v>
      </c>
      <c r="F614" s="34">
        <v>3825</v>
      </c>
      <c r="G614" s="36">
        <f>Tabla16[[#This Row],[Importe]]-Tabla16[[#This Row],[Pagado]]</f>
        <v>0</v>
      </c>
      <c r="H614" s="38" t="s">
        <v>10</v>
      </c>
    </row>
    <row r="615" spans="1:8" x14ac:dyDescent="0.25">
      <c r="A615" s="31">
        <v>44687</v>
      </c>
      <c r="B615" s="38" t="s">
        <v>14713</v>
      </c>
      <c r="C615" s="38" t="s">
        <v>849</v>
      </c>
      <c r="D615" s="34">
        <v>3800</v>
      </c>
      <c r="E615" s="35">
        <v>44687</v>
      </c>
      <c r="F615" s="34">
        <v>3800</v>
      </c>
      <c r="G615" s="36">
        <f>Tabla16[[#This Row],[Importe]]-Tabla16[[#This Row],[Pagado]]</f>
        <v>0</v>
      </c>
      <c r="H615" s="38" t="s">
        <v>10</v>
      </c>
    </row>
    <row r="616" spans="1:8" x14ac:dyDescent="0.25">
      <c r="A616" s="31">
        <v>44687</v>
      </c>
      <c r="B616" s="38" t="s">
        <v>14714</v>
      </c>
      <c r="C616" s="38" t="s">
        <v>703</v>
      </c>
      <c r="D616" s="34">
        <v>4482.3</v>
      </c>
      <c r="E616" s="35">
        <v>44687</v>
      </c>
      <c r="F616" s="34">
        <v>4482.3</v>
      </c>
      <c r="G616" s="36">
        <f>Tabla16[[#This Row],[Importe]]-Tabla16[[#This Row],[Pagado]]</f>
        <v>0</v>
      </c>
      <c r="H616" s="38" t="s">
        <v>10</v>
      </c>
    </row>
    <row r="617" spans="1:8" x14ac:dyDescent="0.25">
      <c r="A617" s="31">
        <v>44687</v>
      </c>
      <c r="B617" s="38" t="s">
        <v>14715</v>
      </c>
      <c r="C617" s="38" t="s">
        <v>14716</v>
      </c>
      <c r="D617" s="34">
        <v>3686.4</v>
      </c>
      <c r="E617" s="35">
        <v>44687</v>
      </c>
      <c r="F617" s="34">
        <v>3686.4</v>
      </c>
      <c r="G617" s="36">
        <f>Tabla16[[#This Row],[Importe]]-Tabla16[[#This Row],[Pagado]]</f>
        <v>0</v>
      </c>
      <c r="H617" s="38" t="s">
        <v>10</v>
      </c>
    </row>
    <row r="618" spans="1:8" x14ac:dyDescent="0.25">
      <c r="A618" s="31">
        <v>44687</v>
      </c>
      <c r="B618" s="38" t="s">
        <v>14717</v>
      </c>
      <c r="C618" s="38" t="s">
        <v>14716</v>
      </c>
      <c r="D618" s="34">
        <v>1395</v>
      </c>
      <c r="E618" s="35">
        <v>44687</v>
      </c>
      <c r="F618" s="34">
        <v>1395</v>
      </c>
      <c r="G618" s="36">
        <f>Tabla16[[#This Row],[Importe]]-Tabla16[[#This Row],[Pagado]]</f>
        <v>0</v>
      </c>
      <c r="H618" s="38" t="s">
        <v>10</v>
      </c>
    </row>
    <row r="619" spans="1:8" x14ac:dyDescent="0.25">
      <c r="A619" s="31">
        <v>44687</v>
      </c>
      <c r="B619" s="38" t="s">
        <v>14718</v>
      </c>
      <c r="C619" s="38" t="s">
        <v>698</v>
      </c>
      <c r="D619" s="34">
        <v>4352.8999999999996</v>
      </c>
      <c r="E619" s="35">
        <v>44687</v>
      </c>
      <c r="F619" s="34">
        <v>4352.8999999999996</v>
      </c>
      <c r="G619" s="36">
        <f>Tabla16[[#This Row],[Importe]]-Tabla16[[#This Row],[Pagado]]</f>
        <v>0</v>
      </c>
      <c r="H619" s="38" t="s">
        <v>10</v>
      </c>
    </row>
    <row r="620" spans="1:8" x14ac:dyDescent="0.25">
      <c r="A620" s="31">
        <v>44687</v>
      </c>
      <c r="B620" s="38" t="s">
        <v>14719</v>
      </c>
      <c r="C620" s="38" t="s">
        <v>681</v>
      </c>
      <c r="D620" s="34">
        <v>2.5099999999999998</v>
      </c>
      <c r="E620" s="35">
        <v>44691</v>
      </c>
      <c r="F620" s="34">
        <v>2.5099999999999998</v>
      </c>
      <c r="G620" s="36">
        <f>Tabla16[[#This Row],[Importe]]-Tabla16[[#This Row],[Pagado]]</f>
        <v>0</v>
      </c>
      <c r="H620" s="38" t="s">
        <v>10</v>
      </c>
    </row>
    <row r="621" spans="1:8" x14ac:dyDescent="0.25">
      <c r="A621" s="31">
        <v>44687</v>
      </c>
      <c r="B621" s="38" t="s">
        <v>14720</v>
      </c>
      <c r="C621" s="38" t="s">
        <v>224</v>
      </c>
      <c r="D621" s="34">
        <v>16390.2</v>
      </c>
      <c r="E621" s="35">
        <v>44697</v>
      </c>
      <c r="F621" s="34">
        <v>16390.2</v>
      </c>
      <c r="G621" s="36">
        <f>Tabla16[[#This Row],[Importe]]-Tabla16[[#This Row],[Pagado]]</f>
        <v>0</v>
      </c>
      <c r="H621" s="38" t="s">
        <v>10</v>
      </c>
    </row>
    <row r="622" spans="1:8" x14ac:dyDescent="0.25">
      <c r="A622" s="31">
        <v>44687</v>
      </c>
      <c r="B622" s="38" t="s">
        <v>14721</v>
      </c>
      <c r="C622" s="38" t="s">
        <v>224</v>
      </c>
      <c r="D622" s="34">
        <v>1974.6</v>
      </c>
      <c r="E622" s="35">
        <v>44687</v>
      </c>
      <c r="F622" s="34">
        <v>1974.6</v>
      </c>
      <c r="G622" s="36">
        <f>Tabla16[[#This Row],[Importe]]-Tabla16[[#This Row],[Pagado]]</f>
        <v>0</v>
      </c>
      <c r="H622" s="38" t="s">
        <v>10</v>
      </c>
    </row>
    <row r="623" spans="1:8" x14ac:dyDescent="0.25">
      <c r="A623" s="31">
        <v>44687</v>
      </c>
      <c r="B623" s="38" t="s">
        <v>14722</v>
      </c>
      <c r="C623" s="38" t="s">
        <v>31</v>
      </c>
      <c r="D623" s="34">
        <v>594</v>
      </c>
      <c r="E623" s="35">
        <v>44687</v>
      </c>
      <c r="F623" s="34">
        <v>594</v>
      </c>
      <c r="G623" s="36">
        <f>Tabla16[[#This Row],[Importe]]-Tabla16[[#This Row],[Pagado]]</f>
        <v>0</v>
      </c>
      <c r="H623" s="38" t="s">
        <v>10</v>
      </c>
    </row>
    <row r="624" spans="1:8" x14ac:dyDescent="0.25">
      <c r="A624" s="31">
        <v>44687</v>
      </c>
      <c r="B624" s="38" t="s">
        <v>14723</v>
      </c>
      <c r="C624" s="38" t="s">
        <v>244</v>
      </c>
      <c r="D624" s="34">
        <v>2136.6999999999998</v>
      </c>
      <c r="E624" s="35">
        <v>44687</v>
      </c>
      <c r="F624" s="34">
        <v>2136.6999999999998</v>
      </c>
      <c r="G624" s="36">
        <f>Tabla16[[#This Row],[Importe]]-Tabla16[[#This Row],[Pagado]]</f>
        <v>0</v>
      </c>
      <c r="H624" s="38" t="s">
        <v>10</v>
      </c>
    </row>
    <row r="625" spans="1:8" x14ac:dyDescent="0.25">
      <c r="A625" s="31">
        <v>44687</v>
      </c>
      <c r="B625" s="38" t="s">
        <v>14724</v>
      </c>
      <c r="C625" s="38" t="s">
        <v>27</v>
      </c>
      <c r="D625" s="34">
        <v>1298.8</v>
      </c>
      <c r="E625" s="35">
        <v>44687</v>
      </c>
      <c r="F625" s="34">
        <v>1298.8</v>
      </c>
      <c r="G625" s="36">
        <f>Tabla16[[#This Row],[Importe]]-Tabla16[[#This Row],[Pagado]]</f>
        <v>0</v>
      </c>
      <c r="H625" s="38" t="s">
        <v>10</v>
      </c>
    </row>
    <row r="626" spans="1:8" x14ac:dyDescent="0.25">
      <c r="A626" s="31">
        <v>44687</v>
      </c>
      <c r="B626" s="38" t="s">
        <v>14725</v>
      </c>
      <c r="C626" s="38" t="s">
        <v>246</v>
      </c>
      <c r="D626" s="34">
        <v>65604.800000000003</v>
      </c>
      <c r="E626" s="35">
        <v>44687</v>
      </c>
      <c r="F626" s="34">
        <v>65604.800000000003</v>
      </c>
      <c r="G626" s="36">
        <f>Tabla16[[#This Row],[Importe]]-Tabla16[[#This Row],[Pagado]]</f>
        <v>0</v>
      </c>
      <c r="H626" s="38" t="s">
        <v>10</v>
      </c>
    </row>
    <row r="627" spans="1:8" x14ac:dyDescent="0.25">
      <c r="A627" s="31">
        <v>44687</v>
      </c>
      <c r="B627" s="38" t="s">
        <v>14726</v>
      </c>
      <c r="C627" s="38" t="s">
        <v>284</v>
      </c>
      <c r="D627" s="34">
        <v>11457.6</v>
      </c>
      <c r="E627" s="35">
        <v>44688</v>
      </c>
      <c r="F627" s="34">
        <v>11457.6</v>
      </c>
      <c r="G627" s="36">
        <f>Tabla16[[#This Row],[Importe]]-Tabla16[[#This Row],[Pagado]]</f>
        <v>0</v>
      </c>
      <c r="H627" s="38" t="s">
        <v>10</v>
      </c>
    </row>
    <row r="628" spans="1:8" x14ac:dyDescent="0.25">
      <c r="A628" s="31">
        <v>44687</v>
      </c>
      <c r="B628" s="38" t="s">
        <v>14727</v>
      </c>
      <c r="C628" s="38" t="s">
        <v>857</v>
      </c>
      <c r="D628" s="34">
        <v>896</v>
      </c>
      <c r="E628" s="35">
        <v>44687</v>
      </c>
      <c r="F628" s="34">
        <v>896</v>
      </c>
      <c r="G628" s="36">
        <f>Tabla16[[#This Row],[Importe]]-Tabla16[[#This Row],[Pagado]]</f>
        <v>0</v>
      </c>
      <c r="H628" s="38" t="s">
        <v>10</v>
      </c>
    </row>
    <row r="629" spans="1:8" x14ac:dyDescent="0.25">
      <c r="A629" s="31">
        <v>44687</v>
      </c>
      <c r="B629" s="38" t="s">
        <v>14728</v>
      </c>
      <c r="C629" s="38" t="s">
        <v>857</v>
      </c>
      <c r="D629" s="34">
        <v>1180.4000000000001</v>
      </c>
      <c r="E629" s="35">
        <v>44687</v>
      </c>
      <c r="F629" s="34">
        <v>1180.4000000000001</v>
      </c>
      <c r="G629" s="36">
        <f>Tabla16[[#This Row],[Importe]]-Tabla16[[#This Row],[Pagado]]</f>
        <v>0</v>
      </c>
      <c r="H629" s="38" t="s">
        <v>10</v>
      </c>
    </row>
    <row r="630" spans="1:8" x14ac:dyDescent="0.25">
      <c r="A630" s="31">
        <v>44687</v>
      </c>
      <c r="B630" s="38" t="s">
        <v>14729</v>
      </c>
      <c r="C630" s="38" t="s">
        <v>5345</v>
      </c>
      <c r="D630" s="34">
        <v>3293.4</v>
      </c>
      <c r="E630" s="35">
        <v>44688</v>
      </c>
      <c r="F630" s="34">
        <v>3293.4</v>
      </c>
      <c r="G630" s="36">
        <f>Tabla16[[#This Row],[Importe]]-Tabla16[[#This Row],[Pagado]]</f>
        <v>0</v>
      </c>
      <c r="H630" s="38" t="s">
        <v>10</v>
      </c>
    </row>
    <row r="631" spans="1:8" x14ac:dyDescent="0.25">
      <c r="A631" s="31">
        <v>44687</v>
      </c>
      <c r="B631" s="38" t="s">
        <v>14730</v>
      </c>
      <c r="C631" s="38" t="s">
        <v>107</v>
      </c>
      <c r="D631" s="34">
        <v>13764.7</v>
      </c>
      <c r="E631" s="35">
        <v>44687</v>
      </c>
      <c r="F631" s="34">
        <v>13764.7</v>
      </c>
      <c r="G631" s="36">
        <f>Tabla16[[#This Row],[Importe]]-Tabla16[[#This Row],[Pagado]]</f>
        <v>0</v>
      </c>
      <c r="H631" s="38" t="s">
        <v>10</v>
      </c>
    </row>
    <row r="632" spans="1:8" x14ac:dyDescent="0.25">
      <c r="A632" s="31">
        <v>44687</v>
      </c>
      <c r="B632" s="38" t="s">
        <v>14731</v>
      </c>
      <c r="C632" s="38" t="s">
        <v>200</v>
      </c>
      <c r="D632" s="34">
        <v>1122</v>
      </c>
      <c r="E632" s="35">
        <v>44688</v>
      </c>
      <c r="F632" s="34">
        <v>1122</v>
      </c>
      <c r="G632" s="36">
        <f>Tabla16[[#This Row],[Importe]]-Tabla16[[#This Row],[Pagado]]</f>
        <v>0</v>
      </c>
      <c r="H632" s="38" t="s">
        <v>10</v>
      </c>
    </row>
    <row r="633" spans="1:8" x14ac:dyDescent="0.25">
      <c r="A633" s="31">
        <v>44687</v>
      </c>
      <c r="B633" s="38" t="s">
        <v>14732</v>
      </c>
      <c r="C633" s="38" t="s">
        <v>282</v>
      </c>
      <c r="D633" s="34">
        <v>1122</v>
      </c>
      <c r="E633" s="35">
        <v>44688</v>
      </c>
      <c r="F633" s="34">
        <v>1122</v>
      </c>
      <c r="G633" s="36">
        <f>Tabla16[[#This Row],[Importe]]-Tabla16[[#This Row],[Pagado]]</f>
        <v>0</v>
      </c>
      <c r="H633" s="38" t="s">
        <v>10</v>
      </c>
    </row>
    <row r="634" spans="1:8" x14ac:dyDescent="0.25">
      <c r="A634" s="31">
        <v>44687</v>
      </c>
      <c r="B634" s="38" t="s">
        <v>14733</v>
      </c>
      <c r="C634" s="38" t="s">
        <v>280</v>
      </c>
      <c r="D634" s="34">
        <v>1155</v>
      </c>
      <c r="E634" s="35">
        <v>44688</v>
      </c>
      <c r="F634" s="34">
        <v>1155</v>
      </c>
      <c r="G634" s="36">
        <f>Tabla16[[#This Row],[Importe]]-Tabla16[[#This Row],[Pagado]]</f>
        <v>0</v>
      </c>
      <c r="H634" s="38" t="s">
        <v>10</v>
      </c>
    </row>
    <row r="635" spans="1:8" x14ac:dyDescent="0.25">
      <c r="A635" s="31">
        <v>44687</v>
      </c>
      <c r="B635" s="38" t="s">
        <v>14734</v>
      </c>
      <c r="C635" s="38" t="s">
        <v>214</v>
      </c>
      <c r="D635" s="34">
        <v>729</v>
      </c>
      <c r="E635" s="35">
        <v>44687</v>
      </c>
      <c r="F635" s="34">
        <v>729</v>
      </c>
      <c r="G635" s="36">
        <f>Tabla16[[#This Row],[Importe]]-Tabla16[[#This Row],[Pagado]]</f>
        <v>0</v>
      </c>
      <c r="H635" s="38" t="s">
        <v>10</v>
      </c>
    </row>
    <row r="636" spans="1:8" x14ac:dyDescent="0.25">
      <c r="A636" s="31">
        <v>44687</v>
      </c>
      <c r="B636" s="38" t="s">
        <v>14735</v>
      </c>
      <c r="C636" s="38" t="s">
        <v>142</v>
      </c>
      <c r="D636" s="34">
        <v>13507</v>
      </c>
      <c r="E636" s="35">
        <v>44722</v>
      </c>
      <c r="F636" s="34">
        <v>13507</v>
      </c>
      <c r="G636" s="36">
        <f>Tabla16[[#This Row],[Importe]]-Tabla16[[#This Row],[Pagado]]</f>
        <v>0</v>
      </c>
      <c r="H636" s="38" t="s">
        <v>10</v>
      </c>
    </row>
    <row r="637" spans="1:8" ht="31.5" x14ac:dyDescent="0.25">
      <c r="A637" s="31">
        <v>44687</v>
      </c>
      <c r="B637" s="38" t="s">
        <v>14736</v>
      </c>
      <c r="C637" s="38" t="s">
        <v>275</v>
      </c>
      <c r="D637" s="34">
        <v>87614.8</v>
      </c>
      <c r="E637" s="35" t="s">
        <v>14737</v>
      </c>
      <c r="F637" s="34">
        <f>42094.94+45519.86</f>
        <v>87614.8</v>
      </c>
      <c r="G637" s="36">
        <f>Tabla16[[#This Row],[Importe]]-Tabla16[[#This Row],[Pagado]]</f>
        <v>0</v>
      </c>
      <c r="H637" s="38" t="s">
        <v>10</v>
      </c>
    </row>
    <row r="638" spans="1:8" x14ac:dyDescent="0.25">
      <c r="A638" s="31">
        <v>44687</v>
      </c>
      <c r="B638" s="38" t="s">
        <v>14738</v>
      </c>
      <c r="C638" s="38" t="s">
        <v>10678</v>
      </c>
      <c r="D638" s="34">
        <v>6044.4</v>
      </c>
      <c r="E638" s="35">
        <v>44687</v>
      </c>
      <c r="F638" s="34">
        <v>6044.4</v>
      </c>
      <c r="G638" s="36">
        <f>Tabla16[[#This Row],[Importe]]-Tabla16[[#This Row],[Pagado]]</f>
        <v>0</v>
      </c>
      <c r="H638" s="38" t="s">
        <v>10</v>
      </c>
    </row>
    <row r="639" spans="1:8" x14ac:dyDescent="0.25">
      <c r="A639" s="31">
        <v>44687</v>
      </c>
      <c r="B639" s="38" t="s">
        <v>14739</v>
      </c>
      <c r="C639" s="38" t="s">
        <v>275</v>
      </c>
      <c r="D639" s="34">
        <v>4382.3999999999996</v>
      </c>
      <c r="E639" s="35">
        <v>44701</v>
      </c>
      <c r="F639" s="34">
        <v>4382.3999999999996</v>
      </c>
      <c r="G639" s="36">
        <f>Tabla16[[#This Row],[Importe]]-Tabla16[[#This Row],[Pagado]]</f>
        <v>0</v>
      </c>
      <c r="H639" s="38" t="s">
        <v>10</v>
      </c>
    </row>
    <row r="640" spans="1:8" x14ac:dyDescent="0.25">
      <c r="A640" s="31">
        <v>44687</v>
      </c>
      <c r="B640" s="38" t="s">
        <v>14740</v>
      </c>
      <c r="C640" s="38" t="s">
        <v>4523</v>
      </c>
      <c r="D640" s="34">
        <v>272</v>
      </c>
      <c r="E640" s="35">
        <v>44687</v>
      </c>
      <c r="F640" s="34">
        <v>272</v>
      </c>
      <c r="G640" s="36">
        <f>Tabla16[[#This Row],[Importe]]-Tabla16[[#This Row],[Pagado]]</f>
        <v>0</v>
      </c>
      <c r="H640" s="38" t="s">
        <v>10</v>
      </c>
    </row>
    <row r="641" spans="1:8" x14ac:dyDescent="0.25">
      <c r="A641" s="31">
        <v>44687</v>
      </c>
      <c r="B641" s="38" t="s">
        <v>14741</v>
      </c>
      <c r="C641" s="38" t="s">
        <v>2961</v>
      </c>
      <c r="D641" s="34">
        <v>73668</v>
      </c>
      <c r="E641" s="35">
        <v>44691</v>
      </c>
      <c r="F641" s="34">
        <v>73668</v>
      </c>
      <c r="G641" s="36">
        <f>Tabla16[[#This Row],[Importe]]-Tabla16[[#This Row],[Pagado]]</f>
        <v>0</v>
      </c>
      <c r="H641" s="38" t="s">
        <v>10</v>
      </c>
    </row>
    <row r="642" spans="1:8" x14ac:dyDescent="0.25">
      <c r="A642" s="31">
        <v>44687</v>
      </c>
      <c r="B642" s="38" t="s">
        <v>14742</v>
      </c>
      <c r="C642" s="38" t="s">
        <v>14743</v>
      </c>
      <c r="D642" s="34">
        <v>0</v>
      </c>
      <c r="E642" s="39" t="s">
        <v>189</v>
      </c>
      <c r="F642" s="34">
        <v>0</v>
      </c>
      <c r="G642" s="36">
        <f>Tabla16[[#This Row],[Importe]]-Tabla16[[#This Row],[Pagado]]</f>
        <v>0</v>
      </c>
      <c r="H642" s="38" t="s">
        <v>189</v>
      </c>
    </row>
    <row r="643" spans="1:8" x14ac:dyDescent="0.25">
      <c r="A643" s="31">
        <v>44687</v>
      </c>
      <c r="B643" s="38" t="s">
        <v>14744</v>
      </c>
      <c r="C643" s="38" t="s">
        <v>296</v>
      </c>
      <c r="D643" s="34">
        <v>1897.5</v>
      </c>
      <c r="E643" s="35">
        <v>44687</v>
      </c>
      <c r="F643" s="34">
        <v>1897.5</v>
      </c>
      <c r="G643" s="36">
        <f>Tabla16[[#This Row],[Importe]]-Tabla16[[#This Row],[Pagado]]</f>
        <v>0</v>
      </c>
      <c r="H643" s="38" t="s">
        <v>10</v>
      </c>
    </row>
    <row r="644" spans="1:8" x14ac:dyDescent="0.25">
      <c r="A644" s="31">
        <v>44687</v>
      </c>
      <c r="B644" s="38" t="s">
        <v>14745</v>
      </c>
      <c r="C644" s="38" t="s">
        <v>7313</v>
      </c>
      <c r="D644" s="34">
        <v>3556.8</v>
      </c>
      <c r="E644" s="35">
        <v>44687</v>
      </c>
      <c r="F644" s="34">
        <v>3556.8</v>
      </c>
      <c r="G644" s="36">
        <f>Tabla16[[#This Row],[Importe]]-Tabla16[[#This Row],[Pagado]]</f>
        <v>0</v>
      </c>
      <c r="H644" s="38" t="s">
        <v>10</v>
      </c>
    </row>
    <row r="645" spans="1:8" x14ac:dyDescent="0.25">
      <c r="A645" s="31">
        <v>44687</v>
      </c>
      <c r="B645" s="38" t="s">
        <v>14746</v>
      </c>
      <c r="C645" s="38" t="s">
        <v>31</v>
      </c>
      <c r="D645" s="34">
        <v>119.6</v>
      </c>
      <c r="E645" s="35">
        <v>44687</v>
      </c>
      <c r="F645" s="34">
        <v>119.6</v>
      </c>
      <c r="G645" s="36">
        <f>Tabla16[[#This Row],[Importe]]-Tabla16[[#This Row],[Pagado]]</f>
        <v>0</v>
      </c>
      <c r="H645" s="38" t="s">
        <v>10</v>
      </c>
    </row>
    <row r="646" spans="1:8" x14ac:dyDescent="0.25">
      <c r="A646" s="31">
        <v>44687</v>
      </c>
      <c r="B646" s="38" t="s">
        <v>14747</v>
      </c>
      <c r="C646" s="38" t="s">
        <v>31</v>
      </c>
      <c r="D646" s="34">
        <v>3064.6</v>
      </c>
      <c r="E646" s="35">
        <v>44687</v>
      </c>
      <c r="F646" s="34">
        <v>3064.6</v>
      </c>
      <c r="G646" s="36">
        <f>Tabla16[[#This Row],[Importe]]-Tabla16[[#This Row],[Pagado]]</f>
        <v>0</v>
      </c>
      <c r="H646" s="38" t="s">
        <v>10</v>
      </c>
    </row>
    <row r="647" spans="1:8" x14ac:dyDescent="0.25">
      <c r="A647" s="31">
        <v>44687</v>
      </c>
      <c r="B647" s="38" t="s">
        <v>14748</v>
      </c>
      <c r="C647" s="38" t="s">
        <v>407</v>
      </c>
      <c r="D647" s="34">
        <v>9282.4</v>
      </c>
      <c r="E647" s="35">
        <v>44693</v>
      </c>
      <c r="F647" s="34">
        <v>9282.4</v>
      </c>
      <c r="G647" s="36">
        <f>Tabla16[[#This Row],[Importe]]-Tabla16[[#This Row],[Pagado]]</f>
        <v>0</v>
      </c>
      <c r="H647" s="38" t="s">
        <v>10</v>
      </c>
    </row>
    <row r="648" spans="1:8" x14ac:dyDescent="0.25">
      <c r="A648" s="31">
        <v>44687</v>
      </c>
      <c r="B648" s="38" t="s">
        <v>14749</v>
      </c>
      <c r="C648" s="38" t="s">
        <v>872</v>
      </c>
      <c r="D648" s="34">
        <v>2917.2</v>
      </c>
      <c r="E648" s="35">
        <v>44687</v>
      </c>
      <c r="F648" s="34">
        <v>2917.2</v>
      </c>
      <c r="G648" s="36">
        <f>Tabla16[[#This Row],[Importe]]-Tabla16[[#This Row],[Pagado]]</f>
        <v>0</v>
      </c>
      <c r="H648" s="38" t="s">
        <v>10</v>
      </c>
    </row>
    <row r="649" spans="1:8" x14ac:dyDescent="0.25">
      <c r="A649" s="31">
        <v>44687</v>
      </c>
      <c r="B649" s="38" t="s">
        <v>14750</v>
      </c>
      <c r="C649" s="38" t="s">
        <v>10190</v>
      </c>
      <c r="D649" s="34">
        <v>18229.8</v>
      </c>
      <c r="E649" s="35">
        <v>44688</v>
      </c>
      <c r="F649" s="34">
        <v>18229.8</v>
      </c>
      <c r="G649" s="36">
        <f>Tabla16[[#This Row],[Importe]]-Tabla16[[#This Row],[Pagado]]</f>
        <v>0</v>
      </c>
      <c r="H649" s="38" t="s">
        <v>10</v>
      </c>
    </row>
    <row r="650" spans="1:8" x14ac:dyDescent="0.25">
      <c r="A650" s="31">
        <v>44687</v>
      </c>
      <c r="B650" s="38" t="s">
        <v>14751</v>
      </c>
      <c r="C650" s="38" t="s">
        <v>555</v>
      </c>
      <c r="D650" s="34">
        <v>26022.15</v>
      </c>
      <c r="E650" s="35">
        <v>44688</v>
      </c>
      <c r="F650" s="34">
        <f>25625.6+396.55</f>
        <v>26022.149999999998</v>
      </c>
      <c r="G650" s="36">
        <f>Tabla16[[#This Row],[Importe]]-Tabla16[[#This Row],[Pagado]]</f>
        <v>0</v>
      </c>
      <c r="H650" s="38" t="s">
        <v>10</v>
      </c>
    </row>
    <row r="651" spans="1:8" x14ac:dyDescent="0.25">
      <c r="A651" s="31">
        <v>44687</v>
      </c>
      <c r="B651" s="38" t="s">
        <v>14752</v>
      </c>
      <c r="C651" s="38" t="s">
        <v>5694</v>
      </c>
      <c r="D651" s="34">
        <v>3746.8</v>
      </c>
      <c r="E651" s="35">
        <v>44687</v>
      </c>
      <c r="F651" s="34">
        <v>3746.8</v>
      </c>
      <c r="G651" s="36">
        <f>Tabla16[[#This Row],[Importe]]-Tabla16[[#This Row],[Pagado]]</f>
        <v>0</v>
      </c>
      <c r="H651" s="38" t="s">
        <v>10</v>
      </c>
    </row>
    <row r="652" spans="1:8" x14ac:dyDescent="0.25">
      <c r="A652" s="31">
        <v>44687</v>
      </c>
      <c r="B652" s="38" t="s">
        <v>14753</v>
      </c>
      <c r="C652" s="38" t="s">
        <v>196</v>
      </c>
      <c r="D652" s="34">
        <v>7806</v>
      </c>
      <c r="E652" s="35">
        <v>44694</v>
      </c>
      <c r="F652" s="34">
        <v>7806</v>
      </c>
      <c r="G652" s="36">
        <f>Tabla16[[#This Row],[Importe]]-Tabla16[[#This Row],[Pagado]]</f>
        <v>0</v>
      </c>
      <c r="H652" s="38" t="s">
        <v>10</v>
      </c>
    </row>
    <row r="653" spans="1:8" x14ac:dyDescent="0.25">
      <c r="A653" s="31">
        <v>44687</v>
      </c>
      <c r="B653" s="38" t="s">
        <v>14754</v>
      </c>
      <c r="C653" s="38" t="s">
        <v>7818</v>
      </c>
      <c r="D653" s="34">
        <v>2687.8</v>
      </c>
      <c r="E653" s="35">
        <v>44687</v>
      </c>
      <c r="F653" s="34">
        <v>2687.8</v>
      </c>
      <c r="G653" s="36">
        <f>Tabla16[[#This Row],[Importe]]-Tabla16[[#This Row],[Pagado]]</f>
        <v>0</v>
      </c>
      <c r="H653" s="38" t="s">
        <v>10</v>
      </c>
    </row>
    <row r="654" spans="1:8" x14ac:dyDescent="0.25">
      <c r="A654" s="31">
        <v>44687</v>
      </c>
      <c r="B654" s="38" t="s">
        <v>14755</v>
      </c>
      <c r="C654" s="38" t="s">
        <v>1987</v>
      </c>
      <c r="D654" s="34">
        <v>7072.8</v>
      </c>
      <c r="E654" s="35">
        <v>44687</v>
      </c>
      <c r="F654" s="34">
        <v>7072.8</v>
      </c>
      <c r="G654" s="36">
        <f>Tabla16[[#This Row],[Importe]]-Tabla16[[#This Row],[Pagado]]</f>
        <v>0</v>
      </c>
      <c r="H654" s="38" t="s">
        <v>10</v>
      </c>
    </row>
    <row r="655" spans="1:8" x14ac:dyDescent="0.25">
      <c r="A655" s="31">
        <v>44687</v>
      </c>
      <c r="B655" s="38" t="s">
        <v>14756</v>
      </c>
      <c r="C655" s="38" t="s">
        <v>31</v>
      </c>
      <c r="D655" s="34">
        <v>69</v>
      </c>
      <c r="E655" s="35">
        <v>44688</v>
      </c>
      <c r="F655" s="34">
        <v>69</v>
      </c>
      <c r="G655" s="36">
        <f>Tabla16[[#This Row],[Importe]]-Tabla16[[#This Row],[Pagado]]</f>
        <v>0</v>
      </c>
      <c r="H655" s="38" t="s">
        <v>10</v>
      </c>
    </row>
    <row r="656" spans="1:8" x14ac:dyDescent="0.25">
      <c r="A656" s="31">
        <v>44688</v>
      </c>
      <c r="B656" s="38" t="s">
        <v>14757</v>
      </c>
      <c r="C656" s="38" t="s">
        <v>12</v>
      </c>
      <c r="D656" s="34">
        <v>62087.3</v>
      </c>
      <c r="E656" s="35">
        <v>44688</v>
      </c>
      <c r="F656" s="34">
        <v>62087.3</v>
      </c>
      <c r="G656" s="36">
        <f>Tabla16[[#This Row],[Importe]]-Tabla16[[#This Row],[Pagado]]</f>
        <v>0</v>
      </c>
      <c r="H656" s="38" t="s">
        <v>10</v>
      </c>
    </row>
    <row r="657" spans="1:8" x14ac:dyDescent="0.25">
      <c r="A657" s="31">
        <v>44688</v>
      </c>
      <c r="B657" s="38" t="s">
        <v>14758</v>
      </c>
      <c r="C657" s="38" t="s">
        <v>85</v>
      </c>
      <c r="D657" s="34">
        <v>7126.4</v>
      </c>
      <c r="E657" s="35">
        <v>44688</v>
      </c>
      <c r="F657" s="34">
        <v>7126.4</v>
      </c>
      <c r="G657" s="36">
        <f>Tabla16[[#This Row],[Importe]]-Tabla16[[#This Row],[Pagado]]</f>
        <v>0</v>
      </c>
      <c r="H657" s="38" t="s">
        <v>10</v>
      </c>
    </row>
    <row r="658" spans="1:8" x14ac:dyDescent="0.25">
      <c r="A658" s="31">
        <v>44688</v>
      </c>
      <c r="B658" s="38" t="s">
        <v>14759</v>
      </c>
      <c r="C658" s="38" t="s">
        <v>481</v>
      </c>
      <c r="D658" s="34">
        <v>1820</v>
      </c>
      <c r="E658" s="35">
        <v>44688</v>
      </c>
      <c r="F658" s="34">
        <v>1820</v>
      </c>
      <c r="G658" s="36">
        <f>Tabla16[[#This Row],[Importe]]-Tabla16[[#This Row],[Pagado]]</f>
        <v>0</v>
      </c>
      <c r="H658" s="38" t="s">
        <v>10</v>
      </c>
    </row>
    <row r="659" spans="1:8" ht="31.5" x14ac:dyDescent="0.25">
      <c r="A659" s="31">
        <v>44688</v>
      </c>
      <c r="B659" s="38" t="s">
        <v>14760</v>
      </c>
      <c r="C659" s="38" t="s">
        <v>475</v>
      </c>
      <c r="D659" s="34">
        <v>84500.7</v>
      </c>
      <c r="E659" s="35" t="s">
        <v>14506</v>
      </c>
      <c r="F659" s="34">
        <f>77500+7000.7</f>
        <v>84500.7</v>
      </c>
      <c r="G659" s="36">
        <f>Tabla16[[#This Row],[Importe]]-Tabla16[[#This Row],[Pagado]]</f>
        <v>0</v>
      </c>
      <c r="H659" s="38" t="s">
        <v>10</v>
      </c>
    </row>
    <row r="660" spans="1:8" ht="31.5" x14ac:dyDescent="0.25">
      <c r="A660" s="31">
        <v>44688</v>
      </c>
      <c r="B660" s="38" t="s">
        <v>14761</v>
      </c>
      <c r="C660" s="38" t="s">
        <v>75</v>
      </c>
      <c r="D660" s="34">
        <v>22618.2</v>
      </c>
      <c r="E660" s="35" t="s">
        <v>14619</v>
      </c>
      <c r="F660" s="34">
        <f>10665.6+11952.6</f>
        <v>22618.2</v>
      </c>
      <c r="G660" s="36">
        <f>Tabla16[[#This Row],[Importe]]-Tabla16[[#This Row],[Pagado]]</f>
        <v>0</v>
      </c>
      <c r="H660" s="38" t="s">
        <v>10</v>
      </c>
    </row>
    <row r="661" spans="1:8" x14ac:dyDescent="0.25">
      <c r="A661" s="31">
        <v>44688</v>
      </c>
      <c r="B661" s="38" t="s">
        <v>14762</v>
      </c>
      <c r="C661" s="38" t="s">
        <v>196</v>
      </c>
      <c r="D661" s="34">
        <v>3240</v>
      </c>
      <c r="E661" s="35">
        <v>44694</v>
      </c>
      <c r="F661" s="34">
        <v>3240</v>
      </c>
      <c r="G661" s="36">
        <f>Tabla16[[#This Row],[Importe]]-Tabla16[[#This Row],[Pagado]]</f>
        <v>0</v>
      </c>
      <c r="H661" s="38" t="s">
        <v>10</v>
      </c>
    </row>
    <row r="662" spans="1:8" x14ac:dyDescent="0.25">
      <c r="A662" s="31">
        <v>44688</v>
      </c>
      <c r="B662" s="38" t="s">
        <v>14763</v>
      </c>
      <c r="C662" s="38" t="s">
        <v>473</v>
      </c>
      <c r="D662" s="34">
        <v>4368</v>
      </c>
      <c r="E662" s="35">
        <v>44688</v>
      </c>
      <c r="F662" s="34">
        <v>4368</v>
      </c>
      <c r="G662" s="36">
        <f>Tabla16[[#This Row],[Importe]]-Tabla16[[#This Row],[Pagado]]</f>
        <v>0</v>
      </c>
      <c r="H662" s="38" t="s">
        <v>10</v>
      </c>
    </row>
    <row r="663" spans="1:8" x14ac:dyDescent="0.25">
      <c r="A663" s="31">
        <v>44688</v>
      </c>
      <c r="B663" s="38" t="s">
        <v>14764</v>
      </c>
      <c r="C663" s="38" t="s">
        <v>9</v>
      </c>
      <c r="D663" s="34">
        <v>7728.8</v>
      </c>
      <c r="E663" s="35">
        <v>44688</v>
      </c>
      <c r="F663" s="34">
        <v>7728.8</v>
      </c>
      <c r="G663" s="36">
        <f>Tabla16[[#This Row],[Importe]]-Tabla16[[#This Row],[Pagado]]</f>
        <v>0</v>
      </c>
      <c r="H663" s="38" t="s">
        <v>10</v>
      </c>
    </row>
    <row r="664" spans="1:8" ht="31.5" x14ac:dyDescent="0.25">
      <c r="A664" s="31">
        <v>44688</v>
      </c>
      <c r="B664" s="38" t="s">
        <v>14765</v>
      </c>
      <c r="C664" s="38" t="s">
        <v>22</v>
      </c>
      <c r="D664" s="34">
        <v>76147.199999999997</v>
      </c>
      <c r="E664" s="35" t="s">
        <v>14506</v>
      </c>
      <c r="F664" s="34">
        <f>67940+8207.2</f>
        <v>76147.199999999997</v>
      </c>
      <c r="G664" s="36">
        <f>Tabla16[[#This Row],[Importe]]-Tabla16[[#This Row],[Pagado]]</f>
        <v>0</v>
      </c>
      <c r="H664" s="38" t="s">
        <v>10</v>
      </c>
    </row>
    <row r="665" spans="1:8" x14ac:dyDescent="0.25">
      <c r="A665" s="31">
        <v>44688</v>
      </c>
      <c r="B665" s="38" t="s">
        <v>14766</v>
      </c>
      <c r="C665" s="38" t="s">
        <v>348</v>
      </c>
      <c r="D665" s="34">
        <v>4357.3</v>
      </c>
      <c r="E665" s="35">
        <v>44688</v>
      </c>
      <c r="F665" s="34">
        <v>4357.3</v>
      </c>
      <c r="G665" s="36">
        <f>Tabla16[[#This Row],[Importe]]-Tabla16[[#This Row],[Pagado]]</f>
        <v>0</v>
      </c>
      <c r="H665" s="38" t="s">
        <v>10</v>
      </c>
    </row>
    <row r="666" spans="1:8" ht="31.5" x14ac:dyDescent="0.25">
      <c r="A666" s="31">
        <v>44688</v>
      </c>
      <c r="B666" s="38" t="s">
        <v>14767</v>
      </c>
      <c r="C666" s="41" t="s">
        <v>14768</v>
      </c>
      <c r="D666" s="34">
        <v>0</v>
      </c>
      <c r="E666" s="39" t="s">
        <v>189</v>
      </c>
      <c r="F666" s="34">
        <v>0</v>
      </c>
      <c r="G666" s="36">
        <f>Tabla16[[#This Row],[Importe]]-Tabla16[[#This Row],[Pagado]]</f>
        <v>0</v>
      </c>
      <c r="H666" s="38" t="s">
        <v>189</v>
      </c>
    </row>
    <row r="667" spans="1:8" x14ac:dyDescent="0.25">
      <c r="A667" s="31">
        <v>44688</v>
      </c>
      <c r="B667" s="38" t="s">
        <v>14769</v>
      </c>
      <c r="C667" s="38" t="s">
        <v>484</v>
      </c>
      <c r="D667" s="34">
        <v>2569.6</v>
      </c>
      <c r="E667" s="35">
        <v>44688</v>
      </c>
      <c r="F667" s="34">
        <v>2569.6</v>
      </c>
      <c r="G667" s="36">
        <f>Tabla16[[#This Row],[Importe]]-Tabla16[[#This Row],[Pagado]]</f>
        <v>0</v>
      </c>
      <c r="H667" s="38" t="s">
        <v>10</v>
      </c>
    </row>
    <row r="668" spans="1:8" x14ac:dyDescent="0.25">
      <c r="A668" s="31">
        <v>44688</v>
      </c>
      <c r="B668" s="38" t="s">
        <v>14770</v>
      </c>
      <c r="C668" s="38" t="s">
        <v>31</v>
      </c>
      <c r="D668" s="34">
        <v>972.8</v>
      </c>
      <c r="E668" s="35">
        <v>44688</v>
      </c>
      <c r="F668" s="34">
        <v>972.8</v>
      </c>
      <c r="G668" s="36">
        <f>Tabla16[[#This Row],[Importe]]-Tabla16[[#This Row],[Pagado]]</f>
        <v>0</v>
      </c>
      <c r="H668" s="38" t="s">
        <v>10</v>
      </c>
    </row>
    <row r="669" spans="1:8" x14ac:dyDescent="0.25">
      <c r="A669" s="31">
        <v>44688</v>
      </c>
      <c r="B669" s="38" t="s">
        <v>14771</v>
      </c>
      <c r="C669" s="38" t="s">
        <v>11033</v>
      </c>
      <c r="D669" s="34">
        <v>1292.8</v>
      </c>
      <c r="E669" s="35">
        <v>44688</v>
      </c>
      <c r="F669" s="34">
        <v>1292.8</v>
      </c>
      <c r="G669" s="36">
        <f>Tabla16[[#This Row],[Importe]]-Tabla16[[#This Row],[Pagado]]</f>
        <v>0</v>
      </c>
      <c r="H669" s="38" t="s">
        <v>10</v>
      </c>
    </row>
    <row r="670" spans="1:8" x14ac:dyDescent="0.25">
      <c r="A670" s="31">
        <v>44688</v>
      </c>
      <c r="B670" s="38" t="s">
        <v>14772</v>
      </c>
      <c r="C670" s="38" t="s">
        <v>7495</v>
      </c>
      <c r="D670" s="34">
        <v>0</v>
      </c>
      <c r="E670" s="39" t="s">
        <v>189</v>
      </c>
      <c r="F670" s="34">
        <v>0</v>
      </c>
      <c r="G670" s="36">
        <f>Tabla16[[#This Row],[Importe]]-Tabla16[[#This Row],[Pagado]]</f>
        <v>0</v>
      </c>
      <c r="H670" s="38" t="s">
        <v>189</v>
      </c>
    </row>
    <row r="671" spans="1:8" x14ac:dyDescent="0.25">
      <c r="A671" s="31">
        <v>44688</v>
      </c>
      <c r="B671" s="38" t="s">
        <v>14773</v>
      </c>
      <c r="C671" s="38" t="s">
        <v>357</v>
      </c>
      <c r="D671" s="34">
        <v>669.8</v>
      </c>
      <c r="E671" s="35">
        <v>44688</v>
      </c>
      <c r="F671" s="34">
        <v>669.8</v>
      </c>
      <c r="G671" s="36">
        <f>Tabla16[[#This Row],[Importe]]-Tabla16[[#This Row],[Pagado]]</f>
        <v>0</v>
      </c>
      <c r="H671" s="38" t="s">
        <v>10</v>
      </c>
    </row>
    <row r="672" spans="1:8" x14ac:dyDescent="0.25">
      <c r="A672" s="31">
        <v>44688</v>
      </c>
      <c r="B672" s="38" t="s">
        <v>14774</v>
      </c>
      <c r="C672" s="38" t="s">
        <v>3885</v>
      </c>
      <c r="D672" s="34">
        <v>0</v>
      </c>
      <c r="E672" s="39" t="s">
        <v>189</v>
      </c>
      <c r="F672" s="34">
        <v>0</v>
      </c>
      <c r="G672" s="36">
        <f>Tabla16[[#This Row],[Importe]]-Tabla16[[#This Row],[Pagado]]</f>
        <v>0</v>
      </c>
      <c r="H672" s="38" t="s">
        <v>189</v>
      </c>
    </row>
    <row r="673" spans="1:8" x14ac:dyDescent="0.25">
      <c r="A673" s="31">
        <v>44688</v>
      </c>
      <c r="B673" s="38" t="s">
        <v>14775</v>
      </c>
      <c r="C673" s="38" t="s">
        <v>140</v>
      </c>
      <c r="D673" s="34">
        <v>1062.5999999999999</v>
      </c>
      <c r="E673" s="35">
        <v>44688</v>
      </c>
      <c r="F673" s="34">
        <v>1062.5999999999999</v>
      </c>
      <c r="G673" s="36">
        <f>Tabla16[[#This Row],[Importe]]-Tabla16[[#This Row],[Pagado]]</f>
        <v>0</v>
      </c>
      <c r="H673" s="38" t="s">
        <v>10</v>
      </c>
    </row>
    <row r="674" spans="1:8" x14ac:dyDescent="0.25">
      <c r="A674" s="31">
        <v>44688</v>
      </c>
      <c r="B674" s="38" t="s">
        <v>14776</v>
      </c>
      <c r="C674" s="38" t="s">
        <v>16</v>
      </c>
      <c r="D674" s="34">
        <v>5277.6</v>
      </c>
      <c r="E674" s="35">
        <v>44688</v>
      </c>
      <c r="F674" s="34">
        <v>5277.6</v>
      </c>
      <c r="G674" s="36">
        <f>Tabla16[[#This Row],[Importe]]-Tabla16[[#This Row],[Pagado]]</f>
        <v>0</v>
      </c>
      <c r="H674" s="38" t="s">
        <v>10</v>
      </c>
    </row>
    <row r="675" spans="1:8" x14ac:dyDescent="0.25">
      <c r="A675" s="31">
        <v>44688</v>
      </c>
      <c r="B675" s="38" t="s">
        <v>14777</v>
      </c>
      <c r="C675" s="38" t="s">
        <v>161</v>
      </c>
      <c r="D675" s="34">
        <v>1157</v>
      </c>
      <c r="E675" s="35">
        <v>44688</v>
      </c>
      <c r="F675" s="34">
        <v>1157</v>
      </c>
      <c r="G675" s="36">
        <f>Tabla16[[#This Row],[Importe]]-Tabla16[[#This Row],[Pagado]]</f>
        <v>0</v>
      </c>
      <c r="H675" s="38" t="s">
        <v>10</v>
      </c>
    </row>
    <row r="676" spans="1:8" x14ac:dyDescent="0.25">
      <c r="A676" s="31">
        <v>44688</v>
      </c>
      <c r="B676" s="38" t="s">
        <v>14778</v>
      </c>
      <c r="C676" s="38" t="s">
        <v>27</v>
      </c>
      <c r="D676" s="34">
        <v>4290.3999999999996</v>
      </c>
      <c r="E676" s="35">
        <v>44688</v>
      </c>
      <c r="F676" s="34">
        <v>4290.3999999999996</v>
      </c>
      <c r="G676" s="36">
        <f>Tabla16[[#This Row],[Importe]]-Tabla16[[#This Row],[Pagado]]</f>
        <v>0</v>
      </c>
      <c r="H676" s="38" t="s">
        <v>10</v>
      </c>
    </row>
    <row r="677" spans="1:8" x14ac:dyDescent="0.25">
      <c r="A677" s="31">
        <v>44688</v>
      </c>
      <c r="B677" s="38" t="s">
        <v>14779</v>
      </c>
      <c r="C677" s="38" t="s">
        <v>79</v>
      </c>
      <c r="D677" s="34">
        <v>22525.8</v>
      </c>
      <c r="E677" s="35">
        <v>44688</v>
      </c>
      <c r="F677" s="34">
        <v>22525.8</v>
      </c>
      <c r="G677" s="36">
        <f>Tabla16[[#This Row],[Importe]]-Tabla16[[#This Row],[Pagado]]</f>
        <v>0</v>
      </c>
      <c r="H677" s="38" t="s">
        <v>10</v>
      </c>
    </row>
    <row r="678" spans="1:8" x14ac:dyDescent="0.25">
      <c r="A678" s="31">
        <v>44688</v>
      </c>
      <c r="B678" s="38" t="s">
        <v>14780</v>
      </c>
      <c r="C678" s="38" t="s">
        <v>127</v>
      </c>
      <c r="D678" s="34">
        <v>4895.6000000000004</v>
      </c>
      <c r="E678" s="35">
        <v>44688</v>
      </c>
      <c r="F678" s="34">
        <v>4895.6000000000004</v>
      </c>
      <c r="G678" s="36">
        <f>Tabla16[[#This Row],[Importe]]-Tabla16[[#This Row],[Pagado]]</f>
        <v>0</v>
      </c>
      <c r="H678" s="38" t="s">
        <v>10</v>
      </c>
    </row>
    <row r="679" spans="1:8" x14ac:dyDescent="0.25">
      <c r="A679" s="31">
        <v>44688</v>
      </c>
      <c r="B679" s="38" t="s">
        <v>14781</v>
      </c>
      <c r="C679" s="38" t="s">
        <v>129</v>
      </c>
      <c r="D679" s="34">
        <v>3180.9</v>
      </c>
      <c r="E679" s="35">
        <v>44688</v>
      </c>
      <c r="F679" s="34">
        <v>3180.9</v>
      </c>
      <c r="G679" s="36">
        <f>Tabla16[[#This Row],[Importe]]-Tabla16[[#This Row],[Pagado]]</f>
        <v>0</v>
      </c>
      <c r="H679" s="38" t="s">
        <v>10</v>
      </c>
    </row>
    <row r="680" spans="1:8" x14ac:dyDescent="0.25">
      <c r="A680" s="31">
        <v>44688</v>
      </c>
      <c r="B680" s="38" t="s">
        <v>14782</v>
      </c>
      <c r="C680" s="38" t="s">
        <v>339</v>
      </c>
      <c r="D680" s="34">
        <v>565.79999999999995</v>
      </c>
      <c r="E680" s="35">
        <v>44688</v>
      </c>
      <c r="F680" s="34">
        <v>565.79999999999995</v>
      </c>
      <c r="G680" s="36">
        <f>Tabla16[[#This Row],[Importe]]-Tabla16[[#This Row],[Pagado]]</f>
        <v>0</v>
      </c>
      <c r="H680" s="38" t="s">
        <v>10</v>
      </c>
    </row>
    <row r="681" spans="1:8" x14ac:dyDescent="0.25">
      <c r="A681" s="31">
        <v>44688</v>
      </c>
      <c r="B681" s="38" t="s">
        <v>14783</v>
      </c>
      <c r="C681" s="38" t="s">
        <v>1239</v>
      </c>
      <c r="D681" s="34">
        <v>9904.4</v>
      </c>
      <c r="E681" s="35">
        <v>44688</v>
      </c>
      <c r="F681" s="34">
        <v>9904.4</v>
      </c>
      <c r="G681" s="36">
        <f>Tabla16[[#This Row],[Importe]]-Tabla16[[#This Row],[Pagado]]</f>
        <v>0</v>
      </c>
      <c r="H681" s="38" t="s">
        <v>10</v>
      </c>
    </row>
    <row r="682" spans="1:8" x14ac:dyDescent="0.25">
      <c r="A682" s="31">
        <v>44688</v>
      </c>
      <c r="B682" s="38" t="s">
        <v>14784</v>
      </c>
      <c r="C682" s="38" t="s">
        <v>135</v>
      </c>
      <c r="D682" s="34">
        <v>1262.7</v>
      </c>
      <c r="E682" s="35">
        <v>44688</v>
      </c>
      <c r="F682" s="34">
        <v>1262.7</v>
      </c>
      <c r="G682" s="36">
        <f>Tabla16[[#This Row],[Importe]]-Tabla16[[#This Row],[Pagado]]</f>
        <v>0</v>
      </c>
      <c r="H682" s="38" t="s">
        <v>10</v>
      </c>
    </row>
    <row r="683" spans="1:8" x14ac:dyDescent="0.25">
      <c r="A683" s="31">
        <v>44688</v>
      </c>
      <c r="B683" s="38" t="s">
        <v>14785</v>
      </c>
      <c r="C683" s="38" t="s">
        <v>2563</v>
      </c>
      <c r="D683" s="34">
        <v>4123.3999999999996</v>
      </c>
      <c r="E683" s="35">
        <v>44688</v>
      </c>
      <c r="F683" s="34">
        <v>4123.3999999999996</v>
      </c>
      <c r="G683" s="36">
        <f>Tabla16[[#This Row],[Importe]]-Tabla16[[#This Row],[Pagado]]</f>
        <v>0</v>
      </c>
      <c r="H683" s="38" t="s">
        <v>10</v>
      </c>
    </row>
    <row r="684" spans="1:8" x14ac:dyDescent="0.25">
      <c r="A684" s="31">
        <v>44688</v>
      </c>
      <c r="B684" s="38" t="s">
        <v>14786</v>
      </c>
      <c r="C684" s="38" t="s">
        <v>5043</v>
      </c>
      <c r="D684" s="34">
        <v>8315.7000000000007</v>
      </c>
      <c r="E684" s="35">
        <v>44691</v>
      </c>
      <c r="F684" s="34">
        <v>8315.7000000000007</v>
      </c>
      <c r="G684" s="36">
        <f>Tabla16[[#This Row],[Importe]]-Tabla16[[#This Row],[Pagado]]</f>
        <v>0</v>
      </c>
      <c r="H684" s="38" t="s">
        <v>10</v>
      </c>
    </row>
    <row r="685" spans="1:8" x14ac:dyDescent="0.25">
      <c r="A685" s="31">
        <v>44688</v>
      </c>
      <c r="B685" s="38" t="s">
        <v>14787</v>
      </c>
      <c r="C685" s="38" t="s">
        <v>120</v>
      </c>
      <c r="D685" s="34">
        <v>3805.4</v>
      </c>
      <c r="E685" s="35">
        <v>44690</v>
      </c>
      <c r="F685" s="34">
        <v>3805.4</v>
      </c>
      <c r="G685" s="36">
        <f>Tabla16[[#This Row],[Importe]]-Tabla16[[#This Row],[Pagado]]</f>
        <v>0</v>
      </c>
      <c r="H685" s="38" t="s">
        <v>10</v>
      </c>
    </row>
    <row r="686" spans="1:8" x14ac:dyDescent="0.25">
      <c r="A686" s="31">
        <v>44688</v>
      </c>
      <c r="B686" s="38" t="s">
        <v>14788</v>
      </c>
      <c r="C686" s="38" t="s">
        <v>116</v>
      </c>
      <c r="D686" s="34">
        <v>4070.4</v>
      </c>
      <c r="E686" s="35">
        <v>44691</v>
      </c>
      <c r="F686" s="34">
        <v>4070.4</v>
      </c>
      <c r="G686" s="36">
        <f>Tabla16[[#This Row],[Importe]]-Tabla16[[#This Row],[Pagado]]</f>
        <v>0</v>
      </c>
      <c r="H686" s="38" t="s">
        <v>10</v>
      </c>
    </row>
    <row r="687" spans="1:8" x14ac:dyDescent="0.25">
      <c r="A687" s="31">
        <v>44688</v>
      </c>
      <c r="B687" s="38" t="s">
        <v>14789</v>
      </c>
      <c r="C687" s="38" t="s">
        <v>109</v>
      </c>
      <c r="D687" s="34">
        <v>4615.5</v>
      </c>
      <c r="E687" s="35">
        <v>44690</v>
      </c>
      <c r="F687" s="34">
        <v>4615.5</v>
      </c>
      <c r="G687" s="36">
        <f>Tabla16[[#This Row],[Importe]]-Tabla16[[#This Row],[Pagado]]</f>
        <v>0</v>
      </c>
      <c r="H687" s="38" t="s">
        <v>10</v>
      </c>
    </row>
    <row r="688" spans="1:8" x14ac:dyDescent="0.25">
      <c r="A688" s="31">
        <v>44688</v>
      </c>
      <c r="B688" s="38" t="s">
        <v>14790</v>
      </c>
      <c r="C688" s="38" t="s">
        <v>10586</v>
      </c>
      <c r="D688" s="34">
        <v>4987.8</v>
      </c>
      <c r="E688" s="35">
        <v>44688</v>
      </c>
      <c r="F688" s="34">
        <v>4987.8</v>
      </c>
      <c r="G688" s="36">
        <f>Tabla16[[#This Row],[Importe]]-Tabla16[[#This Row],[Pagado]]</f>
        <v>0</v>
      </c>
      <c r="H688" s="38" t="s">
        <v>10</v>
      </c>
    </row>
    <row r="689" spans="1:8" x14ac:dyDescent="0.25">
      <c r="A689" s="31">
        <v>44688</v>
      </c>
      <c r="B689" s="38" t="s">
        <v>14791</v>
      </c>
      <c r="C689" s="38" t="s">
        <v>89</v>
      </c>
      <c r="D689" s="34">
        <v>13372.2</v>
      </c>
      <c r="E689" s="35">
        <v>44691</v>
      </c>
      <c r="F689" s="34">
        <v>13372.2</v>
      </c>
      <c r="G689" s="36">
        <f>Tabla16[[#This Row],[Importe]]-Tabla16[[#This Row],[Pagado]]</f>
        <v>0</v>
      </c>
      <c r="H689" s="38" t="s">
        <v>10</v>
      </c>
    </row>
    <row r="690" spans="1:8" x14ac:dyDescent="0.25">
      <c r="A690" s="31">
        <v>44688</v>
      </c>
      <c r="B690" s="38" t="s">
        <v>14792</v>
      </c>
      <c r="C690" s="38" t="s">
        <v>97</v>
      </c>
      <c r="D690" s="34">
        <v>13336.5</v>
      </c>
      <c r="E690" s="35">
        <v>44690</v>
      </c>
      <c r="F690" s="34">
        <v>13336.5</v>
      </c>
      <c r="G690" s="36">
        <f>Tabla16[[#This Row],[Importe]]-Tabla16[[#This Row],[Pagado]]</f>
        <v>0</v>
      </c>
      <c r="H690" s="38" t="s">
        <v>10</v>
      </c>
    </row>
    <row r="691" spans="1:8" x14ac:dyDescent="0.25">
      <c r="A691" s="31">
        <v>44688</v>
      </c>
      <c r="B691" s="38" t="s">
        <v>14793</v>
      </c>
      <c r="C691" s="38" t="s">
        <v>111</v>
      </c>
      <c r="D691" s="34">
        <v>9123.9</v>
      </c>
      <c r="E691" s="35">
        <v>44690</v>
      </c>
      <c r="F691" s="34">
        <v>9123.9</v>
      </c>
      <c r="G691" s="36">
        <f>Tabla16[[#This Row],[Importe]]-Tabla16[[#This Row],[Pagado]]</f>
        <v>0</v>
      </c>
      <c r="H691" s="38" t="s">
        <v>10</v>
      </c>
    </row>
    <row r="692" spans="1:8" x14ac:dyDescent="0.25">
      <c r="A692" s="31">
        <v>44688</v>
      </c>
      <c r="B692" s="38" t="s">
        <v>14794</v>
      </c>
      <c r="C692" s="38" t="s">
        <v>333</v>
      </c>
      <c r="D692" s="34">
        <v>1059.5999999999999</v>
      </c>
      <c r="E692" s="35">
        <v>44688</v>
      </c>
      <c r="F692" s="34">
        <v>1059.5999999999999</v>
      </c>
      <c r="G692" s="36">
        <f>Tabla16[[#This Row],[Importe]]-Tabla16[[#This Row],[Pagado]]</f>
        <v>0</v>
      </c>
      <c r="H692" s="38" t="s">
        <v>10</v>
      </c>
    </row>
    <row r="693" spans="1:8" x14ac:dyDescent="0.25">
      <c r="A693" s="31">
        <v>44688</v>
      </c>
      <c r="B693" s="38" t="s">
        <v>14795</v>
      </c>
      <c r="C693" s="38" t="s">
        <v>2151</v>
      </c>
      <c r="D693" s="34">
        <v>34373.5</v>
      </c>
      <c r="E693" s="35">
        <v>44688</v>
      </c>
      <c r="F693" s="34">
        <v>34373.5</v>
      </c>
      <c r="G693" s="36">
        <f>Tabla16[[#This Row],[Importe]]-Tabla16[[#This Row],[Pagado]]</f>
        <v>0</v>
      </c>
      <c r="H693" s="38" t="s">
        <v>10</v>
      </c>
    </row>
    <row r="694" spans="1:8" x14ac:dyDescent="0.25">
      <c r="A694" s="31">
        <v>44688</v>
      </c>
      <c r="B694" s="38" t="s">
        <v>14796</v>
      </c>
      <c r="C694" s="38" t="s">
        <v>18</v>
      </c>
      <c r="D694" s="34">
        <v>1484.8</v>
      </c>
      <c r="E694" s="35">
        <v>44688</v>
      </c>
      <c r="F694" s="34">
        <v>1484.8</v>
      </c>
      <c r="G694" s="36">
        <f>Tabla16[[#This Row],[Importe]]-Tabla16[[#This Row],[Pagado]]</f>
        <v>0</v>
      </c>
      <c r="H694" s="38" t="s">
        <v>10</v>
      </c>
    </row>
    <row r="695" spans="1:8" x14ac:dyDescent="0.25">
      <c r="A695" s="31">
        <v>44688</v>
      </c>
      <c r="B695" s="38" t="s">
        <v>14797</v>
      </c>
      <c r="C695" s="38" t="s">
        <v>105</v>
      </c>
      <c r="D695" s="34">
        <v>12294.2</v>
      </c>
      <c r="E695" s="35">
        <v>44690</v>
      </c>
      <c r="F695" s="34">
        <v>12294.2</v>
      </c>
      <c r="G695" s="36">
        <f>Tabla16[[#This Row],[Importe]]-Tabla16[[#This Row],[Pagado]]</f>
        <v>0</v>
      </c>
      <c r="H695" s="38" t="s">
        <v>10</v>
      </c>
    </row>
    <row r="696" spans="1:8" x14ac:dyDescent="0.25">
      <c r="A696" s="31">
        <v>44688</v>
      </c>
      <c r="B696" s="38" t="s">
        <v>14798</v>
      </c>
      <c r="C696" s="38" t="s">
        <v>918</v>
      </c>
      <c r="D696" s="34">
        <v>378</v>
      </c>
      <c r="E696" s="35">
        <v>44688</v>
      </c>
      <c r="F696" s="34">
        <v>378</v>
      </c>
      <c r="G696" s="36">
        <f>Tabla16[[#This Row],[Importe]]-Tabla16[[#This Row],[Pagado]]</f>
        <v>0</v>
      </c>
      <c r="H696" s="38" t="s">
        <v>10</v>
      </c>
    </row>
    <row r="697" spans="1:8" x14ac:dyDescent="0.25">
      <c r="A697" s="31">
        <v>44688</v>
      </c>
      <c r="B697" s="38" t="s">
        <v>14799</v>
      </c>
      <c r="C697" s="38" t="s">
        <v>93</v>
      </c>
      <c r="D697" s="34">
        <v>16461.900000000001</v>
      </c>
      <c r="E697" s="35">
        <v>44690</v>
      </c>
      <c r="F697" s="34">
        <v>16461.900000000001</v>
      </c>
      <c r="G697" s="36">
        <f>Tabla16[[#This Row],[Importe]]-Tabla16[[#This Row],[Pagado]]</f>
        <v>0</v>
      </c>
      <c r="H697" s="38" t="s">
        <v>10</v>
      </c>
    </row>
    <row r="698" spans="1:8" x14ac:dyDescent="0.25">
      <c r="A698" s="31">
        <v>44688</v>
      </c>
      <c r="B698" s="38" t="s">
        <v>14800</v>
      </c>
      <c r="C698" s="38" t="s">
        <v>576</v>
      </c>
      <c r="D698" s="34">
        <v>4680</v>
      </c>
      <c r="E698" s="35">
        <v>44688</v>
      </c>
      <c r="F698" s="34">
        <v>4680</v>
      </c>
      <c r="G698" s="36">
        <f>Tabla16[[#This Row],[Importe]]-Tabla16[[#This Row],[Pagado]]</f>
        <v>0</v>
      </c>
      <c r="H698" s="38" t="s">
        <v>10</v>
      </c>
    </row>
    <row r="699" spans="1:8" x14ac:dyDescent="0.25">
      <c r="A699" s="31">
        <v>44688</v>
      </c>
      <c r="B699" s="38" t="s">
        <v>14801</v>
      </c>
      <c r="C699" s="38" t="s">
        <v>99</v>
      </c>
      <c r="D699" s="34">
        <v>11747.2</v>
      </c>
      <c r="E699" s="35">
        <v>44690</v>
      </c>
      <c r="F699" s="34">
        <v>11747.2</v>
      </c>
      <c r="G699" s="36">
        <f>Tabla16[[#This Row],[Importe]]-Tabla16[[#This Row],[Pagado]]</f>
        <v>0</v>
      </c>
      <c r="H699" s="38" t="s">
        <v>10</v>
      </c>
    </row>
    <row r="700" spans="1:8" x14ac:dyDescent="0.25">
      <c r="A700" s="31">
        <v>44688</v>
      </c>
      <c r="B700" s="38" t="s">
        <v>14802</v>
      </c>
      <c r="C700" s="38" t="s">
        <v>924</v>
      </c>
      <c r="D700" s="34">
        <v>13387.6</v>
      </c>
      <c r="E700" s="35">
        <v>44688</v>
      </c>
      <c r="F700" s="34">
        <v>13387.6</v>
      </c>
      <c r="G700" s="36">
        <f>Tabla16[[#This Row],[Importe]]-Tabla16[[#This Row],[Pagado]]</f>
        <v>0</v>
      </c>
      <c r="H700" s="38" t="s">
        <v>10</v>
      </c>
    </row>
    <row r="701" spans="1:8" x14ac:dyDescent="0.25">
      <c r="A701" s="31">
        <v>44688</v>
      </c>
      <c r="B701" s="38" t="s">
        <v>14803</v>
      </c>
      <c r="C701" s="38" t="s">
        <v>151</v>
      </c>
      <c r="D701" s="34">
        <v>13628</v>
      </c>
      <c r="E701" s="35">
        <v>44688</v>
      </c>
      <c r="F701" s="34">
        <v>13628</v>
      </c>
      <c r="G701" s="36">
        <f>Tabla16[[#This Row],[Importe]]-Tabla16[[#This Row],[Pagado]]</f>
        <v>0</v>
      </c>
      <c r="H701" s="38" t="s">
        <v>10</v>
      </c>
    </row>
    <row r="702" spans="1:8" x14ac:dyDescent="0.25">
      <c r="A702" s="31">
        <v>44688</v>
      </c>
      <c r="B702" s="38" t="s">
        <v>14804</v>
      </c>
      <c r="C702" s="38" t="s">
        <v>348</v>
      </c>
      <c r="D702" s="34">
        <v>4813.2</v>
      </c>
      <c r="E702" s="35">
        <v>44688</v>
      </c>
      <c r="F702" s="34">
        <v>4813.2</v>
      </c>
      <c r="G702" s="36">
        <f>Tabla16[[#This Row],[Importe]]-Tabla16[[#This Row],[Pagado]]</f>
        <v>0</v>
      </c>
      <c r="H702" s="38" t="s">
        <v>10</v>
      </c>
    </row>
    <row r="703" spans="1:8" x14ac:dyDescent="0.25">
      <c r="A703" s="31">
        <v>44688</v>
      </c>
      <c r="B703" s="38" t="s">
        <v>14805</v>
      </c>
      <c r="C703" s="38" t="s">
        <v>114</v>
      </c>
      <c r="D703" s="34">
        <v>10608</v>
      </c>
      <c r="E703" s="35">
        <v>44691</v>
      </c>
      <c r="F703" s="34">
        <v>10608</v>
      </c>
      <c r="G703" s="36">
        <f>Tabla16[[#This Row],[Importe]]-Tabla16[[#This Row],[Pagado]]</f>
        <v>0</v>
      </c>
      <c r="H703" s="38" t="s">
        <v>10</v>
      </c>
    </row>
    <row r="704" spans="1:8" x14ac:dyDescent="0.25">
      <c r="A704" s="31">
        <v>44688</v>
      </c>
      <c r="B704" s="38" t="s">
        <v>14806</v>
      </c>
      <c r="C704" s="38" t="s">
        <v>99</v>
      </c>
      <c r="D704" s="34">
        <v>1953.3</v>
      </c>
      <c r="E704" s="35">
        <v>44690</v>
      </c>
      <c r="F704" s="34">
        <v>1953.3</v>
      </c>
      <c r="G704" s="36">
        <f>Tabla16[[#This Row],[Importe]]-Tabla16[[#This Row],[Pagado]]</f>
        <v>0</v>
      </c>
      <c r="H704" s="38" t="s">
        <v>10</v>
      </c>
    </row>
    <row r="705" spans="1:8" ht="31.5" x14ac:dyDescent="0.25">
      <c r="A705" s="31">
        <v>44688</v>
      </c>
      <c r="B705" s="38" t="s">
        <v>14807</v>
      </c>
      <c r="C705" s="38" t="s">
        <v>39</v>
      </c>
      <c r="D705" s="34">
        <v>31627.200000000001</v>
      </c>
      <c r="E705" s="35" t="s">
        <v>14808</v>
      </c>
      <c r="F705" s="34">
        <f>14000+17627.2</f>
        <v>31627.200000000001</v>
      </c>
      <c r="G705" s="36">
        <f>Tabla16[[#This Row],[Importe]]-Tabla16[[#This Row],[Pagado]]</f>
        <v>0</v>
      </c>
      <c r="H705" s="38" t="s">
        <v>10</v>
      </c>
    </row>
    <row r="706" spans="1:8" x14ac:dyDescent="0.25">
      <c r="A706" s="31">
        <v>44688</v>
      </c>
      <c r="B706" s="38" t="s">
        <v>14809</v>
      </c>
      <c r="C706" s="38" t="s">
        <v>64</v>
      </c>
      <c r="D706" s="34">
        <v>13920.3</v>
      </c>
      <c r="E706" s="35">
        <v>44690</v>
      </c>
      <c r="F706" s="34">
        <v>13920.3</v>
      </c>
      <c r="G706" s="36">
        <f>Tabla16[[#This Row],[Importe]]-Tabla16[[#This Row],[Pagado]]</f>
        <v>0</v>
      </c>
      <c r="H706" s="38" t="s">
        <v>10</v>
      </c>
    </row>
    <row r="707" spans="1:8" x14ac:dyDescent="0.25">
      <c r="A707" s="31">
        <v>44688</v>
      </c>
      <c r="B707" s="38" t="s">
        <v>14810</v>
      </c>
      <c r="C707" s="38" t="s">
        <v>60</v>
      </c>
      <c r="D707" s="34">
        <v>8848.7999999999993</v>
      </c>
      <c r="E707" s="35">
        <v>44690</v>
      </c>
      <c r="F707" s="34">
        <v>8848.7999999999993</v>
      </c>
      <c r="G707" s="36">
        <f>Tabla16[[#This Row],[Importe]]-Tabla16[[#This Row],[Pagado]]</f>
        <v>0</v>
      </c>
      <c r="H707" s="38" t="s">
        <v>10</v>
      </c>
    </row>
    <row r="708" spans="1:8" x14ac:dyDescent="0.25">
      <c r="A708" s="31">
        <v>44688</v>
      </c>
      <c r="B708" s="38" t="s">
        <v>14811</v>
      </c>
      <c r="C708" s="38" t="s">
        <v>326</v>
      </c>
      <c r="D708" s="34">
        <v>14265</v>
      </c>
      <c r="E708" s="35">
        <v>44690</v>
      </c>
      <c r="F708" s="34">
        <v>14265</v>
      </c>
      <c r="G708" s="36">
        <f>Tabla16[[#This Row],[Importe]]-Tabla16[[#This Row],[Pagado]]</f>
        <v>0</v>
      </c>
      <c r="H708" s="38" t="s">
        <v>10</v>
      </c>
    </row>
    <row r="709" spans="1:8" x14ac:dyDescent="0.25">
      <c r="A709" s="31">
        <v>44688</v>
      </c>
      <c r="B709" s="38" t="s">
        <v>14812</v>
      </c>
      <c r="C709" s="38" t="s">
        <v>97</v>
      </c>
      <c r="D709" s="34">
        <v>5326.5</v>
      </c>
      <c r="E709" s="35">
        <v>44688</v>
      </c>
      <c r="F709" s="34">
        <v>5326.5</v>
      </c>
      <c r="G709" s="36">
        <f>Tabla16[[#This Row],[Importe]]-Tabla16[[#This Row],[Pagado]]</f>
        <v>0</v>
      </c>
      <c r="H709" s="38" t="s">
        <v>10</v>
      </c>
    </row>
    <row r="710" spans="1:8" x14ac:dyDescent="0.25">
      <c r="A710" s="31">
        <v>44688</v>
      </c>
      <c r="B710" s="38" t="s">
        <v>14813</v>
      </c>
      <c r="C710" s="38" t="s">
        <v>12202</v>
      </c>
      <c r="D710" s="34">
        <v>12240</v>
      </c>
      <c r="E710" s="35">
        <v>44688</v>
      </c>
      <c r="F710" s="34">
        <f>5760+6480</f>
        <v>12240</v>
      </c>
      <c r="G710" s="36">
        <f>Tabla16[[#This Row],[Importe]]-Tabla16[[#This Row],[Pagado]]</f>
        <v>0</v>
      </c>
      <c r="H710" s="38" t="s">
        <v>10</v>
      </c>
    </row>
    <row r="711" spans="1:8" x14ac:dyDescent="0.25">
      <c r="A711" s="31">
        <v>44688</v>
      </c>
      <c r="B711" s="38" t="s">
        <v>14814</v>
      </c>
      <c r="C711" s="38" t="s">
        <v>191</v>
      </c>
      <c r="D711" s="34">
        <v>3864</v>
      </c>
      <c r="E711" s="35">
        <v>44688</v>
      </c>
      <c r="F711" s="34">
        <v>3864</v>
      </c>
      <c r="G711" s="36">
        <f>Tabla16[[#This Row],[Importe]]-Tabla16[[#This Row],[Pagado]]</f>
        <v>0</v>
      </c>
      <c r="H711" s="38" t="s">
        <v>10</v>
      </c>
    </row>
    <row r="712" spans="1:8" x14ac:dyDescent="0.25">
      <c r="A712" s="31">
        <v>44688</v>
      </c>
      <c r="B712" s="38" t="s">
        <v>14815</v>
      </c>
      <c r="C712" s="38" t="s">
        <v>804</v>
      </c>
      <c r="D712" s="34">
        <v>16892.5</v>
      </c>
      <c r="E712" s="35">
        <v>44688</v>
      </c>
      <c r="F712" s="34">
        <v>16892.5</v>
      </c>
      <c r="G712" s="36">
        <f>Tabla16[[#This Row],[Importe]]-Tabla16[[#This Row],[Pagado]]</f>
        <v>0</v>
      </c>
      <c r="H712" s="38" t="s">
        <v>10</v>
      </c>
    </row>
    <row r="713" spans="1:8" x14ac:dyDescent="0.25">
      <c r="A713" s="31">
        <v>44688</v>
      </c>
      <c r="B713" s="38" t="s">
        <v>14816</v>
      </c>
      <c r="C713" s="38" t="s">
        <v>804</v>
      </c>
      <c r="D713" s="34">
        <v>1196.8</v>
      </c>
      <c r="E713" s="35">
        <v>44688</v>
      </c>
      <c r="F713" s="34">
        <v>1196.8</v>
      </c>
      <c r="G713" s="36">
        <f>Tabla16[[#This Row],[Importe]]-Tabla16[[#This Row],[Pagado]]</f>
        <v>0</v>
      </c>
      <c r="H713" s="38" t="s">
        <v>10</v>
      </c>
    </row>
    <row r="714" spans="1:8" x14ac:dyDescent="0.25">
      <c r="A714" s="31">
        <v>44688</v>
      </c>
      <c r="B714" s="38" t="s">
        <v>14817</v>
      </c>
      <c r="C714" s="38" t="s">
        <v>29</v>
      </c>
      <c r="D714" s="34">
        <v>9273</v>
      </c>
      <c r="E714" s="35">
        <v>44688</v>
      </c>
      <c r="F714" s="34">
        <v>9273</v>
      </c>
      <c r="G714" s="36">
        <f>Tabla16[[#This Row],[Importe]]-Tabla16[[#This Row],[Pagado]]</f>
        <v>0</v>
      </c>
      <c r="H714" s="38" t="s">
        <v>10</v>
      </c>
    </row>
    <row r="715" spans="1:8" x14ac:dyDescent="0.25">
      <c r="A715" s="31">
        <v>44688</v>
      </c>
      <c r="B715" s="38" t="s">
        <v>14818</v>
      </c>
      <c r="C715" s="38" t="s">
        <v>3971</v>
      </c>
      <c r="D715" s="34">
        <v>1365</v>
      </c>
      <c r="E715" s="35">
        <v>44688</v>
      </c>
      <c r="F715" s="34">
        <v>1365</v>
      </c>
      <c r="G715" s="36">
        <f>Tabla16[[#This Row],[Importe]]-Tabla16[[#This Row],[Pagado]]</f>
        <v>0</v>
      </c>
      <c r="H715" s="38" t="s">
        <v>10</v>
      </c>
    </row>
    <row r="716" spans="1:8" x14ac:dyDescent="0.25">
      <c r="A716" s="31">
        <v>44688</v>
      </c>
      <c r="B716" s="38" t="s">
        <v>14819</v>
      </c>
      <c r="C716" s="38" t="s">
        <v>804</v>
      </c>
      <c r="D716" s="34">
        <v>268</v>
      </c>
      <c r="E716" s="35">
        <v>44688</v>
      </c>
      <c r="F716" s="34">
        <v>268</v>
      </c>
      <c r="G716" s="36">
        <f>Tabla16[[#This Row],[Importe]]-Tabla16[[#This Row],[Pagado]]</f>
        <v>0</v>
      </c>
      <c r="H716" s="38" t="s">
        <v>10</v>
      </c>
    </row>
    <row r="717" spans="1:8" x14ac:dyDescent="0.25">
      <c r="A717" s="31">
        <v>44688</v>
      </c>
      <c r="B717" s="38" t="s">
        <v>14820</v>
      </c>
      <c r="C717" s="38" t="s">
        <v>31</v>
      </c>
      <c r="D717" s="34">
        <v>3800</v>
      </c>
      <c r="E717" s="35">
        <v>44688</v>
      </c>
      <c r="F717" s="34">
        <v>3800</v>
      </c>
      <c r="G717" s="36">
        <f>Tabla16[[#This Row],[Importe]]-Tabla16[[#This Row],[Pagado]]</f>
        <v>0</v>
      </c>
      <c r="H717" s="38" t="s">
        <v>10</v>
      </c>
    </row>
    <row r="718" spans="1:8" x14ac:dyDescent="0.25">
      <c r="A718" s="31">
        <v>44688</v>
      </c>
      <c r="B718" s="38" t="s">
        <v>14821</v>
      </c>
      <c r="C718" s="38" t="s">
        <v>45</v>
      </c>
      <c r="D718" s="34">
        <v>14417.4</v>
      </c>
      <c r="E718" s="35">
        <v>44688</v>
      </c>
      <c r="F718" s="34">
        <v>14417.4</v>
      </c>
      <c r="G718" s="36">
        <f>Tabla16[[#This Row],[Importe]]-Tabla16[[#This Row],[Pagado]]</f>
        <v>0</v>
      </c>
      <c r="H718" s="38" t="s">
        <v>10</v>
      </c>
    </row>
    <row r="719" spans="1:8" x14ac:dyDescent="0.25">
      <c r="A719" s="31">
        <v>44688</v>
      </c>
      <c r="B719" s="38" t="s">
        <v>14822</v>
      </c>
      <c r="C719" s="38" t="s">
        <v>414</v>
      </c>
      <c r="D719" s="34">
        <v>19929</v>
      </c>
      <c r="E719" s="35">
        <v>44690</v>
      </c>
      <c r="F719" s="34">
        <v>19929</v>
      </c>
      <c r="G719" s="36">
        <f>Tabla16[[#This Row],[Importe]]-Tabla16[[#This Row],[Pagado]]</f>
        <v>0</v>
      </c>
      <c r="H719" s="38" t="s">
        <v>10</v>
      </c>
    </row>
    <row r="720" spans="1:8" x14ac:dyDescent="0.25">
      <c r="A720" s="31">
        <v>44688</v>
      </c>
      <c r="B720" s="38" t="s">
        <v>14823</v>
      </c>
      <c r="C720" s="38" t="s">
        <v>179</v>
      </c>
      <c r="D720" s="34">
        <v>660</v>
      </c>
      <c r="E720" s="35">
        <v>44688</v>
      </c>
      <c r="F720" s="34">
        <v>660</v>
      </c>
      <c r="G720" s="36">
        <f>Tabla16[[#This Row],[Importe]]-Tabla16[[#This Row],[Pagado]]</f>
        <v>0</v>
      </c>
      <c r="H720" s="38" t="s">
        <v>10</v>
      </c>
    </row>
    <row r="721" spans="1:8" x14ac:dyDescent="0.25">
      <c r="A721" s="31">
        <v>44688</v>
      </c>
      <c r="B721" s="38" t="s">
        <v>14824</v>
      </c>
      <c r="C721" s="38" t="s">
        <v>263</v>
      </c>
      <c r="D721" s="34">
        <v>177085</v>
      </c>
      <c r="E721" s="35">
        <v>44691</v>
      </c>
      <c r="F721" s="34">
        <v>177085</v>
      </c>
      <c r="G721" s="36">
        <f>Tabla16[[#This Row],[Importe]]-Tabla16[[#This Row],[Pagado]]</f>
        <v>0</v>
      </c>
      <c r="H721" s="38" t="s">
        <v>10</v>
      </c>
    </row>
    <row r="722" spans="1:8" x14ac:dyDescent="0.25">
      <c r="A722" s="31">
        <v>44688</v>
      </c>
      <c r="B722" s="38" t="s">
        <v>14825</v>
      </c>
      <c r="C722" s="38" t="s">
        <v>216</v>
      </c>
      <c r="D722" s="34">
        <v>1854.6</v>
      </c>
      <c r="E722" s="35">
        <v>44688</v>
      </c>
      <c r="F722" s="34">
        <v>1854.6</v>
      </c>
      <c r="G722" s="36">
        <f>Tabla16[[#This Row],[Importe]]-Tabla16[[#This Row],[Pagado]]</f>
        <v>0</v>
      </c>
      <c r="H722" s="38" t="s">
        <v>10</v>
      </c>
    </row>
    <row r="723" spans="1:8" x14ac:dyDescent="0.25">
      <c r="A723" s="31">
        <v>44688</v>
      </c>
      <c r="B723" s="38" t="s">
        <v>14826</v>
      </c>
      <c r="C723" s="38" t="s">
        <v>24</v>
      </c>
      <c r="D723" s="34">
        <v>3563.2</v>
      </c>
      <c r="E723" s="35">
        <v>44688</v>
      </c>
      <c r="F723" s="34">
        <v>3563.2</v>
      </c>
      <c r="G723" s="36">
        <f>Tabla16[[#This Row],[Importe]]-Tabla16[[#This Row],[Pagado]]</f>
        <v>0</v>
      </c>
      <c r="H723" s="38" t="s">
        <v>10</v>
      </c>
    </row>
    <row r="724" spans="1:8" x14ac:dyDescent="0.25">
      <c r="A724" s="31">
        <v>44688</v>
      </c>
      <c r="B724" s="38" t="s">
        <v>14827</v>
      </c>
      <c r="C724" s="38" t="s">
        <v>62</v>
      </c>
      <c r="D724" s="34">
        <v>4523.3999999999996</v>
      </c>
      <c r="E724" s="35">
        <v>44688</v>
      </c>
      <c r="F724" s="34">
        <v>4523.3999999999996</v>
      </c>
      <c r="G724" s="36">
        <f>Tabla16[[#This Row],[Importe]]-Tabla16[[#This Row],[Pagado]]</f>
        <v>0</v>
      </c>
      <c r="H724" s="38" t="s">
        <v>10</v>
      </c>
    </row>
    <row r="725" spans="1:8" x14ac:dyDescent="0.25">
      <c r="A725" s="31">
        <v>44688</v>
      </c>
      <c r="B725" s="38" t="s">
        <v>14828</v>
      </c>
      <c r="C725" s="38" t="s">
        <v>67</v>
      </c>
      <c r="D725" s="34">
        <v>2413</v>
      </c>
      <c r="E725" s="35">
        <v>44688</v>
      </c>
      <c r="F725" s="34">
        <v>2413</v>
      </c>
      <c r="G725" s="36">
        <f>Tabla16[[#This Row],[Importe]]-Tabla16[[#This Row],[Pagado]]</f>
        <v>0</v>
      </c>
      <c r="H725" s="38" t="s">
        <v>10</v>
      </c>
    </row>
    <row r="726" spans="1:8" x14ac:dyDescent="0.25">
      <c r="A726" s="31">
        <v>44688</v>
      </c>
      <c r="B726" s="38" t="s">
        <v>14829</v>
      </c>
      <c r="C726" s="38" t="s">
        <v>230</v>
      </c>
      <c r="D726" s="34">
        <v>4831.2</v>
      </c>
      <c r="E726" s="35">
        <v>44688</v>
      </c>
      <c r="F726" s="34">
        <v>4831.2</v>
      </c>
      <c r="G726" s="36">
        <f>Tabla16[[#This Row],[Importe]]-Tabla16[[#This Row],[Pagado]]</f>
        <v>0</v>
      </c>
      <c r="H726" s="38" t="s">
        <v>10</v>
      </c>
    </row>
    <row r="727" spans="1:8" x14ac:dyDescent="0.25">
      <c r="A727" s="31">
        <v>44688</v>
      </c>
      <c r="B727" s="38" t="s">
        <v>14830</v>
      </c>
      <c r="C727" s="38" t="s">
        <v>4136</v>
      </c>
      <c r="D727" s="34">
        <v>1965.4</v>
      </c>
      <c r="E727" s="35">
        <v>44688</v>
      </c>
      <c r="F727" s="34">
        <v>1965.4</v>
      </c>
      <c r="G727" s="36">
        <f>Tabla16[[#This Row],[Importe]]-Tabla16[[#This Row],[Pagado]]</f>
        <v>0</v>
      </c>
      <c r="H727" s="38" t="s">
        <v>10</v>
      </c>
    </row>
    <row r="728" spans="1:8" x14ac:dyDescent="0.25">
      <c r="A728" s="31">
        <v>44688</v>
      </c>
      <c r="B728" s="38" t="s">
        <v>14831</v>
      </c>
      <c r="C728" s="38" t="s">
        <v>12</v>
      </c>
      <c r="D728" s="34">
        <v>6297.4</v>
      </c>
      <c r="E728" s="35">
        <v>44690</v>
      </c>
      <c r="F728" s="34">
        <v>6297.4</v>
      </c>
      <c r="G728" s="36">
        <f>Tabla16[[#This Row],[Importe]]-Tabla16[[#This Row],[Pagado]]</f>
        <v>0</v>
      </c>
      <c r="H728" s="38" t="s">
        <v>10</v>
      </c>
    </row>
    <row r="729" spans="1:8" x14ac:dyDescent="0.25">
      <c r="A729" s="31">
        <v>44688</v>
      </c>
      <c r="B729" s="38" t="s">
        <v>14832</v>
      </c>
      <c r="C729" s="38" t="s">
        <v>53</v>
      </c>
      <c r="D729" s="34">
        <v>2622</v>
      </c>
      <c r="E729" s="35">
        <v>44688</v>
      </c>
      <c r="F729" s="34">
        <v>2622</v>
      </c>
      <c r="G729" s="36">
        <f>Tabla16[[#This Row],[Importe]]-Tabla16[[#This Row],[Pagado]]</f>
        <v>0</v>
      </c>
      <c r="H729" s="38" t="s">
        <v>10</v>
      </c>
    </row>
    <row r="730" spans="1:8" x14ac:dyDescent="0.25">
      <c r="A730" s="31">
        <v>44688</v>
      </c>
      <c r="B730" s="38" t="s">
        <v>14833</v>
      </c>
      <c r="C730" s="38" t="s">
        <v>14375</v>
      </c>
      <c r="D730" s="34">
        <v>0</v>
      </c>
      <c r="E730" s="39" t="s">
        <v>189</v>
      </c>
      <c r="F730" s="34">
        <v>0</v>
      </c>
      <c r="G730" s="36">
        <f>Tabla16[[#This Row],[Importe]]-Tabla16[[#This Row],[Pagado]]</f>
        <v>0</v>
      </c>
      <c r="H730" s="38" t="s">
        <v>189</v>
      </c>
    </row>
    <row r="731" spans="1:8" x14ac:dyDescent="0.25">
      <c r="A731" s="31">
        <v>44688</v>
      </c>
      <c r="B731" s="38" t="s">
        <v>14834</v>
      </c>
      <c r="C731" s="38" t="s">
        <v>31</v>
      </c>
      <c r="D731" s="34">
        <v>1143.4000000000001</v>
      </c>
      <c r="E731" s="35">
        <v>44688</v>
      </c>
      <c r="F731" s="34">
        <v>1143.4000000000001</v>
      </c>
      <c r="G731" s="36">
        <f>Tabla16[[#This Row],[Importe]]-Tabla16[[#This Row],[Pagado]]</f>
        <v>0</v>
      </c>
      <c r="H731" s="38" t="s">
        <v>10</v>
      </c>
    </row>
    <row r="732" spans="1:8" x14ac:dyDescent="0.25">
      <c r="A732" s="31">
        <v>44688</v>
      </c>
      <c r="B732" s="38" t="s">
        <v>14835</v>
      </c>
      <c r="C732" s="38" t="s">
        <v>31</v>
      </c>
      <c r="D732" s="34">
        <v>1108.8</v>
      </c>
      <c r="E732" s="35">
        <v>44688</v>
      </c>
      <c r="F732" s="34">
        <v>1108.8</v>
      </c>
      <c r="G732" s="36">
        <f>Tabla16[[#This Row],[Importe]]-Tabla16[[#This Row],[Pagado]]</f>
        <v>0</v>
      </c>
      <c r="H732" s="38" t="s">
        <v>10</v>
      </c>
    </row>
    <row r="733" spans="1:8" x14ac:dyDescent="0.25">
      <c r="A733" s="31">
        <v>44688</v>
      </c>
      <c r="B733" s="38" t="s">
        <v>14836</v>
      </c>
      <c r="C733" s="38" t="s">
        <v>289</v>
      </c>
      <c r="D733" s="34">
        <v>9540.7999999999993</v>
      </c>
      <c r="E733" s="35">
        <v>44688</v>
      </c>
      <c r="F733" s="34">
        <v>9540.7999999999993</v>
      </c>
      <c r="G733" s="36">
        <f>Tabla16[[#This Row],[Importe]]-Tabla16[[#This Row],[Pagado]]</f>
        <v>0</v>
      </c>
      <c r="H733" s="38" t="s">
        <v>10</v>
      </c>
    </row>
    <row r="734" spans="1:8" x14ac:dyDescent="0.25">
      <c r="A734" s="31">
        <v>44688</v>
      </c>
      <c r="B734" s="38" t="s">
        <v>14837</v>
      </c>
      <c r="C734" s="38" t="s">
        <v>380</v>
      </c>
      <c r="D734" s="34">
        <v>13402.8</v>
      </c>
      <c r="E734" s="35">
        <v>44688</v>
      </c>
      <c r="F734" s="34">
        <v>13402.8</v>
      </c>
      <c r="G734" s="36">
        <f>Tabla16[[#This Row],[Importe]]-Tabla16[[#This Row],[Pagado]]</f>
        <v>0</v>
      </c>
      <c r="H734" s="38" t="s">
        <v>10</v>
      </c>
    </row>
    <row r="735" spans="1:8" x14ac:dyDescent="0.25">
      <c r="A735" s="31">
        <v>44688</v>
      </c>
      <c r="B735" s="38" t="s">
        <v>14838</v>
      </c>
      <c r="C735" s="38" t="s">
        <v>555</v>
      </c>
      <c r="D735" s="34">
        <v>31345.8</v>
      </c>
      <c r="E735" s="35">
        <v>44688</v>
      </c>
      <c r="F735" s="34">
        <v>31345.8</v>
      </c>
      <c r="G735" s="36">
        <f>Tabla16[[#This Row],[Importe]]-Tabla16[[#This Row],[Pagado]]</f>
        <v>0</v>
      </c>
      <c r="H735" s="38" t="s">
        <v>10</v>
      </c>
    </row>
    <row r="736" spans="1:8" x14ac:dyDescent="0.25">
      <c r="A736" s="31">
        <v>44688</v>
      </c>
      <c r="B736" s="38" t="s">
        <v>14839</v>
      </c>
      <c r="C736" s="38" t="s">
        <v>450</v>
      </c>
      <c r="D736" s="34">
        <v>5728</v>
      </c>
      <c r="E736" s="35">
        <v>44688</v>
      </c>
      <c r="F736" s="34">
        <v>5728</v>
      </c>
      <c r="G736" s="36">
        <f>Tabla16[[#This Row],[Importe]]-Tabla16[[#This Row],[Pagado]]</f>
        <v>0</v>
      </c>
      <c r="H736" s="38" t="s">
        <v>10</v>
      </c>
    </row>
    <row r="737" spans="1:8" x14ac:dyDescent="0.25">
      <c r="A737" s="31">
        <v>44688</v>
      </c>
      <c r="B737" s="38" t="s">
        <v>14840</v>
      </c>
      <c r="C737" s="38" t="s">
        <v>56</v>
      </c>
      <c r="D737" s="34">
        <v>7769.4</v>
      </c>
      <c r="E737" s="35">
        <v>44688</v>
      </c>
      <c r="F737" s="34">
        <v>7769.4</v>
      </c>
      <c r="G737" s="36">
        <f>Tabla16[[#This Row],[Importe]]-Tabla16[[#This Row],[Pagado]]</f>
        <v>0</v>
      </c>
      <c r="H737" s="38" t="s">
        <v>10</v>
      </c>
    </row>
    <row r="738" spans="1:8" x14ac:dyDescent="0.25">
      <c r="A738" s="31">
        <v>44688</v>
      </c>
      <c r="B738" s="38" t="s">
        <v>14841</v>
      </c>
      <c r="C738" s="38" t="s">
        <v>56</v>
      </c>
      <c r="D738" s="34">
        <v>26</v>
      </c>
      <c r="E738" s="35">
        <v>44688</v>
      </c>
      <c r="F738" s="34">
        <v>26</v>
      </c>
      <c r="G738" s="36">
        <f>Tabla16[[#This Row],[Importe]]-Tabla16[[#This Row],[Pagado]]</f>
        <v>0</v>
      </c>
      <c r="H738" s="38" t="s">
        <v>10</v>
      </c>
    </row>
    <row r="739" spans="1:8" x14ac:dyDescent="0.25">
      <c r="A739" s="31">
        <v>44688</v>
      </c>
      <c r="B739" s="38" t="s">
        <v>14842</v>
      </c>
      <c r="C739" s="38" t="s">
        <v>198</v>
      </c>
      <c r="D739" s="34">
        <v>3930.8</v>
      </c>
      <c r="E739" s="35">
        <v>44688</v>
      </c>
      <c r="F739" s="34">
        <v>3930.8</v>
      </c>
      <c r="G739" s="36">
        <f>Tabla16[[#This Row],[Importe]]-Tabla16[[#This Row],[Pagado]]</f>
        <v>0</v>
      </c>
      <c r="H739" s="38" t="s">
        <v>10</v>
      </c>
    </row>
    <row r="740" spans="1:8" x14ac:dyDescent="0.25">
      <c r="A740" s="31">
        <v>44688</v>
      </c>
      <c r="B740" s="38" t="s">
        <v>14843</v>
      </c>
      <c r="C740" s="38" t="s">
        <v>31</v>
      </c>
      <c r="D740" s="34">
        <v>18476.8</v>
      </c>
      <c r="E740" s="35">
        <v>44688</v>
      </c>
      <c r="F740" s="34">
        <v>18476.8</v>
      </c>
      <c r="G740" s="36">
        <f>Tabla16[[#This Row],[Importe]]-Tabla16[[#This Row],[Pagado]]</f>
        <v>0</v>
      </c>
      <c r="H740" s="38" t="s">
        <v>10</v>
      </c>
    </row>
    <row r="741" spans="1:8" x14ac:dyDescent="0.25">
      <c r="A741" s="31">
        <v>44688</v>
      </c>
      <c r="B741" s="38" t="s">
        <v>14844</v>
      </c>
      <c r="C741" s="38" t="s">
        <v>58</v>
      </c>
      <c r="D741" s="34">
        <v>4918.2</v>
      </c>
      <c r="E741" s="35">
        <v>44688</v>
      </c>
      <c r="F741" s="34">
        <v>4918.2</v>
      </c>
      <c r="G741" s="36">
        <f>Tabla16[[#This Row],[Importe]]-Tabla16[[#This Row],[Pagado]]</f>
        <v>0</v>
      </c>
      <c r="H741" s="38" t="s">
        <v>10</v>
      </c>
    </row>
    <row r="742" spans="1:8" x14ac:dyDescent="0.25">
      <c r="A742" s="31">
        <v>44688</v>
      </c>
      <c r="B742" s="38" t="s">
        <v>14845</v>
      </c>
      <c r="C742" s="38" t="s">
        <v>58</v>
      </c>
      <c r="D742" s="34">
        <v>647.70000000000005</v>
      </c>
      <c r="E742" s="35">
        <v>44688</v>
      </c>
      <c r="F742" s="34">
        <v>647.70000000000005</v>
      </c>
      <c r="G742" s="36">
        <f>Tabla16[[#This Row],[Importe]]-Tabla16[[#This Row],[Pagado]]</f>
        <v>0</v>
      </c>
      <c r="H742" s="38" t="s">
        <v>10</v>
      </c>
    </row>
    <row r="743" spans="1:8" x14ac:dyDescent="0.25">
      <c r="A743" s="31">
        <v>44688</v>
      </c>
      <c r="B743" s="38" t="s">
        <v>14846</v>
      </c>
      <c r="C743" s="38" t="s">
        <v>200</v>
      </c>
      <c r="D743" s="34">
        <v>1735.8</v>
      </c>
      <c r="E743" s="35">
        <v>44688</v>
      </c>
      <c r="F743" s="34">
        <v>1735.8</v>
      </c>
      <c r="G743" s="36">
        <f>Tabla16[[#This Row],[Importe]]-Tabla16[[#This Row],[Pagado]]</f>
        <v>0</v>
      </c>
      <c r="H743" s="38" t="s">
        <v>10</v>
      </c>
    </row>
    <row r="744" spans="1:8" x14ac:dyDescent="0.25">
      <c r="A744" s="31">
        <v>44688</v>
      </c>
      <c r="B744" s="38" t="s">
        <v>14847</v>
      </c>
      <c r="C744" s="38" t="s">
        <v>69</v>
      </c>
      <c r="D744" s="34">
        <v>2528.6999999999998</v>
      </c>
      <c r="E744" s="35">
        <v>44688</v>
      </c>
      <c r="F744" s="34">
        <v>2528.6999999999998</v>
      </c>
      <c r="G744" s="36">
        <f>Tabla16[[#This Row],[Importe]]-Tabla16[[#This Row],[Pagado]]</f>
        <v>0</v>
      </c>
      <c r="H744" s="38" t="s">
        <v>10</v>
      </c>
    </row>
    <row r="745" spans="1:8" x14ac:dyDescent="0.25">
      <c r="A745" s="31">
        <v>44688</v>
      </c>
      <c r="B745" s="38" t="s">
        <v>14848</v>
      </c>
      <c r="C745" s="38" t="s">
        <v>426</v>
      </c>
      <c r="D745" s="34">
        <v>4826.2</v>
      </c>
      <c r="E745" s="35">
        <v>44688</v>
      </c>
      <c r="F745" s="34">
        <v>4826.2</v>
      </c>
      <c r="G745" s="36">
        <f>Tabla16[[#This Row],[Importe]]-Tabla16[[#This Row],[Pagado]]</f>
        <v>0</v>
      </c>
      <c r="H745" s="38" t="s">
        <v>10</v>
      </c>
    </row>
    <row r="746" spans="1:8" x14ac:dyDescent="0.25">
      <c r="A746" s="31">
        <v>44688</v>
      </c>
      <c r="B746" s="38" t="s">
        <v>14849</v>
      </c>
      <c r="C746" s="38" t="s">
        <v>51</v>
      </c>
      <c r="D746" s="34">
        <v>5038.3999999999996</v>
      </c>
      <c r="E746" s="35">
        <v>44688</v>
      </c>
      <c r="F746" s="34">
        <v>5038.3999999999996</v>
      </c>
      <c r="G746" s="36">
        <f>Tabla16[[#This Row],[Importe]]-Tabla16[[#This Row],[Pagado]]</f>
        <v>0</v>
      </c>
      <c r="H746" s="38" t="s">
        <v>10</v>
      </c>
    </row>
    <row r="747" spans="1:8" x14ac:dyDescent="0.25">
      <c r="A747" s="31">
        <v>44688</v>
      </c>
      <c r="B747" s="38" t="s">
        <v>14850</v>
      </c>
      <c r="C747" s="38" t="s">
        <v>14716</v>
      </c>
      <c r="D747" s="34">
        <v>9368.2000000000007</v>
      </c>
      <c r="E747" s="35">
        <v>44688</v>
      </c>
      <c r="F747" s="34">
        <v>9368.2000000000007</v>
      </c>
      <c r="G747" s="36">
        <f>Tabla16[[#This Row],[Importe]]-Tabla16[[#This Row],[Pagado]]</f>
        <v>0</v>
      </c>
      <c r="H747" s="38" t="s">
        <v>10</v>
      </c>
    </row>
    <row r="748" spans="1:8" x14ac:dyDescent="0.25">
      <c r="A748" s="31">
        <v>44688</v>
      </c>
      <c r="B748" s="38" t="s">
        <v>14851</v>
      </c>
      <c r="C748" s="38" t="s">
        <v>31</v>
      </c>
      <c r="D748" s="34">
        <v>765.6</v>
      </c>
      <c r="E748" s="35">
        <v>44688</v>
      </c>
      <c r="F748" s="34">
        <v>765.6</v>
      </c>
      <c r="G748" s="36">
        <f>Tabla16[[#This Row],[Importe]]-Tabla16[[#This Row],[Pagado]]</f>
        <v>0</v>
      </c>
      <c r="H748" s="38" t="s">
        <v>10</v>
      </c>
    </row>
    <row r="749" spans="1:8" x14ac:dyDescent="0.25">
      <c r="A749" s="31">
        <v>44688</v>
      </c>
      <c r="B749" s="38" t="s">
        <v>14852</v>
      </c>
      <c r="C749" s="38" t="s">
        <v>181</v>
      </c>
      <c r="D749" s="34">
        <v>17500.599999999999</v>
      </c>
      <c r="E749" s="35">
        <v>44688</v>
      </c>
      <c r="F749" s="34">
        <v>17500.599999999999</v>
      </c>
      <c r="G749" s="36">
        <f>Tabla16[[#This Row],[Importe]]-Tabla16[[#This Row],[Pagado]]</f>
        <v>0</v>
      </c>
      <c r="H749" s="38" t="s">
        <v>10</v>
      </c>
    </row>
    <row r="750" spans="1:8" x14ac:dyDescent="0.25">
      <c r="A750" s="31">
        <v>44688</v>
      </c>
      <c r="B750" s="38" t="s">
        <v>14853</v>
      </c>
      <c r="C750" s="38" t="s">
        <v>14854</v>
      </c>
      <c r="D750" s="34">
        <v>0</v>
      </c>
      <c r="E750" s="39" t="s">
        <v>189</v>
      </c>
      <c r="F750" s="34">
        <v>0</v>
      </c>
      <c r="G750" s="36">
        <f>Tabla16[[#This Row],[Importe]]-Tabla16[[#This Row],[Pagado]]</f>
        <v>0</v>
      </c>
      <c r="H750" s="38" t="s">
        <v>189</v>
      </c>
    </row>
    <row r="751" spans="1:8" x14ac:dyDescent="0.25">
      <c r="A751" s="31">
        <v>44688</v>
      </c>
      <c r="B751" s="38" t="s">
        <v>14855</v>
      </c>
      <c r="C751" s="38" t="s">
        <v>670</v>
      </c>
      <c r="D751" s="34">
        <v>2157.9</v>
      </c>
      <c r="E751" s="35">
        <v>44688</v>
      </c>
      <c r="F751" s="34">
        <v>2157.9</v>
      </c>
      <c r="G751" s="36">
        <f>Tabla16[[#This Row],[Importe]]-Tabla16[[#This Row],[Pagado]]</f>
        <v>0</v>
      </c>
      <c r="H751" s="38" t="s">
        <v>10</v>
      </c>
    </row>
    <row r="752" spans="1:8" x14ac:dyDescent="0.25">
      <c r="A752" s="31">
        <v>44688</v>
      </c>
      <c r="B752" s="38" t="s">
        <v>14856</v>
      </c>
      <c r="C752" s="38" t="s">
        <v>698</v>
      </c>
      <c r="D752" s="34">
        <v>4602.8999999999996</v>
      </c>
      <c r="E752" s="35">
        <v>44688</v>
      </c>
      <c r="F752" s="34">
        <v>4602.8999999999996</v>
      </c>
      <c r="G752" s="36">
        <f>Tabla16[[#This Row],[Importe]]-Tabla16[[#This Row],[Pagado]]</f>
        <v>0</v>
      </c>
      <c r="H752" s="38" t="s">
        <v>10</v>
      </c>
    </row>
    <row r="753" spans="1:8" x14ac:dyDescent="0.25">
      <c r="A753" s="31">
        <v>44688</v>
      </c>
      <c r="B753" s="38" t="s">
        <v>14857</v>
      </c>
      <c r="C753" s="38" t="s">
        <v>107</v>
      </c>
      <c r="D753" s="34">
        <v>30459.1</v>
      </c>
      <c r="E753" s="35">
        <v>44688</v>
      </c>
      <c r="F753" s="34">
        <v>30459.1</v>
      </c>
      <c r="G753" s="36">
        <f>Tabla16[[#This Row],[Importe]]-Tabla16[[#This Row],[Pagado]]</f>
        <v>0</v>
      </c>
      <c r="H753" s="38" t="s">
        <v>10</v>
      </c>
    </row>
    <row r="754" spans="1:8" x14ac:dyDescent="0.25">
      <c r="A754" s="31">
        <v>44688</v>
      </c>
      <c r="B754" s="38" t="s">
        <v>14858</v>
      </c>
      <c r="C754" s="38" t="s">
        <v>1362</v>
      </c>
      <c r="D754" s="34">
        <v>4560.8999999999996</v>
      </c>
      <c r="E754" s="35">
        <v>44688</v>
      </c>
      <c r="F754" s="34">
        <v>4560.8999999999996</v>
      </c>
      <c r="G754" s="36">
        <f>Tabla16[[#This Row],[Importe]]-Tabla16[[#This Row],[Pagado]]</f>
        <v>0</v>
      </c>
      <c r="H754" s="38" t="s">
        <v>10</v>
      </c>
    </row>
    <row r="755" spans="1:8" x14ac:dyDescent="0.25">
      <c r="A755" s="31">
        <v>44688</v>
      </c>
      <c r="B755" s="38" t="s">
        <v>14859</v>
      </c>
      <c r="C755" s="38" t="s">
        <v>157</v>
      </c>
      <c r="D755" s="34">
        <v>4082.4</v>
      </c>
      <c r="E755" s="35">
        <v>44688</v>
      </c>
      <c r="F755" s="34">
        <v>4082.4</v>
      </c>
      <c r="G755" s="36">
        <f>Tabla16[[#This Row],[Importe]]-Tabla16[[#This Row],[Pagado]]</f>
        <v>0</v>
      </c>
      <c r="H755" s="38" t="s">
        <v>10</v>
      </c>
    </row>
    <row r="756" spans="1:8" x14ac:dyDescent="0.25">
      <c r="A756" s="31">
        <v>44688</v>
      </c>
      <c r="B756" s="38" t="s">
        <v>14860</v>
      </c>
      <c r="C756" s="38" t="s">
        <v>2139</v>
      </c>
      <c r="D756" s="34">
        <v>4135.3999999999996</v>
      </c>
      <c r="E756" s="35">
        <v>44688</v>
      </c>
      <c r="F756" s="34">
        <v>4135.3999999999996</v>
      </c>
      <c r="G756" s="36">
        <f>Tabla16[[#This Row],[Importe]]-Tabla16[[#This Row],[Pagado]]</f>
        <v>0</v>
      </c>
      <c r="H756" s="38" t="s">
        <v>10</v>
      </c>
    </row>
    <row r="757" spans="1:8" x14ac:dyDescent="0.25">
      <c r="A757" s="31">
        <v>44688</v>
      </c>
      <c r="B757" s="38" t="s">
        <v>14861</v>
      </c>
      <c r="C757" s="38" t="s">
        <v>275</v>
      </c>
      <c r="D757" s="34">
        <v>184673.2</v>
      </c>
      <c r="E757" s="35">
        <v>44701</v>
      </c>
      <c r="F757" s="34">
        <v>184673.2</v>
      </c>
      <c r="G757" s="36">
        <f>Tabla16[[#This Row],[Importe]]-Tabla16[[#This Row],[Pagado]]</f>
        <v>0</v>
      </c>
      <c r="H757" s="38" t="s">
        <v>10</v>
      </c>
    </row>
    <row r="758" spans="1:8" x14ac:dyDescent="0.25">
      <c r="A758" s="31">
        <v>44688</v>
      </c>
      <c r="B758" s="38" t="s">
        <v>14862</v>
      </c>
      <c r="C758" s="38" t="s">
        <v>175</v>
      </c>
      <c r="D758" s="34">
        <v>9734</v>
      </c>
      <c r="E758" s="35">
        <v>44688</v>
      </c>
      <c r="F758" s="34">
        <v>9734</v>
      </c>
      <c r="G758" s="36">
        <f>Tabla16[[#This Row],[Importe]]-Tabla16[[#This Row],[Pagado]]</f>
        <v>0</v>
      </c>
      <c r="H758" s="38" t="s">
        <v>10</v>
      </c>
    </row>
    <row r="759" spans="1:8" x14ac:dyDescent="0.25">
      <c r="A759" s="31">
        <v>44688</v>
      </c>
      <c r="B759" s="38" t="s">
        <v>14863</v>
      </c>
      <c r="C759" s="38" t="s">
        <v>146</v>
      </c>
      <c r="D759" s="34">
        <v>10499.2</v>
      </c>
      <c r="E759" s="35">
        <v>44688</v>
      </c>
      <c r="F759" s="34">
        <v>10499.2</v>
      </c>
      <c r="G759" s="36">
        <f>Tabla16[[#This Row],[Importe]]-Tabla16[[#This Row],[Pagado]]</f>
        <v>0</v>
      </c>
      <c r="H759" s="38" t="s">
        <v>10</v>
      </c>
    </row>
    <row r="760" spans="1:8" x14ac:dyDescent="0.25">
      <c r="A760" s="31">
        <v>44688</v>
      </c>
      <c r="B760" s="38" t="s">
        <v>14864</v>
      </c>
      <c r="C760" s="38" t="s">
        <v>9</v>
      </c>
      <c r="D760" s="34">
        <v>1538.8</v>
      </c>
      <c r="E760" s="35">
        <v>44688</v>
      </c>
      <c r="F760" s="34">
        <v>1538.8</v>
      </c>
      <c r="G760" s="36">
        <f>Tabla16[[#This Row],[Importe]]-Tabla16[[#This Row],[Pagado]]</f>
        <v>0</v>
      </c>
      <c r="H760" s="38" t="s">
        <v>10</v>
      </c>
    </row>
    <row r="761" spans="1:8" x14ac:dyDescent="0.25">
      <c r="A761" s="31">
        <v>44688</v>
      </c>
      <c r="B761" s="38" t="s">
        <v>14865</v>
      </c>
      <c r="C761" s="38" t="s">
        <v>994</v>
      </c>
      <c r="D761" s="34">
        <v>2063</v>
      </c>
      <c r="E761" s="35">
        <v>44688</v>
      </c>
      <c r="F761" s="34">
        <v>2063</v>
      </c>
      <c r="G761" s="36">
        <f>Tabla16[[#This Row],[Importe]]-Tabla16[[#This Row],[Pagado]]</f>
        <v>0</v>
      </c>
      <c r="H761" s="38" t="s">
        <v>10</v>
      </c>
    </row>
    <row r="762" spans="1:8" x14ac:dyDescent="0.25">
      <c r="A762" s="31">
        <v>44688</v>
      </c>
      <c r="B762" s="38" t="s">
        <v>14866</v>
      </c>
      <c r="C762" s="38" t="s">
        <v>359</v>
      </c>
      <c r="D762" s="34">
        <v>1315.8</v>
      </c>
      <c r="E762" s="35">
        <v>44688</v>
      </c>
      <c r="F762" s="34">
        <v>1315.8</v>
      </c>
      <c r="G762" s="36">
        <f>Tabla16[[#This Row],[Importe]]-Tabla16[[#This Row],[Pagado]]</f>
        <v>0</v>
      </c>
      <c r="H762" s="38" t="s">
        <v>10</v>
      </c>
    </row>
    <row r="763" spans="1:8" x14ac:dyDescent="0.25">
      <c r="A763" s="31">
        <v>44688</v>
      </c>
      <c r="B763" s="38" t="s">
        <v>14867</v>
      </c>
      <c r="C763" s="38" t="s">
        <v>67</v>
      </c>
      <c r="D763" s="34">
        <v>2624.4</v>
      </c>
      <c r="E763" s="35">
        <v>44688</v>
      </c>
      <c r="F763" s="34">
        <v>2624.4</v>
      </c>
      <c r="G763" s="36">
        <f>Tabla16[[#This Row],[Importe]]-Tabla16[[#This Row],[Pagado]]</f>
        <v>0</v>
      </c>
      <c r="H763" s="38" t="s">
        <v>10</v>
      </c>
    </row>
    <row r="764" spans="1:8" x14ac:dyDescent="0.25">
      <c r="A764" s="31">
        <v>44688</v>
      </c>
      <c r="B764" s="38" t="s">
        <v>14868</v>
      </c>
      <c r="C764" s="38" t="s">
        <v>9175</v>
      </c>
      <c r="D764" s="34">
        <v>15239.2</v>
      </c>
      <c r="E764" s="35" t="s">
        <v>14869</v>
      </c>
      <c r="F764" s="34">
        <v>15239.2</v>
      </c>
      <c r="G764" s="36">
        <f>Tabla16[[#This Row],[Importe]]-Tabla16[[#This Row],[Pagado]]</f>
        <v>0</v>
      </c>
      <c r="H764" s="38" t="s">
        <v>10</v>
      </c>
    </row>
    <row r="765" spans="1:8" x14ac:dyDescent="0.25">
      <c r="A765" s="31">
        <v>44688</v>
      </c>
      <c r="B765" s="38" t="s">
        <v>14870</v>
      </c>
      <c r="C765" s="38" t="s">
        <v>6811</v>
      </c>
      <c r="D765" s="34">
        <v>0</v>
      </c>
      <c r="E765" s="39" t="s">
        <v>189</v>
      </c>
      <c r="F765" s="34">
        <v>0</v>
      </c>
      <c r="G765" s="36">
        <f>Tabla16[[#This Row],[Importe]]-Tabla16[[#This Row],[Pagado]]</f>
        <v>0</v>
      </c>
      <c r="H765" s="38" t="s">
        <v>189</v>
      </c>
    </row>
    <row r="766" spans="1:8" x14ac:dyDescent="0.25">
      <c r="A766" s="31">
        <v>44688</v>
      </c>
      <c r="B766" s="38" t="s">
        <v>14871</v>
      </c>
      <c r="C766" s="38" t="s">
        <v>33</v>
      </c>
      <c r="D766" s="34">
        <v>14489.6</v>
      </c>
      <c r="E766" s="35">
        <v>44688</v>
      </c>
      <c r="F766" s="34">
        <v>14489.6</v>
      </c>
      <c r="G766" s="36">
        <f>Tabla16[[#This Row],[Importe]]-Tabla16[[#This Row],[Pagado]]</f>
        <v>0</v>
      </c>
      <c r="H766" s="38" t="s">
        <v>10</v>
      </c>
    </row>
    <row r="767" spans="1:8" x14ac:dyDescent="0.25">
      <c r="A767" s="31">
        <v>44688</v>
      </c>
      <c r="B767" s="38" t="s">
        <v>14872</v>
      </c>
      <c r="C767" s="38" t="s">
        <v>463</v>
      </c>
      <c r="D767" s="34">
        <v>550</v>
      </c>
      <c r="E767" s="35">
        <v>44691</v>
      </c>
      <c r="F767" s="34">
        <v>550</v>
      </c>
      <c r="G767" s="36">
        <f>Tabla16[[#This Row],[Importe]]-Tabla16[[#This Row],[Pagado]]</f>
        <v>0</v>
      </c>
      <c r="H767" s="38" t="s">
        <v>10</v>
      </c>
    </row>
    <row r="768" spans="1:8" x14ac:dyDescent="0.25">
      <c r="A768" s="31">
        <v>44688</v>
      </c>
      <c r="B768" s="38" t="s">
        <v>14873</v>
      </c>
      <c r="C768" s="38" t="s">
        <v>461</v>
      </c>
      <c r="D768" s="34">
        <v>394</v>
      </c>
      <c r="E768" s="35">
        <v>44690</v>
      </c>
      <c r="F768" s="34">
        <v>394</v>
      </c>
      <c r="G768" s="36">
        <f>Tabla16[[#This Row],[Importe]]-Tabla16[[#This Row],[Pagado]]</f>
        <v>0</v>
      </c>
      <c r="H768" s="38" t="s">
        <v>10</v>
      </c>
    </row>
    <row r="769" spans="1:8" x14ac:dyDescent="0.25">
      <c r="A769" s="31">
        <v>44688</v>
      </c>
      <c r="B769" s="38" t="s">
        <v>14874</v>
      </c>
      <c r="C769" s="38" t="s">
        <v>33</v>
      </c>
      <c r="D769" s="34">
        <v>3258.9</v>
      </c>
      <c r="E769" s="35">
        <v>44688</v>
      </c>
      <c r="F769" s="34">
        <v>3258.9</v>
      </c>
      <c r="G769" s="36">
        <f>Tabla16[[#This Row],[Importe]]-Tabla16[[#This Row],[Pagado]]</f>
        <v>0</v>
      </c>
      <c r="H769" s="38" t="s">
        <v>10</v>
      </c>
    </row>
    <row r="770" spans="1:8" x14ac:dyDescent="0.25">
      <c r="A770" s="31">
        <v>44688</v>
      </c>
      <c r="B770" s="38" t="s">
        <v>14875</v>
      </c>
      <c r="C770" s="38" t="s">
        <v>457</v>
      </c>
      <c r="D770" s="34">
        <v>198</v>
      </c>
      <c r="E770" s="35">
        <v>44688</v>
      </c>
      <c r="F770" s="34">
        <v>198</v>
      </c>
      <c r="G770" s="36">
        <f>Tabla16[[#This Row],[Importe]]-Tabla16[[#This Row],[Pagado]]</f>
        <v>0</v>
      </c>
      <c r="H770" s="38" t="s">
        <v>10</v>
      </c>
    </row>
    <row r="771" spans="1:8" x14ac:dyDescent="0.25">
      <c r="A771" s="31">
        <v>44688</v>
      </c>
      <c r="B771" s="38" t="s">
        <v>14876</v>
      </c>
      <c r="C771" s="38" t="s">
        <v>459</v>
      </c>
      <c r="D771" s="34">
        <v>213</v>
      </c>
      <c r="E771" s="35">
        <v>44688</v>
      </c>
      <c r="F771" s="34">
        <v>213</v>
      </c>
      <c r="G771" s="36">
        <f>Tabla16[[#This Row],[Importe]]-Tabla16[[#This Row],[Pagado]]</f>
        <v>0</v>
      </c>
      <c r="H771" s="38" t="s">
        <v>10</v>
      </c>
    </row>
    <row r="772" spans="1:8" x14ac:dyDescent="0.25">
      <c r="A772" s="31">
        <v>44688</v>
      </c>
      <c r="B772" s="38" t="s">
        <v>14877</v>
      </c>
      <c r="C772" s="38" t="s">
        <v>31</v>
      </c>
      <c r="D772" s="34">
        <v>1168.2</v>
      </c>
      <c r="E772" s="35">
        <v>44688</v>
      </c>
      <c r="F772" s="34">
        <v>1168.2</v>
      </c>
      <c r="G772" s="36">
        <f>Tabla16[[#This Row],[Importe]]-Tabla16[[#This Row],[Pagado]]</f>
        <v>0</v>
      </c>
      <c r="H772" s="38" t="s">
        <v>10</v>
      </c>
    </row>
    <row r="773" spans="1:8" x14ac:dyDescent="0.25">
      <c r="A773" s="31">
        <v>44688</v>
      </c>
      <c r="B773" s="38" t="s">
        <v>14878</v>
      </c>
      <c r="C773" s="38" t="s">
        <v>35</v>
      </c>
      <c r="D773" s="34">
        <v>712.4</v>
      </c>
      <c r="E773" s="35">
        <v>44688</v>
      </c>
      <c r="F773" s="34">
        <v>712.4</v>
      </c>
      <c r="G773" s="36">
        <f>Tabla16[[#This Row],[Importe]]-Tabla16[[#This Row],[Pagado]]</f>
        <v>0</v>
      </c>
      <c r="H773" s="38" t="s">
        <v>10</v>
      </c>
    </row>
    <row r="774" spans="1:8" x14ac:dyDescent="0.25">
      <c r="A774" s="31">
        <v>44688</v>
      </c>
      <c r="B774" s="38" t="s">
        <v>14879</v>
      </c>
      <c r="C774" s="38" t="s">
        <v>1421</v>
      </c>
      <c r="D774" s="34">
        <v>41748</v>
      </c>
      <c r="E774" s="35">
        <v>44688</v>
      </c>
      <c r="F774" s="34">
        <v>41748</v>
      </c>
      <c r="G774" s="36">
        <f>Tabla16[[#This Row],[Importe]]-Tabla16[[#This Row],[Pagado]]</f>
        <v>0</v>
      </c>
      <c r="H774" s="38" t="s">
        <v>10</v>
      </c>
    </row>
    <row r="775" spans="1:8" x14ac:dyDescent="0.25">
      <c r="A775" s="31">
        <v>44688</v>
      </c>
      <c r="B775" s="38" t="s">
        <v>14880</v>
      </c>
      <c r="C775" s="38" t="s">
        <v>520</v>
      </c>
      <c r="D775" s="34">
        <v>22545.200000000001</v>
      </c>
      <c r="E775" s="35">
        <v>44689</v>
      </c>
      <c r="F775" s="34">
        <v>22545.200000000001</v>
      </c>
      <c r="G775" s="36">
        <f>Tabla16[[#This Row],[Importe]]-Tabla16[[#This Row],[Pagado]]</f>
        <v>0</v>
      </c>
      <c r="H775" s="38" t="s">
        <v>10</v>
      </c>
    </row>
    <row r="776" spans="1:8" x14ac:dyDescent="0.25">
      <c r="A776" s="31">
        <v>44688</v>
      </c>
      <c r="B776" s="38" t="s">
        <v>14881</v>
      </c>
      <c r="C776" s="38" t="s">
        <v>159</v>
      </c>
      <c r="D776" s="34">
        <v>2794.8</v>
      </c>
      <c r="E776" s="35">
        <v>44689</v>
      </c>
      <c r="F776" s="34">
        <v>2794.8</v>
      </c>
      <c r="G776" s="36">
        <f>Tabla16[[#This Row],[Importe]]-Tabla16[[#This Row],[Pagado]]</f>
        <v>0</v>
      </c>
      <c r="H776" s="38" t="s">
        <v>10</v>
      </c>
    </row>
    <row r="777" spans="1:8" x14ac:dyDescent="0.25">
      <c r="A777" s="31">
        <v>44688</v>
      </c>
      <c r="B777" s="38" t="s">
        <v>14882</v>
      </c>
      <c r="C777" s="38" t="s">
        <v>518</v>
      </c>
      <c r="D777" s="34">
        <v>1713.6</v>
      </c>
      <c r="E777" s="35">
        <v>44689</v>
      </c>
      <c r="F777" s="34">
        <v>1713.6</v>
      </c>
      <c r="G777" s="36">
        <f>Tabla16[[#This Row],[Importe]]-Tabla16[[#This Row],[Pagado]]</f>
        <v>0</v>
      </c>
      <c r="H777" s="38" t="s">
        <v>10</v>
      </c>
    </row>
    <row r="778" spans="1:8" x14ac:dyDescent="0.25">
      <c r="A778" s="31">
        <v>44688</v>
      </c>
      <c r="B778" s="38" t="s">
        <v>14883</v>
      </c>
      <c r="C778" s="38" t="s">
        <v>214</v>
      </c>
      <c r="D778" s="34">
        <v>1320</v>
      </c>
      <c r="E778" s="35">
        <v>44688</v>
      </c>
      <c r="F778" s="34">
        <v>1320</v>
      </c>
      <c r="G778" s="36">
        <f>Tabla16[[#This Row],[Importe]]-Tabla16[[#This Row],[Pagado]]</f>
        <v>0</v>
      </c>
      <c r="H778" s="38" t="s">
        <v>10</v>
      </c>
    </row>
    <row r="779" spans="1:8" x14ac:dyDescent="0.25">
      <c r="A779" s="31">
        <v>44688</v>
      </c>
      <c r="B779" s="38" t="s">
        <v>14884</v>
      </c>
      <c r="C779" s="38" t="s">
        <v>31</v>
      </c>
      <c r="D779" s="34">
        <v>5683.2</v>
      </c>
      <c r="E779" s="35">
        <v>44688</v>
      </c>
      <c r="F779" s="34">
        <v>5683.2</v>
      </c>
      <c r="G779" s="36">
        <f>Tabla16[[#This Row],[Importe]]-Tabla16[[#This Row],[Pagado]]</f>
        <v>0</v>
      </c>
      <c r="H779" s="38" t="s">
        <v>10</v>
      </c>
    </row>
    <row r="780" spans="1:8" x14ac:dyDescent="0.25">
      <c r="A780" s="31">
        <v>44688</v>
      </c>
      <c r="B780" s="38" t="s">
        <v>14885</v>
      </c>
      <c r="C780" s="38" t="s">
        <v>296</v>
      </c>
      <c r="D780" s="34">
        <v>2373.6</v>
      </c>
      <c r="E780" s="35">
        <v>44688</v>
      </c>
      <c r="F780" s="34">
        <v>2373.6</v>
      </c>
      <c r="G780" s="36">
        <f>Tabla16[[#This Row],[Importe]]-Tabla16[[#This Row],[Pagado]]</f>
        <v>0</v>
      </c>
      <c r="H780" s="38" t="s">
        <v>10</v>
      </c>
    </row>
    <row r="781" spans="1:8" x14ac:dyDescent="0.25">
      <c r="A781" s="31">
        <v>44688</v>
      </c>
      <c r="B781" s="38" t="s">
        <v>14886</v>
      </c>
      <c r="C781" s="38" t="s">
        <v>525</v>
      </c>
      <c r="D781" s="34">
        <v>4567.6000000000004</v>
      </c>
      <c r="E781" s="35">
        <v>44689</v>
      </c>
      <c r="F781" s="34">
        <v>4567.6000000000004</v>
      </c>
      <c r="G781" s="36">
        <f>Tabla16[[#This Row],[Importe]]-Tabla16[[#This Row],[Pagado]]</f>
        <v>0</v>
      </c>
      <c r="H781" s="38" t="s">
        <v>10</v>
      </c>
    </row>
    <row r="782" spans="1:8" x14ac:dyDescent="0.25">
      <c r="A782" s="31">
        <v>44688</v>
      </c>
      <c r="B782" s="38" t="s">
        <v>14887</v>
      </c>
      <c r="C782" s="38" t="s">
        <v>35</v>
      </c>
      <c r="D782" s="34">
        <v>3676.8</v>
      </c>
      <c r="E782" s="35">
        <v>44688</v>
      </c>
      <c r="F782" s="34">
        <v>3676.8</v>
      </c>
      <c r="G782" s="36">
        <f>Tabla16[[#This Row],[Importe]]-Tabla16[[#This Row],[Pagado]]</f>
        <v>0</v>
      </c>
      <c r="H782" s="38" t="s">
        <v>10</v>
      </c>
    </row>
    <row r="783" spans="1:8" x14ac:dyDescent="0.25">
      <c r="A783" s="31">
        <v>44688</v>
      </c>
      <c r="B783" s="38" t="s">
        <v>14888</v>
      </c>
      <c r="C783" s="38" t="s">
        <v>10840</v>
      </c>
      <c r="D783" s="34">
        <v>1268.5999999999999</v>
      </c>
      <c r="E783" s="35">
        <v>44688</v>
      </c>
      <c r="F783" s="34">
        <v>1268.5999999999999</v>
      </c>
      <c r="G783" s="36">
        <f>Tabla16[[#This Row],[Importe]]-Tabla16[[#This Row],[Pagado]]</f>
        <v>0</v>
      </c>
      <c r="H783" s="38" t="s">
        <v>10</v>
      </c>
    </row>
    <row r="784" spans="1:8" x14ac:dyDescent="0.25">
      <c r="A784" s="31">
        <v>44688</v>
      </c>
      <c r="B784" s="38" t="s">
        <v>14889</v>
      </c>
      <c r="C784" s="38" t="s">
        <v>12107</v>
      </c>
      <c r="D784" s="34">
        <v>1960</v>
      </c>
      <c r="E784" s="35">
        <v>44688</v>
      </c>
      <c r="F784" s="34">
        <v>1960</v>
      </c>
      <c r="G784" s="36">
        <f>Tabla16[[#This Row],[Importe]]-Tabla16[[#This Row],[Pagado]]</f>
        <v>0</v>
      </c>
      <c r="H784" s="38" t="s">
        <v>10</v>
      </c>
    </row>
    <row r="785" spans="1:8" x14ac:dyDescent="0.25">
      <c r="A785" s="31">
        <v>44688</v>
      </c>
      <c r="B785" s="38" t="s">
        <v>14890</v>
      </c>
      <c r="C785" s="38" t="s">
        <v>31</v>
      </c>
      <c r="D785" s="34">
        <v>903.5</v>
      </c>
      <c r="E785" s="35">
        <v>44688</v>
      </c>
      <c r="F785" s="34">
        <v>903.5</v>
      </c>
      <c r="G785" s="36">
        <f>Tabla16[[#This Row],[Importe]]-Tabla16[[#This Row],[Pagado]]</f>
        <v>0</v>
      </c>
      <c r="H785" s="38" t="s">
        <v>10</v>
      </c>
    </row>
    <row r="786" spans="1:8" x14ac:dyDescent="0.25">
      <c r="A786" s="31">
        <v>44688</v>
      </c>
      <c r="B786" s="38" t="s">
        <v>14891</v>
      </c>
      <c r="C786" s="38" t="s">
        <v>53</v>
      </c>
      <c r="D786" s="34">
        <v>1794</v>
      </c>
      <c r="E786" s="35">
        <v>44688</v>
      </c>
      <c r="F786" s="34">
        <v>1794</v>
      </c>
      <c r="G786" s="36">
        <f>Tabla16[[#This Row],[Importe]]-Tabla16[[#This Row],[Pagado]]</f>
        <v>0</v>
      </c>
      <c r="H786" s="38" t="s">
        <v>10</v>
      </c>
    </row>
    <row r="787" spans="1:8" x14ac:dyDescent="0.25">
      <c r="A787" s="31">
        <v>44688</v>
      </c>
      <c r="B787" s="38" t="s">
        <v>14892</v>
      </c>
      <c r="C787" s="38" t="s">
        <v>7444</v>
      </c>
      <c r="D787" s="34">
        <v>18210.2</v>
      </c>
      <c r="E787" s="35">
        <v>44693</v>
      </c>
      <c r="F787" s="34">
        <v>18210.2</v>
      </c>
      <c r="G787" s="36">
        <f>Tabla16[[#This Row],[Importe]]-Tabla16[[#This Row],[Pagado]]</f>
        <v>0</v>
      </c>
      <c r="H787" s="38" t="s">
        <v>10</v>
      </c>
    </row>
    <row r="788" spans="1:8" ht="31.5" x14ac:dyDescent="0.25">
      <c r="A788" s="31">
        <v>44688</v>
      </c>
      <c r="B788" s="38" t="s">
        <v>14893</v>
      </c>
      <c r="C788" s="38" t="s">
        <v>275</v>
      </c>
      <c r="D788" s="34">
        <v>242737.19</v>
      </c>
      <c r="E788" s="35" t="s">
        <v>14894</v>
      </c>
      <c r="F788" s="34">
        <f>90931.54+151805.65</f>
        <v>242737.19</v>
      </c>
      <c r="G788" s="36">
        <f>Tabla16[[#This Row],[Importe]]-Tabla16[[#This Row],[Pagado]]</f>
        <v>0</v>
      </c>
      <c r="H788" s="38" t="s">
        <v>10</v>
      </c>
    </row>
    <row r="789" spans="1:8" x14ac:dyDescent="0.25">
      <c r="A789" s="31">
        <v>44688</v>
      </c>
      <c r="B789" s="38" t="s">
        <v>14895</v>
      </c>
      <c r="C789" s="38" t="s">
        <v>9993</v>
      </c>
      <c r="D789" s="34">
        <v>65000</v>
      </c>
      <c r="E789" s="35">
        <v>44688</v>
      </c>
      <c r="F789" s="34">
        <v>65000</v>
      </c>
      <c r="G789" s="36">
        <f>Tabla16[[#This Row],[Importe]]-Tabla16[[#This Row],[Pagado]]</f>
        <v>0</v>
      </c>
      <c r="H789" s="38" t="s">
        <v>10</v>
      </c>
    </row>
    <row r="790" spans="1:8" x14ac:dyDescent="0.25">
      <c r="A790" s="31">
        <v>44688</v>
      </c>
      <c r="B790" s="38" t="s">
        <v>14896</v>
      </c>
      <c r="C790" s="38" t="s">
        <v>6528</v>
      </c>
      <c r="D790" s="34">
        <v>5292.8</v>
      </c>
      <c r="E790" s="35">
        <v>44688</v>
      </c>
      <c r="F790" s="34">
        <v>5292.8</v>
      </c>
      <c r="G790" s="36">
        <f>Tabla16[[#This Row],[Importe]]-Tabla16[[#This Row],[Pagado]]</f>
        <v>0</v>
      </c>
      <c r="H790" s="38" t="s">
        <v>10</v>
      </c>
    </row>
    <row r="791" spans="1:8" x14ac:dyDescent="0.25">
      <c r="A791" s="31">
        <v>44688</v>
      </c>
      <c r="B791" s="38" t="s">
        <v>14897</v>
      </c>
      <c r="C791" s="38" t="s">
        <v>407</v>
      </c>
      <c r="D791" s="34">
        <v>9840</v>
      </c>
      <c r="E791" s="35">
        <v>44693</v>
      </c>
      <c r="F791" s="34">
        <v>9840</v>
      </c>
      <c r="G791" s="36">
        <f>Tabla16[[#This Row],[Importe]]-Tabla16[[#This Row],[Pagado]]</f>
        <v>0</v>
      </c>
      <c r="H791" s="38" t="s">
        <v>10</v>
      </c>
    </row>
    <row r="792" spans="1:8" x14ac:dyDescent="0.25">
      <c r="A792" s="31">
        <v>44688</v>
      </c>
      <c r="B792" s="38" t="s">
        <v>14898</v>
      </c>
      <c r="C792" s="38" t="s">
        <v>319</v>
      </c>
      <c r="D792" s="34">
        <v>2932.8</v>
      </c>
      <c r="E792" s="35">
        <v>44688</v>
      </c>
      <c r="F792" s="34">
        <v>2932.8</v>
      </c>
      <c r="G792" s="36">
        <f>Tabla16[[#This Row],[Importe]]-Tabla16[[#This Row],[Pagado]]</f>
        <v>0</v>
      </c>
      <c r="H792" s="38" t="s">
        <v>10</v>
      </c>
    </row>
    <row r="793" spans="1:8" x14ac:dyDescent="0.25">
      <c r="A793" s="31">
        <v>44688</v>
      </c>
      <c r="B793" s="38" t="s">
        <v>14899</v>
      </c>
      <c r="C793" s="38" t="s">
        <v>314</v>
      </c>
      <c r="D793" s="34">
        <v>4177.8</v>
      </c>
      <c r="E793" s="35">
        <v>44690</v>
      </c>
      <c r="F793" s="34">
        <v>4177.8</v>
      </c>
      <c r="G793" s="36">
        <f>Tabla16[[#This Row],[Importe]]-Tabla16[[#This Row],[Pagado]]</f>
        <v>0</v>
      </c>
      <c r="H793" s="38" t="s">
        <v>10</v>
      </c>
    </row>
    <row r="794" spans="1:8" x14ac:dyDescent="0.25">
      <c r="A794" s="31">
        <v>44688</v>
      </c>
      <c r="B794" s="38" t="s">
        <v>14900</v>
      </c>
      <c r="C794" s="38" t="s">
        <v>87</v>
      </c>
      <c r="D794" s="34">
        <v>4494.6000000000004</v>
      </c>
      <c r="E794" s="35">
        <v>44690</v>
      </c>
      <c r="F794" s="34">
        <v>4494.6000000000004</v>
      </c>
      <c r="G794" s="36">
        <f>Tabla16[[#This Row],[Importe]]-Tabla16[[#This Row],[Pagado]]</f>
        <v>0</v>
      </c>
      <c r="H794" s="38" t="s">
        <v>10</v>
      </c>
    </row>
    <row r="795" spans="1:8" x14ac:dyDescent="0.25">
      <c r="A795" s="31">
        <v>44688</v>
      </c>
      <c r="B795" s="38" t="s">
        <v>14901</v>
      </c>
      <c r="C795" s="38" t="s">
        <v>31</v>
      </c>
      <c r="D795" s="34">
        <v>18.62</v>
      </c>
      <c r="E795" s="35">
        <v>44688</v>
      </c>
      <c r="F795" s="34">
        <v>18.62</v>
      </c>
      <c r="G795" s="36">
        <f>Tabla16[[#This Row],[Importe]]-Tabla16[[#This Row],[Pagado]]</f>
        <v>0</v>
      </c>
      <c r="H795" s="38" t="s">
        <v>10</v>
      </c>
    </row>
    <row r="796" spans="1:8" x14ac:dyDescent="0.25">
      <c r="A796" s="31">
        <v>44688</v>
      </c>
      <c r="B796" s="38" t="s">
        <v>14902</v>
      </c>
      <c r="C796" s="38" t="s">
        <v>31</v>
      </c>
      <c r="D796" s="34">
        <v>56</v>
      </c>
      <c r="E796" s="35">
        <v>44688</v>
      </c>
      <c r="F796" s="34">
        <v>56</v>
      </c>
      <c r="G796" s="36">
        <f>Tabla16[[#This Row],[Importe]]-Tabla16[[#This Row],[Pagado]]</f>
        <v>0</v>
      </c>
      <c r="H796" s="38" t="s">
        <v>10</v>
      </c>
    </row>
    <row r="797" spans="1:8" x14ac:dyDescent="0.25">
      <c r="A797" s="31">
        <v>44688</v>
      </c>
      <c r="B797" s="38" t="s">
        <v>14903</v>
      </c>
      <c r="C797" s="38" t="s">
        <v>3900</v>
      </c>
      <c r="D797" s="34">
        <v>856.8</v>
      </c>
      <c r="E797" s="35">
        <v>44688</v>
      </c>
      <c r="F797" s="34">
        <v>856.8</v>
      </c>
      <c r="G797" s="36">
        <f>Tabla16[[#This Row],[Importe]]-Tabla16[[#This Row],[Pagado]]</f>
        <v>0</v>
      </c>
      <c r="H797" s="38" t="s">
        <v>10</v>
      </c>
    </row>
    <row r="798" spans="1:8" x14ac:dyDescent="0.25">
      <c r="A798" s="31">
        <v>44688</v>
      </c>
      <c r="B798" s="38" t="s">
        <v>14904</v>
      </c>
      <c r="C798" s="38" t="s">
        <v>282</v>
      </c>
      <c r="D798" s="34">
        <v>3471.6</v>
      </c>
      <c r="E798" s="35">
        <v>44690</v>
      </c>
      <c r="F798" s="34">
        <v>3471.6</v>
      </c>
      <c r="G798" s="36">
        <f>Tabla16[[#This Row],[Importe]]-Tabla16[[#This Row],[Pagado]]</f>
        <v>0</v>
      </c>
      <c r="H798" s="38" t="s">
        <v>10</v>
      </c>
    </row>
    <row r="799" spans="1:8" x14ac:dyDescent="0.25">
      <c r="A799" s="31">
        <v>44688</v>
      </c>
      <c r="B799" s="38" t="s">
        <v>14905</v>
      </c>
      <c r="C799" s="38" t="s">
        <v>282</v>
      </c>
      <c r="D799" s="34">
        <v>6441.6</v>
      </c>
      <c r="E799" s="35">
        <v>44689</v>
      </c>
      <c r="F799" s="34">
        <v>6441.6</v>
      </c>
      <c r="G799" s="36">
        <f>Tabla16[[#This Row],[Importe]]-Tabla16[[#This Row],[Pagado]]</f>
        <v>0</v>
      </c>
      <c r="H799" s="38" t="s">
        <v>10</v>
      </c>
    </row>
    <row r="800" spans="1:8" x14ac:dyDescent="0.25">
      <c r="A800" s="31">
        <v>44688</v>
      </c>
      <c r="B800" s="38" t="s">
        <v>14906</v>
      </c>
      <c r="C800" s="38" t="s">
        <v>280</v>
      </c>
      <c r="D800" s="34">
        <v>1966.8</v>
      </c>
      <c r="E800" s="35">
        <v>44690</v>
      </c>
      <c r="F800" s="34">
        <v>1966.8</v>
      </c>
      <c r="G800" s="36">
        <f>Tabla16[[#This Row],[Importe]]-Tabla16[[#This Row],[Pagado]]</f>
        <v>0</v>
      </c>
      <c r="H800" s="38" t="s">
        <v>10</v>
      </c>
    </row>
    <row r="801" spans="1:8" x14ac:dyDescent="0.25">
      <c r="A801" s="31">
        <v>44688</v>
      </c>
      <c r="B801" s="38" t="s">
        <v>14907</v>
      </c>
      <c r="C801" s="38" t="s">
        <v>284</v>
      </c>
      <c r="D801" s="34">
        <v>12104.4</v>
      </c>
      <c r="E801" s="35">
        <v>44690</v>
      </c>
      <c r="F801" s="34">
        <v>12104.4</v>
      </c>
      <c r="G801" s="36">
        <f>Tabla16[[#This Row],[Importe]]-Tabla16[[#This Row],[Pagado]]</f>
        <v>0</v>
      </c>
      <c r="H801" s="38" t="s">
        <v>10</v>
      </c>
    </row>
    <row r="802" spans="1:8" x14ac:dyDescent="0.25">
      <c r="A802" s="31">
        <v>44688</v>
      </c>
      <c r="B802" s="38" t="s">
        <v>14908</v>
      </c>
      <c r="C802" s="38" t="s">
        <v>31</v>
      </c>
      <c r="D802" s="34">
        <v>151.80000000000001</v>
      </c>
      <c r="E802" s="35">
        <v>44688</v>
      </c>
      <c r="F802" s="34">
        <v>151.80000000000001</v>
      </c>
      <c r="G802" s="36">
        <f>Tabla16[[#This Row],[Importe]]-Tabla16[[#This Row],[Pagado]]</f>
        <v>0</v>
      </c>
      <c r="H802" s="38" t="s">
        <v>10</v>
      </c>
    </row>
    <row r="803" spans="1:8" x14ac:dyDescent="0.25">
      <c r="A803" s="31">
        <v>44688</v>
      </c>
      <c r="B803" s="38" t="s">
        <v>14909</v>
      </c>
      <c r="C803" s="38" t="s">
        <v>196</v>
      </c>
      <c r="D803" s="34">
        <v>75100.639999999999</v>
      </c>
      <c r="E803" s="35">
        <v>44694</v>
      </c>
      <c r="F803" s="34">
        <v>75100.639999999999</v>
      </c>
      <c r="G803" s="36">
        <f>Tabla16[[#This Row],[Importe]]-Tabla16[[#This Row],[Pagado]]</f>
        <v>0</v>
      </c>
      <c r="H803" s="38" t="s">
        <v>10</v>
      </c>
    </row>
    <row r="804" spans="1:8" x14ac:dyDescent="0.25">
      <c r="A804" s="31">
        <v>44688</v>
      </c>
      <c r="B804" s="38" t="s">
        <v>14910</v>
      </c>
      <c r="C804" s="38" t="s">
        <v>14</v>
      </c>
      <c r="D804" s="34">
        <v>7856.8</v>
      </c>
      <c r="E804" s="35">
        <v>44688</v>
      </c>
      <c r="F804" s="34">
        <v>7856.8</v>
      </c>
      <c r="G804" s="36">
        <f>Tabla16[[#This Row],[Importe]]-Tabla16[[#This Row],[Pagado]]</f>
        <v>0</v>
      </c>
      <c r="H804" s="38" t="s">
        <v>10</v>
      </c>
    </row>
    <row r="805" spans="1:8" x14ac:dyDescent="0.25">
      <c r="A805" s="31">
        <v>44688</v>
      </c>
      <c r="B805" s="38" t="s">
        <v>14911</v>
      </c>
      <c r="C805" s="38" t="s">
        <v>857</v>
      </c>
      <c r="D805" s="34">
        <v>1174.8</v>
      </c>
      <c r="E805" s="35">
        <v>44688</v>
      </c>
      <c r="F805" s="34">
        <v>1174.8</v>
      </c>
      <c r="G805" s="36">
        <f>Tabla16[[#This Row],[Importe]]-Tabla16[[#This Row],[Pagado]]</f>
        <v>0</v>
      </c>
      <c r="H805" s="38" t="s">
        <v>10</v>
      </c>
    </row>
    <row r="806" spans="1:8" x14ac:dyDescent="0.25">
      <c r="A806" s="31">
        <v>44688</v>
      </c>
      <c r="B806" s="38" t="s">
        <v>14912</v>
      </c>
      <c r="C806" s="38" t="s">
        <v>583</v>
      </c>
      <c r="D806" s="34">
        <v>3860</v>
      </c>
      <c r="E806" s="35">
        <v>44688</v>
      </c>
      <c r="F806" s="34">
        <v>3860</v>
      </c>
      <c r="G806" s="36">
        <f>Tabla16[[#This Row],[Importe]]-Tabla16[[#This Row],[Pagado]]</f>
        <v>0</v>
      </c>
      <c r="H806" s="38" t="s">
        <v>10</v>
      </c>
    </row>
    <row r="807" spans="1:8" x14ac:dyDescent="0.25">
      <c r="A807" s="31">
        <v>44688</v>
      </c>
      <c r="B807" s="38" t="s">
        <v>14913</v>
      </c>
      <c r="C807" s="38" t="s">
        <v>14</v>
      </c>
      <c r="D807" s="34">
        <v>2334</v>
      </c>
      <c r="E807" s="35">
        <v>44688</v>
      </c>
      <c r="F807" s="34">
        <v>2334</v>
      </c>
      <c r="G807" s="36">
        <f>Tabla16[[#This Row],[Importe]]-Tabla16[[#This Row],[Pagado]]</f>
        <v>0</v>
      </c>
      <c r="H807" s="38" t="s">
        <v>10</v>
      </c>
    </row>
    <row r="808" spans="1:8" x14ac:dyDescent="0.25">
      <c r="A808" s="31">
        <v>44688</v>
      </c>
      <c r="B808" s="38" t="s">
        <v>14914</v>
      </c>
      <c r="C808" s="38" t="s">
        <v>275</v>
      </c>
      <c r="D808" s="34">
        <v>6900</v>
      </c>
      <c r="E808" s="35">
        <v>44708</v>
      </c>
      <c r="F808" s="34">
        <v>6900</v>
      </c>
      <c r="G808" s="36">
        <f>Tabla16[[#This Row],[Importe]]-Tabla16[[#This Row],[Pagado]]</f>
        <v>0</v>
      </c>
      <c r="H808" s="38" t="s">
        <v>10</v>
      </c>
    </row>
    <row r="809" spans="1:8" x14ac:dyDescent="0.25">
      <c r="A809" s="31">
        <v>44689</v>
      </c>
      <c r="B809" s="38" t="s">
        <v>14915</v>
      </c>
      <c r="C809" s="38" t="s">
        <v>9</v>
      </c>
      <c r="D809" s="34">
        <v>6169.5</v>
      </c>
      <c r="E809" s="35">
        <v>44689</v>
      </c>
      <c r="F809" s="34">
        <v>6169.5</v>
      </c>
      <c r="G809" s="36">
        <f>Tabla16[[#This Row],[Importe]]-Tabla16[[#This Row],[Pagado]]</f>
        <v>0</v>
      </c>
      <c r="H809" s="38" t="s">
        <v>10</v>
      </c>
    </row>
    <row r="810" spans="1:8" x14ac:dyDescent="0.25">
      <c r="A810" s="31">
        <v>44689</v>
      </c>
      <c r="B810" s="38" t="s">
        <v>14916</v>
      </c>
      <c r="C810" s="38" t="s">
        <v>31</v>
      </c>
      <c r="D810" s="34">
        <v>4185</v>
      </c>
      <c r="E810" s="35">
        <v>44689</v>
      </c>
      <c r="F810" s="34">
        <v>4185</v>
      </c>
      <c r="G810" s="36">
        <f>Tabla16[[#This Row],[Importe]]-Tabla16[[#This Row],[Pagado]]</f>
        <v>0</v>
      </c>
      <c r="H810" s="38" t="s">
        <v>10</v>
      </c>
    </row>
    <row r="811" spans="1:8" x14ac:dyDescent="0.25">
      <c r="A811" s="31">
        <v>44689</v>
      </c>
      <c r="B811" s="38" t="s">
        <v>14917</v>
      </c>
      <c r="C811" s="38" t="s">
        <v>27</v>
      </c>
      <c r="D811" s="34">
        <v>5446.2</v>
      </c>
      <c r="E811" s="35">
        <v>44689</v>
      </c>
      <c r="F811" s="34">
        <v>5446.2</v>
      </c>
      <c r="G811" s="36">
        <f>Tabla16[[#This Row],[Importe]]-Tabla16[[#This Row],[Pagado]]</f>
        <v>0</v>
      </c>
      <c r="H811" s="38" t="s">
        <v>10</v>
      </c>
    </row>
    <row r="812" spans="1:8" x14ac:dyDescent="0.25">
      <c r="A812" s="31">
        <v>44689</v>
      </c>
      <c r="B812" s="38" t="s">
        <v>14918</v>
      </c>
      <c r="C812" s="38" t="s">
        <v>12</v>
      </c>
      <c r="D812" s="34">
        <v>86559.7</v>
      </c>
      <c r="E812" s="35">
        <v>44689</v>
      </c>
      <c r="F812" s="34">
        <v>86559.7</v>
      </c>
      <c r="G812" s="36">
        <f>Tabla16[[#This Row],[Importe]]-Tabla16[[#This Row],[Pagado]]</f>
        <v>0</v>
      </c>
      <c r="H812" s="38" t="s">
        <v>10</v>
      </c>
    </row>
    <row r="813" spans="1:8" ht="31.5" x14ac:dyDescent="0.25">
      <c r="A813" s="31">
        <v>44689</v>
      </c>
      <c r="B813" s="38" t="s">
        <v>14919</v>
      </c>
      <c r="C813" s="38" t="s">
        <v>475</v>
      </c>
      <c r="D813" s="34">
        <v>82057.5</v>
      </c>
      <c r="E813" s="35" t="s">
        <v>14920</v>
      </c>
      <c r="F813" s="34">
        <f>13500+12557.5</f>
        <v>26057.5</v>
      </c>
      <c r="G813" s="36">
        <f>Tabla16[[#This Row],[Importe]]-Tabla16[[#This Row],[Pagado]]</f>
        <v>56000</v>
      </c>
      <c r="H813" s="38" t="s">
        <v>10</v>
      </c>
    </row>
    <row r="814" spans="1:8" x14ac:dyDescent="0.25">
      <c r="A814" s="31">
        <v>44689</v>
      </c>
      <c r="B814" s="38" t="s">
        <v>14921</v>
      </c>
      <c r="C814" s="38" t="s">
        <v>9415</v>
      </c>
      <c r="D814" s="34">
        <v>19734</v>
      </c>
      <c r="E814" s="35">
        <v>44691</v>
      </c>
      <c r="F814" s="34">
        <v>19734</v>
      </c>
      <c r="G814" s="36">
        <f>Tabla16[[#This Row],[Importe]]-Tabla16[[#This Row],[Pagado]]</f>
        <v>0</v>
      </c>
      <c r="H814" s="38" t="s">
        <v>10</v>
      </c>
    </row>
    <row r="815" spans="1:8" x14ac:dyDescent="0.25">
      <c r="A815" s="31">
        <v>44689</v>
      </c>
      <c r="B815" s="38" t="s">
        <v>14922</v>
      </c>
      <c r="C815" s="38" t="s">
        <v>12</v>
      </c>
      <c r="D815" s="34">
        <v>500</v>
      </c>
      <c r="E815" s="35">
        <v>44689</v>
      </c>
      <c r="F815" s="34">
        <v>500</v>
      </c>
      <c r="G815" s="36">
        <f>Tabla16[[#This Row],[Importe]]-Tabla16[[#This Row],[Pagado]]</f>
        <v>0</v>
      </c>
      <c r="H815" s="38" t="s">
        <v>10</v>
      </c>
    </row>
    <row r="816" spans="1:8" x14ac:dyDescent="0.25">
      <c r="A816" s="31">
        <v>44689</v>
      </c>
      <c r="B816" s="38" t="s">
        <v>14923</v>
      </c>
      <c r="C816" s="38" t="s">
        <v>16</v>
      </c>
      <c r="D816" s="34">
        <v>10472.799999999999</v>
      </c>
      <c r="E816" s="35">
        <v>44689</v>
      </c>
      <c r="F816" s="34">
        <v>10472.799999999999</v>
      </c>
      <c r="G816" s="36">
        <f>Tabla16[[#This Row],[Importe]]-Tabla16[[#This Row],[Pagado]]</f>
        <v>0</v>
      </c>
      <c r="H816" s="38" t="s">
        <v>10</v>
      </c>
    </row>
    <row r="817" spans="1:8" x14ac:dyDescent="0.25">
      <c r="A817" s="31">
        <v>44689</v>
      </c>
      <c r="B817" s="38" t="s">
        <v>14924</v>
      </c>
      <c r="C817" s="38" t="s">
        <v>51</v>
      </c>
      <c r="D817" s="34">
        <v>1829.4</v>
      </c>
      <c r="E817" s="35">
        <v>44689</v>
      </c>
      <c r="F817" s="34">
        <v>1829.4</v>
      </c>
      <c r="G817" s="36">
        <f>Tabla16[[#This Row],[Importe]]-Tabla16[[#This Row],[Pagado]]</f>
        <v>0</v>
      </c>
      <c r="H817" s="38" t="s">
        <v>10</v>
      </c>
    </row>
    <row r="818" spans="1:8" x14ac:dyDescent="0.25">
      <c r="A818" s="31">
        <v>44689</v>
      </c>
      <c r="B818" s="38" t="s">
        <v>14925</v>
      </c>
      <c r="C818" s="38" t="s">
        <v>20</v>
      </c>
      <c r="D818" s="34">
        <v>8902.2000000000007</v>
      </c>
      <c r="E818" s="35">
        <v>44689</v>
      </c>
      <c r="F818" s="34">
        <v>8902.2000000000007</v>
      </c>
      <c r="G818" s="36">
        <f>Tabla16[[#This Row],[Importe]]-Tabla16[[#This Row],[Pagado]]</f>
        <v>0</v>
      </c>
      <c r="H818" s="38" t="s">
        <v>10</v>
      </c>
    </row>
    <row r="819" spans="1:8" x14ac:dyDescent="0.25">
      <c r="A819" s="31">
        <v>44689</v>
      </c>
      <c r="B819" s="38" t="s">
        <v>14926</v>
      </c>
      <c r="C819" s="38" t="s">
        <v>29</v>
      </c>
      <c r="D819" s="34">
        <v>8118</v>
      </c>
      <c r="E819" s="35">
        <v>44689</v>
      </c>
      <c r="F819" s="34">
        <v>8118</v>
      </c>
      <c r="G819" s="36">
        <f>Tabla16[[#This Row],[Importe]]-Tabla16[[#This Row],[Pagado]]</f>
        <v>0</v>
      </c>
      <c r="H819" s="38" t="s">
        <v>10</v>
      </c>
    </row>
    <row r="820" spans="1:8" x14ac:dyDescent="0.25">
      <c r="A820" s="31">
        <v>44689</v>
      </c>
      <c r="B820" s="38" t="s">
        <v>14927</v>
      </c>
      <c r="C820" s="38" t="s">
        <v>2780</v>
      </c>
      <c r="D820" s="34">
        <v>11541.2</v>
      </c>
      <c r="E820" s="35">
        <v>44689</v>
      </c>
      <c r="F820" s="34">
        <v>11541.2</v>
      </c>
      <c r="G820" s="36">
        <f>Tabla16[[#This Row],[Importe]]-Tabla16[[#This Row],[Pagado]]</f>
        <v>0</v>
      </c>
      <c r="H820" s="38" t="s">
        <v>10</v>
      </c>
    </row>
    <row r="821" spans="1:8" x14ac:dyDescent="0.25">
      <c r="A821" s="31">
        <v>44689</v>
      </c>
      <c r="B821" s="38" t="s">
        <v>14928</v>
      </c>
      <c r="C821" s="38" t="s">
        <v>31</v>
      </c>
      <c r="D821" s="34">
        <v>287</v>
      </c>
      <c r="E821" s="35">
        <v>44689</v>
      </c>
      <c r="F821" s="34">
        <v>287</v>
      </c>
      <c r="G821" s="36">
        <f>Tabla16[[#This Row],[Importe]]-Tabla16[[#This Row],[Pagado]]</f>
        <v>0</v>
      </c>
      <c r="H821" s="38" t="s">
        <v>10</v>
      </c>
    </row>
    <row r="822" spans="1:8" x14ac:dyDescent="0.25">
      <c r="A822" s="31">
        <v>44689</v>
      </c>
      <c r="B822" s="38" t="s">
        <v>14929</v>
      </c>
      <c r="C822" s="38" t="s">
        <v>216</v>
      </c>
      <c r="D822" s="34">
        <v>2989.8</v>
      </c>
      <c r="E822" s="35">
        <v>44689</v>
      </c>
      <c r="F822" s="34">
        <v>2989.8</v>
      </c>
      <c r="G822" s="36">
        <f>Tabla16[[#This Row],[Importe]]-Tabla16[[#This Row],[Pagado]]</f>
        <v>0</v>
      </c>
      <c r="H822" s="38" t="s">
        <v>10</v>
      </c>
    </row>
    <row r="823" spans="1:8" x14ac:dyDescent="0.25">
      <c r="A823" s="31">
        <v>44689</v>
      </c>
      <c r="B823" s="38" t="s">
        <v>14930</v>
      </c>
      <c r="C823" s="38" t="s">
        <v>33</v>
      </c>
      <c r="D823" s="34">
        <v>9865.7999999999993</v>
      </c>
      <c r="E823" s="35">
        <v>44689</v>
      </c>
      <c r="F823" s="34">
        <v>9865.7999999999993</v>
      </c>
      <c r="G823" s="36">
        <f>Tabla16[[#This Row],[Importe]]-Tabla16[[#This Row],[Pagado]]</f>
        <v>0</v>
      </c>
      <c r="H823" s="38" t="s">
        <v>10</v>
      </c>
    </row>
    <row r="824" spans="1:8" x14ac:dyDescent="0.25">
      <c r="A824" s="31">
        <v>44689</v>
      </c>
      <c r="B824" s="38" t="s">
        <v>14931</v>
      </c>
      <c r="C824" s="38" t="s">
        <v>224</v>
      </c>
      <c r="D824" s="34">
        <v>3183.3</v>
      </c>
      <c r="E824" s="35">
        <v>44689</v>
      </c>
      <c r="F824" s="34">
        <v>3183.3</v>
      </c>
      <c r="G824" s="36">
        <f>Tabla16[[#This Row],[Importe]]-Tabla16[[#This Row],[Pagado]]</f>
        <v>0</v>
      </c>
      <c r="H824" s="38" t="s">
        <v>10</v>
      </c>
    </row>
    <row r="825" spans="1:8" x14ac:dyDescent="0.25">
      <c r="A825" s="31">
        <v>44689</v>
      </c>
      <c r="B825" s="38" t="s">
        <v>14932</v>
      </c>
      <c r="C825" s="38" t="s">
        <v>37</v>
      </c>
      <c r="D825" s="34">
        <v>3163.1</v>
      </c>
      <c r="E825" s="35">
        <v>44689</v>
      </c>
      <c r="F825" s="34">
        <v>3163.1</v>
      </c>
      <c r="G825" s="36">
        <f>Tabla16[[#This Row],[Importe]]-Tabla16[[#This Row],[Pagado]]</f>
        <v>0</v>
      </c>
      <c r="H825" s="38" t="s">
        <v>10</v>
      </c>
    </row>
    <row r="826" spans="1:8" x14ac:dyDescent="0.25">
      <c r="A826" s="31">
        <v>44689</v>
      </c>
      <c r="B826" s="38" t="s">
        <v>14933</v>
      </c>
      <c r="C826" s="38" t="s">
        <v>2151</v>
      </c>
      <c r="D826" s="34">
        <v>7638.5</v>
      </c>
      <c r="E826" s="35">
        <v>44689</v>
      </c>
      <c r="F826" s="34">
        <v>7638.5</v>
      </c>
      <c r="G826" s="36">
        <f>Tabla16[[#This Row],[Importe]]-Tabla16[[#This Row],[Pagado]]</f>
        <v>0</v>
      </c>
      <c r="H826" s="38" t="s">
        <v>10</v>
      </c>
    </row>
    <row r="827" spans="1:8" x14ac:dyDescent="0.25">
      <c r="A827" s="31">
        <v>44689</v>
      </c>
      <c r="B827" s="38" t="s">
        <v>14934</v>
      </c>
      <c r="C827" s="38" t="s">
        <v>49</v>
      </c>
      <c r="D827" s="34">
        <v>3871.6</v>
      </c>
      <c r="E827" s="35">
        <v>44689</v>
      </c>
      <c r="F827" s="34">
        <v>3871.6</v>
      </c>
      <c r="G827" s="36">
        <f>Tabla16[[#This Row],[Importe]]-Tabla16[[#This Row],[Pagado]]</f>
        <v>0</v>
      </c>
      <c r="H827" s="38" t="s">
        <v>10</v>
      </c>
    </row>
    <row r="828" spans="1:8" ht="31.5" x14ac:dyDescent="0.25">
      <c r="A828" s="31">
        <v>44689</v>
      </c>
      <c r="B828" s="38" t="s">
        <v>14935</v>
      </c>
      <c r="C828" s="38" t="s">
        <v>22</v>
      </c>
      <c r="D828" s="34">
        <v>43805.8</v>
      </c>
      <c r="E828" s="35" t="s">
        <v>14936</v>
      </c>
      <c r="F828" s="34">
        <f>14000+29805.8</f>
        <v>43805.8</v>
      </c>
      <c r="G828" s="36">
        <f>Tabla16[[#This Row],[Importe]]-Tabla16[[#This Row],[Pagado]]</f>
        <v>0</v>
      </c>
      <c r="H828" s="38" t="s">
        <v>10</v>
      </c>
    </row>
    <row r="829" spans="1:8" x14ac:dyDescent="0.25">
      <c r="A829" s="31">
        <v>44689</v>
      </c>
      <c r="B829" s="38" t="s">
        <v>14937</v>
      </c>
      <c r="C829" s="38" t="s">
        <v>97</v>
      </c>
      <c r="D829" s="34">
        <v>6462.5</v>
      </c>
      <c r="E829" s="35">
        <v>44689</v>
      </c>
      <c r="F829" s="34">
        <v>6462.5</v>
      </c>
      <c r="G829" s="36">
        <f>Tabla16[[#This Row],[Importe]]-Tabla16[[#This Row],[Pagado]]</f>
        <v>0</v>
      </c>
      <c r="H829" s="38" t="s">
        <v>10</v>
      </c>
    </row>
    <row r="830" spans="1:8" x14ac:dyDescent="0.25">
      <c r="A830" s="31">
        <v>44689</v>
      </c>
      <c r="B830" s="38" t="s">
        <v>14938</v>
      </c>
      <c r="C830" s="38" t="s">
        <v>47</v>
      </c>
      <c r="D830" s="34">
        <v>22503.1</v>
      </c>
      <c r="E830" s="35">
        <v>44689</v>
      </c>
      <c r="F830" s="34">
        <v>22503.1</v>
      </c>
      <c r="G830" s="36">
        <f>Tabla16[[#This Row],[Importe]]-Tabla16[[#This Row],[Pagado]]</f>
        <v>0</v>
      </c>
      <c r="H830" s="38" t="s">
        <v>10</v>
      </c>
    </row>
    <row r="831" spans="1:8" x14ac:dyDescent="0.25">
      <c r="A831" s="31">
        <v>44689</v>
      </c>
      <c r="B831" s="38" t="s">
        <v>14939</v>
      </c>
      <c r="C831" s="38" t="s">
        <v>31</v>
      </c>
      <c r="D831" s="34">
        <v>2129.6</v>
      </c>
      <c r="E831" s="35">
        <v>44689</v>
      </c>
      <c r="F831" s="34">
        <v>2129.6</v>
      </c>
      <c r="G831" s="36">
        <f>Tabla16[[#This Row],[Importe]]-Tabla16[[#This Row],[Pagado]]</f>
        <v>0</v>
      </c>
      <c r="H831" s="38" t="s">
        <v>10</v>
      </c>
    </row>
    <row r="832" spans="1:8" x14ac:dyDescent="0.25">
      <c r="A832" s="31">
        <v>44689</v>
      </c>
      <c r="B832" s="38" t="s">
        <v>14940</v>
      </c>
      <c r="C832" s="38" t="s">
        <v>24</v>
      </c>
      <c r="D832" s="34">
        <v>476.7</v>
      </c>
      <c r="E832" s="35">
        <v>44689</v>
      </c>
      <c r="F832" s="34">
        <v>476.7</v>
      </c>
      <c r="G832" s="36">
        <f>Tabla16[[#This Row],[Importe]]-Tabla16[[#This Row],[Pagado]]</f>
        <v>0</v>
      </c>
      <c r="H832" s="38" t="s">
        <v>10</v>
      </c>
    </row>
    <row r="833" spans="1:8" x14ac:dyDescent="0.25">
      <c r="A833" s="31">
        <v>44689</v>
      </c>
      <c r="B833" s="38" t="s">
        <v>14941</v>
      </c>
      <c r="C833" s="38" t="s">
        <v>31</v>
      </c>
      <c r="D833" s="34">
        <v>1258.4000000000001</v>
      </c>
      <c r="E833" s="35">
        <v>44689</v>
      </c>
      <c r="F833" s="34">
        <v>1258.4000000000001</v>
      </c>
      <c r="G833" s="36">
        <f>Tabla16[[#This Row],[Importe]]-Tabla16[[#This Row],[Pagado]]</f>
        <v>0</v>
      </c>
      <c r="H833" s="38" t="s">
        <v>10</v>
      </c>
    </row>
    <row r="834" spans="1:8" x14ac:dyDescent="0.25">
      <c r="A834" s="31">
        <v>44689</v>
      </c>
      <c r="B834" s="38" t="s">
        <v>14942</v>
      </c>
      <c r="C834" s="38" t="s">
        <v>45</v>
      </c>
      <c r="D834" s="34">
        <v>9100.2000000000007</v>
      </c>
      <c r="E834" s="35">
        <v>44689</v>
      </c>
      <c r="F834" s="34">
        <v>9100.2000000000007</v>
      </c>
      <c r="G834" s="36">
        <f>Tabla16[[#This Row],[Importe]]-Tabla16[[#This Row],[Pagado]]</f>
        <v>0</v>
      </c>
      <c r="H834" s="38" t="s">
        <v>10</v>
      </c>
    </row>
    <row r="835" spans="1:8" x14ac:dyDescent="0.25">
      <c r="A835" s="31">
        <v>44689</v>
      </c>
      <c r="B835" s="38" t="s">
        <v>14943</v>
      </c>
      <c r="C835" s="38" t="s">
        <v>14944</v>
      </c>
      <c r="D835" s="34">
        <v>3651.6</v>
      </c>
      <c r="E835" s="35">
        <v>44689</v>
      </c>
      <c r="F835" s="34">
        <v>3651.6</v>
      </c>
      <c r="G835" s="36">
        <f>Tabla16[[#This Row],[Importe]]-Tabla16[[#This Row],[Pagado]]</f>
        <v>0</v>
      </c>
      <c r="H835" s="38" t="s">
        <v>10</v>
      </c>
    </row>
    <row r="836" spans="1:8" x14ac:dyDescent="0.25">
      <c r="A836" s="31">
        <v>44689</v>
      </c>
      <c r="B836" s="38" t="s">
        <v>14945</v>
      </c>
      <c r="C836" s="38" t="s">
        <v>9827</v>
      </c>
      <c r="D836" s="34">
        <v>561</v>
      </c>
      <c r="E836" s="35">
        <v>44689</v>
      </c>
      <c r="F836" s="34">
        <v>561</v>
      </c>
      <c r="G836" s="36">
        <f>Tabla16[[#This Row],[Importe]]-Tabla16[[#This Row],[Pagado]]</f>
        <v>0</v>
      </c>
      <c r="H836" s="38" t="s">
        <v>10</v>
      </c>
    </row>
    <row r="837" spans="1:8" x14ac:dyDescent="0.25">
      <c r="A837" s="31">
        <v>44689</v>
      </c>
      <c r="B837" s="38" t="s">
        <v>14946</v>
      </c>
      <c r="C837" s="38" t="s">
        <v>64</v>
      </c>
      <c r="D837" s="34">
        <v>5365.2</v>
      </c>
      <c r="E837" s="35">
        <v>44689</v>
      </c>
      <c r="F837" s="34">
        <v>5365.2</v>
      </c>
      <c r="G837" s="36">
        <f>Tabla16[[#This Row],[Importe]]-Tabla16[[#This Row],[Pagado]]</f>
        <v>0</v>
      </c>
      <c r="H837" s="38" t="s">
        <v>10</v>
      </c>
    </row>
    <row r="838" spans="1:8" x14ac:dyDescent="0.25">
      <c r="A838" s="31">
        <v>44689</v>
      </c>
      <c r="B838" s="38" t="s">
        <v>14947</v>
      </c>
      <c r="C838" s="38" t="s">
        <v>31</v>
      </c>
      <c r="D838" s="34">
        <v>1729.2</v>
      </c>
      <c r="E838" s="35">
        <v>44689</v>
      </c>
      <c r="F838" s="34">
        <v>1729.2</v>
      </c>
      <c r="G838" s="36">
        <f>Tabla16[[#This Row],[Importe]]-Tabla16[[#This Row],[Pagado]]</f>
        <v>0</v>
      </c>
      <c r="H838" s="38" t="s">
        <v>10</v>
      </c>
    </row>
    <row r="839" spans="1:8" x14ac:dyDescent="0.25">
      <c r="A839" s="31">
        <v>44689</v>
      </c>
      <c r="B839" s="38" t="s">
        <v>14948</v>
      </c>
      <c r="C839" s="38" t="s">
        <v>58</v>
      </c>
      <c r="D839" s="34">
        <v>3697.5</v>
      </c>
      <c r="E839" s="35">
        <v>44689</v>
      </c>
      <c r="F839" s="34">
        <v>3697.5</v>
      </c>
      <c r="G839" s="36">
        <f>Tabla16[[#This Row],[Importe]]-Tabla16[[#This Row],[Pagado]]</f>
        <v>0</v>
      </c>
      <c r="H839" s="38" t="s">
        <v>10</v>
      </c>
    </row>
    <row r="840" spans="1:8" x14ac:dyDescent="0.25">
      <c r="A840" s="31">
        <v>44689</v>
      </c>
      <c r="B840" s="38" t="s">
        <v>14949</v>
      </c>
      <c r="C840" s="38" t="s">
        <v>67</v>
      </c>
      <c r="D840" s="34">
        <v>4137.6000000000004</v>
      </c>
      <c r="E840" s="35">
        <v>44689</v>
      </c>
      <c r="F840" s="34">
        <v>4137.6000000000004</v>
      </c>
      <c r="G840" s="36">
        <f>Tabla16[[#This Row],[Importe]]-Tabla16[[#This Row],[Pagado]]</f>
        <v>0</v>
      </c>
      <c r="H840" s="38" t="s">
        <v>10</v>
      </c>
    </row>
    <row r="841" spans="1:8" x14ac:dyDescent="0.25">
      <c r="A841" s="31">
        <v>44689</v>
      </c>
      <c r="B841" s="38" t="s">
        <v>14950</v>
      </c>
      <c r="C841" s="38" t="s">
        <v>56</v>
      </c>
      <c r="D841" s="34">
        <v>6696.9</v>
      </c>
      <c r="E841" s="35">
        <v>44689</v>
      </c>
      <c r="F841" s="34">
        <v>6696.9</v>
      </c>
      <c r="G841" s="36">
        <f>Tabla16[[#This Row],[Importe]]-Tabla16[[#This Row],[Pagado]]</f>
        <v>0</v>
      </c>
      <c r="H841" s="38" t="s">
        <v>10</v>
      </c>
    </row>
    <row r="842" spans="1:8" x14ac:dyDescent="0.25">
      <c r="A842" s="31">
        <v>44689</v>
      </c>
      <c r="B842" s="38" t="s">
        <v>14951</v>
      </c>
      <c r="C842" s="38" t="s">
        <v>296</v>
      </c>
      <c r="D842" s="34">
        <v>2925.6</v>
      </c>
      <c r="E842" s="35">
        <v>44689</v>
      </c>
      <c r="F842" s="34">
        <v>2925.6</v>
      </c>
      <c r="G842" s="36">
        <f>Tabla16[[#This Row],[Importe]]-Tabla16[[#This Row],[Pagado]]</f>
        <v>0</v>
      </c>
      <c r="H842" s="38" t="s">
        <v>10</v>
      </c>
    </row>
    <row r="843" spans="1:8" x14ac:dyDescent="0.25">
      <c r="A843" s="31">
        <v>44689</v>
      </c>
      <c r="B843" s="38" t="s">
        <v>14952</v>
      </c>
      <c r="C843" s="38" t="s">
        <v>31</v>
      </c>
      <c r="D843" s="34">
        <v>586.5</v>
      </c>
      <c r="E843" s="35">
        <v>44689</v>
      </c>
      <c r="F843" s="34">
        <v>586.5</v>
      </c>
      <c r="G843" s="36">
        <f>Tabla16[[#This Row],[Importe]]-Tabla16[[#This Row],[Pagado]]</f>
        <v>0</v>
      </c>
      <c r="H843" s="38" t="s">
        <v>10</v>
      </c>
    </row>
    <row r="844" spans="1:8" x14ac:dyDescent="0.25">
      <c r="A844" s="31">
        <v>44689</v>
      </c>
      <c r="B844" s="38" t="s">
        <v>14953</v>
      </c>
      <c r="C844" s="38" t="s">
        <v>31</v>
      </c>
      <c r="D844" s="34">
        <v>634.79999999999995</v>
      </c>
      <c r="E844" s="35">
        <v>44689</v>
      </c>
      <c r="F844" s="34">
        <v>634.79999999999995</v>
      </c>
      <c r="G844" s="36">
        <f>Tabla16[[#This Row],[Importe]]-Tabla16[[#This Row],[Pagado]]</f>
        <v>0</v>
      </c>
      <c r="H844" s="38" t="s">
        <v>10</v>
      </c>
    </row>
    <row r="845" spans="1:8" x14ac:dyDescent="0.25">
      <c r="A845" s="31">
        <v>44689</v>
      </c>
      <c r="B845" s="38" t="s">
        <v>14954</v>
      </c>
      <c r="C845" s="38" t="s">
        <v>71</v>
      </c>
      <c r="D845" s="34">
        <v>3206.4</v>
      </c>
      <c r="E845" s="35">
        <v>44689</v>
      </c>
      <c r="F845" s="34">
        <v>3206.4</v>
      </c>
      <c r="G845" s="36">
        <f>Tabla16[[#This Row],[Importe]]-Tabla16[[#This Row],[Pagado]]</f>
        <v>0</v>
      </c>
      <c r="H845" s="38" t="s">
        <v>10</v>
      </c>
    </row>
    <row r="846" spans="1:8" x14ac:dyDescent="0.25">
      <c r="A846" s="31">
        <v>44689</v>
      </c>
      <c r="B846" s="38" t="s">
        <v>14955</v>
      </c>
      <c r="C846" s="38" t="s">
        <v>69</v>
      </c>
      <c r="D846" s="34">
        <v>2494.8000000000002</v>
      </c>
      <c r="E846" s="35" t="s">
        <v>14956</v>
      </c>
      <c r="F846" s="34">
        <v>2494.8000000000002</v>
      </c>
      <c r="G846" s="36">
        <f>Tabla16[[#This Row],[Importe]]-Tabla16[[#This Row],[Pagado]]</f>
        <v>0</v>
      </c>
      <c r="H846" s="38" t="s">
        <v>10</v>
      </c>
    </row>
    <row r="847" spans="1:8" x14ac:dyDescent="0.25">
      <c r="A847" s="31">
        <v>44689</v>
      </c>
      <c r="B847" s="38" t="s">
        <v>14957</v>
      </c>
      <c r="C847" s="38" t="s">
        <v>402</v>
      </c>
      <c r="D847" s="34">
        <v>15575.4</v>
      </c>
      <c r="E847" s="35">
        <v>44701</v>
      </c>
      <c r="F847" s="34">
        <v>15575.4</v>
      </c>
      <c r="G847" s="36">
        <f>Tabla16[[#This Row],[Importe]]-Tabla16[[#This Row],[Pagado]]</f>
        <v>0</v>
      </c>
      <c r="H847" s="38" t="s">
        <v>10</v>
      </c>
    </row>
    <row r="848" spans="1:8" x14ac:dyDescent="0.25">
      <c r="A848" s="31">
        <v>44689</v>
      </c>
      <c r="B848" s="38" t="s">
        <v>14958</v>
      </c>
      <c r="C848" s="38" t="s">
        <v>142</v>
      </c>
      <c r="D848" s="34">
        <v>494</v>
      </c>
      <c r="E848" s="35">
        <v>44722</v>
      </c>
      <c r="F848" s="34">
        <v>494</v>
      </c>
      <c r="G848" s="36">
        <f>Tabla16[[#This Row],[Importe]]-Tabla16[[#This Row],[Pagado]]</f>
        <v>0</v>
      </c>
      <c r="H848" s="38" t="s">
        <v>10</v>
      </c>
    </row>
    <row r="849" spans="1:8" x14ac:dyDescent="0.25">
      <c r="A849" s="31">
        <v>44689</v>
      </c>
      <c r="B849" s="38" t="s">
        <v>14959</v>
      </c>
      <c r="C849" s="38" t="s">
        <v>994</v>
      </c>
      <c r="D849" s="34">
        <v>532.9</v>
      </c>
      <c r="E849" s="35">
        <v>44689</v>
      </c>
      <c r="F849" s="34">
        <v>532.9</v>
      </c>
      <c r="G849" s="36">
        <f>Tabla16[[#This Row],[Importe]]-Tabla16[[#This Row],[Pagado]]</f>
        <v>0</v>
      </c>
      <c r="H849" s="38" t="s">
        <v>10</v>
      </c>
    </row>
    <row r="850" spans="1:8" x14ac:dyDescent="0.25">
      <c r="A850" s="31">
        <v>44689</v>
      </c>
      <c r="B850" s="38" t="s">
        <v>14960</v>
      </c>
      <c r="C850" s="38" t="s">
        <v>58</v>
      </c>
      <c r="D850" s="34">
        <v>1275</v>
      </c>
      <c r="E850" s="35">
        <v>44689</v>
      </c>
      <c r="F850" s="34">
        <v>1275</v>
      </c>
      <c r="G850" s="36">
        <f>Tabla16[[#This Row],[Importe]]-Tabla16[[#This Row],[Pagado]]</f>
        <v>0</v>
      </c>
      <c r="H850" s="38" t="s">
        <v>10</v>
      </c>
    </row>
    <row r="851" spans="1:8" x14ac:dyDescent="0.25">
      <c r="A851" s="31">
        <v>44689</v>
      </c>
      <c r="B851" s="38" t="s">
        <v>14961</v>
      </c>
      <c r="C851" s="38" t="s">
        <v>67</v>
      </c>
      <c r="D851" s="34">
        <v>1600</v>
      </c>
      <c r="E851" s="35">
        <v>44689</v>
      </c>
      <c r="F851" s="34">
        <v>1600</v>
      </c>
      <c r="G851" s="36">
        <f>Tabla16[[#This Row],[Importe]]-Tabla16[[#This Row],[Pagado]]</f>
        <v>0</v>
      </c>
      <c r="H851" s="38" t="s">
        <v>10</v>
      </c>
    </row>
    <row r="852" spans="1:8" x14ac:dyDescent="0.25">
      <c r="A852" s="31">
        <v>44689</v>
      </c>
      <c r="B852" s="38" t="s">
        <v>14962</v>
      </c>
      <c r="C852" s="38" t="s">
        <v>7745</v>
      </c>
      <c r="D852" s="34">
        <v>19635</v>
      </c>
      <c r="E852" s="35">
        <v>44689</v>
      </c>
      <c r="F852" s="34">
        <v>19635</v>
      </c>
      <c r="G852" s="36">
        <f>Tabla16[[#This Row],[Importe]]-Tabla16[[#This Row],[Pagado]]</f>
        <v>0</v>
      </c>
      <c r="H852" s="38" t="s">
        <v>10</v>
      </c>
    </row>
    <row r="853" spans="1:8" x14ac:dyDescent="0.25">
      <c r="A853" s="31">
        <v>44689</v>
      </c>
      <c r="B853" s="38" t="s">
        <v>14963</v>
      </c>
      <c r="C853" s="38" t="s">
        <v>214</v>
      </c>
      <c r="D853" s="34">
        <v>1122</v>
      </c>
      <c r="E853" s="35">
        <v>44689</v>
      </c>
      <c r="F853" s="34">
        <v>1122</v>
      </c>
      <c r="G853" s="36">
        <f>Tabla16[[#This Row],[Importe]]-Tabla16[[#This Row],[Pagado]]</f>
        <v>0</v>
      </c>
      <c r="H853" s="38" t="s">
        <v>10</v>
      </c>
    </row>
    <row r="854" spans="1:8" x14ac:dyDescent="0.25">
      <c r="A854" s="31">
        <v>44690</v>
      </c>
      <c r="B854" s="38" t="s">
        <v>14964</v>
      </c>
      <c r="C854" s="38" t="s">
        <v>12</v>
      </c>
      <c r="D854" s="34">
        <v>23908.799999999999</v>
      </c>
      <c r="E854" s="35">
        <v>44690</v>
      </c>
      <c r="F854" s="34">
        <v>23908.799999999999</v>
      </c>
      <c r="G854" s="36">
        <f>Tabla16[[#This Row],[Importe]]-Tabla16[[#This Row],[Pagado]]</f>
        <v>0</v>
      </c>
      <c r="H854" s="38" t="s">
        <v>10</v>
      </c>
    </row>
    <row r="855" spans="1:8" x14ac:dyDescent="0.25">
      <c r="A855" s="31">
        <v>44690</v>
      </c>
      <c r="B855" s="38" t="s">
        <v>14965</v>
      </c>
      <c r="C855" s="38" t="s">
        <v>12</v>
      </c>
      <c r="D855" s="34">
        <v>42990.65</v>
      </c>
      <c r="E855" s="35">
        <v>44690</v>
      </c>
      <c r="F855" s="34">
        <v>42990.65</v>
      </c>
      <c r="G855" s="36">
        <f>Tabla16[[#This Row],[Importe]]-Tabla16[[#This Row],[Pagado]]</f>
        <v>0</v>
      </c>
      <c r="H855" s="38" t="s">
        <v>10</v>
      </c>
    </row>
    <row r="856" spans="1:8" x14ac:dyDescent="0.25">
      <c r="A856" s="31">
        <v>44690</v>
      </c>
      <c r="B856" s="38" t="s">
        <v>14966</v>
      </c>
      <c r="C856" s="38" t="s">
        <v>85</v>
      </c>
      <c r="D856" s="34">
        <v>640.20000000000005</v>
      </c>
      <c r="E856" s="35">
        <v>44690</v>
      </c>
      <c r="F856" s="34">
        <v>640.20000000000005</v>
      </c>
      <c r="G856" s="36">
        <f>Tabla16[[#This Row],[Importe]]-Tabla16[[#This Row],[Pagado]]</f>
        <v>0</v>
      </c>
      <c r="H856" s="38" t="s">
        <v>10</v>
      </c>
    </row>
    <row r="857" spans="1:8" x14ac:dyDescent="0.25">
      <c r="A857" s="31">
        <v>44690</v>
      </c>
      <c r="B857" s="38" t="s">
        <v>14967</v>
      </c>
      <c r="C857" s="38" t="s">
        <v>475</v>
      </c>
      <c r="D857" s="34">
        <v>81230.8</v>
      </c>
      <c r="E857" s="35">
        <v>44692</v>
      </c>
      <c r="F857" s="34">
        <v>81230.8</v>
      </c>
      <c r="G857" s="36">
        <f>Tabla16[[#This Row],[Importe]]-Tabla16[[#This Row],[Pagado]]</f>
        <v>0</v>
      </c>
      <c r="H857" s="38" t="s">
        <v>10</v>
      </c>
    </row>
    <row r="858" spans="1:8" x14ac:dyDescent="0.25">
      <c r="A858" s="31">
        <v>44690</v>
      </c>
      <c r="B858" s="38" t="s">
        <v>14968</v>
      </c>
      <c r="C858" s="38" t="s">
        <v>9</v>
      </c>
      <c r="D858" s="34">
        <v>3931.9</v>
      </c>
      <c r="E858" s="35">
        <v>44690</v>
      </c>
      <c r="F858" s="34">
        <v>3931.9</v>
      </c>
      <c r="G858" s="36">
        <f>Tabla16[[#This Row],[Importe]]-Tabla16[[#This Row],[Pagado]]</f>
        <v>0</v>
      </c>
      <c r="H858" s="38" t="s">
        <v>10</v>
      </c>
    </row>
    <row r="859" spans="1:8" x14ac:dyDescent="0.25">
      <c r="A859" s="31">
        <v>44690</v>
      </c>
      <c r="B859" s="38" t="s">
        <v>14969</v>
      </c>
      <c r="C859" s="38" t="s">
        <v>27</v>
      </c>
      <c r="D859" s="34">
        <v>5923.6</v>
      </c>
      <c r="E859" s="35">
        <v>44690</v>
      </c>
      <c r="F859" s="34">
        <v>5923.6</v>
      </c>
      <c r="G859" s="36">
        <f>Tabla16[[#This Row],[Importe]]-Tabla16[[#This Row],[Pagado]]</f>
        <v>0</v>
      </c>
      <c r="H859" s="38" t="s">
        <v>10</v>
      </c>
    </row>
    <row r="860" spans="1:8" ht="31.5" x14ac:dyDescent="0.25">
      <c r="A860" s="31">
        <v>44690</v>
      </c>
      <c r="B860" s="38" t="s">
        <v>14970</v>
      </c>
      <c r="C860" s="38" t="s">
        <v>22</v>
      </c>
      <c r="D860" s="34">
        <v>44487.4</v>
      </c>
      <c r="E860" s="35" t="s">
        <v>14971</v>
      </c>
      <c r="F860" s="34">
        <f>34000+10487.4</f>
        <v>44487.4</v>
      </c>
      <c r="G860" s="36">
        <f>Tabla16[[#This Row],[Importe]]-Tabla16[[#This Row],[Pagado]]</f>
        <v>0</v>
      </c>
      <c r="H860" s="38" t="s">
        <v>10</v>
      </c>
    </row>
    <row r="861" spans="1:8" x14ac:dyDescent="0.25">
      <c r="A861" s="31">
        <v>44690</v>
      </c>
      <c r="B861" s="38" t="s">
        <v>14972</v>
      </c>
      <c r="C861" s="38" t="s">
        <v>31</v>
      </c>
      <c r="D861" s="34">
        <v>1932.2</v>
      </c>
      <c r="E861" s="35">
        <v>44690</v>
      </c>
      <c r="F861" s="34">
        <v>1932.2</v>
      </c>
      <c r="G861" s="36">
        <f>Tabla16[[#This Row],[Importe]]-Tabla16[[#This Row],[Pagado]]</f>
        <v>0</v>
      </c>
      <c r="H861" s="38" t="s">
        <v>10</v>
      </c>
    </row>
    <row r="862" spans="1:8" x14ac:dyDescent="0.25">
      <c r="A862" s="31">
        <v>44690</v>
      </c>
      <c r="B862" s="38" t="s">
        <v>14973</v>
      </c>
      <c r="C862" s="38" t="s">
        <v>75</v>
      </c>
      <c r="D862" s="34">
        <v>7141.2</v>
      </c>
      <c r="E862" s="35">
        <v>44690</v>
      </c>
      <c r="F862" s="34">
        <v>7141.2</v>
      </c>
      <c r="G862" s="36">
        <f>Tabla16[[#This Row],[Importe]]-Tabla16[[#This Row],[Pagado]]</f>
        <v>0</v>
      </c>
      <c r="H862" s="38" t="s">
        <v>10</v>
      </c>
    </row>
    <row r="863" spans="1:8" x14ac:dyDescent="0.25">
      <c r="A863" s="31">
        <v>44690</v>
      </c>
      <c r="B863" s="38" t="s">
        <v>14974</v>
      </c>
      <c r="C863" s="38" t="s">
        <v>83</v>
      </c>
      <c r="D863" s="34">
        <v>7613.6</v>
      </c>
      <c r="E863" s="35">
        <v>44690</v>
      </c>
      <c r="F863" s="34">
        <v>7613.6</v>
      </c>
      <c r="G863" s="36">
        <f>Tabla16[[#This Row],[Importe]]-Tabla16[[#This Row],[Pagado]]</f>
        <v>0</v>
      </c>
      <c r="H863" s="38" t="s">
        <v>10</v>
      </c>
    </row>
    <row r="864" spans="1:8" x14ac:dyDescent="0.25">
      <c r="A864" s="31">
        <v>44690</v>
      </c>
      <c r="B864" s="38" t="s">
        <v>14975</v>
      </c>
      <c r="C864" s="38" t="s">
        <v>87</v>
      </c>
      <c r="D864" s="34">
        <v>2052.6</v>
      </c>
      <c r="E864" s="35">
        <v>44690</v>
      </c>
      <c r="F864" s="34">
        <v>2052.6</v>
      </c>
      <c r="G864" s="36">
        <f>Tabla16[[#This Row],[Importe]]-Tabla16[[#This Row],[Pagado]]</f>
        <v>0</v>
      </c>
      <c r="H864" s="38" t="s">
        <v>10</v>
      </c>
    </row>
    <row r="865" spans="1:8" x14ac:dyDescent="0.25">
      <c r="A865" s="31">
        <v>44690</v>
      </c>
      <c r="B865" s="38" t="s">
        <v>14976</v>
      </c>
      <c r="C865" s="38" t="s">
        <v>314</v>
      </c>
      <c r="D865" s="34">
        <v>1247.4000000000001</v>
      </c>
      <c r="E865" s="35">
        <v>44690</v>
      </c>
      <c r="F865" s="34">
        <v>1247.4000000000001</v>
      </c>
      <c r="G865" s="36">
        <f>Tabla16[[#This Row],[Importe]]-Tabla16[[#This Row],[Pagado]]</f>
        <v>0</v>
      </c>
      <c r="H865" s="38" t="s">
        <v>10</v>
      </c>
    </row>
    <row r="866" spans="1:8" x14ac:dyDescent="0.25">
      <c r="A866" s="31">
        <v>44690</v>
      </c>
      <c r="B866" s="38" t="s">
        <v>14977</v>
      </c>
      <c r="C866" s="38" t="s">
        <v>373</v>
      </c>
      <c r="D866" s="34">
        <v>3779.1</v>
      </c>
      <c r="E866" s="35">
        <v>44690</v>
      </c>
      <c r="F866" s="34">
        <v>3779.1</v>
      </c>
      <c r="G866" s="36">
        <f>Tabla16[[#This Row],[Importe]]-Tabla16[[#This Row],[Pagado]]</f>
        <v>0</v>
      </c>
      <c r="H866" s="38" t="s">
        <v>10</v>
      </c>
    </row>
    <row r="867" spans="1:8" x14ac:dyDescent="0.25">
      <c r="A867" s="31">
        <v>44690</v>
      </c>
      <c r="B867" s="38" t="s">
        <v>14978</v>
      </c>
      <c r="C867" s="38" t="s">
        <v>120</v>
      </c>
      <c r="D867" s="34">
        <v>3710</v>
      </c>
      <c r="E867" s="35">
        <v>44692</v>
      </c>
      <c r="F867" s="34">
        <v>3710</v>
      </c>
      <c r="G867" s="36">
        <f>Tabla16[[#This Row],[Importe]]-Tabla16[[#This Row],[Pagado]]</f>
        <v>0</v>
      </c>
      <c r="H867" s="38" t="s">
        <v>10</v>
      </c>
    </row>
    <row r="868" spans="1:8" x14ac:dyDescent="0.25">
      <c r="A868" s="31">
        <v>44690</v>
      </c>
      <c r="B868" s="38" t="s">
        <v>14979</v>
      </c>
      <c r="C868" s="38" t="s">
        <v>109</v>
      </c>
      <c r="D868" s="34">
        <v>4600.2</v>
      </c>
      <c r="E868" s="35">
        <v>44691</v>
      </c>
      <c r="F868" s="34">
        <v>4600.2</v>
      </c>
      <c r="G868" s="36">
        <f>Tabla16[[#This Row],[Importe]]-Tabla16[[#This Row],[Pagado]]</f>
        <v>0</v>
      </c>
      <c r="H868" s="38" t="s">
        <v>10</v>
      </c>
    </row>
    <row r="869" spans="1:8" x14ac:dyDescent="0.25">
      <c r="A869" s="31">
        <v>44690</v>
      </c>
      <c r="B869" s="38" t="s">
        <v>14980</v>
      </c>
      <c r="C869" s="38" t="s">
        <v>60</v>
      </c>
      <c r="D869" s="34">
        <v>7785.7</v>
      </c>
      <c r="E869" s="35">
        <v>44694</v>
      </c>
      <c r="F869" s="34">
        <v>7785.7</v>
      </c>
      <c r="G869" s="36">
        <f>Tabla16[[#This Row],[Importe]]-Tabla16[[#This Row],[Pagado]]</f>
        <v>0</v>
      </c>
      <c r="H869" s="38" t="s">
        <v>10</v>
      </c>
    </row>
    <row r="870" spans="1:8" x14ac:dyDescent="0.25">
      <c r="A870" s="31">
        <v>44690</v>
      </c>
      <c r="B870" s="38" t="s">
        <v>14981</v>
      </c>
      <c r="C870" s="38" t="s">
        <v>275</v>
      </c>
      <c r="D870" s="34">
        <v>109321.09</v>
      </c>
      <c r="E870" s="35">
        <v>44708</v>
      </c>
      <c r="F870" s="34">
        <v>109321.09</v>
      </c>
      <c r="G870" s="36">
        <f>Tabla16[[#This Row],[Importe]]-Tabla16[[#This Row],[Pagado]]</f>
        <v>0</v>
      </c>
      <c r="H870" s="38" t="s">
        <v>10</v>
      </c>
    </row>
    <row r="871" spans="1:8" x14ac:dyDescent="0.25">
      <c r="A871" s="31">
        <v>44690</v>
      </c>
      <c r="B871" s="38" t="s">
        <v>14982</v>
      </c>
      <c r="C871" s="38" t="s">
        <v>97</v>
      </c>
      <c r="D871" s="34">
        <v>3774</v>
      </c>
      <c r="E871" s="35">
        <v>44691</v>
      </c>
      <c r="F871" s="34">
        <v>3774</v>
      </c>
      <c r="G871" s="36">
        <f>Tabla16[[#This Row],[Importe]]-Tabla16[[#This Row],[Pagado]]</f>
        <v>0</v>
      </c>
      <c r="H871" s="38" t="s">
        <v>10</v>
      </c>
    </row>
    <row r="872" spans="1:8" x14ac:dyDescent="0.25">
      <c r="A872" s="31">
        <v>44690</v>
      </c>
      <c r="B872" s="38" t="s">
        <v>14983</v>
      </c>
      <c r="C872" s="38" t="s">
        <v>116</v>
      </c>
      <c r="D872" s="34">
        <v>3699.4</v>
      </c>
      <c r="E872" s="35">
        <v>44690</v>
      </c>
      <c r="F872" s="34">
        <v>3699.4</v>
      </c>
      <c r="G872" s="36">
        <f>Tabla16[[#This Row],[Importe]]-Tabla16[[#This Row],[Pagado]]</f>
        <v>0</v>
      </c>
      <c r="H872" s="38" t="s">
        <v>10</v>
      </c>
    </row>
    <row r="873" spans="1:8" x14ac:dyDescent="0.25">
      <c r="A873" s="31">
        <v>44690</v>
      </c>
      <c r="B873" s="38" t="s">
        <v>14984</v>
      </c>
      <c r="C873" s="38" t="s">
        <v>2780</v>
      </c>
      <c r="D873" s="34">
        <v>15823.4</v>
      </c>
      <c r="E873" s="35">
        <v>44690</v>
      </c>
      <c r="F873" s="34">
        <v>15823.4</v>
      </c>
      <c r="G873" s="36">
        <f>Tabla16[[#This Row],[Importe]]-Tabla16[[#This Row],[Pagado]]</f>
        <v>0</v>
      </c>
      <c r="H873" s="38" t="s">
        <v>10</v>
      </c>
    </row>
    <row r="874" spans="1:8" x14ac:dyDescent="0.25">
      <c r="A874" s="31">
        <v>44690</v>
      </c>
      <c r="B874" s="38" t="s">
        <v>14985</v>
      </c>
      <c r="C874" s="38" t="s">
        <v>348</v>
      </c>
      <c r="D874" s="34">
        <v>4443.8</v>
      </c>
      <c r="E874" s="35">
        <v>44690</v>
      </c>
      <c r="F874" s="34">
        <v>4443.8</v>
      </c>
      <c r="G874" s="36">
        <f>Tabla16[[#This Row],[Importe]]-Tabla16[[#This Row],[Pagado]]</f>
        <v>0</v>
      </c>
      <c r="H874" s="38" t="s">
        <v>10</v>
      </c>
    </row>
    <row r="875" spans="1:8" x14ac:dyDescent="0.25">
      <c r="A875" s="31">
        <v>44690</v>
      </c>
      <c r="B875" s="38" t="s">
        <v>14986</v>
      </c>
      <c r="C875" s="38" t="s">
        <v>2151</v>
      </c>
      <c r="D875" s="34">
        <v>17355.3</v>
      </c>
      <c r="E875" s="35">
        <v>44690</v>
      </c>
      <c r="F875" s="34">
        <v>17355.3</v>
      </c>
      <c r="G875" s="36">
        <f>Tabla16[[#This Row],[Importe]]-Tabla16[[#This Row],[Pagado]]</f>
        <v>0</v>
      </c>
      <c r="H875" s="38" t="s">
        <v>10</v>
      </c>
    </row>
    <row r="876" spans="1:8" x14ac:dyDescent="0.25">
      <c r="A876" s="31">
        <v>44690</v>
      </c>
      <c r="B876" s="38" t="s">
        <v>14987</v>
      </c>
      <c r="C876" s="38" t="s">
        <v>111</v>
      </c>
      <c r="D876" s="34">
        <v>4105.5</v>
      </c>
      <c r="E876" s="35">
        <v>44691</v>
      </c>
      <c r="F876" s="34">
        <v>4105.5</v>
      </c>
      <c r="G876" s="36">
        <f>Tabla16[[#This Row],[Importe]]-Tabla16[[#This Row],[Pagado]]</f>
        <v>0</v>
      </c>
      <c r="H876" s="38" t="s">
        <v>10</v>
      </c>
    </row>
    <row r="877" spans="1:8" x14ac:dyDescent="0.25">
      <c r="A877" s="31">
        <v>44690</v>
      </c>
      <c r="B877" s="38" t="s">
        <v>14988</v>
      </c>
      <c r="C877" s="38" t="s">
        <v>11033</v>
      </c>
      <c r="D877" s="34">
        <v>2668.8</v>
      </c>
      <c r="E877" s="35">
        <v>44690</v>
      </c>
      <c r="F877" s="34">
        <v>2668.8</v>
      </c>
      <c r="G877" s="36">
        <f>Tabla16[[#This Row],[Importe]]-Tabla16[[#This Row],[Pagado]]</f>
        <v>0</v>
      </c>
      <c r="H877" s="38" t="s">
        <v>10</v>
      </c>
    </row>
    <row r="878" spans="1:8" x14ac:dyDescent="0.25">
      <c r="A878" s="31">
        <v>44690</v>
      </c>
      <c r="B878" s="38" t="s">
        <v>14989</v>
      </c>
      <c r="C878" s="38" t="s">
        <v>105</v>
      </c>
      <c r="D878" s="34">
        <v>6056.4</v>
      </c>
      <c r="E878" s="35">
        <v>44691</v>
      </c>
      <c r="F878" s="34">
        <v>6056.4</v>
      </c>
      <c r="G878" s="36">
        <f>Tabla16[[#This Row],[Importe]]-Tabla16[[#This Row],[Pagado]]</f>
        <v>0</v>
      </c>
      <c r="H878" s="38" t="s">
        <v>10</v>
      </c>
    </row>
    <row r="879" spans="1:8" x14ac:dyDescent="0.25">
      <c r="A879" s="31">
        <v>44690</v>
      </c>
      <c r="B879" s="38" t="s">
        <v>14990</v>
      </c>
      <c r="C879" s="38" t="s">
        <v>83</v>
      </c>
      <c r="D879" s="34">
        <v>2695.6</v>
      </c>
      <c r="E879" s="35">
        <v>44690</v>
      </c>
      <c r="F879" s="34">
        <v>2695.6</v>
      </c>
      <c r="G879" s="36">
        <f>Tabla16[[#This Row],[Importe]]-Tabla16[[#This Row],[Pagado]]</f>
        <v>0</v>
      </c>
      <c r="H879" s="38" t="s">
        <v>10</v>
      </c>
    </row>
    <row r="880" spans="1:8" x14ac:dyDescent="0.25">
      <c r="A880" s="31">
        <v>44690</v>
      </c>
      <c r="B880" s="38" t="s">
        <v>14991</v>
      </c>
      <c r="C880" s="38" t="s">
        <v>64</v>
      </c>
      <c r="D880" s="34">
        <v>16025.8</v>
      </c>
      <c r="E880" s="35">
        <v>44692</v>
      </c>
      <c r="F880" s="34">
        <v>16025.8</v>
      </c>
      <c r="G880" s="36">
        <f>Tabla16[[#This Row],[Importe]]-Tabla16[[#This Row],[Pagado]]</f>
        <v>0</v>
      </c>
      <c r="H880" s="38" t="s">
        <v>10</v>
      </c>
    </row>
    <row r="881" spans="1:8" x14ac:dyDescent="0.25">
      <c r="A881" s="31">
        <v>44690</v>
      </c>
      <c r="B881" s="38" t="s">
        <v>14992</v>
      </c>
      <c r="C881" s="38" t="s">
        <v>39</v>
      </c>
      <c r="D881" s="34">
        <v>21177.200000000001</v>
      </c>
      <c r="E881" s="35">
        <v>44691</v>
      </c>
      <c r="F881" s="34">
        <v>21177.200000000001</v>
      </c>
      <c r="G881" s="36">
        <f>Tabla16[[#This Row],[Importe]]-Tabla16[[#This Row],[Pagado]]</f>
        <v>0</v>
      </c>
      <c r="H881" s="38" t="s">
        <v>10</v>
      </c>
    </row>
    <row r="882" spans="1:8" x14ac:dyDescent="0.25">
      <c r="A882" s="31">
        <v>44690</v>
      </c>
      <c r="B882" s="38" t="s">
        <v>14993</v>
      </c>
      <c r="C882" s="38" t="s">
        <v>13946</v>
      </c>
      <c r="D882" s="34">
        <v>1020</v>
      </c>
      <c r="E882" s="35">
        <v>44691</v>
      </c>
      <c r="F882" s="34">
        <v>1020</v>
      </c>
      <c r="G882" s="36">
        <f>Tabla16[[#This Row],[Importe]]-Tabla16[[#This Row],[Pagado]]</f>
        <v>0</v>
      </c>
      <c r="H882" s="38" t="s">
        <v>10</v>
      </c>
    </row>
    <row r="883" spans="1:8" x14ac:dyDescent="0.25">
      <c r="A883" s="31">
        <v>44690</v>
      </c>
      <c r="B883" s="38" t="s">
        <v>14994</v>
      </c>
      <c r="C883" s="38" t="s">
        <v>1275</v>
      </c>
      <c r="D883" s="34">
        <v>33405.1</v>
      </c>
      <c r="E883" s="35">
        <v>44690</v>
      </c>
      <c r="F883" s="34">
        <v>33405.1</v>
      </c>
      <c r="G883" s="36">
        <f>Tabla16[[#This Row],[Importe]]-Tabla16[[#This Row],[Pagado]]</f>
        <v>0</v>
      </c>
      <c r="H883" s="38" t="s">
        <v>10</v>
      </c>
    </row>
    <row r="884" spans="1:8" x14ac:dyDescent="0.25">
      <c r="A884" s="31">
        <v>44690</v>
      </c>
      <c r="B884" s="38" t="s">
        <v>14995</v>
      </c>
      <c r="C884" s="38" t="s">
        <v>93</v>
      </c>
      <c r="D884" s="34">
        <v>7870</v>
      </c>
      <c r="E884" s="35">
        <v>44691</v>
      </c>
      <c r="F884" s="34">
        <v>7870</v>
      </c>
      <c r="G884" s="36">
        <f>Tabla16[[#This Row],[Importe]]-Tabla16[[#This Row],[Pagado]]</f>
        <v>0</v>
      </c>
      <c r="H884" s="38" t="s">
        <v>10</v>
      </c>
    </row>
    <row r="885" spans="1:8" x14ac:dyDescent="0.25">
      <c r="A885" s="31">
        <v>44690</v>
      </c>
      <c r="B885" s="38" t="s">
        <v>14996</v>
      </c>
      <c r="C885" s="38" t="s">
        <v>275</v>
      </c>
      <c r="D885" s="34">
        <v>10781.6</v>
      </c>
      <c r="E885" s="35">
        <v>44708</v>
      </c>
      <c r="F885" s="34">
        <v>10781.6</v>
      </c>
      <c r="G885" s="36">
        <f>Tabla16[[#This Row],[Importe]]-Tabla16[[#This Row],[Pagado]]</f>
        <v>0</v>
      </c>
      <c r="H885" s="38" t="s">
        <v>10</v>
      </c>
    </row>
    <row r="886" spans="1:8" x14ac:dyDescent="0.25">
      <c r="A886" s="31">
        <v>44690</v>
      </c>
      <c r="B886" s="38" t="s">
        <v>14997</v>
      </c>
      <c r="C886" s="38" t="s">
        <v>99</v>
      </c>
      <c r="D886" s="34">
        <v>3035.5</v>
      </c>
      <c r="E886" s="35">
        <v>44691</v>
      </c>
      <c r="F886" s="34">
        <v>3035.5</v>
      </c>
      <c r="G886" s="36">
        <f>Tabla16[[#This Row],[Importe]]-Tabla16[[#This Row],[Pagado]]</f>
        <v>0</v>
      </c>
      <c r="H886" s="38" t="s">
        <v>10</v>
      </c>
    </row>
    <row r="887" spans="1:8" x14ac:dyDescent="0.25">
      <c r="A887" s="31">
        <v>44690</v>
      </c>
      <c r="B887" s="38" t="s">
        <v>14998</v>
      </c>
      <c r="C887" s="38" t="s">
        <v>196</v>
      </c>
      <c r="D887" s="34">
        <v>119272.64</v>
      </c>
      <c r="E887" s="35">
        <v>44694</v>
      </c>
      <c r="F887" s="34">
        <v>119272.64</v>
      </c>
      <c r="G887" s="36">
        <f>Tabla16[[#This Row],[Importe]]-Tabla16[[#This Row],[Pagado]]</f>
        <v>0</v>
      </c>
      <c r="H887" s="38" t="s">
        <v>10</v>
      </c>
    </row>
    <row r="888" spans="1:8" x14ac:dyDescent="0.25">
      <c r="A888" s="31">
        <v>44690</v>
      </c>
      <c r="B888" s="38" t="s">
        <v>14999</v>
      </c>
      <c r="C888" s="38" t="s">
        <v>142</v>
      </c>
      <c r="D888" s="34">
        <v>66113.67</v>
      </c>
      <c r="E888" s="35">
        <v>44722</v>
      </c>
      <c r="F888" s="34">
        <v>66113.67</v>
      </c>
      <c r="G888" s="36">
        <f>Tabla16[[#This Row],[Importe]]-Tabla16[[#This Row],[Pagado]]</f>
        <v>0</v>
      </c>
      <c r="H888" s="38" t="s">
        <v>10</v>
      </c>
    </row>
    <row r="889" spans="1:8" x14ac:dyDescent="0.25">
      <c r="A889" s="31">
        <v>44690</v>
      </c>
      <c r="B889" s="38" t="s">
        <v>15000</v>
      </c>
      <c r="C889" s="38" t="s">
        <v>161</v>
      </c>
      <c r="D889" s="34">
        <v>2104.1999999999998</v>
      </c>
      <c r="E889" s="35">
        <v>44690</v>
      </c>
      <c r="F889" s="34">
        <v>2104.1999999999998</v>
      </c>
      <c r="G889" s="36">
        <f>Tabla16[[#This Row],[Importe]]-Tabla16[[#This Row],[Pagado]]</f>
        <v>0</v>
      </c>
      <c r="H889" s="38" t="s">
        <v>10</v>
      </c>
    </row>
    <row r="890" spans="1:8" x14ac:dyDescent="0.25">
      <c r="A890" s="31">
        <v>44690</v>
      </c>
      <c r="B890" s="38" t="s">
        <v>15001</v>
      </c>
      <c r="C890" s="38" t="s">
        <v>222</v>
      </c>
      <c r="D890" s="34">
        <v>9371.4</v>
      </c>
      <c r="E890" s="35">
        <v>44690</v>
      </c>
      <c r="F890" s="34">
        <v>9371.4</v>
      </c>
      <c r="G890" s="36">
        <f>Tabla16[[#This Row],[Importe]]-Tabla16[[#This Row],[Pagado]]</f>
        <v>0</v>
      </c>
      <c r="H890" s="38" t="s">
        <v>10</v>
      </c>
    </row>
    <row r="891" spans="1:8" x14ac:dyDescent="0.25">
      <c r="A891" s="31">
        <v>44690</v>
      </c>
      <c r="B891" s="38" t="s">
        <v>15002</v>
      </c>
      <c r="C891" s="38" t="s">
        <v>146</v>
      </c>
      <c r="D891" s="34">
        <v>3440.8</v>
      </c>
      <c r="E891" s="35">
        <v>44690</v>
      </c>
      <c r="F891" s="34">
        <v>3440.8</v>
      </c>
      <c r="G891" s="36">
        <f>Tabla16[[#This Row],[Importe]]-Tabla16[[#This Row],[Pagado]]</f>
        <v>0</v>
      </c>
      <c r="H891" s="38" t="s">
        <v>10</v>
      </c>
    </row>
    <row r="892" spans="1:8" x14ac:dyDescent="0.25">
      <c r="A892" s="31">
        <v>44690</v>
      </c>
      <c r="B892" s="38" t="s">
        <v>15003</v>
      </c>
      <c r="C892" s="38" t="s">
        <v>135</v>
      </c>
      <c r="D892" s="34">
        <v>1736.4</v>
      </c>
      <c r="E892" s="35">
        <v>44690</v>
      </c>
      <c r="F892" s="34">
        <v>1736.4</v>
      </c>
      <c r="G892" s="36">
        <f>Tabla16[[#This Row],[Importe]]-Tabla16[[#This Row],[Pagado]]</f>
        <v>0</v>
      </c>
      <c r="H892" s="38" t="s">
        <v>10</v>
      </c>
    </row>
    <row r="893" spans="1:8" x14ac:dyDescent="0.25">
      <c r="A893" s="31">
        <v>44690</v>
      </c>
      <c r="B893" s="38" t="s">
        <v>15004</v>
      </c>
      <c r="C893" s="38" t="s">
        <v>365</v>
      </c>
      <c r="D893" s="34">
        <v>852.6</v>
      </c>
      <c r="E893" s="35">
        <v>44690</v>
      </c>
      <c r="F893" s="34">
        <v>852.6</v>
      </c>
      <c r="G893" s="36">
        <f>Tabla16[[#This Row],[Importe]]-Tabla16[[#This Row],[Pagado]]</f>
        <v>0</v>
      </c>
      <c r="H893" s="38" t="s">
        <v>10</v>
      </c>
    </row>
    <row r="894" spans="1:8" x14ac:dyDescent="0.25">
      <c r="A894" s="31">
        <v>44690</v>
      </c>
      <c r="B894" s="38" t="s">
        <v>15005</v>
      </c>
      <c r="C894" s="38" t="s">
        <v>196</v>
      </c>
      <c r="D894" s="34">
        <v>1299.5999999999999</v>
      </c>
      <c r="E894" s="35">
        <v>44694</v>
      </c>
      <c r="F894" s="34">
        <v>1299.5999999999999</v>
      </c>
      <c r="G894" s="36">
        <f>Tabla16[[#This Row],[Importe]]-Tabla16[[#This Row],[Pagado]]</f>
        <v>0</v>
      </c>
      <c r="H894" s="38" t="s">
        <v>10</v>
      </c>
    </row>
    <row r="895" spans="1:8" x14ac:dyDescent="0.25">
      <c r="A895" s="31">
        <v>44690</v>
      </c>
      <c r="B895" s="38" t="s">
        <v>15006</v>
      </c>
      <c r="C895" s="38" t="s">
        <v>1275</v>
      </c>
      <c r="D895" s="34">
        <v>5724.7</v>
      </c>
      <c r="E895" s="35">
        <v>44690</v>
      </c>
      <c r="F895" s="34">
        <v>5724.7</v>
      </c>
      <c r="G895" s="36">
        <f>Tabla16[[#This Row],[Importe]]-Tabla16[[#This Row],[Pagado]]</f>
        <v>0</v>
      </c>
      <c r="H895" s="38" t="s">
        <v>10</v>
      </c>
    </row>
    <row r="896" spans="1:8" x14ac:dyDescent="0.25">
      <c r="A896" s="31">
        <v>44690</v>
      </c>
      <c r="B896" s="38" t="s">
        <v>15007</v>
      </c>
      <c r="C896" s="38" t="s">
        <v>14</v>
      </c>
      <c r="D896" s="34">
        <v>25199.1</v>
      </c>
      <c r="E896" s="35">
        <v>44690</v>
      </c>
      <c r="F896" s="34">
        <v>25199.1</v>
      </c>
      <c r="G896" s="36">
        <f>Tabla16[[#This Row],[Importe]]-Tabla16[[#This Row],[Pagado]]</f>
        <v>0</v>
      </c>
      <c r="H896" s="38" t="s">
        <v>10</v>
      </c>
    </row>
    <row r="897" spans="1:8" x14ac:dyDescent="0.25">
      <c r="A897" s="31">
        <v>44690</v>
      </c>
      <c r="B897" s="38" t="s">
        <v>15008</v>
      </c>
      <c r="C897" s="38" t="s">
        <v>53</v>
      </c>
      <c r="D897" s="34">
        <v>1021.2</v>
      </c>
      <c r="E897" s="35">
        <v>44690</v>
      </c>
      <c r="F897" s="34">
        <v>1021.2</v>
      </c>
      <c r="G897" s="36">
        <f>Tabla16[[#This Row],[Importe]]-Tabla16[[#This Row],[Pagado]]</f>
        <v>0</v>
      </c>
      <c r="H897" s="38" t="s">
        <v>10</v>
      </c>
    </row>
    <row r="898" spans="1:8" x14ac:dyDescent="0.25">
      <c r="A898" s="31">
        <v>44690</v>
      </c>
      <c r="B898" s="38" t="s">
        <v>15009</v>
      </c>
      <c r="C898" s="38" t="s">
        <v>49</v>
      </c>
      <c r="D898" s="34">
        <v>3845.2</v>
      </c>
      <c r="E898" s="35">
        <v>44690</v>
      </c>
      <c r="F898" s="34">
        <v>3845.2</v>
      </c>
      <c r="G898" s="36">
        <f>Tabla16[[#This Row],[Importe]]-Tabla16[[#This Row],[Pagado]]</f>
        <v>0</v>
      </c>
      <c r="H898" s="38" t="s">
        <v>10</v>
      </c>
    </row>
    <row r="899" spans="1:8" x14ac:dyDescent="0.25">
      <c r="A899" s="31">
        <v>44690</v>
      </c>
      <c r="B899" s="38" t="s">
        <v>15010</v>
      </c>
      <c r="C899" s="38" t="s">
        <v>312</v>
      </c>
      <c r="D899" s="34">
        <v>3732.4</v>
      </c>
      <c r="E899" s="35">
        <v>44690</v>
      </c>
      <c r="F899" s="34">
        <v>3732.4</v>
      </c>
      <c r="G899" s="36">
        <f>Tabla16[[#This Row],[Importe]]-Tabla16[[#This Row],[Pagado]]</f>
        <v>0</v>
      </c>
      <c r="H899" s="38" t="s">
        <v>10</v>
      </c>
    </row>
    <row r="900" spans="1:8" x14ac:dyDescent="0.25">
      <c r="A900" s="31">
        <v>44690</v>
      </c>
      <c r="B900" s="38" t="s">
        <v>15011</v>
      </c>
      <c r="C900" s="38" t="s">
        <v>198</v>
      </c>
      <c r="D900" s="34">
        <v>4030</v>
      </c>
      <c r="E900" s="35">
        <v>44690</v>
      </c>
      <c r="F900" s="34">
        <v>4030</v>
      </c>
      <c r="G900" s="36">
        <f>Tabla16[[#This Row],[Importe]]-Tabla16[[#This Row],[Pagado]]</f>
        <v>0</v>
      </c>
      <c r="H900" s="38" t="s">
        <v>10</v>
      </c>
    </row>
    <row r="901" spans="1:8" x14ac:dyDescent="0.25">
      <c r="A901" s="31">
        <v>44690</v>
      </c>
      <c r="B901" s="38" t="s">
        <v>15012</v>
      </c>
      <c r="C901" s="38" t="s">
        <v>14</v>
      </c>
      <c r="D901" s="34">
        <v>3627.2</v>
      </c>
      <c r="E901" s="35">
        <v>44690</v>
      </c>
      <c r="F901" s="34">
        <v>3627.2</v>
      </c>
      <c r="G901" s="36">
        <f>Tabla16[[#This Row],[Importe]]-Tabla16[[#This Row],[Pagado]]</f>
        <v>0</v>
      </c>
      <c r="H901" s="38" t="s">
        <v>10</v>
      </c>
    </row>
    <row r="902" spans="1:8" x14ac:dyDescent="0.25">
      <c r="A902" s="31">
        <v>44690</v>
      </c>
      <c r="B902" s="38" t="s">
        <v>15013</v>
      </c>
      <c r="C902" s="38" t="s">
        <v>142</v>
      </c>
      <c r="D902" s="34">
        <v>907.2</v>
      </c>
      <c r="E902" s="35">
        <v>44722</v>
      </c>
      <c r="F902" s="34">
        <v>907.2</v>
      </c>
      <c r="G902" s="36">
        <f>Tabla16[[#This Row],[Importe]]-Tabla16[[#This Row],[Pagado]]</f>
        <v>0</v>
      </c>
      <c r="H902" s="38" t="s">
        <v>10</v>
      </c>
    </row>
    <row r="903" spans="1:8" x14ac:dyDescent="0.25">
      <c r="A903" s="31">
        <v>44690</v>
      </c>
      <c r="B903" s="38" t="s">
        <v>15014</v>
      </c>
      <c r="C903" s="38" t="s">
        <v>181</v>
      </c>
      <c r="D903" s="34">
        <v>9639</v>
      </c>
      <c r="E903" s="35">
        <v>44690</v>
      </c>
      <c r="F903" s="34">
        <v>9639</v>
      </c>
      <c r="G903" s="36">
        <f>Tabla16[[#This Row],[Importe]]-Tabla16[[#This Row],[Pagado]]</f>
        <v>0</v>
      </c>
      <c r="H903" s="38" t="s">
        <v>10</v>
      </c>
    </row>
    <row r="904" spans="1:8" x14ac:dyDescent="0.25">
      <c r="A904" s="31">
        <v>44690</v>
      </c>
      <c r="B904" s="38" t="s">
        <v>15015</v>
      </c>
      <c r="C904" s="38" t="s">
        <v>473</v>
      </c>
      <c r="D904" s="34">
        <v>4747.6000000000004</v>
      </c>
      <c r="E904" s="35">
        <v>44690</v>
      </c>
      <c r="F904" s="34">
        <v>4747.6000000000004</v>
      </c>
      <c r="G904" s="36">
        <f>Tabla16[[#This Row],[Importe]]-Tabla16[[#This Row],[Pagado]]</f>
        <v>0</v>
      </c>
      <c r="H904" s="38" t="s">
        <v>10</v>
      </c>
    </row>
    <row r="905" spans="1:8" x14ac:dyDescent="0.25">
      <c r="A905" s="31">
        <v>44690</v>
      </c>
      <c r="B905" s="38" t="s">
        <v>15016</v>
      </c>
      <c r="C905" s="38" t="s">
        <v>357</v>
      </c>
      <c r="D905" s="34">
        <v>1152.3</v>
      </c>
      <c r="E905" s="35">
        <v>44690</v>
      </c>
      <c r="F905" s="34">
        <v>1152.3</v>
      </c>
      <c r="G905" s="36">
        <f>Tabla16[[#This Row],[Importe]]-Tabla16[[#This Row],[Pagado]]</f>
        <v>0</v>
      </c>
      <c r="H905" s="38" t="s">
        <v>10</v>
      </c>
    </row>
    <row r="906" spans="1:8" x14ac:dyDescent="0.25">
      <c r="A906" s="31">
        <v>44690</v>
      </c>
      <c r="B906" s="38" t="s">
        <v>15017</v>
      </c>
      <c r="C906" s="38" t="s">
        <v>191</v>
      </c>
      <c r="D906" s="34">
        <v>2208</v>
      </c>
      <c r="E906" s="35">
        <v>44690</v>
      </c>
      <c r="F906" s="34">
        <v>2208</v>
      </c>
      <c r="G906" s="36">
        <f>Tabla16[[#This Row],[Importe]]-Tabla16[[#This Row],[Pagado]]</f>
        <v>0</v>
      </c>
      <c r="H906" s="38" t="s">
        <v>10</v>
      </c>
    </row>
    <row r="907" spans="1:8" x14ac:dyDescent="0.25">
      <c r="A907" s="31">
        <v>44690</v>
      </c>
      <c r="B907" s="38" t="s">
        <v>15018</v>
      </c>
      <c r="C907" s="38" t="s">
        <v>214</v>
      </c>
      <c r="D907" s="34">
        <v>10881.4</v>
      </c>
      <c r="E907" s="35">
        <v>44690</v>
      </c>
      <c r="F907" s="34">
        <v>10881.4</v>
      </c>
      <c r="G907" s="36">
        <f>Tabla16[[#This Row],[Importe]]-Tabla16[[#This Row],[Pagado]]</f>
        <v>0</v>
      </c>
      <c r="H907" s="38" t="s">
        <v>10</v>
      </c>
    </row>
    <row r="908" spans="1:8" x14ac:dyDescent="0.25">
      <c r="A908" s="31">
        <v>44690</v>
      </c>
      <c r="B908" s="38" t="s">
        <v>15019</v>
      </c>
      <c r="C908" s="38" t="s">
        <v>359</v>
      </c>
      <c r="D908" s="34">
        <v>1733.3</v>
      </c>
      <c r="E908" s="35">
        <v>44690</v>
      </c>
      <c r="F908" s="34">
        <v>1733.3</v>
      </c>
      <c r="G908" s="36">
        <f>Tabla16[[#This Row],[Importe]]-Tabla16[[#This Row],[Pagado]]</f>
        <v>0</v>
      </c>
      <c r="H908" s="38" t="s">
        <v>10</v>
      </c>
    </row>
    <row r="909" spans="1:8" x14ac:dyDescent="0.25">
      <c r="A909" s="31">
        <v>44690</v>
      </c>
      <c r="B909" s="38" t="s">
        <v>15020</v>
      </c>
      <c r="C909" s="38" t="s">
        <v>140</v>
      </c>
      <c r="D909" s="34">
        <v>3799.6</v>
      </c>
      <c r="E909" s="35">
        <v>44690</v>
      </c>
      <c r="F909" s="34">
        <v>3799.6</v>
      </c>
      <c r="G909" s="36">
        <f>Tabla16[[#This Row],[Importe]]-Tabla16[[#This Row],[Pagado]]</f>
        <v>0</v>
      </c>
      <c r="H909" s="38" t="s">
        <v>10</v>
      </c>
    </row>
    <row r="910" spans="1:8" x14ac:dyDescent="0.25">
      <c r="A910" s="31">
        <v>44690</v>
      </c>
      <c r="B910" s="38" t="s">
        <v>15021</v>
      </c>
      <c r="C910" s="38" t="s">
        <v>382</v>
      </c>
      <c r="D910" s="34">
        <v>3060</v>
      </c>
      <c r="E910" s="35">
        <v>44690</v>
      </c>
      <c r="F910" s="34">
        <v>3060</v>
      </c>
      <c r="G910" s="36">
        <f>Tabla16[[#This Row],[Importe]]-Tabla16[[#This Row],[Pagado]]</f>
        <v>0</v>
      </c>
      <c r="H910" s="38" t="s">
        <v>10</v>
      </c>
    </row>
    <row r="911" spans="1:8" x14ac:dyDescent="0.25">
      <c r="A911" s="31">
        <v>44690</v>
      </c>
      <c r="B911" s="38" t="s">
        <v>15022</v>
      </c>
      <c r="C911" s="38" t="s">
        <v>127</v>
      </c>
      <c r="D911" s="34">
        <v>4510</v>
      </c>
      <c r="E911" s="35">
        <v>44690</v>
      </c>
      <c r="F911" s="34">
        <v>4510</v>
      </c>
      <c r="G911" s="36">
        <f>Tabla16[[#This Row],[Importe]]-Tabla16[[#This Row],[Pagado]]</f>
        <v>0</v>
      </c>
      <c r="H911" s="38" t="s">
        <v>10</v>
      </c>
    </row>
    <row r="912" spans="1:8" x14ac:dyDescent="0.25">
      <c r="A912" s="31">
        <v>44690</v>
      </c>
      <c r="B912" s="38" t="s">
        <v>15023</v>
      </c>
      <c r="C912" s="38" t="s">
        <v>426</v>
      </c>
      <c r="D912" s="34">
        <v>4758</v>
      </c>
      <c r="E912" s="35">
        <v>44690</v>
      </c>
      <c r="F912" s="34">
        <v>4758</v>
      </c>
      <c r="G912" s="36">
        <f>Tabla16[[#This Row],[Importe]]-Tabla16[[#This Row],[Pagado]]</f>
        <v>0</v>
      </c>
      <c r="H912" s="38" t="s">
        <v>10</v>
      </c>
    </row>
    <row r="913" spans="1:8" x14ac:dyDescent="0.25">
      <c r="A913" s="31">
        <v>44690</v>
      </c>
      <c r="B913" s="38" t="s">
        <v>15024</v>
      </c>
      <c r="C913" s="38" t="s">
        <v>129</v>
      </c>
      <c r="D913" s="34">
        <v>1607.7</v>
      </c>
      <c r="E913" s="35">
        <v>44690</v>
      </c>
      <c r="F913" s="34">
        <v>1607.7</v>
      </c>
      <c r="G913" s="36">
        <f>Tabla16[[#This Row],[Importe]]-Tabla16[[#This Row],[Pagado]]</f>
        <v>0</v>
      </c>
      <c r="H913" s="38" t="s">
        <v>10</v>
      </c>
    </row>
    <row r="914" spans="1:8" x14ac:dyDescent="0.25">
      <c r="A914" s="31">
        <v>44690</v>
      </c>
      <c r="B914" s="38" t="s">
        <v>15025</v>
      </c>
      <c r="C914" s="38" t="s">
        <v>230</v>
      </c>
      <c r="D914" s="34">
        <v>3558.6</v>
      </c>
      <c r="E914" s="35">
        <v>44690</v>
      </c>
      <c r="F914" s="34">
        <v>3558.6</v>
      </c>
      <c r="G914" s="36">
        <f>Tabla16[[#This Row],[Importe]]-Tabla16[[#This Row],[Pagado]]</f>
        <v>0</v>
      </c>
      <c r="H914" s="38" t="s">
        <v>10</v>
      </c>
    </row>
    <row r="915" spans="1:8" x14ac:dyDescent="0.25">
      <c r="A915" s="31">
        <v>44690</v>
      </c>
      <c r="B915" s="38" t="s">
        <v>15026</v>
      </c>
      <c r="C915" s="38" t="s">
        <v>670</v>
      </c>
      <c r="D915" s="34">
        <v>4001.6</v>
      </c>
      <c r="E915" s="35">
        <v>44690</v>
      </c>
      <c r="F915" s="34">
        <v>4001.6</v>
      </c>
      <c r="G915" s="36">
        <f>Tabla16[[#This Row],[Importe]]-Tabla16[[#This Row],[Pagado]]</f>
        <v>0</v>
      </c>
      <c r="H915" s="38" t="s">
        <v>10</v>
      </c>
    </row>
    <row r="916" spans="1:8" x14ac:dyDescent="0.25">
      <c r="A916" s="31">
        <v>44690</v>
      </c>
      <c r="B916" s="38" t="s">
        <v>15027</v>
      </c>
      <c r="C916" s="38" t="s">
        <v>214</v>
      </c>
      <c r="D916" s="34">
        <v>1194.5999999999999</v>
      </c>
      <c r="E916" s="35">
        <v>44690</v>
      </c>
      <c r="F916" s="34">
        <v>1194.5999999999999</v>
      </c>
      <c r="G916" s="36">
        <f>Tabla16[[#This Row],[Importe]]-Tabla16[[#This Row],[Pagado]]</f>
        <v>0</v>
      </c>
      <c r="H916" s="38" t="s">
        <v>10</v>
      </c>
    </row>
    <row r="917" spans="1:8" x14ac:dyDescent="0.25">
      <c r="A917" s="31">
        <v>44690</v>
      </c>
      <c r="B917" s="38" t="s">
        <v>15028</v>
      </c>
      <c r="C917" s="38" t="s">
        <v>6528</v>
      </c>
      <c r="D917" s="34">
        <v>18284.8</v>
      </c>
      <c r="E917" s="35">
        <v>44690</v>
      </c>
      <c r="F917" s="34">
        <v>18284.8</v>
      </c>
      <c r="G917" s="36">
        <f>Tabla16[[#This Row],[Importe]]-Tabla16[[#This Row],[Pagado]]</f>
        <v>0</v>
      </c>
      <c r="H917" s="38" t="s">
        <v>10</v>
      </c>
    </row>
    <row r="918" spans="1:8" x14ac:dyDescent="0.25">
      <c r="A918" s="31">
        <v>44690</v>
      </c>
      <c r="B918" s="38" t="s">
        <v>15029</v>
      </c>
      <c r="C918" s="38" t="s">
        <v>16</v>
      </c>
      <c r="D918" s="34">
        <v>4891.8</v>
      </c>
      <c r="E918" s="35">
        <v>44690</v>
      </c>
      <c r="F918" s="34">
        <v>4891.8</v>
      </c>
      <c r="G918" s="36">
        <f>Tabla16[[#This Row],[Importe]]-Tabla16[[#This Row],[Pagado]]</f>
        <v>0</v>
      </c>
      <c r="H918" s="38" t="s">
        <v>10</v>
      </c>
    </row>
    <row r="919" spans="1:8" x14ac:dyDescent="0.25">
      <c r="A919" s="31">
        <v>44690</v>
      </c>
      <c r="B919" s="38" t="s">
        <v>15030</v>
      </c>
      <c r="C919" s="38" t="s">
        <v>2114</v>
      </c>
      <c r="D919" s="34">
        <v>812.8</v>
      </c>
      <c r="E919" s="35">
        <v>44690</v>
      </c>
      <c r="F919" s="34">
        <v>812.8</v>
      </c>
      <c r="G919" s="36">
        <f>Tabla16[[#This Row],[Importe]]-Tabla16[[#This Row],[Pagado]]</f>
        <v>0</v>
      </c>
      <c r="H919" s="38" t="s">
        <v>10</v>
      </c>
    </row>
    <row r="920" spans="1:8" x14ac:dyDescent="0.25">
      <c r="A920" s="31">
        <v>44690</v>
      </c>
      <c r="B920" s="38" t="s">
        <v>15031</v>
      </c>
      <c r="C920" s="38" t="s">
        <v>137</v>
      </c>
      <c r="D920" s="34">
        <v>2100</v>
      </c>
      <c r="E920" s="35">
        <v>44690</v>
      </c>
      <c r="F920" s="34">
        <v>2100</v>
      </c>
      <c r="G920" s="36">
        <f>Tabla16[[#This Row],[Importe]]-Tabla16[[#This Row],[Pagado]]</f>
        <v>0</v>
      </c>
      <c r="H920" s="38" t="s">
        <v>10</v>
      </c>
    </row>
    <row r="921" spans="1:8" x14ac:dyDescent="0.25">
      <c r="A921" s="31">
        <v>44690</v>
      </c>
      <c r="B921" s="38" t="s">
        <v>15032</v>
      </c>
      <c r="C921" s="38" t="s">
        <v>12</v>
      </c>
      <c r="D921" s="34">
        <v>7902.8</v>
      </c>
      <c r="E921" s="35">
        <v>44691</v>
      </c>
      <c r="F921" s="34">
        <v>7902.8</v>
      </c>
      <c r="G921" s="36">
        <f>Tabla16[[#This Row],[Importe]]-Tabla16[[#This Row],[Pagado]]</f>
        <v>0</v>
      </c>
      <c r="H921" s="38" t="s">
        <v>10</v>
      </c>
    </row>
    <row r="922" spans="1:8" x14ac:dyDescent="0.25">
      <c r="A922" s="31">
        <v>44690</v>
      </c>
      <c r="B922" s="38" t="s">
        <v>15033</v>
      </c>
      <c r="C922" s="38" t="s">
        <v>3971</v>
      </c>
      <c r="D922" s="34">
        <v>4296.6000000000004</v>
      </c>
      <c r="E922" s="35">
        <v>44690</v>
      </c>
      <c r="F922" s="34">
        <v>4296.6000000000004</v>
      </c>
      <c r="G922" s="36">
        <f>Tabla16[[#This Row],[Importe]]-Tabla16[[#This Row],[Pagado]]</f>
        <v>0</v>
      </c>
      <c r="H922" s="38" t="s">
        <v>10</v>
      </c>
    </row>
    <row r="923" spans="1:8" x14ac:dyDescent="0.25">
      <c r="A923" s="31">
        <v>44690</v>
      </c>
      <c r="B923" s="38" t="s">
        <v>15034</v>
      </c>
      <c r="C923" s="38" t="s">
        <v>56</v>
      </c>
      <c r="D923" s="34">
        <v>5126.8999999999996</v>
      </c>
      <c r="E923" s="35">
        <v>44690</v>
      </c>
      <c r="F923" s="34">
        <v>5126.8999999999996</v>
      </c>
      <c r="G923" s="36">
        <f>Tabla16[[#This Row],[Importe]]-Tabla16[[#This Row],[Pagado]]</f>
        <v>0</v>
      </c>
      <c r="H923" s="38" t="s">
        <v>10</v>
      </c>
    </row>
    <row r="924" spans="1:8" x14ac:dyDescent="0.25">
      <c r="A924" s="31">
        <v>44690</v>
      </c>
      <c r="B924" s="38" t="s">
        <v>15035</v>
      </c>
      <c r="C924" s="38" t="s">
        <v>216</v>
      </c>
      <c r="D924" s="34">
        <v>1749</v>
      </c>
      <c r="E924" s="35">
        <v>44690</v>
      </c>
      <c r="F924" s="34">
        <v>1749</v>
      </c>
      <c r="G924" s="36">
        <f>Tabla16[[#This Row],[Importe]]-Tabla16[[#This Row],[Pagado]]</f>
        <v>0</v>
      </c>
      <c r="H924" s="38" t="s">
        <v>10</v>
      </c>
    </row>
    <row r="925" spans="1:8" x14ac:dyDescent="0.25">
      <c r="A925" s="31">
        <v>44690</v>
      </c>
      <c r="B925" s="38" t="s">
        <v>15036</v>
      </c>
      <c r="C925" s="38" t="s">
        <v>167</v>
      </c>
      <c r="D925" s="34">
        <v>13508</v>
      </c>
      <c r="E925" s="35">
        <v>44690</v>
      </c>
      <c r="F925" s="34">
        <v>13508</v>
      </c>
      <c r="G925" s="36">
        <f>Tabla16[[#This Row],[Importe]]-Tabla16[[#This Row],[Pagado]]</f>
        <v>0</v>
      </c>
      <c r="H925" s="38" t="s">
        <v>10</v>
      </c>
    </row>
    <row r="926" spans="1:8" x14ac:dyDescent="0.25">
      <c r="A926" s="31">
        <v>44690</v>
      </c>
      <c r="B926" s="38" t="s">
        <v>15037</v>
      </c>
      <c r="C926" s="38" t="s">
        <v>289</v>
      </c>
      <c r="D926" s="34">
        <v>8136.7</v>
      </c>
      <c r="E926" s="35">
        <v>44690</v>
      </c>
      <c r="F926" s="34">
        <v>8136.7</v>
      </c>
      <c r="G926" s="36">
        <f>Tabla16[[#This Row],[Importe]]-Tabla16[[#This Row],[Pagado]]</f>
        <v>0</v>
      </c>
      <c r="H926" s="38" t="s">
        <v>10</v>
      </c>
    </row>
    <row r="927" spans="1:8" x14ac:dyDescent="0.25">
      <c r="A927" s="31">
        <v>44690</v>
      </c>
      <c r="B927" s="38" t="s">
        <v>15038</v>
      </c>
      <c r="C927" s="38" t="s">
        <v>15039</v>
      </c>
      <c r="D927" s="34">
        <v>3193.6</v>
      </c>
      <c r="E927" s="35">
        <v>44690</v>
      </c>
      <c r="F927" s="34">
        <v>3193.6</v>
      </c>
      <c r="G927" s="36">
        <f>Tabla16[[#This Row],[Importe]]-Tabla16[[#This Row],[Pagado]]</f>
        <v>0</v>
      </c>
      <c r="H927" s="38" t="s">
        <v>10</v>
      </c>
    </row>
    <row r="928" spans="1:8" x14ac:dyDescent="0.25">
      <c r="A928" s="31">
        <v>44690</v>
      </c>
      <c r="B928" s="38" t="s">
        <v>15040</v>
      </c>
      <c r="C928" s="38" t="s">
        <v>24</v>
      </c>
      <c r="D928" s="34">
        <v>4977.1000000000004</v>
      </c>
      <c r="E928" s="35">
        <v>44690</v>
      </c>
      <c r="F928" s="34">
        <v>4977.1000000000004</v>
      </c>
      <c r="G928" s="36">
        <f>Tabla16[[#This Row],[Importe]]-Tabla16[[#This Row],[Pagado]]</f>
        <v>0</v>
      </c>
      <c r="H928" s="38" t="s">
        <v>10</v>
      </c>
    </row>
    <row r="929" spans="1:8" x14ac:dyDescent="0.25">
      <c r="A929" s="31">
        <v>44690</v>
      </c>
      <c r="B929" s="38" t="s">
        <v>15041</v>
      </c>
      <c r="C929" s="38" t="s">
        <v>45</v>
      </c>
      <c r="D929" s="34">
        <v>3439.8</v>
      </c>
      <c r="E929" s="35">
        <v>44690</v>
      </c>
      <c r="F929" s="34">
        <v>3439.8</v>
      </c>
      <c r="G929" s="36">
        <f>Tabla16[[#This Row],[Importe]]-Tabla16[[#This Row],[Pagado]]</f>
        <v>0</v>
      </c>
      <c r="H929" s="38" t="s">
        <v>10</v>
      </c>
    </row>
    <row r="930" spans="1:8" x14ac:dyDescent="0.25">
      <c r="A930" s="31">
        <v>44690</v>
      </c>
      <c r="B930" s="38" t="s">
        <v>15042</v>
      </c>
      <c r="C930" s="38" t="s">
        <v>240</v>
      </c>
      <c r="D930" s="34">
        <v>10630.4</v>
      </c>
      <c r="E930" s="35">
        <v>44690</v>
      </c>
      <c r="F930" s="34">
        <v>10630.4</v>
      </c>
      <c r="G930" s="36">
        <f>Tabla16[[#This Row],[Importe]]-Tabla16[[#This Row],[Pagado]]</f>
        <v>0</v>
      </c>
      <c r="H930" s="38" t="s">
        <v>10</v>
      </c>
    </row>
    <row r="931" spans="1:8" x14ac:dyDescent="0.25">
      <c r="A931" s="31">
        <v>44690</v>
      </c>
      <c r="B931" s="38" t="s">
        <v>15043</v>
      </c>
      <c r="C931" s="38" t="s">
        <v>11383</v>
      </c>
      <c r="D931" s="34">
        <v>26295.1</v>
      </c>
      <c r="E931" s="35">
        <v>44690</v>
      </c>
      <c r="F931" s="34">
        <v>26295.1</v>
      </c>
      <c r="G931" s="36">
        <f>Tabla16[[#This Row],[Importe]]-Tabla16[[#This Row],[Pagado]]</f>
        <v>0</v>
      </c>
      <c r="H931" s="38" t="s">
        <v>10</v>
      </c>
    </row>
    <row r="932" spans="1:8" x14ac:dyDescent="0.25">
      <c r="A932" s="31">
        <v>44690</v>
      </c>
      <c r="B932" s="38" t="s">
        <v>15044</v>
      </c>
      <c r="C932" s="38" t="s">
        <v>22</v>
      </c>
      <c r="D932" s="34">
        <v>13060.7</v>
      </c>
      <c r="E932" s="35">
        <v>44691</v>
      </c>
      <c r="F932" s="34">
        <v>13060.7</v>
      </c>
      <c r="G932" s="36">
        <f>Tabla16[[#This Row],[Importe]]-Tabla16[[#This Row],[Pagado]]</f>
        <v>0</v>
      </c>
      <c r="H932" s="38" t="s">
        <v>10</v>
      </c>
    </row>
    <row r="933" spans="1:8" x14ac:dyDescent="0.25">
      <c r="A933" s="31">
        <v>44690</v>
      </c>
      <c r="B933" s="38" t="s">
        <v>15045</v>
      </c>
      <c r="C933" s="38" t="s">
        <v>698</v>
      </c>
      <c r="D933" s="34">
        <v>5616.2</v>
      </c>
      <c r="E933" s="35">
        <v>44690</v>
      </c>
      <c r="F933" s="34">
        <v>5616.2</v>
      </c>
      <c r="G933" s="36">
        <f>Tabla16[[#This Row],[Importe]]-Tabla16[[#This Row],[Pagado]]</f>
        <v>0</v>
      </c>
      <c r="H933" s="38" t="s">
        <v>10</v>
      </c>
    </row>
    <row r="934" spans="1:8" x14ac:dyDescent="0.25">
      <c r="A934" s="31">
        <v>44690</v>
      </c>
      <c r="B934" s="38" t="s">
        <v>15046</v>
      </c>
      <c r="C934" s="38" t="s">
        <v>414</v>
      </c>
      <c r="D934" s="34">
        <v>19435</v>
      </c>
      <c r="E934" s="35">
        <v>44704</v>
      </c>
      <c r="F934" s="34">
        <v>19435</v>
      </c>
      <c r="G934" s="36">
        <f>Tabla16[[#This Row],[Importe]]-Tabla16[[#This Row],[Pagado]]</f>
        <v>0</v>
      </c>
      <c r="H934" s="38" t="s">
        <v>10</v>
      </c>
    </row>
    <row r="935" spans="1:8" x14ac:dyDescent="0.25">
      <c r="A935" s="31">
        <v>44690</v>
      </c>
      <c r="B935" s="38" t="s">
        <v>15047</v>
      </c>
      <c r="C935" s="38" t="s">
        <v>31</v>
      </c>
      <c r="D935" s="34">
        <v>1100</v>
      </c>
      <c r="E935" s="35">
        <v>44690</v>
      </c>
      <c r="F935" s="34">
        <v>1100</v>
      </c>
      <c r="G935" s="36">
        <f>Tabla16[[#This Row],[Importe]]-Tabla16[[#This Row],[Pagado]]</f>
        <v>0</v>
      </c>
      <c r="H935" s="38" t="s">
        <v>10</v>
      </c>
    </row>
    <row r="936" spans="1:8" x14ac:dyDescent="0.25">
      <c r="A936" s="31">
        <v>44690</v>
      </c>
      <c r="B936" s="38" t="s">
        <v>15048</v>
      </c>
      <c r="C936" s="38" t="s">
        <v>419</v>
      </c>
      <c r="D936" s="34">
        <v>7481.3</v>
      </c>
      <c r="E936" s="35">
        <v>44690</v>
      </c>
      <c r="F936" s="34">
        <v>7481.3</v>
      </c>
      <c r="G936" s="36">
        <f>Tabla16[[#This Row],[Importe]]-Tabla16[[#This Row],[Pagado]]</f>
        <v>0</v>
      </c>
      <c r="H936" s="38" t="s">
        <v>10</v>
      </c>
    </row>
    <row r="937" spans="1:8" x14ac:dyDescent="0.25">
      <c r="A937" s="31">
        <v>44690</v>
      </c>
      <c r="B937" s="38" t="s">
        <v>15049</v>
      </c>
      <c r="C937" s="38" t="s">
        <v>840</v>
      </c>
      <c r="D937" s="34">
        <v>24174</v>
      </c>
      <c r="E937" s="35">
        <v>44690</v>
      </c>
      <c r="F937" s="34">
        <v>24174</v>
      </c>
      <c r="G937" s="36">
        <f>Tabla16[[#This Row],[Importe]]-Tabla16[[#This Row],[Pagado]]</f>
        <v>0</v>
      </c>
      <c r="H937" s="38" t="s">
        <v>10</v>
      </c>
    </row>
    <row r="938" spans="1:8" x14ac:dyDescent="0.25">
      <c r="A938" s="31">
        <v>44690</v>
      </c>
      <c r="B938" s="38" t="s">
        <v>15050</v>
      </c>
      <c r="C938" s="38" t="s">
        <v>1987</v>
      </c>
      <c r="D938" s="34">
        <v>14523.6</v>
      </c>
      <c r="E938" s="35">
        <v>44690</v>
      </c>
      <c r="F938" s="34">
        <v>14523.6</v>
      </c>
      <c r="G938" s="36">
        <f>Tabla16[[#This Row],[Importe]]-Tabla16[[#This Row],[Pagado]]</f>
        <v>0</v>
      </c>
      <c r="H938" s="38" t="s">
        <v>10</v>
      </c>
    </row>
    <row r="939" spans="1:8" x14ac:dyDescent="0.25">
      <c r="A939" s="31">
        <v>44690</v>
      </c>
      <c r="B939" s="38" t="s">
        <v>15051</v>
      </c>
      <c r="C939" s="38" t="s">
        <v>233</v>
      </c>
      <c r="D939" s="34">
        <v>5892.4</v>
      </c>
      <c r="E939" s="35">
        <v>44690</v>
      </c>
      <c r="F939" s="34">
        <v>5892.4</v>
      </c>
      <c r="G939" s="36">
        <f>Tabla16[[#This Row],[Importe]]-Tabla16[[#This Row],[Pagado]]</f>
        <v>0</v>
      </c>
      <c r="H939" s="38" t="s">
        <v>10</v>
      </c>
    </row>
    <row r="940" spans="1:8" x14ac:dyDescent="0.25">
      <c r="A940" s="31">
        <v>44690</v>
      </c>
      <c r="B940" s="38" t="s">
        <v>15052</v>
      </c>
      <c r="C940" s="38" t="s">
        <v>62</v>
      </c>
      <c r="D940" s="34">
        <v>4013.1</v>
      </c>
      <c r="E940" s="35">
        <v>44690</v>
      </c>
      <c r="F940" s="34">
        <v>4013.1</v>
      </c>
      <c r="G940" s="36">
        <f>Tabla16[[#This Row],[Importe]]-Tabla16[[#This Row],[Pagado]]</f>
        <v>0</v>
      </c>
      <c r="H940" s="38" t="s">
        <v>10</v>
      </c>
    </row>
    <row r="941" spans="1:8" x14ac:dyDescent="0.25">
      <c r="A941" s="31">
        <v>44690</v>
      </c>
      <c r="B941" s="38" t="s">
        <v>15053</v>
      </c>
      <c r="C941" s="38" t="s">
        <v>154</v>
      </c>
      <c r="D941" s="34">
        <v>35278.699999999997</v>
      </c>
      <c r="E941" s="35">
        <v>44695</v>
      </c>
      <c r="F941" s="34">
        <v>35278.699999999997</v>
      </c>
      <c r="G941" s="36">
        <f>Tabla16[[#This Row],[Importe]]-Tabla16[[#This Row],[Pagado]]</f>
        <v>0</v>
      </c>
      <c r="H941" s="38" t="s">
        <v>10</v>
      </c>
    </row>
    <row r="942" spans="1:8" x14ac:dyDescent="0.25">
      <c r="A942" s="31">
        <v>44690</v>
      </c>
      <c r="B942" s="38" t="s">
        <v>15054</v>
      </c>
      <c r="C942" s="38" t="s">
        <v>218</v>
      </c>
      <c r="D942" s="34">
        <v>14196.5</v>
      </c>
      <c r="E942" s="35">
        <v>44692</v>
      </c>
      <c r="F942" s="34">
        <v>14196.5</v>
      </c>
      <c r="G942" s="36">
        <f>Tabla16[[#This Row],[Importe]]-Tabla16[[#This Row],[Pagado]]</f>
        <v>0</v>
      </c>
      <c r="H942" s="38" t="s">
        <v>10</v>
      </c>
    </row>
    <row r="943" spans="1:8" x14ac:dyDescent="0.25">
      <c r="A943" s="31">
        <v>44690</v>
      </c>
      <c r="B943" s="38" t="s">
        <v>15055</v>
      </c>
      <c r="C943" s="38" t="s">
        <v>6528</v>
      </c>
      <c r="D943" s="34">
        <v>12416</v>
      </c>
      <c r="E943" s="35">
        <v>44690</v>
      </c>
      <c r="F943" s="34">
        <v>12416</v>
      </c>
      <c r="G943" s="36">
        <f>Tabla16[[#This Row],[Importe]]-Tabla16[[#This Row],[Pagado]]</f>
        <v>0</v>
      </c>
      <c r="H943" s="38" t="s">
        <v>10</v>
      </c>
    </row>
    <row r="944" spans="1:8" x14ac:dyDescent="0.25">
      <c r="A944" s="31">
        <v>44690</v>
      </c>
      <c r="B944" s="38" t="s">
        <v>15056</v>
      </c>
      <c r="C944" s="38" t="s">
        <v>206</v>
      </c>
      <c r="D944" s="34">
        <v>24788.2</v>
      </c>
      <c r="E944" s="35">
        <v>44692</v>
      </c>
      <c r="F944" s="34">
        <v>24788.2</v>
      </c>
      <c r="G944" s="36">
        <f>Tabla16[[#This Row],[Importe]]-Tabla16[[#This Row],[Pagado]]</f>
        <v>0</v>
      </c>
      <c r="H944" s="38" t="s">
        <v>10</v>
      </c>
    </row>
    <row r="945" spans="1:8" x14ac:dyDescent="0.25">
      <c r="A945" s="31">
        <v>44690</v>
      </c>
      <c r="B945" s="38" t="s">
        <v>15057</v>
      </c>
      <c r="C945" s="38" t="s">
        <v>212</v>
      </c>
      <c r="D945" s="34">
        <v>46695.5</v>
      </c>
      <c r="E945" s="35">
        <v>44692</v>
      </c>
      <c r="F945" s="34">
        <v>46695.5</v>
      </c>
      <c r="G945" s="36">
        <f>Tabla16[[#This Row],[Importe]]-Tabla16[[#This Row],[Pagado]]</f>
        <v>0</v>
      </c>
      <c r="H945" s="38" t="s">
        <v>10</v>
      </c>
    </row>
    <row r="946" spans="1:8" x14ac:dyDescent="0.25">
      <c r="A946" s="31">
        <v>44690</v>
      </c>
      <c r="B946" s="38" t="s">
        <v>15058</v>
      </c>
      <c r="C946" s="38" t="s">
        <v>67</v>
      </c>
      <c r="D946" s="34">
        <v>504</v>
      </c>
      <c r="E946" s="35">
        <v>44690</v>
      </c>
      <c r="F946" s="34">
        <v>504</v>
      </c>
      <c r="G946" s="36">
        <f>Tabla16[[#This Row],[Importe]]-Tabla16[[#This Row],[Pagado]]</f>
        <v>0</v>
      </c>
      <c r="H946" s="38" t="s">
        <v>10</v>
      </c>
    </row>
    <row r="947" spans="1:8" x14ac:dyDescent="0.25">
      <c r="A947" s="31">
        <v>44690</v>
      </c>
      <c r="B947" s="38" t="s">
        <v>15059</v>
      </c>
      <c r="C947" s="38" t="s">
        <v>1174</v>
      </c>
      <c r="D947" s="34">
        <v>34771.199999999997</v>
      </c>
      <c r="E947" s="35">
        <v>44690</v>
      </c>
      <c r="F947" s="34">
        <v>34771.199999999997</v>
      </c>
      <c r="G947" s="36">
        <f>Tabla16[[#This Row],[Importe]]-Tabla16[[#This Row],[Pagado]]</f>
        <v>0</v>
      </c>
      <c r="H947" s="38" t="s">
        <v>10</v>
      </c>
    </row>
    <row r="948" spans="1:8" x14ac:dyDescent="0.25">
      <c r="A948" s="31">
        <v>44690</v>
      </c>
      <c r="B948" s="38" t="s">
        <v>15060</v>
      </c>
      <c r="C948" s="38" t="s">
        <v>208</v>
      </c>
      <c r="D948" s="34">
        <v>20655.8</v>
      </c>
      <c r="E948" s="35">
        <v>44697</v>
      </c>
      <c r="F948" s="34">
        <v>20655.8</v>
      </c>
      <c r="G948" s="36">
        <f>Tabla16[[#This Row],[Importe]]-Tabla16[[#This Row],[Pagado]]</f>
        <v>0</v>
      </c>
      <c r="H948" s="38" t="s">
        <v>10</v>
      </c>
    </row>
    <row r="949" spans="1:8" x14ac:dyDescent="0.25">
      <c r="A949" s="31">
        <v>44690</v>
      </c>
      <c r="B949" s="38" t="s">
        <v>15061</v>
      </c>
      <c r="C949" s="38" t="s">
        <v>2961</v>
      </c>
      <c r="D949" s="34">
        <v>60467.4</v>
      </c>
      <c r="E949" s="35">
        <v>44691</v>
      </c>
      <c r="F949" s="34">
        <v>60467.4</v>
      </c>
      <c r="G949" s="36">
        <f>Tabla16[[#This Row],[Importe]]-Tabla16[[#This Row],[Pagado]]</f>
        <v>0</v>
      </c>
      <c r="H949" s="38" t="s">
        <v>10</v>
      </c>
    </row>
    <row r="950" spans="1:8" x14ac:dyDescent="0.25">
      <c r="A950" s="31">
        <v>44690</v>
      </c>
      <c r="B950" s="38" t="s">
        <v>15062</v>
      </c>
      <c r="C950" s="38" t="s">
        <v>226</v>
      </c>
      <c r="D950" s="34">
        <v>24431.4</v>
      </c>
      <c r="E950" s="35">
        <v>44690</v>
      </c>
      <c r="F950" s="34">
        <v>24431.4</v>
      </c>
      <c r="G950" s="36">
        <f>Tabla16[[#This Row],[Importe]]-Tabla16[[#This Row],[Pagado]]</f>
        <v>0</v>
      </c>
      <c r="H950" s="38" t="s">
        <v>10</v>
      </c>
    </row>
    <row r="951" spans="1:8" x14ac:dyDescent="0.25">
      <c r="A951" s="31">
        <v>44690</v>
      </c>
      <c r="B951" s="38" t="s">
        <v>15063</v>
      </c>
      <c r="C951" s="38" t="s">
        <v>226</v>
      </c>
      <c r="D951" s="34">
        <v>2709</v>
      </c>
      <c r="E951" s="35">
        <v>44690</v>
      </c>
      <c r="F951" s="34">
        <v>2709</v>
      </c>
      <c r="G951" s="36">
        <f>Tabla16[[#This Row],[Importe]]-Tabla16[[#This Row],[Pagado]]</f>
        <v>0</v>
      </c>
      <c r="H951" s="38" t="s">
        <v>10</v>
      </c>
    </row>
    <row r="952" spans="1:8" x14ac:dyDescent="0.25">
      <c r="A952" s="31">
        <v>44690</v>
      </c>
      <c r="B952" s="38" t="s">
        <v>15064</v>
      </c>
      <c r="C952" s="38" t="s">
        <v>5816</v>
      </c>
      <c r="D952" s="34">
        <v>3681.5</v>
      </c>
      <c r="E952" s="35">
        <v>44691</v>
      </c>
      <c r="F952" s="34">
        <v>3681.5</v>
      </c>
      <c r="G952" s="36">
        <f>Tabla16[[#This Row],[Importe]]-Tabla16[[#This Row],[Pagado]]</f>
        <v>0</v>
      </c>
      <c r="H952" s="38" t="s">
        <v>10</v>
      </c>
    </row>
    <row r="953" spans="1:8" x14ac:dyDescent="0.25">
      <c r="A953" s="31">
        <v>44690</v>
      </c>
      <c r="B953" s="38" t="s">
        <v>15065</v>
      </c>
      <c r="C953" s="38" t="s">
        <v>244</v>
      </c>
      <c r="D953" s="34">
        <v>4236.5</v>
      </c>
      <c r="E953" s="35">
        <v>44690</v>
      </c>
      <c r="F953" s="34">
        <v>4236.5</v>
      </c>
      <c r="G953" s="36">
        <f>Tabla16[[#This Row],[Importe]]-Tabla16[[#This Row],[Pagado]]</f>
        <v>0</v>
      </c>
      <c r="H953" s="38" t="s">
        <v>10</v>
      </c>
    </row>
    <row r="954" spans="1:8" x14ac:dyDescent="0.25">
      <c r="A954" s="31">
        <v>44690</v>
      </c>
      <c r="B954" s="38" t="s">
        <v>15066</v>
      </c>
      <c r="C954" s="38" t="s">
        <v>296</v>
      </c>
      <c r="D954" s="34">
        <v>4395</v>
      </c>
      <c r="E954" s="35">
        <v>44690</v>
      </c>
      <c r="F954" s="34">
        <v>4395</v>
      </c>
      <c r="G954" s="36">
        <f>Tabla16[[#This Row],[Importe]]-Tabla16[[#This Row],[Pagado]]</f>
        <v>0</v>
      </c>
      <c r="H954" s="38" t="s">
        <v>10</v>
      </c>
    </row>
    <row r="955" spans="1:8" x14ac:dyDescent="0.25">
      <c r="A955" s="31">
        <v>44690</v>
      </c>
      <c r="B955" s="38" t="s">
        <v>15067</v>
      </c>
      <c r="C955" s="38" t="s">
        <v>4136</v>
      </c>
      <c r="D955" s="34">
        <v>4045.6</v>
      </c>
      <c r="E955" s="35">
        <v>44690</v>
      </c>
      <c r="F955" s="34">
        <v>4045.6</v>
      </c>
      <c r="G955" s="36">
        <f>Tabla16[[#This Row],[Importe]]-Tabla16[[#This Row],[Pagado]]</f>
        <v>0</v>
      </c>
      <c r="H955" s="38" t="s">
        <v>10</v>
      </c>
    </row>
    <row r="956" spans="1:8" x14ac:dyDescent="0.25">
      <c r="A956" s="31">
        <v>44690</v>
      </c>
      <c r="B956" s="38" t="s">
        <v>15068</v>
      </c>
      <c r="C956" s="38" t="s">
        <v>2139</v>
      </c>
      <c r="D956" s="34">
        <v>4976.3999999999996</v>
      </c>
      <c r="E956" s="35">
        <v>44690</v>
      </c>
      <c r="F956" s="34">
        <v>4976.3999999999996</v>
      </c>
      <c r="G956" s="36">
        <f>Tabla16[[#This Row],[Importe]]-Tabla16[[#This Row],[Pagado]]</f>
        <v>0</v>
      </c>
      <c r="H956" s="38" t="s">
        <v>10</v>
      </c>
    </row>
    <row r="957" spans="1:8" ht="31.5" x14ac:dyDescent="0.25">
      <c r="A957" s="31">
        <v>44690</v>
      </c>
      <c r="B957" s="38" t="s">
        <v>15069</v>
      </c>
      <c r="C957" s="38" t="s">
        <v>592</v>
      </c>
      <c r="D957" s="34">
        <v>34136</v>
      </c>
      <c r="E957" s="35" t="s">
        <v>15070</v>
      </c>
      <c r="F957" s="34">
        <f>14000+20136</f>
        <v>34136</v>
      </c>
      <c r="G957" s="36">
        <f>Tabla16[[#This Row],[Importe]]-Tabla16[[#This Row],[Pagado]]</f>
        <v>0</v>
      </c>
      <c r="H957" s="38" t="s">
        <v>10</v>
      </c>
    </row>
    <row r="958" spans="1:8" x14ac:dyDescent="0.25">
      <c r="A958" s="31">
        <v>44690</v>
      </c>
      <c r="B958" s="38" t="s">
        <v>15071</v>
      </c>
      <c r="C958" s="38" t="s">
        <v>484</v>
      </c>
      <c r="D958" s="34">
        <v>3308.8</v>
      </c>
      <c r="E958" s="35">
        <v>44690</v>
      </c>
      <c r="F958" s="34">
        <v>3308.8</v>
      </c>
      <c r="G958" s="36">
        <f>Tabla16[[#This Row],[Importe]]-Tabla16[[#This Row],[Pagado]]</f>
        <v>0</v>
      </c>
      <c r="H958" s="38" t="s">
        <v>10</v>
      </c>
    </row>
    <row r="959" spans="1:8" x14ac:dyDescent="0.25">
      <c r="A959" s="31">
        <v>44690</v>
      </c>
      <c r="B959" s="38" t="s">
        <v>15072</v>
      </c>
      <c r="C959" s="38" t="s">
        <v>541</v>
      </c>
      <c r="D959" s="34">
        <v>1024.8</v>
      </c>
      <c r="E959" s="35">
        <v>44691</v>
      </c>
      <c r="F959" s="34">
        <v>1024.8</v>
      </c>
      <c r="G959" s="36">
        <f>Tabla16[[#This Row],[Importe]]-Tabla16[[#This Row],[Pagado]]</f>
        <v>0</v>
      </c>
      <c r="H959" s="38" t="s">
        <v>10</v>
      </c>
    </row>
    <row r="960" spans="1:8" x14ac:dyDescent="0.25">
      <c r="A960" s="31">
        <v>44690</v>
      </c>
      <c r="B960" s="38" t="s">
        <v>15073</v>
      </c>
      <c r="C960" s="38" t="s">
        <v>133</v>
      </c>
      <c r="D960" s="34">
        <v>16700.8</v>
      </c>
      <c r="E960" s="35">
        <v>44691</v>
      </c>
      <c r="F960" s="34">
        <v>16700.8</v>
      </c>
      <c r="G960" s="36">
        <f>Tabla16[[#This Row],[Importe]]-Tabla16[[#This Row],[Pagado]]</f>
        <v>0</v>
      </c>
      <c r="H960" s="38" t="s">
        <v>10</v>
      </c>
    </row>
    <row r="961" spans="1:8" x14ac:dyDescent="0.25">
      <c r="A961" s="31">
        <v>44690</v>
      </c>
      <c r="B961" s="38" t="s">
        <v>15074</v>
      </c>
      <c r="C961" s="38" t="s">
        <v>173</v>
      </c>
      <c r="D961" s="34">
        <v>19905.599999999999</v>
      </c>
      <c r="E961" s="35">
        <v>44691</v>
      </c>
      <c r="F961" s="34">
        <v>19905.599999999999</v>
      </c>
      <c r="G961" s="36">
        <f>Tabla16[[#This Row],[Importe]]-Tabla16[[#This Row],[Pagado]]</f>
        <v>0</v>
      </c>
      <c r="H961" s="38" t="s">
        <v>10</v>
      </c>
    </row>
    <row r="962" spans="1:8" x14ac:dyDescent="0.25">
      <c r="A962" s="31">
        <v>44690</v>
      </c>
      <c r="B962" s="38" t="s">
        <v>15075</v>
      </c>
      <c r="C962" s="38" t="s">
        <v>208</v>
      </c>
      <c r="D962" s="34">
        <v>6605.4</v>
      </c>
      <c r="E962" s="35">
        <v>44691</v>
      </c>
      <c r="F962" s="34">
        <v>6605.4</v>
      </c>
      <c r="G962" s="36">
        <f>Tabla16[[#This Row],[Importe]]-Tabla16[[#This Row],[Pagado]]</f>
        <v>0</v>
      </c>
      <c r="H962" s="38" t="s">
        <v>10</v>
      </c>
    </row>
    <row r="963" spans="1:8" ht="31.5" x14ac:dyDescent="0.25">
      <c r="A963" s="31">
        <v>44690</v>
      </c>
      <c r="B963" s="38" t="s">
        <v>15076</v>
      </c>
      <c r="C963" s="41" t="s">
        <v>15077</v>
      </c>
      <c r="D963" s="34">
        <v>0</v>
      </c>
      <c r="E963" s="39" t="s">
        <v>189</v>
      </c>
      <c r="F963" s="34">
        <v>0</v>
      </c>
      <c r="G963" s="36">
        <f>Tabla16[[#This Row],[Importe]]-Tabla16[[#This Row],[Pagado]]</f>
        <v>0</v>
      </c>
      <c r="H963" s="38" t="s">
        <v>189</v>
      </c>
    </row>
    <row r="964" spans="1:8" x14ac:dyDescent="0.25">
      <c r="A964" s="31">
        <v>44690</v>
      </c>
      <c r="B964" s="38" t="s">
        <v>15078</v>
      </c>
      <c r="C964" s="38" t="s">
        <v>179</v>
      </c>
      <c r="D964" s="34">
        <v>2805</v>
      </c>
      <c r="E964" s="35">
        <v>44690</v>
      </c>
      <c r="F964" s="34">
        <v>2805</v>
      </c>
      <c r="G964" s="36">
        <f>Tabla16[[#This Row],[Importe]]-Tabla16[[#This Row],[Pagado]]</f>
        <v>0</v>
      </c>
      <c r="H964" s="38" t="s">
        <v>10</v>
      </c>
    </row>
    <row r="965" spans="1:8" x14ac:dyDescent="0.25">
      <c r="A965" s="31">
        <v>44690</v>
      </c>
      <c r="B965" s="38" t="s">
        <v>15079</v>
      </c>
      <c r="C965" s="38" t="s">
        <v>58</v>
      </c>
      <c r="D965" s="34">
        <v>4485.6000000000004</v>
      </c>
      <c r="E965" s="35">
        <v>44690</v>
      </c>
      <c r="F965" s="34">
        <v>4485.6000000000004</v>
      </c>
      <c r="G965" s="36">
        <f>Tabla16[[#This Row],[Importe]]-Tabla16[[#This Row],[Pagado]]</f>
        <v>0</v>
      </c>
      <c r="H965" s="38" t="s">
        <v>10</v>
      </c>
    </row>
    <row r="966" spans="1:8" x14ac:dyDescent="0.25">
      <c r="A966" s="31">
        <v>44690</v>
      </c>
      <c r="B966" s="38" t="s">
        <v>15080</v>
      </c>
      <c r="C966" s="38" t="s">
        <v>107</v>
      </c>
      <c r="D966" s="34">
        <v>17543.599999999999</v>
      </c>
      <c r="E966" s="35">
        <v>44691</v>
      </c>
      <c r="F966" s="34">
        <v>17543.599999999999</v>
      </c>
      <c r="G966" s="36">
        <f>Tabla16[[#This Row],[Importe]]-Tabla16[[#This Row],[Pagado]]</f>
        <v>0</v>
      </c>
      <c r="H966" s="38" t="s">
        <v>10</v>
      </c>
    </row>
    <row r="967" spans="1:8" x14ac:dyDescent="0.25">
      <c r="A967" s="31">
        <v>44690</v>
      </c>
      <c r="B967" s="38" t="s">
        <v>15081</v>
      </c>
      <c r="C967" s="38" t="s">
        <v>214</v>
      </c>
      <c r="D967" s="34">
        <v>6321</v>
      </c>
      <c r="E967" s="35">
        <v>44691</v>
      </c>
      <c r="F967" s="34">
        <v>6321</v>
      </c>
      <c r="G967" s="36">
        <f>Tabla16[[#This Row],[Importe]]-Tabla16[[#This Row],[Pagado]]</f>
        <v>0</v>
      </c>
      <c r="H967" s="38" t="s">
        <v>10</v>
      </c>
    </row>
    <row r="968" spans="1:8" x14ac:dyDescent="0.25">
      <c r="A968" s="31">
        <v>44690</v>
      </c>
      <c r="B968" s="38" t="s">
        <v>15082</v>
      </c>
      <c r="C968" s="38" t="s">
        <v>7818</v>
      </c>
      <c r="D968" s="34">
        <v>203.6</v>
      </c>
      <c r="E968" s="35">
        <v>44690</v>
      </c>
      <c r="F968" s="34">
        <v>203.6</v>
      </c>
      <c r="G968" s="36">
        <f>Tabla16[[#This Row],[Importe]]-Tabla16[[#This Row],[Pagado]]</f>
        <v>0</v>
      </c>
      <c r="H968" s="38" t="s">
        <v>10</v>
      </c>
    </row>
    <row r="969" spans="1:8" x14ac:dyDescent="0.25">
      <c r="A969" s="31">
        <v>44690</v>
      </c>
      <c r="B969" s="38" t="s">
        <v>15083</v>
      </c>
      <c r="C969" s="38" t="s">
        <v>400</v>
      </c>
      <c r="D969" s="34">
        <v>3669</v>
      </c>
      <c r="E969" s="35">
        <v>44701</v>
      </c>
      <c r="F969" s="34">
        <v>3669</v>
      </c>
      <c r="G969" s="36">
        <f>Tabla16[[#This Row],[Importe]]-Tabla16[[#This Row],[Pagado]]</f>
        <v>0</v>
      </c>
      <c r="H969" s="38" t="s">
        <v>10</v>
      </c>
    </row>
    <row r="970" spans="1:8" x14ac:dyDescent="0.25">
      <c r="A970" s="31">
        <v>44690</v>
      </c>
      <c r="B970" s="38" t="s">
        <v>15084</v>
      </c>
      <c r="C970" s="38" t="s">
        <v>7745</v>
      </c>
      <c r="D970" s="34">
        <v>10323.6</v>
      </c>
      <c r="E970" s="35">
        <v>44690</v>
      </c>
      <c r="F970" s="34">
        <v>10323.6</v>
      </c>
      <c r="G970" s="36">
        <f>Tabla16[[#This Row],[Importe]]-Tabla16[[#This Row],[Pagado]]</f>
        <v>0</v>
      </c>
      <c r="H970" s="38" t="s">
        <v>10</v>
      </c>
    </row>
    <row r="971" spans="1:8" x14ac:dyDescent="0.25">
      <c r="A971" s="31">
        <v>44690</v>
      </c>
      <c r="B971" s="38" t="s">
        <v>15085</v>
      </c>
      <c r="C971" s="38" t="s">
        <v>450</v>
      </c>
      <c r="D971" s="34">
        <v>6822.4</v>
      </c>
      <c r="E971" s="35">
        <v>44690</v>
      </c>
      <c r="F971" s="34">
        <v>6822.4</v>
      </c>
      <c r="G971" s="36">
        <f>Tabla16[[#This Row],[Importe]]-Tabla16[[#This Row],[Pagado]]</f>
        <v>0</v>
      </c>
      <c r="H971" s="38" t="s">
        <v>10</v>
      </c>
    </row>
    <row r="972" spans="1:8" x14ac:dyDescent="0.25">
      <c r="A972" s="31">
        <v>44690</v>
      </c>
      <c r="B972" s="38" t="s">
        <v>15086</v>
      </c>
      <c r="C972" s="38" t="s">
        <v>196</v>
      </c>
      <c r="D972" s="34">
        <v>25944</v>
      </c>
      <c r="E972" s="35">
        <v>44694</v>
      </c>
      <c r="F972" s="34">
        <v>25944</v>
      </c>
      <c r="G972" s="36">
        <f>Tabla16[[#This Row],[Importe]]-Tabla16[[#This Row],[Pagado]]</f>
        <v>0</v>
      </c>
      <c r="H972" s="38" t="s">
        <v>10</v>
      </c>
    </row>
    <row r="973" spans="1:8" x14ac:dyDescent="0.25">
      <c r="A973" s="31">
        <v>44690</v>
      </c>
      <c r="B973" s="38" t="s">
        <v>15087</v>
      </c>
      <c r="C973" s="38" t="s">
        <v>275</v>
      </c>
      <c r="D973" s="34">
        <v>19158</v>
      </c>
      <c r="E973" s="35">
        <v>44708</v>
      </c>
      <c r="F973" s="34">
        <v>19158</v>
      </c>
      <c r="G973" s="36">
        <f>Tabla16[[#This Row],[Importe]]-Tabla16[[#This Row],[Pagado]]</f>
        <v>0</v>
      </c>
      <c r="H973" s="38" t="s">
        <v>10</v>
      </c>
    </row>
    <row r="974" spans="1:8" x14ac:dyDescent="0.25">
      <c r="A974" s="31">
        <v>44690</v>
      </c>
      <c r="B974" s="38" t="s">
        <v>15088</v>
      </c>
      <c r="C974" s="38" t="s">
        <v>440</v>
      </c>
      <c r="D974" s="34">
        <v>18866.240000000002</v>
      </c>
      <c r="E974" s="35">
        <v>44697</v>
      </c>
      <c r="F974" s="34">
        <v>18866.240000000002</v>
      </c>
      <c r="G974" s="36">
        <f>Tabla16[[#This Row],[Importe]]-Tabla16[[#This Row],[Pagado]]</f>
        <v>0</v>
      </c>
      <c r="H974" s="38" t="s">
        <v>10</v>
      </c>
    </row>
    <row r="975" spans="1:8" x14ac:dyDescent="0.25">
      <c r="A975" s="31">
        <v>44690</v>
      </c>
      <c r="B975" s="38" t="s">
        <v>15089</v>
      </c>
      <c r="C975" s="38" t="s">
        <v>31</v>
      </c>
      <c r="D975" s="34">
        <v>2810.6</v>
      </c>
      <c r="E975" s="35">
        <v>44690</v>
      </c>
      <c r="F975" s="34">
        <v>2810.6</v>
      </c>
      <c r="G975" s="36">
        <f>Tabla16[[#This Row],[Importe]]-Tabla16[[#This Row],[Pagado]]</f>
        <v>0</v>
      </c>
      <c r="H975" s="38" t="s">
        <v>10</v>
      </c>
    </row>
    <row r="976" spans="1:8" x14ac:dyDescent="0.25">
      <c r="A976" s="31">
        <v>44690</v>
      </c>
      <c r="B976" s="38" t="s">
        <v>15090</v>
      </c>
      <c r="C976" s="38" t="s">
        <v>421</v>
      </c>
      <c r="D976" s="34">
        <v>6416</v>
      </c>
      <c r="E976" s="35">
        <v>44690</v>
      </c>
      <c r="F976" s="34">
        <v>6416</v>
      </c>
      <c r="G976" s="36">
        <f>Tabla16[[#This Row],[Importe]]-Tabla16[[#This Row],[Pagado]]</f>
        <v>0</v>
      </c>
      <c r="H976" s="38" t="s">
        <v>10</v>
      </c>
    </row>
    <row r="977" spans="1:8" x14ac:dyDescent="0.25">
      <c r="A977" s="31">
        <v>44690</v>
      </c>
      <c r="B977" s="38" t="s">
        <v>15091</v>
      </c>
      <c r="C977" s="38" t="s">
        <v>15092</v>
      </c>
      <c r="D977" s="34">
        <v>0</v>
      </c>
      <c r="E977" s="39" t="s">
        <v>189</v>
      </c>
      <c r="F977" s="34">
        <v>0</v>
      </c>
      <c r="G977" s="36">
        <f>Tabla16[[#This Row],[Importe]]-Tabla16[[#This Row],[Pagado]]</f>
        <v>0</v>
      </c>
      <c r="H977" s="38" t="s">
        <v>189</v>
      </c>
    </row>
    <row r="978" spans="1:8" x14ac:dyDescent="0.25">
      <c r="A978" s="31">
        <v>44690</v>
      </c>
      <c r="B978" s="38" t="s">
        <v>15093</v>
      </c>
      <c r="C978" s="38" t="s">
        <v>273</v>
      </c>
      <c r="D978" s="34">
        <v>48127.4</v>
      </c>
      <c r="E978" s="35">
        <v>44690</v>
      </c>
      <c r="F978" s="34">
        <v>48127.4</v>
      </c>
      <c r="G978" s="36">
        <f>Tabla16[[#This Row],[Importe]]-Tabla16[[#This Row],[Pagado]]</f>
        <v>0</v>
      </c>
      <c r="H978" s="38" t="s">
        <v>10</v>
      </c>
    </row>
    <row r="979" spans="1:8" x14ac:dyDescent="0.25">
      <c r="A979" s="31">
        <v>44690</v>
      </c>
      <c r="B979" s="38" t="s">
        <v>15094</v>
      </c>
      <c r="C979" s="38" t="s">
        <v>1265</v>
      </c>
      <c r="D979" s="34">
        <v>510.4</v>
      </c>
      <c r="E979" s="35">
        <v>44690</v>
      </c>
      <c r="F979" s="34">
        <v>510.4</v>
      </c>
      <c r="G979" s="36">
        <f>Tabla16[[#This Row],[Importe]]-Tabla16[[#This Row],[Pagado]]</f>
        <v>0</v>
      </c>
      <c r="H979" s="38" t="s">
        <v>10</v>
      </c>
    </row>
    <row r="980" spans="1:8" x14ac:dyDescent="0.25">
      <c r="A980" s="31">
        <v>44690</v>
      </c>
      <c r="B980" s="38" t="s">
        <v>15095</v>
      </c>
      <c r="C980" s="38" t="s">
        <v>421</v>
      </c>
      <c r="D980" s="34">
        <v>524.4</v>
      </c>
      <c r="E980" s="35">
        <v>44690</v>
      </c>
      <c r="F980" s="34">
        <v>524.4</v>
      </c>
      <c r="G980" s="36">
        <f>Tabla16[[#This Row],[Importe]]-Tabla16[[#This Row],[Pagado]]</f>
        <v>0</v>
      </c>
      <c r="H980" s="38" t="s">
        <v>10</v>
      </c>
    </row>
    <row r="981" spans="1:8" x14ac:dyDescent="0.25">
      <c r="A981" s="31">
        <v>44690</v>
      </c>
      <c r="B981" s="38" t="s">
        <v>15096</v>
      </c>
      <c r="C981" s="38" t="s">
        <v>431</v>
      </c>
      <c r="D981" s="34">
        <v>686.4</v>
      </c>
      <c r="E981" s="35">
        <v>44691</v>
      </c>
      <c r="F981" s="34">
        <v>686.4</v>
      </c>
      <c r="G981" s="36">
        <f>Tabla16[[#This Row],[Importe]]-Tabla16[[#This Row],[Pagado]]</f>
        <v>0</v>
      </c>
      <c r="H981" s="38" t="s">
        <v>10</v>
      </c>
    </row>
    <row r="982" spans="1:8" x14ac:dyDescent="0.25">
      <c r="A982" s="31">
        <v>44690</v>
      </c>
      <c r="B982" s="38" t="s">
        <v>15097</v>
      </c>
      <c r="C982" s="38" t="s">
        <v>280</v>
      </c>
      <c r="D982" s="34">
        <v>1135.2</v>
      </c>
      <c r="E982" s="35">
        <v>44691</v>
      </c>
      <c r="F982" s="34">
        <v>1135.2</v>
      </c>
      <c r="G982" s="36">
        <f>Tabla16[[#This Row],[Importe]]-Tabla16[[#This Row],[Pagado]]</f>
        <v>0</v>
      </c>
      <c r="H982" s="38" t="s">
        <v>10</v>
      </c>
    </row>
    <row r="983" spans="1:8" x14ac:dyDescent="0.25">
      <c r="A983" s="31">
        <v>44690</v>
      </c>
      <c r="B983" s="38" t="s">
        <v>15098</v>
      </c>
      <c r="C983" s="38" t="s">
        <v>5345</v>
      </c>
      <c r="D983" s="34">
        <v>3022.8</v>
      </c>
      <c r="E983" s="35">
        <v>44691</v>
      </c>
      <c r="F983" s="34">
        <v>3022.8</v>
      </c>
      <c r="G983" s="36">
        <f>Tabla16[[#This Row],[Importe]]-Tabla16[[#This Row],[Pagado]]</f>
        <v>0</v>
      </c>
      <c r="H983" s="38" t="s">
        <v>10</v>
      </c>
    </row>
    <row r="984" spans="1:8" x14ac:dyDescent="0.25">
      <c r="A984" s="31">
        <v>44690</v>
      </c>
      <c r="B984" s="38" t="s">
        <v>15099</v>
      </c>
      <c r="C984" s="38" t="s">
        <v>282</v>
      </c>
      <c r="D984" s="34">
        <v>2554.1999999999998</v>
      </c>
      <c r="E984" s="35">
        <v>44691</v>
      </c>
      <c r="F984" s="34">
        <v>2554.1999999999998</v>
      </c>
      <c r="G984" s="36">
        <f>Tabla16[[#This Row],[Importe]]-Tabla16[[#This Row],[Pagado]]</f>
        <v>0</v>
      </c>
      <c r="H984" s="38" t="s">
        <v>10</v>
      </c>
    </row>
    <row r="985" spans="1:8" x14ac:dyDescent="0.25">
      <c r="A985" s="31">
        <v>44690</v>
      </c>
      <c r="B985" s="38" t="s">
        <v>15100</v>
      </c>
      <c r="C985" s="38" t="s">
        <v>95</v>
      </c>
      <c r="D985" s="34">
        <v>9415.6</v>
      </c>
      <c r="E985" s="35">
        <v>44690</v>
      </c>
      <c r="F985" s="34">
        <v>9415.6</v>
      </c>
      <c r="G985" s="36">
        <f>Tabla16[[#This Row],[Importe]]-Tabla16[[#This Row],[Pagado]]</f>
        <v>0</v>
      </c>
      <c r="H985" s="38" t="s">
        <v>10</v>
      </c>
    </row>
    <row r="986" spans="1:8" x14ac:dyDescent="0.25">
      <c r="A986" s="31">
        <v>44690</v>
      </c>
      <c r="B986" s="38" t="s">
        <v>15101</v>
      </c>
      <c r="C986" s="38" t="s">
        <v>284</v>
      </c>
      <c r="D986" s="34">
        <v>20486.400000000001</v>
      </c>
      <c r="E986" s="35">
        <v>44691</v>
      </c>
      <c r="F986" s="34">
        <v>20486.400000000001</v>
      </c>
      <c r="G986" s="36">
        <f>Tabla16[[#This Row],[Importe]]-Tabla16[[#This Row],[Pagado]]</f>
        <v>0</v>
      </c>
      <c r="H986" s="38" t="s">
        <v>10</v>
      </c>
    </row>
    <row r="987" spans="1:8" x14ac:dyDescent="0.25">
      <c r="A987" s="31">
        <v>44690</v>
      </c>
      <c r="B987" s="38" t="s">
        <v>15102</v>
      </c>
      <c r="C987" s="38" t="s">
        <v>31</v>
      </c>
      <c r="D987" s="34">
        <v>47</v>
      </c>
      <c r="E987" s="35">
        <v>44690</v>
      </c>
      <c r="F987" s="34">
        <v>47</v>
      </c>
      <c r="G987" s="36">
        <f>Tabla16[[#This Row],[Importe]]-Tabla16[[#This Row],[Pagado]]</f>
        <v>0</v>
      </c>
      <c r="H987" s="38" t="s">
        <v>10</v>
      </c>
    </row>
    <row r="988" spans="1:8" x14ac:dyDescent="0.25">
      <c r="A988" s="31">
        <v>44690</v>
      </c>
      <c r="B988" s="38" t="s">
        <v>15103</v>
      </c>
      <c r="C988" s="38" t="s">
        <v>296</v>
      </c>
      <c r="D988" s="34">
        <v>2470.1999999999998</v>
      </c>
      <c r="E988" s="35">
        <v>44690</v>
      </c>
      <c r="F988" s="34">
        <v>2470.1999999999998</v>
      </c>
      <c r="G988" s="36">
        <f>Tabla16[[#This Row],[Importe]]-Tabla16[[#This Row],[Pagado]]</f>
        <v>0</v>
      </c>
      <c r="H988" s="38" t="s">
        <v>10</v>
      </c>
    </row>
    <row r="989" spans="1:8" x14ac:dyDescent="0.25">
      <c r="A989" s="31">
        <v>44690</v>
      </c>
      <c r="B989" s="38" t="s">
        <v>15104</v>
      </c>
      <c r="C989" s="38" t="s">
        <v>175</v>
      </c>
      <c r="D989" s="34">
        <v>30914.7</v>
      </c>
      <c r="E989" s="35">
        <v>44691</v>
      </c>
      <c r="F989" s="34">
        <v>30914.7</v>
      </c>
      <c r="G989" s="36">
        <f>Tabla16[[#This Row],[Importe]]-Tabla16[[#This Row],[Pagado]]</f>
        <v>0</v>
      </c>
      <c r="H989" s="38" t="s">
        <v>10</v>
      </c>
    </row>
    <row r="990" spans="1:8" x14ac:dyDescent="0.25">
      <c r="A990" s="31">
        <v>44690</v>
      </c>
      <c r="B990" s="38" t="s">
        <v>15105</v>
      </c>
      <c r="C990" s="38" t="s">
        <v>10190</v>
      </c>
      <c r="D990" s="34">
        <v>16615.2</v>
      </c>
      <c r="E990" s="35">
        <v>44691</v>
      </c>
      <c r="F990" s="34">
        <v>16615.2</v>
      </c>
      <c r="G990" s="36">
        <f>Tabla16[[#This Row],[Importe]]-Tabla16[[#This Row],[Pagado]]</f>
        <v>0</v>
      </c>
      <c r="H990" s="38" t="s">
        <v>10</v>
      </c>
    </row>
    <row r="991" spans="1:8" ht="17.25" x14ac:dyDescent="0.3">
      <c r="A991" s="31">
        <v>44690</v>
      </c>
      <c r="B991" s="38" t="s">
        <v>15106</v>
      </c>
      <c r="C991" s="38" t="s">
        <v>142</v>
      </c>
      <c r="D991" s="34">
        <v>1956</v>
      </c>
      <c r="E991" s="117">
        <v>44722</v>
      </c>
      <c r="F991" s="34">
        <v>1956</v>
      </c>
      <c r="G991" s="36">
        <f>Tabla16[[#This Row],[Importe]]-Tabla16[[#This Row],[Pagado]]</f>
        <v>0</v>
      </c>
      <c r="H991" s="38" t="s">
        <v>10</v>
      </c>
    </row>
    <row r="992" spans="1:8" x14ac:dyDescent="0.25">
      <c r="A992" s="31">
        <v>44690</v>
      </c>
      <c r="B992" s="38" t="s">
        <v>15107</v>
      </c>
      <c r="C992" s="38" t="s">
        <v>1174</v>
      </c>
      <c r="D992" s="34">
        <v>15750.4</v>
      </c>
      <c r="E992" s="35">
        <v>44690</v>
      </c>
      <c r="F992" s="34">
        <v>15750.4</v>
      </c>
      <c r="G992" s="36">
        <f>Tabla16[[#This Row],[Importe]]-Tabla16[[#This Row],[Pagado]]</f>
        <v>0</v>
      </c>
      <c r="H992" s="38" t="s">
        <v>10</v>
      </c>
    </row>
    <row r="993" spans="1:8" x14ac:dyDescent="0.25">
      <c r="A993" s="31">
        <v>44690</v>
      </c>
      <c r="B993" s="38" t="s">
        <v>15108</v>
      </c>
      <c r="C993" s="38" t="s">
        <v>10678</v>
      </c>
      <c r="D993" s="34">
        <v>2926.2</v>
      </c>
      <c r="E993" s="35">
        <v>44690</v>
      </c>
      <c r="F993" s="34">
        <v>2926.2</v>
      </c>
      <c r="G993" s="36">
        <f>Tabla16[[#This Row],[Importe]]-Tabla16[[#This Row],[Pagado]]</f>
        <v>0</v>
      </c>
      <c r="H993" s="38" t="s">
        <v>10</v>
      </c>
    </row>
    <row r="994" spans="1:8" x14ac:dyDescent="0.25">
      <c r="A994" s="31">
        <v>44690</v>
      </c>
      <c r="B994" s="38" t="s">
        <v>15109</v>
      </c>
      <c r="C994" s="38" t="s">
        <v>246</v>
      </c>
      <c r="D994" s="34">
        <v>49480</v>
      </c>
      <c r="E994" s="35">
        <v>44690</v>
      </c>
      <c r="F994" s="34">
        <v>49480</v>
      </c>
      <c r="G994" s="36">
        <f>Tabla16[[#This Row],[Importe]]-Tabla16[[#This Row],[Pagado]]</f>
        <v>0</v>
      </c>
      <c r="H994" s="38" t="s">
        <v>10</v>
      </c>
    </row>
    <row r="995" spans="1:8" x14ac:dyDescent="0.25">
      <c r="A995" s="31">
        <v>44690</v>
      </c>
      <c r="B995" s="38" t="s">
        <v>15110</v>
      </c>
      <c r="C995" s="38" t="s">
        <v>191</v>
      </c>
      <c r="D995" s="34">
        <v>466.4</v>
      </c>
      <c r="E995" s="35">
        <v>44690</v>
      </c>
      <c r="F995" s="34">
        <v>466.4</v>
      </c>
      <c r="G995" s="36">
        <f>Tabla16[[#This Row],[Importe]]-Tabla16[[#This Row],[Pagado]]</f>
        <v>0</v>
      </c>
      <c r="H995" s="38" t="s">
        <v>10</v>
      </c>
    </row>
    <row r="996" spans="1:8" x14ac:dyDescent="0.25">
      <c r="A996" s="31">
        <v>44690</v>
      </c>
      <c r="B996" s="38" t="s">
        <v>15111</v>
      </c>
      <c r="C996" s="38" t="s">
        <v>475</v>
      </c>
      <c r="D996" s="34">
        <v>20747.3</v>
      </c>
      <c r="E996" s="35">
        <v>44692</v>
      </c>
      <c r="F996" s="34">
        <v>20747.3</v>
      </c>
      <c r="G996" s="36">
        <f>Tabla16[[#This Row],[Importe]]-Tabla16[[#This Row],[Pagado]]</f>
        <v>0</v>
      </c>
      <c r="H996" s="38" t="s">
        <v>10</v>
      </c>
    </row>
    <row r="997" spans="1:8" x14ac:dyDescent="0.25">
      <c r="A997" s="31">
        <v>44690</v>
      </c>
      <c r="B997" s="38" t="s">
        <v>15112</v>
      </c>
      <c r="C997" s="38" t="s">
        <v>10840</v>
      </c>
      <c r="D997" s="34">
        <v>21613.599999999999</v>
      </c>
      <c r="E997" s="35">
        <v>44697</v>
      </c>
      <c r="F997" s="34">
        <v>21613.599999999999</v>
      </c>
      <c r="G997" s="36">
        <f>Tabla16[[#This Row],[Importe]]-Tabla16[[#This Row],[Pagado]]</f>
        <v>0</v>
      </c>
      <c r="H997" s="38" t="s">
        <v>10</v>
      </c>
    </row>
    <row r="998" spans="1:8" x14ac:dyDescent="0.25">
      <c r="A998" s="31">
        <v>44690</v>
      </c>
      <c r="B998" s="38" t="s">
        <v>15113</v>
      </c>
      <c r="C998" s="38" t="s">
        <v>5620</v>
      </c>
      <c r="D998" s="34">
        <v>63184.800000000003</v>
      </c>
      <c r="E998" s="35">
        <v>44692</v>
      </c>
      <c r="F998" s="34">
        <v>63184.800000000003</v>
      </c>
      <c r="G998" s="36">
        <f>Tabla16[[#This Row],[Importe]]-Tabla16[[#This Row],[Pagado]]</f>
        <v>0</v>
      </c>
      <c r="H998" s="38" t="s">
        <v>10</v>
      </c>
    </row>
    <row r="999" spans="1:8" x14ac:dyDescent="0.25">
      <c r="A999" s="31">
        <v>44690</v>
      </c>
      <c r="B999" s="38" t="s">
        <v>15114</v>
      </c>
      <c r="C999" s="38" t="s">
        <v>10984</v>
      </c>
      <c r="D999" s="34">
        <v>15936</v>
      </c>
      <c r="E999" s="35">
        <v>44690</v>
      </c>
      <c r="F999" s="34">
        <v>15936</v>
      </c>
      <c r="G999" s="36">
        <f>Tabla16[[#This Row],[Importe]]-Tabla16[[#This Row],[Pagado]]</f>
        <v>0</v>
      </c>
      <c r="H999" s="38" t="s">
        <v>10</v>
      </c>
    </row>
    <row r="1000" spans="1:8" x14ac:dyDescent="0.25">
      <c r="A1000" s="31">
        <v>44690</v>
      </c>
      <c r="B1000" s="38" t="s">
        <v>15115</v>
      </c>
      <c r="C1000" s="38" t="s">
        <v>31</v>
      </c>
      <c r="D1000" s="34">
        <v>1425.6</v>
      </c>
      <c r="E1000" s="35">
        <v>44690</v>
      </c>
      <c r="F1000" s="34">
        <v>1425.6</v>
      </c>
      <c r="G1000" s="36">
        <f>Tabla16[[#This Row],[Importe]]-Tabla16[[#This Row],[Pagado]]</f>
        <v>0</v>
      </c>
      <c r="H1000" s="38" t="s">
        <v>10</v>
      </c>
    </row>
    <row r="1001" spans="1:8" x14ac:dyDescent="0.25">
      <c r="A1001" s="31">
        <v>44690</v>
      </c>
      <c r="B1001" s="38" t="s">
        <v>15116</v>
      </c>
      <c r="C1001" s="38" t="s">
        <v>1421</v>
      </c>
      <c r="D1001" s="34">
        <v>34769.279999999999</v>
      </c>
      <c r="E1001" s="35">
        <v>44690</v>
      </c>
      <c r="F1001" s="34">
        <v>34769.279999999999</v>
      </c>
      <c r="G1001" s="36">
        <f>Tabla16[[#This Row],[Importe]]-Tabla16[[#This Row],[Pagado]]</f>
        <v>0</v>
      </c>
      <c r="H1001" s="38" t="s">
        <v>10</v>
      </c>
    </row>
    <row r="1002" spans="1:8" x14ac:dyDescent="0.25">
      <c r="A1002" s="31">
        <v>44691</v>
      </c>
      <c r="B1002" s="38" t="s">
        <v>15117</v>
      </c>
      <c r="C1002" s="38" t="s">
        <v>481</v>
      </c>
      <c r="D1002" s="34">
        <v>572.70000000000005</v>
      </c>
      <c r="E1002" s="35">
        <v>44691</v>
      </c>
      <c r="F1002" s="34">
        <v>572.70000000000005</v>
      </c>
      <c r="G1002" s="36">
        <f>Tabla16[[#This Row],[Importe]]-Tabla16[[#This Row],[Pagado]]</f>
        <v>0</v>
      </c>
      <c r="H1002" s="38" t="s">
        <v>10</v>
      </c>
    </row>
    <row r="1003" spans="1:8" x14ac:dyDescent="0.25">
      <c r="A1003" s="31">
        <v>44691</v>
      </c>
      <c r="B1003" s="38" t="s">
        <v>15118</v>
      </c>
      <c r="C1003" s="38" t="s">
        <v>12</v>
      </c>
      <c r="D1003" s="34">
        <v>33222.5</v>
      </c>
      <c r="E1003" s="35">
        <v>44691</v>
      </c>
      <c r="F1003" s="34">
        <v>33222.5</v>
      </c>
      <c r="G1003" s="36">
        <f>Tabla16[[#This Row],[Importe]]-Tabla16[[#This Row],[Pagado]]</f>
        <v>0</v>
      </c>
      <c r="H1003" s="38" t="s">
        <v>10</v>
      </c>
    </row>
    <row r="1004" spans="1:8" x14ac:dyDescent="0.25">
      <c r="A1004" s="31">
        <v>44691</v>
      </c>
      <c r="B1004" s="38" t="s">
        <v>15119</v>
      </c>
      <c r="C1004" s="38" t="s">
        <v>2563</v>
      </c>
      <c r="D1004" s="34">
        <v>3853.1</v>
      </c>
      <c r="E1004" s="35">
        <v>44691</v>
      </c>
      <c r="F1004" s="34">
        <v>3853.1</v>
      </c>
      <c r="G1004" s="36">
        <f>Tabla16[[#This Row],[Importe]]-Tabla16[[#This Row],[Pagado]]</f>
        <v>0</v>
      </c>
      <c r="H1004" s="38" t="s">
        <v>10</v>
      </c>
    </row>
    <row r="1005" spans="1:8" x14ac:dyDescent="0.25">
      <c r="A1005" s="31">
        <v>44691</v>
      </c>
      <c r="B1005" s="38" t="s">
        <v>15120</v>
      </c>
      <c r="C1005" s="38" t="s">
        <v>111</v>
      </c>
      <c r="D1005" s="34">
        <v>4421.7</v>
      </c>
      <c r="E1005" s="35">
        <v>44692</v>
      </c>
      <c r="F1005" s="34">
        <v>4421.7</v>
      </c>
      <c r="G1005" s="36">
        <f>Tabla16[[#This Row],[Importe]]-Tabla16[[#This Row],[Pagado]]</f>
        <v>0</v>
      </c>
      <c r="H1005" s="38" t="s">
        <v>10</v>
      </c>
    </row>
    <row r="1006" spans="1:8" x14ac:dyDescent="0.25">
      <c r="A1006" s="31">
        <v>44691</v>
      </c>
      <c r="B1006" s="38" t="s">
        <v>15121</v>
      </c>
      <c r="C1006" s="38" t="s">
        <v>120</v>
      </c>
      <c r="D1006" s="34">
        <v>4335.3999999999996</v>
      </c>
      <c r="E1006" s="35">
        <v>44693</v>
      </c>
      <c r="F1006" s="34">
        <v>4335.3999999999996</v>
      </c>
      <c r="G1006" s="36">
        <f>Tabla16[[#This Row],[Importe]]-Tabla16[[#This Row],[Pagado]]</f>
        <v>0</v>
      </c>
      <c r="H1006" s="38" t="s">
        <v>10</v>
      </c>
    </row>
    <row r="1007" spans="1:8" x14ac:dyDescent="0.25">
      <c r="A1007" s="31">
        <v>44691</v>
      </c>
      <c r="B1007" s="38" t="s">
        <v>15122</v>
      </c>
      <c r="C1007" s="38" t="s">
        <v>97</v>
      </c>
      <c r="D1007" s="34">
        <v>4263.6000000000004</v>
      </c>
      <c r="E1007" s="35">
        <v>44692</v>
      </c>
      <c r="F1007" s="34">
        <v>4263.6000000000004</v>
      </c>
      <c r="G1007" s="36">
        <f>Tabla16[[#This Row],[Importe]]-Tabla16[[#This Row],[Pagado]]</f>
        <v>0</v>
      </c>
      <c r="H1007" s="38" t="s">
        <v>10</v>
      </c>
    </row>
    <row r="1008" spans="1:8" x14ac:dyDescent="0.25">
      <c r="A1008" s="31">
        <v>44691</v>
      </c>
      <c r="B1008" s="38" t="s">
        <v>15123</v>
      </c>
      <c r="C1008" s="38" t="s">
        <v>109</v>
      </c>
      <c r="D1008" s="34">
        <v>3947.4</v>
      </c>
      <c r="E1008" s="35">
        <v>44692</v>
      </c>
      <c r="F1008" s="34">
        <v>3947.4</v>
      </c>
      <c r="G1008" s="36">
        <f>Tabla16[[#This Row],[Importe]]-Tabla16[[#This Row],[Pagado]]</f>
        <v>0</v>
      </c>
      <c r="H1008" s="38" t="s">
        <v>10</v>
      </c>
    </row>
    <row r="1009" spans="1:8" ht="31.5" x14ac:dyDescent="0.25">
      <c r="A1009" s="31">
        <v>44691</v>
      </c>
      <c r="B1009" s="38" t="s">
        <v>15124</v>
      </c>
      <c r="C1009" s="38" t="s">
        <v>99</v>
      </c>
      <c r="D1009" s="34">
        <v>5220.6000000000004</v>
      </c>
      <c r="E1009" s="35" t="s">
        <v>14808</v>
      </c>
      <c r="F1009" s="34">
        <f>3500+1720.6</f>
        <v>5220.6000000000004</v>
      </c>
      <c r="G1009" s="36">
        <f>Tabla16[[#This Row],[Importe]]-Tabla16[[#This Row],[Pagado]]</f>
        <v>0</v>
      </c>
      <c r="H1009" s="38" t="s">
        <v>10</v>
      </c>
    </row>
    <row r="1010" spans="1:8" x14ac:dyDescent="0.25">
      <c r="A1010" s="31">
        <v>44691</v>
      </c>
      <c r="B1010" s="38" t="s">
        <v>15125</v>
      </c>
      <c r="C1010" s="38" t="s">
        <v>15126</v>
      </c>
      <c r="D1010" s="34">
        <v>0</v>
      </c>
      <c r="E1010" s="39" t="s">
        <v>189</v>
      </c>
      <c r="F1010" s="34">
        <v>0</v>
      </c>
      <c r="G1010" s="36">
        <f>Tabla16[[#This Row],[Importe]]-Tabla16[[#This Row],[Pagado]]</f>
        <v>0</v>
      </c>
      <c r="H1010" s="38" t="s">
        <v>189</v>
      </c>
    </row>
    <row r="1011" spans="1:8" x14ac:dyDescent="0.25">
      <c r="A1011" s="31">
        <v>44691</v>
      </c>
      <c r="B1011" s="38" t="s">
        <v>15127</v>
      </c>
      <c r="C1011" s="38" t="s">
        <v>13946</v>
      </c>
      <c r="D1011" s="34">
        <v>4447.2</v>
      </c>
      <c r="E1011" s="35">
        <v>44693</v>
      </c>
      <c r="F1011" s="34">
        <v>4447.2</v>
      </c>
      <c r="G1011" s="36">
        <f>Tabla16[[#This Row],[Importe]]-Tabla16[[#This Row],[Pagado]]</f>
        <v>0</v>
      </c>
      <c r="H1011" s="38" t="s">
        <v>10</v>
      </c>
    </row>
    <row r="1012" spans="1:8" x14ac:dyDescent="0.25">
      <c r="A1012" s="31">
        <v>44691</v>
      </c>
      <c r="B1012" s="38" t="s">
        <v>15128</v>
      </c>
      <c r="C1012" s="38" t="s">
        <v>326</v>
      </c>
      <c r="D1012" s="34">
        <v>9177.7999999999993</v>
      </c>
      <c r="E1012" s="35">
        <v>44693</v>
      </c>
      <c r="F1012" s="34">
        <v>9177.7999999999993</v>
      </c>
      <c r="G1012" s="36">
        <f>Tabla16[[#This Row],[Importe]]-Tabla16[[#This Row],[Pagado]]</f>
        <v>0</v>
      </c>
      <c r="H1012" s="38" t="s">
        <v>10</v>
      </c>
    </row>
    <row r="1013" spans="1:8" x14ac:dyDescent="0.25">
      <c r="A1013" s="31">
        <v>44691</v>
      </c>
      <c r="B1013" s="38" t="s">
        <v>15129</v>
      </c>
      <c r="C1013" s="38" t="s">
        <v>64</v>
      </c>
      <c r="D1013" s="34">
        <v>7998.4</v>
      </c>
      <c r="E1013" s="35">
        <v>44692</v>
      </c>
      <c r="F1013" s="34">
        <v>7998.4</v>
      </c>
      <c r="G1013" s="36">
        <f>Tabla16[[#This Row],[Importe]]-Tabla16[[#This Row],[Pagado]]</f>
        <v>0</v>
      </c>
      <c r="H1013" s="38" t="s">
        <v>10</v>
      </c>
    </row>
    <row r="1014" spans="1:8" x14ac:dyDescent="0.25">
      <c r="A1014" s="31">
        <v>44691</v>
      </c>
      <c r="B1014" s="38" t="s">
        <v>15130</v>
      </c>
      <c r="C1014" s="38" t="s">
        <v>93</v>
      </c>
      <c r="D1014" s="34">
        <v>8424.7999999999993</v>
      </c>
      <c r="E1014" s="35">
        <v>44692</v>
      </c>
      <c r="F1014" s="34">
        <v>8424.7999999999993</v>
      </c>
      <c r="G1014" s="36">
        <f>Tabla16[[#This Row],[Importe]]-Tabla16[[#This Row],[Pagado]]</f>
        <v>0</v>
      </c>
      <c r="H1014" s="38" t="s">
        <v>10</v>
      </c>
    </row>
    <row r="1015" spans="1:8" x14ac:dyDescent="0.25">
      <c r="A1015" s="31">
        <v>44691</v>
      </c>
      <c r="B1015" s="38" t="s">
        <v>15131</v>
      </c>
      <c r="C1015" s="38" t="s">
        <v>89</v>
      </c>
      <c r="D1015" s="34">
        <v>5854.8</v>
      </c>
      <c r="E1015" s="35">
        <v>44692</v>
      </c>
      <c r="F1015" s="34">
        <v>5854.8</v>
      </c>
      <c r="G1015" s="36">
        <f>Tabla16[[#This Row],[Importe]]-Tabla16[[#This Row],[Pagado]]</f>
        <v>0</v>
      </c>
      <c r="H1015" s="38" t="s">
        <v>10</v>
      </c>
    </row>
    <row r="1016" spans="1:8" x14ac:dyDescent="0.25">
      <c r="A1016" s="31">
        <v>44691</v>
      </c>
      <c r="B1016" s="38" t="s">
        <v>15132</v>
      </c>
      <c r="C1016" s="38" t="s">
        <v>348</v>
      </c>
      <c r="D1016" s="34">
        <v>4581.7</v>
      </c>
      <c r="E1016" s="35">
        <v>44691</v>
      </c>
      <c r="F1016" s="34">
        <v>4581.7</v>
      </c>
      <c r="G1016" s="36">
        <f>Tabla16[[#This Row],[Importe]]-Tabla16[[#This Row],[Pagado]]</f>
        <v>0</v>
      </c>
      <c r="H1016" s="38" t="s">
        <v>10</v>
      </c>
    </row>
    <row r="1017" spans="1:8" x14ac:dyDescent="0.25">
      <c r="A1017" s="31">
        <v>44691</v>
      </c>
      <c r="B1017" s="38" t="s">
        <v>15133</v>
      </c>
      <c r="C1017" s="38" t="s">
        <v>60</v>
      </c>
      <c r="D1017" s="34">
        <v>8220.2999999999993</v>
      </c>
      <c r="E1017" s="35">
        <v>44693</v>
      </c>
      <c r="F1017" s="34">
        <v>8220.2999999999993</v>
      </c>
      <c r="G1017" s="36">
        <f>Tabla16[[#This Row],[Importe]]-Tabla16[[#This Row],[Pagado]]</f>
        <v>0</v>
      </c>
      <c r="H1017" s="38" t="s">
        <v>10</v>
      </c>
    </row>
    <row r="1018" spans="1:8" x14ac:dyDescent="0.25">
      <c r="A1018" s="31">
        <v>44691</v>
      </c>
      <c r="B1018" s="38" t="s">
        <v>15134</v>
      </c>
      <c r="C1018" s="38" t="s">
        <v>114</v>
      </c>
      <c r="D1018" s="34">
        <v>5717.1</v>
      </c>
      <c r="E1018" s="35">
        <v>44692</v>
      </c>
      <c r="F1018" s="34">
        <v>5717.1</v>
      </c>
      <c r="G1018" s="36">
        <f>Tabla16[[#This Row],[Importe]]-Tabla16[[#This Row],[Pagado]]</f>
        <v>0</v>
      </c>
      <c r="H1018" s="38" t="s">
        <v>10</v>
      </c>
    </row>
    <row r="1019" spans="1:8" x14ac:dyDescent="0.25">
      <c r="A1019" s="31">
        <v>44691</v>
      </c>
      <c r="B1019" s="38" t="s">
        <v>15135</v>
      </c>
      <c r="C1019" s="38" t="s">
        <v>2139</v>
      </c>
      <c r="D1019" s="34">
        <v>2418</v>
      </c>
      <c r="E1019" s="35">
        <v>44691</v>
      </c>
      <c r="F1019" s="34">
        <v>2418</v>
      </c>
      <c r="G1019" s="36">
        <f>Tabla16[[#This Row],[Importe]]-Tabla16[[#This Row],[Pagado]]</f>
        <v>0</v>
      </c>
      <c r="H1019" s="38" t="s">
        <v>10</v>
      </c>
    </row>
    <row r="1020" spans="1:8" x14ac:dyDescent="0.25">
      <c r="A1020" s="31">
        <v>44691</v>
      </c>
      <c r="B1020" s="38" t="s">
        <v>15136</v>
      </c>
      <c r="C1020" s="38" t="s">
        <v>39</v>
      </c>
      <c r="D1020" s="34">
        <v>17558.7</v>
      </c>
      <c r="E1020" s="35">
        <v>44696</v>
      </c>
      <c r="F1020" s="34">
        <v>17558.7</v>
      </c>
      <c r="G1020" s="36">
        <f>Tabla16[[#This Row],[Importe]]-Tabla16[[#This Row],[Pagado]]</f>
        <v>0</v>
      </c>
      <c r="H1020" s="38" t="s">
        <v>10</v>
      </c>
    </row>
    <row r="1021" spans="1:8" x14ac:dyDescent="0.25">
      <c r="A1021" s="31">
        <v>44691</v>
      </c>
      <c r="B1021" s="38" t="s">
        <v>15137</v>
      </c>
      <c r="C1021" s="38" t="s">
        <v>105</v>
      </c>
      <c r="D1021" s="34">
        <v>4857.7</v>
      </c>
      <c r="E1021" s="35">
        <v>44692</v>
      </c>
      <c r="F1021" s="34">
        <v>4857.7</v>
      </c>
      <c r="G1021" s="36">
        <f>Tabla16[[#This Row],[Importe]]-Tabla16[[#This Row],[Pagado]]</f>
        <v>0</v>
      </c>
      <c r="H1021" s="38" t="s">
        <v>10</v>
      </c>
    </row>
    <row r="1022" spans="1:8" x14ac:dyDescent="0.25">
      <c r="A1022" s="31">
        <v>44691</v>
      </c>
      <c r="B1022" s="38" t="s">
        <v>15138</v>
      </c>
      <c r="C1022" s="38" t="s">
        <v>2151</v>
      </c>
      <c r="D1022" s="34">
        <v>18443.099999999999</v>
      </c>
      <c r="E1022" s="35">
        <v>44691</v>
      </c>
      <c r="F1022" s="34">
        <v>18443.099999999999</v>
      </c>
      <c r="G1022" s="36">
        <f>Tabla16[[#This Row],[Importe]]-Tabla16[[#This Row],[Pagado]]</f>
        <v>0</v>
      </c>
      <c r="H1022" s="38" t="s">
        <v>10</v>
      </c>
    </row>
    <row r="1023" spans="1:8" x14ac:dyDescent="0.25">
      <c r="A1023" s="31">
        <v>44691</v>
      </c>
      <c r="B1023" s="38" t="s">
        <v>15139</v>
      </c>
      <c r="C1023" s="38" t="s">
        <v>85</v>
      </c>
      <c r="D1023" s="34">
        <v>3429.4</v>
      </c>
      <c r="E1023" s="35">
        <v>44691</v>
      </c>
      <c r="F1023" s="34">
        <v>3429.4</v>
      </c>
      <c r="G1023" s="36">
        <f>Tabla16[[#This Row],[Importe]]-Tabla16[[#This Row],[Pagado]]</f>
        <v>0</v>
      </c>
      <c r="H1023" s="38" t="s">
        <v>10</v>
      </c>
    </row>
    <row r="1024" spans="1:8" x14ac:dyDescent="0.25">
      <c r="A1024" s="31">
        <v>44691</v>
      </c>
      <c r="B1024" s="38" t="s">
        <v>15140</v>
      </c>
      <c r="C1024" s="38" t="s">
        <v>22</v>
      </c>
      <c r="D1024" s="34">
        <v>51587.1</v>
      </c>
      <c r="E1024" s="35">
        <v>44692</v>
      </c>
      <c r="F1024" s="34">
        <v>51587.1</v>
      </c>
      <c r="G1024" s="36">
        <f>Tabla16[[#This Row],[Importe]]-Tabla16[[#This Row],[Pagado]]</f>
        <v>0</v>
      </c>
      <c r="H1024" s="38" t="s">
        <v>10</v>
      </c>
    </row>
    <row r="1025" spans="1:8" x14ac:dyDescent="0.25">
      <c r="A1025" s="31">
        <v>44691</v>
      </c>
      <c r="B1025" s="38" t="s">
        <v>15141</v>
      </c>
      <c r="C1025" s="38" t="s">
        <v>135</v>
      </c>
      <c r="D1025" s="34">
        <v>1690.5</v>
      </c>
      <c r="E1025" s="35">
        <v>44691</v>
      </c>
      <c r="F1025" s="34">
        <v>1690.5</v>
      </c>
      <c r="G1025" s="36">
        <f>Tabla16[[#This Row],[Importe]]-Tabla16[[#This Row],[Pagado]]</f>
        <v>0</v>
      </c>
      <c r="H1025" s="38" t="s">
        <v>10</v>
      </c>
    </row>
    <row r="1026" spans="1:8" x14ac:dyDescent="0.25">
      <c r="A1026" s="31">
        <v>44691</v>
      </c>
      <c r="B1026" s="38" t="s">
        <v>15142</v>
      </c>
      <c r="C1026" s="38" t="s">
        <v>9</v>
      </c>
      <c r="D1026" s="34">
        <v>7946.6</v>
      </c>
      <c r="E1026" s="35">
        <v>44691</v>
      </c>
      <c r="F1026" s="34">
        <v>7946.6</v>
      </c>
      <c r="G1026" s="36">
        <f>Tabla16[[#This Row],[Importe]]-Tabla16[[#This Row],[Pagado]]</f>
        <v>0</v>
      </c>
      <c r="H1026" s="38" t="s">
        <v>10</v>
      </c>
    </row>
    <row r="1027" spans="1:8" x14ac:dyDescent="0.25">
      <c r="A1027" s="31">
        <v>44691</v>
      </c>
      <c r="B1027" s="38" t="s">
        <v>15143</v>
      </c>
      <c r="C1027" s="38" t="s">
        <v>12</v>
      </c>
      <c r="D1027" s="34">
        <v>17891.599999999999</v>
      </c>
      <c r="E1027" s="35">
        <v>44691</v>
      </c>
      <c r="F1027" s="34">
        <v>17891.599999999999</v>
      </c>
      <c r="G1027" s="36">
        <f>Tabla16[[#This Row],[Importe]]-Tabla16[[#This Row],[Pagado]]</f>
        <v>0</v>
      </c>
      <c r="H1027" s="38" t="s">
        <v>10</v>
      </c>
    </row>
    <row r="1028" spans="1:8" x14ac:dyDescent="0.25">
      <c r="A1028" s="31">
        <v>44691</v>
      </c>
      <c r="B1028" s="38" t="s">
        <v>15144</v>
      </c>
      <c r="C1028" s="38" t="s">
        <v>466</v>
      </c>
      <c r="D1028" s="34">
        <v>20934</v>
      </c>
      <c r="E1028" s="35">
        <v>44691</v>
      </c>
      <c r="F1028" s="34">
        <v>20934</v>
      </c>
      <c r="G1028" s="36">
        <f>Tabla16[[#This Row],[Importe]]-Tabla16[[#This Row],[Pagado]]</f>
        <v>0</v>
      </c>
      <c r="H1028" s="38" t="s">
        <v>10</v>
      </c>
    </row>
    <row r="1029" spans="1:8" x14ac:dyDescent="0.25">
      <c r="A1029" s="31">
        <v>44691</v>
      </c>
      <c r="B1029" s="38" t="s">
        <v>15145</v>
      </c>
      <c r="C1029" s="38" t="s">
        <v>27</v>
      </c>
      <c r="D1029" s="34">
        <v>4277.2</v>
      </c>
      <c r="E1029" s="35">
        <v>44691</v>
      </c>
      <c r="F1029" s="34">
        <v>4277.2</v>
      </c>
      <c r="G1029" s="36">
        <f>Tabla16[[#This Row],[Importe]]-Tabla16[[#This Row],[Pagado]]</f>
        <v>0</v>
      </c>
      <c r="H1029" s="38" t="s">
        <v>10</v>
      </c>
    </row>
    <row r="1030" spans="1:8" x14ac:dyDescent="0.25">
      <c r="A1030" s="31">
        <v>44691</v>
      </c>
      <c r="B1030" s="38" t="s">
        <v>15146</v>
      </c>
      <c r="C1030" s="38" t="s">
        <v>146</v>
      </c>
      <c r="D1030" s="34">
        <v>3080.4</v>
      </c>
      <c r="E1030" s="35">
        <v>44691</v>
      </c>
      <c r="F1030" s="34">
        <v>3080.4</v>
      </c>
      <c r="G1030" s="36">
        <f>Tabla16[[#This Row],[Importe]]-Tabla16[[#This Row],[Pagado]]</f>
        <v>0</v>
      </c>
      <c r="H1030" s="38" t="s">
        <v>10</v>
      </c>
    </row>
    <row r="1031" spans="1:8" x14ac:dyDescent="0.25">
      <c r="A1031" s="31">
        <v>44691</v>
      </c>
      <c r="B1031" s="38" t="s">
        <v>15147</v>
      </c>
      <c r="C1031" s="38" t="s">
        <v>1187</v>
      </c>
      <c r="D1031" s="34">
        <v>1981.8</v>
      </c>
      <c r="E1031" s="35">
        <v>44691</v>
      </c>
      <c r="F1031" s="34">
        <v>1981.8</v>
      </c>
      <c r="G1031" s="36">
        <f>Tabla16[[#This Row],[Importe]]-Tabla16[[#This Row],[Pagado]]</f>
        <v>0</v>
      </c>
      <c r="H1031" s="38" t="s">
        <v>10</v>
      </c>
    </row>
    <row r="1032" spans="1:8" x14ac:dyDescent="0.25">
      <c r="A1032" s="31">
        <v>44691</v>
      </c>
      <c r="B1032" s="38" t="s">
        <v>15148</v>
      </c>
      <c r="C1032" s="38" t="s">
        <v>87</v>
      </c>
      <c r="D1032" s="34">
        <v>3029.4</v>
      </c>
      <c r="E1032" s="35">
        <v>44691</v>
      </c>
      <c r="F1032" s="34">
        <v>3029.4</v>
      </c>
      <c r="G1032" s="36">
        <f>Tabla16[[#This Row],[Importe]]-Tabla16[[#This Row],[Pagado]]</f>
        <v>0</v>
      </c>
      <c r="H1032" s="38" t="s">
        <v>10</v>
      </c>
    </row>
    <row r="1033" spans="1:8" x14ac:dyDescent="0.25">
      <c r="A1033" s="31">
        <v>44691</v>
      </c>
      <c r="B1033" s="38" t="s">
        <v>15149</v>
      </c>
      <c r="C1033" s="38" t="s">
        <v>314</v>
      </c>
      <c r="D1033" s="34">
        <v>2032.8</v>
      </c>
      <c r="E1033" s="35">
        <v>44691</v>
      </c>
      <c r="F1033" s="34">
        <v>2032.8</v>
      </c>
      <c r="G1033" s="36">
        <f>Tabla16[[#This Row],[Importe]]-Tabla16[[#This Row],[Pagado]]</f>
        <v>0</v>
      </c>
      <c r="H1033" s="38" t="s">
        <v>10</v>
      </c>
    </row>
    <row r="1034" spans="1:8" x14ac:dyDescent="0.25">
      <c r="A1034" s="31">
        <v>44691</v>
      </c>
      <c r="B1034" s="38" t="s">
        <v>15150</v>
      </c>
      <c r="C1034" s="38" t="s">
        <v>15151</v>
      </c>
      <c r="D1034" s="34">
        <v>0</v>
      </c>
      <c r="E1034" s="39" t="s">
        <v>189</v>
      </c>
      <c r="F1034" s="34">
        <v>0</v>
      </c>
      <c r="G1034" s="36">
        <f>Tabla16[[#This Row],[Importe]]-Tabla16[[#This Row],[Pagado]]</f>
        <v>0</v>
      </c>
      <c r="H1034" s="38" t="s">
        <v>189</v>
      </c>
    </row>
    <row r="1035" spans="1:8" x14ac:dyDescent="0.25">
      <c r="A1035" s="31">
        <v>44691</v>
      </c>
      <c r="B1035" s="38" t="s">
        <v>15152</v>
      </c>
      <c r="C1035" s="38" t="s">
        <v>175</v>
      </c>
      <c r="D1035" s="34">
        <v>12668.4</v>
      </c>
      <c r="E1035" s="35">
        <v>44691</v>
      </c>
      <c r="F1035" s="34">
        <v>12668.4</v>
      </c>
      <c r="G1035" s="36">
        <f>Tabla16[[#This Row],[Importe]]-Tabla16[[#This Row],[Pagado]]</f>
        <v>0</v>
      </c>
      <c r="H1035" s="38" t="s">
        <v>10</v>
      </c>
    </row>
    <row r="1036" spans="1:8" x14ac:dyDescent="0.25">
      <c r="A1036" s="31">
        <v>44691</v>
      </c>
      <c r="B1036" s="38" t="s">
        <v>15153</v>
      </c>
      <c r="C1036" s="38" t="s">
        <v>75</v>
      </c>
      <c r="D1036" s="34">
        <v>8870.4</v>
      </c>
      <c r="E1036" s="35">
        <v>44691</v>
      </c>
      <c r="F1036" s="34">
        <v>8870.4</v>
      </c>
      <c r="G1036" s="36">
        <f>Tabla16[[#This Row],[Importe]]-Tabla16[[#This Row],[Pagado]]</f>
        <v>0</v>
      </c>
      <c r="H1036" s="38" t="s">
        <v>10</v>
      </c>
    </row>
    <row r="1037" spans="1:8" x14ac:dyDescent="0.25">
      <c r="A1037" s="31">
        <v>44691</v>
      </c>
      <c r="B1037" s="38" t="s">
        <v>15154</v>
      </c>
      <c r="C1037" s="38" t="s">
        <v>365</v>
      </c>
      <c r="D1037" s="34">
        <v>670.8</v>
      </c>
      <c r="E1037" s="35">
        <v>44691</v>
      </c>
      <c r="F1037" s="34">
        <v>670.8</v>
      </c>
      <c r="G1037" s="36">
        <f>Tabla16[[#This Row],[Importe]]-Tabla16[[#This Row],[Pagado]]</f>
        <v>0</v>
      </c>
      <c r="H1037" s="38" t="s">
        <v>10</v>
      </c>
    </row>
    <row r="1038" spans="1:8" x14ac:dyDescent="0.25">
      <c r="A1038" s="31">
        <v>44691</v>
      </c>
      <c r="B1038" s="38" t="s">
        <v>15155</v>
      </c>
      <c r="C1038" s="38" t="s">
        <v>924</v>
      </c>
      <c r="D1038" s="34">
        <v>9236.2999999999993</v>
      </c>
      <c r="E1038" s="35">
        <v>44691</v>
      </c>
      <c r="F1038" s="34">
        <v>9236.2999999999993</v>
      </c>
      <c r="G1038" s="36">
        <f>Tabla16[[#This Row],[Importe]]-Tabla16[[#This Row],[Pagado]]</f>
        <v>0</v>
      </c>
      <c r="H1038" s="38" t="s">
        <v>10</v>
      </c>
    </row>
    <row r="1039" spans="1:8" x14ac:dyDescent="0.25">
      <c r="A1039" s="31">
        <v>44691</v>
      </c>
      <c r="B1039" s="38" t="s">
        <v>15156</v>
      </c>
      <c r="C1039" s="38" t="s">
        <v>16</v>
      </c>
      <c r="D1039" s="34">
        <v>5369.6</v>
      </c>
      <c r="E1039" s="35">
        <v>44691</v>
      </c>
      <c r="F1039" s="34">
        <v>5369.6</v>
      </c>
      <c r="G1039" s="36">
        <f>Tabla16[[#This Row],[Importe]]-Tabla16[[#This Row],[Pagado]]</f>
        <v>0</v>
      </c>
      <c r="H1039" s="38" t="s">
        <v>10</v>
      </c>
    </row>
    <row r="1040" spans="1:8" x14ac:dyDescent="0.25">
      <c r="A1040" s="31">
        <v>44691</v>
      </c>
      <c r="B1040" s="38" t="s">
        <v>15157</v>
      </c>
      <c r="C1040" s="38" t="s">
        <v>79</v>
      </c>
      <c r="D1040" s="34">
        <v>29805.599999999999</v>
      </c>
      <c r="E1040" s="35">
        <v>44691</v>
      </c>
      <c r="F1040" s="34">
        <v>29805.599999999999</v>
      </c>
      <c r="G1040" s="36">
        <f>Tabla16[[#This Row],[Importe]]-Tabla16[[#This Row],[Pagado]]</f>
        <v>0</v>
      </c>
      <c r="H1040" s="38" t="s">
        <v>10</v>
      </c>
    </row>
    <row r="1041" spans="1:8" x14ac:dyDescent="0.25">
      <c r="A1041" s="31">
        <v>44691</v>
      </c>
      <c r="B1041" s="38" t="s">
        <v>15158</v>
      </c>
      <c r="C1041" s="38" t="s">
        <v>426</v>
      </c>
      <c r="D1041" s="34">
        <v>7590</v>
      </c>
      <c r="E1041" s="35">
        <v>44691</v>
      </c>
      <c r="F1041" s="34">
        <v>7590</v>
      </c>
      <c r="G1041" s="36">
        <f>Tabla16[[#This Row],[Importe]]-Tabla16[[#This Row],[Pagado]]</f>
        <v>0</v>
      </c>
      <c r="H1041" s="38" t="s">
        <v>10</v>
      </c>
    </row>
    <row r="1042" spans="1:8" x14ac:dyDescent="0.25">
      <c r="A1042" s="31">
        <v>44691</v>
      </c>
      <c r="B1042" s="38" t="s">
        <v>15159</v>
      </c>
      <c r="C1042" s="38" t="s">
        <v>348</v>
      </c>
      <c r="D1042" s="34">
        <v>4997</v>
      </c>
      <c r="E1042" s="35">
        <v>44691</v>
      </c>
      <c r="F1042" s="34">
        <v>4997</v>
      </c>
      <c r="G1042" s="36">
        <f>Tabla16[[#This Row],[Importe]]-Tabla16[[#This Row],[Pagado]]</f>
        <v>0</v>
      </c>
      <c r="H1042" s="38" t="s">
        <v>10</v>
      </c>
    </row>
    <row r="1043" spans="1:8" x14ac:dyDescent="0.25">
      <c r="A1043" s="31">
        <v>44691</v>
      </c>
      <c r="B1043" s="38" t="s">
        <v>15160</v>
      </c>
      <c r="C1043" s="38" t="s">
        <v>140</v>
      </c>
      <c r="D1043" s="34">
        <v>1124.7</v>
      </c>
      <c r="E1043" s="35">
        <v>44691</v>
      </c>
      <c r="F1043" s="34">
        <v>1124.7</v>
      </c>
      <c r="G1043" s="36">
        <f>Tabla16[[#This Row],[Importe]]-Tabla16[[#This Row],[Pagado]]</f>
        <v>0</v>
      </c>
      <c r="H1043" s="38" t="s">
        <v>10</v>
      </c>
    </row>
    <row r="1044" spans="1:8" x14ac:dyDescent="0.25">
      <c r="A1044" s="31">
        <v>44691</v>
      </c>
      <c r="B1044" s="38" t="s">
        <v>15161</v>
      </c>
      <c r="C1044" s="38" t="s">
        <v>127</v>
      </c>
      <c r="D1044" s="34">
        <v>4249.3</v>
      </c>
      <c r="E1044" s="35">
        <v>44691</v>
      </c>
      <c r="F1044" s="34">
        <v>4249.3</v>
      </c>
      <c r="G1044" s="36">
        <f>Tabla16[[#This Row],[Importe]]-Tabla16[[#This Row],[Pagado]]</f>
        <v>0</v>
      </c>
      <c r="H1044" s="38" t="s">
        <v>10</v>
      </c>
    </row>
    <row r="1045" spans="1:8" x14ac:dyDescent="0.25">
      <c r="A1045" s="31">
        <v>44691</v>
      </c>
      <c r="B1045" s="38" t="s">
        <v>15162</v>
      </c>
      <c r="C1045" s="38" t="s">
        <v>151</v>
      </c>
      <c r="D1045" s="34">
        <v>13268.6</v>
      </c>
      <c r="E1045" s="35">
        <v>44691</v>
      </c>
      <c r="F1045" s="34">
        <v>13268.6</v>
      </c>
      <c r="G1045" s="36">
        <f>Tabla16[[#This Row],[Importe]]-Tabla16[[#This Row],[Pagado]]</f>
        <v>0</v>
      </c>
      <c r="H1045" s="38" t="s">
        <v>10</v>
      </c>
    </row>
    <row r="1046" spans="1:8" x14ac:dyDescent="0.25">
      <c r="A1046" s="31">
        <v>44691</v>
      </c>
      <c r="B1046" s="38" t="s">
        <v>15163</v>
      </c>
      <c r="C1046" s="38" t="s">
        <v>129</v>
      </c>
      <c r="D1046" s="34">
        <v>5426.9</v>
      </c>
      <c r="E1046" s="35">
        <v>44691</v>
      </c>
      <c r="F1046" s="34">
        <v>5426.9</v>
      </c>
      <c r="G1046" s="36">
        <f>Tabla16[[#This Row],[Importe]]-Tabla16[[#This Row],[Pagado]]</f>
        <v>0</v>
      </c>
      <c r="H1046" s="38" t="s">
        <v>10</v>
      </c>
    </row>
    <row r="1047" spans="1:8" x14ac:dyDescent="0.25">
      <c r="A1047" s="31">
        <v>44691</v>
      </c>
      <c r="B1047" s="38" t="s">
        <v>15164</v>
      </c>
      <c r="C1047" s="38" t="s">
        <v>357</v>
      </c>
      <c r="D1047" s="34">
        <v>3317</v>
      </c>
      <c r="E1047" s="35">
        <v>44691</v>
      </c>
      <c r="F1047" s="34">
        <v>3317</v>
      </c>
      <c r="G1047" s="36">
        <f>Tabla16[[#This Row],[Importe]]-Tabla16[[#This Row],[Pagado]]</f>
        <v>0</v>
      </c>
      <c r="H1047" s="38" t="s">
        <v>10</v>
      </c>
    </row>
    <row r="1048" spans="1:8" x14ac:dyDescent="0.25">
      <c r="A1048" s="31">
        <v>44691</v>
      </c>
      <c r="B1048" s="38" t="s">
        <v>15165</v>
      </c>
      <c r="C1048" s="38" t="s">
        <v>1239</v>
      </c>
      <c r="D1048" s="34">
        <v>13569.6</v>
      </c>
      <c r="E1048" s="35">
        <v>44691</v>
      </c>
      <c r="F1048" s="34">
        <v>13569.6</v>
      </c>
      <c r="G1048" s="36">
        <f>Tabla16[[#This Row],[Importe]]-Tabla16[[#This Row],[Pagado]]</f>
        <v>0</v>
      </c>
      <c r="H1048" s="38" t="s">
        <v>10</v>
      </c>
    </row>
    <row r="1049" spans="1:8" x14ac:dyDescent="0.25">
      <c r="A1049" s="31">
        <v>44691</v>
      </c>
      <c r="B1049" s="38" t="s">
        <v>15166</v>
      </c>
      <c r="C1049" s="38" t="s">
        <v>83</v>
      </c>
      <c r="D1049" s="34">
        <v>8802.24</v>
      </c>
      <c r="E1049" s="35">
        <v>44691</v>
      </c>
      <c r="F1049" s="34">
        <v>8802.24</v>
      </c>
      <c r="G1049" s="36">
        <f>Tabla16[[#This Row],[Importe]]-Tabla16[[#This Row],[Pagado]]</f>
        <v>0</v>
      </c>
      <c r="H1049" s="38" t="s">
        <v>10</v>
      </c>
    </row>
    <row r="1050" spans="1:8" x14ac:dyDescent="0.25">
      <c r="A1050" s="31">
        <v>44691</v>
      </c>
      <c r="B1050" s="38" t="s">
        <v>15167</v>
      </c>
      <c r="C1050" s="38" t="s">
        <v>47</v>
      </c>
      <c r="D1050" s="34">
        <v>79689.100000000006</v>
      </c>
      <c r="E1050" s="35">
        <v>44691</v>
      </c>
      <c r="F1050" s="34">
        <v>79689.100000000006</v>
      </c>
      <c r="G1050" s="36">
        <f>Tabla16[[#This Row],[Importe]]-Tabla16[[#This Row],[Pagado]]</f>
        <v>0</v>
      </c>
      <c r="H1050" s="38" t="s">
        <v>10</v>
      </c>
    </row>
    <row r="1051" spans="1:8" x14ac:dyDescent="0.25">
      <c r="A1051" s="31">
        <v>44691</v>
      </c>
      <c r="B1051" s="38" t="s">
        <v>15168</v>
      </c>
      <c r="C1051" s="38" t="s">
        <v>804</v>
      </c>
      <c r="D1051" s="34">
        <v>16225.8</v>
      </c>
      <c r="E1051" s="35">
        <v>44691</v>
      </c>
      <c r="F1051" s="34">
        <v>16225.8</v>
      </c>
      <c r="G1051" s="36">
        <f>Tabla16[[#This Row],[Importe]]-Tabla16[[#This Row],[Pagado]]</f>
        <v>0</v>
      </c>
      <c r="H1051" s="38" t="s">
        <v>10</v>
      </c>
    </row>
    <row r="1052" spans="1:8" x14ac:dyDescent="0.25">
      <c r="A1052" s="31">
        <v>44691</v>
      </c>
      <c r="B1052" s="38" t="s">
        <v>15169</v>
      </c>
      <c r="C1052" s="38" t="s">
        <v>804</v>
      </c>
      <c r="D1052" s="34">
        <v>375</v>
      </c>
      <c r="E1052" s="35">
        <v>44691</v>
      </c>
      <c r="F1052" s="34">
        <v>375</v>
      </c>
      <c r="G1052" s="36">
        <f>Tabla16[[#This Row],[Importe]]-Tabla16[[#This Row],[Pagado]]</f>
        <v>0</v>
      </c>
      <c r="H1052" s="38" t="s">
        <v>10</v>
      </c>
    </row>
    <row r="1053" spans="1:8" x14ac:dyDescent="0.25">
      <c r="A1053" s="31">
        <v>44691</v>
      </c>
      <c r="B1053" s="38" t="s">
        <v>15170</v>
      </c>
      <c r="C1053" s="38" t="s">
        <v>51</v>
      </c>
      <c r="D1053" s="34">
        <v>1249.5999999999999</v>
      </c>
      <c r="E1053" s="35">
        <v>44691</v>
      </c>
      <c r="F1053" s="34">
        <v>1249.5999999999999</v>
      </c>
      <c r="G1053" s="36">
        <f>Tabla16[[#This Row],[Importe]]-Tabla16[[#This Row],[Pagado]]</f>
        <v>0</v>
      </c>
      <c r="H1053" s="38" t="s">
        <v>10</v>
      </c>
    </row>
    <row r="1054" spans="1:8" x14ac:dyDescent="0.25">
      <c r="A1054" s="31">
        <v>44691</v>
      </c>
      <c r="B1054" s="38" t="s">
        <v>15171</v>
      </c>
      <c r="C1054" s="38" t="s">
        <v>33</v>
      </c>
      <c r="D1054" s="34">
        <v>15984.4</v>
      </c>
      <c r="E1054" s="35">
        <v>44691</v>
      </c>
      <c r="F1054" s="34">
        <v>15984.4</v>
      </c>
      <c r="G1054" s="36">
        <f>Tabla16[[#This Row],[Importe]]-Tabla16[[#This Row],[Pagado]]</f>
        <v>0</v>
      </c>
      <c r="H1054" s="38" t="s">
        <v>10</v>
      </c>
    </row>
    <row r="1055" spans="1:8" x14ac:dyDescent="0.25">
      <c r="A1055" s="31">
        <v>44691</v>
      </c>
      <c r="B1055" s="38" t="s">
        <v>15172</v>
      </c>
      <c r="C1055" s="38" t="s">
        <v>33</v>
      </c>
      <c r="D1055" s="34">
        <v>805.8</v>
      </c>
      <c r="E1055" s="35">
        <v>44691</v>
      </c>
      <c r="F1055" s="34">
        <v>805.8</v>
      </c>
      <c r="G1055" s="36">
        <f>Tabla16[[#This Row],[Importe]]-Tabla16[[#This Row],[Pagado]]</f>
        <v>0</v>
      </c>
      <c r="H1055" s="38" t="s">
        <v>10</v>
      </c>
    </row>
    <row r="1056" spans="1:8" x14ac:dyDescent="0.25">
      <c r="A1056" s="31">
        <v>44691</v>
      </c>
      <c r="B1056" s="38" t="s">
        <v>15173</v>
      </c>
      <c r="C1056" s="38" t="s">
        <v>45</v>
      </c>
      <c r="D1056" s="34">
        <v>11142.3</v>
      </c>
      <c r="E1056" s="35">
        <v>44691</v>
      </c>
      <c r="F1056" s="34">
        <v>11142.3</v>
      </c>
      <c r="G1056" s="36">
        <f>Tabla16[[#This Row],[Importe]]-Tabla16[[#This Row],[Pagado]]</f>
        <v>0</v>
      </c>
      <c r="H1056" s="38" t="s">
        <v>10</v>
      </c>
    </row>
    <row r="1057" spans="1:8" x14ac:dyDescent="0.25">
      <c r="A1057" s="31">
        <v>44691</v>
      </c>
      <c r="B1057" s="38" t="s">
        <v>15174</v>
      </c>
      <c r="C1057" s="38" t="s">
        <v>31</v>
      </c>
      <c r="D1057" s="34">
        <v>2376</v>
      </c>
      <c r="E1057" s="35">
        <v>44691</v>
      </c>
      <c r="F1057" s="34">
        <v>2376</v>
      </c>
      <c r="G1057" s="36">
        <f>Tabla16[[#This Row],[Importe]]-Tabla16[[#This Row],[Pagado]]</f>
        <v>0</v>
      </c>
      <c r="H1057" s="38" t="s">
        <v>10</v>
      </c>
    </row>
    <row r="1058" spans="1:8" x14ac:dyDescent="0.25">
      <c r="A1058" s="31">
        <v>44691</v>
      </c>
      <c r="B1058" s="38" t="s">
        <v>15175</v>
      </c>
      <c r="C1058" s="38" t="s">
        <v>382</v>
      </c>
      <c r="D1058" s="34">
        <v>6500.8</v>
      </c>
      <c r="E1058" s="35">
        <v>44691</v>
      </c>
      <c r="F1058" s="34">
        <v>6500.8</v>
      </c>
      <c r="G1058" s="36">
        <f>Tabla16[[#This Row],[Importe]]-Tabla16[[#This Row],[Pagado]]</f>
        <v>0</v>
      </c>
      <c r="H1058" s="38" t="s">
        <v>10</v>
      </c>
    </row>
    <row r="1059" spans="1:8" x14ac:dyDescent="0.25">
      <c r="A1059" s="31">
        <v>44691</v>
      </c>
      <c r="B1059" s="38" t="s">
        <v>15176</v>
      </c>
      <c r="C1059" s="38" t="s">
        <v>525</v>
      </c>
      <c r="D1059" s="34">
        <v>3857.3</v>
      </c>
      <c r="E1059" s="35">
        <v>44691</v>
      </c>
      <c r="F1059" s="34">
        <v>3857.3</v>
      </c>
      <c r="G1059" s="36">
        <f>Tabla16[[#This Row],[Importe]]-Tabla16[[#This Row],[Pagado]]</f>
        <v>0</v>
      </c>
      <c r="H1059" s="38" t="s">
        <v>10</v>
      </c>
    </row>
    <row r="1060" spans="1:8" x14ac:dyDescent="0.25">
      <c r="A1060" s="31">
        <v>44691</v>
      </c>
      <c r="B1060" s="38" t="s">
        <v>15177</v>
      </c>
      <c r="C1060" s="38" t="s">
        <v>966</v>
      </c>
      <c r="D1060" s="34">
        <v>3508.2</v>
      </c>
      <c r="E1060" s="35">
        <v>44691</v>
      </c>
      <c r="F1060" s="34">
        <v>3508.2</v>
      </c>
      <c r="G1060" s="36">
        <f>Tabla16[[#This Row],[Importe]]-Tabla16[[#This Row],[Pagado]]</f>
        <v>0</v>
      </c>
      <c r="H1060" s="38" t="s">
        <v>10</v>
      </c>
    </row>
    <row r="1061" spans="1:8" x14ac:dyDescent="0.25">
      <c r="A1061" s="31">
        <v>44691</v>
      </c>
      <c r="B1061" s="38" t="s">
        <v>15178</v>
      </c>
      <c r="C1061" s="38" t="s">
        <v>159</v>
      </c>
      <c r="D1061" s="34">
        <v>2006.4</v>
      </c>
      <c r="E1061" s="35">
        <v>44691</v>
      </c>
      <c r="F1061" s="34">
        <v>2006.4</v>
      </c>
      <c r="G1061" s="36">
        <f>Tabla16[[#This Row],[Importe]]-Tabla16[[#This Row],[Pagado]]</f>
        <v>0</v>
      </c>
      <c r="H1061" s="38" t="s">
        <v>10</v>
      </c>
    </row>
    <row r="1062" spans="1:8" x14ac:dyDescent="0.25">
      <c r="A1062" s="31">
        <v>44691</v>
      </c>
      <c r="B1062" s="38" t="s">
        <v>15179</v>
      </c>
      <c r="C1062" s="38" t="s">
        <v>518</v>
      </c>
      <c r="D1062" s="34">
        <v>2298.4</v>
      </c>
      <c r="E1062" s="35">
        <v>44691</v>
      </c>
      <c r="F1062" s="34">
        <v>2298.4</v>
      </c>
      <c r="G1062" s="36">
        <f>Tabla16[[#This Row],[Importe]]-Tabla16[[#This Row],[Pagado]]</f>
        <v>0</v>
      </c>
      <c r="H1062" s="38" t="s">
        <v>10</v>
      </c>
    </row>
    <row r="1063" spans="1:8" x14ac:dyDescent="0.25">
      <c r="A1063" s="31">
        <v>44691</v>
      </c>
      <c r="B1063" s="38" t="s">
        <v>15180</v>
      </c>
      <c r="C1063" s="38" t="s">
        <v>518</v>
      </c>
      <c r="D1063" s="34">
        <v>1128.8</v>
      </c>
      <c r="E1063" s="35">
        <v>44691</v>
      </c>
      <c r="F1063" s="34">
        <v>1128.8</v>
      </c>
      <c r="G1063" s="36">
        <f>Tabla16[[#This Row],[Importe]]-Tabla16[[#This Row],[Pagado]]</f>
        <v>0</v>
      </c>
      <c r="H1063" s="38" t="s">
        <v>10</v>
      </c>
    </row>
    <row r="1064" spans="1:8" x14ac:dyDescent="0.25">
      <c r="A1064" s="31">
        <v>44691</v>
      </c>
      <c r="B1064" s="38" t="s">
        <v>15181</v>
      </c>
      <c r="C1064" s="38" t="s">
        <v>157</v>
      </c>
      <c r="D1064" s="34">
        <v>4501</v>
      </c>
      <c r="E1064" s="35">
        <v>44691</v>
      </c>
      <c r="F1064" s="34">
        <v>4501</v>
      </c>
      <c r="G1064" s="36">
        <f>Tabla16[[#This Row],[Importe]]-Tabla16[[#This Row],[Pagado]]</f>
        <v>0</v>
      </c>
      <c r="H1064" s="38" t="s">
        <v>10</v>
      </c>
    </row>
    <row r="1065" spans="1:8" x14ac:dyDescent="0.25">
      <c r="A1065" s="31">
        <v>44691</v>
      </c>
      <c r="B1065" s="38" t="s">
        <v>15182</v>
      </c>
      <c r="C1065" s="38" t="s">
        <v>15039</v>
      </c>
      <c r="D1065" s="34">
        <v>1784.8</v>
      </c>
      <c r="E1065" s="35">
        <v>44691</v>
      </c>
      <c r="F1065" s="34">
        <v>1784.8</v>
      </c>
      <c r="G1065" s="36">
        <f>Tabla16[[#This Row],[Importe]]-Tabla16[[#This Row],[Pagado]]</f>
        <v>0</v>
      </c>
      <c r="H1065" s="38" t="s">
        <v>10</v>
      </c>
    </row>
    <row r="1066" spans="1:8" x14ac:dyDescent="0.25">
      <c r="A1066" s="31">
        <v>44691</v>
      </c>
      <c r="B1066" s="38" t="s">
        <v>15183</v>
      </c>
      <c r="C1066" s="38" t="s">
        <v>11121</v>
      </c>
      <c r="D1066" s="34">
        <v>43545</v>
      </c>
      <c r="E1066" s="35">
        <v>44691</v>
      </c>
      <c r="F1066" s="34">
        <v>43545</v>
      </c>
      <c r="G1066" s="36">
        <f>Tabla16[[#This Row],[Importe]]-Tabla16[[#This Row],[Pagado]]</f>
        <v>0</v>
      </c>
      <c r="H1066" s="38" t="s">
        <v>10</v>
      </c>
    </row>
    <row r="1067" spans="1:8" x14ac:dyDescent="0.25">
      <c r="A1067" s="31">
        <v>44691</v>
      </c>
      <c r="B1067" s="38" t="s">
        <v>15184</v>
      </c>
      <c r="C1067" s="38" t="s">
        <v>56</v>
      </c>
      <c r="D1067" s="34">
        <v>1808.8</v>
      </c>
      <c r="E1067" s="35">
        <v>44691</v>
      </c>
      <c r="F1067" s="34">
        <v>1808.8</v>
      </c>
      <c r="G1067" s="36">
        <f>Tabla16[[#This Row],[Importe]]-Tabla16[[#This Row],[Pagado]]</f>
        <v>0</v>
      </c>
      <c r="H1067" s="38" t="s">
        <v>10</v>
      </c>
    </row>
    <row r="1068" spans="1:8" x14ac:dyDescent="0.25">
      <c r="A1068" s="31">
        <v>44691</v>
      </c>
      <c r="B1068" s="38" t="s">
        <v>15185</v>
      </c>
      <c r="C1068" s="38" t="s">
        <v>216</v>
      </c>
      <c r="D1068" s="34">
        <v>1617</v>
      </c>
      <c r="E1068" s="35">
        <v>44691</v>
      </c>
      <c r="F1068" s="34">
        <v>1617</v>
      </c>
      <c r="G1068" s="36">
        <f>Tabla16[[#This Row],[Importe]]-Tabla16[[#This Row],[Pagado]]</f>
        <v>0</v>
      </c>
      <c r="H1068" s="38" t="s">
        <v>10</v>
      </c>
    </row>
    <row r="1069" spans="1:8" x14ac:dyDescent="0.25">
      <c r="A1069" s="31">
        <v>44691</v>
      </c>
      <c r="B1069" s="38" t="s">
        <v>15186</v>
      </c>
      <c r="C1069" s="38" t="s">
        <v>142</v>
      </c>
      <c r="D1069" s="34">
        <v>48025.599999999999</v>
      </c>
      <c r="E1069" s="104">
        <v>44722</v>
      </c>
      <c r="F1069" s="34">
        <v>48025.599999999999</v>
      </c>
      <c r="G1069" s="36">
        <f>Tabla16[[#This Row],[Importe]]-Tabla16[[#This Row],[Pagado]]</f>
        <v>0</v>
      </c>
      <c r="H1069" s="38" t="s">
        <v>10</v>
      </c>
    </row>
    <row r="1070" spans="1:8" x14ac:dyDescent="0.25">
      <c r="A1070" s="31">
        <v>44691</v>
      </c>
      <c r="B1070" s="38" t="s">
        <v>15187</v>
      </c>
      <c r="C1070" s="38" t="s">
        <v>520</v>
      </c>
      <c r="D1070" s="34">
        <v>13872.4</v>
      </c>
      <c r="E1070" s="35">
        <v>44691</v>
      </c>
      <c r="F1070" s="34">
        <v>13872.4</v>
      </c>
      <c r="G1070" s="36">
        <f>Tabla16[[#This Row],[Importe]]-Tabla16[[#This Row],[Pagado]]</f>
        <v>0</v>
      </c>
      <c r="H1070" s="38" t="s">
        <v>10</v>
      </c>
    </row>
    <row r="1071" spans="1:8" x14ac:dyDescent="0.25">
      <c r="A1071" s="31">
        <v>44691</v>
      </c>
      <c r="B1071" s="38" t="s">
        <v>15188</v>
      </c>
      <c r="C1071" s="38" t="s">
        <v>396</v>
      </c>
      <c r="D1071" s="34">
        <v>6757.3</v>
      </c>
      <c r="E1071" s="35">
        <v>44701</v>
      </c>
      <c r="F1071" s="34">
        <v>6757.3</v>
      </c>
      <c r="G1071" s="36">
        <f>Tabla16[[#This Row],[Importe]]-Tabla16[[#This Row],[Pagado]]</f>
        <v>0</v>
      </c>
      <c r="H1071" s="38" t="s">
        <v>10</v>
      </c>
    </row>
    <row r="1072" spans="1:8" x14ac:dyDescent="0.25">
      <c r="A1072" s="31">
        <v>44691</v>
      </c>
      <c r="B1072" s="38" t="s">
        <v>15189</v>
      </c>
      <c r="C1072" s="38" t="s">
        <v>426</v>
      </c>
      <c r="D1072" s="34">
        <v>3912.2</v>
      </c>
      <c r="E1072" s="35">
        <v>44691</v>
      </c>
      <c r="F1072" s="34">
        <v>3912.2</v>
      </c>
      <c r="G1072" s="36">
        <f>Tabla16[[#This Row],[Importe]]-Tabla16[[#This Row],[Pagado]]</f>
        <v>0</v>
      </c>
      <c r="H1072" s="38" t="s">
        <v>10</v>
      </c>
    </row>
    <row r="1073" spans="1:8" x14ac:dyDescent="0.25">
      <c r="A1073" s="31">
        <v>44691</v>
      </c>
      <c r="B1073" s="38" t="s">
        <v>15190</v>
      </c>
      <c r="C1073" s="38" t="s">
        <v>520</v>
      </c>
      <c r="D1073" s="34">
        <v>1029.5999999999999</v>
      </c>
      <c r="E1073" s="35">
        <v>44691</v>
      </c>
      <c r="F1073" s="34">
        <v>1029.5999999999999</v>
      </c>
      <c r="G1073" s="36">
        <f>Tabla16[[#This Row],[Importe]]-Tabla16[[#This Row],[Pagado]]</f>
        <v>0</v>
      </c>
      <c r="H1073" s="38" t="s">
        <v>10</v>
      </c>
    </row>
    <row r="1074" spans="1:8" x14ac:dyDescent="0.25">
      <c r="A1074" s="31">
        <v>44691</v>
      </c>
      <c r="B1074" s="38" t="s">
        <v>15191</v>
      </c>
      <c r="C1074" s="38" t="s">
        <v>9827</v>
      </c>
      <c r="D1074" s="34">
        <v>653.4</v>
      </c>
      <c r="E1074" s="35">
        <v>44691</v>
      </c>
      <c r="F1074" s="34">
        <v>653.4</v>
      </c>
      <c r="G1074" s="36">
        <f>Tabla16[[#This Row],[Importe]]-Tabla16[[#This Row],[Pagado]]</f>
        <v>0</v>
      </c>
      <c r="H1074" s="38" t="s">
        <v>10</v>
      </c>
    </row>
    <row r="1075" spans="1:8" x14ac:dyDescent="0.25">
      <c r="A1075" s="31">
        <v>44691</v>
      </c>
      <c r="B1075" s="38" t="s">
        <v>15192</v>
      </c>
      <c r="C1075" s="38" t="s">
        <v>670</v>
      </c>
      <c r="D1075" s="34">
        <v>394.4</v>
      </c>
      <c r="E1075" s="35">
        <v>44691</v>
      </c>
      <c r="F1075" s="34">
        <v>394.4</v>
      </c>
      <c r="G1075" s="36">
        <f>Tabla16[[#This Row],[Importe]]-Tabla16[[#This Row],[Pagado]]</f>
        <v>0</v>
      </c>
      <c r="H1075" s="38" t="s">
        <v>10</v>
      </c>
    </row>
    <row r="1076" spans="1:8" x14ac:dyDescent="0.25">
      <c r="A1076" s="31">
        <v>44691</v>
      </c>
      <c r="B1076" s="38" t="s">
        <v>15193</v>
      </c>
      <c r="C1076" s="38" t="s">
        <v>67</v>
      </c>
      <c r="D1076" s="34">
        <v>1861.2</v>
      </c>
      <c r="E1076" s="35">
        <v>44691</v>
      </c>
      <c r="F1076" s="34">
        <v>1861.2</v>
      </c>
      <c r="G1076" s="36">
        <f>Tabla16[[#This Row],[Importe]]-Tabla16[[#This Row],[Pagado]]</f>
        <v>0</v>
      </c>
      <c r="H1076" s="38" t="s">
        <v>10</v>
      </c>
    </row>
    <row r="1077" spans="1:8" x14ac:dyDescent="0.25">
      <c r="A1077" s="31">
        <v>44691</v>
      </c>
      <c r="B1077" s="38" t="s">
        <v>15194</v>
      </c>
      <c r="C1077" s="38" t="s">
        <v>419</v>
      </c>
      <c r="D1077" s="34">
        <v>7756.8</v>
      </c>
      <c r="E1077" s="35">
        <v>44691</v>
      </c>
      <c r="F1077" s="34">
        <v>7756.8</v>
      </c>
      <c r="G1077" s="36">
        <f>Tabla16[[#This Row],[Importe]]-Tabla16[[#This Row],[Pagado]]</f>
        <v>0</v>
      </c>
      <c r="H1077" s="38" t="s">
        <v>10</v>
      </c>
    </row>
    <row r="1078" spans="1:8" x14ac:dyDescent="0.25">
      <c r="A1078" s="31">
        <v>44691</v>
      </c>
      <c r="B1078" s="38" t="s">
        <v>15195</v>
      </c>
      <c r="C1078" s="38" t="s">
        <v>1362</v>
      </c>
      <c r="D1078" s="34">
        <v>4974.8999999999996</v>
      </c>
      <c r="E1078" s="35">
        <v>44691</v>
      </c>
      <c r="F1078" s="34">
        <v>4974.8999999999996</v>
      </c>
      <c r="G1078" s="36">
        <f>Tabla16[[#This Row],[Importe]]-Tabla16[[#This Row],[Pagado]]</f>
        <v>0</v>
      </c>
      <c r="H1078" s="38" t="s">
        <v>10</v>
      </c>
    </row>
    <row r="1079" spans="1:8" x14ac:dyDescent="0.25">
      <c r="A1079" s="31">
        <v>44691</v>
      </c>
      <c r="B1079" s="38" t="s">
        <v>15196</v>
      </c>
      <c r="C1079" s="38" t="s">
        <v>107</v>
      </c>
      <c r="D1079" s="34">
        <v>13653.9</v>
      </c>
      <c r="E1079" s="35">
        <v>44691</v>
      </c>
      <c r="F1079" s="34">
        <v>13653.9</v>
      </c>
      <c r="G1079" s="36">
        <f>Tabla16[[#This Row],[Importe]]-Tabla16[[#This Row],[Pagado]]</f>
        <v>0</v>
      </c>
      <c r="H1079" s="38" t="s">
        <v>10</v>
      </c>
    </row>
    <row r="1080" spans="1:8" x14ac:dyDescent="0.25">
      <c r="A1080" s="31">
        <v>44691</v>
      </c>
      <c r="B1080" s="38" t="s">
        <v>15197</v>
      </c>
      <c r="C1080" s="38" t="s">
        <v>275</v>
      </c>
      <c r="D1080" s="34">
        <v>99177.26</v>
      </c>
      <c r="E1080" s="35">
        <v>44708</v>
      </c>
      <c r="F1080" s="34">
        <v>99177.26</v>
      </c>
      <c r="G1080" s="36">
        <f>Tabla16[[#This Row],[Importe]]-Tabla16[[#This Row],[Pagado]]</f>
        <v>0</v>
      </c>
      <c r="H1080" s="38" t="s">
        <v>10</v>
      </c>
    </row>
    <row r="1081" spans="1:8" x14ac:dyDescent="0.25">
      <c r="A1081" s="31">
        <v>44691</v>
      </c>
      <c r="B1081" s="38" t="s">
        <v>15198</v>
      </c>
      <c r="C1081" s="38" t="s">
        <v>249</v>
      </c>
      <c r="D1081" s="34">
        <v>5754.6</v>
      </c>
      <c r="E1081" s="35">
        <v>44691</v>
      </c>
      <c r="F1081" s="34">
        <v>5754.6</v>
      </c>
      <c r="G1081" s="36">
        <f>Tabla16[[#This Row],[Importe]]-Tabla16[[#This Row],[Pagado]]</f>
        <v>0</v>
      </c>
      <c r="H1081" s="38" t="s">
        <v>10</v>
      </c>
    </row>
    <row r="1082" spans="1:8" x14ac:dyDescent="0.25">
      <c r="A1082" s="31">
        <v>44691</v>
      </c>
      <c r="B1082" s="38" t="s">
        <v>15199</v>
      </c>
      <c r="C1082" s="38" t="s">
        <v>296</v>
      </c>
      <c r="D1082" s="34">
        <v>4568.1000000000004</v>
      </c>
      <c r="E1082" s="35">
        <v>44691</v>
      </c>
      <c r="F1082" s="34">
        <v>4568.1000000000004</v>
      </c>
      <c r="G1082" s="36">
        <f>Tabla16[[#This Row],[Importe]]-Tabla16[[#This Row],[Pagado]]</f>
        <v>0</v>
      </c>
      <c r="H1082" s="38" t="s">
        <v>10</v>
      </c>
    </row>
    <row r="1083" spans="1:8" x14ac:dyDescent="0.25">
      <c r="A1083" s="31">
        <v>44691</v>
      </c>
      <c r="B1083" s="38" t="s">
        <v>15200</v>
      </c>
      <c r="C1083" s="38" t="s">
        <v>214</v>
      </c>
      <c r="D1083" s="34">
        <v>1260.5999999999999</v>
      </c>
      <c r="E1083" s="35">
        <v>44691</v>
      </c>
      <c r="F1083" s="34">
        <v>1260.5999999999999</v>
      </c>
      <c r="G1083" s="36">
        <f>Tabla16[[#This Row],[Importe]]-Tabla16[[#This Row],[Pagado]]</f>
        <v>0</v>
      </c>
      <c r="H1083" s="38" t="s">
        <v>10</v>
      </c>
    </row>
    <row r="1084" spans="1:8" x14ac:dyDescent="0.25">
      <c r="A1084" s="31">
        <v>44691</v>
      </c>
      <c r="B1084" s="38" t="s">
        <v>15201</v>
      </c>
      <c r="C1084" s="38" t="s">
        <v>97</v>
      </c>
      <c r="D1084" s="34">
        <v>2646.9</v>
      </c>
      <c r="E1084" s="35">
        <v>44691</v>
      </c>
      <c r="F1084" s="34">
        <v>2646.9</v>
      </c>
      <c r="G1084" s="36">
        <f>Tabla16[[#This Row],[Importe]]-Tabla16[[#This Row],[Pagado]]</f>
        <v>0</v>
      </c>
      <c r="H1084" s="38" t="s">
        <v>10</v>
      </c>
    </row>
    <row r="1085" spans="1:8" x14ac:dyDescent="0.25">
      <c r="A1085" s="31">
        <v>44691</v>
      </c>
      <c r="B1085" s="38" t="s">
        <v>15202</v>
      </c>
      <c r="C1085" s="38" t="s">
        <v>31</v>
      </c>
      <c r="D1085" s="34">
        <v>1200.5999999999999</v>
      </c>
      <c r="E1085" s="35">
        <v>44691</v>
      </c>
      <c r="F1085" s="34">
        <v>1200.5999999999999</v>
      </c>
      <c r="G1085" s="36">
        <f>Tabla16[[#This Row],[Importe]]-Tabla16[[#This Row],[Pagado]]</f>
        <v>0</v>
      </c>
      <c r="H1085" s="38" t="s">
        <v>10</v>
      </c>
    </row>
    <row r="1086" spans="1:8" x14ac:dyDescent="0.25">
      <c r="A1086" s="31">
        <v>44691</v>
      </c>
      <c r="B1086" s="38" t="s">
        <v>15203</v>
      </c>
      <c r="C1086" s="38" t="s">
        <v>12202</v>
      </c>
      <c r="D1086" s="34">
        <v>7200</v>
      </c>
      <c r="E1086" s="35">
        <v>44691</v>
      </c>
      <c r="F1086" s="34">
        <v>7200</v>
      </c>
      <c r="G1086" s="36">
        <f>Tabla16[[#This Row],[Importe]]-Tabla16[[#This Row],[Pagado]]</f>
        <v>0</v>
      </c>
      <c r="H1086" s="38" t="s">
        <v>10</v>
      </c>
    </row>
    <row r="1087" spans="1:8" x14ac:dyDescent="0.25">
      <c r="A1087" s="31">
        <v>44691</v>
      </c>
      <c r="B1087" s="38" t="s">
        <v>15204</v>
      </c>
      <c r="C1087" s="38" t="s">
        <v>433</v>
      </c>
      <c r="D1087" s="34">
        <v>33000</v>
      </c>
      <c r="E1087" s="35">
        <v>44691</v>
      </c>
      <c r="F1087" s="34">
        <v>33000</v>
      </c>
      <c r="G1087" s="36">
        <f>Tabla16[[#This Row],[Importe]]-Tabla16[[#This Row],[Pagado]]</f>
        <v>0</v>
      </c>
      <c r="H1087" s="38" t="s">
        <v>10</v>
      </c>
    </row>
    <row r="1088" spans="1:8" x14ac:dyDescent="0.25">
      <c r="A1088" s="31">
        <v>44691</v>
      </c>
      <c r="B1088" s="38" t="s">
        <v>15205</v>
      </c>
      <c r="C1088" s="38" t="s">
        <v>284</v>
      </c>
      <c r="D1088" s="34">
        <v>6758.4</v>
      </c>
      <c r="E1088" s="35">
        <v>44692</v>
      </c>
      <c r="F1088" s="34">
        <v>6758.4</v>
      </c>
      <c r="G1088" s="36">
        <f>Tabla16[[#This Row],[Importe]]-Tabla16[[#This Row],[Pagado]]</f>
        <v>0</v>
      </c>
      <c r="H1088" s="38" t="s">
        <v>10</v>
      </c>
    </row>
    <row r="1089" spans="1:8" x14ac:dyDescent="0.25">
      <c r="A1089" s="31">
        <v>44691</v>
      </c>
      <c r="B1089" s="38" t="s">
        <v>15206</v>
      </c>
      <c r="C1089" s="38" t="s">
        <v>5345</v>
      </c>
      <c r="D1089" s="34">
        <v>4164.6000000000004</v>
      </c>
      <c r="E1089" s="35">
        <v>44692</v>
      </c>
      <c r="F1089" s="34">
        <v>4164.6000000000004</v>
      </c>
      <c r="G1089" s="36">
        <f>Tabla16[[#This Row],[Importe]]-Tabla16[[#This Row],[Pagado]]</f>
        <v>0</v>
      </c>
      <c r="H1089" s="38" t="s">
        <v>10</v>
      </c>
    </row>
    <row r="1090" spans="1:8" x14ac:dyDescent="0.25">
      <c r="A1090" s="31">
        <v>44691</v>
      </c>
      <c r="B1090" s="38" t="s">
        <v>15207</v>
      </c>
      <c r="C1090" s="38" t="s">
        <v>282</v>
      </c>
      <c r="D1090" s="34">
        <v>2481.6</v>
      </c>
      <c r="E1090" s="35">
        <v>44692</v>
      </c>
      <c r="F1090" s="34">
        <v>2481.6</v>
      </c>
      <c r="G1090" s="36">
        <f>Tabla16[[#This Row],[Importe]]-Tabla16[[#This Row],[Pagado]]</f>
        <v>0</v>
      </c>
      <c r="H1090" s="38" t="s">
        <v>10</v>
      </c>
    </row>
    <row r="1091" spans="1:8" x14ac:dyDescent="0.25">
      <c r="A1091" s="31">
        <v>44691</v>
      </c>
      <c r="B1091" s="38" t="s">
        <v>15208</v>
      </c>
      <c r="C1091" s="38" t="s">
        <v>280</v>
      </c>
      <c r="D1091" s="34">
        <v>1049.4000000000001</v>
      </c>
      <c r="E1091" s="35">
        <v>44692</v>
      </c>
      <c r="F1091" s="34">
        <v>1049.4000000000001</v>
      </c>
      <c r="G1091" s="36">
        <f>Tabla16[[#This Row],[Importe]]-Tabla16[[#This Row],[Pagado]]</f>
        <v>0</v>
      </c>
      <c r="H1091" s="38" t="s">
        <v>10</v>
      </c>
    </row>
    <row r="1092" spans="1:8" x14ac:dyDescent="0.25">
      <c r="A1092" s="31">
        <v>44691</v>
      </c>
      <c r="B1092" s="38" t="s">
        <v>15209</v>
      </c>
      <c r="C1092" s="38" t="s">
        <v>870</v>
      </c>
      <c r="D1092" s="34">
        <v>14000</v>
      </c>
      <c r="E1092" s="35">
        <v>44692</v>
      </c>
      <c r="F1092" s="34">
        <v>14000</v>
      </c>
      <c r="G1092" s="36">
        <f>Tabla16[[#This Row],[Importe]]-Tabla16[[#This Row],[Pagado]]</f>
        <v>0</v>
      </c>
      <c r="H1092" s="38" t="s">
        <v>10</v>
      </c>
    </row>
    <row r="1093" spans="1:8" x14ac:dyDescent="0.25">
      <c r="A1093" s="31">
        <v>44691</v>
      </c>
      <c r="B1093" s="38" t="s">
        <v>15210</v>
      </c>
      <c r="C1093" s="38" t="s">
        <v>291</v>
      </c>
      <c r="D1093" s="34">
        <v>1658</v>
      </c>
      <c r="E1093" s="35">
        <v>44692</v>
      </c>
      <c r="F1093" s="34">
        <v>1658</v>
      </c>
      <c r="G1093" s="36">
        <f>Tabla16[[#This Row],[Importe]]-Tabla16[[#This Row],[Pagado]]</f>
        <v>0</v>
      </c>
      <c r="H1093" s="38" t="s">
        <v>10</v>
      </c>
    </row>
    <row r="1094" spans="1:8" x14ac:dyDescent="0.25">
      <c r="A1094" s="31">
        <v>44691</v>
      </c>
      <c r="B1094" s="38" t="s">
        <v>15211</v>
      </c>
      <c r="C1094" s="38" t="s">
        <v>179</v>
      </c>
      <c r="D1094" s="34">
        <v>1419</v>
      </c>
      <c r="E1094" s="35">
        <v>44692</v>
      </c>
      <c r="F1094" s="34">
        <v>1419</v>
      </c>
      <c r="G1094" s="36">
        <f>Tabla16[[#This Row],[Importe]]-Tabla16[[#This Row],[Pagado]]</f>
        <v>0</v>
      </c>
      <c r="H1094" s="38" t="s">
        <v>10</v>
      </c>
    </row>
    <row r="1095" spans="1:8" x14ac:dyDescent="0.25">
      <c r="A1095" s="31">
        <v>44691</v>
      </c>
      <c r="B1095" s="38" t="s">
        <v>15212</v>
      </c>
      <c r="C1095" s="38" t="s">
        <v>681</v>
      </c>
      <c r="D1095" s="34">
        <v>5.83</v>
      </c>
      <c r="E1095" s="35">
        <v>44697</v>
      </c>
      <c r="F1095" s="34">
        <v>5.83</v>
      </c>
      <c r="G1095" s="36">
        <f>Tabla16[[#This Row],[Importe]]-Tabla16[[#This Row],[Pagado]]</f>
        <v>0</v>
      </c>
      <c r="H1095" s="38" t="s">
        <v>10</v>
      </c>
    </row>
    <row r="1096" spans="1:8" x14ac:dyDescent="0.25">
      <c r="A1096" s="31">
        <v>44691</v>
      </c>
      <c r="B1096" s="38" t="s">
        <v>15213</v>
      </c>
      <c r="C1096" s="38" t="s">
        <v>414</v>
      </c>
      <c r="D1096" s="34">
        <v>27237.599999999999</v>
      </c>
      <c r="E1096" s="35">
        <v>44704</v>
      </c>
      <c r="F1096" s="34">
        <v>27237.599999999999</v>
      </c>
      <c r="G1096" s="36">
        <f>Tabla16[[#This Row],[Importe]]-Tabla16[[#This Row],[Pagado]]</f>
        <v>0</v>
      </c>
      <c r="H1096" s="38" t="s">
        <v>10</v>
      </c>
    </row>
    <row r="1097" spans="1:8" x14ac:dyDescent="0.25">
      <c r="A1097" s="31">
        <v>44691</v>
      </c>
      <c r="B1097" s="38" t="s">
        <v>15214</v>
      </c>
      <c r="C1097" s="38" t="s">
        <v>69</v>
      </c>
      <c r="D1097" s="34">
        <v>2560.8000000000002</v>
      </c>
      <c r="E1097" s="35">
        <v>44691</v>
      </c>
      <c r="F1097" s="34">
        <v>2560.8000000000002</v>
      </c>
      <c r="G1097" s="36">
        <f>Tabla16[[#This Row],[Importe]]-Tabla16[[#This Row],[Pagado]]</f>
        <v>0</v>
      </c>
      <c r="H1097" s="38" t="s">
        <v>10</v>
      </c>
    </row>
    <row r="1098" spans="1:8" x14ac:dyDescent="0.25">
      <c r="A1098" s="31">
        <v>44691</v>
      </c>
      <c r="B1098" s="38" t="s">
        <v>15215</v>
      </c>
      <c r="C1098" s="38" t="s">
        <v>31</v>
      </c>
      <c r="D1098" s="34">
        <v>351</v>
      </c>
      <c r="E1098" s="35">
        <v>44691</v>
      </c>
      <c r="F1098" s="34">
        <v>351</v>
      </c>
      <c r="G1098" s="36">
        <f>Tabla16[[#This Row],[Importe]]-Tabla16[[#This Row],[Pagado]]</f>
        <v>0</v>
      </c>
      <c r="H1098" s="38" t="s">
        <v>10</v>
      </c>
    </row>
    <row r="1099" spans="1:8" x14ac:dyDescent="0.25">
      <c r="A1099" s="31">
        <v>44691</v>
      </c>
      <c r="B1099" s="38" t="s">
        <v>15216</v>
      </c>
      <c r="C1099" s="38" t="s">
        <v>5694</v>
      </c>
      <c r="D1099" s="34">
        <v>3801.2</v>
      </c>
      <c r="E1099" s="35">
        <v>44691</v>
      </c>
      <c r="F1099" s="34">
        <v>3801.2</v>
      </c>
      <c r="G1099" s="36">
        <f>Tabla16[[#This Row],[Importe]]-Tabla16[[#This Row],[Pagado]]</f>
        <v>0</v>
      </c>
      <c r="H1099" s="38" t="s">
        <v>10</v>
      </c>
    </row>
    <row r="1100" spans="1:8" x14ac:dyDescent="0.25">
      <c r="A1100" s="31">
        <v>44691</v>
      </c>
      <c r="B1100" s="38" t="s">
        <v>15217</v>
      </c>
      <c r="C1100" s="38" t="s">
        <v>419</v>
      </c>
      <c r="D1100" s="34">
        <v>5241.8</v>
      </c>
      <c r="E1100" s="35">
        <v>44691</v>
      </c>
      <c r="F1100" s="34">
        <v>5241.8</v>
      </c>
      <c r="G1100" s="36">
        <f>Tabla16[[#This Row],[Importe]]-Tabla16[[#This Row],[Pagado]]</f>
        <v>0</v>
      </c>
      <c r="H1100" s="38" t="s">
        <v>10</v>
      </c>
    </row>
    <row r="1101" spans="1:8" x14ac:dyDescent="0.25">
      <c r="A1101" s="31">
        <v>44691</v>
      </c>
      <c r="B1101" s="38" t="s">
        <v>15218</v>
      </c>
      <c r="C1101" s="38" t="s">
        <v>31</v>
      </c>
      <c r="D1101" s="34">
        <v>579.6</v>
      </c>
      <c r="E1101" s="35">
        <v>44691</v>
      </c>
      <c r="F1101" s="34">
        <v>579.6</v>
      </c>
      <c r="G1101" s="36">
        <f>Tabla16[[#This Row],[Importe]]-Tabla16[[#This Row],[Pagado]]</f>
        <v>0</v>
      </c>
      <c r="H1101" s="38" t="s">
        <v>10</v>
      </c>
    </row>
    <row r="1102" spans="1:8" x14ac:dyDescent="0.25">
      <c r="A1102" s="31">
        <v>44691</v>
      </c>
      <c r="B1102" s="38" t="s">
        <v>15219</v>
      </c>
      <c r="C1102" s="38" t="s">
        <v>373</v>
      </c>
      <c r="D1102" s="34">
        <v>1688.4</v>
      </c>
      <c r="E1102" s="35">
        <v>44692</v>
      </c>
      <c r="F1102" s="34">
        <v>1688.4</v>
      </c>
      <c r="G1102" s="36">
        <f>Tabla16[[#This Row],[Importe]]-Tabla16[[#This Row],[Pagado]]</f>
        <v>0</v>
      </c>
      <c r="H1102" s="38" t="s">
        <v>10</v>
      </c>
    </row>
    <row r="1103" spans="1:8" x14ac:dyDescent="0.25">
      <c r="A1103" s="31">
        <v>44691</v>
      </c>
      <c r="B1103" s="38" t="s">
        <v>15220</v>
      </c>
      <c r="C1103" s="38" t="s">
        <v>1350</v>
      </c>
      <c r="D1103" s="34">
        <v>734.1</v>
      </c>
      <c r="E1103" s="35">
        <v>44692</v>
      </c>
      <c r="F1103" s="34">
        <v>734.1</v>
      </c>
      <c r="G1103" s="36">
        <f>Tabla16[[#This Row],[Importe]]-Tabla16[[#This Row],[Pagado]]</f>
        <v>0</v>
      </c>
      <c r="H1103" s="38" t="s">
        <v>10</v>
      </c>
    </row>
    <row r="1104" spans="1:8" x14ac:dyDescent="0.25">
      <c r="A1104" s="31">
        <v>44692</v>
      </c>
      <c r="B1104" s="38" t="s">
        <v>15221</v>
      </c>
      <c r="C1104" s="38" t="s">
        <v>31</v>
      </c>
      <c r="D1104" s="34">
        <v>4293</v>
      </c>
      <c r="E1104" s="35">
        <v>44692</v>
      </c>
      <c r="F1104" s="34">
        <v>4293</v>
      </c>
      <c r="G1104" s="36">
        <f>Tabla16[[#This Row],[Importe]]-Tabla16[[#This Row],[Pagado]]</f>
        <v>0</v>
      </c>
      <c r="H1104" s="38" t="s">
        <v>10</v>
      </c>
    </row>
    <row r="1105" spans="1:8" x14ac:dyDescent="0.25">
      <c r="A1105" s="31">
        <v>44692</v>
      </c>
      <c r="B1105" s="38" t="s">
        <v>15222</v>
      </c>
      <c r="C1105" s="38" t="s">
        <v>31</v>
      </c>
      <c r="D1105" s="34">
        <v>743.6</v>
      </c>
      <c r="E1105" s="35">
        <v>44692</v>
      </c>
      <c r="F1105" s="34">
        <v>743.6</v>
      </c>
      <c r="G1105" s="36">
        <f>Tabla16[[#This Row],[Importe]]-Tabla16[[#This Row],[Pagado]]</f>
        <v>0</v>
      </c>
      <c r="H1105" s="38" t="s">
        <v>10</v>
      </c>
    </row>
    <row r="1106" spans="1:8" x14ac:dyDescent="0.25">
      <c r="A1106" s="31">
        <v>44692</v>
      </c>
      <c r="B1106" s="38" t="s">
        <v>15223</v>
      </c>
      <c r="C1106" s="38" t="s">
        <v>481</v>
      </c>
      <c r="D1106" s="34">
        <v>263.2</v>
      </c>
      <c r="E1106" s="35">
        <v>44692</v>
      </c>
      <c r="F1106" s="34">
        <v>263.2</v>
      </c>
      <c r="G1106" s="36">
        <f>Tabla16[[#This Row],[Importe]]-Tabla16[[#This Row],[Pagado]]</f>
        <v>0</v>
      </c>
      <c r="H1106" s="38" t="s">
        <v>10</v>
      </c>
    </row>
    <row r="1107" spans="1:8" x14ac:dyDescent="0.25">
      <c r="A1107" s="31">
        <v>44692</v>
      </c>
      <c r="B1107" s="38" t="s">
        <v>15224</v>
      </c>
      <c r="C1107" s="38" t="s">
        <v>97</v>
      </c>
      <c r="D1107" s="34">
        <v>6157.3</v>
      </c>
      <c r="E1107" s="35">
        <v>44693</v>
      </c>
      <c r="F1107" s="34">
        <v>6157.3</v>
      </c>
      <c r="G1107" s="36">
        <f>Tabla16[[#This Row],[Importe]]-Tabla16[[#This Row],[Pagado]]</f>
        <v>0</v>
      </c>
      <c r="H1107" s="38" t="s">
        <v>10</v>
      </c>
    </row>
    <row r="1108" spans="1:8" x14ac:dyDescent="0.25">
      <c r="A1108" s="31">
        <v>44692</v>
      </c>
      <c r="B1108" s="38" t="s">
        <v>15225</v>
      </c>
      <c r="C1108" s="38" t="s">
        <v>64</v>
      </c>
      <c r="D1108" s="34">
        <v>8175.2</v>
      </c>
      <c r="E1108" s="35">
        <v>44694</v>
      </c>
      <c r="F1108" s="34">
        <v>8175.2</v>
      </c>
      <c r="G1108" s="36">
        <f>Tabla16[[#This Row],[Importe]]-Tabla16[[#This Row],[Pagado]]</f>
        <v>0</v>
      </c>
      <c r="H1108" s="38" t="s">
        <v>10</v>
      </c>
    </row>
    <row r="1109" spans="1:8" x14ac:dyDescent="0.25">
      <c r="A1109" s="31">
        <v>44692</v>
      </c>
      <c r="B1109" s="38" t="s">
        <v>15226</v>
      </c>
      <c r="C1109" s="38" t="s">
        <v>39</v>
      </c>
      <c r="D1109" s="34">
        <v>4421.6000000000004</v>
      </c>
      <c r="E1109" s="35">
        <v>44692</v>
      </c>
      <c r="F1109" s="34">
        <v>4421.6000000000004</v>
      </c>
      <c r="G1109" s="36">
        <f>Tabla16[[#This Row],[Importe]]-Tabla16[[#This Row],[Pagado]]</f>
        <v>0</v>
      </c>
      <c r="H1109" s="38" t="s">
        <v>10</v>
      </c>
    </row>
    <row r="1110" spans="1:8" x14ac:dyDescent="0.25">
      <c r="A1110" s="31">
        <v>44692</v>
      </c>
      <c r="B1110" s="38" t="s">
        <v>15227</v>
      </c>
      <c r="C1110" s="38" t="s">
        <v>105</v>
      </c>
      <c r="D1110" s="34">
        <v>10222.1</v>
      </c>
      <c r="E1110" s="35">
        <v>44693</v>
      </c>
      <c r="F1110" s="34">
        <v>10222.1</v>
      </c>
      <c r="G1110" s="36">
        <f>Tabla16[[#This Row],[Importe]]-Tabla16[[#This Row],[Pagado]]</f>
        <v>0</v>
      </c>
      <c r="H1110" s="38" t="s">
        <v>10</v>
      </c>
    </row>
    <row r="1111" spans="1:8" x14ac:dyDescent="0.25">
      <c r="A1111" s="31">
        <v>44692</v>
      </c>
      <c r="B1111" s="38" t="s">
        <v>15228</v>
      </c>
      <c r="C1111" s="38" t="s">
        <v>89</v>
      </c>
      <c r="D1111" s="34">
        <v>3207.9</v>
      </c>
      <c r="E1111" s="35">
        <v>44693</v>
      </c>
      <c r="F1111" s="34">
        <v>3207.9</v>
      </c>
      <c r="G1111" s="36">
        <f>Tabla16[[#This Row],[Importe]]-Tabla16[[#This Row],[Pagado]]</f>
        <v>0</v>
      </c>
      <c r="H1111" s="38" t="s">
        <v>10</v>
      </c>
    </row>
    <row r="1112" spans="1:8" ht="31.5" x14ac:dyDescent="0.25">
      <c r="A1112" s="31">
        <v>44692</v>
      </c>
      <c r="B1112" s="38" t="s">
        <v>15229</v>
      </c>
      <c r="C1112" s="38" t="s">
        <v>93</v>
      </c>
      <c r="D1112" s="34">
        <v>7722.9</v>
      </c>
      <c r="E1112" s="35" t="s">
        <v>15230</v>
      </c>
      <c r="F1112" s="34">
        <f>5000+2722.9</f>
        <v>7722.9</v>
      </c>
      <c r="G1112" s="36">
        <f>Tabla16[[#This Row],[Importe]]-Tabla16[[#This Row],[Pagado]]</f>
        <v>0</v>
      </c>
      <c r="H1112" s="38" t="s">
        <v>10</v>
      </c>
    </row>
    <row r="1113" spans="1:8" x14ac:dyDescent="0.25">
      <c r="A1113" s="31">
        <v>44692</v>
      </c>
      <c r="B1113" s="38" t="s">
        <v>15231</v>
      </c>
      <c r="C1113" s="38" t="s">
        <v>114</v>
      </c>
      <c r="D1113" s="34">
        <v>5543.7</v>
      </c>
      <c r="E1113" s="35">
        <v>44693</v>
      </c>
      <c r="F1113" s="34">
        <v>5543.7</v>
      </c>
      <c r="G1113" s="36">
        <f>Tabla16[[#This Row],[Importe]]-Tabla16[[#This Row],[Pagado]]</f>
        <v>0</v>
      </c>
      <c r="H1113" s="38" t="s">
        <v>10</v>
      </c>
    </row>
    <row r="1114" spans="1:8" x14ac:dyDescent="0.25">
      <c r="A1114" s="31">
        <v>44692</v>
      </c>
      <c r="B1114" s="38" t="s">
        <v>15232</v>
      </c>
      <c r="C1114" s="38" t="s">
        <v>111</v>
      </c>
      <c r="D1114" s="34">
        <v>4085.1</v>
      </c>
      <c r="E1114" s="35">
        <v>44693</v>
      </c>
      <c r="F1114" s="34">
        <v>4085.1</v>
      </c>
      <c r="G1114" s="36">
        <f>Tabla16[[#This Row],[Importe]]-Tabla16[[#This Row],[Pagado]]</f>
        <v>0</v>
      </c>
      <c r="H1114" s="38" t="s">
        <v>10</v>
      </c>
    </row>
    <row r="1115" spans="1:8" x14ac:dyDescent="0.25">
      <c r="A1115" s="31">
        <v>44692</v>
      </c>
      <c r="B1115" s="38" t="s">
        <v>15233</v>
      </c>
      <c r="C1115" s="38" t="s">
        <v>60</v>
      </c>
      <c r="D1115" s="34">
        <v>3805.4</v>
      </c>
      <c r="E1115" s="35">
        <v>44697</v>
      </c>
      <c r="F1115" s="34">
        <v>3805.4</v>
      </c>
      <c r="G1115" s="36">
        <f>Tabla16[[#This Row],[Importe]]-Tabla16[[#This Row],[Pagado]]</f>
        <v>0</v>
      </c>
      <c r="H1115" s="38" t="s">
        <v>10</v>
      </c>
    </row>
    <row r="1116" spans="1:8" x14ac:dyDescent="0.25">
      <c r="A1116" s="31">
        <v>44692</v>
      </c>
      <c r="B1116" s="38" t="s">
        <v>15234</v>
      </c>
      <c r="C1116" s="38" t="s">
        <v>2563</v>
      </c>
      <c r="D1116" s="34">
        <v>4176.3999999999996</v>
      </c>
      <c r="E1116" s="35">
        <v>44692</v>
      </c>
      <c r="F1116" s="34">
        <v>4176.3999999999996</v>
      </c>
      <c r="G1116" s="36">
        <f>Tabla16[[#This Row],[Importe]]-Tabla16[[#This Row],[Pagado]]</f>
        <v>0</v>
      </c>
      <c r="H1116" s="38" t="s">
        <v>10</v>
      </c>
    </row>
    <row r="1117" spans="1:8" x14ac:dyDescent="0.25">
      <c r="A1117" s="31">
        <v>44692</v>
      </c>
      <c r="B1117" s="38" t="s">
        <v>15235</v>
      </c>
      <c r="C1117" s="38" t="s">
        <v>2151</v>
      </c>
      <c r="D1117" s="34">
        <v>9435</v>
      </c>
      <c r="E1117" s="35">
        <v>44692</v>
      </c>
      <c r="F1117" s="34">
        <v>9435</v>
      </c>
      <c r="G1117" s="36">
        <f>Tabla16[[#This Row],[Importe]]-Tabla16[[#This Row],[Pagado]]</f>
        <v>0</v>
      </c>
      <c r="H1117" s="38" t="s">
        <v>10</v>
      </c>
    </row>
    <row r="1118" spans="1:8" ht="31.5" x14ac:dyDescent="0.25">
      <c r="A1118" s="31">
        <v>44692</v>
      </c>
      <c r="B1118" s="38" t="s">
        <v>15236</v>
      </c>
      <c r="C1118" s="38" t="s">
        <v>475</v>
      </c>
      <c r="D1118" s="34">
        <v>84865.9</v>
      </c>
      <c r="E1118" s="35" t="s">
        <v>15230</v>
      </c>
      <c r="F1118" s="34">
        <f>62500+22365.9</f>
        <v>84865.9</v>
      </c>
      <c r="G1118" s="36">
        <f>Tabla16[[#This Row],[Importe]]-Tabla16[[#This Row],[Pagado]]</f>
        <v>0</v>
      </c>
      <c r="H1118" s="38" t="s">
        <v>10</v>
      </c>
    </row>
    <row r="1119" spans="1:8" x14ac:dyDescent="0.25">
      <c r="A1119" s="31">
        <v>44692</v>
      </c>
      <c r="B1119" s="38" t="s">
        <v>15237</v>
      </c>
      <c r="C1119" s="38" t="s">
        <v>12</v>
      </c>
      <c r="D1119" s="34">
        <v>37044.949999999997</v>
      </c>
      <c r="E1119" s="35">
        <v>44692</v>
      </c>
      <c r="F1119" s="34">
        <v>37044.949999999997</v>
      </c>
      <c r="G1119" s="36">
        <f>Tabla16[[#This Row],[Importe]]-Tabla16[[#This Row],[Pagado]]</f>
        <v>0</v>
      </c>
      <c r="H1119" s="38" t="s">
        <v>10</v>
      </c>
    </row>
    <row r="1120" spans="1:8" x14ac:dyDescent="0.25">
      <c r="A1120" s="31">
        <v>44692</v>
      </c>
      <c r="B1120" s="38" t="s">
        <v>15238</v>
      </c>
      <c r="C1120" s="38" t="s">
        <v>20</v>
      </c>
      <c r="D1120" s="34">
        <v>1657.6</v>
      </c>
      <c r="E1120" s="35">
        <v>44692</v>
      </c>
      <c r="F1120" s="34">
        <v>1657.6</v>
      </c>
      <c r="G1120" s="36">
        <f>Tabla16[[#This Row],[Importe]]-Tabla16[[#This Row],[Pagado]]</f>
        <v>0</v>
      </c>
      <c r="H1120" s="38" t="s">
        <v>10</v>
      </c>
    </row>
    <row r="1121" spans="1:8" x14ac:dyDescent="0.25">
      <c r="A1121" s="31">
        <v>44692</v>
      </c>
      <c r="B1121" s="38" t="s">
        <v>15239</v>
      </c>
      <c r="C1121" s="38" t="s">
        <v>20</v>
      </c>
      <c r="D1121" s="34">
        <v>149.6</v>
      </c>
      <c r="E1121" s="35">
        <v>44692</v>
      </c>
      <c r="F1121" s="34">
        <v>149.6</v>
      </c>
      <c r="G1121" s="36">
        <f>Tabla16[[#This Row],[Importe]]-Tabla16[[#This Row],[Pagado]]</f>
        <v>0</v>
      </c>
      <c r="H1121" s="38" t="s">
        <v>10</v>
      </c>
    </row>
    <row r="1122" spans="1:8" x14ac:dyDescent="0.25">
      <c r="A1122" s="31">
        <v>44692</v>
      </c>
      <c r="B1122" s="38" t="s">
        <v>15240</v>
      </c>
      <c r="C1122" s="38" t="s">
        <v>9415</v>
      </c>
      <c r="D1122" s="34">
        <v>21845.4</v>
      </c>
      <c r="E1122" s="35">
        <v>44693</v>
      </c>
      <c r="F1122" s="34">
        <v>21845.4</v>
      </c>
      <c r="G1122" s="36">
        <f>Tabla16[[#This Row],[Importe]]-Tabla16[[#This Row],[Pagado]]</f>
        <v>0</v>
      </c>
      <c r="H1122" s="38" t="s">
        <v>10</v>
      </c>
    </row>
    <row r="1123" spans="1:8" x14ac:dyDescent="0.25">
      <c r="A1123" s="31">
        <v>44692</v>
      </c>
      <c r="B1123" s="38" t="s">
        <v>15241</v>
      </c>
      <c r="C1123" s="38" t="s">
        <v>9</v>
      </c>
      <c r="D1123" s="34">
        <v>5682.3</v>
      </c>
      <c r="E1123" s="35">
        <v>44692</v>
      </c>
      <c r="F1123" s="34">
        <v>5682.3</v>
      </c>
      <c r="G1123" s="36">
        <f>Tabla16[[#This Row],[Importe]]-Tabla16[[#This Row],[Pagado]]</f>
        <v>0</v>
      </c>
      <c r="H1123" s="38" t="s">
        <v>10</v>
      </c>
    </row>
    <row r="1124" spans="1:8" x14ac:dyDescent="0.25">
      <c r="A1124" s="31">
        <v>44692</v>
      </c>
      <c r="B1124" s="38" t="s">
        <v>15242</v>
      </c>
      <c r="C1124" s="38" t="s">
        <v>83</v>
      </c>
      <c r="D1124" s="34">
        <v>8901.7999999999993</v>
      </c>
      <c r="E1124" s="35">
        <v>44692</v>
      </c>
      <c r="F1124" s="34">
        <v>8901.7999999999993</v>
      </c>
      <c r="G1124" s="36">
        <f>Tabla16[[#This Row],[Importe]]-Tabla16[[#This Row],[Pagado]]</f>
        <v>0</v>
      </c>
      <c r="H1124" s="38" t="s">
        <v>10</v>
      </c>
    </row>
    <row r="1125" spans="1:8" x14ac:dyDescent="0.25">
      <c r="A1125" s="31">
        <v>44692</v>
      </c>
      <c r="B1125" s="38" t="s">
        <v>15243</v>
      </c>
      <c r="C1125" s="38" t="s">
        <v>222</v>
      </c>
      <c r="D1125" s="34">
        <v>8475.5</v>
      </c>
      <c r="E1125" s="35">
        <v>44692</v>
      </c>
      <c r="F1125" s="34">
        <v>8475.5</v>
      </c>
      <c r="G1125" s="36">
        <f>Tabla16[[#This Row],[Importe]]-Tabla16[[#This Row],[Pagado]]</f>
        <v>0</v>
      </c>
      <c r="H1125" s="38" t="s">
        <v>10</v>
      </c>
    </row>
    <row r="1126" spans="1:8" x14ac:dyDescent="0.25">
      <c r="A1126" s="31">
        <v>44692</v>
      </c>
      <c r="B1126" s="38" t="s">
        <v>15244</v>
      </c>
      <c r="C1126" s="38" t="s">
        <v>85</v>
      </c>
      <c r="D1126" s="34">
        <v>1489</v>
      </c>
      <c r="E1126" s="35">
        <v>44692</v>
      </c>
      <c r="F1126" s="34">
        <v>1489</v>
      </c>
      <c r="G1126" s="36">
        <f>Tabla16[[#This Row],[Importe]]-Tabla16[[#This Row],[Pagado]]</f>
        <v>0</v>
      </c>
      <c r="H1126" s="38" t="s">
        <v>10</v>
      </c>
    </row>
    <row r="1127" spans="1:8" x14ac:dyDescent="0.25">
      <c r="A1127" s="31">
        <v>44692</v>
      </c>
      <c r="B1127" s="38" t="s">
        <v>15245</v>
      </c>
      <c r="C1127" s="38" t="s">
        <v>49</v>
      </c>
      <c r="D1127" s="34">
        <v>4427.2</v>
      </c>
      <c r="E1127" s="35">
        <v>44692</v>
      </c>
      <c r="F1127" s="34">
        <v>4427.2</v>
      </c>
      <c r="G1127" s="36">
        <f>Tabla16[[#This Row],[Importe]]-Tabla16[[#This Row],[Pagado]]</f>
        <v>0</v>
      </c>
      <c r="H1127" s="38" t="s">
        <v>10</v>
      </c>
    </row>
    <row r="1128" spans="1:8" x14ac:dyDescent="0.25">
      <c r="A1128" s="31">
        <v>44692</v>
      </c>
      <c r="B1128" s="38" t="s">
        <v>15246</v>
      </c>
      <c r="C1128" s="38" t="s">
        <v>22</v>
      </c>
      <c r="D1128" s="34">
        <v>41925.9</v>
      </c>
      <c r="E1128" s="35">
        <v>44693</v>
      </c>
      <c r="F1128" s="34">
        <v>41925.9</v>
      </c>
      <c r="G1128" s="36">
        <f>Tabla16[[#This Row],[Importe]]-Tabla16[[#This Row],[Pagado]]</f>
        <v>0</v>
      </c>
      <c r="H1128" s="38" t="s">
        <v>10</v>
      </c>
    </row>
    <row r="1129" spans="1:8" x14ac:dyDescent="0.25">
      <c r="A1129" s="31">
        <v>44692</v>
      </c>
      <c r="B1129" s="38" t="s">
        <v>15247</v>
      </c>
      <c r="C1129" s="38" t="s">
        <v>56</v>
      </c>
      <c r="D1129" s="34">
        <v>8644</v>
      </c>
      <c r="E1129" s="35">
        <v>44692</v>
      </c>
      <c r="F1129" s="34">
        <v>8644</v>
      </c>
      <c r="G1129" s="36">
        <f>Tabla16[[#This Row],[Importe]]-Tabla16[[#This Row],[Pagado]]</f>
        <v>0</v>
      </c>
      <c r="H1129" s="38" t="s">
        <v>10</v>
      </c>
    </row>
    <row r="1130" spans="1:8" x14ac:dyDescent="0.25">
      <c r="A1130" s="31">
        <v>44692</v>
      </c>
      <c r="B1130" s="38" t="s">
        <v>15248</v>
      </c>
      <c r="C1130" s="38" t="s">
        <v>154</v>
      </c>
      <c r="D1130" s="34">
        <v>36885.9</v>
      </c>
      <c r="E1130" s="35">
        <v>44695</v>
      </c>
      <c r="F1130" s="34">
        <v>36885.9</v>
      </c>
      <c r="G1130" s="36">
        <f>Tabla16[[#This Row],[Importe]]-Tabla16[[#This Row],[Pagado]]</f>
        <v>0</v>
      </c>
      <c r="H1130" s="38" t="s">
        <v>10</v>
      </c>
    </row>
    <row r="1131" spans="1:8" x14ac:dyDescent="0.25">
      <c r="A1131" s="31">
        <v>44692</v>
      </c>
      <c r="B1131" s="38" t="s">
        <v>15249</v>
      </c>
      <c r="C1131" s="38" t="s">
        <v>924</v>
      </c>
      <c r="D1131" s="34">
        <v>8596.4</v>
      </c>
      <c r="E1131" s="35">
        <v>44692</v>
      </c>
      <c r="F1131" s="34">
        <v>8596.4</v>
      </c>
      <c r="G1131" s="36">
        <f>Tabla16[[#This Row],[Importe]]-Tabla16[[#This Row],[Pagado]]</f>
        <v>0</v>
      </c>
      <c r="H1131" s="38" t="s">
        <v>10</v>
      </c>
    </row>
    <row r="1132" spans="1:8" x14ac:dyDescent="0.25">
      <c r="A1132" s="31">
        <v>44692</v>
      </c>
      <c r="B1132" s="38" t="s">
        <v>15250</v>
      </c>
      <c r="C1132" s="38" t="s">
        <v>212</v>
      </c>
      <c r="D1132" s="34">
        <v>39701.5</v>
      </c>
      <c r="E1132" s="35">
        <v>44695</v>
      </c>
      <c r="F1132" s="34">
        <v>39701.5</v>
      </c>
      <c r="G1132" s="36">
        <f>Tabla16[[#This Row],[Importe]]-Tabla16[[#This Row],[Pagado]]</f>
        <v>0</v>
      </c>
      <c r="H1132" s="38" t="s">
        <v>10</v>
      </c>
    </row>
    <row r="1133" spans="1:8" x14ac:dyDescent="0.25">
      <c r="A1133" s="31">
        <v>44692</v>
      </c>
      <c r="B1133" s="38" t="s">
        <v>15251</v>
      </c>
      <c r="C1133" s="38" t="s">
        <v>2151</v>
      </c>
      <c r="D1133" s="34">
        <v>4171.8</v>
      </c>
      <c r="E1133" s="35">
        <v>44692</v>
      </c>
      <c r="F1133" s="34">
        <v>4171.8</v>
      </c>
      <c r="G1133" s="36">
        <f>Tabla16[[#This Row],[Importe]]-Tabla16[[#This Row],[Pagado]]</f>
        <v>0</v>
      </c>
      <c r="H1133" s="38" t="s">
        <v>10</v>
      </c>
    </row>
    <row r="1134" spans="1:8" x14ac:dyDescent="0.25">
      <c r="A1134" s="31">
        <v>44692</v>
      </c>
      <c r="B1134" s="38" t="s">
        <v>15252</v>
      </c>
      <c r="C1134" s="38" t="s">
        <v>135</v>
      </c>
      <c r="D1134" s="34">
        <v>1048.8</v>
      </c>
      <c r="E1134" s="35">
        <v>44692</v>
      </c>
      <c r="F1134" s="34">
        <v>1048.8</v>
      </c>
      <c r="G1134" s="36">
        <f>Tabla16[[#This Row],[Importe]]-Tabla16[[#This Row],[Pagado]]</f>
        <v>0</v>
      </c>
      <c r="H1134" s="38" t="s">
        <v>10</v>
      </c>
    </row>
    <row r="1135" spans="1:8" x14ac:dyDescent="0.25">
      <c r="A1135" s="31">
        <v>44692</v>
      </c>
      <c r="B1135" s="38" t="s">
        <v>15253</v>
      </c>
      <c r="C1135" s="38" t="s">
        <v>206</v>
      </c>
      <c r="D1135" s="34">
        <v>28733.9</v>
      </c>
      <c r="E1135" s="35">
        <v>44695</v>
      </c>
      <c r="F1135" s="34">
        <v>28733.9</v>
      </c>
      <c r="G1135" s="36">
        <f>Tabla16[[#This Row],[Importe]]-Tabla16[[#This Row],[Pagado]]</f>
        <v>0</v>
      </c>
      <c r="H1135" s="38" t="s">
        <v>10</v>
      </c>
    </row>
    <row r="1136" spans="1:8" x14ac:dyDescent="0.25">
      <c r="A1136" s="31">
        <v>44692</v>
      </c>
      <c r="B1136" s="38" t="s">
        <v>15254</v>
      </c>
      <c r="C1136" s="38" t="s">
        <v>208</v>
      </c>
      <c r="D1136" s="34">
        <v>3721</v>
      </c>
      <c r="E1136" s="35">
        <v>44694</v>
      </c>
      <c r="F1136" s="34">
        <v>3721</v>
      </c>
      <c r="G1136" s="36">
        <f>Tabla16[[#This Row],[Importe]]-Tabla16[[#This Row],[Pagado]]</f>
        <v>0</v>
      </c>
      <c r="H1136" s="38" t="s">
        <v>10</v>
      </c>
    </row>
    <row r="1137" spans="1:8" x14ac:dyDescent="0.25">
      <c r="A1137" s="31">
        <v>44692</v>
      </c>
      <c r="B1137" s="38" t="s">
        <v>15255</v>
      </c>
      <c r="C1137" s="38" t="s">
        <v>10157</v>
      </c>
      <c r="D1137" s="34">
        <v>5850.4</v>
      </c>
      <c r="E1137" s="35">
        <v>44693</v>
      </c>
      <c r="F1137" s="34">
        <v>5850.4</v>
      </c>
      <c r="G1137" s="36">
        <f>Tabla16[[#This Row],[Importe]]-Tabla16[[#This Row],[Pagado]]</f>
        <v>0</v>
      </c>
      <c r="H1137" s="38" t="s">
        <v>10</v>
      </c>
    </row>
    <row r="1138" spans="1:8" x14ac:dyDescent="0.25">
      <c r="A1138" s="31">
        <v>44692</v>
      </c>
      <c r="B1138" s="38" t="s">
        <v>15256</v>
      </c>
      <c r="C1138" s="38" t="s">
        <v>11033</v>
      </c>
      <c r="D1138" s="34">
        <v>3507.2</v>
      </c>
      <c r="E1138" s="35">
        <v>44692</v>
      </c>
      <c r="F1138" s="34">
        <v>3507.2</v>
      </c>
      <c r="G1138" s="36">
        <f>Tabla16[[#This Row],[Importe]]-Tabla16[[#This Row],[Pagado]]</f>
        <v>0</v>
      </c>
      <c r="H1138" s="38" t="s">
        <v>10</v>
      </c>
    </row>
    <row r="1139" spans="1:8" x14ac:dyDescent="0.25">
      <c r="A1139" s="31">
        <v>44692</v>
      </c>
      <c r="B1139" s="38" t="s">
        <v>15257</v>
      </c>
      <c r="C1139" s="38" t="s">
        <v>173</v>
      </c>
      <c r="D1139" s="34">
        <v>20420.400000000001</v>
      </c>
      <c r="E1139" s="35">
        <v>44693</v>
      </c>
      <c r="F1139" s="34">
        <v>20420.400000000001</v>
      </c>
      <c r="G1139" s="36">
        <f>Tabla16[[#This Row],[Importe]]-Tabla16[[#This Row],[Pagado]]</f>
        <v>0</v>
      </c>
      <c r="H1139" s="38" t="s">
        <v>10</v>
      </c>
    </row>
    <row r="1140" spans="1:8" x14ac:dyDescent="0.25">
      <c r="A1140" s="31">
        <v>44692</v>
      </c>
      <c r="B1140" s="38" t="s">
        <v>15258</v>
      </c>
      <c r="C1140" s="38" t="s">
        <v>133</v>
      </c>
      <c r="D1140" s="34">
        <v>13634</v>
      </c>
      <c r="E1140" s="35">
        <v>44693</v>
      </c>
      <c r="F1140" s="34">
        <v>13634</v>
      </c>
      <c r="G1140" s="36">
        <f>Tabla16[[#This Row],[Importe]]-Tabla16[[#This Row],[Pagado]]</f>
        <v>0</v>
      </c>
      <c r="H1140" s="38" t="s">
        <v>10</v>
      </c>
    </row>
    <row r="1141" spans="1:8" x14ac:dyDescent="0.25">
      <c r="A1141" s="31">
        <v>44692</v>
      </c>
      <c r="B1141" s="38" t="s">
        <v>15259</v>
      </c>
      <c r="C1141" s="38" t="s">
        <v>14</v>
      </c>
      <c r="D1141" s="34">
        <v>25558.400000000001</v>
      </c>
      <c r="E1141" s="35">
        <v>44692</v>
      </c>
      <c r="F1141" s="34">
        <v>25558.400000000001</v>
      </c>
      <c r="G1141" s="36">
        <f>Tabla16[[#This Row],[Importe]]-Tabla16[[#This Row],[Pagado]]</f>
        <v>0</v>
      </c>
      <c r="H1141" s="38" t="s">
        <v>10</v>
      </c>
    </row>
    <row r="1142" spans="1:8" x14ac:dyDescent="0.25">
      <c r="A1142" s="31">
        <v>44692</v>
      </c>
      <c r="B1142" s="38" t="s">
        <v>15260</v>
      </c>
      <c r="C1142" s="38" t="s">
        <v>16</v>
      </c>
      <c r="D1142" s="34">
        <v>2766.8</v>
      </c>
      <c r="E1142" s="35">
        <v>44692</v>
      </c>
      <c r="F1142" s="34">
        <v>2766.8</v>
      </c>
      <c r="G1142" s="36">
        <f>Tabla16[[#This Row],[Importe]]-Tabla16[[#This Row],[Pagado]]</f>
        <v>0</v>
      </c>
      <c r="H1142" s="38" t="s">
        <v>10</v>
      </c>
    </row>
    <row r="1143" spans="1:8" x14ac:dyDescent="0.25">
      <c r="A1143" s="31">
        <v>44692</v>
      </c>
      <c r="B1143" s="38" t="s">
        <v>15261</v>
      </c>
      <c r="C1143" s="38" t="s">
        <v>58</v>
      </c>
      <c r="D1143" s="34">
        <v>5911.8</v>
      </c>
      <c r="E1143" s="35">
        <v>44692</v>
      </c>
      <c r="F1143" s="34">
        <v>5911.8</v>
      </c>
      <c r="G1143" s="36">
        <f>Tabla16[[#This Row],[Importe]]-Tabla16[[#This Row],[Pagado]]</f>
        <v>0</v>
      </c>
      <c r="H1143" s="38" t="s">
        <v>10</v>
      </c>
    </row>
    <row r="1144" spans="1:8" x14ac:dyDescent="0.25">
      <c r="A1144" s="31">
        <v>44692</v>
      </c>
      <c r="B1144" s="38" t="s">
        <v>15262</v>
      </c>
      <c r="C1144" s="38" t="s">
        <v>226</v>
      </c>
      <c r="D1144" s="34">
        <v>2261.6</v>
      </c>
      <c r="E1144" s="35">
        <v>44692</v>
      </c>
      <c r="F1144" s="34">
        <v>2261.6</v>
      </c>
      <c r="G1144" s="36">
        <f>Tabla16[[#This Row],[Importe]]-Tabla16[[#This Row],[Pagado]]</f>
        <v>0</v>
      </c>
      <c r="H1144" s="38" t="s">
        <v>10</v>
      </c>
    </row>
    <row r="1145" spans="1:8" x14ac:dyDescent="0.25">
      <c r="A1145" s="31">
        <v>44692</v>
      </c>
      <c r="B1145" s="38" t="s">
        <v>15263</v>
      </c>
      <c r="C1145" s="38" t="s">
        <v>226</v>
      </c>
      <c r="D1145" s="34">
        <v>4100.3999999999996</v>
      </c>
      <c r="E1145" s="35">
        <v>44692</v>
      </c>
      <c r="F1145" s="34">
        <v>4100.3999999999996</v>
      </c>
      <c r="G1145" s="36">
        <f>Tabla16[[#This Row],[Importe]]-Tabla16[[#This Row],[Pagado]]</f>
        <v>0</v>
      </c>
      <c r="H1145" s="38" t="s">
        <v>10</v>
      </c>
    </row>
    <row r="1146" spans="1:8" x14ac:dyDescent="0.25">
      <c r="A1146" s="31">
        <v>44692</v>
      </c>
      <c r="B1146" s="38" t="s">
        <v>15264</v>
      </c>
      <c r="C1146" s="38" t="s">
        <v>348</v>
      </c>
      <c r="D1146" s="34">
        <v>6451.5</v>
      </c>
      <c r="E1146" s="35">
        <v>44692</v>
      </c>
      <c r="F1146" s="34">
        <v>6451.5</v>
      </c>
      <c r="G1146" s="36">
        <f>Tabla16[[#This Row],[Importe]]-Tabla16[[#This Row],[Pagado]]</f>
        <v>0</v>
      </c>
      <c r="H1146" s="38" t="s">
        <v>10</v>
      </c>
    </row>
    <row r="1147" spans="1:8" x14ac:dyDescent="0.25">
      <c r="A1147" s="31">
        <v>44692</v>
      </c>
      <c r="B1147" s="38" t="s">
        <v>15265</v>
      </c>
      <c r="C1147" s="38" t="s">
        <v>12202</v>
      </c>
      <c r="D1147" s="34">
        <v>32400</v>
      </c>
      <c r="E1147" s="35">
        <v>44692</v>
      </c>
      <c r="F1147" s="34">
        <v>32400</v>
      </c>
      <c r="G1147" s="36">
        <f>Tabla16[[#This Row],[Importe]]-Tabla16[[#This Row],[Pagado]]</f>
        <v>0</v>
      </c>
      <c r="H1147" s="38" t="s">
        <v>10</v>
      </c>
    </row>
    <row r="1148" spans="1:8" x14ac:dyDescent="0.25">
      <c r="A1148" s="31">
        <v>44692</v>
      </c>
      <c r="B1148" s="38" t="s">
        <v>15266</v>
      </c>
      <c r="C1148" s="38" t="s">
        <v>191</v>
      </c>
      <c r="D1148" s="34">
        <v>1536</v>
      </c>
      <c r="E1148" s="35">
        <v>44692</v>
      </c>
      <c r="F1148" s="34">
        <v>1536</v>
      </c>
      <c r="G1148" s="36">
        <f>Tabla16[[#This Row],[Importe]]-Tabla16[[#This Row],[Pagado]]</f>
        <v>0</v>
      </c>
      <c r="H1148" s="38" t="s">
        <v>10</v>
      </c>
    </row>
    <row r="1149" spans="1:8" x14ac:dyDescent="0.25">
      <c r="A1149" s="31">
        <v>44692</v>
      </c>
      <c r="B1149" s="38" t="s">
        <v>15267</v>
      </c>
      <c r="C1149" s="38" t="s">
        <v>167</v>
      </c>
      <c r="D1149" s="34">
        <v>11913.2</v>
      </c>
      <c r="E1149" s="35">
        <v>44692</v>
      </c>
      <c r="F1149" s="34">
        <v>11913.2</v>
      </c>
      <c r="G1149" s="36">
        <f>Tabla16[[#This Row],[Importe]]-Tabla16[[#This Row],[Pagado]]</f>
        <v>0</v>
      </c>
      <c r="H1149" s="38" t="s">
        <v>10</v>
      </c>
    </row>
    <row r="1150" spans="1:8" x14ac:dyDescent="0.25">
      <c r="A1150" s="31">
        <v>44692</v>
      </c>
      <c r="B1150" s="38" t="s">
        <v>15268</v>
      </c>
      <c r="C1150" s="38" t="s">
        <v>214</v>
      </c>
      <c r="D1150" s="34">
        <v>1438.8</v>
      </c>
      <c r="E1150" s="35">
        <v>44692</v>
      </c>
      <c r="F1150" s="34">
        <v>1438.8</v>
      </c>
      <c r="G1150" s="36">
        <f>Tabla16[[#This Row],[Importe]]-Tabla16[[#This Row],[Pagado]]</f>
        <v>0</v>
      </c>
      <c r="H1150" s="38" t="s">
        <v>10</v>
      </c>
    </row>
    <row r="1151" spans="1:8" x14ac:dyDescent="0.25">
      <c r="A1151" s="31">
        <v>44692</v>
      </c>
      <c r="B1151" s="38" t="s">
        <v>15269</v>
      </c>
      <c r="C1151" s="38" t="s">
        <v>216</v>
      </c>
      <c r="D1151" s="34">
        <v>1339.8</v>
      </c>
      <c r="E1151" s="35">
        <v>44692</v>
      </c>
      <c r="F1151" s="34">
        <v>1339.8</v>
      </c>
      <c r="G1151" s="36">
        <f>Tabla16[[#This Row],[Importe]]-Tabla16[[#This Row],[Pagado]]</f>
        <v>0</v>
      </c>
      <c r="H1151" s="38" t="s">
        <v>10</v>
      </c>
    </row>
    <row r="1152" spans="1:8" x14ac:dyDescent="0.25">
      <c r="A1152" s="31">
        <v>44692</v>
      </c>
      <c r="B1152" s="38" t="s">
        <v>15270</v>
      </c>
      <c r="C1152" s="38" t="s">
        <v>289</v>
      </c>
      <c r="D1152" s="34">
        <v>8364</v>
      </c>
      <c r="E1152" s="35">
        <v>44692</v>
      </c>
      <c r="F1152" s="34">
        <v>8364</v>
      </c>
      <c r="G1152" s="36">
        <f>Tabla16[[#This Row],[Importe]]-Tabla16[[#This Row],[Pagado]]</f>
        <v>0</v>
      </c>
      <c r="H1152" s="38" t="s">
        <v>10</v>
      </c>
    </row>
    <row r="1153" spans="1:8" x14ac:dyDescent="0.25">
      <c r="A1153" s="31">
        <v>44692</v>
      </c>
      <c r="B1153" s="38" t="s">
        <v>15271</v>
      </c>
      <c r="C1153" s="38" t="s">
        <v>45</v>
      </c>
      <c r="D1153" s="34">
        <v>15275.7</v>
      </c>
      <c r="E1153" s="35">
        <v>44692</v>
      </c>
      <c r="F1153" s="34">
        <v>15275.7</v>
      </c>
      <c r="G1153" s="36">
        <f>Tabla16[[#This Row],[Importe]]-Tabla16[[#This Row],[Pagado]]</f>
        <v>0</v>
      </c>
      <c r="H1153" s="38" t="s">
        <v>10</v>
      </c>
    </row>
    <row r="1154" spans="1:8" x14ac:dyDescent="0.25">
      <c r="A1154" s="31">
        <v>44692</v>
      </c>
      <c r="B1154" s="38" t="s">
        <v>15272</v>
      </c>
      <c r="C1154" s="38" t="s">
        <v>484</v>
      </c>
      <c r="D1154" s="34">
        <v>3610.8</v>
      </c>
      <c r="E1154" s="35">
        <v>44692</v>
      </c>
      <c r="F1154" s="34">
        <v>3610.8</v>
      </c>
      <c r="G1154" s="36">
        <f>Tabla16[[#This Row],[Importe]]-Tabla16[[#This Row],[Pagado]]</f>
        <v>0</v>
      </c>
      <c r="H1154" s="38" t="s">
        <v>10</v>
      </c>
    </row>
    <row r="1155" spans="1:8" x14ac:dyDescent="0.25">
      <c r="A1155" s="31">
        <v>44692</v>
      </c>
      <c r="B1155" s="38" t="s">
        <v>15273</v>
      </c>
      <c r="C1155" s="38" t="s">
        <v>24</v>
      </c>
      <c r="D1155" s="34">
        <v>3595.6</v>
      </c>
      <c r="E1155" s="35">
        <v>44692</v>
      </c>
      <c r="F1155" s="34">
        <v>3595.6</v>
      </c>
      <c r="G1155" s="36">
        <f>Tabla16[[#This Row],[Importe]]-Tabla16[[#This Row],[Pagado]]</f>
        <v>0</v>
      </c>
      <c r="H1155" s="38" t="s">
        <v>10</v>
      </c>
    </row>
    <row r="1156" spans="1:8" x14ac:dyDescent="0.25">
      <c r="A1156" s="31">
        <v>44692</v>
      </c>
      <c r="B1156" s="38" t="s">
        <v>15274</v>
      </c>
      <c r="C1156" s="38" t="s">
        <v>24</v>
      </c>
      <c r="D1156" s="34">
        <v>357</v>
      </c>
      <c r="E1156" s="35">
        <v>44692</v>
      </c>
      <c r="F1156" s="34">
        <v>357</v>
      </c>
      <c r="G1156" s="36">
        <f>Tabla16[[#This Row],[Importe]]-Tabla16[[#This Row],[Pagado]]</f>
        <v>0</v>
      </c>
      <c r="H1156" s="38" t="s">
        <v>10</v>
      </c>
    </row>
    <row r="1157" spans="1:8" x14ac:dyDescent="0.25">
      <c r="A1157" s="31">
        <v>44692</v>
      </c>
      <c r="B1157" s="38" t="s">
        <v>15275</v>
      </c>
      <c r="C1157" s="38" t="s">
        <v>31</v>
      </c>
      <c r="D1157" s="34">
        <v>2796</v>
      </c>
      <c r="E1157" s="35">
        <v>44692</v>
      </c>
      <c r="F1157" s="34">
        <v>2796</v>
      </c>
      <c r="G1157" s="36">
        <f>Tabla16[[#This Row],[Importe]]-Tabla16[[#This Row],[Pagado]]</f>
        <v>0</v>
      </c>
      <c r="H1157" s="38" t="s">
        <v>10</v>
      </c>
    </row>
    <row r="1158" spans="1:8" x14ac:dyDescent="0.25">
      <c r="A1158" s="31">
        <v>44692</v>
      </c>
      <c r="B1158" s="38" t="s">
        <v>15276</v>
      </c>
      <c r="C1158" s="38" t="s">
        <v>31</v>
      </c>
      <c r="D1158" s="34">
        <v>1041.9000000000001</v>
      </c>
      <c r="E1158" s="35">
        <v>44692</v>
      </c>
      <c r="F1158" s="34">
        <v>1041.9000000000001</v>
      </c>
      <c r="G1158" s="36">
        <f>Tabla16[[#This Row],[Importe]]-Tabla16[[#This Row],[Pagado]]</f>
        <v>0</v>
      </c>
      <c r="H1158" s="38" t="s">
        <v>10</v>
      </c>
    </row>
    <row r="1159" spans="1:8" x14ac:dyDescent="0.25">
      <c r="A1159" s="31">
        <v>44692</v>
      </c>
      <c r="B1159" s="38" t="s">
        <v>15277</v>
      </c>
      <c r="C1159" s="38" t="s">
        <v>275</v>
      </c>
      <c r="D1159" s="34">
        <v>108172.6</v>
      </c>
      <c r="E1159" s="35">
        <v>44708</v>
      </c>
      <c r="F1159" s="34">
        <v>108172.6</v>
      </c>
      <c r="G1159" s="36">
        <f>Tabla16[[#This Row],[Importe]]-Tabla16[[#This Row],[Pagado]]</f>
        <v>0</v>
      </c>
      <c r="H1159" s="38" t="s">
        <v>10</v>
      </c>
    </row>
    <row r="1160" spans="1:8" x14ac:dyDescent="0.25">
      <c r="A1160" s="31">
        <v>44692</v>
      </c>
      <c r="B1160" s="38" t="s">
        <v>15278</v>
      </c>
      <c r="C1160" s="38" t="s">
        <v>196</v>
      </c>
      <c r="D1160" s="34">
        <v>111401.12</v>
      </c>
      <c r="E1160" s="35">
        <v>44694</v>
      </c>
      <c r="F1160" s="34">
        <v>111401.12</v>
      </c>
      <c r="G1160" s="36">
        <f>Tabla16[[#This Row],[Importe]]-Tabla16[[#This Row],[Pagado]]</f>
        <v>0</v>
      </c>
      <c r="H1160" s="38" t="s">
        <v>10</v>
      </c>
    </row>
    <row r="1161" spans="1:8" x14ac:dyDescent="0.25">
      <c r="A1161" s="31">
        <v>44692</v>
      </c>
      <c r="B1161" s="38" t="s">
        <v>15279</v>
      </c>
      <c r="C1161" s="38" t="s">
        <v>75</v>
      </c>
      <c r="D1161" s="34">
        <v>4197.6000000000004</v>
      </c>
      <c r="E1161" s="35">
        <v>44692</v>
      </c>
      <c r="F1161" s="34">
        <v>4197.6000000000004</v>
      </c>
      <c r="G1161" s="36">
        <f>Tabla16[[#This Row],[Importe]]-Tabla16[[#This Row],[Pagado]]</f>
        <v>0</v>
      </c>
      <c r="H1161" s="38" t="s">
        <v>10</v>
      </c>
    </row>
    <row r="1162" spans="1:8" x14ac:dyDescent="0.25">
      <c r="A1162" s="31">
        <v>44692</v>
      </c>
      <c r="B1162" s="38" t="s">
        <v>15280</v>
      </c>
      <c r="C1162" s="38" t="s">
        <v>31</v>
      </c>
      <c r="D1162" s="34">
        <v>1854.6</v>
      </c>
      <c r="E1162" s="35">
        <v>44692</v>
      </c>
      <c r="F1162" s="34">
        <v>1854.6</v>
      </c>
      <c r="G1162" s="36">
        <f>Tabla16[[#This Row],[Importe]]-Tabla16[[#This Row],[Pagado]]</f>
        <v>0</v>
      </c>
      <c r="H1162" s="38" t="s">
        <v>10</v>
      </c>
    </row>
    <row r="1163" spans="1:8" x14ac:dyDescent="0.25">
      <c r="A1163" s="31">
        <v>44692</v>
      </c>
      <c r="B1163" s="38" t="s">
        <v>15281</v>
      </c>
      <c r="C1163" s="38" t="s">
        <v>555</v>
      </c>
      <c r="D1163" s="34">
        <v>39934.400000000001</v>
      </c>
      <c r="E1163" s="35">
        <v>44692</v>
      </c>
      <c r="F1163" s="34">
        <v>39934.400000000001</v>
      </c>
      <c r="G1163" s="36">
        <f>Tabla16[[#This Row],[Importe]]-Tabla16[[#This Row],[Pagado]]</f>
        <v>0</v>
      </c>
      <c r="H1163" s="38" t="s">
        <v>10</v>
      </c>
    </row>
    <row r="1164" spans="1:8" x14ac:dyDescent="0.25">
      <c r="A1164" s="31">
        <v>44692</v>
      </c>
      <c r="B1164" s="38" t="s">
        <v>15282</v>
      </c>
      <c r="C1164" s="38" t="s">
        <v>31</v>
      </c>
      <c r="D1164" s="34">
        <v>2106</v>
      </c>
      <c r="E1164" s="35">
        <v>44692</v>
      </c>
      <c r="F1164" s="34">
        <v>2106</v>
      </c>
      <c r="G1164" s="36">
        <f>Tabla16[[#This Row],[Importe]]-Tabla16[[#This Row],[Pagado]]</f>
        <v>0</v>
      </c>
      <c r="H1164" s="38" t="s">
        <v>10</v>
      </c>
    </row>
    <row r="1165" spans="1:8" x14ac:dyDescent="0.25">
      <c r="A1165" s="31">
        <v>44692</v>
      </c>
      <c r="B1165" s="38" t="s">
        <v>15283</v>
      </c>
      <c r="C1165" s="38" t="s">
        <v>426</v>
      </c>
      <c r="D1165" s="34">
        <v>2118.3000000000002</v>
      </c>
      <c r="E1165" s="35">
        <v>44692</v>
      </c>
      <c r="F1165" s="34">
        <v>2118.3000000000002</v>
      </c>
      <c r="G1165" s="36">
        <f>Tabla16[[#This Row],[Importe]]-Tabla16[[#This Row],[Pagado]]</f>
        <v>0</v>
      </c>
      <c r="H1165" s="38" t="s">
        <v>10</v>
      </c>
    </row>
    <row r="1166" spans="1:8" x14ac:dyDescent="0.25">
      <c r="A1166" s="31">
        <v>44692</v>
      </c>
      <c r="B1166" s="38" t="s">
        <v>15284</v>
      </c>
      <c r="C1166" s="38" t="s">
        <v>181</v>
      </c>
      <c r="D1166" s="34">
        <v>9760</v>
      </c>
      <c r="E1166" s="35">
        <v>44692</v>
      </c>
      <c r="F1166" s="34">
        <v>9760</v>
      </c>
      <c r="G1166" s="36">
        <f>Tabla16[[#This Row],[Importe]]-Tabla16[[#This Row],[Pagado]]</f>
        <v>0</v>
      </c>
      <c r="H1166" s="38" t="s">
        <v>10</v>
      </c>
    </row>
    <row r="1167" spans="1:8" x14ac:dyDescent="0.25">
      <c r="A1167" s="31">
        <v>44692</v>
      </c>
      <c r="B1167" s="38" t="s">
        <v>15285</v>
      </c>
      <c r="C1167" s="38" t="s">
        <v>200</v>
      </c>
      <c r="D1167" s="34">
        <v>712.8</v>
      </c>
      <c r="E1167" s="35">
        <v>44692</v>
      </c>
      <c r="F1167" s="34">
        <v>712.8</v>
      </c>
      <c r="G1167" s="36">
        <f>Tabla16[[#This Row],[Importe]]-Tabla16[[#This Row],[Pagado]]</f>
        <v>0</v>
      </c>
      <c r="H1167" s="38" t="s">
        <v>10</v>
      </c>
    </row>
    <row r="1168" spans="1:8" x14ac:dyDescent="0.25">
      <c r="A1168" s="31">
        <v>44692</v>
      </c>
      <c r="B1168" s="38" t="s">
        <v>15286</v>
      </c>
      <c r="C1168" s="38" t="s">
        <v>230</v>
      </c>
      <c r="D1168" s="34">
        <v>812.5</v>
      </c>
      <c r="E1168" s="35">
        <v>44692</v>
      </c>
      <c r="F1168" s="34">
        <v>812.5</v>
      </c>
      <c r="G1168" s="36">
        <f>Tabla16[[#This Row],[Importe]]-Tabla16[[#This Row],[Pagado]]</f>
        <v>0</v>
      </c>
      <c r="H1168" s="38" t="s">
        <v>10</v>
      </c>
    </row>
    <row r="1169" spans="1:8" x14ac:dyDescent="0.25">
      <c r="A1169" s="31">
        <v>44692</v>
      </c>
      <c r="B1169" s="38" t="s">
        <v>15287</v>
      </c>
      <c r="C1169" s="38" t="s">
        <v>22</v>
      </c>
      <c r="D1169" s="34">
        <v>14977.6</v>
      </c>
      <c r="E1169" s="35">
        <v>44692</v>
      </c>
      <c r="F1169" s="34">
        <v>14977.6</v>
      </c>
      <c r="G1169" s="36">
        <f>Tabla16[[#This Row],[Importe]]-Tabla16[[#This Row],[Pagado]]</f>
        <v>0</v>
      </c>
      <c r="H1169" s="38" t="s">
        <v>10</v>
      </c>
    </row>
    <row r="1170" spans="1:8" x14ac:dyDescent="0.25">
      <c r="A1170" s="31">
        <v>44692</v>
      </c>
      <c r="B1170" s="38" t="s">
        <v>15288</v>
      </c>
      <c r="C1170" s="38" t="s">
        <v>142</v>
      </c>
      <c r="D1170" s="34">
        <v>133204.96</v>
      </c>
      <c r="E1170" s="35">
        <v>44722</v>
      </c>
      <c r="F1170" s="34">
        <v>133204.96</v>
      </c>
      <c r="G1170" s="36">
        <f>Tabla16[[#This Row],[Importe]]-Tabla16[[#This Row],[Pagado]]</f>
        <v>0</v>
      </c>
      <c r="H1170" s="38" t="s">
        <v>10</v>
      </c>
    </row>
    <row r="1171" spans="1:8" x14ac:dyDescent="0.25">
      <c r="A1171" s="31">
        <v>44692</v>
      </c>
      <c r="B1171" s="38" t="s">
        <v>15289</v>
      </c>
      <c r="C1171" s="38" t="s">
        <v>587</v>
      </c>
      <c r="D1171" s="34">
        <v>5887.72</v>
      </c>
      <c r="E1171" s="35">
        <v>44692</v>
      </c>
      <c r="F1171" s="34">
        <v>5887.72</v>
      </c>
      <c r="G1171" s="36">
        <f>Tabla16[[#This Row],[Importe]]-Tabla16[[#This Row],[Pagado]]</f>
        <v>0</v>
      </c>
      <c r="H1171" s="38" t="s">
        <v>10</v>
      </c>
    </row>
    <row r="1172" spans="1:8" x14ac:dyDescent="0.25">
      <c r="A1172" s="31">
        <v>44692</v>
      </c>
      <c r="B1172" s="38" t="s">
        <v>15290</v>
      </c>
      <c r="C1172" s="38" t="s">
        <v>142</v>
      </c>
      <c r="D1172" s="34">
        <v>19133.36</v>
      </c>
      <c r="E1172" s="35">
        <v>44722</v>
      </c>
      <c r="F1172" s="34">
        <v>19133.36</v>
      </c>
      <c r="G1172" s="36">
        <f>Tabla16[[#This Row],[Importe]]-Tabla16[[#This Row],[Pagado]]</f>
        <v>0</v>
      </c>
      <c r="H1172" s="38" t="s">
        <v>10</v>
      </c>
    </row>
    <row r="1173" spans="1:8" x14ac:dyDescent="0.25">
      <c r="A1173" s="31">
        <v>44692</v>
      </c>
      <c r="B1173" s="38" t="s">
        <v>15291</v>
      </c>
      <c r="C1173" s="38" t="s">
        <v>244</v>
      </c>
      <c r="D1173" s="34">
        <v>1659.2</v>
      </c>
      <c r="E1173" s="35">
        <v>44692</v>
      </c>
      <c r="F1173" s="34">
        <v>1659.2</v>
      </c>
      <c r="G1173" s="36">
        <f>Tabla16[[#This Row],[Importe]]-Tabla16[[#This Row],[Pagado]]</f>
        <v>0</v>
      </c>
      <c r="H1173" s="38" t="s">
        <v>10</v>
      </c>
    </row>
    <row r="1174" spans="1:8" x14ac:dyDescent="0.25">
      <c r="A1174" s="31">
        <v>44692</v>
      </c>
      <c r="B1174" s="38" t="s">
        <v>15292</v>
      </c>
      <c r="C1174" s="38" t="s">
        <v>9827</v>
      </c>
      <c r="D1174" s="34">
        <v>653.4</v>
      </c>
      <c r="E1174" s="35">
        <v>44692</v>
      </c>
      <c r="F1174" s="34">
        <v>653.4</v>
      </c>
      <c r="G1174" s="36">
        <f>Tabla16[[#This Row],[Importe]]-Tabla16[[#This Row],[Pagado]]</f>
        <v>0</v>
      </c>
      <c r="H1174" s="38" t="s">
        <v>10</v>
      </c>
    </row>
    <row r="1175" spans="1:8" x14ac:dyDescent="0.25">
      <c r="A1175" s="31">
        <v>44692</v>
      </c>
      <c r="B1175" s="38" t="s">
        <v>15293</v>
      </c>
      <c r="C1175" s="38" t="s">
        <v>409</v>
      </c>
      <c r="D1175" s="34">
        <v>9950.7000000000007</v>
      </c>
      <c r="E1175" s="35">
        <v>44695</v>
      </c>
      <c r="F1175" s="34">
        <v>9950.7000000000007</v>
      </c>
      <c r="G1175" s="36">
        <f>Tabla16[[#This Row],[Importe]]-Tabla16[[#This Row],[Pagado]]</f>
        <v>0</v>
      </c>
      <c r="H1175" s="38" t="s">
        <v>10</v>
      </c>
    </row>
    <row r="1176" spans="1:8" x14ac:dyDescent="0.25">
      <c r="A1176" s="31">
        <v>44692</v>
      </c>
      <c r="B1176" s="38" t="s">
        <v>15294</v>
      </c>
      <c r="C1176" s="38" t="s">
        <v>144</v>
      </c>
      <c r="D1176" s="34">
        <v>2675.4</v>
      </c>
      <c r="E1176" s="35">
        <v>44692</v>
      </c>
      <c r="F1176" s="34">
        <v>2675.4</v>
      </c>
      <c r="G1176" s="36">
        <f>Tabla16[[#This Row],[Importe]]-Tabla16[[#This Row],[Pagado]]</f>
        <v>0</v>
      </c>
      <c r="H1176" s="38" t="s">
        <v>10</v>
      </c>
    </row>
    <row r="1177" spans="1:8" x14ac:dyDescent="0.25">
      <c r="A1177" s="31">
        <v>44692</v>
      </c>
      <c r="B1177" s="38" t="s">
        <v>15295</v>
      </c>
      <c r="C1177" s="38" t="s">
        <v>146</v>
      </c>
      <c r="D1177" s="34">
        <v>3304.8</v>
      </c>
      <c r="E1177" s="35">
        <v>44692</v>
      </c>
      <c r="F1177" s="34">
        <v>3304.8</v>
      </c>
      <c r="G1177" s="36">
        <f>Tabla16[[#This Row],[Importe]]-Tabla16[[#This Row],[Pagado]]</f>
        <v>0</v>
      </c>
      <c r="H1177" s="38" t="s">
        <v>10</v>
      </c>
    </row>
    <row r="1178" spans="1:8" x14ac:dyDescent="0.25">
      <c r="A1178" s="31">
        <v>44692</v>
      </c>
      <c r="B1178" s="38" t="s">
        <v>15296</v>
      </c>
      <c r="C1178" s="38" t="s">
        <v>127</v>
      </c>
      <c r="D1178" s="34">
        <v>2000.5</v>
      </c>
      <c r="E1178" s="35">
        <v>44692</v>
      </c>
      <c r="F1178" s="34">
        <v>2000.5</v>
      </c>
      <c r="G1178" s="36">
        <f>Tabla16[[#This Row],[Importe]]-Tabla16[[#This Row],[Pagado]]</f>
        <v>0</v>
      </c>
      <c r="H1178" s="38" t="s">
        <v>10</v>
      </c>
    </row>
    <row r="1179" spans="1:8" x14ac:dyDescent="0.25">
      <c r="A1179" s="31">
        <v>44692</v>
      </c>
      <c r="B1179" s="38" t="s">
        <v>15297</v>
      </c>
      <c r="C1179" s="38" t="s">
        <v>129</v>
      </c>
      <c r="D1179" s="34">
        <v>3503</v>
      </c>
      <c r="E1179" s="35">
        <v>44692</v>
      </c>
      <c r="F1179" s="34">
        <v>3503</v>
      </c>
      <c r="G1179" s="36">
        <f>Tabla16[[#This Row],[Importe]]-Tabla16[[#This Row],[Pagado]]</f>
        <v>0</v>
      </c>
      <c r="H1179" s="38" t="s">
        <v>10</v>
      </c>
    </row>
    <row r="1180" spans="1:8" x14ac:dyDescent="0.25">
      <c r="A1180" s="31">
        <v>44692</v>
      </c>
      <c r="B1180" s="38" t="s">
        <v>15298</v>
      </c>
      <c r="C1180" s="38" t="s">
        <v>31</v>
      </c>
      <c r="D1180" s="34">
        <v>4249.6000000000004</v>
      </c>
      <c r="E1180" s="35">
        <v>44692</v>
      </c>
      <c r="F1180" s="34">
        <v>4249.6000000000004</v>
      </c>
      <c r="G1180" s="36">
        <f>Tabla16[[#This Row],[Importe]]-Tabla16[[#This Row],[Pagado]]</f>
        <v>0</v>
      </c>
      <c r="H1180" s="38" t="s">
        <v>10</v>
      </c>
    </row>
    <row r="1181" spans="1:8" x14ac:dyDescent="0.25">
      <c r="A1181" s="31">
        <v>44692</v>
      </c>
      <c r="B1181" s="38" t="s">
        <v>15299</v>
      </c>
      <c r="C1181" s="38" t="s">
        <v>275</v>
      </c>
      <c r="D1181" s="34">
        <v>26711.5</v>
      </c>
      <c r="E1181" s="35">
        <v>44708</v>
      </c>
      <c r="F1181" s="34">
        <v>26711.5</v>
      </c>
      <c r="G1181" s="36">
        <f>Tabla16[[#This Row],[Importe]]-Tabla16[[#This Row],[Pagado]]</f>
        <v>0</v>
      </c>
      <c r="H1181" s="38" t="s">
        <v>10</v>
      </c>
    </row>
    <row r="1182" spans="1:8" x14ac:dyDescent="0.25">
      <c r="A1182" s="31">
        <v>44692</v>
      </c>
      <c r="B1182" s="38" t="s">
        <v>15300</v>
      </c>
      <c r="C1182" s="38" t="s">
        <v>107</v>
      </c>
      <c r="D1182" s="34">
        <v>12020.4</v>
      </c>
      <c r="E1182" s="35">
        <v>44692</v>
      </c>
      <c r="F1182" s="34">
        <v>12020.4</v>
      </c>
      <c r="G1182" s="36">
        <f>Tabla16[[#This Row],[Importe]]-Tabla16[[#This Row],[Pagado]]</f>
        <v>0</v>
      </c>
      <c r="H1182" s="38" t="s">
        <v>10</v>
      </c>
    </row>
    <row r="1183" spans="1:8" x14ac:dyDescent="0.25">
      <c r="A1183" s="31">
        <v>44692</v>
      </c>
      <c r="B1183" s="38" t="s">
        <v>15301</v>
      </c>
      <c r="C1183" s="38" t="s">
        <v>840</v>
      </c>
      <c r="D1183" s="34">
        <v>18217.2</v>
      </c>
      <c r="E1183" s="35">
        <v>44692</v>
      </c>
      <c r="F1183" s="34">
        <v>18217.2</v>
      </c>
      <c r="G1183" s="36">
        <f>Tabla16[[#This Row],[Importe]]-Tabla16[[#This Row],[Pagado]]</f>
        <v>0</v>
      </c>
      <c r="H1183" s="38" t="s">
        <v>10</v>
      </c>
    </row>
    <row r="1184" spans="1:8" x14ac:dyDescent="0.25">
      <c r="A1184" s="31">
        <v>44692</v>
      </c>
      <c r="B1184" s="38" t="s">
        <v>15302</v>
      </c>
      <c r="C1184" s="38" t="s">
        <v>840</v>
      </c>
      <c r="D1184" s="34">
        <v>4013.7</v>
      </c>
      <c r="E1184" s="35">
        <v>44692</v>
      </c>
      <c r="F1184" s="34">
        <v>4013.7</v>
      </c>
      <c r="G1184" s="36">
        <f>Tabla16[[#This Row],[Importe]]-Tabla16[[#This Row],[Pagado]]</f>
        <v>0</v>
      </c>
      <c r="H1184" s="38" t="s">
        <v>10</v>
      </c>
    </row>
    <row r="1185" spans="1:8" x14ac:dyDescent="0.25">
      <c r="A1185" s="31">
        <v>44692</v>
      </c>
      <c r="B1185" s="38" t="s">
        <v>15303</v>
      </c>
      <c r="C1185" s="38" t="s">
        <v>840</v>
      </c>
      <c r="D1185" s="34">
        <v>676</v>
      </c>
      <c r="E1185" s="35">
        <v>44692</v>
      </c>
      <c r="F1185" s="34">
        <v>676</v>
      </c>
      <c r="G1185" s="36">
        <f>Tabla16[[#This Row],[Importe]]-Tabla16[[#This Row],[Pagado]]</f>
        <v>0</v>
      </c>
      <c r="H1185" s="38" t="s">
        <v>10</v>
      </c>
    </row>
    <row r="1186" spans="1:8" x14ac:dyDescent="0.25">
      <c r="A1186" s="31">
        <v>44692</v>
      </c>
      <c r="B1186" s="38" t="s">
        <v>15304</v>
      </c>
      <c r="C1186" s="38" t="s">
        <v>12107</v>
      </c>
      <c r="D1186" s="34">
        <v>1960</v>
      </c>
      <c r="E1186" s="35">
        <v>44692</v>
      </c>
      <c r="F1186" s="34">
        <v>1960</v>
      </c>
      <c r="G1186" s="36">
        <f>Tabla16[[#This Row],[Importe]]-Tabla16[[#This Row],[Pagado]]</f>
        <v>0</v>
      </c>
      <c r="H1186" s="38" t="s">
        <v>10</v>
      </c>
    </row>
    <row r="1187" spans="1:8" x14ac:dyDescent="0.25">
      <c r="A1187" s="31">
        <v>44692</v>
      </c>
      <c r="B1187" s="38" t="s">
        <v>15305</v>
      </c>
      <c r="C1187" s="38" t="s">
        <v>15306</v>
      </c>
      <c r="D1187" s="34">
        <v>12809.6</v>
      </c>
      <c r="E1187" s="35">
        <v>44692</v>
      </c>
      <c r="F1187" s="34">
        <v>12809.6</v>
      </c>
      <c r="G1187" s="36">
        <f>Tabla16[[#This Row],[Importe]]-Tabla16[[#This Row],[Pagado]]</f>
        <v>0</v>
      </c>
      <c r="H1187" s="38" t="s">
        <v>10</v>
      </c>
    </row>
    <row r="1188" spans="1:8" x14ac:dyDescent="0.25">
      <c r="A1188" s="31">
        <v>44692</v>
      </c>
      <c r="B1188" s="38" t="s">
        <v>15307</v>
      </c>
      <c r="C1188" s="38" t="s">
        <v>9175</v>
      </c>
      <c r="D1188" s="34">
        <v>11315.5</v>
      </c>
      <c r="E1188" s="35">
        <v>44692</v>
      </c>
      <c r="F1188" s="34">
        <v>11315.5</v>
      </c>
      <c r="G1188" s="36">
        <f>Tabla16[[#This Row],[Importe]]-Tabla16[[#This Row],[Pagado]]</f>
        <v>0</v>
      </c>
      <c r="H1188" s="38" t="s">
        <v>10</v>
      </c>
    </row>
    <row r="1189" spans="1:8" x14ac:dyDescent="0.25">
      <c r="A1189" s="31">
        <v>44692</v>
      </c>
      <c r="B1189" s="38" t="s">
        <v>15308</v>
      </c>
      <c r="C1189" s="38" t="s">
        <v>296</v>
      </c>
      <c r="D1189" s="34">
        <v>3243</v>
      </c>
      <c r="E1189" s="35">
        <v>44692</v>
      </c>
      <c r="F1189" s="34">
        <v>3243</v>
      </c>
      <c r="G1189" s="36">
        <f>Tabla16[[#This Row],[Importe]]-Tabla16[[#This Row],[Pagado]]</f>
        <v>0</v>
      </c>
      <c r="H1189" s="38" t="s">
        <v>10</v>
      </c>
    </row>
    <row r="1190" spans="1:8" x14ac:dyDescent="0.25">
      <c r="A1190" s="31">
        <v>44692</v>
      </c>
      <c r="B1190" s="38" t="s">
        <v>15309</v>
      </c>
      <c r="C1190" s="38" t="s">
        <v>1421</v>
      </c>
      <c r="D1190" s="34">
        <v>34922.800000000003</v>
      </c>
      <c r="E1190" s="35">
        <v>44692</v>
      </c>
      <c r="F1190" s="34">
        <v>34922.800000000003</v>
      </c>
      <c r="G1190" s="36">
        <f>Tabla16[[#This Row],[Importe]]-Tabla16[[#This Row],[Pagado]]</f>
        <v>0</v>
      </c>
      <c r="H1190" s="38" t="s">
        <v>10</v>
      </c>
    </row>
    <row r="1191" spans="1:8" x14ac:dyDescent="0.25">
      <c r="A1191" s="31">
        <v>44692</v>
      </c>
      <c r="B1191" s="38" t="s">
        <v>15310</v>
      </c>
      <c r="C1191" s="38" t="s">
        <v>698</v>
      </c>
      <c r="D1191" s="34">
        <v>7838</v>
      </c>
      <c r="E1191" s="35">
        <v>44692</v>
      </c>
      <c r="F1191" s="34">
        <v>7838</v>
      </c>
      <c r="G1191" s="36">
        <f>Tabla16[[#This Row],[Importe]]-Tabla16[[#This Row],[Pagado]]</f>
        <v>0</v>
      </c>
      <c r="H1191" s="38" t="s">
        <v>10</v>
      </c>
    </row>
    <row r="1192" spans="1:8" x14ac:dyDescent="0.25">
      <c r="A1192" s="31">
        <v>44692</v>
      </c>
      <c r="B1192" s="38" t="s">
        <v>15311</v>
      </c>
      <c r="C1192" s="38" t="s">
        <v>31</v>
      </c>
      <c r="D1192" s="34">
        <v>569.6</v>
      </c>
      <c r="E1192" s="35">
        <v>44692</v>
      </c>
      <c r="F1192" s="34">
        <v>569.6</v>
      </c>
      <c r="G1192" s="36">
        <f>Tabla16[[#This Row],[Importe]]-Tabla16[[#This Row],[Pagado]]</f>
        <v>0</v>
      </c>
      <c r="H1192" s="38" t="s">
        <v>10</v>
      </c>
    </row>
    <row r="1193" spans="1:8" x14ac:dyDescent="0.25">
      <c r="A1193" s="31">
        <v>44692</v>
      </c>
      <c r="B1193" s="38" t="s">
        <v>15312</v>
      </c>
      <c r="C1193" s="38" t="s">
        <v>9577</v>
      </c>
      <c r="D1193" s="34">
        <v>25185.8</v>
      </c>
      <c r="E1193" s="35">
        <v>44693</v>
      </c>
      <c r="F1193" s="34">
        <v>25185.8</v>
      </c>
      <c r="G1193" s="36">
        <f>Tabla16[[#This Row],[Importe]]-Tabla16[[#This Row],[Pagado]]</f>
        <v>0</v>
      </c>
      <c r="H1193" s="38" t="s">
        <v>10</v>
      </c>
    </row>
    <row r="1194" spans="1:8" x14ac:dyDescent="0.25">
      <c r="A1194" s="31">
        <v>44692</v>
      </c>
      <c r="B1194" s="38" t="s">
        <v>15313</v>
      </c>
      <c r="C1194" s="38" t="s">
        <v>291</v>
      </c>
      <c r="D1194" s="34">
        <v>3962.1</v>
      </c>
      <c r="E1194" s="35">
        <v>44693</v>
      </c>
      <c r="F1194" s="34">
        <v>3962.1</v>
      </c>
      <c r="G1194" s="36">
        <f>Tabla16[[#This Row],[Importe]]-Tabla16[[#This Row],[Pagado]]</f>
        <v>0</v>
      </c>
      <c r="H1194" s="38" t="s">
        <v>10</v>
      </c>
    </row>
    <row r="1195" spans="1:8" x14ac:dyDescent="0.25">
      <c r="A1195" s="31">
        <v>44692</v>
      </c>
      <c r="B1195" s="38" t="s">
        <v>15314</v>
      </c>
      <c r="C1195" s="38" t="s">
        <v>284</v>
      </c>
      <c r="D1195" s="34">
        <v>8170.8</v>
      </c>
      <c r="E1195" s="35">
        <v>44693</v>
      </c>
      <c r="F1195" s="34">
        <v>8170.8</v>
      </c>
      <c r="G1195" s="36">
        <f>Tabla16[[#This Row],[Importe]]-Tabla16[[#This Row],[Pagado]]</f>
        <v>0</v>
      </c>
      <c r="H1195" s="38" t="s">
        <v>10</v>
      </c>
    </row>
    <row r="1196" spans="1:8" x14ac:dyDescent="0.25">
      <c r="A1196" s="31">
        <v>44692</v>
      </c>
      <c r="B1196" s="38" t="s">
        <v>15315</v>
      </c>
      <c r="C1196" s="38" t="s">
        <v>5345</v>
      </c>
      <c r="D1196" s="34">
        <v>4356</v>
      </c>
      <c r="E1196" s="35">
        <v>44693</v>
      </c>
      <c r="F1196" s="34">
        <v>4356</v>
      </c>
      <c r="G1196" s="36">
        <f>Tabla16[[#This Row],[Importe]]-Tabla16[[#This Row],[Pagado]]</f>
        <v>0</v>
      </c>
      <c r="H1196" s="38" t="s">
        <v>10</v>
      </c>
    </row>
    <row r="1197" spans="1:8" x14ac:dyDescent="0.25">
      <c r="A1197" s="31">
        <v>44692</v>
      </c>
      <c r="B1197" s="38" t="s">
        <v>15316</v>
      </c>
      <c r="C1197" s="38" t="s">
        <v>282</v>
      </c>
      <c r="D1197" s="34">
        <v>3115.2</v>
      </c>
      <c r="E1197" s="35">
        <v>44693</v>
      </c>
      <c r="F1197" s="34">
        <v>3115.2</v>
      </c>
      <c r="G1197" s="36">
        <f>Tabla16[[#This Row],[Importe]]-Tabla16[[#This Row],[Pagado]]</f>
        <v>0</v>
      </c>
      <c r="H1197" s="38" t="s">
        <v>10</v>
      </c>
    </row>
    <row r="1198" spans="1:8" x14ac:dyDescent="0.25">
      <c r="A1198" s="31">
        <v>44692</v>
      </c>
      <c r="B1198" s="38" t="s">
        <v>15317</v>
      </c>
      <c r="C1198" s="38" t="s">
        <v>280</v>
      </c>
      <c r="D1198" s="34">
        <v>1894.2</v>
      </c>
      <c r="E1198" s="35">
        <v>44693</v>
      </c>
      <c r="F1198" s="34">
        <v>1894.2</v>
      </c>
      <c r="G1198" s="36">
        <f>Tabla16[[#This Row],[Importe]]-Tabla16[[#This Row],[Pagado]]</f>
        <v>0</v>
      </c>
      <c r="H1198" s="38" t="s">
        <v>10</v>
      </c>
    </row>
    <row r="1199" spans="1:8" x14ac:dyDescent="0.25">
      <c r="A1199" s="31">
        <v>44692</v>
      </c>
      <c r="B1199" s="38" t="s">
        <v>15318</v>
      </c>
      <c r="C1199" s="38" t="s">
        <v>191</v>
      </c>
      <c r="D1199" s="34">
        <v>14911</v>
      </c>
      <c r="E1199" s="35">
        <v>44692</v>
      </c>
      <c r="F1199" s="34">
        <v>14911</v>
      </c>
      <c r="G1199" s="36">
        <f>Tabla16[[#This Row],[Importe]]-Tabla16[[#This Row],[Pagado]]</f>
        <v>0</v>
      </c>
      <c r="H1199" s="38" t="s">
        <v>10</v>
      </c>
    </row>
    <row r="1200" spans="1:8" x14ac:dyDescent="0.25">
      <c r="A1200" s="31">
        <v>44692</v>
      </c>
      <c r="B1200" s="38" t="s">
        <v>15319</v>
      </c>
      <c r="C1200" s="38" t="s">
        <v>407</v>
      </c>
      <c r="D1200" s="34">
        <v>7904.8</v>
      </c>
      <c r="E1200" s="35">
        <v>44693</v>
      </c>
      <c r="F1200" s="34">
        <v>7904.8</v>
      </c>
      <c r="G1200" s="36">
        <f>Tabla16[[#This Row],[Importe]]-Tabla16[[#This Row],[Pagado]]</f>
        <v>0</v>
      </c>
      <c r="H1200" s="38" t="s">
        <v>10</v>
      </c>
    </row>
    <row r="1201" spans="1:8" x14ac:dyDescent="0.25">
      <c r="A1201" s="31">
        <v>44692</v>
      </c>
      <c r="B1201" s="38" t="s">
        <v>15320</v>
      </c>
      <c r="C1201" s="38" t="s">
        <v>10840</v>
      </c>
      <c r="D1201" s="34">
        <v>928.6</v>
      </c>
      <c r="E1201" s="35">
        <v>44692</v>
      </c>
      <c r="F1201" s="34">
        <v>928.6</v>
      </c>
      <c r="G1201" s="36">
        <f>Tabla16[[#This Row],[Importe]]-Tabla16[[#This Row],[Pagado]]</f>
        <v>0</v>
      </c>
      <c r="H1201" s="38" t="s">
        <v>10</v>
      </c>
    </row>
    <row r="1202" spans="1:8" x14ac:dyDescent="0.25">
      <c r="A1202" s="31">
        <v>44692</v>
      </c>
      <c r="B1202" s="38" t="s">
        <v>15321</v>
      </c>
      <c r="C1202" s="38" t="s">
        <v>612</v>
      </c>
      <c r="D1202" s="34">
        <v>922</v>
      </c>
      <c r="E1202" s="35">
        <v>44692</v>
      </c>
      <c r="F1202" s="34">
        <v>922</v>
      </c>
      <c r="G1202" s="36">
        <f>Tabla16[[#This Row],[Importe]]-Tabla16[[#This Row],[Pagado]]</f>
        <v>0</v>
      </c>
      <c r="H1202" s="38" t="s">
        <v>10</v>
      </c>
    </row>
    <row r="1203" spans="1:8" x14ac:dyDescent="0.25">
      <c r="A1203" s="31">
        <v>44692</v>
      </c>
      <c r="B1203" s="38" t="s">
        <v>15322</v>
      </c>
      <c r="C1203" s="38" t="s">
        <v>610</v>
      </c>
      <c r="D1203" s="34">
        <v>22489.599999999999</v>
      </c>
      <c r="E1203" s="35">
        <v>44692</v>
      </c>
      <c r="F1203" s="34">
        <v>22489.599999999999</v>
      </c>
      <c r="G1203" s="36">
        <f>Tabla16[[#This Row],[Importe]]-Tabla16[[#This Row],[Pagado]]</f>
        <v>0</v>
      </c>
      <c r="H1203" s="38" t="s">
        <v>10</v>
      </c>
    </row>
    <row r="1204" spans="1:8" x14ac:dyDescent="0.25">
      <c r="A1204" s="31">
        <v>44692</v>
      </c>
      <c r="B1204" s="38" t="s">
        <v>15323</v>
      </c>
      <c r="C1204" s="38" t="s">
        <v>69</v>
      </c>
      <c r="D1204" s="34">
        <v>1240.8</v>
      </c>
      <c r="E1204" s="35">
        <v>44692</v>
      </c>
      <c r="F1204" s="34">
        <v>1240.8</v>
      </c>
      <c r="G1204" s="36">
        <f>Tabla16[[#This Row],[Importe]]-Tabla16[[#This Row],[Pagado]]</f>
        <v>0</v>
      </c>
      <c r="H1204" s="38" t="s">
        <v>10</v>
      </c>
    </row>
    <row r="1205" spans="1:8" x14ac:dyDescent="0.25">
      <c r="A1205" s="31">
        <v>44692</v>
      </c>
      <c r="B1205" s="38" t="s">
        <v>15324</v>
      </c>
      <c r="C1205" s="38" t="s">
        <v>870</v>
      </c>
      <c r="D1205" s="34">
        <v>1968</v>
      </c>
      <c r="E1205" s="35">
        <v>44693</v>
      </c>
      <c r="F1205" s="34">
        <v>1968</v>
      </c>
      <c r="G1205" s="36">
        <f>Tabla16[[#This Row],[Importe]]-Tabla16[[#This Row],[Pagado]]</f>
        <v>0</v>
      </c>
      <c r="H1205" s="38" t="s">
        <v>10</v>
      </c>
    </row>
    <row r="1206" spans="1:8" x14ac:dyDescent="0.25">
      <c r="A1206" s="31">
        <v>44693</v>
      </c>
      <c r="B1206" s="38" t="s">
        <v>15325</v>
      </c>
      <c r="C1206" s="38" t="s">
        <v>20</v>
      </c>
      <c r="D1206" s="34">
        <v>1920</v>
      </c>
      <c r="E1206" s="35">
        <v>44693</v>
      </c>
      <c r="F1206" s="34">
        <v>1920</v>
      </c>
      <c r="G1206" s="36">
        <f>Tabla16[[#This Row],[Importe]]-Tabla16[[#This Row],[Pagado]]</f>
        <v>0</v>
      </c>
      <c r="H1206" s="38" t="s">
        <v>10</v>
      </c>
    </row>
    <row r="1207" spans="1:8" x14ac:dyDescent="0.25">
      <c r="A1207" s="31">
        <v>44693</v>
      </c>
      <c r="B1207" s="38" t="s">
        <v>15326</v>
      </c>
      <c r="C1207" s="38" t="s">
        <v>475</v>
      </c>
      <c r="D1207" s="34">
        <v>61692</v>
      </c>
      <c r="E1207" s="35">
        <v>44694</v>
      </c>
      <c r="F1207" s="34">
        <v>61692</v>
      </c>
      <c r="G1207" s="36">
        <f>Tabla16[[#This Row],[Importe]]-Tabla16[[#This Row],[Pagado]]</f>
        <v>0</v>
      </c>
      <c r="H1207" s="38" t="s">
        <v>10</v>
      </c>
    </row>
    <row r="1208" spans="1:8" x14ac:dyDescent="0.25">
      <c r="A1208" s="31">
        <v>44693</v>
      </c>
      <c r="B1208" s="38" t="s">
        <v>15327</v>
      </c>
      <c r="C1208" s="38" t="s">
        <v>109</v>
      </c>
      <c r="D1208" s="34">
        <v>4085.1</v>
      </c>
      <c r="E1208" s="35">
        <v>44694</v>
      </c>
      <c r="F1208" s="34">
        <v>4085.1</v>
      </c>
      <c r="G1208" s="36">
        <f>Tabla16[[#This Row],[Importe]]-Tabla16[[#This Row],[Pagado]]</f>
        <v>0</v>
      </c>
      <c r="H1208" s="38" t="s">
        <v>10</v>
      </c>
    </row>
    <row r="1209" spans="1:8" x14ac:dyDescent="0.25">
      <c r="A1209" s="31">
        <v>44693</v>
      </c>
      <c r="B1209" s="38" t="s">
        <v>15328</v>
      </c>
      <c r="C1209" s="38" t="s">
        <v>105</v>
      </c>
      <c r="D1209" s="34">
        <v>4651.2</v>
      </c>
      <c r="E1209" s="35">
        <v>44694</v>
      </c>
      <c r="F1209" s="34">
        <v>4651.2</v>
      </c>
      <c r="G1209" s="36">
        <f>Tabla16[[#This Row],[Importe]]-Tabla16[[#This Row],[Pagado]]</f>
        <v>0</v>
      </c>
      <c r="H1209" s="38" t="s">
        <v>10</v>
      </c>
    </row>
    <row r="1210" spans="1:8" x14ac:dyDescent="0.25">
      <c r="A1210" s="31">
        <v>44693</v>
      </c>
      <c r="B1210" s="38" t="s">
        <v>15329</v>
      </c>
      <c r="C1210" s="38" t="s">
        <v>39</v>
      </c>
      <c r="D1210" s="34">
        <v>12826</v>
      </c>
      <c r="E1210" s="35">
        <v>44694</v>
      </c>
      <c r="F1210" s="34">
        <v>12826</v>
      </c>
      <c r="G1210" s="36">
        <f>Tabla16[[#This Row],[Importe]]-Tabla16[[#This Row],[Pagado]]</f>
        <v>0</v>
      </c>
      <c r="H1210" s="38" t="s">
        <v>10</v>
      </c>
    </row>
    <row r="1211" spans="1:8" x14ac:dyDescent="0.25">
      <c r="A1211" s="31">
        <v>44693</v>
      </c>
      <c r="B1211" s="38" t="s">
        <v>15330</v>
      </c>
      <c r="C1211" s="38" t="s">
        <v>118</v>
      </c>
      <c r="D1211" s="34">
        <v>4721.6000000000004</v>
      </c>
      <c r="E1211" s="35">
        <v>44693</v>
      </c>
      <c r="F1211" s="34">
        <v>4721.6000000000004</v>
      </c>
      <c r="G1211" s="36">
        <f>Tabla16[[#This Row],[Importe]]-Tabla16[[#This Row],[Pagado]]</f>
        <v>0</v>
      </c>
      <c r="H1211" s="38" t="s">
        <v>10</v>
      </c>
    </row>
    <row r="1212" spans="1:8" x14ac:dyDescent="0.25">
      <c r="A1212" s="31">
        <v>44693</v>
      </c>
      <c r="B1212" s="38" t="s">
        <v>15331</v>
      </c>
      <c r="C1212" s="38" t="s">
        <v>97</v>
      </c>
      <c r="D1212" s="34">
        <v>4549.2</v>
      </c>
      <c r="E1212" s="35">
        <v>44694</v>
      </c>
      <c r="F1212" s="34">
        <v>4549.2</v>
      </c>
      <c r="G1212" s="36">
        <f>Tabla16[[#This Row],[Importe]]-Tabla16[[#This Row],[Pagado]]</f>
        <v>0</v>
      </c>
      <c r="H1212" s="38" t="s">
        <v>10</v>
      </c>
    </row>
    <row r="1213" spans="1:8" x14ac:dyDescent="0.25">
      <c r="A1213" s="31">
        <v>44693</v>
      </c>
      <c r="B1213" s="38" t="s">
        <v>15332</v>
      </c>
      <c r="C1213" s="38" t="s">
        <v>120</v>
      </c>
      <c r="D1213" s="34">
        <v>4208.2</v>
      </c>
      <c r="E1213" s="35">
        <v>44695</v>
      </c>
      <c r="F1213" s="34">
        <v>4208.2</v>
      </c>
      <c r="G1213" s="36">
        <f>Tabla16[[#This Row],[Importe]]-Tabla16[[#This Row],[Pagado]]</f>
        <v>0</v>
      </c>
      <c r="H1213" s="38" t="s">
        <v>10</v>
      </c>
    </row>
    <row r="1214" spans="1:8" x14ac:dyDescent="0.25">
      <c r="A1214" s="31">
        <v>44693</v>
      </c>
      <c r="B1214" s="38" t="s">
        <v>15333</v>
      </c>
      <c r="C1214" s="38" t="s">
        <v>114</v>
      </c>
      <c r="D1214" s="34">
        <v>4839.8999999999996</v>
      </c>
      <c r="E1214" s="35">
        <v>44694</v>
      </c>
      <c r="F1214" s="34">
        <v>4839.8999999999996</v>
      </c>
      <c r="G1214" s="36">
        <f>Tabla16[[#This Row],[Importe]]-Tabla16[[#This Row],[Pagado]]</f>
        <v>0</v>
      </c>
      <c r="H1214" s="38" t="s">
        <v>10</v>
      </c>
    </row>
    <row r="1215" spans="1:8" x14ac:dyDescent="0.25">
      <c r="A1215" s="31">
        <v>44693</v>
      </c>
      <c r="B1215" s="38" t="s">
        <v>15334</v>
      </c>
      <c r="C1215" s="38" t="s">
        <v>97</v>
      </c>
      <c r="D1215" s="34">
        <v>1731.3</v>
      </c>
      <c r="E1215" s="35">
        <v>44694</v>
      </c>
      <c r="F1215" s="34">
        <v>1731.3</v>
      </c>
      <c r="G1215" s="36">
        <f>Tabla16[[#This Row],[Importe]]-Tabla16[[#This Row],[Pagado]]</f>
        <v>0</v>
      </c>
      <c r="H1215" s="38" t="s">
        <v>10</v>
      </c>
    </row>
    <row r="1216" spans="1:8" x14ac:dyDescent="0.25">
      <c r="A1216" s="31">
        <v>44693</v>
      </c>
      <c r="B1216" s="38" t="s">
        <v>15335</v>
      </c>
      <c r="C1216" s="38" t="s">
        <v>64</v>
      </c>
      <c r="D1216" s="34">
        <v>8493.6</v>
      </c>
      <c r="E1216" s="35">
        <v>44694</v>
      </c>
      <c r="F1216" s="34">
        <v>8493.6</v>
      </c>
      <c r="G1216" s="36">
        <f>Tabla16[[#This Row],[Importe]]-Tabla16[[#This Row],[Pagado]]</f>
        <v>0</v>
      </c>
      <c r="H1216" s="38" t="s">
        <v>10</v>
      </c>
    </row>
    <row r="1217" spans="1:8" x14ac:dyDescent="0.25">
      <c r="A1217" s="31">
        <v>44693</v>
      </c>
      <c r="B1217" s="38" t="s">
        <v>15336</v>
      </c>
      <c r="C1217" s="38" t="s">
        <v>2151</v>
      </c>
      <c r="D1217" s="34">
        <v>12107.4</v>
      </c>
      <c r="E1217" s="35">
        <v>44693</v>
      </c>
      <c r="F1217" s="34">
        <v>12107.4</v>
      </c>
      <c r="G1217" s="36">
        <f>Tabla16[[#This Row],[Importe]]-Tabla16[[#This Row],[Pagado]]</f>
        <v>0</v>
      </c>
      <c r="H1217" s="38" t="s">
        <v>10</v>
      </c>
    </row>
    <row r="1218" spans="1:8" x14ac:dyDescent="0.25">
      <c r="A1218" s="31">
        <v>44693</v>
      </c>
      <c r="B1218" s="38" t="s">
        <v>15337</v>
      </c>
      <c r="C1218" s="38" t="s">
        <v>348</v>
      </c>
      <c r="D1218" s="34">
        <v>3150.8</v>
      </c>
      <c r="E1218" s="35">
        <v>44693</v>
      </c>
      <c r="F1218" s="34">
        <v>3150.8</v>
      </c>
      <c r="G1218" s="36">
        <f>Tabla16[[#This Row],[Importe]]-Tabla16[[#This Row],[Pagado]]</f>
        <v>0</v>
      </c>
      <c r="H1218" s="38" t="s">
        <v>10</v>
      </c>
    </row>
    <row r="1219" spans="1:8" x14ac:dyDescent="0.25">
      <c r="A1219" s="31">
        <v>44693</v>
      </c>
      <c r="B1219" s="38" t="s">
        <v>15338</v>
      </c>
      <c r="C1219" s="38" t="s">
        <v>89</v>
      </c>
      <c r="D1219" s="34">
        <v>4579.8</v>
      </c>
      <c r="E1219" s="35">
        <v>44694</v>
      </c>
      <c r="F1219" s="34">
        <v>4579.8</v>
      </c>
      <c r="G1219" s="36">
        <f>Tabla16[[#This Row],[Importe]]-Tabla16[[#This Row],[Pagado]]</f>
        <v>0</v>
      </c>
      <c r="H1219" s="38" t="s">
        <v>10</v>
      </c>
    </row>
    <row r="1220" spans="1:8" x14ac:dyDescent="0.25">
      <c r="A1220" s="31">
        <v>44693</v>
      </c>
      <c r="B1220" s="38" t="s">
        <v>15339</v>
      </c>
      <c r="C1220" s="38" t="s">
        <v>345</v>
      </c>
      <c r="D1220" s="34">
        <v>327.7</v>
      </c>
      <c r="E1220" s="35">
        <v>44693</v>
      </c>
      <c r="F1220" s="34">
        <v>327.7</v>
      </c>
      <c r="G1220" s="36">
        <f>Tabla16[[#This Row],[Importe]]-Tabla16[[#This Row],[Pagado]]</f>
        <v>0</v>
      </c>
      <c r="H1220" s="38" t="s">
        <v>10</v>
      </c>
    </row>
    <row r="1221" spans="1:8" ht="31.5" x14ac:dyDescent="0.25">
      <c r="A1221" s="31">
        <v>44693</v>
      </c>
      <c r="B1221" s="38" t="s">
        <v>15340</v>
      </c>
      <c r="C1221" s="38" t="s">
        <v>99</v>
      </c>
      <c r="D1221" s="34">
        <v>8020.6</v>
      </c>
      <c r="E1221" s="35" t="s">
        <v>15341</v>
      </c>
      <c r="F1221" s="34">
        <f>4600+3420.6</f>
        <v>8020.6</v>
      </c>
      <c r="G1221" s="36">
        <f>Tabla16[[#This Row],[Importe]]-Tabla16[[#This Row],[Pagado]]</f>
        <v>0</v>
      </c>
      <c r="H1221" s="38" t="s">
        <v>10</v>
      </c>
    </row>
    <row r="1222" spans="1:8" x14ac:dyDescent="0.25">
      <c r="A1222" s="31">
        <v>44693</v>
      </c>
      <c r="B1222" s="38" t="s">
        <v>15342</v>
      </c>
      <c r="C1222" s="38" t="s">
        <v>114</v>
      </c>
      <c r="D1222" s="34">
        <v>1366.8</v>
      </c>
      <c r="E1222" s="35">
        <v>44694</v>
      </c>
      <c r="F1222" s="34">
        <v>1366.8</v>
      </c>
      <c r="G1222" s="36">
        <f>Tabla16[[#This Row],[Importe]]-Tabla16[[#This Row],[Pagado]]</f>
        <v>0</v>
      </c>
      <c r="H1222" s="38" t="s">
        <v>10</v>
      </c>
    </row>
    <row r="1223" spans="1:8" x14ac:dyDescent="0.25">
      <c r="A1223" s="31">
        <v>44693</v>
      </c>
      <c r="B1223" s="38" t="s">
        <v>15343</v>
      </c>
      <c r="C1223" s="38" t="s">
        <v>2151</v>
      </c>
      <c r="D1223" s="34">
        <v>1922.7</v>
      </c>
      <c r="E1223" s="35">
        <v>44693</v>
      </c>
      <c r="F1223" s="34">
        <v>1922.7</v>
      </c>
      <c r="G1223" s="36">
        <f>Tabla16[[#This Row],[Importe]]-Tabla16[[#This Row],[Pagado]]</f>
        <v>0</v>
      </c>
      <c r="H1223" s="38" t="s">
        <v>10</v>
      </c>
    </row>
    <row r="1224" spans="1:8" x14ac:dyDescent="0.25">
      <c r="A1224" s="31">
        <v>44693</v>
      </c>
      <c r="B1224" s="38" t="s">
        <v>15344</v>
      </c>
      <c r="C1224" s="38" t="s">
        <v>481</v>
      </c>
      <c r="D1224" s="34">
        <v>3712</v>
      </c>
      <c r="E1224" s="35">
        <v>44693</v>
      </c>
      <c r="F1224" s="34">
        <v>3712</v>
      </c>
      <c r="G1224" s="36">
        <f>Tabla16[[#This Row],[Importe]]-Tabla16[[#This Row],[Pagado]]</f>
        <v>0</v>
      </c>
      <c r="H1224" s="38" t="s">
        <v>10</v>
      </c>
    </row>
    <row r="1225" spans="1:8" x14ac:dyDescent="0.25">
      <c r="A1225" s="31">
        <v>44693</v>
      </c>
      <c r="B1225" s="38" t="s">
        <v>15345</v>
      </c>
      <c r="C1225" s="38" t="s">
        <v>473</v>
      </c>
      <c r="D1225" s="34">
        <v>8819.2000000000007</v>
      </c>
      <c r="E1225" s="35">
        <v>44693</v>
      </c>
      <c r="F1225" s="34">
        <v>8819.2000000000007</v>
      </c>
      <c r="G1225" s="36">
        <f>Tabla16[[#This Row],[Importe]]-Tabla16[[#This Row],[Pagado]]</f>
        <v>0</v>
      </c>
      <c r="H1225" s="38" t="s">
        <v>10</v>
      </c>
    </row>
    <row r="1226" spans="1:8" x14ac:dyDescent="0.25">
      <c r="A1226" s="31">
        <v>44693</v>
      </c>
      <c r="B1226" s="38" t="s">
        <v>15346</v>
      </c>
      <c r="C1226" s="38" t="s">
        <v>75</v>
      </c>
      <c r="D1226" s="34">
        <v>5603.4</v>
      </c>
      <c r="E1226" s="35">
        <v>44693</v>
      </c>
      <c r="F1226" s="34">
        <v>5603.4</v>
      </c>
      <c r="G1226" s="36">
        <f>Tabla16[[#This Row],[Importe]]-Tabla16[[#This Row],[Pagado]]</f>
        <v>0</v>
      </c>
      <c r="H1226" s="38" t="s">
        <v>10</v>
      </c>
    </row>
    <row r="1227" spans="1:8" x14ac:dyDescent="0.25">
      <c r="A1227" s="31">
        <v>44693</v>
      </c>
      <c r="B1227" s="38" t="s">
        <v>15347</v>
      </c>
      <c r="C1227" s="38" t="s">
        <v>12</v>
      </c>
      <c r="D1227" s="34">
        <v>43174.15</v>
      </c>
      <c r="E1227" s="35">
        <v>44693</v>
      </c>
      <c r="F1227" s="34">
        <v>43174.15</v>
      </c>
      <c r="G1227" s="36">
        <f>Tabla16[[#This Row],[Importe]]-Tabla16[[#This Row],[Pagado]]</f>
        <v>0</v>
      </c>
      <c r="H1227" s="38" t="s">
        <v>10</v>
      </c>
    </row>
    <row r="1228" spans="1:8" x14ac:dyDescent="0.25">
      <c r="A1228" s="31">
        <v>44693</v>
      </c>
      <c r="B1228" s="38" t="s">
        <v>15348</v>
      </c>
      <c r="C1228" s="38" t="s">
        <v>934</v>
      </c>
      <c r="D1228" s="34">
        <v>3268.8</v>
      </c>
      <c r="E1228" s="35">
        <v>44693</v>
      </c>
      <c r="F1228" s="34">
        <v>3268.8</v>
      </c>
      <c r="G1228" s="36">
        <f>Tabla16[[#This Row],[Importe]]-Tabla16[[#This Row],[Pagado]]</f>
        <v>0</v>
      </c>
      <c r="H1228" s="38" t="s">
        <v>10</v>
      </c>
    </row>
    <row r="1229" spans="1:8" x14ac:dyDescent="0.25">
      <c r="A1229" s="31">
        <v>44693</v>
      </c>
      <c r="B1229" s="38" t="s">
        <v>15349</v>
      </c>
      <c r="C1229" s="38" t="s">
        <v>22</v>
      </c>
      <c r="D1229" s="34">
        <v>45258.8</v>
      </c>
      <c r="E1229" s="35">
        <v>44694</v>
      </c>
      <c r="F1229" s="34">
        <v>45258.8</v>
      </c>
      <c r="G1229" s="36">
        <f>Tabla16[[#This Row],[Importe]]-Tabla16[[#This Row],[Pagado]]</f>
        <v>0</v>
      </c>
      <c r="H1229" s="38" t="s">
        <v>10</v>
      </c>
    </row>
    <row r="1230" spans="1:8" x14ac:dyDescent="0.25">
      <c r="A1230" s="31">
        <v>44693</v>
      </c>
      <c r="B1230" s="38" t="s">
        <v>15350</v>
      </c>
      <c r="C1230" s="38" t="s">
        <v>9</v>
      </c>
      <c r="D1230" s="34">
        <v>5781.8</v>
      </c>
      <c r="E1230" s="35">
        <v>44693</v>
      </c>
      <c r="F1230" s="34">
        <v>5781.8</v>
      </c>
      <c r="G1230" s="36">
        <f>Tabla16[[#This Row],[Importe]]-Tabla16[[#This Row],[Pagado]]</f>
        <v>0</v>
      </c>
      <c r="H1230" s="38" t="s">
        <v>10</v>
      </c>
    </row>
    <row r="1231" spans="1:8" x14ac:dyDescent="0.25">
      <c r="A1231" s="31">
        <v>44693</v>
      </c>
      <c r="B1231" s="38" t="s">
        <v>15351</v>
      </c>
      <c r="C1231" s="38" t="s">
        <v>618</v>
      </c>
      <c r="D1231" s="34">
        <v>9259.7999999999993</v>
      </c>
      <c r="E1231" s="35">
        <v>44693</v>
      </c>
      <c r="F1231" s="34">
        <v>9259.7999999999993</v>
      </c>
      <c r="G1231" s="36">
        <f>Tabla16[[#This Row],[Importe]]-Tabla16[[#This Row],[Pagado]]</f>
        <v>0</v>
      </c>
      <c r="H1231" s="38" t="s">
        <v>10</v>
      </c>
    </row>
    <row r="1232" spans="1:8" x14ac:dyDescent="0.25">
      <c r="A1232" s="31">
        <v>44693</v>
      </c>
      <c r="B1232" s="38" t="s">
        <v>15352</v>
      </c>
      <c r="C1232" s="38" t="s">
        <v>365</v>
      </c>
      <c r="D1232" s="34">
        <v>738.4</v>
      </c>
      <c r="E1232" s="35">
        <v>44693</v>
      </c>
      <c r="F1232" s="34">
        <v>738.4</v>
      </c>
      <c r="G1232" s="36">
        <f>Tabla16[[#This Row],[Importe]]-Tabla16[[#This Row],[Pagado]]</f>
        <v>0</v>
      </c>
      <c r="H1232" s="38" t="s">
        <v>10</v>
      </c>
    </row>
    <row r="1233" spans="1:8" x14ac:dyDescent="0.25">
      <c r="A1233" s="31">
        <v>44693</v>
      </c>
      <c r="B1233" s="38" t="s">
        <v>15353</v>
      </c>
      <c r="C1233" s="38" t="s">
        <v>95</v>
      </c>
      <c r="D1233" s="34">
        <v>23631.919999999998</v>
      </c>
      <c r="E1233" s="35">
        <v>44693</v>
      </c>
      <c r="F1233" s="34">
        <v>23631.919999999998</v>
      </c>
      <c r="G1233" s="36">
        <f>Tabla16[[#This Row],[Importe]]-Tabla16[[#This Row],[Pagado]]</f>
        <v>0</v>
      </c>
      <c r="H1233" s="38" t="s">
        <v>10</v>
      </c>
    </row>
    <row r="1234" spans="1:8" x14ac:dyDescent="0.25">
      <c r="A1234" s="31">
        <v>44693</v>
      </c>
      <c r="B1234" s="38" t="s">
        <v>15354</v>
      </c>
      <c r="C1234" s="38" t="s">
        <v>208</v>
      </c>
      <c r="D1234" s="34">
        <v>610</v>
      </c>
      <c r="E1234" s="35">
        <v>44693</v>
      </c>
      <c r="F1234" s="34">
        <v>610</v>
      </c>
      <c r="G1234" s="36">
        <f>Tabla16[[#This Row],[Importe]]-Tabla16[[#This Row],[Pagado]]</f>
        <v>0</v>
      </c>
      <c r="H1234" s="38" t="s">
        <v>10</v>
      </c>
    </row>
    <row r="1235" spans="1:8" x14ac:dyDescent="0.25">
      <c r="A1235" s="31">
        <v>44693</v>
      </c>
      <c r="B1235" s="38" t="s">
        <v>15355</v>
      </c>
      <c r="C1235" s="38" t="s">
        <v>222</v>
      </c>
      <c r="D1235" s="34">
        <v>9125.7000000000007</v>
      </c>
      <c r="E1235" s="35">
        <v>44693</v>
      </c>
      <c r="F1235" s="34">
        <v>9125.7000000000007</v>
      </c>
      <c r="G1235" s="36">
        <f>Tabla16[[#This Row],[Importe]]-Tabla16[[#This Row],[Pagado]]</f>
        <v>0</v>
      </c>
      <c r="H1235" s="38" t="s">
        <v>10</v>
      </c>
    </row>
    <row r="1236" spans="1:8" x14ac:dyDescent="0.25">
      <c r="A1236" s="31">
        <v>44693</v>
      </c>
      <c r="B1236" s="38" t="s">
        <v>15356</v>
      </c>
      <c r="C1236" s="38" t="s">
        <v>319</v>
      </c>
      <c r="D1236" s="34">
        <v>6181.3</v>
      </c>
      <c r="E1236" s="35">
        <v>44693</v>
      </c>
      <c r="F1236" s="34">
        <v>6181.3</v>
      </c>
      <c r="G1236" s="36">
        <f>Tabla16[[#This Row],[Importe]]-Tabla16[[#This Row],[Pagado]]</f>
        <v>0</v>
      </c>
      <c r="H1236" s="38" t="s">
        <v>10</v>
      </c>
    </row>
    <row r="1237" spans="1:8" x14ac:dyDescent="0.25">
      <c r="A1237" s="31">
        <v>44693</v>
      </c>
      <c r="B1237" s="38" t="s">
        <v>15357</v>
      </c>
      <c r="C1237" s="38" t="s">
        <v>151</v>
      </c>
      <c r="D1237" s="34">
        <v>23745.599999999999</v>
      </c>
      <c r="E1237" s="35">
        <v>44693</v>
      </c>
      <c r="F1237" s="34">
        <v>23745.599999999999</v>
      </c>
      <c r="G1237" s="36">
        <f>Tabla16[[#This Row],[Importe]]-Tabla16[[#This Row],[Pagado]]</f>
        <v>0</v>
      </c>
      <c r="H1237" s="38" t="s">
        <v>10</v>
      </c>
    </row>
    <row r="1238" spans="1:8" x14ac:dyDescent="0.25">
      <c r="A1238" s="31">
        <v>44693</v>
      </c>
      <c r="B1238" s="38" t="s">
        <v>15358</v>
      </c>
      <c r="C1238" s="38" t="s">
        <v>161</v>
      </c>
      <c r="D1238" s="34">
        <v>3733.2</v>
      </c>
      <c r="E1238" s="35">
        <v>44693</v>
      </c>
      <c r="F1238" s="34">
        <v>3733.2</v>
      </c>
      <c r="G1238" s="36">
        <f>Tabla16[[#This Row],[Importe]]-Tabla16[[#This Row],[Pagado]]</f>
        <v>0</v>
      </c>
      <c r="H1238" s="38" t="s">
        <v>10</v>
      </c>
    </row>
    <row r="1239" spans="1:8" x14ac:dyDescent="0.25">
      <c r="A1239" s="31">
        <v>44693</v>
      </c>
      <c r="B1239" s="38" t="s">
        <v>15359</v>
      </c>
      <c r="C1239" s="38" t="s">
        <v>27</v>
      </c>
      <c r="D1239" s="34">
        <v>3333.2</v>
      </c>
      <c r="E1239" s="35">
        <v>44693</v>
      </c>
      <c r="F1239" s="34">
        <v>3333.2</v>
      </c>
      <c r="G1239" s="36">
        <f>Tabla16[[#This Row],[Importe]]-Tabla16[[#This Row],[Pagado]]</f>
        <v>0</v>
      </c>
      <c r="H1239" s="38" t="s">
        <v>10</v>
      </c>
    </row>
    <row r="1240" spans="1:8" x14ac:dyDescent="0.25">
      <c r="A1240" s="31">
        <v>44693</v>
      </c>
      <c r="B1240" s="38" t="s">
        <v>15360</v>
      </c>
      <c r="C1240" s="38" t="s">
        <v>16</v>
      </c>
      <c r="D1240" s="34">
        <v>1606.4</v>
      </c>
      <c r="E1240" s="35">
        <v>44693</v>
      </c>
      <c r="F1240" s="34">
        <v>1606.4</v>
      </c>
      <c r="G1240" s="36">
        <f>Tabla16[[#This Row],[Importe]]-Tabla16[[#This Row],[Pagado]]</f>
        <v>0</v>
      </c>
      <c r="H1240" s="38" t="s">
        <v>10</v>
      </c>
    </row>
    <row r="1241" spans="1:8" x14ac:dyDescent="0.25">
      <c r="A1241" s="31">
        <v>44693</v>
      </c>
      <c r="B1241" s="38" t="s">
        <v>15361</v>
      </c>
      <c r="C1241" s="38" t="s">
        <v>647</v>
      </c>
      <c r="D1241" s="34">
        <v>124</v>
      </c>
      <c r="E1241" s="35">
        <v>44693</v>
      </c>
      <c r="F1241" s="34">
        <v>124</v>
      </c>
      <c r="G1241" s="36">
        <f>Tabla16[[#This Row],[Importe]]-Tabla16[[#This Row],[Pagado]]</f>
        <v>0</v>
      </c>
      <c r="H1241" s="38" t="s">
        <v>10</v>
      </c>
    </row>
    <row r="1242" spans="1:8" x14ac:dyDescent="0.25">
      <c r="A1242" s="31">
        <v>44693</v>
      </c>
      <c r="B1242" s="38" t="s">
        <v>15362</v>
      </c>
      <c r="C1242" s="38" t="s">
        <v>380</v>
      </c>
      <c r="D1242" s="34">
        <v>13729.2</v>
      </c>
      <c r="E1242" s="35">
        <v>44693</v>
      </c>
      <c r="F1242" s="34">
        <v>13729.2</v>
      </c>
      <c r="G1242" s="36">
        <f>Tabla16[[#This Row],[Importe]]-Tabla16[[#This Row],[Pagado]]</f>
        <v>0</v>
      </c>
      <c r="H1242" s="38" t="s">
        <v>10</v>
      </c>
    </row>
    <row r="1243" spans="1:8" x14ac:dyDescent="0.25">
      <c r="A1243" s="31">
        <v>44693</v>
      </c>
      <c r="B1243" s="38" t="s">
        <v>15363</v>
      </c>
      <c r="C1243" s="38" t="s">
        <v>29</v>
      </c>
      <c r="D1243" s="34">
        <v>8725.2000000000007</v>
      </c>
      <c r="E1243" s="35">
        <v>44693</v>
      </c>
      <c r="F1243" s="34">
        <v>8725.2000000000007</v>
      </c>
      <c r="G1243" s="36">
        <f>Tabla16[[#This Row],[Importe]]-Tabla16[[#This Row],[Pagado]]</f>
        <v>0</v>
      </c>
      <c r="H1243" s="38" t="s">
        <v>10</v>
      </c>
    </row>
    <row r="1244" spans="1:8" x14ac:dyDescent="0.25">
      <c r="A1244" s="31">
        <v>44693</v>
      </c>
      <c r="B1244" s="38" t="s">
        <v>15364</v>
      </c>
      <c r="C1244" s="38" t="s">
        <v>157</v>
      </c>
      <c r="D1244" s="34">
        <v>2100</v>
      </c>
      <c r="E1244" s="35">
        <v>44693</v>
      </c>
      <c r="F1244" s="34">
        <v>2100</v>
      </c>
      <c r="G1244" s="36">
        <f>Tabla16[[#This Row],[Importe]]-Tabla16[[#This Row],[Pagado]]</f>
        <v>0</v>
      </c>
      <c r="H1244" s="38" t="s">
        <v>10</v>
      </c>
    </row>
    <row r="1245" spans="1:8" x14ac:dyDescent="0.25">
      <c r="A1245" s="31">
        <v>44693</v>
      </c>
      <c r="B1245" s="38" t="s">
        <v>15365</v>
      </c>
      <c r="C1245" s="38" t="s">
        <v>12202</v>
      </c>
      <c r="D1245" s="34">
        <v>3600</v>
      </c>
      <c r="E1245" s="35">
        <v>44693</v>
      </c>
      <c r="F1245" s="34">
        <v>3600</v>
      </c>
      <c r="G1245" s="36">
        <f>Tabla16[[#This Row],[Importe]]-Tabla16[[#This Row],[Pagado]]</f>
        <v>0</v>
      </c>
      <c r="H1245" s="38" t="s">
        <v>10</v>
      </c>
    </row>
    <row r="1246" spans="1:8" x14ac:dyDescent="0.25">
      <c r="A1246" s="31">
        <v>44693</v>
      </c>
      <c r="B1246" s="38" t="s">
        <v>15366</v>
      </c>
      <c r="C1246" s="38" t="s">
        <v>1558</v>
      </c>
      <c r="D1246" s="34">
        <v>10572.8</v>
      </c>
      <c r="E1246" s="35">
        <v>44693</v>
      </c>
      <c r="F1246" s="34">
        <v>10572.8</v>
      </c>
      <c r="G1246" s="36">
        <f>Tabla16[[#This Row],[Importe]]-Tabla16[[#This Row],[Pagado]]</f>
        <v>0</v>
      </c>
      <c r="H1246" s="38" t="s">
        <v>10</v>
      </c>
    </row>
    <row r="1247" spans="1:8" x14ac:dyDescent="0.25">
      <c r="A1247" s="31">
        <v>44693</v>
      </c>
      <c r="B1247" s="38" t="s">
        <v>15367</v>
      </c>
      <c r="C1247" s="38" t="s">
        <v>15368</v>
      </c>
      <c r="D1247" s="34">
        <v>0</v>
      </c>
      <c r="E1247" s="39" t="s">
        <v>189</v>
      </c>
      <c r="F1247" s="34">
        <v>0</v>
      </c>
      <c r="G1247" s="36">
        <f>Tabla16[[#This Row],[Importe]]-Tabla16[[#This Row],[Pagado]]</f>
        <v>0</v>
      </c>
      <c r="H1247" s="38" t="s">
        <v>189</v>
      </c>
    </row>
    <row r="1248" spans="1:8" x14ac:dyDescent="0.25">
      <c r="A1248" s="31">
        <v>44693</v>
      </c>
      <c r="B1248" s="38" t="s">
        <v>15369</v>
      </c>
      <c r="C1248" s="38" t="s">
        <v>670</v>
      </c>
      <c r="D1248" s="34">
        <v>4648.1000000000004</v>
      </c>
      <c r="E1248" s="35">
        <v>44693</v>
      </c>
      <c r="F1248" s="34">
        <v>4648.1000000000004</v>
      </c>
      <c r="G1248" s="36">
        <f>Tabla16[[#This Row],[Importe]]-Tabla16[[#This Row],[Pagado]]</f>
        <v>0</v>
      </c>
      <c r="H1248" s="38" t="s">
        <v>10</v>
      </c>
    </row>
    <row r="1249" spans="1:8" x14ac:dyDescent="0.25">
      <c r="A1249" s="31">
        <v>44693</v>
      </c>
      <c r="B1249" s="38" t="s">
        <v>15370</v>
      </c>
      <c r="C1249" s="38" t="s">
        <v>348</v>
      </c>
      <c r="D1249" s="34">
        <v>2519.4</v>
      </c>
      <c r="E1249" s="35">
        <v>44693</v>
      </c>
      <c r="F1249" s="34">
        <v>2519.4</v>
      </c>
      <c r="G1249" s="36">
        <f>Tabla16[[#This Row],[Importe]]-Tabla16[[#This Row],[Pagado]]</f>
        <v>0</v>
      </c>
      <c r="H1249" s="38" t="s">
        <v>10</v>
      </c>
    </row>
    <row r="1250" spans="1:8" x14ac:dyDescent="0.25">
      <c r="A1250" s="31">
        <v>44693</v>
      </c>
      <c r="B1250" s="38" t="s">
        <v>15371</v>
      </c>
      <c r="C1250" s="38" t="s">
        <v>79</v>
      </c>
      <c r="D1250" s="34">
        <v>19532</v>
      </c>
      <c r="E1250" s="35">
        <v>44693</v>
      </c>
      <c r="F1250" s="34">
        <v>19532</v>
      </c>
      <c r="G1250" s="36">
        <f>Tabla16[[#This Row],[Importe]]-Tabla16[[#This Row],[Pagado]]</f>
        <v>0</v>
      </c>
      <c r="H1250" s="38" t="s">
        <v>10</v>
      </c>
    </row>
    <row r="1251" spans="1:8" x14ac:dyDescent="0.25">
      <c r="A1251" s="31">
        <v>44693</v>
      </c>
      <c r="B1251" s="38" t="s">
        <v>15372</v>
      </c>
      <c r="C1251" s="38" t="s">
        <v>371</v>
      </c>
      <c r="D1251" s="34">
        <v>3779.1</v>
      </c>
      <c r="E1251" s="35">
        <v>44693</v>
      </c>
      <c r="F1251" s="34">
        <v>3779.1</v>
      </c>
      <c r="G1251" s="36">
        <f>Tabla16[[#This Row],[Importe]]-Tabla16[[#This Row],[Pagado]]</f>
        <v>0</v>
      </c>
      <c r="H1251" s="38" t="s">
        <v>10</v>
      </c>
    </row>
    <row r="1252" spans="1:8" x14ac:dyDescent="0.25">
      <c r="A1252" s="31">
        <v>44693</v>
      </c>
      <c r="B1252" s="38" t="s">
        <v>15373</v>
      </c>
      <c r="C1252" s="38" t="s">
        <v>224</v>
      </c>
      <c r="D1252" s="34">
        <v>1243.2</v>
      </c>
      <c r="E1252" s="35">
        <v>44693</v>
      </c>
      <c r="F1252" s="34">
        <v>1243.2</v>
      </c>
      <c r="G1252" s="36">
        <f>Tabla16[[#This Row],[Importe]]-Tabla16[[#This Row],[Pagado]]</f>
        <v>0</v>
      </c>
      <c r="H1252" s="38" t="s">
        <v>10</v>
      </c>
    </row>
    <row r="1253" spans="1:8" x14ac:dyDescent="0.25">
      <c r="A1253" s="31">
        <v>44693</v>
      </c>
      <c r="B1253" s="38" t="s">
        <v>15374</v>
      </c>
      <c r="C1253" s="38" t="s">
        <v>159</v>
      </c>
      <c r="D1253" s="34">
        <v>2728.5</v>
      </c>
      <c r="E1253" s="35">
        <v>44693</v>
      </c>
      <c r="F1253" s="34">
        <v>2728.5</v>
      </c>
      <c r="G1253" s="36">
        <f>Tabla16[[#This Row],[Importe]]-Tabla16[[#This Row],[Pagado]]</f>
        <v>0</v>
      </c>
      <c r="H1253" s="38" t="s">
        <v>10</v>
      </c>
    </row>
    <row r="1254" spans="1:8" x14ac:dyDescent="0.25">
      <c r="A1254" s="31">
        <v>44693</v>
      </c>
      <c r="B1254" s="38" t="s">
        <v>15375</v>
      </c>
      <c r="C1254" s="38" t="s">
        <v>45</v>
      </c>
      <c r="D1254" s="34">
        <v>18217.2</v>
      </c>
      <c r="E1254" s="35">
        <v>44693</v>
      </c>
      <c r="F1254" s="34">
        <v>18217.2</v>
      </c>
      <c r="G1254" s="36">
        <f>Tabla16[[#This Row],[Importe]]-Tabla16[[#This Row],[Pagado]]</f>
        <v>0</v>
      </c>
      <c r="H1254" s="38" t="s">
        <v>10</v>
      </c>
    </row>
    <row r="1255" spans="1:8" x14ac:dyDescent="0.25">
      <c r="A1255" s="31">
        <v>44693</v>
      </c>
      <c r="B1255" s="38" t="s">
        <v>15376</v>
      </c>
      <c r="C1255" s="38" t="s">
        <v>520</v>
      </c>
      <c r="D1255" s="34">
        <v>15883</v>
      </c>
      <c r="E1255" s="35">
        <v>44693</v>
      </c>
      <c r="F1255" s="34">
        <v>15883</v>
      </c>
      <c r="G1255" s="36">
        <f>Tabla16[[#This Row],[Importe]]-Tabla16[[#This Row],[Pagado]]</f>
        <v>0</v>
      </c>
      <c r="H1255" s="38" t="s">
        <v>10</v>
      </c>
    </row>
    <row r="1256" spans="1:8" x14ac:dyDescent="0.25">
      <c r="A1256" s="31">
        <v>44693</v>
      </c>
      <c r="B1256" s="38" t="s">
        <v>15377</v>
      </c>
      <c r="C1256" s="38" t="s">
        <v>56</v>
      </c>
      <c r="D1256" s="34">
        <v>2835</v>
      </c>
      <c r="E1256" s="35">
        <v>44693</v>
      </c>
      <c r="F1256" s="34">
        <v>2835</v>
      </c>
      <c r="G1256" s="36">
        <f>Tabla16[[#This Row],[Importe]]-Tabla16[[#This Row],[Pagado]]</f>
        <v>0</v>
      </c>
      <c r="H1256" s="38" t="s">
        <v>10</v>
      </c>
    </row>
    <row r="1257" spans="1:8" x14ac:dyDescent="0.25">
      <c r="A1257" s="31">
        <v>44693</v>
      </c>
      <c r="B1257" s="38" t="s">
        <v>15378</v>
      </c>
      <c r="C1257" s="38" t="s">
        <v>3971</v>
      </c>
      <c r="D1257" s="34">
        <v>1440.6</v>
      </c>
      <c r="E1257" s="35">
        <v>44693</v>
      </c>
      <c r="F1257" s="34">
        <v>1440.6</v>
      </c>
      <c r="G1257" s="36">
        <f>Tabla16[[#This Row],[Importe]]-Tabla16[[#This Row],[Pagado]]</f>
        <v>0</v>
      </c>
      <c r="H1257" s="38" t="s">
        <v>10</v>
      </c>
    </row>
    <row r="1258" spans="1:8" x14ac:dyDescent="0.25">
      <c r="A1258" s="31">
        <v>44693</v>
      </c>
      <c r="B1258" s="38" t="s">
        <v>15379</v>
      </c>
      <c r="C1258" s="38" t="s">
        <v>37</v>
      </c>
      <c r="D1258" s="34">
        <v>3342.6</v>
      </c>
      <c r="E1258" s="35">
        <v>44693</v>
      </c>
      <c r="F1258" s="34">
        <v>3342.6</v>
      </c>
      <c r="G1258" s="36">
        <f>Tabla16[[#This Row],[Importe]]-Tabla16[[#This Row],[Pagado]]</f>
        <v>0</v>
      </c>
      <c r="H1258" s="38" t="s">
        <v>10</v>
      </c>
    </row>
    <row r="1259" spans="1:8" x14ac:dyDescent="0.25">
      <c r="A1259" s="31">
        <v>44693</v>
      </c>
      <c r="B1259" s="38" t="s">
        <v>15380</v>
      </c>
      <c r="C1259" s="38" t="s">
        <v>146</v>
      </c>
      <c r="D1259" s="34">
        <v>3549.6</v>
      </c>
      <c r="E1259" s="35">
        <v>44693</v>
      </c>
      <c r="F1259" s="34">
        <v>3549.6</v>
      </c>
      <c r="G1259" s="36">
        <f>Tabla16[[#This Row],[Importe]]-Tabla16[[#This Row],[Pagado]]</f>
        <v>0</v>
      </c>
      <c r="H1259" s="38" t="s">
        <v>10</v>
      </c>
    </row>
    <row r="1260" spans="1:8" x14ac:dyDescent="0.25">
      <c r="A1260" s="31">
        <v>44693</v>
      </c>
      <c r="B1260" s="38" t="s">
        <v>15381</v>
      </c>
      <c r="C1260" s="38" t="s">
        <v>1362</v>
      </c>
      <c r="D1260" s="34">
        <v>4602.3</v>
      </c>
      <c r="E1260" s="35">
        <v>44693</v>
      </c>
      <c r="F1260" s="34">
        <v>4602.3</v>
      </c>
      <c r="G1260" s="36">
        <f>Tabla16[[#This Row],[Importe]]-Tabla16[[#This Row],[Pagado]]</f>
        <v>0</v>
      </c>
      <c r="H1260" s="38" t="s">
        <v>10</v>
      </c>
    </row>
    <row r="1261" spans="1:8" x14ac:dyDescent="0.25">
      <c r="A1261" s="31">
        <v>44693</v>
      </c>
      <c r="B1261" s="38" t="s">
        <v>15382</v>
      </c>
      <c r="C1261" s="38" t="s">
        <v>339</v>
      </c>
      <c r="D1261" s="34">
        <v>793.5</v>
      </c>
      <c r="E1261" s="35">
        <v>44693</v>
      </c>
      <c r="F1261" s="34">
        <v>793.5</v>
      </c>
      <c r="G1261" s="36">
        <f>Tabla16[[#This Row],[Importe]]-Tabla16[[#This Row],[Pagado]]</f>
        <v>0</v>
      </c>
      <c r="H1261" s="38" t="s">
        <v>10</v>
      </c>
    </row>
    <row r="1262" spans="1:8" x14ac:dyDescent="0.25">
      <c r="A1262" s="31">
        <v>44693</v>
      </c>
      <c r="B1262" s="38" t="s">
        <v>15383</v>
      </c>
      <c r="C1262" s="38" t="s">
        <v>129</v>
      </c>
      <c r="D1262" s="34">
        <v>1800.9</v>
      </c>
      <c r="E1262" s="35">
        <v>44693</v>
      </c>
      <c r="F1262" s="34">
        <v>1800.9</v>
      </c>
      <c r="G1262" s="36">
        <f>Tabla16[[#This Row],[Importe]]-Tabla16[[#This Row],[Pagado]]</f>
        <v>0</v>
      </c>
      <c r="H1262" s="38" t="s">
        <v>10</v>
      </c>
    </row>
    <row r="1263" spans="1:8" x14ac:dyDescent="0.25">
      <c r="A1263" s="31">
        <v>44693</v>
      </c>
      <c r="B1263" s="38" t="s">
        <v>15384</v>
      </c>
      <c r="C1263" s="38" t="s">
        <v>127</v>
      </c>
      <c r="D1263" s="34">
        <v>4315.5</v>
      </c>
      <c r="E1263" s="35">
        <v>44693</v>
      </c>
      <c r="F1263" s="34">
        <v>4315.5</v>
      </c>
      <c r="G1263" s="36">
        <f>Tabla16[[#This Row],[Importe]]-Tabla16[[#This Row],[Pagado]]</f>
        <v>0</v>
      </c>
      <c r="H1263" s="38" t="s">
        <v>10</v>
      </c>
    </row>
    <row r="1264" spans="1:8" x14ac:dyDescent="0.25">
      <c r="A1264" s="31">
        <v>44693</v>
      </c>
      <c r="B1264" s="38" t="s">
        <v>15385</v>
      </c>
      <c r="C1264" s="38" t="s">
        <v>357</v>
      </c>
      <c r="D1264" s="34">
        <v>230</v>
      </c>
      <c r="E1264" s="35">
        <v>44693</v>
      </c>
      <c r="F1264" s="34">
        <v>230</v>
      </c>
      <c r="G1264" s="36">
        <f>Tabla16[[#This Row],[Importe]]-Tabla16[[#This Row],[Pagado]]</f>
        <v>0</v>
      </c>
      <c r="H1264" s="38" t="s">
        <v>10</v>
      </c>
    </row>
    <row r="1265" spans="1:8" x14ac:dyDescent="0.25">
      <c r="A1265" s="31">
        <v>44693</v>
      </c>
      <c r="B1265" s="38" t="s">
        <v>15386</v>
      </c>
      <c r="C1265" s="38" t="s">
        <v>140</v>
      </c>
      <c r="D1265" s="34">
        <v>3453.4</v>
      </c>
      <c r="E1265" s="35">
        <v>44693</v>
      </c>
      <c r="F1265" s="34">
        <v>3453.4</v>
      </c>
      <c r="G1265" s="36">
        <f>Tabla16[[#This Row],[Importe]]-Tabla16[[#This Row],[Pagado]]</f>
        <v>0</v>
      </c>
      <c r="H1265" s="38" t="s">
        <v>10</v>
      </c>
    </row>
    <row r="1266" spans="1:8" x14ac:dyDescent="0.25">
      <c r="A1266" s="31">
        <v>44693</v>
      </c>
      <c r="B1266" s="38" t="s">
        <v>15387</v>
      </c>
      <c r="C1266" s="38" t="s">
        <v>31</v>
      </c>
      <c r="D1266" s="34">
        <v>1234.2</v>
      </c>
      <c r="E1266" s="35">
        <v>44693</v>
      </c>
      <c r="F1266" s="34">
        <v>1234.2</v>
      </c>
      <c r="G1266" s="36">
        <f>Tabla16[[#This Row],[Importe]]-Tabla16[[#This Row],[Pagado]]</f>
        <v>0</v>
      </c>
      <c r="H1266" s="38" t="s">
        <v>10</v>
      </c>
    </row>
    <row r="1267" spans="1:8" x14ac:dyDescent="0.25">
      <c r="A1267" s="31">
        <v>44693</v>
      </c>
      <c r="B1267" s="38" t="s">
        <v>15388</v>
      </c>
      <c r="C1267" s="38" t="s">
        <v>414</v>
      </c>
      <c r="D1267" s="34">
        <v>19994</v>
      </c>
      <c r="E1267" s="35">
        <v>44704</v>
      </c>
      <c r="F1267" s="34">
        <v>19994</v>
      </c>
      <c r="G1267" s="36">
        <f>Tabla16[[#This Row],[Importe]]-Tabla16[[#This Row],[Pagado]]</f>
        <v>0</v>
      </c>
      <c r="H1267" s="38" t="s">
        <v>10</v>
      </c>
    </row>
    <row r="1268" spans="1:8" x14ac:dyDescent="0.25">
      <c r="A1268" s="31">
        <v>44693</v>
      </c>
      <c r="B1268" s="38" t="s">
        <v>15389</v>
      </c>
      <c r="C1268" s="38" t="s">
        <v>216</v>
      </c>
      <c r="D1268" s="34">
        <v>1753.8</v>
      </c>
      <c r="E1268" s="35">
        <v>44693</v>
      </c>
      <c r="F1268" s="34">
        <v>1753.8</v>
      </c>
      <c r="G1268" s="36">
        <f>Tabla16[[#This Row],[Importe]]-Tabla16[[#This Row],[Pagado]]</f>
        <v>0</v>
      </c>
      <c r="H1268" s="38" t="s">
        <v>10</v>
      </c>
    </row>
    <row r="1269" spans="1:8" x14ac:dyDescent="0.25">
      <c r="A1269" s="31">
        <v>44693</v>
      </c>
      <c r="B1269" s="38" t="s">
        <v>15390</v>
      </c>
      <c r="C1269" s="38" t="s">
        <v>87</v>
      </c>
      <c r="D1269" s="34">
        <v>2412.3000000000002</v>
      </c>
      <c r="E1269" s="35">
        <v>44693</v>
      </c>
      <c r="F1269" s="34">
        <v>2412.3000000000002</v>
      </c>
      <c r="G1269" s="36">
        <f>Tabla16[[#This Row],[Importe]]-Tabla16[[#This Row],[Pagado]]</f>
        <v>0</v>
      </c>
      <c r="H1269" s="38" t="s">
        <v>10</v>
      </c>
    </row>
    <row r="1270" spans="1:8" x14ac:dyDescent="0.25">
      <c r="A1270" s="31">
        <v>44693</v>
      </c>
      <c r="B1270" s="38" t="s">
        <v>15391</v>
      </c>
      <c r="C1270" s="38" t="s">
        <v>392</v>
      </c>
      <c r="D1270" s="34">
        <v>12750</v>
      </c>
      <c r="E1270" s="35">
        <v>44702</v>
      </c>
      <c r="F1270" s="34">
        <v>12750</v>
      </c>
      <c r="G1270" s="36">
        <f>Tabla16[[#This Row],[Importe]]-Tabla16[[#This Row],[Pagado]]</f>
        <v>0</v>
      </c>
      <c r="H1270" s="38" t="s">
        <v>10</v>
      </c>
    </row>
    <row r="1271" spans="1:8" x14ac:dyDescent="0.25">
      <c r="A1271" s="31">
        <v>44693</v>
      </c>
      <c r="B1271" s="38" t="s">
        <v>15392</v>
      </c>
      <c r="C1271" s="38" t="s">
        <v>216</v>
      </c>
      <c r="D1271" s="34">
        <v>201</v>
      </c>
      <c r="E1271" s="35">
        <v>44693</v>
      </c>
      <c r="F1271" s="34">
        <v>201</v>
      </c>
      <c r="G1271" s="36">
        <f>Tabla16[[#This Row],[Importe]]-Tabla16[[#This Row],[Pagado]]</f>
        <v>0</v>
      </c>
      <c r="H1271" s="38" t="s">
        <v>10</v>
      </c>
    </row>
    <row r="1272" spans="1:8" x14ac:dyDescent="0.25">
      <c r="A1272" s="31">
        <v>44693</v>
      </c>
      <c r="B1272" s="38" t="s">
        <v>15393</v>
      </c>
      <c r="C1272" s="38" t="s">
        <v>179</v>
      </c>
      <c r="D1272" s="34">
        <v>1386</v>
      </c>
      <c r="E1272" s="35">
        <v>44693</v>
      </c>
      <c r="F1272" s="34">
        <v>1386</v>
      </c>
      <c r="G1272" s="36">
        <f>Tabla16[[#This Row],[Importe]]-Tabla16[[#This Row],[Pagado]]</f>
        <v>0</v>
      </c>
      <c r="H1272" s="38" t="s">
        <v>10</v>
      </c>
    </row>
    <row r="1273" spans="1:8" x14ac:dyDescent="0.25">
      <c r="A1273" s="31">
        <v>44693</v>
      </c>
      <c r="B1273" s="38" t="s">
        <v>15394</v>
      </c>
      <c r="C1273" s="38" t="s">
        <v>83</v>
      </c>
      <c r="D1273" s="34">
        <v>7535.8</v>
      </c>
      <c r="E1273" s="35">
        <v>44693</v>
      </c>
      <c r="F1273" s="34">
        <v>7535.8</v>
      </c>
      <c r="G1273" s="36">
        <f>Tabla16[[#This Row],[Importe]]-Tabla16[[#This Row],[Pagado]]</f>
        <v>0</v>
      </c>
      <c r="H1273" s="38" t="s">
        <v>10</v>
      </c>
    </row>
    <row r="1274" spans="1:8" x14ac:dyDescent="0.25">
      <c r="A1274" s="31">
        <v>44693</v>
      </c>
      <c r="B1274" s="38" t="s">
        <v>15395</v>
      </c>
      <c r="C1274" s="38" t="s">
        <v>142</v>
      </c>
      <c r="D1274" s="34">
        <v>49325.599999999999</v>
      </c>
      <c r="E1274" s="35">
        <v>44760</v>
      </c>
      <c r="F1274" s="34">
        <v>49325.599999999999</v>
      </c>
      <c r="G1274" s="36">
        <f>Tabla16[[#This Row],[Importe]]-Tabla16[[#This Row],[Pagado]]</f>
        <v>0</v>
      </c>
      <c r="H1274" s="38" t="s">
        <v>10</v>
      </c>
    </row>
    <row r="1275" spans="1:8" x14ac:dyDescent="0.25">
      <c r="A1275" s="31">
        <v>44693</v>
      </c>
      <c r="B1275" s="38" t="s">
        <v>15396</v>
      </c>
      <c r="C1275" s="38" t="s">
        <v>31</v>
      </c>
      <c r="D1275" s="34">
        <v>633.6</v>
      </c>
      <c r="E1275" s="35">
        <v>44693</v>
      </c>
      <c r="F1275" s="34">
        <v>633.6</v>
      </c>
      <c r="G1275" s="36">
        <f>Tabla16[[#This Row],[Importe]]-Tabla16[[#This Row],[Pagado]]</f>
        <v>0</v>
      </c>
      <c r="H1275" s="38" t="s">
        <v>10</v>
      </c>
    </row>
    <row r="1276" spans="1:8" x14ac:dyDescent="0.25">
      <c r="A1276" s="31">
        <v>44693</v>
      </c>
      <c r="B1276" s="38" t="s">
        <v>15397</v>
      </c>
      <c r="C1276" s="38" t="s">
        <v>698</v>
      </c>
      <c r="D1276" s="34">
        <v>5278.3</v>
      </c>
      <c r="E1276" s="35">
        <v>44693</v>
      </c>
      <c r="F1276" s="34">
        <v>5278.3</v>
      </c>
      <c r="G1276" s="36">
        <f>Tabla16[[#This Row],[Importe]]-Tabla16[[#This Row],[Pagado]]</f>
        <v>0</v>
      </c>
      <c r="H1276" s="38" t="s">
        <v>10</v>
      </c>
    </row>
    <row r="1277" spans="1:8" x14ac:dyDescent="0.25">
      <c r="A1277" s="31">
        <v>44693</v>
      </c>
      <c r="B1277" s="38" t="s">
        <v>15398</v>
      </c>
      <c r="C1277" s="38" t="s">
        <v>16</v>
      </c>
      <c r="D1277" s="34">
        <v>1594.8</v>
      </c>
      <c r="E1277" s="35">
        <v>44693</v>
      </c>
      <c r="F1277" s="34">
        <v>1594.8</v>
      </c>
      <c r="G1277" s="36">
        <f>Tabla16[[#This Row],[Importe]]-Tabla16[[#This Row],[Pagado]]</f>
        <v>0</v>
      </c>
      <c r="H1277" s="38" t="s">
        <v>10</v>
      </c>
    </row>
    <row r="1278" spans="1:8" x14ac:dyDescent="0.25">
      <c r="A1278" s="31">
        <v>44693</v>
      </c>
      <c r="B1278" s="38" t="s">
        <v>15399</v>
      </c>
      <c r="C1278" s="38" t="s">
        <v>16</v>
      </c>
      <c r="D1278" s="34">
        <v>512.4</v>
      </c>
      <c r="E1278" s="35">
        <v>44693</v>
      </c>
      <c r="F1278" s="34">
        <v>512.4</v>
      </c>
      <c r="G1278" s="36">
        <f>Tabla16[[#This Row],[Importe]]-Tabla16[[#This Row],[Pagado]]</f>
        <v>0</v>
      </c>
      <c r="H1278" s="38" t="s">
        <v>10</v>
      </c>
    </row>
    <row r="1279" spans="1:8" x14ac:dyDescent="0.25">
      <c r="A1279" s="31">
        <v>44693</v>
      </c>
      <c r="B1279" s="38" t="s">
        <v>15400</v>
      </c>
      <c r="C1279" s="38" t="s">
        <v>175</v>
      </c>
      <c r="D1279" s="34">
        <v>24027.1</v>
      </c>
      <c r="E1279" s="35">
        <v>44693</v>
      </c>
      <c r="F1279" s="34">
        <v>24027.1</v>
      </c>
      <c r="G1279" s="36">
        <f>Tabla16[[#This Row],[Importe]]-Tabla16[[#This Row],[Pagado]]</f>
        <v>0</v>
      </c>
      <c r="H1279" s="38" t="s">
        <v>10</v>
      </c>
    </row>
    <row r="1280" spans="1:8" x14ac:dyDescent="0.25">
      <c r="A1280" s="31">
        <v>44693</v>
      </c>
      <c r="B1280" s="38" t="s">
        <v>15401</v>
      </c>
      <c r="C1280" s="38" t="s">
        <v>12107</v>
      </c>
      <c r="D1280" s="34">
        <v>1960</v>
      </c>
      <c r="E1280" s="35">
        <v>44693</v>
      </c>
      <c r="F1280" s="34">
        <v>1960</v>
      </c>
      <c r="G1280" s="36">
        <f>Tabla16[[#This Row],[Importe]]-Tabla16[[#This Row],[Pagado]]</f>
        <v>0</v>
      </c>
      <c r="H1280" s="38" t="s">
        <v>10</v>
      </c>
    </row>
    <row r="1281" spans="1:8" x14ac:dyDescent="0.25">
      <c r="A1281" s="31">
        <v>44693</v>
      </c>
      <c r="B1281" s="38" t="s">
        <v>15402</v>
      </c>
      <c r="C1281" s="38" t="s">
        <v>204</v>
      </c>
      <c r="D1281" s="34">
        <v>1216.8</v>
      </c>
      <c r="E1281" s="35">
        <v>44693</v>
      </c>
      <c r="F1281" s="34">
        <v>1216.8</v>
      </c>
      <c r="G1281" s="36">
        <f>Tabla16[[#This Row],[Importe]]-Tabla16[[#This Row],[Pagado]]</f>
        <v>0</v>
      </c>
      <c r="H1281" s="38" t="s">
        <v>10</v>
      </c>
    </row>
    <row r="1282" spans="1:8" x14ac:dyDescent="0.25">
      <c r="A1282" s="31">
        <v>44693</v>
      </c>
      <c r="B1282" s="38" t="s">
        <v>15403</v>
      </c>
      <c r="C1282" s="38" t="s">
        <v>804</v>
      </c>
      <c r="D1282" s="34">
        <v>16617.2</v>
      </c>
      <c r="E1282" s="35">
        <v>44693</v>
      </c>
      <c r="F1282" s="34">
        <v>16617.2</v>
      </c>
      <c r="G1282" s="36">
        <f>Tabla16[[#This Row],[Importe]]-Tabla16[[#This Row],[Pagado]]</f>
        <v>0</v>
      </c>
      <c r="H1282" s="38" t="s">
        <v>10</v>
      </c>
    </row>
    <row r="1283" spans="1:8" x14ac:dyDescent="0.25">
      <c r="A1283" s="31">
        <v>44693</v>
      </c>
      <c r="B1283" s="38" t="s">
        <v>15404</v>
      </c>
      <c r="C1283" s="38" t="s">
        <v>562</v>
      </c>
      <c r="D1283" s="34">
        <v>5330.8</v>
      </c>
      <c r="E1283" s="35">
        <v>44693</v>
      </c>
      <c r="F1283" s="34">
        <v>5330.8</v>
      </c>
      <c r="G1283" s="36">
        <f>Tabla16[[#This Row],[Importe]]-Tabla16[[#This Row],[Pagado]]</f>
        <v>0</v>
      </c>
      <c r="H1283" s="38" t="s">
        <v>10</v>
      </c>
    </row>
    <row r="1284" spans="1:8" x14ac:dyDescent="0.25">
      <c r="A1284" s="31">
        <v>44693</v>
      </c>
      <c r="B1284" s="38" t="s">
        <v>15405</v>
      </c>
      <c r="C1284" s="38" t="s">
        <v>24</v>
      </c>
      <c r="D1284" s="34">
        <v>1809.6</v>
      </c>
      <c r="E1284" s="35">
        <v>44693</v>
      </c>
      <c r="F1284" s="34">
        <v>1809.6</v>
      </c>
      <c r="G1284" s="36">
        <f>Tabla16[[#This Row],[Importe]]-Tabla16[[#This Row],[Pagado]]</f>
        <v>0</v>
      </c>
      <c r="H1284" s="38" t="s">
        <v>10</v>
      </c>
    </row>
    <row r="1285" spans="1:8" x14ac:dyDescent="0.25">
      <c r="A1285" s="31">
        <v>44693</v>
      </c>
      <c r="B1285" s="38" t="s">
        <v>15406</v>
      </c>
      <c r="C1285" s="38" t="s">
        <v>191</v>
      </c>
      <c r="D1285" s="34">
        <v>978.4</v>
      </c>
      <c r="E1285" s="35">
        <v>44693</v>
      </c>
      <c r="F1285" s="34">
        <v>978.4</v>
      </c>
      <c r="G1285" s="36">
        <f>Tabla16[[#This Row],[Importe]]-Tabla16[[#This Row],[Pagado]]</f>
        <v>0</v>
      </c>
      <c r="H1285" s="38" t="s">
        <v>10</v>
      </c>
    </row>
    <row r="1286" spans="1:8" x14ac:dyDescent="0.25">
      <c r="A1286" s="31">
        <v>44693</v>
      </c>
      <c r="B1286" s="38" t="s">
        <v>15407</v>
      </c>
      <c r="C1286" s="38" t="s">
        <v>67</v>
      </c>
      <c r="D1286" s="34">
        <v>2370</v>
      </c>
      <c r="E1286" s="35">
        <v>44693</v>
      </c>
      <c r="F1286" s="34">
        <v>2370</v>
      </c>
      <c r="G1286" s="36">
        <f>Tabla16[[#This Row],[Importe]]-Tabla16[[#This Row],[Pagado]]</f>
        <v>0</v>
      </c>
      <c r="H1286" s="38" t="s">
        <v>10</v>
      </c>
    </row>
    <row r="1287" spans="1:8" x14ac:dyDescent="0.25">
      <c r="A1287" s="31">
        <v>44693</v>
      </c>
      <c r="B1287" s="38" t="s">
        <v>15408</v>
      </c>
      <c r="C1287" s="38" t="s">
        <v>142</v>
      </c>
      <c r="D1287" s="34">
        <v>3087.2</v>
      </c>
      <c r="E1287" s="35">
        <v>44760</v>
      </c>
      <c r="F1287" s="34">
        <v>3087.2</v>
      </c>
      <c r="G1287" s="36">
        <f>Tabla16[[#This Row],[Importe]]-Tabla16[[#This Row],[Pagado]]</f>
        <v>0</v>
      </c>
      <c r="H1287" s="38" t="s">
        <v>10</v>
      </c>
    </row>
    <row r="1288" spans="1:8" x14ac:dyDescent="0.25">
      <c r="A1288" s="31">
        <v>44693</v>
      </c>
      <c r="B1288" s="38" t="s">
        <v>15409</v>
      </c>
      <c r="C1288" s="38" t="s">
        <v>216</v>
      </c>
      <c r="D1288" s="34">
        <v>3430</v>
      </c>
      <c r="E1288" s="35">
        <v>44693</v>
      </c>
      <c r="F1288" s="34">
        <v>3430</v>
      </c>
      <c r="G1288" s="36">
        <f>Tabla16[[#This Row],[Importe]]-Tabla16[[#This Row],[Pagado]]</f>
        <v>0</v>
      </c>
      <c r="H1288" s="38" t="s">
        <v>10</v>
      </c>
    </row>
    <row r="1289" spans="1:8" x14ac:dyDescent="0.25">
      <c r="A1289" s="31">
        <v>44693</v>
      </c>
      <c r="B1289" s="38" t="s">
        <v>15410</v>
      </c>
      <c r="C1289" s="38" t="s">
        <v>53</v>
      </c>
      <c r="D1289" s="34">
        <v>2152.8000000000002</v>
      </c>
      <c r="E1289" s="35">
        <v>44693</v>
      </c>
      <c r="F1289" s="34">
        <v>2152.8000000000002</v>
      </c>
      <c r="G1289" s="36">
        <f>Tabla16[[#This Row],[Importe]]-Tabla16[[#This Row],[Pagado]]</f>
        <v>0</v>
      </c>
      <c r="H1289" s="38" t="s">
        <v>10</v>
      </c>
    </row>
    <row r="1290" spans="1:8" x14ac:dyDescent="0.25">
      <c r="A1290" s="31">
        <v>44693</v>
      </c>
      <c r="B1290" s="38" t="s">
        <v>15411</v>
      </c>
      <c r="C1290" s="38" t="s">
        <v>181</v>
      </c>
      <c r="D1290" s="34">
        <v>11318</v>
      </c>
      <c r="E1290" s="35">
        <v>44693</v>
      </c>
      <c r="F1290" s="34">
        <v>11318</v>
      </c>
      <c r="G1290" s="36">
        <f>Tabla16[[#This Row],[Importe]]-Tabla16[[#This Row],[Pagado]]</f>
        <v>0</v>
      </c>
      <c r="H1290" s="38" t="s">
        <v>10</v>
      </c>
    </row>
    <row r="1291" spans="1:8" x14ac:dyDescent="0.25">
      <c r="A1291" s="31">
        <v>44693</v>
      </c>
      <c r="B1291" s="38" t="s">
        <v>15412</v>
      </c>
      <c r="C1291" s="38" t="s">
        <v>214</v>
      </c>
      <c r="D1291" s="34">
        <v>7983.9</v>
      </c>
      <c r="E1291" s="35">
        <v>44693</v>
      </c>
      <c r="F1291" s="34">
        <v>7983.9</v>
      </c>
      <c r="G1291" s="36">
        <f>Tabla16[[#This Row],[Importe]]-Tabla16[[#This Row],[Pagado]]</f>
        <v>0</v>
      </c>
      <c r="H1291" s="38" t="s">
        <v>10</v>
      </c>
    </row>
    <row r="1292" spans="1:8" x14ac:dyDescent="0.25">
      <c r="A1292" s="31">
        <v>44693</v>
      </c>
      <c r="B1292" s="38" t="s">
        <v>15413</v>
      </c>
      <c r="C1292" s="38" t="s">
        <v>200</v>
      </c>
      <c r="D1292" s="34">
        <v>924</v>
      </c>
      <c r="E1292" s="35">
        <v>44693</v>
      </c>
      <c r="F1292" s="34">
        <v>924</v>
      </c>
      <c r="G1292" s="36">
        <f>Tabla16[[#This Row],[Importe]]-Tabla16[[#This Row],[Pagado]]</f>
        <v>0</v>
      </c>
      <c r="H1292" s="38" t="s">
        <v>10</v>
      </c>
    </row>
    <row r="1293" spans="1:8" x14ac:dyDescent="0.25">
      <c r="A1293" s="31">
        <v>44693</v>
      </c>
      <c r="B1293" s="38" t="s">
        <v>15414</v>
      </c>
      <c r="C1293" s="38" t="s">
        <v>85</v>
      </c>
      <c r="D1293" s="34">
        <v>2772</v>
      </c>
      <c r="E1293" s="35">
        <v>44693</v>
      </c>
      <c r="F1293" s="34">
        <v>2772</v>
      </c>
      <c r="G1293" s="36">
        <f>Tabla16[[#This Row],[Importe]]-Tabla16[[#This Row],[Pagado]]</f>
        <v>0</v>
      </c>
      <c r="H1293" s="38" t="s">
        <v>10</v>
      </c>
    </row>
    <row r="1294" spans="1:8" x14ac:dyDescent="0.25">
      <c r="A1294" s="31">
        <v>44693</v>
      </c>
      <c r="B1294" s="38" t="s">
        <v>15415</v>
      </c>
      <c r="C1294" s="38" t="s">
        <v>312</v>
      </c>
      <c r="D1294" s="34">
        <v>4586.6000000000004</v>
      </c>
      <c r="E1294" s="35">
        <v>44693</v>
      </c>
      <c r="F1294" s="34">
        <v>4586.6000000000004</v>
      </c>
      <c r="G1294" s="36">
        <f>Tabla16[[#This Row],[Importe]]-Tabla16[[#This Row],[Pagado]]</f>
        <v>0</v>
      </c>
      <c r="H1294" s="38" t="s">
        <v>10</v>
      </c>
    </row>
    <row r="1295" spans="1:8" x14ac:dyDescent="0.25">
      <c r="A1295" s="31">
        <v>44693</v>
      </c>
      <c r="B1295" s="38" t="s">
        <v>15416</v>
      </c>
      <c r="C1295" s="38" t="s">
        <v>10190</v>
      </c>
      <c r="D1295" s="34">
        <v>15980.4</v>
      </c>
      <c r="E1295" s="35">
        <v>44693</v>
      </c>
      <c r="F1295" s="34">
        <v>15980.4</v>
      </c>
      <c r="G1295" s="36">
        <f>Tabla16[[#This Row],[Importe]]-Tabla16[[#This Row],[Pagado]]</f>
        <v>0</v>
      </c>
      <c r="H1295" s="38" t="s">
        <v>10</v>
      </c>
    </row>
    <row r="1296" spans="1:8" x14ac:dyDescent="0.25">
      <c r="A1296" s="31">
        <v>44693</v>
      </c>
      <c r="B1296" s="38" t="s">
        <v>15417</v>
      </c>
      <c r="C1296" s="38" t="s">
        <v>1064</v>
      </c>
      <c r="D1296" s="34">
        <v>207</v>
      </c>
      <c r="E1296" s="35">
        <v>44693</v>
      </c>
      <c r="F1296" s="34">
        <v>207</v>
      </c>
      <c r="G1296" s="36">
        <f>Tabla16[[#This Row],[Importe]]-Tabla16[[#This Row],[Pagado]]</f>
        <v>0</v>
      </c>
      <c r="H1296" s="38" t="s">
        <v>10</v>
      </c>
    </row>
    <row r="1297" spans="1:8" x14ac:dyDescent="0.25">
      <c r="A1297" s="31">
        <v>44693</v>
      </c>
      <c r="B1297" s="38" t="s">
        <v>15418</v>
      </c>
      <c r="C1297" s="38" t="s">
        <v>67</v>
      </c>
      <c r="D1297" s="34">
        <v>264</v>
      </c>
      <c r="E1297" s="35">
        <v>44693</v>
      </c>
      <c r="F1297" s="34">
        <v>264</v>
      </c>
      <c r="G1297" s="36">
        <f>Tabla16[[#This Row],[Importe]]-Tabla16[[#This Row],[Pagado]]</f>
        <v>0</v>
      </c>
      <c r="H1297" s="38" t="s">
        <v>10</v>
      </c>
    </row>
    <row r="1298" spans="1:8" x14ac:dyDescent="0.25">
      <c r="A1298" s="31">
        <v>44693</v>
      </c>
      <c r="B1298" s="38" t="s">
        <v>15419</v>
      </c>
      <c r="C1298" s="38" t="s">
        <v>1064</v>
      </c>
      <c r="D1298" s="34">
        <v>964.8</v>
      </c>
      <c r="E1298" s="35">
        <v>44693</v>
      </c>
      <c r="F1298" s="34">
        <v>964.8</v>
      </c>
      <c r="G1298" s="36">
        <f>Tabla16[[#This Row],[Importe]]-Tabla16[[#This Row],[Pagado]]</f>
        <v>0</v>
      </c>
      <c r="H1298" s="38" t="s">
        <v>10</v>
      </c>
    </row>
    <row r="1299" spans="1:8" x14ac:dyDescent="0.25">
      <c r="A1299" s="31">
        <v>44693</v>
      </c>
      <c r="B1299" s="38" t="s">
        <v>15420</v>
      </c>
      <c r="C1299" s="38" t="s">
        <v>107</v>
      </c>
      <c r="D1299" s="34">
        <v>4640.7</v>
      </c>
      <c r="E1299" s="35">
        <v>44693</v>
      </c>
      <c r="F1299" s="34">
        <v>4640.7</v>
      </c>
      <c r="G1299" s="36">
        <f>Tabla16[[#This Row],[Importe]]-Tabla16[[#This Row],[Pagado]]</f>
        <v>0</v>
      </c>
      <c r="H1299" s="38" t="s">
        <v>10</v>
      </c>
    </row>
    <row r="1300" spans="1:8" x14ac:dyDescent="0.25">
      <c r="A1300" s="31">
        <v>44693</v>
      </c>
      <c r="B1300" s="38" t="s">
        <v>15421</v>
      </c>
      <c r="C1300" s="38" t="s">
        <v>275</v>
      </c>
      <c r="D1300" s="34">
        <v>4085.45</v>
      </c>
      <c r="E1300" s="35">
        <v>44708</v>
      </c>
      <c r="F1300" s="34">
        <v>4085.45</v>
      </c>
      <c r="G1300" s="36">
        <f>Tabla16[[#This Row],[Importe]]-Tabla16[[#This Row],[Pagado]]</f>
        <v>0</v>
      </c>
      <c r="H1300" s="38" t="s">
        <v>10</v>
      </c>
    </row>
    <row r="1301" spans="1:8" x14ac:dyDescent="0.25">
      <c r="A1301" s="31">
        <v>44693</v>
      </c>
      <c r="B1301" s="38" t="s">
        <v>15422</v>
      </c>
      <c r="C1301" s="38" t="s">
        <v>214</v>
      </c>
      <c r="D1301" s="34">
        <v>1306.8</v>
      </c>
      <c r="E1301" s="35">
        <v>44693</v>
      </c>
      <c r="F1301" s="34">
        <v>1306.8</v>
      </c>
      <c r="G1301" s="36">
        <f>Tabla16[[#This Row],[Importe]]-Tabla16[[#This Row],[Pagado]]</f>
        <v>0</v>
      </c>
      <c r="H1301" s="38" t="s">
        <v>10</v>
      </c>
    </row>
    <row r="1302" spans="1:8" x14ac:dyDescent="0.25">
      <c r="A1302" s="31">
        <v>44693</v>
      </c>
      <c r="B1302" s="38" t="s">
        <v>15423</v>
      </c>
      <c r="C1302" s="38" t="s">
        <v>435</v>
      </c>
      <c r="D1302" s="34">
        <v>1696.8</v>
      </c>
      <c r="E1302" s="35">
        <v>44693</v>
      </c>
      <c r="F1302" s="34">
        <v>1696.8</v>
      </c>
      <c r="G1302" s="36">
        <f>Tabla16[[#This Row],[Importe]]-Tabla16[[#This Row],[Pagado]]</f>
        <v>0</v>
      </c>
      <c r="H1302" s="38" t="s">
        <v>10</v>
      </c>
    </row>
    <row r="1303" spans="1:8" x14ac:dyDescent="0.25">
      <c r="A1303" s="31">
        <v>44693</v>
      </c>
      <c r="B1303" s="38" t="s">
        <v>15424</v>
      </c>
      <c r="C1303" s="38" t="s">
        <v>71</v>
      </c>
      <c r="D1303" s="34">
        <v>618.79999999999995</v>
      </c>
      <c r="E1303" s="35">
        <v>44693</v>
      </c>
      <c r="F1303" s="34">
        <v>618.79999999999995</v>
      </c>
      <c r="G1303" s="36">
        <f>Tabla16[[#This Row],[Importe]]-Tabla16[[#This Row],[Pagado]]</f>
        <v>0</v>
      </c>
      <c r="H1303" s="38" t="s">
        <v>10</v>
      </c>
    </row>
    <row r="1304" spans="1:8" x14ac:dyDescent="0.25">
      <c r="A1304" s="31">
        <v>44693</v>
      </c>
      <c r="B1304" s="38" t="s">
        <v>15425</v>
      </c>
      <c r="C1304" s="38" t="s">
        <v>2151</v>
      </c>
      <c r="D1304" s="34">
        <v>2755.8</v>
      </c>
      <c r="E1304" s="35">
        <v>44693</v>
      </c>
      <c r="F1304" s="34">
        <v>2755.8</v>
      </c>
      <c r="G1304" s="36">
        <f>Tabla16[[#This Row],[Importe]]-Tabla16[[#This Row],[Pagado]]</f>
        <v>0</v>
      </c>
      <c r="H1304" s="38" t="s">
        <v>10</v>
      </c>
    </row>
    <row r="1305" spans="1:8" x14ac:dyDescent="0.25">
      <c r="A1305" s="31">
        <v>44693</v>
      </c>
      <c r="B1305" s="38" t="s">
        <v>15426</v>
      </c>
      <c r="C1305" s="38" t="s">
        <v>450</v>
      </c>
      <c r="D1305" s="34">
        <v>7200</v>
      </c>
      <c r="E1305" s="35">
        <v>44693</v>
      </c>
      <c r="F1305" s="34">
        <v>7200</v>
      </c>
      <c r="G1305" s="36">
        <f>Tabla16[[#This Row],[Importe]]-Tabla16[[#This Row],[Pagado]]</f>
        <v>0</v>
      </c>
      <c r="H1305" s="38" t="s">
        <v>10</v>
      </c>
    </row>
    <row r="1306" spans="1:8" x14ac:dyDescent="0.25">
      <c r="A1306" s="31">
        <v>44693</v>
      </c>
      <c r="B1306" s="38" t="s">
        <v>15427</v>
      </c>
      <c r="C1306" s="38" t="s">
        <v>284</v>
      </c>
      <c r="D1306" s="34">
        <v>10401.6</v>
      </c>
      <c r="E1306" s="35">
        <v>44694</v>
      </c>
      <c r="F1306" s="34">
        <v>10401.6</v>
      </c>
      <c r="G1306" s="36">
        <f>Tabla16[[#This Row],[Importe]]-Tabla16[[#This Row],[Pagado]]</f>
        <v>0</v>
      </c>
      <c r="H1306" s="38" t="s">
        <v>10</v>
      </c>
    </row>
    <row r="1307" spans="1:8" x14ac:dyDescent="0.25">
      <c r="A1307" s="31">
        <v>44693</v>
      </c>
      <c r="B1307" s="38" t="s">
        <v>15428</v>
      </c>
      <c r="C1307" s="38" t="s">
        <v>282</v>
      </c>
      <c r="D1307" s="34">
        <v>2026.2</v>
      </c>
      <c r="E1307" s="35">
        <v>44694</v>
      </c>
      <c r="F1307" s="34">
        <v>2026.2</v>
      </c>
      <c r="G1307" s="36">
        <f>Tabla16[[#This Row],[Importe]]-Tabla16[[#This Row],[Pagado]]</f>
        <v>0</v>
      </c>
      <c r="H1307" s="38" t="s">
        <v>10</v>
      </c>
    </row>
    <row r="1308" spans="1:8" x14ac:dyDescent="0.25">
      <c r="A1308" s="31">
        <v>44693</v>
      </c>
      <c r="B1308" s="38" t="s">
        <v>15429</v>
      </c>
      <c r="C1308" s="38" t="s">
        <v>280</v>
      </c>
      <c r="D1308" s="34">
        <v>1287</v>
      </c>
      <c r="E1308" s="35">
        <v>44694</v>
      </c>
      <c r="F1308" s="34">
        <v>1287</v>
      </c>
      <c r="G1308" s="36">
        <f>Tabla16[[#This Row],[Importe]]-Tabla16[[#This Row],[Pagado]]</f>
        <v>0</v>
      </c>
      <c r="H1308" s="38" t="s">
        <v>10</v>
      </c>
    </row>
    <row r="1309" spans="1:8" x14ac:dyDescent="0.25">
      <c r="A1309" s="31">
        <v>44693</v>
      </c>
      <c r="B1309" s="38" t="s">
        <v>15430</v>
      </c>
      <c r="C1309" s="38" t="s">
        <v>431</v>
      </c>
      <c r="D1309" s="34">
        <v>732.6</v>
      </c>
      <c r="E1309" s="35">
        <v>44694</v>
      </c>
      <c r="F1309" s="34">
        <v>732.6</v>
      </c>
      <c r="G1309" s="36">
        <f>Tabla16[[#This Row],[Importe]]-Tabla16[[#This Row],[Pagado]]</f>
        <v>0</v>
      </c>
      <c r="H1309" s="38" t="s">
        <v>10</v>
      </c>
    </row>
    <row r="1310" spans="1:8" x14ac:dyDescent="0.25">
      <c r="A1310" s="31">
        <v>44693</v>
      </c>
      <c r="B1310" s="38" t="s">
        <v>15431</v>
      </c>
      <c r="C1310" s="38" t="s">
        <v>368</v>
      </c>
      <c r="D1310" s="34">
        <v>2698.8</v>
      </c>
      <c r="E1310" s="35">
        <v>44694</v>
      </c>
      <c r="F1310" s="34">
        <v>2698.8</v>
      </c>
      <c r="G1310" s="36">
        <f>Tabla16[[#This Row],[Importe]]-Tabla16[[#This Row],[Pagado]]</f>
        <v>0</v>
      </c>
      <c r="H1310" s="38" t="s">
        <v>10</v>
      </c>
    </row>
    <row r="1311" spans="1:8" x14ac:dyDescent="0.25">
      <c r="A1311" s="31">
        <v>44693</v>
      </c>
      <c r="B1311" s="38" t="s">
        <v>15432</v>
      </c>
      <c r="C1311" s="38" t="s">
        <v>142</v>
      </c>
      <c r="D1311" s="34">
        <v>1128</v>
      </c>
      <c r="E1311" s="35">
        <v>44760</v>
      </c>
      <c r="F1311" s="34">
        <v>1128</v>
      </c>
      <c r="G1311" s="36">
        <f>Tabla16[[#This Row],[Importe]]-Tabla16[[#This Row],[Pagado]]</f>
        <v>0</v>
      </c>
      <c r="H1311" s="38" t="s">
        <v>10</v>
      </c>
    </row>
    <row r="1312" spans="1:8" x14ac:dyDescent="0.25">
      <c r="A1312" s="31">
        <v>44693</v>
      </c>
      <c r="B1312" s="38" t="s">
        <v>15433</v>
      </c>
      <c r="C1312" s="38" t="s">
        <v>53</v>
      </c>
      <c r="D1312" s="34">
        <v>2304.6</v>
      </c>
      <c r="E1312" s="35">
        <v>44693</v>
      </c>
      <c r="F1312" s="34">
        <v>2304.6</v>
      </c>
      <c r="G1312" s="36">
        <f>Tabla16[[#This Row],[Importe]]-Tabla16[[#This Row],[Pagado]]</f>
        <v>0</v>
      </c>
      <c r="H1312" s="38" t="s">
        <v>10</v>
      </c>
    </row>
    <row r="1313" spans="1:8" x14ac:dyDescent="0.25">
      <c r="A1313" s="31">
        <v>44693</v>
      </c>
      <c r="B1313" s="38" t="s">
        <v>15434</v>
      </c>
      <c r="C1313" s="38" t="s">
        <v>400</v>
      </c>
      <c r="D1313" s="34">
        <v>13479.4</v>
      </c>
      <c r="E1313" s="35">
        <v>44701</v>
      </c>
      <c r="F1313" s="34">
        <v>13479.4</v>
      </c>
      <c r="G1313" s="36">
        <f>Tabla16[[#This Row],[Importe]]-Tabla16[[#This Row],[Pagado]]</f>
        <v>0</v>
      </c>
      <c r="H1313" s="38" t="s">
        <v>10</v>
      </c>
    </row>
    <row r="1314" spans="1:8" x14ac:dyDescent="0.25">
      <c r="A1314" s="31">
        <v>44693</v>
      </c>
      <c r="B1314" s="38" t="s">
        <v>15435</v>
      </c>
      <c r="C1314" s="38" t="s">
        <v>402</v>
      </c>
      <c r="D1314" s="34">
        <v>11326</v>
      </c>
      <c r="E1314" s="35">
        <v>44701</v>
      </c>
      <c r="F1314" s="34">
        <v>11326</v>
      </c>
      <c r="G1314" s="36">
        <f>Tabla16[[#This Row],[Importe]]-Tabla16[[#This Row],[Pagado]]</f>
        <v>0</v>
      </c>
      <c r="H1314" s="38" t="s">
        <v>10</v>
      </c>
    </row>
    <row r="1315" spans="1:8" x14ac:dyDescent="0.25">
      <c r="A1315" s="31">
        <v>44693</v>
      </c>
      <c r="B1315" s="38" t="s">
        <v>15436</v>
      </c>
      <c r="C1315" s="38" t="s">
        <v>1008</v>
      </c>
      <c r="D1315" s="34">
        <v>3690.5</v>
      </c>
      <c r="E1315" s="35">
        <v>44693</v>
      </c>
      <c r="F1315" s="34">
        <v>3690.5</v>
      </c>
      <c r="G1315" s="36">
        <f>Tabla16[[#This Row],[Importe]]-Tabla16[[#This Row],[Pagado]]</f>
        <v>0</v>
      </c>
      <c r="H1315" s="38" t="s">
        <v>10</v>
      </c>
    </row>
    <row r="1316" spans="1:8" x14ac:dyDescent="0.25">
      <c r="A1316" s="31">
        <v>44693</v>
      </c>
      <c r="B1316" s="38" t="s">
        <v>15437</v>
      </c>
      <c r="C1316" s="38" t="s">
        <v>15438</v>
      </c>
      <c r="D1316" s="34">
        <v>0</v>
      </c>
      <c r="E1316" s="39" t="s">
        <v>189</v>
      </c>
      <c r="F1316" s="34">
        <v>0</v>
      </c>
      <c r="G1316" s="36">
        <f>Tabla16[[#This Row],[Importe]]-Tabla16[[#This Row],[Pagado]]</f>
        <v>0</v>
      </c>
      <c r="H1316" s="38" t="s">
        <v>189</v>
      </c>
    </row>
    <row r="1317" spans="1:8" x14ac:dyDescent="0.25">
      <c r="A1317" s="31">
        <v>44693</v>
      </c>
      <c r="B1317" s="38" t="s">
        <v>15439</v>
      </c>
      <c r="C1317" s="38" t="s">
        <v>89</v>
      </c>
      <c r="D1317" s="34">
        <v>639.20000000000005</v>
      </c>
      <c r="E1317" s="35">
        <v>44693</v>
      </c>
      <c r="F1317" s="34">
        <v>639.20000000000005</v>
      </c>
      <c r="G1317" s="36">
        <f>Tabla16[[#This Row],[Importe]]-Tabla16[[#This Row],[Pagado]]</f>
        <v>0</v>
      </c>
      <c r="H1317" s="38" t="s">
        <v>10</v>
      </c>
    </row>
    <row r="1318" spans="1:8" x14ac:dyDescent="0.25">
      <c r="A1318" s="31">
        <v>44693</v>
      </c>
      <c r="B1318" s="38" t="s">
        <v>15440</v>
      </c>
      <c r="C1318" s="38" t="s">
        <v>22</v>
      </c>
      <c r="D1318" s="34">
        <v>3911.4</v>
      </c>
      <c r="E1318" s="35">
        <v>44693</v>
      </c>
      <c r="F1318" s="34">
        <v>3911.4</v>
      </c>
      <c r="G1318" s="36">
        <f>Tabla16[[#This Row],[Importe]]-Tabla16[[#This Row],[Pagado]]</f>
        <v>0</v>
      </c>
      <c r="H1318" s="38" t="s">
        <v>10</v>
      </c>
    </row>
    <row r="1319" spans="1:8" x14ac:dyDescent="0.25">
      <c r="A1319" s="31">
        <v>44693</v>
      </c>
      <c r="B1319" s="38" t="s">
        <v>15441</v>
      </c>
      <c r="C1319" s="38" t="s">
        <v>196</v>
      </c>
      <c r="D1319" s="34">
        <v>35804.199999999997</v>
      </c>
      <c r="E1319" s="35">
        <v>44694</v>
      </c>
      <c r="F1319" s="34">
        <v>35804.199999999997</v>
      </c>
      <c r="G1319" s="36">
        <f>Tabla16[[#This Row],[Importe]]-Tabla16[[#This Row],[Pagado]]</f>
        <v>0</v>
      </c>
      <c r="H1319" s="38" t="s">
        <v>10</v>
      </c>
    </row>
    <row r="1320" spans="1:8" x14ac:dyDescent="0.25">
      <c r="A1320" s="31">
        <v>44693</v>
      </c>
      <c r="B1320" s="38" t="s">
        <v>15442</v>
      </c>
      <c r="C1320" s="38" t="s">
        <v>31</v>
      </c>
      <c r="D1320" s="34">
        <v>3080.5</v>
      </c>
      <c r="E1320" s="35">
        <v>44693</v>
      </c>
      <c r="F1320" s="34">
        <v>3080.5</v>
      </c>
      <c r="G1320" s="36">
        <f>Tabla16[[#This Row],[Importe]]-Tabla16[[#This Row],[Pagado]]</f>
        <v>0</v>
      </c>
      <c r="H1320" s="38" t="s">
        <v>10</v>
      </c>
    </row>
    <row r="1321" spans="1:8" x14ac:dyDescent="0.25">
      <c r="A1321" s="31">
        <v>44693</v>
      </c>
      <c r="B1321" s="38" t="s">
        <v>15443</v>
      </c>
      <c r="C1321" s="38" t="s">
        <v>5694</v>
      </c>
      <c r="D1321" s="34">
        <v>3678.8</v>
      </c>
      <c r="E1321" s="35">
        <v>44693</v>
      </c>
      <c r="F1321" s="34">
        <v>3678.8</v>
      </c>
      <c r="G1321" s="36">
        <f>Tabla16[[#This Row],[Importe]]-Tabla16[[#This Row],[Pagado]]</f>
        <v>0</v>
      </c>
      <c r="H1321" s="38" t="s">
        <v>10</v>
      </c>
    </row>
    <row r="1322" spans="1:8" x14ac:dyDescent="0.25">
      <c r="A1322" s="31">
        <v>44693</v>
      </c>
      <c r="B1322" s="38" t="s">
        <v>15444</v>
      </c>
      <c r="C1322" s="38" t="s">
        <v>296</v>
      </c>
      <c r="D1322" s="34">
        <v>1980.3</v>
      </c>
      <c r="E1322" s="35">
        <v>44693</v>
      </c>
      <c r="F1322" s="34">
        <v>1980.3</v>
      </c>
      <c r="G1322" s="36">
        <f>Tabla16[[#This Row],[Importe]]-Tabla16[[#This Row],[Pagado]]</f>
        <v>0</v>
      </c>
      <c r="H1322" s="38" t="s">
        <v>10</v>
      </c>
    </row>
    <row r="1323" spans="1:8" x14ac:dyDescent="0.25">
      <c r="A1323" s="31">
        <v>44693</v>
      </c>
      <c r="B1323" s="38" t="s">
        <v>15445</v>
      </c>
      <c r="C1323" s="38" t="s">
        <v>414</v>
      </c>
      <c r="D1323" s="34">
        <v>1640</v>
      </c>
      <c r="E1323" s="35">
        <v>44704</v>
      </c>
      <c r="F1323" s="34">
        <v>1640</v>
      </c>
      <c r="G1323" s="36">
        <f>Tabla16[[#This Row],[Importe]]-Tabla16[[#This Row],[Pagado]]</f>
        <v>0</v>
      </c>
      <c r="H1323" s="38" t="s">
        <v>10</v>
      </c>
    </row>
    <row r="1324" spans="1:8" x14ac:dyDescent="0.25">
      <c r="A1324" s="31">
        <v>44693</v>
      </c>
      <c r="B1324" s="38" t="s">
        <v>15446</v>
      </c>
      <c r="C1324" s="38" t="s">
        <v>296</v>
      </c>
      <c r="D1324" s="34">
        <v>2285.1999999999998</v>
      </c>
      <c r="E1324" s="35">
        <v>44693</v>
      </c>
      <c r="F1324" s="34">
        <v>2285.1999999999998</v>
      </c>
      <c r="G1324" s="36">
        <f>Tabla16[[#This Row],[Importe]]-Tabla16[[#This Row],[Pagado]]</f>
        <v>0</v>
      </c>
      <c r="H1324" s="38" t="s">
        <v>10</v>
      </c>
    </row>
    <row r="1325" spans="1:8" x14ac:dyDescent="0.25">
      <c r="A1325" s="31">
        <v>44693</v>
      </c>
      <c r="B1325" s="38" t="s">
        <v>15447</v>
      </c>
      <c r="C1325" s="38" t="s">
        <v>291</v>
      </c>
      <c r="D1325" s="34">
        <v>2116</v>
      </c>
      <c r="E1325" s="35">
        <v>44694</v>
      </c>
      <c r="F1325" s="34">
        <v>2116</v>
      </c>
      <c r="G1325" s="36">
        <f>Tabla16[[#This Row],[Importe]]-Tabla16[[#This Row],[Pagado]]</f>
        <v>0</v>
      </c>
      <c r="H1325" s="38" t="s">
        <v>10</v>
      </c>
    </row>
    <row r="1326" spans="1:8" x14ac:dyDescent="0.25">
      <c r="A1326" s="31">
        <v>44693</v>
      </c>
      <c r="B1326" s="38" t="s">
        <v>15448</v>
      </c>
      <c r="C1326" s="38" t="s">
        <v>15449</v>
      </c>
      <c r="D1326" s="34">
        <v>1003.2</v>
      </c>
      <c r="E1326" s="35">
        <v>44693</v>
      </c>
      <c r="F1326" s="34">
        <v>1003.2</v>
      </c>
      <c r="G1326" s="36">
        <f>Tabla16[[#This Row],[Importe]]-Tabla16[[#This Row],[Pagado]]</f>
        <v>0</v>
      </c>
      <c r="H1326" s="38" t="s">
        <v>10</v>
      </c>
    </row>
    <row r="1327" spans="1:8" x14ac:dyDescent="0.25">
      <c r="A1327" s="31">
        <v>44693</v>
      </c>
      <c r="B1327" s="38" t="s">
        <v>15450</v>
      </c>
      <c r="C1327" s="38" t="s">
        <v>2961</v>
      </c>
      <c r="D1327" s="34">
        <v>68082</v>
      </c>
      <c r="E1327" s="35">
        <v>44697</v>
      </c>
      <c r="F1327" s="34">
        <v>68082</v>
      </c>
      <c r="G1327" s="36">
        <f>Tabla16[[#This Row],[Importe]]-Tabla16[[#This Row],[Pagado]]</f>
        <v>0</v>
      </c>
      <c r="H1327" s="38" t="s">
        <v>10</v>
      </c>
    </row>
    <row r="1328" spans="1:8" x14ac:dyDescent="0.25">
      <c r="A1328" s="31">
        <v>44693</v>
      </c>
      <c r="B1328" s="38" t="s">
        <v>15451</v>
      </c>
      <c r="C1328" s="38" t="s">
        <v>15452</v>
      </c>
      <c r="D1328" s="34">
        <v>0</v>
      </c>
      <c r="E1328" s="39" t="s">
        <v>189</v>
      </c>
      <c r="F1328" s="34">
        <v>0</v>
      </c>
      <c r="G1328" s="36">
        <f>Tabla16[[#This Row],[Importe]]-Tabla16[[#This Row],[Pagado]]</f>
        <v>0</v>
      </c>
      <c r="H1328" s="38" t="s">
        <v>189</v>
      </c>
    </row>
    <row r="1329" spans="1:8" x14ac:dyDescent="0.25">
      <c r="A1329" s="31">
        <v>44693</v>
      </c>
      <c r="B1329" s="38" t="s">
        <v>15453</v>
      </c>
      <c r="C1329" s="38" t="s">
        <v>729</v>
      </c>
      <c r="D1329" s="34">
        <v>24050.6</v>
      </c>
      <c r="E1329" s="35">
        <v>44694</v>
      </c>
      <c r="F1329" s="34">
        <v>24050.6</v>
      </c>
      <c r="G1329" s="36">
        <f>Tabla16[[#This Row],[Importe]]-Tabla16[[#This Row],[Pagado]]</f>
        <v>0</v>
      </c>
      <c r="H1329" s="38" t="s">
        <v>10</v>
      </c>
    </row>
    <row r="1330" spans="1:8" x14ac:dyDescent="0.25">
      <c r="A1330" s="31">
        <v>44694</v>
      </c>
      <c r="B1330" s="38" t="s">
        <v>15454</v>
      </c>
      <c r="C1330" s="38" t="s">
        <v>475</v>
      </c>
      <c r="D1330" s="34">
        <v>57514.400000000001</v>
      </c>
      <c r="E1330" s="35">
        <v>44695</v>
      </c>
      <c r="F1330" s="34">
        <v>57514.400000000001</v>
      </c>
      <c r="G1330" s="36">
        <f>Tabla16[[#This Row],[Importe]]-Tabla16[[#This Row],[Pagado]]</f>
        <v>0</v>
      </c>
      <c r="H1330" s="38" t="s">
        <v>10</v>
      </c>
    </row>
    <row r="1331" spans="1:8" x14ac:dyDescent="0.25">
      <c r="A1331" s="31">
        <v>44694</v>
      </c>
      <c r="B1331" s="38" t="s">
        <v>15455</v>
      </c>
      <c r="C1331" s="38" t="s">
        <v>60</v>
      </c>
      <c r="D1331" s="34">
        <v>4807.1000000000004</v>
      </c>
      <c r="E1331" s="35">
        <v>44697</v>
      </c>
      <c r="F1331" s="34">
        <v>4807.1000000000004</v>
      </c>
      <c r="G1331" s="36">
        <f>Tabla16[[#This Row],[Importe]]-Tabla16[[#This Row],[Pagado]]</f>
        <v>0</v>
      </c>
      <c r="H1331" s="38" t="s">
        <v>10</v>
      </c>
    </row>
    <row r="1332" spans="1:8" x14ac:dyDescent="0.25">
      <c r="A1332" s="31">
        <v>44694</v>
      </c>
      <c r="B1332" s="38" t="s">
        <v>15456</v>
      </c>
      <c r="C1332" s="38" t="s">
        <v>326</v>
      </c>
      <c r="D1332" s="34">
        <v>4625.7</v>
      </c>
      <c r="E1332" s="35">
        <v>44695</v>
      </c>
      <c r="F1332" s="34">
        <v>4625.7</v>
      </c>
      <c r="G1332" s="36">
        <f>Tabla16[[#This Row],[Importe]]-Tabla16[[#This Row],[Pagado]]</f>
        <v>0</v>
      </c>
      <c r="H1332" s="38" t="s">
        <v>10</v>
      </c>
    </row>
    <row r="1333" spans="1:8" x14ac:dyDescent="0.25">
      <c r="A1333" s="31">
        <v>44694</v>
      </c>
      <c r="B1333" s="38" t="s">
        <v>15457</v>
      </c>
      <c r="C1333" s="38" t="s">
        <v>109</v>
      </c>
      <c r="D1333" s="34">
        <v>4182</v>
      </c>
      <c r="E1333" s="35">
        <v>44695</v>
      </c>
      <c r="F1333" s="34">
        <v>4182</v>
      </c>
      <c r="G1333" s="36">
        <f>Tabla16[[#This Row],[Importe]]-Tabla16[[#This Row],[Pagado]]</f>
        <v>0</v>
      </c>
      <c r="H1333" s="38" t="s">
        <v>10</v>
      </c>
    </row>
    <row r="1334" spans="1:8" x14ac:dyDescent="0.25">
      <c r="A1334" s="31">
        <v>44694</v>
      </c>
      <c r="B1334" s="38" t="s">
        <v>15458</v>
      </c>
      <c r="C1334" s="38" t="s">
        <v>116</v>
      </c>
      <c r="D1334" s="34">
        <v>4277.1000000000004</v>
      </c>
      <c r="E1334" s="35">
        <v>44698</v>
      </c>
      <c r="F1334" s="34">
        <v>4277.1000000000004</v>
      </c>
      <c r="G1334" s="36">
        <f>Tabla16[[#This Row],[Importe]]-Tabla16[[#This Row],[Pagado]]</f>
        <v>0</v>
      </c>
      <c r="H1334" s="38" t="s">
        <v>10</v>
      </c>
    </row>
    <row r="1335" spans="1:8" x14ac:dyDescent="0.25">
      <c r="A1335" s="31">
        <v>44694</v>
      </c>
      <c r="B1335" s="38" t="s">
        <v>15459</v>
      </c>
      <c r="C1335" s="38" t="s">
        <v>64</v>
      </c>
      <c r="D1335" s="34">
        <v>12736.9</v>
      </c>
      <c r="E1335" s="35">
        <v>44695</v>
      </c>
      <c r="F1335" s="34">
        <v>12736.9</v>
      </c>
      <c r="G1335" s="36">
        <f>Tabla16[[#This Row],[Importe]]-Tabla16[[#This Row],[Pagado]]</f>
        <v>0</v>
      </c>
      <c r="H1335" s="38" t="s">
        <v>10</v>
      </c>
    </row>
    <row r="1336" spans="1:8" x14ac:dyDescent="0.25">
      <c r="A1336" s="31">
        <v>44694</v>
      </c>
      <c r="B1336" s="38" t="s">
        <v>15460</v>
      </c>
      <c r="C1336" s="38" t="s">
        <v>114</v>
      </c>
      <c r="D1336" s="34">
        <v>5161.2</v>
      </c>
      <c r="E1336" s="35">
        <v>44695</v>
      </c>
      <c r="F1336" s="34">
        <v>5161.2</v>
      </c>
      <c r="G1336" s="36">
        <f>Tabla16[[#This Row],[Importe]]-Tabla16[[#This Row],[Pagado]]</f>
        <v>0</v>
      </c>
      <c r="H1336" s="38" t="s">
        <v>10</v>
      </c>
    </row>
    <row r="1337" spans="1:8" x14ac:dyDescent="0.25">
      <c r="A1337" s="31">
        <v>44694</v>
      </c>
      <c r="B1337" s="38" t="s">
        <v>15461</v>
      </c>
      <c r="C1337" s="38" t="s">
        <v>97</v>
      </c>
      <c r="D1337" s="34">
        <v>11534.2</v>
      </c>
      <c r="E1337" s="35">
        <v>44695</v>
      </c>
      <c r="F1337" s="34">
        <v>11534.2</v>
      </c>
      <c r="G1337" s="36">
        <f>Tabla16[[#This Row],[Importe]]-Tabla16[[#This Row],[Pagado]]</f>
        <v>0</v>
      </c>
      <c r="H1337" s="38" t="s">
        <v>10</v>
      </c>
    </row>
    <row r="1338" spans="1:8" x14ac:dyDescent="0.25">
      <c r="A1338" s="31">
        <v>44694</v>
      </c>
      <c r="B1338" s="38" t="s">
        <v>15462</v>
      </c>
      <c r="C1338" s="38" t="s">
        <v>99</v>
      </c>
      <c r="D1338" s="34">
        <v>1901.4</v>
      </c>
      <c r="E1338" s="35">
        <v>44695</v>
      </c>
      <c r="F1338" s="34">
        <v>1901.4</v>
      </c>
      <c r="G1338" s="36">
        <f>Tabla16[[#This Row],[Importe]]-Tabla16[[#This Row],[Pagado]]</f>
        <v>0</v>
      </c>
      <c r="H1338" s="38" t="s">
        <v>10</v>
      </c>
    </row>
    <row r="1339" spans="1:8" x14ac:dyDescent="0.25">
      <c r="A1339" s="31">
        <v>44694</v>
      </c>
      <c r="B1339" s="38" t="s">
        <v>15463</v>
      </c>
      <c r="C1339" s="38" t="s">
        <v>2151</v>
      </c>
      <c r="D1339" s="34">
        <v>23990.400000000001</v>
      </c>
      <c r="E1339" s="35">
        <v>44694</v>
      </c>
      <c r="F1339" s="34">
        <v>23990.400000000001</v>
      </c>
      <c r="G1339" s="36">
        <f>Tabla16[[#This Row],[Importe]]-Tabla16[[#This Row],[Pagado]]</f>
        <v>0</v>
      </c>
      <c r="H1339" s="38" t="s">
        <v>10</v>
      </c>
    </row>
    <row r="1340" spans="1:8" ht="31.5" x14ac:dyDescent="0.25">
      <c r="A1340" s="31">
        <v>44694</v>
      </c>
      <c r="B1340" s="38" t="s">
        <v>15464</v>
      </c>
      <c r="C1340" s="38" t="s">
        <v>39</v>
      </c>
      <c r="D1340" s="34">
        <v>19579.2</v>
      </c>
      <c r="E1340" s="35" t="s">
        <v>15465</v>
      </c>
      <c r="F1340" s="34">
        <f>5000+14579.2</f>
        <v>19579.2</v>
      </c>
      <c r="G1340" s="36">
        <f>Tabla16[[#This Row],[Importe]]-Tabla16[[#This Row],[Pagado]]</f>
        <v>0</v>
      </c>
      <c r="H1340" s="38" t="s">
        <v>10</v>
      </c>
    </row>
    <row r="1341" spans="1:8" x14ac:dyDescent="0.25">
      <c r="A1341" s="31">
        <v>44694</v>
      </c>
      <c r="B1341" s="38" t="s">
        <v>15466</v>
      </c>
      <c r="C1341" s="38" t="s">
        <v>93</v>
      </c>
      <c r="D1341" s="34">
        <v>9090.7999999999993</v>
      </c>
      <c r="E1341" s="35">
        <v>44695</v>
      </c>
      <c r="F1341" s="34">
        <v>9090.7999999999993</v>
      </c>
      <c r="G1341" s="36">
        <f>Tabla16[[#This Row],[Importe]]-Tabla16[[#This Row],[Pagado]]</f>
        <v>0</v>
      </c>
      <c r="H1341" s="38" t="s">
        <v>10</v>
      </c>
    </row>
    <row r="1342" spans="1:8" x14ac:dyDescent="0.25">
      <c r="A1342" s="31">
        <v>44694</v>
      </c>
      <c r="B1342" s="38" t="s">
        <v>15467</v>
      </c>
      <c r="C1342" s="38" t="s">
        <v>481</v>
      </c>
      <c r="D1342" s="34">
        <v>329.6</v>
      </c>
      <c r="E1342" s="35">
        <v>44694</v>
      </c>
      <c r="F1342" s="34">
        <v>329.6</v>
      </c>
      <c r="G1342" s="36">
        <f>Tabla16[[#This Row],[Importe]]-Tabla16[[#This Row],[Pagado]]</f>
        <v>0</v>
      </c>
      <c r="H1342" s="38" t="s">
        <v>10</v>
      </c>
    </row>
    <row r="1343" spans="1:8" x14ac:dyDescent="0.25">
      <c r="A1343" s="31">
        <v>44694</v>
      </c>
      <c r="B1343" s="38" t="s">
        <v>15468</v>
      </c>
      <c r="C1343" s="38" t="s">
        <v>105</v>
      </c>
      <c r="D1343" s="34">
        <v>12022.4</v>
      </c>
      <c r="E1343" s="35">
        <v>44697</v>
      </c>
      <c r="F1343" s="34">
        <v>12022.4</v>
      </c>
      <c r="G1343" s="36">
        <f>Tabla16[[#This Row],[Importe]]-Tabla16[[#This Row],[Pagado]]</f>
        <v>0</v>
      </c>
      <c r="H1343" s="38" t="s">
        <v>10</v>
      </c>
    </row>
    <row r="1344" spans="1:8" x14ac:dyDescent="0.25">
      <c r="A1344" s="31">
        <v>44694</v>
      </c>
      <c r="B1344" s="38" t="s">
        <v>15469</v>
      </c>
      <c r="C1344" s="38" t="s">
        <v>111</v>
      </c>
      <c r="D1344" s="34">
        <v>4380.8999999999996</v>
      </c>
      <c r="E1344" s="35">
        <v>44695</v>
      </c>
      <c r="F1344" s="34">
        <v>4380.8999999999996</v>
      </c>
      <c r="G1344" s="36">
        <f>Tabla16[[#This Row],[Importe]]-Tabla16[[#This Row],[Pagado]]</f>
        <v>0</v>
      </c>
      <c r="H1344" s="38" t="s">
        <v>10</v>
      </c>
    </row>
    <row r="1345" spans="1:8" x14ac:dyDescent="0.25">
      <c r="A1345" s="31">
        <v>44694</v>
      </c>
      <c r="B1345" s="38" t="s">
        <v>15470</v>
      </c>
      <c r="C1345" s="38" t="s">
        <v>89</v>
      </c>
      <c r="D1345" s="34">
        <v>6104.7</v>
      </c>
      <c r="E1345" s="35">
        <v>44695</v>
      </c>
      <c r="F1345" s="34">
        <v>6104.7</v>
      </c>
      <c r="G1345" s="36">
        <f>Tabla16[[#This Row],[Importe]]-Tabla16[[#This Row],[Pagado]]</f>
        <v>0</v>
      </c>
      <c r="H1345" s="38" t="s">
        <v>10</v>
      </c>
    </row>
    <row r="1346" spans="1:8" x14ac:dyDescent="0.25">
      <c r="A1346" s="31">
        <v>44694</v>
      </c>
      <c r="B1346" s="38" t="s">
        <v>15471</v>
      </c>
      <c r="C1346" s="38" t="s">
        <v>12</v>
      </c>
      <c r="D1346" s="34">
        <v>43504.7</v>
      </c>
      <c r="E1346" s="35">
        <v>44694</v>
      </c>
      <c r="F1346" s="34">
        <v>43504.7</v>
      </c>
      <c r="G1346" s="36">
        <f>Tabla16[[#This Row],[Importe]]-Tabla16[[#This Row],[Pagado]]</f>
        <v>0</v>
      </c>
      <c r="H1346" s="38" t="s">
        <v>10</v>
      </c>
    </row>
    <row r="1347" spans="1:8" x14ac:dyDescent="0.25">
      <c r="A1347" s="31">
        <v>44694</v>
      </c>
      <c r="B1347" s="38" t="s">
        <v>15472</v>
      </c>
      <c r="C1347" s="38" t="s">
        <v>85</v>
      </c>
      <c r="D1347" s="34">
        <v>3456.8</v>
      </c>
      <c r="E1347" s="35">
        <v>44694</v>
      </c>
      <c r="F1347" s="34">
        <v>3456.8</v>
      </c>
      <c r="G1347" s="36">
        <f>Tabla16[[#This Row],[Importe]]-Tabla16[[#This Row],[Pagado]]</f>
        <v>0</v>
      </c>
      <c r="H1347" s="38" t="s">
        <v>10</v>
      </c>
    </row>
    <row r="1348" spans="1:8" x14ac:dyDescent="0.25">
      <c r="A1348" s="31">
        <v>44694</v>
      </c>
      <c r="B1348" s="38" t="s">
        <v>15473</v>
      </c>
      <c r="C1348" s="38" t="s">
        <v>83</v>
      </c>
      <c r="D1348" s="34">
        <v>8622</v>
      </c>
      <c r="E1348" s="35">
        <v>44694</v>
      </c>
      <c r="F1348" s="34">
        <v>8622</v>
      </c>
      <c r="G1348" s="36">
        <f>Tabla16[[#This Row],[Importe]]-Tabla16[[#This Row],[Pagado]]</f>
        <v>0</v>
      </c>
      <c r="H1348" s="38" t="s">
        <v>10</v>
      </c>
    </row>
    <row r="1349" spans="1:8" x14ac:dyDescent="0.25">
      <c r="A1349" s="31">
        <v>44694</v>
      </c>
      <c r="B1349" s="38" t="s">
        <v>15474</v>
      </c>
      <c r="C1349" s="38" t="s">
        <v>9</v>
      </c>
      <c r="D1349" s="34">
        <v>5031.3</v>
      </c>
      <c r="E1349" s="35">
        <v>44694</v>
      </c>
      <c r="F1349" s="34">
        <v>5031.3</v>
      </c>
      <c r="G1349" s="36">
        <f>Tabla16[[#This Row],[Importe]]-Tabla16[[#This Row],[Pagado]]</f>
        <v>0</v>
      </c>
      <c r="H1349" s="38" t="s">
        <v>10</v>
      </c>
    </row>
    <row r="1350" spans="1:8" x14ac:dyDescent="0.25">
      <c r="A1350" s="31">
        <v>44694</v>
      </c>
      <c r="B1350" s="38" t="s">
        <v>15475</v>
      </c>
      <c r="C1350" s="38" t="s">
        <v>83</v>
      </c>
      <c r="D1350" s="34">
        <v>1247.8</v>
      </c>
      <c r="E1350" s="35">
        <v>44694</v>
      </c>
      <c r="F1350" s="34">
        <v>1247.8</v>
      </c>
      <c r="G1350" s="36">
        <f>Tabla16[[#This Row],[Importe]]-Tabla16[[#This Row],[Pagado]]</f>
        <v>0</v>
      </c>
      <c r="H1350" s="38" t="s">
        <v>10</v>
      </c>
    </row>
    <row r="1351" spans="1:8" ht="31.5" x14ac:dyDescent="0.25">
      <c r="A1351" s="31">
        <v>44694</v>
      </c>
      <c r="B1351" s="38" t="s">
        <v>15476</v>
      </c>
      <c r="C1351" s="38" t="s">
        <v>22</v>
      </c>
      <c r="D1351" s="34">
        <v>54579.3</v>
      </c>
      <c r="E1351" s="35" t="s">
        <v>15477</v>
      </c>
      <c r="F1351" s="34">
        <f>37000+17579.3</f>
        <v>54579.3</v>
      </c>
      <c r="G1351" s="36">
        <f>Tabla16[[#This Row],[Importe]]-Tabla16[[#This Row],[Pagado]]</f>
        <v>0</v>
      </c>
      <c r="H1351" s="38" t="s">
        <v>10</v>
      </c>
    </row>
    <row r="1352" spans="1:8" x14ac:dyDescent="0.25">
      <c r="A1352" s="31">
        <v>44694</v>
      </c>
      <c r="B1352" s="38" t="s">
        <v>15478</v>
      </c>
      <c r="C1352" s="38" t="s">
        <v>31</v>
      </c>
      <c r="D1352" s="34">
        <v>372</v>
      </c>
      <c r="E1352" s="35">
        <v>44694</v>
      </c>
      <c r="F1352" s="34">
        <v>372</v>
      </c>
      <c r="G1352" s="36">
        <f>Tabla16[[#This Row],[Importe]]-Tabla16[[#This Row],[Pagado]]</f>
        <v>0</v>
      </c>
      <c r="H1352" s="38" t="s">
        <v>10</v>
      </c>
    </row>
    <row r="1353" spans="1:8" x14ac:dyDescent="0.25">
      <c r="A1353" s="31">
        <v>44694</v>
      </c>
      <c r="B1353" s="38" t="s">
        <v>15479</v>
      </c>
      <c r="C1353" s="38" t="s">
        <v>154</v>
      </c>
      <c r="D1353" s="34">
        <v>57335.5</v>
      </c>
      <c r="E1353" s="35">
        <v>44699</v>
      </c>
      <c r="F1353" s="34">
        <v>57335.5</v>
      </c>
      <c r="G1353" s="36">
        <f>Tabla16[[#This Row],[Importe]]-Tabla16[[#This Row],[Pagado]]</f>
        <v>0</v>
      </c>
      <c r="H1353" s="38" t="s">
        <v>10</v>
      </c>
    </row>
    <row r="1354" spans="1:8" x14ac:dyDescent="0.25">
      <c r="A1354" s="31">
        <v>44694</v>
      </c>
      <c r="B1354" s="38" t="s">
        <v>15480</v>
      </c>
      <c r="C1354" s="38" t="s">
        <v>212</v>
      </c>
      <c r="D1354" s="34">
        <v>56791</v>
      </c>
      <c r="E1354" s="35">
        <v>44698</v>
      </c>
      <c r="F1354" s="34">
        <v>56791</v>
      </c>
      <c r="G1354" s="36">
        <f>Tabla16[[#This Row],[Importe]]-Tabla16[[#This Row],[Pagado]]</f>
        <v>0</v>
      </c>
      <c r="H1354" s="38" t="s">
        <v>10</v>
      </c>
    </row>
    <row r="1355" spans="1:8" x14ac:dyDescent="0.25">
      <c r="A1355" s="31">
        <v>44694</v>
      </c>
      <c r="B1355" s="38" t="s">
        <v>15481</v>
      </c>
      <c r="C1355" s="38" t="s">
        <v>15482</v>
      </c>
      <c r="D1355" s="34">
        <v>0</v>
      </c>
      <c r="E1355" s="39" t="s">
        <v>189</v>
      </c>
      <c r="F1355" s="34">
        <v>0</v>
      </c>
      <c r="G1355" s="36">
        <f>Tabla16[[#This Row],[Importe]]-Tabla16[[#This Row],[Pagado]]</f>
        <v>0</v>
      </c>
      <c r="H1355" s="38" t="s">
        <v>189</v>
      </c>
    </row>
    <row r="1356" spans="1:8" x14ac:dyDescent="0.25">
      <c r="A1356" s="31">
        <v>44694</v>
      </c>
      <c r="B1356" s="38" t="s">
        <v>15483</v>
      </c>
      <c r="C1356" s="38" t="s">
        <v>1362</v>
      </c>
      <c r="D1356" s="34">
        <v>8512.7999999999993</v>
      </c>
      <c r="E1356" s="35">
        <v>44694</v>
      </c>
      <c r="F1356" s="34">
        <v>8512.7999999999993</v>
      </c>
      <c r="G1356" s="36">
        <f>Tabla16[[#This Row],[Importe]]-Tabla16[[#This Row],[Pagado]]</f>
        <v>0</v>
      </c>
      <c r="H1356" s="38" t="s">
        <v>10</v>
      </c>
    </row>
    <row r="1357" spans="1:8" x14ac:dyDescent="0.25">
      <c r="A1357" s="31">
        <v>44694</v>
      </c>
      <c r="B1357" s="38" t="s">
        <v>15484</v>
      </c>
      <c r="C1357" s="38" t="s">
        <v>212</v>
      </c>
      <c r="D1357" s="34">
        <v>6974.5</v>
      </c>
      <c r="E1357" s="35">
        <v>44698</v>
      </c>
      <c r="F1357" s="34">
        <v>6974.5</v>
      </c>
      <c r="G1357" s="36">
        <f>Tabla16[[#This Row],[Importe]]-Tabla16[[#This Row],[Pagado]]</f>
        <v>0</v>
      </c>
      <c r="H1357" s="38" t="s">
        <v>10</v>
      </c>
    </row>
    <row r="1358" spans="1:8" x14ac:dyDescent="0.25">
      <c r="A1358" s="31">
        <v>44694</v>
      </c>
      <c r="B1358" s="38" t="s">
        <v>15485</v>
      </c>
      <c r="C1358" s="38" t="s">
        <v>206</v>
      </c>
      <c r="D1358" s="34">
        <v>40236.199999999997</v>
      </c>
      <c r="E1358" s="35">
        <v>44700</v>
      </c>
      <c r="F1358" s="34">
        <v>40236.199999999997</v>
      </c>
      <c r="G1358" s="36">
        <f>Tabla16[[#This Row],[Importe]]-Tabla16[[#This Row],[Pagado]]</f>
        <v>0</v>
      </c>
      <c r="H1358" s="38" t="s">
        <v>10</v>
      </c>
    </row>
    <row r="1359" spans="1:8" x14ac:dyDescent="0.25">
      <c r="A1359" s="31">
        <v>44694</v>
      </c>
      <c r="B1359" s="38" t="s">
        <v>15486</v>
      </c>
      <c r="C1359" s="38" t="s">
        <v>31</v>
      </c>
      <c r="D1359" s="34">
        <v>1690.2</v>
      </c>
      <c r="E1359" s="35">
        <v>44694</v>
      </c>
      <c r="F1359" s="34">
        <v>1690.2</v>
      </c>
      <c r="G1359" s="36">
        <f>Tabla16[[#This Row],[Importe]]-Tabla16[[#This Row],[Pagado]]</f>
        <v>0</v>
      </c>
      <c r="H1359" s="38" t="s">
        <v>10</v>
      </c>
    </row>
    <row r="1360" spans="1:8" x14ac:dyDescent="0.25">
      <c r="A1360" s="31">
        <v>44694</v>
      </c>
      <c r="B1360" s="38" t="s">
        <v>15487</v>
      </c>
      <c r="C1360" s="38" t="s">
        <v>49</v>
      </c>
      <c r="D1360" s="34">
        <v>4950</v>
      </c>
      <c r="E1360" s="35">
        <v>44694</v>
      </c>
      <c r="F1360" s="34">
        <v>4950</v>
      </c>
      <c r="G1360" s="36">
        <f>Tabla16[[#This Row],[Importe]]-Tabla16[[#This Row],[Pagado]]</f>
        <v>0</v>
      </c>
      <c r="H1360" s="38" t="s">
        <v>10</v>
      </c>
    </row>
    <row r="1361" spans="1:8" x14ac:dyDescent="0.25">
      <c r="A1361" s="31">
        <v>44694</v>
      </c>
      <c r="B1361" s="38" t="s">
        <v>15488</v>
      </c>
      <c r="C1361" s="38" t="s">
        <v>12202</v>
      </c>
      <c r="D1361" s="34">
        <v>3614.4</v>
      </c>
      <c r="E1361" s="35">
        <v>44694</v>
      </c>
      <c r="F1361" s="34">
        <v>3614.4</v>
      </c>
      <c r="G1361" s="36">
        <f>Tabla16[[#This Row],[Importe]]-Tabla16[[#This Row],[Pagado]]</f>
        <v>0</v>
      </c>
      <c r="H1361" s="38" t="s">
        <v>10</v>
      </c>
    </row>
    <row r="1362" spans="1:8" x14ac:dyDescent="0.25">
      <c r="A1362" s="31">
        <v>44694</v>
      </c>
      <c r="B1362" s="38" t="s">
        <v>15489</v>
      </c>
      <c r="C1362" s="38" t="s">
        <v>208</v>
      </c>
      <c r="D1362" s="34">
        <v>3916.2</v>
      </c>
      <c r="E1362" s="35">
        <v>44697</v>
      </c>
      <c r="F1362" s="34">
        <v>3916.2</v>
      </c>
      <c r="G1362" s="36">
        <f>Tabla16[[#This Row],[Importe]]-Tabla16[[#This Row],[Pagado]]</f>
        <v>0</v>
      </c>
      <c r="H1362" s="38" t="s">
        <v>10</v>
      </c>
    </row>
    <row r="1363" spans="1:8" x14ac:dyDescent="0.25">
      <c r="A1363" s="31">
        <v>44694</v>
      </c>
      <c r="B1363" s="38" t="s">
        <v>15490</v>
      </c>
      <c r="C1363" s="38" t="s">
        <v>314</v>
      </c>
      <c r="D1363" s="34">
        <v>6131.4</v>
      </c>
      <c r="E1363" s="35">
        <v>44694</v>
      </c>
      <c r="F1363" s="34">
        <v>6131.4</v>
      </c>
      <c r="G1363" s="36">
        <f>Tabla16[[#This Row],[Importe]]-Tabla16[[#This Row],[Pagado]]</f>
        <v>0</v>
      </c>
      <c r="H1363" s="38" t="s">
        <v>10</v>
      </c>
    </row>
    <row r="1364" spans="1:8" x14ac:dyDescent="0.25">
      <c r="A1364" s="31">
        <v>44694</v>
      </c>
      <c r="B1364" s="38" t="s">
        <v>15491</v>
      </c>
      <c r="C1364" s="38" t="s">
        <v>27</v>
      </c>
      <c r="D1364" s="34">
        <v>1407</v>
      </c>
      <c r="E1364" s="35">
        <v>44694</v>
      </c>
      <c r="F1364" s="34">
        <v>1407</v>
      </c>
      <c r="G1364" s="36">
        <f>Tabla16[[#This Row],[Importe]]-Tabla16[[#This Row],[Pagado]]</f>
        <v>0</v>
      </c>
      <c r="H1364" s="38" t="s">
        <v>10</v>
      </c>
    </row>
    <row r="1365" spans="1:8" x14ac:dyDescent="0.25">
      <c r="A1365" s="31">
        <v>44694</v>
      </c>
      <c r="B1365" s="38" t="s">
        <v>15492</v>
      </c>
      <c r="C1365" s="38" t="s">
        <v>87</v>
      </c>
      <c r="D1365" s="34">
        <v>4019.4</v>
      </c>
      <c r="E1365" s="35">
        <v>44694</v>
      </c>
      <c r="F1365" s="34">
        <v>4019.4</v>
      </c>
      <c r="G1365" s="36">
        <f>Tabla16[[#This Row],[Importe]]-Tabla16[[#This Row],[Pagado]]</f>
        <v>0</v>
      </c>
      <c r="H1365" s="38" t="s">
        <v>10</v>
      </c>
    </row>
    <row r="1366" spans="1:8" x14ac:dyDescent="0.25">
      <c r="A1366" s="31">
        <v>44694</v>
      </c>
      <c r="B1366" s="38" t="s">
        <v>15493</v>
      </c>
      <c r="C1366" s="38" t="s">
        <v>218</v>
      </c>
      <c r="D1366" s="34">
        <v>38509.199999999997</v>
      </c>
      <c r="E1366" s="35">
        <v>44700</v>
      </c>
      <c r="F1366" s="34">
        <v>38509.199999999997</v>
      </c>
      <c r="G1366" s="36">
        <f>Tabla16[[#This Row],[Importe]]-Tabla16[[#This Row],[Pagado]]</f>
        <v>0</v>
      </c>
      <c r="H1366" s="38" t="s">
        <v>10</v>
      </c>
    </row>
    <row r="1367" spans="1:8" x14ac:dyDescent="0.25">
      <c r="A1367" s="31">
        <v>44694</v>
      </c>
      <c r="B1367" s="38" t="s">
        <v>15494</v>
      </c>
      <c r="C1367" s="38" t="s">
        <v>33</v>
      </c>
      <c r="D1367" s="34">
        <v>9525.4</v>
      </c>
      <c r="E1367" s="35">
        <v>44694</v>
      </c>
      <c r="F1367" s="34">
        <v>9525.4</v>
      </c>
      <c r="G1367" s="36">
        <f>Tabla16[[#This Row],[Importe]]-Tabla16[[#This Row],[Pagado]]</f>
        <v>0</v>
      </c>
      <c r="H1367" s="38" t="s">
        <v>10</v>
      </c>
    </row>
    <row r="1368" spans="1:8" x14ac:dyDescent="0.25">
      <c r="A1368" s="31">
        <v>44694</v>
      </c>
      <c r="B1368" s="38" t="s">
        <v>15495</v>
      </c>
      <c r="C1368" s="38" t="s">
        <v>10157</v>
      </c>
      <c r="D1368" s="34">
        <v>11390.2</v>
      </c>
      <c r="E1368" s="35">
        <v>44697</v>
      </c>
      <c r="F1368" s="34">
        <v>11390.2</v>
      </c>
      <c r="G1368" s="36">
        <f>Tabla16[[#This Row],[Importe]]-Tabla16[[#This Row],[Pagado]]</f>
        <v>0</v>
      </c>
      <c r="H1368" s="38" t="s">
        <v>10</v>
      </c>
    </row>
    <row r="1369" spans="1:8" x14ac:dyDescent="0.25">
      <c r="A1369" s="31">
        <v>44694</v>
      </c>
      <c r="B1369" s="38" t="s">
        <v>15496</v>
      </c>
      <c r="C1369" s="38" t="s">
        <v>133</v>
      </c>
      <c r="D1369" s="34">
        <v>25105.599999999999</v>
      </c>
      <c r="E1369" s="35">
        <v>44709</v>
      </c>
      <c r="F1369" s="34">
        <v>25105.599999999999</v>
      </c>
      <c r="G1369" s="36">
        <f>Tabla16[[#This Row],[Importe]]-Tabla16[[#This Row],[Pagado]]</f>
        <v>0</v>
      </c>
      <c r="H1369" s="38" t="s">
        <v>10</v>
      </c>
    </row>
    <row r="1370" spans="1:8" x14ac:dyDescent="0.25">
      <c r="A1370" s="31">
        <v>44694</v>
      </c>
      <c r="B1370" s="38" t="s">
        <v>15497</v>
      </c>
      <c r="C1370" s="38" t="s">
        <v>173</v>
      </c>
      <c r="D1370" s="34">
        <v>18480</v>
      </c>
      <c r="E1370" s="35">
        <v>44695</v>
      </c>
      <c r="F1370" s="34">
        <v>18480</v>
      </c>
      <c r="G1370" s="36">
        <f>Tabla16[[#This Row],[Importe]]-Tabla16[[#This Row],[Pagado]]</f>
        <v>0</v>
      </c>
      <c r="H1370" s="38" t="s">
        <v>10</v>
      </c>
    </row>
    <row r="1371" spans="1:8" x14ac:dyDescent="0.25">
      <c r="A1371" s="31">
        <v>44694</v>
      </c>
      <c r="B1371" s="38" t="s">
        <v>15498</v>
      </c>
      <c r="C1371" s="38" t="s">
        <v>647</v>
      </c>
      <c r="D1371" s="34">
        <v>6121.6</v>
      </c>
      <c r="E1371" s="35">
        <v>44694</v>
      </c>
      <c r="F1371" s="34">
        <v>6121.6</v>
      </c>
      <c r="G1371" s="36">
        <f>Tabla16[[#This Row],[Importe]]-Tabla16[[#This Row],[Pagado]]</f>
        <v>0</v>
      </c>
      <c r="H1371" s="38" t="s">
        <v>10</v>
      </c>
    </row>
    <row r="1372" spans="1:8" ht="31.5" x14ac:dyDescent="0.25">
      <c r="A1372" s="31">
        <v>44694</v>
      </c>
      <c r="B1372" s="38" t="s">
        <v>15499</v>
      </c>
      <c r="C1372" s="41" t="s">
        <v>15500</v>
      </c>
      <c r="D1372" s="34">
        <v>0</v>
      </c>
      <c r="E1372" s="39" t="s">
        <v>189</v>
      </c>
      <c r="F1372" s="34">
        <v>0</v>
      </c>
      <c r="G1372" s="36">
        <f>Tabla16[[#This Row],[Importe]]-Tabla16[[#This Row],[Pagado]]</f>
        <v>0</v>
      </c>
      <c r="H1372" s="38" t="s">
        <v>189</v>
      </c>
    </row>
    <row r="1373" spans="1:8" x14ac:dyDescent="0.25">
      <c r="A1373" s="31">
        <v>44694</v>
      </c>
      <c r="B1373" s="38" t="s">
        <v>15501</v>
      </c>
      <c r="C1373" s="38" t="s">
        <v>35</v>
      </c>
      <c r="D1373" s="34">
        <v>3139</v>
      </c>
      <c r="E1373" s="35">
        <v>44694</v>
      </c>
      <c r="F1373" s="34">
        <v>3139</v>
      </c>
      <c r="G1373" s="36">
        <f>Tabla16[[#This Row],[Importe]]-Tabla16[[#This Row],[Pagado]]</f>
        <v>0</v>
      </c>
      <c r="H1373" s="38" t="s">
        <v>10</v>
      </c>
    </row>
    <row r="1374" spans="1:8" x14ac:dyDescent="0.25">
      <c r="A1374" s="31">
        <v>44694</v>
      </c>
      <c r="B1374" s="38" t="s">
        <v>15502</v>
      </c>
      <c r="C1374" s="38" t="s">
        <v>127</v>
      </c>
      <c r="D1374" s="34">
        <v>4732</v>
      </c>
      <c r="E1374" s="35">
        <v>44694</v>
      </c>
      <c r="F1374" s="34">
        <v>4732</v>
      </c>
      <c r="G1374" s="36">
        <f>Tabla16[[#This Row],[Importe]]-Tabla16[[#This Row],[Pagado]]</f>
        <v>0</v>
      </c>
      <c r="H1374" s="38" t="s">
        <v>10</v>
      </c>
    </row>
    <row r="1375" spans="1:8" x14ac:dyDescent="0.25">
      <c r="A1375" s="31">
        <v>44694</v>
      </c>
      <c r="B1375" s="38" t="s">
        <v>15503</v>
      </c>
      <c r="C1375" s="38" t="s">
        <v>473</v>
      </c>
      <c r="D1375" s="34">
        <v>4748.1000000000004</v>
      </c>
      <c r="E1375" s="35">
        <v>44694</v>
      </c>
      <c r="F1375" s="34">
        <v>4748.1000000000004</v>
      </c>
      <c r="G1375" s="36">
        <f>Tabla16[[#This Row],[Importe]]-Tabla16[[#This Row],[Pagado]]</f>
        <v>0</v>
      </c>
      <c r="H1375" s="38" t="s">
        <v>10</v>
      </c>
    </row>
    <row r="1376" spans="1:8" x14ac:dyDescent="0.25">
      <c r="A1376" s="31">
        <v>44694</v>
      </c>
      <c r="B1376" s="38" t="s">
        <v>15504</v>
      </c>
      <c r="C1376" s="38" t="s">
        <v>127</v>
      </c>
      <c r="D1376" s="34">
        <v>572.70000000000005</v>
      </c>
      <c r="E1376" s="35">
        <v>44694</v>
      </c>
      <c r="F1376" s="34">
        <v>572.70000000000005</v>
      </c>
      <c r="G1376" s="36">
        <f>Tabla16[[#This Row],[Importe]]-Tabla16[[#This Row],[Pagado]]</f>
        <v>0</v>
      </c>
      <c r="H1376" s="38" t="s">
        <v>10</v>
      </c>
    </row>
    <row r="1377" spans="1:8" x14ac:dyDescent="0.25">
      <c r="A1377" s="31">
        <v>44694</v>
      </c>
      <c r="B1377" s="38" t="s">
        <v>15505</v>
      </c>
      <c r="C1377" s="38" t="s">
        <v>47</v>
      </c>
      <c r="D1377" s="34">
        <v>64884.800000000003</v>
      </c>
      <c r="E1377" s="35">
        <v>44694</v>
      </c>
      <c r="F1377" s="34">
        <v>64884.800000000003</v>
      </c>
      <c r="G1377" s="36">
        <f>Tabla16[[#This Row],[Importe]]-Tabla16[[#This Row],[Pagado]]</f>
        <v>0</v>
      </c>
      <c r="H1377" s="38" t="s">
        <v>10</v>
      </c>
    </row>
    <row r="1378" spans="1:8" x14ac:dyDescent="0.25">
      <c r="A1378" s="31">
        <v>44694</v>
      </c>
      <c r="B1378" s="38" t="s">
        <v>15506</v>
      </c>
      <c r="C1378" s="38" t="s">
        <v>179</v>
      </c>
      <c r="D1378" s="34">
        <v>1353</v>
      </c>
      <c r="E1378" s="35">
        <v>44694</v>
      </c>
      <c r="F1378" s="34">
        <v>1353</v>
      </c>
      <c r="G1378" s="36">
        <f>Tabla16[[#This Row],[Importe]]-Tabla16[[#This Row],[Pagado]]</f>
        <v>0</v>
      </c>
      <c r="H1378" s="38" t="s">
        <v>10</v>
      </c>
    </row>
    <row r="1379" spans="1:8" x14ac:dyDescent="0.25">
      <c r="A1379" s="31">
        <v>44694</v>
      </c>
      <c r="B1379" s="38" t="s">
        <v>15507</v>
      </c>
      <c r="C1379" s="38" t="s">
        <v>140</v>
      </c>
      <c r="D1379" s="34">
        <v>586.5</v>
      </c>
      <c r="E1379" s="35">
        <v>44694</v>
      </c>
      <c r="F1379" s="34">
        <v>586.5</v>
      </c>
      <c r="G1379" s="36">
        <f>Tabla16[[#This Row],[Importe]]-Tabla16[[#This Row],[Pagado]]</f>
        <v>0</v>
      </c>
      <c r="H1379" s="38" t="s">
        <v>10</v>
      </c>
    </row>
    <row r="1380" spans="1:8" x14ac:dyDescent="0.25">
      <c r="A1380" s="31">
        <v>44694</v>
      </c>
      <c r="B1380" s="38" t="s">
        <v>15508</v>
      </c>
      <c r="C1380" s="38" t="s">
        <v>75</v>
      </c>
      <c r="D1380" s="34">
        <v>7075.2</v>
      </c>
      <c r="E1380" s="35">
        <v>44694</v>
      </c>
      <c r="F1380" s="34">
        <v>7075.2</v>
      </c>
      <c r="G1380" s="36">
        <f>Tabla16[[#This Row],[Importe]]-Tabla16[[#This Row],[Pagado]]</f>
        <v>0</v>
      </c>
      <c r="H1380" s="38" t="s">
        <v>10</v>
      </c>
    </row>
    <row r="1381" spans="1:8" x14ac:dyDescent="0.25">
      <c r="A1381" s="31">
        <v>44694</v>
      </c>
      <c r="B1381" s="38" t="s">
        <v>15509</v>
      </c>
      <c r="C1381" s="38" t="s">
        <v>357</v>
      </c>
      <c r="D1381" s="34">
        <v>1869.9</v>
      </c>
      <c r="E1381" s="35">
        <v>44694</v>
      </c>
      <c r="F1381" s="34">
        <v>1869.9</v>
      </c>
      <c r="G1381" s="36">
        <f>Tabla16[[#This Row],[Importe]]-Tabla16[[#This Row],[Pagado]]</f>
        <v>0</v>
      </c>
      <c r="H1381" s="38" t="s">
        <v>10</v>
      </c>
    </row>
    <row r="1382" spans="1:8" x14ac:dyDescent="0.25">
      <c r="A1382" s="31">
        <v>44694</v>
      </c>
      <c r="B1382" s="38" t="s">
        <v>15510</v>
      </c>
      <c r="C1382" s="38" t="s">
        <v>275</v>
      </c>
      <c r="D1382" s="34">
        <v>73193.2</v>
      </c>
      <c r="E1382" s="35">
        <v>44708</v>
      </c>
      <c r="F1382" s="34">
        <v>73193.2</v>
      </c>
      <c r="G1382" s="36">
        <f>Tabla16[[#This Row],[Importe]]-Tabla16[[#This Row],[Pagado]]</f>
        <v>0</v>
      </c>
      <c r="H1382" s="38" t="s">
        <v>10</v>
      </c>
    </row>
    <row r="1383" spans="1:8" x14ac:dyDescent="0.25">
      <c r="A1383" s="31">
        <v>44694</v>
      </c>
      <c r="B1383" s="38" t="s">
        <v>15511</v>
      </c>
      <c r="C1383" s="38" t="s">
        <v>129</v>
      </c>
      <c r="D1383" s="34">
        <v>3689</v>
      </c>
      <c r="E1383" s="35">
        <v>44694</v>
      </c>
      <c r="F1383" s="34">
        <v>3689</v>
      </c>
      <c r="G1383" s="36">
        <f>Tabla16[[#This Row],[Importe]]-Tabla16[[#This Row],[Pagado]]</f>
        <v>0</v>
      </c>
      <c r="H1383" s="38" t="s">
        <v>10</v>
      </c>
    </row>
    <row r="1384" spans="1:8" x14ac:dyDescent="0.25">
      <c r="A1384" s="31">
        <v>44694</v>
      </c>
      <c r="B1384" s="38" t="s">
        <v>15512</v>
      </c>
      <c r="C1384" s="38" t="s">
        <v>9937</v>
      </c>
      <c r="D1384" s="34">
        <v>0</v>
      </c>
      <c r="E1384" s="39" t="s">
        <v>189</v>
      </c>
      <c r="F1384" s="34">
        <v>0</v>
      </c>
      <c r="G1384" s="36">
        <f>Tabla16[[#This Row],[Importe]]-Tabla16[[#This Row],[Pagado]]</f>
        <v>0</v>
      </c>
      <c r="H1384" s="38" t="s">
        <v>189</v>
      </c>
    </row>
    <row r="1385" spans="1:8" x14ac:dyDescent="0.25">
      <c r="A1385" s="31">
        <v>44694</v>
      </c>
      <c r="B1385" s="38" t="s">
        <v>15513</v>
      </c>
      <c r="C1385" s="38" t="s">
        <v>53</v>
      </c>
      <c r="D1385" s="34">
        <v>1311</v>
      </c>
      <c r="E1385" s="35">
        <v>44694</v>
      </c>
      <c r="F1385" s="34">
        <v>1311</v>
      </c>
      <c r="G1385" s="36">
        <f>Tabla16[[#This Row],[Importe]]-Tabla16[[#This Row],[Pagado]]</f>
        <v>0</v>
      </c>
      <c r="H1385" s="38" t="s">
        <v>10</v>
      </c>
    </row>
    <row r="1386" spans="1:8" x14ac:dyDescent="0.25">
      <c r="A1386" s="31">
        <v>44694</v>
      </c>
      <c r="B1386" s="38" t="s">
        <v>15514</v>
      </c>
      <c r="C1386" s="38" t="s">
        <v>24</v>
      </c>
      <c r="D1386" s="34">
        <v>4636.3</v>
      </c>
      <c r="E1386" s="35">
        <v>44694</v>
      </c>
      <c r="F1386" s="34">
        <v>4636.3</v>
      </c>
      <c r="G1386" s="36">
        <f>Tabla16[[#This Row],[Importe]]-Tabla16[[#This Row],[Pagado]]</f>
        <v>0</v>
      </c>
      <c r="H1386" s="38" t="s">
        <v>10</v>
      </c>
    </row>
    <row r="1387" spans="1:8" x14ac:dyDescent="0.25">
      <c r="A1387" s="31">
        <v>44694</v>
      </c>
      <c r="B1387" s="38" t="s">
        <v>15515</v>
      </c>
      <c r="C1387" s="38" t="s">
        <v>51</v>
      </c>
      <c r="D1387" s="34">
        <v>3059.2</v>
      </c>
      <c r="E1387" s="35">
        <v>44694</v>
      </c>
      <c r="F1387" s="34">
        <v>3059.2</v>
      </c>
      <c r="G1387" s="36">
        <f>Tabla16[[#This Row],[Importe]]-Tabla16[[#This Row],[Pagado]]</f>
        <v>0</v>
      </c>
      <c r="H1387" s="38" t="s">
        <v>10</v>
      </c>
    </row>
    <row r="1388" spans="1:8" x14ac:dyDescent="0.25">
      <c r="A1388" s="31">
        <v>44694</v>
      </c>
      <c r="B1388" s="38" t="s">
        <v>15516</v>
      </c>
      <c r="C1388" s="38" t="s">
        <v>135</v>
      </c>
      <c r="D1388" s="34">
        <v>2059.1999999999998</v>
      </c>
      <c r="E1388" s="35">
        <v>44694</v>
      </c>
      <c r="F1388" s="34">
        <v>2059.1999999999998</v>
      </c>
      <c r="G1388" s="36">
        <f>Tabla16[[#This Row],[Importe]]-Tabla16[[#This Row],[Pagado]]</f>
        <v>0</v>
      </c>
      <c r="H1388" s="38" t="s">
        <v>10</v>
      </c>
    </row>
    <row r="1389" spans="1:8" x14ac:dyDescent="0.25">
      <c r="A1389" s="31">
        <v>44694</v>
      </c>
      <c r="B1389" s="38" t="s">
        <v>15517</v>
      </c>
      <c r="C1389" s="38" t="s">
        <v>45</v>
      </c>
      <c r="D1389" s="34">
        <v>13973.1</v>
      </c>
      <c r="E1389" s="35">
        <v>44694</v>
      </c>
      <c r="F1389" s="34">
        <v>13973.1</v>
      </c>
      <c r="G1389" s="36">
        <f>Tabla16[[#This Row],[Importe]]-Tabla16[[#This Row],[Pagado]]</f>
        <v>0</v>
      </c>
      <c r="H1389" s="38" t="s">
        <v>10</v>
      </c>
    </row>
    <row r="1390" spans="1:8" x14ac:dyDescent="0.25">
      <c r="A1390" s="31">
        <v>44694</v>
      </c>
      <c r="B1390" s="38" t="s">
        <v>15518</v>
      </c>
      <c r="C1390" s="38" t="s">
        <v>31</v>
      </c>
      <c r="D1390" s="34">
        <v>586.5</v>
      </c>
      <c r="E1390" s="35">
        <v>44694</v>
      </c>
      <c r="F1390" s="34">
        <v>586.5</v>
      </c>
      <c r="G1390" s="36">
        <f>Tabla16[[#This Row],[Importe]]-Tabla16[[#This Row],[Pagado]]</f>
        <v>0</v>
      </c>
      <c r="H1390" s="38" t="s">
        <v>10</v>
      </c>
    </row>
    <row r="1391" spans="1:8" x14ac:dyDescent="0.25">
      <c r="A1391" s="31">
        <v>44694</v>
      </c>
      <c r="B1391" s="38" t="s">
        <v>15519</v>
      </c>
      <c r="C1391" s="38" t="s">
        <v>15520</v>
      </c>
      <c r="D1391" s="34">
        <v>0</v>
      </c>
      <c r="E1391" s="39" t="s">
        <v>189</v>
      </c>
      <c r="F1391" s="34">
        <v>0</v>
      </c>
      <c r="G1391" s="36">
        <f>Tabla16[[#This Row],[Importe]]-Tabla16[[#This Row],[Pagado]]</f>
        <v>0</v>
      </c>
      <c r="H1391" s="38" t="s">
        <v>189</v>
      </c>
    </row>
    <row r="1392" spans="1:8" x14ac:dyDescent="0.25">
      <c r="A1392" s="31">
        <v>44694</v>
      </c>
      <c r="B1392" s="38" t="s">
        <v>15521</v>
      </c>
      <c r="C1392" s="38" t="s">
        <v>2114</v>
      </c>
      <c r="D1392" s="34">
        <v>1942</v>
      </c>
      <c r="E1392" s="35">
        <v>44694</v>
      </c>
      <c r="F1392" s="34">
        <v>1942</v>
      </c>
      <c r="G1392" s="36">
        <f>Tabla16[[#This Row],[Importe]]-Tabla16[[#This Row],[Pagado]]</f>
        <v>0</v>
      </c>
      <c r="H1392" s="38" t="s">
        <v>10</v>
      </c>
    </row>
    <row r="1393" spans="1:8" x14ac:dyDescent="0.25">
      <c r="A1393" s="31">
        <v>44694</v>
      </c>
      <c r="B1393" s="38" t="s">
        <v>15522</v>
      </c>
      <c r="C1393" s="38" t="s">
        <v>62</v>
      </c>
      <c r="D1393" s="34">
        <v>4523.3999999999996</v>
      </c>
      <c r="E1393" s="35">
        <v>44694</v>
      </c>
      <c r="F1393" s="34">
        <v>4523.3999999999996</v>
      </c>
      <c r="G1393" s="36">
        <f>Tabla16[[#This Row],[Importe]]-Tabla16[[#This Row],[Pagado]]</f>
        <v>0</v>
      </c>
      <c r="H1393" s="38" t="s">
        <v>10</v>
      </c>
    </row>
    <row r="1394" spans="1:8" x14ac:dyDescent="0.25">
      <c r="A1394" s="31">
        <v>44694</v>
      </c>
      <c r="B1394" s="38" t="s">
        <v>15523</v>
      </c>
      <c r="C1394" s="38" t="s">
        <v>15524</v>
      </c>
      <c r="D1394" s="34">
        <v>0</v>
      </c>
      <c r="E1394" s="39" t="s">
        <v>189</v>
      </c>
      <c r="F1394" s="34">
        <v>0</v>
      </c>
      <c r="G1394" s="36">
        <f>Tabla16[[#This Row],[Importe]]-Tabla16[[#This Row],[Pagado]]</f>
        <v>0</v>
      </c>
      <c r="H1394" s="38" t="s">
        <v>189</v>
      </c>
    </row>
    <row r="1395" spans="1:8" x14ac:dyDescent="0.25">
      <c r="A1395" s="31">
        <v>44694</v>
      </c>
      <c r="B1395" s="38" t="s">
        <v>15525</v>
      </c>
      <c r="C1395" s="38" t="s">
        <v>62</v>
      </c>
      <c r="D1395" s="34">
        <v>320</v>
      </c>
      <c r="E1395" s="35">
        <v>44694</v>
      </c>
      <c r="F1395" s="34">
        <v>320</v>
      </c>
      <c r="G1395" s="36">
        <f>Tabla16[[#This Row],[Importe]]-Tabla16[[#This Row],[Pagado]]</f>
        <v>0</v>
      </c>
      <c r="H1395" s="38" t="s">
        <v>10</v>
      </c>
    </row>
    <row r="1396" spans="1:8" x14ac:dyDescent="0.25">
      <c r="A1396" s="31">
        <v>44694</v>
      </c>
      <c r="B1396" s="38" t="s">
        <v>15526</v>
      </c>
      <c r="C1396" s="38" t="s">
        <v>216</v>
      </c>
      <c r="D1396" s="34">
        <v>1339.8</v>
      </c>
      <c r="E1396" s="35">
        <v>44694</v>
      </c>
      <c r="F1396" s="34">
        <v>1339.8</v>
      </c>
      <c r="G1396" s="36">
        <f>Tabla16[[#This Row],[Importe]]-Tabla16[[#This Row],[Pagado]]</f>
        <v>0</v>
      </c>
      <c r="H1396" s="38" t="s">
        <v>10</v>
      </c>
    </row>
    <row r="1397" spans="1:8" x14ac:dyDescent="0.25">
      <c r="A1397" s="31">
        <v>44694</v>
      </c>
      <c r="B1397" s="38" t="s">
        <v>15527</v>
      </c>
      <c r="C1397" s="38" t="s">
        <v>698</v>
      </c>
      <c r="D1397" s="34">
        <v>8103.8</v>
      </c>
      <c r="E1397" s="35">
        <v>44694</v>
      </c>
      <c r="F1397" s="34">
        <v>8103.8</v>
      </c>
      <c r="G1397" s="36">
        <f>Tabla16[[#This Row],[Importe]]-Tabla16[[#This Row],[Pagado]]</f>
        <v>0</v>
      </c>
      <c r="H1397" s="38" t="s">
        <v>10</v>
      </c>
    </row>
    <row r="1398" spans="1:8" x14ac:dyDescent="0.25">
      <c r="A1398" s="31">
        <v>44694</v>
      </c>
      <c r="B1398" s="38" t="s">
        <v>15528</v>
      </c>
      <c r="C1398" s="38" t="s">
        <v>365</v>
      </c>
      <c r="D1398" s="34">
        <v>745.5</v>
      </c>
      <c r="E1398" s="35">
        <v>44694</v>
      </c>
      <c r="F1398" s="34">
        <v>745.5</v>
      </c>
      <c r="G1398" s="36">
        <f>Tabla16[[#This Row],[Importe]]-Tabla16[[#This Row],[Pagado]]</f>
        <v>0</v>
      </c>
      <c r="H1398" s="38" t="s">
        <v>10</v>
      </c>
    </row>
    <row r="1399" spans="1:8" x14ac:dyDescent="0.25">
      <c r="A1399" s="31">
        <v>44694</v>
      </c>
      <c r="B1399" s="38" t="s">
        <v>15529</v>
      </c>
      <c r="C1399" s="38" t="s">
        <v>230</v>
      </c>
      <c r="D1399" s="34">
        <v>2208</v>
      </c>
      <c r="E1399" s="35">
        <v>44694</v>
      </c>
      <c r="F1399" s="34">
        <v>2208</v>
      </c>
      <c r="G1399" s="36">
        <f>Tabla16[[#This Row],[Importe]]-Tabla16[[#This Row],[Pagado]]</f>
        <v>0</v>
      </c>
      <c r="H1399" s="38" t="s">
        <v>10</v>
      </c>
    </row>
    <row r="1400" spans="1:8" x14ac:dyDescent="0.25">
      <c r="A1400" s="31">
        <v>44694</v>
      </c>
      <c r="B1400" s="38" t="s">
        <v>15530</v>
      </c>
      <c r="C1400" s="38" t="s">
        <v>849</v>
      </c>
      <c r="D1400" s="34">
        <v>5612</v>
      </c>
      <c r="E1400" s="35">
        <v>44694</v>
      </c>
      <c r="F1400" s="34">
        <v>5612</v>
      </c>
      <c r="G1400" s="36">
        <f>Tabla16[[#This Row],[Importe]]-Tabla16[[#This Row],[Pagado]]</f>
        <v>0</v>
      </c>
      <c r="H1400" s="38" t="s">
        <v>10</v>
      </c>
    </row>
    <row r="1401" spans="1:8" x14ac:dyDescent="0.25">
      <c r="A1401" s="31">
        <v>44694</v>
      </c>
      <c r="B1401" s="38" t="s">
        <v>15531</v>
      </c>
      <c r="C1401" s="38" t="s">
        <v>31</v>
      </c>
      <c r="D1401" s="34">
        <v>600.6</v>
      </c>
      <c r="E1401" s="35">
        <v>44694</v>
      </c>
      <c r="F1401" s="34">
        <v>600.6</v>
      </c>
      <c r="G1401" s="36">
        <f>Tabla16[[#This Row],[Importe]]-Tabla16[[#This Row],[Pagado]]</f>
        <v>0</v>
      </c>
      <c r="H1401" s="38" t="s">
        <v>10</v>
      </c>
    </row>
    <row r="1402" spans="1:8" x14ac:dyDescent="0.25">
      <c r="A1402" s="31">
        <v>44694</v>
      </c>
      <c r="B1402" s="38" t="s">
        <v>15532</v>
      </c>
      <c r="C1402" s="38" t="s">
        <v>31</v>
      </c>
      <c r="D1402" s="34">
        <v>3345.3</v>
      </c>
      <c r="E1402" s="35">
        <v>44694</v>
      </c>
      <c r="F1402" s="34">
        <v>3345.3</v>
      </c>
      <c r="G1402" s="36">
        <f>Tabla16[[#This Row],[Importe]]-Tabla16[[#This Row],[Pagado]]</f>
        <v>0</v>
      </c>
      <c r="H1402" s="38" t="s">
        <v>10</v>
      </c>
    </row>
    <row r="1403" spans="1:8" x14ac:dyDescent="0.25">
      <c r="A1403" s="31">
        <v>44694</v>
      </c>
      <c r="B1403" s="38" t="s">
        <v>15533</v>
      </c>
      <c r="C1403" s="38" t="s">
        <v>442</v>
      </c>
      <c r="D1403" s="34">
        <v>1242.8</v>
      </c>
      <c r="E1403" s="35">
        <v>44694</v>
      </c>
      <c r="F1403" s="34">
        <v>1242.8</v>
      </c>
      <c r="G1403" s="36">
        <f>Tabla16[[#This Row],[Importe]]-Tabla16[[#This Row],[Pagado]]</f>
        <v>0</v>
      </c>
      <c r="H1403" s="38" t="s">
        <v>10</v>
      </c>
    </row>
    <row r="1404" spans="1:8" x14ac:dyDescent="0.25">
      <c r="A1404" s="31">
        <v>44694</v>
      </c>
      <c r="B1404" s="38" t="s">
        <v>15534</v>
      </c>
      <c r="C1404" s="38" t="s">
        <v>224</v>
      </c>
      <c r="D1404" s="34">
        <v>2107.1999999999998</v>
      </c>
      <c r="E1404" s="35">
        <v>44694</v>
      </c>
      <c r="F1404" s="34">
        <v>2107.1999999999998</v>
      </c>
      <c r="G1404" s="36">
        <f>Tabla16[[#This Row],[Importe]]-Tabla16[[#This Row],[Pagado]]</f>
        <v>0</v>
      </c>
      <c r="H1404" s="38" t="s">
        <v>10</v>
      </c>
    </row>
    <row r="1405" spans="1:8" x14ac:dyDescent="0.25">
      <c r="A1405" s="31">
        <v>44694</v>
      </c>
      <c r="B1405" s="38" t="s">
        <v>15535</v>
      </c>
      <c r="C1405" s="38" t="s">
        <v>224</v>
      </c>
      <c r="D1405" s="34">
        <v>512.4</v>
      </c>
      <c r="E1405" s="35">
        <v>44694</v>
      </c>
      <c r="F1405" s="34">
        <v>512.4</v>
      </c>
      <c r="G1405" s="36">
        <f>Tabla16[[#This Row],[Importe]]-Tabla16[[#This Row],[Pagado]]</f>
        <v>0</v>
      </c>
      <c r="H1405" s="38" t="s">
        <v>10</v>
      </c>
    </row>
    <row r="1406" spans="1:8" x14ac:dyDescent="0.25">
      <c r="A1406" s="31">
        <v>44694</v>
      </c>
      <c r="B1406" s="38" t="s">
        <v>15536</v>
      </c>
      <c r="C1406" s="38" t="s">
        <v>11246</v>
      </c>
      <c r="D1406" s="34">
        <v>0</v>
      </c>
      <c r="E1406" s="39" t="s">
        <v>189</v>
      </c>
      <c r="F1406" s="34">
        <v>0</v>
      </c>
      <c r="G1406" s="36">
        <f>Tabla16[[#This Row],[Importe]]-Tabla16[[#This Row],[Pagado]]</f>
        <v>0</v>
      </c>
      <c r="H1406" s="40" t="s">
        <v>15537</v>
      </c>
    </row>
    <row r="1407" spans="1:8" ht="31.5" x14ac:dyDescent="0.25">
      <c r="A1407" s="31">
        <v>44694</v>
      </c>
      <c r="B1407" s="38" t="s">
        <v>15538</v>
      </c>
      <c r="C1407" s="41" t="s">
        <v>196</v>
      </c>
      <c r="D1407" s="34">
        <v>1607.16</v>
      </c>
      <c r="E1407" s="35">
        <v>44701</v>
      </c>
      <c r="F1407" s="34">
        <v>1607.16</v>
      </c>
      <c r="G1407" s="36">
        <f>Tabla16[[#This Row],[Importe]]-Tabla16[[#This Row],[Pagado]]</f>
        <v>0</v>
      </c>
      <c r="H1407" s="38" t="s">
        <v>10</v>
      </c>
    </row>
    <row r="1408" spans="1:8" x14ac:dyDescent="0.25">
      <c r="A1408" s="31">
        <v>44694</v>
      </c>
      <c r="B1408" s="38" t="s">
        <v>15539</v>
      </c>
      <c r="C1408" s="38" t="s">
        <v>31</v>
      </c>
      <c r="D1408" s="34">
        <v>3474</v>
      </c>
      <c r="E1408" s="35">
        <v>44694</v>
      </c>
      <c r="F1408" s="34">
        <v>3474</v>
      </c>
      <c r="G1408" s="36">
        <f>Tabla16[[#This Row],[Importe]]-Tabla16[[#This Row],[Pagado]]</f>
        <v>0</v>
      </c>
      <c r="H1408" s="38" t="s">
        <v>10</v>
      </c>
    </row>
    <row r="1409" spans="1:8" x14ac:dyDescent="0.25">
      <c r="A1409" s="31">
        <v>44694</v>
      </c>
      <c r="B1409" s="38" t="s">
        <v>15540</v>
      </c>
      <c r="C1409" s="38" t="s">
        <v>67</v>
      </c>
      <c r="D1409" s="34">
        <v>7537.6</v>
      </c>
      <c r="E1409" s="35">
        <v>44694</v>
      </c>
      <c r="F1409" s="34">
        <v>7537.6</v>
      </c>
      <c r="G1409" s="36">
        <f>Tabla16[[#This Row],[Importe]]-Tabla16[[#This Row],[Pagado]]</f>
        <v>0</v>
      </c>
      <c r="H1409" s="38" t="s">
        <v>10</v>
      </c>
    </row>
    <row r="1410" spans="1:8" x14ac:dyDescent="0.25">
      <c r="A1410" s="31">
        <v>44694</v>
      </c>
      <c r="B1410" s="38" t="s">
        <v>15541</v>
      </c>
      <c r="C1410" s="38" t="s">
        <v>233</v>
      </c>
      <c r="D1410" s="34">
        <v>6276.4</v>
      </c>
      <c r="E1410" s="35">
        <v>44694</v>
      </c>
      <c r="F1410" s="34">
        <v>6276.4</v>
      </c>
      <c r="G1410" s="36">
        <f>Tabla16[[#This Row],[Importe]]-Tabla16[[#This Row],[Pagado]]</f>
        <v>0</v>
      </c>
      <c r="H1410" s="38" t="s">
        <v>10</v>
      </c>
    </row>
    <row r="1411" spans="1:8" x14ac:dyDescent="0.25">
      <c r="A1411" s="31">
        <v>44694</v>
      </c>
      <c r="B1411" s="38" t="s">
        <v>15542</v>
      </c>
      <c r="C1411" s="38" t="s">
        <v>9827</v>
      </c>
      <c r="D1411" s="34">
        <v>3300</v>
      </c>
      <c r="E1411" s="35">
        <v>44694</v>
      </c>
      <c r="F1411" s="34">
        <v>3300</v>
      </c>
      <c r="G1411" s="36">
        <f>Tabla16[[#This Row],[Importe]]-Tabla16[[#This Row],[Pagado]]</f>
        <v>0</v>
      </c>
      <c r="H1411" s="38" t="s">
        <v>10</v>
      </c>
    </row>
    <row r="1412" spans="1:8" x14ac:dyDescent="0.25">
      <c r="A1412" s="31">
        <v>44694</v>
      </c>
      <c r="B1412" s="38" t="s">
        <v>15543</v>
      </c>
      <c r="C1412" s="38" t="s">
        <v>69</v>
      </c>
      <c r="D1412" s="34">
        <v>3781.8</v>
      </c>
      <c r="E1412" s="35">
        <v>44694</v>
      </c>
      <c r="F1412" s="34">
        <v>3781.8</v>
      </c>
      <c r="G1412" s="36">
        <f>Tabla16[[#This Row],[Importe]]-Tabla16[[#This Row],[Pagado]]</f>
        <v>0</v>
      </c>
      <c r="H1412" s="38" t="s">
        <v>10</v>
      </c>
    </row>
    <row r="1413" spans="1:8" x14ac:dyDescent="0.25">
      <c r="A1413" s="31">
        <v>44694</v>
      </c>
      <c r="B1413" s="38" t="s">
        <v>15544</v>
      </c>
      <c r="C1413" s="38" t="s">
        <v>51</v>
      </c>
      <c r="D1413" s="34">
        <v>2504</v>
      </c>
      <c r="E1413" s="35">
        <v>44694</v>
      </c>
      <c r="F1413" s="34">
        <v>2504</v>
      </c>
      <c r="G1413" s="36">
        <f>Tabla16[[#This Row],[Importe]]-Tabla16[[#This Row],[Pagado]]</f>
        <v>0</v>
      </c>
      <c r="H1413" s="38" t="s">
        <v>10</v>
      </c>
    </row>
    <row r="1414" spans="1:8" x14ac:dyDescent="0.25">
      <c r="A1414" s="31">
        <v>44694</v>
      </c>
      <c r="B1414" s="38" t="s">
        <v>15545</v>
      </c>
      <c r="C1414" s="38" t="s">
        <v>484</v>
      </c>
      <c r="D1414" s="34">
        <v>6604.8</v>
      </c>
      <c r="E1414" s="35">
        <v>44694</v>
      </c>
      <c r="F1414" s="34">
        <v>6604.8</v>
      </c>
      <c r="G1414" s="36">
        <f>Tabla16[[#This Row],[Importe]]-Tabla16[[#This Row],[Pagado]]</f>
        <v>0</v>
      </c>
      <c r="H1414" s="38" t="s">
        <v>10</v>
      </c>
    </row>
    <row r="1415" spans="1:8" x14ac:dyDescent="0.25">
      <c r="A1415" s="31">
        <v>44694</v>
      </c>
      <c r="B1415" s="38" t="s">
        <v>15546</v>
      </c>
      <c r="C1415" s="38" t="s">
        <v>191</v>
      </c>
      <c r="D1415" s="34">
        <v>1632</v>
      </c>
      <c r="E1415" s="35">
        <v>44694</v>
      </c>
      <c r="F1415" s="34">
        <v>1632</v>
      </c>
      <c r="G1415" s="36">
        <f>Tabla16[[#This Row],[Importe]]-Tabla16[[#This Row],[Pagado]]</f>
        <v>0</v>
      </c>
      <c r="H1415" s="38" t="s">
        <v>10</v>
      </c>
    </row>
    <row r="1416" spans="1:8" x14ac:dyDescent="0.25">
      <c r="A1416" s="31">
        <v>44694</v>
      </c>
      <c r="B1416" s="38" t="s">
        <v>15547</v>
      </c>
      <c r="C1416" s="38" t="s">
        <v>67</v>
      </c>
      <c r="D1416" s="34">
        <v>5357.4</v>
      </c>
      <c r="E1416" s="35">
        <v>44694</v>
      </c>
      <c r="F1416" s="34">
        <v>5357.4</v>
      </c>
      <c r="G1416" s="36">
        <f>Tabla16[[#This Row],[Importe]]-Tabla16[[#This Row],[Pagado]]</f>
        <v>0</v>
      </c>
      <c r="H1416" s="38" t="s">
        <v>10</v>
      </c>
    </row>
    <row r="1417" spans="1:8" x14ac:dyDescent="0.25">
      <c r="A1417" s="31">
        <v>44694</v>
      </c>
      <c r="B1417" s="38" t="s">
        <v>15548</v>
      </c>
      <c r="C1417" s="38" t="s">
        <v>97</v>
      </c>
      <c r="D1417" s="34">
        <v>4629.6000000000004</v>
      </c>
      <c r="E1417" s="35">
        <v>44694</v>
      </c>
      <c r="F1417" s="34">
        <v>4629.6000000000004</v>
      </c>
      <c r="G1417" s="36">
        <f>Tabla16[[#This Row],[Importe]]-Tabla16[[#This Row],[Pagado]]</f>
        <v>0</v>
      </c>
      <c r="H1417" s="38" t="s">
        <v>10</v>
      </c>
    </row>
    <row r="1418" spans="1:8" x14ac:dyDescent="0.25">
      <c r="A1418" s="31">
        <v>44694</v>
      </c>
      <c r="B1418" s="38" t="s">
        <v>15549</v>
      </c>
      <c r="C1418" s="38" t="s">
        <v>214</v>
      </c>
      <c r="D1418" s="34">
        <v>1260.5999999999999</v>
      </c>
      <c r="E1418" s="35">
        <v>44694</v>
      </c>
      <c r="F1418" s="34">
        <v>1260.5999999999999</v>
      </c>
      <c r="G1418" s="36">
        <f>Tabla16[[#This Row],[Importe]]-Tabla16[[#This Row],[Pagado]]</f>
        <v>0</v>
      </c>
      <c r="H1418" s="38" t="s">
        <v>10</v>
      </c>
    </row>
    <row r="1419" spans="1:8" x14ac:dyDescent="0.25">
      <c r="A1419" s="31">
        <v>44694</v>
      </c>
      <c r="B1419" s="38" t="s">
        <v>15550</v>
      </c>
      <c r="C1419" s="38" t="s">
        <v>414</v>
      </c>
      <c r="D1419" s="34">
        <v>99618.55</v>
      </c>
      <c r="E1419" s="35">
        <v>44740</v>
      </c>
      <c r="F1419" s="34">
        <v>99618.55</v>
      </c>
      <c r="G1419" s="36">
        <f>Tabla16[[#This Row],[Importe]]-Tabla16[[#This Row],[Pagado]]</f>
        <v>0</v>
      </c>
      <c r="H1419" s="38" t="s">
        <v>4814</v>
      </c>
    </row>
    <row r="1420" spans="1:8" x14ac:dyDescent="0.25">
      <c r="A1420" s="31">
        <v>44694</v>
      </c>
      <c r="B1420" s="38" t="s">
        <v>15551</v>
      </c>
      <c r="C1420" s="38" t="s">
        <v>419</v>
      </c>
      <c r="D1420" s="34">
        <v>6153.6</v>
      </c>
      <c r="E1420" s="35">
        <v>44694</v>
      </c>
      <c r="F1420" s="34">
        <v>6153.6</v>
      </c>
      <c r="G1420" s="36">
        <f>Tabla16[[#This Row],[Importe]]-Tabla16[[#This Row],[Pagado]]</f>
        <v>0</v>
      </c>
      <c r="H1420" s="38" t="s">
        <v>10</v>
      </c>
    </row>
    <row r="1421" spans="1:8" x14ac:dyDescent="0.25">
      <c r="A1421" s="31">
        <v>44694</v>
      </c>
      <c r="B1421" s="38" t="s">
        <v>15552</v>
      </c>
      <c r="C1421" s="38" t="s">
        <v>670</v>
      </c>
      <c r="D1421" s="34">
        <v>4270</v>
      </c>
      <c r="E1421" s="35">
        <v>44694</v>
      </c>
      <c r="F1421" s="34">
        <v>4270</v>
      </c>
      <c r="G1421" s="36">
        <f>Tabla16[[#This Row],[Importe]]-Tabla16[[#This Row],[Pagado]]</f>
        <v>0</v>
      </c>
      <c r="H1421" s="38" t="s">
        <v>10</v>
      </c>
    </row>
    <row r="1422" spans="1:8" x14ac:dyDescent="0.25">
      <c r="A1422" s="31">
        <v>44694</v>
      </c>
      <c r="B1422" s="38" t="s">
        <v>15553</v>
      </c>
      <c r="C1422" s="38" t="s">
        <v>31</v>
      </c>
      <c r="D1422" s="34">
        <v>1225</v>
      </c>
      <c r="E1422" s="35">
        <v>44694</v>
      </c>
      <c r="F1422" s="34">
        <v>1225</v>
      </c>
      <c r="G1422" s="36">
        <f>Tabla16[[#This Row],[Importe]]-Tabla16[[#This Row],[Pagado]]</f>
        <v>0</v>
      </c>
      <c r="H1422" s="38" t="s">
        <v>10</v>
      </c>
    </row>
    <row r="1423" spans="1:8" x14ac:dyDescent="0.25">
      <c r="A1423" s="31">
        <v>44694</v>
      </c>
      <c r="B1423" s="38" t="s">
        <v>15554</v>
      </c>
      <c r="C1423" s="38" t="s">
        <v>200</v>
      </c>
      <c r="D1423" s="34">
        <v>1254</v>
      </c>
      <c r="E1423" s="35">
        <v>44694</v>
      </c>
      <c r="F1423" s="34">
        <v>1254</v>
      </c>
      <c r="G1423" s="36">
        <f>Tabla16[[#This Row],[Importe]]-Tabla16[[#This Row],[Pagado]]</f>
        <v>0</v>
      </c>
      <c r="H1423" s="38" t="s">
        <v>10</v>
      </c>
    </row>
    <row r="1424" spans="1:8" x14ac:dyDescent="0.25">
      <c r="A1424" s="31">
        <v>44694</v>
      </c>
      <c r="B1424" s="38" t="s">
        <v>15555</v>
      </c>
      <c r="C1424" s="38" t="s">
        <v>181</v>
      </c>
      <c r="D1424" s="34">
        <v>4695.3999999999996</v>
      </c>
      <c r="E1424" s="35">
        <v>44694</v>
      </c>
      <c r="F1424" s="34">
        <v>4695.3999999999996</v>
      </c>
      <c r="G1424" s="36">
        <f>Tabla16[[#This Row],[Importe]]-Tabla16[[#This Row],[Pagado]]</f>
        <v>0</v>
      </c>
      <c r="H1424" s="38" t="s">
        <v>10</v>
      </c>
    </row>
    <row r="1425" spans="1:8" x14ac:dyDescent="0.25">
      <c r="A1425" s="31">
        <v>44694</v>
      </c>
      <c r="B1425" s="38" t="s">
        <v>15556</v>
      </c>
      <c r="C1425" s="38" t="s">
        <v>198</v>
      </c>
      <c r="D1425" s="34">
        <v>399.6</v>
      </c>
      <c r="E1425" s="35">
        <v>44694</v>
      </c>
      <c r="F1425" s="34">
        <v>399.6</v>
      </c>
      <c r="G1425" s="36">
        <f>Tabla16[[#This Row],[Importe]]-Tabla16[[#This Row],[Pagado]]</f>
        <v>0</v>
      </c>
      <c r="H1425" s="38" t="s">
        <v>10</v>
      </c>
    </row>
    <row r="1426" spans="1:8" x14ac:dyDescent="0.25">
      <c r="A1426" s="31">
        <v>44694</v>
      </c>
      <c r="B1426" s="38" t="s">
        <v>15557</v>
      </c>
      <c r="C1426" s="38" t="s">
        <v>872</v>
      </c>
      <c r="D1426" s="34">
        <v>868.8</v>
      </c>
      <c r="E1426" s="35">
        <v>44694</v>
      </c>
      <c r="F1426" s="34">
        <v>868.8</v>
      </c>
      <c r="G1426" s="36">
        <f>Tabla16[[#This Row],[Importe]]-Tabla16[[#This Row],[Pagado]]</f>
        <v>0</v>
      </c>
      <c r="H1426" s="38" t="s">
        <v>10</v>
      </c>
    </row>
    <row r="1427" spans="1:8" x14ac:dyDescent="0.25">
      <c r="A1427" s="31">
        <v>44694</v>
      </c>
      <c r="B1427" s="38" t="s">
        <v>15558</v>
      </c>
      <c r="C1427" s="38" t="s">
        <v>144</v>
      </c>
      <c r="D1427" s="34">
        <v>4092.4</v>
      </c>
      <c r="E1427" s="35">
        <v>44694</v>
      </c>
      <c r="F1427" s="34">
        <v>4092.4</v>
      </c>
      <c r="G1427" s="36">
        <f>Tabla16[[#This Row],[Importe]]-Tabla16[[#This Row],[Pagado]]</f>
        <v>0</v>
      </c>
      <c r="H1427" s="38" t="s">
        <v>10</v>
      </c>
    </row>
    <row r="1428" spans="1:8" x14ac:dyDescent="0.25">
      <c r="A1428" s="31">
        <v>44694</v>
      </c>
      <c r="B1428" s="38" t="s">
        <v>15559</v>
      </c>
      <c r="C1428" s="38" t="s">
        <v>146</v>
      </c>
      <c r="D1428" s="34">
        <v>3243.6</v>
      </c>
      <c r="E1428" s="35">
        <v>44694</v>
      </c>
      <c r="F1428" s="34">
        <v>3243.6</v>
      </c>
      <c r="G1428" s="36">
        <f>Tabla16[[#This Row],[Importe]]-Tabla16[[#This Row],[Pagado]]</f>
        <v>0</v>
      </c>
      <c r="H1428" s="38" t="s">
        <v>10</v>
      </c>
    </row>
    <row r="1429" spans="1:8" x14ac:dyDescent="0.25">
      <c r="A1429" s="31">
        <v>44694</v>
      </c>
      <c r="B1429" s="38" t="s">
        <v>15560</v>
      </c>
      <c r="C1429" s="38" t="s">
        <v>107</v>
      </c>
      <c r="D1429" s="34">
        <v>14299.4</v>
      </c>
      <c r="E1429" s="35">
        <v>44694</v>
      </c>
      <c r="F1429" s="34">
        <v>14299.4</v>
      </c>
      <c r="G1429" s="36">
        <f>Tabla16[[#This Row],[Importe]]-Tabla16[[#This Row],[Pagado]]</f>
        <v>0</v>
      </c>
      <c r="H1429" s="38" t="s">
        <v>10</v>
      </c>
    </row>
    <row r="1430" spans="1:8" x14ac:dyDescent="0.25">
      <c r="A1430" s="31">
        <v>44694</v>
      </c>
      <c r="B1430" s="38" t="s">
        <v>15561</v>
      </c>
      <c r="C1430" s="38" t="s">
        <v>56</v>
      </c>
      <c r="D1430" s="34">
        <v>3219.8</v>
      </c>
      <c r="E1430" s="35">
        <v>44694</v>
      </c>
      <c r="F1430" s="34">
        <v>3219.8</v>
      </c>
      <c r="G1430" s="36">
        <f>Tabla16[[#This Row],[Importe]]-Tabla16[[#This Row],[Pagado]]</f>
        <v>0</v>
      </c>
      <c r="H1430" s="38" t="s">
        <v>10</v>
      </c>
    </row>
    <row r="1431" spans="1:8" x14ac:dyDescent="0.25">
      <c r="A1431" s="31">
        <v>44694</v>
      </c>
      <c r="B1431" s="38" t="s">
        <v>15562</v>
      </c>
      <c r="C1431" s="38" t="s">
        <v>994</v>
      </c>
      <c r="D1431" s="34">
        <v>1145.7</v>
      </c>
      <c r="E1431" s="35">
        <v>44694</v>
      </c>
      <c r="F1431" s="34">
        <v>1145.7</v>
      </c>
      <c r="G1431" s="36">
        <f>Tabla16[[#This Row],[Importe]]-Tabla16[[#This Row],[Pagado]]</f>
        <v>0</v>
      </c>
      <c r="H1431" s="38" t="s">
        <v>10</v>
      </c>
    </row>
    <row r="1432" spans="1:8" x14ac:dyDescent="0.25">
      <c r="A1432" s="31">
        <v>44694</v>
      </c>
      <c r="B1432" s="38" t="s">
        <v>15563</v>
      </c>
      <c r="C1432" s="38" t="s">
        <v>421</v>
      </c>
      <c r="D1432" s="34">
        <v>5268.8</v>
      </c>
      <c r="E1432" s="35">
        <v>44694</v>
      </c>
      <c r="F1432" s="34">
        <v>5268.8</v>
      </c>
      <c r="G1432" s="36">
        <f>Tabla16[[#This Row],[Importe]]-Tabla16[[#This Row],[Pagado]]</f>
        <v>0</v>
      </c>
      <c r="H1432" s="38" t="s">
        <v>10</v>
      </c>
    </row>
    <row r="1433" spans="1:8" x14ac:dyDescent="0.25">
      <c r="A1433" s="31">
        <v>44694</v>
      </c>
      <c r="B1433" s="38" t="s">
        <v>15564</v>
      </c>
      <c r="C1433" s="38" t="s">
        <v>11383</v>
      </c>
      <c r="D1433" s="34">
        <v>30737.7</v>
      </c>
      <c r="E1433" s="35">
        <v>44694</v>
      </c>
      <c r="F1433" s="34">
        <v>30737.7</v>
      </c>
      <c r="G1433" s="36">
        <f>Tabla16[[#This Row],[Importe]]-Tabla16[[#This Row],[Pagado]]</f>
        <v>0</v>
      </c>
      <c r="H1433" s="38" t="s">
        <v>10</v>
      </c>
    </row>
    <row r="1434" spans="1:8" x14ac:dyDescent="0.25">
      <c r="A1434" s="31">
        <v>44694</v>
      </c>
      <c r="B1434" s="38" t="s">
        <v>15565</v>
      </c>
      <c r="C1434" s="38" t="s">
        <v>11383</v>
      </c>
      <c r="D1434" s="34">
        <v>5067</v>
      </c>
      <c r="E1434" s="35">
        <v>44694</v>
      </c>
      <c r="F1434" s="34">
        <v>5067</v>
      </c>
      <c r="G1434" s="36">
        <f>Tabla16[[#This Row],[Importe]]-Tabla16[[#This Row],[Pagado]]</f>
        <v>0</v>
      </c>
      <c r="H1434" s="38" t="s">
        <v>10</v>
      </c>
    </row>
    <row r="1435" spans="1:8" x14ac:dyDescent="0.25">
      <c r="A1435" s="31">
        <v>44694</v>
      </c>
      <c r="B1435" s="38" t="s">
        <v>15566</v>
      </c>
      <c r="C1435" s="38" t="s">
        <v>31</v>
      </c>
      <c r="D1435" s="34">
        <v>885.9</v>
      </c>
      <c r="E1435" s="35">
        <v>44694</v>
      </c>
      <c r="F1435" s="34">
        <v>885.9</v>
      </c>
      <c r="G1435" s="36">
        <f>Tabla16[[#This Row],[Importe]]-Tabla16[[#This Row],[Pagado]]</f>
        <v>0</v>
      </c>
      <c r="H1435" s="38" t="s">
        <v>10</v>
      </c>
    </row>
    <row r="1436" spans="1:8" x14ac:dyDescent="0.25">
      <c r="A1436" s="31">
        <v>44694</v>
      </c>
      <c r="B1436" s="38" t="s">
        <v>15567</v>
      </c>
      <c r="C1436" s="38" t="s">
        <v>15568</v>
      </c>
      <c r="D1436" s="34">
        <v>0</v>
      </c>
      <c r="E1436" s="39" t="s">
        <v>189</v>
      </c>
      <c r="F1436" s="34">
        <v>0</v>
      </c>
      <c r="G1436" s="36">
        <f>Tabla16[[#This Row],[Importe]]-Tabla16[[#This Row],[Pagado]]</f>
        <v>0</v>
      </c>
      <c r="H1436" s="40" t="s">
        <v>15569</v>
      </c>
    </row>
    <row r="1437" spans="1:8" x14ac:dyDescent="0.25">
      <c r="A1437" s="31">
        <v>44694</v>
      </c>
      <c r="B1437" s="38" t="s">
        <v>15570</v>
      </c>
      <c r="C1437" s="38" t="s">
        <v>450</v>
      </c>
      <c r="D1437" s="34">
        <v>682.5</v>
      </c>
      <c r="E1437" s="35">
        <v>44694</v>
      </c>
      <c r="F1437" s="34">
        <v>682.5</v>
      </c>
      <c r="G1437" s="36">
        <f>Tabla16[[#This Row],[Importe]]-Tabla16[[#This Row],[Pagado]]</f>
        <v>0</v>
      </c>
      <c r="H1437" s="38" t="s">
        <v>10</v>
      </c>
    </row>
    <row r="1438" spans="1:8" x14ac:dyDescent="0.25">
      <c r="A1438" s="31">
        <v>44694</v>
      </c>
      <c r="B1438" s="38" t="s">
        <v>15571</v>
      </c>
      <c r="C1438" s="38" t="s">
        <v>442</v>
      </c>
      <c r="D1438" s="34">
        <v>9858</v>
      </c>
      <c r="E1438" s="35">
        <v>44694</v>
      </c>
      <c r="F1438" s="34">
        <v>9858</v>
      </c>
      <c r="G1438" s="36">
        <f>Tabla16[[#This Row],[Importe]]-Tabla16[[#This Row],[Pagado]]</f>
        <v>0</v>
      </c>
      <c r="H1438" s="38" t="s">
        <v>10</v>
      </c>
    </row>
    <row r="1439" spans="1:8" x14ac:dyDescent="0.25">
      <c r="A1439" s="31">
        <v>44694</v>
      </c>
      <c r="B1439" s="38" t="s">
        <v>15572</v>
      </c>
      <c r="C1439" s="38" t="s">
        <v>51</v>
      </c>
      <c r="D1439" s="34">
        <v>2974.8</v>
      </c>
      <c r="E1439" s="35">
        <v>44694</v>
      </c>
      <c r="F1439" s="34">
        <v>2974.8</v>
      </c>
      <c r="G1439" s="36">
        <f>Tabla16[[#This Row],[Importe]]-Tabla16[[#This Row],[Pagado]]</f>
        <v>0</v>
      </c>
      <c r="H1439" s="38" t="s">
        <v>10</v>
      </c>
    </row>
    <row r="1440" spans="1:8" x14ac:dyDescent="0.25">
      <c r="A1440" s="31">
        <v>44694</v>
      </c>
      <c r="B1440" s="38" t="s">
        <v>15573</v>
      </c>
      <c r="C1440" s="38" t="s">
        <v>12</v>
      </c>
      <c r="D1440" s="34">
        <v>5854.2</v>
      </c>
      <c r="E1440" s="35">
        <v>44695</v>
      </c>
      <c r="F1440" s="34">
        <v>5854.2</v>
      </c>
      <c r="G1440" s="36">
        <f>Tabla16[[#This Row],[Importe]]-Tabla16[[#This Row],[Pagado]]</f>
        <v>0</v>
      </c>
      <c r="H1440" s="38" t="s">
        <v>10</v>
      </c>
    </row>
    <row r="1441" spans="1:8" x14ac:dyDescent="0.25">
      <c r="A1441" s="31">
        <v>44694</v>
      </c>
      <c r="B1441" s="38" t="s">
        <v>15574</v>
      </c>
      <c r="C1441" s="38" t="s">
        <v>13223</v>
      </c>
      <c r="D1441" s="34">
        <v>12420</v>
      </c>
      <c r="E1441" s="35">
        <v>44699</v>
      </c>
      <c r="F1441" s="34">
        <v>12420</v>
      </c>
      <c r="G1441" s="36">
        <f>Tabla16[[#This Row],[Importe]]-Tabla16[[#This Row],[Pagado]]</f>
        <v>0</v>
      </c>
      <c r="H1441" s="38" t="s">
        <v>10</v>
      </c>
    </row>
    <row r="1442" spans="1:8" x14ac:dyDescent="0.25">
      <c r="A1442" s="31">
        <v>44694</v>
      </c>
      <c r="B1442" s="38" t="s">
        <v>15575</v>
      </c>
      <c r="C1442" s="38" t="s">
        <v>857</v>
      </c>
      <c r="D1442" s="34">
        <v>1179</v>
      </c>
      <c r="E1442" s="35">
        <v>44694</v>
      </c>
      <c r="F1442" s="34">
        <v>1179</v>
      </c>
      <c r="G1442" s="36">
        <f>Tabla16[[#This Row],[Importe]]-Tabla16[[#This Row],[Pagado]]</f>
        <v>0</v>
      </c>
      <c r="H1442" s="38" t="s">
        <v>10</v>
      </c>
    </row>
    <row r="1443" spans="1:8" x14ac:dyDescent="0.25">
      <c r="A1443" s="31">
        <v>44694</v>
      </c>
      <c r="B1443" s="38" t="s">
        <v>15576</v>
      </c>
      <c r="C1443" s="38" t="s">
        <v>142</v>
      </c>
      <c r="D1443" s="34">
        <v>73300.850000000006</v>
      </c>
      <c r="E1443" s="35">
        <v>44760</v>
      </c>
      <c r="F1443" s="34">
        <v>73300.850000000006</v>
      </c>
      <c r="G1443" s="36">
        <f>Tabla16[[#This Row],[Importe]]-Tabla16[[#This Row],[Pagado]]</f>
        <v>0</v>
      </c>
      <c r="H1443" s="38" t="s">
        <v>10</v>
      </c>
    </row>
    <row r="1444" spans="1:8" x14ac:dyDescent="0.25">
      <c r="A1444" s="31">
        <v>44694</v>
      </c>
      <c r="B1444" s="38" t="s">
        <v>15577</v>
      </c>
      <c r="C1444" s="38" t="s">
        <v>872</v>
      </c>
      <c r="D1444" s="34">
        <v>5885.22</v>
      </c>
      <c r="E1444" s="35">
        <v>44694</v>
      </c>
      <c r="F1444" s="34">
        <v>5885.22</v>
      </c>
      <c r="G1444" s="36">
        <f>Tabla16[[#This Row],[Importe]]-Tabla16[[#This Row],[Pagado]]</f>
        <v>0</v>
      </c>
      <c r="H1444" s="38" t="s">
        <v>10</v>
      </c>
    </row>
    <row r="1445" spans="1:8" x14ac:dyDescent="0.25">
      <c r="A1445" s="31">
        <v>44694</v>
      </c>
      <c r="B1445" s="38" t="s">
        <v>15578</v>
      </c>
      <c r="C1445" s="38" t="s">
        <v>51</v>
      </c>
      <c r="D1445" s="34">
        <v>3760.9</v>
      </c>
      <c r="E1445" s="35">
        <v>44694</v>
      </c>
      <c r="F1445" s="34">
        <v>3760.9</v>
      </c>
      <c r="G1445" s="36">
        <f>Tabla16[[#This Row],[Importe]]-Tabla16[[#This Row],[Pagado]]</f>
        <v>0</v>
      </c>
      <c r="H1445" s="38" t="s">
        <v>10</v>
      </c>
    </row>
    <row r="1446" spans="1:8" x14ac:dyDescent="0.25">
      <c r="A1446" s="31">
        <v>44694</v>
      </c>
      <c r="B1446" s="38" t="s">
        <v>15579</v>
      </c>
      <c r="C1446" s="38" t="s">
        <v>9</v>
      </c>
      <c r="D1446" s="34">
        <v>3084.8</v>
      </c>
      <c r="E1446" s="35">
        <v>44694</v>
      </c>
      <c r="F1446" s="34">
        <v>3084.8</v>
      </c>
      <c r="G1446" s="36">
        <f>Tabla16[[#This Row],[Importe]]-Tabla16[[#This Row],[Pagado]]</f>
        <v>0</v>
      </c>
      <c r="H1446" s="38" t="s">
        <v>10</v>
      </c>
    </row>
    <row r="1447" spans="1:8" x14ac:dyDescent="0.25">
      <c r="A1447" s="31">
        <v>44694</v>
      </c>
      <c r="B1447" s="38" t="s">
        <v>15580</v>
      </c>
      <c r="C1447" s="38" t="s">
        <v>53</v>
      </c>
      <c r="D1447" s="34">
        <v>1159.2</v>
      </c>
      <c r="E1447" s="35">
        <v>44694</v>
      </c>
      <c r="F1447" s="34">
        <v>1159.2</v>
      </c>
      <c r="G1447" s="36">
        <f>Tabla16[[#This Row],[Importe]]-Tabla16[[#This Row],[Pagado]]</f>
        <v>0</v>
      </c>
      <c r="H1447" s="38" t="s">
        <v>10</v>
      </c>
    </row>
    <row r="1448" spans="1:8" x14ac:dyDescent="0.25">
      <c r="A1448" s="31">
        <v>44694</v>
      </c>
      <c r="B1448" s="38" t="s">
        <v>15581</v>
      </c>
      <c r="C1448" s="38" t="s">
        <v>246</v>
      </c>
      <c r="D1448" s="34">
        <v>8128.8</v>
      </c>
      <c r="E1448" s="35">
        <v>44694</v>
      </c>
      <c r="F1448" s="34">
        <v>8128.8</v>
      </c>
      <c r="G1448" s="36">
        <f>Tabla16[[#This Row],[Importe]]-Tabla16[[#This Row],[Pagado]]</f>
        <v>0</v>
      </c>
      <c r="H1448" s="38" t="s">
        <v>10</v>
      </c>
    </row>
    <row r="1449" spans="1:8" x14ac:dyDescent="0.25">
      <c r="A1449" s="31">
        <v>44694</v>
      </c>
      <c r="B1449" s="38" t="s">
        <v>15582</v>
      </c>
      <c r="C1449" s="38" t="s">
        <v>31</v>
      </c>
      <c r="D1449" s="34">
        <v>7480</v>
      </c>
      <c r="E1449" s="35">
        <v>44694</v>
      </c>
      <c r="F1449" s="34">
        <v>7480</v>
      </c>
      <c r="G1449" s="36">
        <f>Tabla16[[#This Row],[Importe]]-Tabla16[[#This Row],[Pagado]]</f>
        <v>0</v>
      </c>
      <c r="H1449" s="38" t="s">
        <v>10</v>
      </c>
    </row>
    <row r="1450" spans="1:8" x14ac:dyDescent="0.25">
      <c r="A1450" s="31">
        <v>44694</v>
      </c>
      <c r="B1450" s="38" t="s">
        <v>15583</v>
      </c>
      <c r="C1450" s="38" t="s">
        <v>10678</v>
      </c>
      <c r="D1450" s="34">
        <v>5434.6</v>
      </c>
      <c r="E1450" s="35">
        <v>44694</v>
      </c>
      <c r="F1450" s="34">
        <v>5434.6</v>
      </c>
      <c r="G1450" s="36">
        <f>Tabla16[[#This Row],[Importe]]-Tabla16[[#This Row],[Pagado]]</f>
        <v>0</v>
      </c>
      <c r="H1450" s="38" t="s">
        <v>10</v>
      </c>
    </row>
    <row r="1451" spans="1:8" x14ac:dyDescent="0.25">
      <c r="A1451" s="31">
        <v>44694</v>
      </c>
      <c r="B1451" s="38" t="s">
        <v>15584</v>
      </c>
      <c r="C1451" s="38" t="s">
        <v>12107</v>
      </c>
      <c r="D1451" s="34">
        <v>1400</v>
      </c>
      <c r="E1451" s="35">
        <v>44694</v>
      </c>
      <c r="F1451" s="34">
        <v>1400</v>
      </c>
      <c r="G1451" s="36">
        <f>Tabla16[[#This Row],[Importe]]-Tabla16[[#This Row],[Pagado]]</f>
        <v>0</v>
      </c>
      <c r="H1451" s="38" t="s">
        <v>10</v>
      </c>
    </row>
    <row r="1452" spans="1:8" x14ac:dyDescent="0.25">
      <c r="A1452" s="31">
        <v>44694</v>
      </c>
      <c r="B1452" s="38" t="s">
        <v>15585</v>
      </c>
      <c r="C1452" s="38" t="s">
        <v>39</v>
      </c>
      <c r="D1452" s="34">
        <v>942.5</v>
      </c>
      <c r="E1452" s="35">
        <v>44694</v>
      </c>
      <c r="F1452" s="34">
        <v>942.5</v>
      </c>
      <c r="G1452" s="36">
        <f>Tabla16[[#This Row],[Importe]]-Tabla16[[#This Row],[Pagado]]</f>
        <v>0</v>
      </c>
      <c r="H1452" s="38" t="s">
        <v>10</v>
      </c>
    </row>
    <row r="1453" spans="1:8" x14ac:dyDescent="0.25">
      <c r="A1453" s="31">
        <v>44694</v>
      </c>
      <c r="B1453" s="38" t="s">
        <v>15586</v>
      </c>
      <c r="C1453" s="38" t="s">
        <v>284</v>
      </c>
      <c r="D1453" s="34">
        <v>10355.4</v>
      </c>
      <c r="E1453" s="35">
        <v>44695</v>
      </c>
      <c r="F1453" s="34">
        <v>10355.4</v>
      </c>
      <c r="G1453" s="36">
        <f>Tabla16[[#This Row],[Importe]]-Tabla16[[#This Row],[Pagado]]</f>
        <v>0</v>
      </c>
      <c r="H1453" s="38" t="s">
        <v>10</v>
      </c>
    </row>
    <row r="1454" spans="1:8" x14ac:dyDescent="0.25">
      <c r="A1454" s="31">
        <v>44694</v>
      </c>
      <c r="B1454" s="38" t="s">
        <v>15587</v>
      </c>
      <c r="C1454" s="38" t="s">
        <v>280</v>
      </c>
      <c r="D1454" s="34">
        <v>1221</v>
      </c>
      <c r="E1454" s="35">
        <v>44695</v>
      </c>
      <c r="F1454" s="34">
        <v>1221</v>
      </c>
      <c r="G1454" s="36">
        <f>Tabla16[[#This Row],[Importe]]-Tabla16[[#This Row],[Pagado]]</f>
        <v>0</v>
      </c>
      <c r="H1454" s="38" t="s">
        <v>10</v>
      </c>
    </row>
    <row r="1455" spans="1:8" x14ac:dyDescent="0.25">
      <c r="A1455" s="31">
        <v>44694</v>
      </c>
      <c r="B1455" s="38" t="s">
        <v>15588</v>
      </c>
      <c r="C1455" s="38" t="s">
        <v>10819</v>
      </c>
      <c r="D1455" s="34">
        <v>3234</v>
      </c>
      <c r="E1455" s="35">
        <v>44695</v>
      </c>
      <c r="F1455" s="34">
        <v>3234</v>
      </c>
      <c r="G1455" s="36">
        <f>Tabla16[[#This Row],[Importe]]-Tabla16[[#This Row],[Pagado]]</f>
        <v>0</v>
      </c>
      <c r="H1455" s="38" t="s">
        <v>10</v>
      </c>
    </row>
    <row r="1456" spans="1:8" x14ac:dyDescent="0.25">
      <c r="A1456" s="31">
        <v>44694</v>
      </c>
      <c r="B1456" s="38" t="s">
        <v>15589</v>
      </c>
      <c r="C1456" s="38" t="s">
        <v>282</v>
      </c>
      <c r="D1456" s="34">
        <v>7663.6</v>
      </c>
      <c r="E1456" s="35">
        <v>44695</v>
      </c>
      <c r="F1456" s="34">
        <v>7663.6</v>
      </c>
      <c r="G1456" s="36">
        <f>Tabla16[[#This Row],[Importe]]-Tabla16[[#This Row],[Pagado]]</f>
        <v>0</v>
      </c>
      <c r="H1456" s="38" t="s">
        <v>10</v>
      </c>
    </row>
    <row r="1457" spans="1:8" x14ac:dyDescent="0.25">
      <c r="A1457" s="31">
        <v>44694</v>
      </c>
      <c r="B1457" s="38" t="s">
        <v>15590</v>
      </c>
      <c r="C1457" s="38" t="s">
        <v>555</v>
      </c>
      <c r="D1457" s="34">
        <v>19124.8</v>
      </c>
      <c r="E1457" s="35">
        <v>44695</v>
      </c>
      <c r="F1457" s="34">
        <v>19124.8</v>
      </c>
      <c r="G1457" s="36">
        <f>Tabla16[[#This Row],[Importe]]-Tabla16[[#This Row],[Pagado]]</f>
        <v>0</v>
      </c>
      <c r="H1457" s="38" t="s">
        <v>10</v>
      </c>
    </row>
    <row r="1458" spans="1:8" x14ac:dyDescent="0.25">
      <c r="A1458" s="31">
        <v>44694</v>
      </c>
      <c r="B1458" s="38" t="s">
        <v>15591</v>
      </c>
      <c r="C1458" s="38" t="s">
        <v>53</v>
      </c>
      <c r="D1458" s="34">
        <v>1186.8</v>
      </c>
      <c r="E1458" s="35">
        <v>44694</v>
      </c>
      <c r="F1458" s="34">
        <v>1186.8</v>
      </c>
      <c r="G1458" s="36">
        <f>Tabla16[[#This Row],[Importe]]-Tabla16[[#This Row],[Pagado]]</f>
        <v>0</v>
      </c>
      <c r="H1458" s="38" t="s">
        <v>10</v>
      </c>
    </row>
    <row r="1459" spans="1:8" x14ac:dyDescent="0.25">
      <c r="A1459" s="31">
        <v>44694</v>
      </c>
      <c r="B1459" s="38" t="s">
        <v>15592</v>
      </c>
      <c r="C1459" s="38" t="s">
        <v>5345</v>
      </c>
      <c r="D1459" s="34">
        <v>1947</v>
      </c>
      <c r="E1459" s="35">
        <v>44695</v>
      </c>
      <c r="F1459" s="34">
        <v>1947</v>
      </c>
      <c r="G1459" s="36">
        <f>Tabla16[[#This Row],[Importe]]-Tabla16[[#This Row],[Pagado]]</f>
        <v>0</v>
      </c>
      <c r="H1459" s="38" t="s">
        <v>10</v>
      </c>
    </row>
    <row r="1460" spans="1:8" x14ac:dyDescent="0.25">
      <c r="A1460" s="31">
        <v>44694</v>
      </c>
      <c r="B1460" s="38" t="s">
        <v>15593</v>
      </c>
      <c r="C1460" s="38" t="s">
        <v>1313</v>
      </c>
      <c r="D1460" s="34">
        <v>6958.6</v>
      </c>
      <c r="E1460" s="35">
        <v>44694</v>
      </c>
      <c r="F1460" s="34">
        <v>6958.6</v>
      </c>
      <c r="G1460" s="36">
        <f>Tabla16[[#This Row],[Importe]]-Tabla16[[#This Row],[Pagado]]</f>
        <v>0</v>
      </c>
      <c r="H1460" s="38" t="s">
        <v>10</v>
      </c>
    </row>
    <row r="1461" spans="1:8" x14ac:dyDescent="0.25">
      <c r="A1461" s="31">
        <v>44694</v>
      </c>
      <c r="B1461" s="38" t="s">
        <v>15594</v>
      </c>
      <c r="C1461" s="38" t="s">
        <v>612</v>
      </c>
      <c r="D1461" s="34">
        <v>209</v>
      </c>
      <c r="E1461" s="35">
        <v>44694</v>
      </c>
      <c r="F1461" s="34">
        <v>209</v>
      </c>
      <c r="G1461" s="36">
        <f>Tabla16[[#This Row],[Importe]]-Tabla16[[#This Row],[Pagado]]</f>
        <v>0</v>
      </c>
      <c r="H1461" s="38" t="s">
        <v>10</v>
      </c>
    </row>
    <row r="1462" spans="1:8" x14ac:dyDescent="0.25">
      <c r="A1462" s="31">
        <v>44694</v>
      </c>
      <c r="B1462" s="38" t="s">
        <v>15595</v>
      </c>
      <c r="C1462" s="38" t="s">
        <v>31</v>
      </c>
      <c r="D1462" s="34">
        <v>1449.2</v>
      </c>
      <c r="E1462" s="35">
        <v>44694</v>
      </c>
      <c r="F1462" s="34">
        <v>1449.2</v>
      </c>
      <c r="G1462" s="36">
        <f>Tabla16[[#This Row],[Importe]]-Tabla16[[#This Row],[Pagado]]</f>
        <v>0</v>
      </c>
      <c r="H1462" s="38" t="s">
        <v>10</v>
      </c>
    </row>
    <row r="1463" spans="1:8" x14ac:dyDescent="0.25">
      <c r="A1463" s="31">
        <v>44694</v>
      </c>
      <c r="B1463" s="38" t="s">
        <v>15596</v>
      </c>
      <c r="C1463" s="38" t="s">
        <v>5694</v>
      </c>
      <c r="D1463" s="34">
        <v>2849.2</v>
      </c>
      <c r="E1463" s="35">
        <v>44694</v>
      </c>
      <c r="F1463" s="34">
        <v>2849.2</v>
      </c>
      <c r="G1463" s="36">
        <f>Tabla16[[#This Row],[Importe]]-Tabla16[[#This Row],[Pagado]]</f>
        <v>0</v>
      </c>
      <c r="H1463" s="38" t="s">
        <v>10</v>
      </c>
    </row>
    <row r="1464" spans="1:8" x14ac:dyDescent="0.25">
      <c r="A1464" s="31">
        <v>44694</v>
      </c>
      <c r="B1464" s="38" t="s">
        <v>15597</v>
      </c>
      <c r="C1464" s="38" t="s">
        <v>373</v>
      </c>
      <c r="D1464" s="34">
        <v>1619.1</v>
      </c>
      <c r="E1464" s="35">
        <v>44694</v>
      </c>
      <c r="F1464" s="34">
        <v>1619.1</v>
      </c>
      <c r="G1464" s="36">
        <f>Tabla16[[#This Row],[Importe]]-Tabla16[[#This Row],[Pagado]]</f>
        <v>0</v>
      </c>
      <c r="H1464" s="38" t="s">
        <v>10</v>
      </c>
    </row>
    <row r="1465" spans="1:8" x14ac:dyDescent="0.25">
      <c r="A1465" s="31">
        <v>44694</v>
      </c>
      <c r="B1465" s="38" t="s">
        <v>15598</v>
      </c>
      <c r="C1465" s="38" t="s">
        <v>31</v>
      </c>
      <c r="D1465" s="34">
        <v>67.2</v>
      </c>
      <c r="E1465" s="35">
        <v>44694</v>
      </c>
      <c r="F1465" s="34">
        <v>67.2</v>
      </c>
      <c r="G1465" s="36">
        <f>Tabla16[[#This Row],[Importe]]-Tabla16[[#This Row],[Pagado]]</f>
        <v>0</v>
      </c>
      <c r="H1465" s="38" t="s">
        <v>10</v>
      </c>
    </row>
    <row r="1466" spans="1:8" x14ac:dyDescent="0.25">
      <c r="A1466" s="31">
        <v>44694</v>
      </c>
      <c r="B1466" s="38" t="s">
        <v>15599</v>
      </c>
      <c r="C1466" s="38" t="s">
        <v>407</v>
      </c>
      <c r="D1466" s="34">
        <v>8364</v>
      </c>
      <c r="E1466" s="35">
        <v>44708</v>
      </c>
      <c r="F1466" s="34">
        <v>8364</v>
      </c>
      <c r="G1466" s="36">
        <f>Tabla16[[#This Row],[Importe]]-Tabla16[[#This Row],[Pagado]]</f>
        <v>0</v>
      </c>
      <c r="H1466" s="38" t="s">
        <v>10</v>
      </c>
    </row>
    <row r="1467" spans="1:8" x14ac:dyDescent="0.25">
      <c r="A1467" s="31">
        <v>44694</v>
      </c>
      <c r="B1467" s="38" t="s">
        <v>15600</v>
      </c>
      <c r="C1467" s="38" t="s">
        <v>196</v>
      </c>
      <c r="D1467" s="34">
        <v>110870.6</v>
      </c>
      <c r="E1467" s="35">
        <v>44701</v>
      </c>
      <c r="F1467" s="34">
        <v>110870.6</v>
      </c>
      <c r="G1467" s="36">
        <f>Tabla16[[#This Row],[Importe]]-Tabla16[[#This Row],[Pagado]]</f>
        <v>0</v>
      </c>
      <c r="H1467" s="38" t="s">
        <v>10</v>
      </c>
    </row>
    <row r="1468" spans="1:8" x14ac:dyDescent="0.25">
      <c r="A1468" s="31">
        <v>44695</v>
      </c>
      <c r="B1468" s="38" t="s">
        <v>15601</v>
      </c>
      <c r="C1468" s="38" t="s">
        <v>6170</v>
      </c>
      <c r="D1468" s="34">
        <v>0</v>
      </c>
      <c r="E1468" s="39" t="s">
        <v>189</v>
      </c>
      <c r="F1468" s="34">
        <v>0</v>
      </c>
      <c r="G1468" s="36">
        <f>Tabla16[[#This Row],[Importe]]-Tabla16[[#This Row],[Pagado]]</f>
        <v>0</v>
      </c>
      <c r="H1468" s="38" t="s">
        <v>189</v>
      </c>
    </row>
    <row r="1469" spans="1:8" x14ac:dyDescent="0.25">
      <c r="A1469" s="31">
        <v>44695</v>
      </c>
      <c r="B1469" s="38" t="s">
        <v>15602</v>
      </c>
      <c r="C1469" s="38" t="s">
        <v>475</v>
      </c>
      <c r="D1469" s="34">
        <v>66490.600000000006</v>
      </c>
      <c r="E1469" s="35">
        <v>44696</v>
      </c>
      <c r="F1469" s="34">
        <v>66490.600000000006</v>
      </c>
      <c r="G1469" s="36">
        <f>Tabla16[[#This Row],[Importe]]-Tabla16[[#This Row],[Pagado]]</f>
        <v>0</v>
      </c>
      <c r="H1469" s="38" t="s">
        <v>10</v>
      </c>
    </row>
    <row r="1470" spans="1:8" x14ac:dyDescent="0.25">
      <c r="A1470" s="31">
        <v>44695</v>
      </c>
      <c r="B1470" s="38" t="s">
        <v>15603</v>
      </c>
      <c r="C1470" s="38" t="s">
        <v>12</v>
      </c>
      <c r="D1470" s="34">
        <v>72852.2</v>
      </c>
      <c r="E1470" s="35">
        <v>44695</v>
      </c>
      <c r="F1470" s="34">
        <v>72852.2</v>
      </c>
      <c r="G1470" s="36">
        <f>Tabla16[[#This Row],[Importe]]-Tabla16[[#This Row],[Pagado]]</f>
        <v>0</v>
      </c>
      <c r="H1470" s="38" t="s">
        <v>10</v>
      </c>
    </row>
    <row r="1471" spans="1:8" x14ac:dyDescent="0.25">
      <c r="A1471" s="31">
        <v>44695</v>
      </c>
      <c r="B1471" s="38" t="s">
        <v>15604</v>
      </c>
      <c r="C1471" s="38" t="s">
        <v>9415</v>
      </c>
      <c r="D1471" s="34">
        <v>20944</v>
      </c>
      <c r="E1471" s="35">
        <v>44696</v>
      </c>
      <c r="F1471" s="34">
        <v>20944</v>
      </c>
      <c r="G1471" s="36">
        <f>Tabla16[[#This Row],[Importe]]-Tabla16[[#This Row],[Pagado]]</f>
        <v>0</v>
      </c>
      <c r="H1471" s="38" t="s">
        <v>10</v>
      </c>
    </row>
    <row r="1472" spans="1:8" x14ac:dyDescent="0.25">
      <c r="A1472" s="31">
        <v>44695</v>
      </c>
      <c r="B1472" s="38" t="s">
        <v>15605</v>
      </c>
      <c r="C1472" s="38" t="s">
        <v>64</v>
      </c>
      <c r="D1472" s="34">
        <v>13759.1</v>
      </c>
      <c r="E1472" s="35">
        <v>44697</v>
      </c>
      <c r="F1472" s="34">
        <v>13759.1</v>
      </c>
      <c r="G1472" s="36">
        <f>Tabla16[[#This Row],[Importe]]-Tabla16[[#This Row],[Pagado]]</f>
        <v>0</v>
      </c>
      <c r="H1472" s="38" t="s">
        <v>10</v>
      </c>
    </row>
    <row r="1473" spans="1:8" x14ac:dyDescent="0.25">
      <c r="A1473" s="31">
        <v>44695</v>
      </c>
      <c r="B1473" s="38" t="s">
        <v>15606</v>
      </c>
      <c r="C1473" s="38" t="s">
        <v>116</v>
      </c>
      <c r="D1473" s="34">
        <v>5220.8</v>
      </c>
      <c r="E1473" s="35">
        <v>44697</v>
      </c>
      <c r="F1473" s="34">
        <v>5220.8</v>
      </c>
      <c r="G1473" s="36">
        <f>Tabla16[[#This Row],[Importe]]-Tabla16[[#This Row],[Pagado]]</f>
        <v>0</v>
      </c>
      <c r="H1473" s="38" t="s">
        <v>10</v>
      </c>
    </row>
    <row r="1474" spans="1:8" x14ac:dyDescent="0.25">
      <c r="A1474" s="31">
        <v>44695</v>
      </c>
      <c r="B1474" s="38" t="s">
        <v>15607</v>
      </c>
      <c r="C1474" s="38" t="s">
        <v>2151</v>
      </c>
      <c r="D1474" s="34">
        <v>44808.6</v>
      </c>
      <c r="E1474" s="35">
        <v>44695</v>
      </c>
      <c r="F1474" s="34">
        <v>44808.6</v>
      </c>
      <c r="G1474" s="36">
        <f>Tabla16[[#This Row],[Importe]]-Tabla16[[#This Row],[Pagado]]</f>
        <v>0</v>
      </c>
      <c r="H1474" s="38" t="s">
        <v>10</v>
      </c>
    </row>
    <row r="1475" spans="1:8" x14ac:dyDescent="0.25">
      <c r="A1475" s="31">
        <v>44695</v>
      </c>
      <c r="B1475" s="38" t="s">
        <v>15608</v>
      </c>
      <c r="C1475" s="38" t="s">
        <v>326</v>
      </c>
      <c r="D1475" s="34">
        <v>14116.8</v>
      </c>
      <c r="E1475" s="35">
        <v>44698</v>
      </c>
      <c r="F1475" s="34">
        <v>14116.8</v>
      </c>
      <c r="G1475" s="36">
        <f>Tabla16[[#This Row],[Importe]]-Tabla16[[#This Row],[Pagado]]</f>
        <v>0</v>
      </c>
      <c r="H1475" s="38" t="s">
        <v>10</v>
      </c>
    </row>
    <row r="1476" spans="1:8" x14ac:dyDescent="0.25">
      <c r="A1476" s="31">
        <v>44695</v>
      </c>
      <c r="B1476" s="38" t="s">
        <v>15609</v>
      </c>
      <c r="C1476" s="38" t="s">
        <v>481</v>
      </c>
      <c r="D1476" s="34">
        <v>1394.8</v>
      </c>
      <c r="E1476" s="35">
        <v>44695</v>
      </c>
      <c r="F1476" s="34">
        <v>1394.8</v>
      </c>
      <c r="G1476" s="36">
        <f>Tabla16[[#This Row],[Importe]]-Tabla16[[#This Row],[Pagado]]</f>
        <v>0</v>
      </c>
      <c r="H1476" s="38" t="s">
        <v>10</v>
      </c>
    </row>
    <row r="1477" spans="1:8" x14ac:dyDescent="0.25">
      <c r="A1477" s="31">
        <v>44695</v>
      </c>
      <c r="B1477" s="38" t="s">
        <v>15610</v>
      </c>
      <c r="C1477" s="38" t="s">
        <v>348</v>
      </c>
      <c r="D1477" s="34">
        <v>6063.9</v>
      </c>
      <c r="E1477" s="35">
        <v>44695</v>
      </c>
      <c r="F1477" s="34">
        <v>6063.9</v>
      </c>
      <c r="G1477" s="36">
        <f>Tabla16[[#This Row],[Importe]]-Tabla16[[#This Row],[Pagado]]</f>
        <v>0</v>
      </c>
      <c r="H1477" s="38" t="s">
        <v>10</v>
      </c>
    </row>
    <row r="1478" spans="1:8" x14ac:dyDescent="0.25">
      <c r="A1478" s="31">
        <v>44695</v>
      </c>
      <c r="B1478" s="38" t="s">
        <v>15611</v>
      </c>
      <c r="C1478" s="38" t="s">
        <v>116</v>
      </c>
      <c r="D1478" s="34">
        <v>675</v>
      </c>
      <c r="E1478" s="35">
        <v>44698</v>
      </c>
      <c r="F1478" s="34">
        <v>675</v>
      </c>
      <c r="G1478" s="36">
        <f>Tabla16[[#This Row],[Importe]]-Tabla16[[#This Row],[Pagado]]</f>
        <v>0</v>
      </c>
      <c r="H1478" s="38" t="s">
        <v>10</v>
      </c>
    </row>
    <row r="1479" spans="1:8" x14ac:dyDescent="0.25">
      <c r="A1479" s="31">
        <v>44695</v>
      </c>
      <c r="B1479" s="38" t="s">
        <v>15612</v>
      </c>
      <c r="C1479" s="38" t="s">
        <v>31</v>
      </c>
      <c r="D1479" s="34">
        <v>4059.8</v>
      </c>
      <c r="E1479" s="35">
        <v>44695</v>
      </c>
      <c r="F1479" s="34">
        <v>4059.8</v>
      </c>
      <c r="G1479" s="36">
        <f>Tabla16[[#This Row],[Importe]]-Tabla16[[#This Row],[Pagado]]</f>
        <v>0</v>
      </c>
      <c r="H1479" s="38" t="s">
        <v>10</v>
      </c>
    </row>
    <row r="1480" spans="1:8" x14ac:dyDescent="0.25">
      <c r="A1480" s="31">
        <v>44695</v>
      </c>
      <c r="B1480" s="38" t="s">
        <v>15613</v>
      </c>
      <c r="C1480" s="38" t="s">
        <v>111</v>
      </c>
      <c r="D1480" s="34">
        <v>9236.1</v>
      </c>
      <c r="E1480" s="35">
        <v>44697</v>
      </c>
      <c r="F1480" s="34">
        <v>9236.1</v>
      </c>
      <c r="G1480" s="36">
        <f>Tabla16[[#This Row],[Importe]]-Tabla16[[#This Row],[Pagado]]</f>
        <v>0</v>
      </c>
      <c r="H1480" s="38" t="s">
        <v>10</v>
      </c>
    </row>
    <row r="1481" spans="1:8" x14ac:dyDescent="0.25">
      <c r="A1481" s="31">
        <v>44695</v>
      </c>
      <c r="B1481" s="38" t="s">
        <v>15614</v>
      </c>
      <c r="C1481" s="38" t="s">
        <v>120</v>
      </c>
      <c r="D1481" s="34">
        <v>4542.1000000000004</v>
      </c>
      <c r="E1481" s="35">
        <v>44697</v>
      </c>
      <c r="F1481" s="34">
        <v>4542.1000000000004</v>
      </c>
      <c r="G1481" s="36">
        <f>Tabla16[[#This Row],[Importe]]-Tabla16[[#This Row],[Pagado]]</f>
        <v>0</v>
      </c>
      <c r="H1481" s="38" t="s">
        <v>10</v>
      </c>
    </row>
    <row r="1482" spans="1:8" x14ac:dyDescent="0.25">
      <c r="A1482" s="31">
        <v>44695</v>
      </c>
      <c r="B1482" s="38" t="s">
        <v>15615</v>
      </c>
      <c r="C1482" s="38" t="s">
        <v>5043</v>
      </c>
      <c r="D1482" s="34">
        <v>9057.7000000000007</v>
      </c>
      <c r="E1482" s="35">
        <v>44698</v>
      </c>
      <c r="F1482" s="34">
        <v>9057.7000000000007</v>
      </c>
      <c r="G1482" s="36">
        <f>Tabla16[[#This Row],[Importe]]-Tabla16[[#This Row],[Pagado]]</f>
        <v>0</v>
      </c>
      <c r="H1482" s="38" t="s">
        <v>10</v>
      </c>
    </row>
    <row r="1483" spans="1:8" x14ac:dyDescent="0.25">
      <c r="A1483" s="31">
        <v>44695</v>
      </c>
      <c r="B1483" s="38" t="s">
        <v>15616</v>
      </c>
      <c r="C1483" s="38" t="s">
        <v>60</v>
      </c>
      <c r="D1483" s="34">
        <v>9026.1</v>
      </c>
      <c r="E1483" s="35">
        <v>44701</v>
      </c>
      <c r="F1483" s="34">
        <v>9026.1</v>
      </c>
      <c r="G1483" s="36">
        <f>Tabla16[[#This Row],[Importe]]-Tabla16[[#This Row],[Pagado]]</f>
        <v>0</v>
      </c>
      <c r="H1483" s="38" t="s">
        <v>10</v>
      </c>
    </row>
    <row r="1484" spans="1:8" x14ac:dyDescent="0.25">
      <c r="A1484" s="31">
        <v>44695</v>
      </c>
      <c r="B1484" s="38" t="s">
        <v>15617</v>
      </c>
      <c r="C1484" s="38" t="s">
        <v>109</v>
      </c>
      <c r="D1484" s="34">
        <v>4493.1000000000004</v>
      </c>
      <c r="E1484" s="35">
        <v>44697</v>
      </c>
      <c r="F1484" s="34">
        <v>4493.1000000000004</v>
      </c>
      <c r="G1484" s="36">
        <f>Tabla16[[#This Row],[Importe]]-Tabla16[[#This Row],[Pagado]]</f>
        <v>0</v>
      </c>
      <c r="H1484" s="38" t="s">
        <v>10</v>
      </c>
    </row>
    <row r="1485" spans="1:8" x14ac:dyDescent="0.25">
      <c r="A1485" s="31">
        <v>44695</v>
      </c>
      <c r="B1485" s="38" t="s">
        <v>15618</v>
      </c>
      <c r="C1485" s="38" t="s">
        <v>450</v>
      </c>
      <c r="D1485" s="34">
        <v>3379.2</v>
      </c>
      <c r="E1485" s="35">
        <v>44695</v>
      </c>
      <c r="F1485" s="34">
        <v>3379.2</v>
      </c>
      <c r="G1485" s="36">
        <f>Tabla16[[#This Row],[Importe]]-Tabla16[[#This Row],[Pagado]]</f>
        <v>0</v>
      </c>
      <c r="H1485" s="38" t="s">
        <v>10</v>
      </c>
    </row>
    <row r="1486" spans="1:8" x14ac:dyDescent="0.25">
      <c r="A1486" s="31">
        <v>44695</v>
      </c>
      <c r="B1486" s="38" t="s">
        <v>15619</v>
      </c>
      <c r="C1486" s="38" t="s">
        <v>2563</v>
      </c>
      <c r="D1486" s="34">
        <v>4685.2</v>
      </c>
      <c r="E1486" s="35">
        <v>44697</v>
      </c>
      <c r="F1486" s="34">
        <v>4685.2</v>
      </c>
      <c r="G1486" s="36">
        <f>Tabla16[[#This Row],[Importe]]-Tabla16[[#This Row],[Pagado]]</f>
        <v>0</v>
      </c>
      <c r="H1486" s="38" t="s">
        <v>10</v>
      </c>
    </row>
    <row r="1487" spans="1:8" x14ac:dyDescent="0.25">
      <c r="A1487" s="31">
        <v>44695</v>
      </c>
      <c r="B1487" s="38" t="s">
        <v>15620</v>
      </c>
      <c r="C1487" s="38" t="s">
        <v>97</v>
      </c>
      <c r="D1487" s="34">
        <v>12704.1</v>
      </c>
      <c r="E1487" s="35">
        <v>44697</v>
      </c>
      <c r="F1487" s="34">
        <v>12704.1</v>
      </c>
      <c r="G1487" s="36">
        <f>Tabla16[[#This Row],[Importe]]-Tabla16[[#This Row],[Pagado]]</f>
        <v>0</v>
      </c>
      <c r="H1487" s="38" t="s">
        <v>10</v>
      </c>
    </row>
    <row r="1488" spans="1:8" x14ac:dyDescent="0.25">
      <c r="A1488" s="31">
        <v>44695</v>
      </c>
      <c r="B1488" s="38" t="s">
        <v>15621</v>
      </c>
      <c r="C1488" s="38" t="s">
        <v>12</v>
      </c>
      <c r="D1488" s="34">
        <v>1204</v>
      </c>
      <c r="E1488" s="35">
        <v>44696</v>
      </c>
      <c r="F1488" s="34">
        <v>1204</v>
      </c>
      <c r="G1488" s="36">
        <f>Tabla16[[#This Row],[Importe]]-Tabla16[[#This Row],[Pagado]]</f>
        <v>0</v>
      </c>
      <c r="H1488" s="38" t="s">
        <v>10</v>
      </c>
    </row>
    <row r="1489" spans="1:8" x14ac:dyDescent="0.25">
      <c r="A1489" s="31">
        <v>44695</v>
      </c>
      <c r="B1489" s="38" t="s">
        <v>15622</v>
      </c>
      <c r="C1489" s="38" t="s">
        <v>114</v>
      </c>
      <c r="D1489" s="34">
        <v>13509.9</v>
      </c>
      <c r="E1489" s="35">
        <v>44697</v>
      </c>
      <c r="F1489" s="34">
        <v>13509.9</v>
      </c>
      <c r="G1489" s="36">
        <f>Tabla16[[#This Row],[Importe]]-Tabla16[[#This Row],[Pagado]]</f>
        <v>0</v>
      </c>
      <c r="H1489" s="38" t="s">
        <v>10</v>
      </c>
    </row>
    <row r="1490" spans="1:8" x14ac:dyDescent="0.25">
      <c r="A1490" s="31">
        <v>44695</v>
      </c>
      <c r="B1490" s="38" t="s">
        <v>15623</v>
      </c>
      <c r="C1490" s="38" t="s">
        <v>13946</v>
      </c>
      <c r="D1490" s="34">
        <v>4579.8</v>
      </c>
      <c r="E1490" s="35">
        <v>44697</v>
      </c>
      <c r="F1490" s="34">
        <v>4579.8</v>
      </c>
      <c r="G1490" s="36">
        <f>Tabla16[[#This Row],[Importe]]-Tabla16[[#This Row],[Pagado]]</f>
        <v>0</v>
      </c>
      <c r="H1490" s="38" t="s">
        <v>10</v>
      </c>
    </row>
    <row r="1491" spans="1:8" ht="31.5" x14ac:dyDescent="0.25">
      <c r="A1491" s="31">
        <v>44695</v>
      </c>
      <c r="B1491" s="38" t="s">
        <v>15624</v>
      </c>
      <c r="C1491" s="38" t="s">
        <v>99</v>
      </c>
      <c r="D1491" s="34">
        <v>12581.1</v>
      </c>
      <c r="E1491" s="35" t="s">
        <v>15625</v>
      </c>
      <c r="F1491" s="34">
        <f>1300+8000+3281.1</f>
        <v>12581.1</v>
      </c>
      <c r="G1491" s="36">
        <f>Tabla16[[#This Row],[Importe]]-Tabla16[[#This Row],[Pagado]]</f>
        <v>0</v>
      </c>
      <c r="H1491" s="38" t="s">
        <v>10</v>
      </c>
    </row>
    <row r="1492" spans="1:8" x14ac:dyDescent="0.25">
      <c r="A1492" s="31">
        <v>44695</v>
      </c>
      <c r="B1492" s="38" t="s">
        <v>15626</v>
      </c>
      <c r="C1492" s="38" t="s">
        <v>93</v>
      </c>
      <c r="D1492" s="34">
        <v>20874.7</v>
      </c>
      <c r="E1492" s="35">
        <v>44697</v>
      </c>
      <c r="F1492" s="34">
        <v>20874.7</v>
      </c>
      <c r="G1492" s="36">
        <f>Tabla16[[#This Row],[Importe]]-Tabla16[[#This Row],[Pagado]]</f>
        <v>0</v>
      </c>
      <c r="H1492" s="38" t="s">
        <v>10</v>
      </c>
    </row>
    <row r="1493" spans="1:8" x14ac:dyDescent="0.25">
      <c r="A1493" s="31">
        <v>44695</v>
      </c>
      <c r="B1493" s="38" t="s">
        <v>15627</v>
      </c>
      <c r="C1493" s="38" t="s">
        <v>105</v>
      </c>
      <c r="D1493" s="34">
        <v>5112.1000000000004</v>
      </c>
      <c r="E1493" s="35">
        <v>44695</v>
      </c>
      <c r="F1493" s="34">
        <v>5112.1000000000004</v>
      </c>
      <c r="G1493" s="36">
        <f>Tabla16[[#This Row],[Importe]]-Tabla16[[#This Row],[Pagado]]</f>
        <v>0</v>
      </c>
      <c r="H1493" s="38" t="s">
        <v>10</v>
      </c>
    </row>
    <row r="1494" spans="1:8" x14ac:dyDescent="0.25">
      <c r="A1494" s="31">
        <v>44695</v>
      </c>
      <c r="B1494" s="38" t="s">
        <v>15628</v>
      </c>
      <c r="C1494" s="38" t="s">
        <v>89</v>
      </c>
      <c r="D1494" s="34">
        <v>9312.6</v>
      </c>
      <c r="E1494" s="35">
        <v>44697</v>
      </c>
      <c r="F1494" s="34">
        <v>9312.6</v>
      </c>
      <c r="G1494" s="36">
        <f>Tabla16[[#This Row],[Importe]]-Tabla16[[#This Row],[Pagado]]</f>
        <v>0</v>
      </c>
      <c r="H1494" s="38" t="s">
        <v>10</v>
      </c>
    </row>
    <row r="1495" spans="1:8" x14ac:dyDescent="0.25">
      <c r="A1495" s="31">
        <v>44695</v>
      </c>
      <c r="B1495" s="38" t="s">
        <v>15629</v>
      </c>
      <c r="C1495" s="38" t="s">
        <v>10586</v>
      </c>
      <c r="D1495" s="34">
        <v>4845</v>
      </c>
      <c r="E1495" s="35">
        <v>44697</v>
      </c>
      <c r="F1495" s="34">
        <v>4845</v>
      </c>
      <c r="G1495" s="36">
        <f>Tabla16[[#This Row],[Importe]]-Tabla16[[#This Row],[Pagado]]</f>
        <v>0</v>
      </c>
      <c r="H1495" s="38" t="s">
        <v>10</v>
      </c>
    </row>
    <row r="1496" spans="1:8" x14ac:dyDescent="0.25">
      <c r="A1496" s="31">
        <v>44695</v>
      </c>
      <c r="B1496" s="38" t="s">
        <v>15630</v>
      </c>
      <c r="C1496" s="38" t="s">
        <v>9</v>
      </c>
      <c r="D1496" s="34">
        <v>5151.5</v>
      </c>
      <c r="E1496" s="35">
        <v>44695</v>
      </c>
      <c r="F1496" s="34">
        <v>5151.5</v>
      </c>
      <c r="G1496" s="36">
        <f>Tabla16[[#This Row],[Importe]]-Tabla16[[#This Row],[Pagado]]</f>
        <v>0</v>
      </c>
      <c r="H1496" s="38" t="s">
        <v>10</v>
      </c>
    </row>
    <row r="1497" spans="1:8" x14ac:dyDescent="0.25">
      <c r="A1497" s="31">
        <v>44695</v>
      </c>
      <c r="B1497" s="38" t="s">
        <v>15631</v>
      </c>
      <c r="C1497" s="38" t="s">
        <v>39</v>
      </c>
      <c r="D1497" s="34">
        <v>3852.9</v>
      </c>
      <c r="E1497" s="35">
        <v>44697</v>
      </c>
      <c r="F1497" s="34">
        <v>3852.9</v>
      </c>
      <c r="G1497" s="36">
        <f>Tabla16[[#This Row],[Importe]]-Tabla16[[#This Row],[Pagado]]</f>
        <v>0</v>
      </c>
      <c r="H1497" s="38" t="s">
        <v>10</v>
      </c>
    </row>
    <row r="1498" spans="1:8" ht="31.5" x14ac:dyDescent="0.25">
      <c r="A1498" s="31">
        <v>44695</v>
      </c>
      <c r="B1498" s="38" t="s">
        <v>15632</v>
      </c>
      <c r="C1498" s="38" t="s">
        <v>22</v>
      </c>
      <c r="D1498" s="34">
        <v>60153.3</v>
      </c>
      <c r="E1498" s="35" t="s">
        <v>15465</v>
      </c>
      <c r="F1498" s="34">
        <f>45000+15153.3</f>
        <v>60153.3</v>
      </c>
      <c r="G1498" s="36">
        <f>Tabla16[[#This Row],[Importe]]-Tabla16[[#This Row],[Pagado]]</f>
        <v>0</v>
      </c>
      <c r="H1498" s="38" t="s">
        <v>10</v>
      </c>
    </row>
    <row r="1499" spans="1:8" ht="31.5" x14ac:dyDescent="0.25">
      <c r="A1499" s="31">
        <v>44695</v>
      </c>
      <c r="B1499" s="38" t="s">
        <v>15633</v>
      </c>
      <c r="C1499" s="38" t="s">
        <v>39</v>
      </c>
      <c r="D1499" s="34">
        <v>30570.400000000001</v>
      </c>
      <c r="E1499" s="35" t="s">
        <v>15634</v>
      </c>
      <c r="F1499" s="34">
        <f>7000+4000+19570.4</f>
        <v>30570.400000000001</v>
      </c>
      <c r="G1499" s="36">
        <f>Tabla16[[#This Row],[Importe]]-Tabla16[[#This Row],[Pagado]]</f>
        <v>0</v>
      </c>
      <c r="H1499" s="38" t="s">
        <v>10</v>
      </c>
    </row>
    <row r="1500" spans="1:8" x14ac:dyDescent="0.25">
      <c r="A1500" s="31">
        <v>44695</v>
      </c>
      <c r="B1500" s="38" t="s">
        <v>15635</v>
      </c>
      <c r="C1500" s="38" t="s">
        <v>85</v>
      </c>
      <c r="D1500" s="34">
        <v>5479.6</v>
      </c>
      <c r="E1500" s="35">
        <v>44695</v>
      </c>
      <c r="F1500" s="34">
        <v>5479.6</v>
      </c>
      <c r="G1500" s="36">
        <f>Tabla16[[#This Row],[Importe]]-Tabla16[[#This Row],[Pagado]]</f>
        <v>0</v>
      </c>
      <c r="H1500" s="38" t="s">
        <v>10</v>
      </c>
    </row>
    <row r="1501" spans="1:8" x14ac:dyDescent="0.25">
      <c r="A1501" s="31">
        <v>44695</v>
      </c>
      <c r="B1501" s="38" t="s">
        <v>15636</v>
      </c>
      <c r="C1501" s="38" t="s">
        <v>75</v>
      </c>
      <c r="D1501" s="34">
        <v>12183.6</v>
      </c>
      <c r="E1501" s="35">
        <v>44696</v>
      </c>
      <c r="F1501" s="34">
        <v>12183.6</v>
      </c>
      <c r="G1501" s="36">
        <f>Tabla16[[#This Row],[Importe]]-Tabla16[[#This Row],[Pagado]]</f>
        <v>0</v>
      </c>
      <c r="H1501" s="38" t="s">
        <v>10</v>
      </c>
    </row>
    <row r="1502" spans="1:8" x14ac:dyDescent="0.25">
      <c r="A1502" s="31">
        <v>44695</v>
      </c>
      <c r="B1502" s="38" t="s">
        <v>15637</v>
      </c>
      <c r="C1502" s="38" t="s">
        <v>924</v>
      </c>
      <c r="D1502" s="34">
        <v>8451.6</v>
      </c>
      <c r="E1502" s="35">
        <v>44695</v>
      </c>
      <c r="F1502" s="34">
        <v>8451.6</v>
      </c>
      <c r="G1502" s="36">
        <f>Tabla16[[#This Row],[Importe]]-Tabla16[[#This Row],[Pagado]]</f>
        <v>0</v>
      </c>
      <c r="H1502" s="38" t="s">
        <v>10</v>
      </c>
    </row>
    <row r="1503" spans="1:8" x14ac:dyDescent="0.25">
      <c r="A1503" s="31">
        <v>44695</v>
      </c>
      <c r="B1503" s="38" t="s">
        <v>15638</v>
      </c>
      <c r="C1503" s="38" t="s">
        <v>75</v>
      </c>
      <c r="D1503" s="34">
        <v>9985.7999999999993</v>
      </c>
      <c r="E1503" s="35">
        <v>44695</v>
      </c>
      <c r="F1503" s="34">
        <v>9985.7999999999993</v>
      </c>
      <c r="G1503" s="36">
        <f>Tabla16[[#This Row],[Importe]]-Tabla16[[#This Row],[Pagado]]</f>
        <v>0</v>
      </c>
      <c r="H1503" s="38" t="s">
        <v>10</v>
      </c>
    </row>
    <row r="1504" spans="1:8" x14ac:dyDescent="0.25">
      <c r="A1504" s="31">
        <v>44695</v>
      </c>
      <c r="B1504" s="38" t="s">
        <v>15639</v>
      </c>
      <c r="C1504" s="38" t="s">
        <v>31</v>
      </c>
      <c r="D1504" s="34">
        <v>2171.4</v>
      </c>
      <c r="E1504" s="35">
        <v>44695</v>
      </c>
      <c r="F1504" s="34">
        <v>2171.4</v>
      </c>
      <c r="G1504" s="36">
        <f>Tabla16[[#This Row],[Importe]]-Tabla16[[#This Row],[Pagado]]</f>
        <v>0</v>
      </c>
      <c r="H1504" s="38" t="s">
        <v>10</v>
      </c>
    </row>
    <row r="1505" spans="1:8" x14ac:dyDescent="0.25">
      <c r="A1505" s="31">
        <v>44695</v>
      </c>
      <c r="B1505" s="38" t="s">
        <v>15640</v>
      </c>
      <c r="C1505" s="38" t="s">
        <v>31</v>
      </c>
      <c r="D1505" s="34">
        <v>1607.7</v>
      </c>
      <c r="E1505" s="35">
        <v>44695</v>
      </c>
      <c r="F1505" s="34">
        <v>1607.7</v>
      </c>
      <c r="G1505" s="36">
        <f>Tabla16[[#This Row],[Importe]]-Tabla16[[#This Row],[Pagado]]</f>
        <v>0</v>
      </c>
      <c r="H1505" s="38" t="s">
        <v>10</v>
      </c>
    </row>
    <row r="1506" spans="1:8" x14ac:dyDescent="0.25">
      <c r="A1506" s="31">
        <v>44695</v>
      </c>
      <c r="B1506" s="38" t="s">
        <v>15641</v>
      </c>
      <c r="C1506" s="38" t="s">
        <v>426</v>
      </c>
      <c r="D1506" s="34">
        <v>6558.1</v>
      </c>
      <c r="E1506" s="35">
        <v>44695</v>
      </c>
      <c r="F1506" s="34">
        <v>6558.1</v>
      </c>
      <c r="G1506" s="36">
        <f>Tabla16[[#This Row],[Importe]]-Tabla16[[#This Row],[Pagado]]</f>
        <v>0</v>
      </c>
      <c r="H1506" s="38" t="s">
        <v>10</v>
      </c>
    </row>
    <row r="1507" spans="1:8" x14ac:dyDescent="0.25">
      <c r="A1507" s="31">
        <v>44695</v>
      </c>
      <c r="B1507" s="38" t="s">
        <v>15642</v>
      </c>
      <c r="C1507" s="38" t="s">
        <v>200</v>
      </c>
      <c r="D1507" s="34">
        <v>1174.8</v>
      </c>
      <c r="E1507" s="35">
        <v>44695</v>
      </c>
      <c r="F1507" s="34">
        <v>1174.8</v>
      </c>
      <c r="G1507" s="36">
        <f>Tabla16[[#This Row],[Importe]]-Tabla16[[#This Row],[Pagado]]</f>
        <v>0</v>
      </c>
      <c r="H1507" s="38" t="s">
        <v>10</v>
      </c>
    </row>
    <row r="1508" spans="1:8" x14ac:dyDescent="0.25">
      <c r="A1508" s="31">
        <v>44695</v>
      </c>
      <c r="B1508" s="38" t="s">
        <v>15643</v>
      </c>
      <c r="C1508" s="38" t="s">
        <v>359</v>
      </c>
      <c r="D1508" s="34">
        <v>1107.2</v>
      </c>
      <c r="E1508" s="35">
        <v>44695</v>
      </c>
      <c r="F1508" s="34">
        <v>1107.2</v>
      </c>
      <c r="G1508" s="36">
        <f>Tabla16[[#This Row],[Importe]]-Tabla16[[#This Row],[Pagado]]</f>
        <v>0</v>
      </c>
      <c r="H1508" s="38" t="s">
        <v>10</v>
      </c>
    </row>
    <row r="1509" spans="1:8" x14ac:dyDescent="0.25">
      <c r="A1509" s="31">
        <v>44695</v>
      </c>
      <c r="B1509" s="38" t="s">
        <v>15644</v>
      </c>
      <c r="C1509" s="38" t="s">
        <v>181</v>
      </c>
      <c r="D1509" s="34">
        <v>15813.4</v>
      </c>
      <c r="E1509" s="35">
        <v>44695</v>
      </c>
      <c r="F1509" s="34">
        <v>15813.4</v>
      </c>
      <c r="G1509" s="36">
        <f>Tabla16[[#This Row],[Importe]]-Tabla16[[#This Row],[Pagado]]</f>
        <v>0</v>
      </c>
      <c r="H1509" s="38" t="s">
        <v>10</v>
      </c>
    </row>
    <row r="1510" spans="1:8" x14ac:dyDescent="0.25">
      <c r="A1510" s="31">
        <v>44695</v>
      </c>
      <c r="B1510" s="38" t="s">
        <v>15645</v>
      </c>
      <c r="C1510" s="38" t="s">
        <v>31</v>
      </c>
      <c r="D1510" s="34">
        <v>109.2</v>
      </c>
      <c r="E1510" s="35">
        <v>44695</v>
      </c>
      <c r="F1510" s="34">
        <v>109.2</v>
      </c>
      <c r="G1510" s="36">
        <f>Tabla16[[#This Row],[Importe]]-Tabla16[[#This Row],[Pagado]]</f>
        <v>0</v>
      </c>
      <c r="H1510" s="38" t="s">
        <v>10</v>
      </c>
    </row>
    <row r="1511" spans="1:8" x14ac:dyDescent="0.25">
      <c r="A1511" s="31">
        <v>44695</v>
      </c>
      <c r="B1511" s="38" t="s">
        <v>15646</v>
      </c>
      <c r="C1511" s="38" t="s">
        <v>31</v>
      </c>
      <c r="D1511" s="34">
        <v>1156.5</v>
      </c>
      <c r="E1511" s="35">
        <v>44695</v>
      </c>
      <c r="F1511" s="34">
        <v>1156.5</v>
      </c>
      <c r="G1511" s="36">
        <f>Tabla16[[#This Row],[Importe]]-Tabla16[[#This Row],[Pagado]]</f>
        <v>0</v>
      </c>
      <c r="H1511" s="38" t="s">
        <v>10</v>
      </c>
    </row>
    <row r="1512" spans="1:8" x14ac:dyDescent="0.25">
      <c r="A1512" s="31">
        <v>44695</v>
      </c>
      <c r="B1512" s="38" t="s">
        <v>15647</v>
      </c>
      <c r="C1512" s="38" t="s">
        <v>12202</v>
      </c>
      <c r="D1512" s="34">
        <v>7200</v>
      </c>
      <c r="E1512" s="35">
        <v>44695</v>
      </c>
      <c r="F1512" s="34">
        <v>7200</v>
      </c>
      <c r="G1512" s="36">
        <f>Tabla16[[#This Row],[Importe]]-Tabla16[[#This Row],[Pagado]]</f>
        <v>0</v>
      </c>
      <c r="H1512" s="38" t="s">
        <v>10</v>
      </c>
    </row>
    <row r="1513" spans="1:8" x14ac:dyDescent="0.25">
      <c r="A1513" s="31">
        <v>44695</v>
      </c>
      <c r="B1513" s="38" t="s">
        <v>15648</v>
      </c>
      <c r="C1513" s="38" t="s">
        <v>426</v>
      </c>
      <c r="D1513" s="34">
        <v>600</v>
      </c>
      <c r="E1513" s="35">
        <v>44695</v>
      </c>
      <c r="F1513" s="34">
        <v>600</v>
      </c>
      <c r="G1513" s="36">
        <f>Tabla16[[#This Row],[Importe]]-Tabla16[[#This Row],[Pagado]]</f>
        <v>0</v>
      </c>
      <c r="H1513" s="38" t="s">
        <v>10</v>
      </c>
    </row>
    <row r="1514" spans="1:8" x14ac:dyDescent="0.25">
      <c r="A1514" s="31">
        <v>44695</v>
      </c>
      <c r="B1514" s="38" t="s">
        <v>15649</v>
      </c>
      <c r="C1514" s="38" t="s">
        <v>804</v>
      </c>
      <c r="D1514" s="34">
        <v>15556.5</v>
      </c>
      <c r="E1514" s="35">
        <v>44695</v>
      </c>
      <c r="F1514" s="34">
        <v>15556.5</v>
      </c>
      <c r="G1514" s="36">
        <f>Tabla16[[#This Row],[Importe]]-Tabla16[[#This Row],[Pagado]]</f>
        <v>0</v>
      </c>
      <c r="H1514" s="38" t="s">
        <v>10</v>
      </c>
    </row>
    <row r="1515" spans="1:8" x14ac:dyDescent="0.25">
      <c r="A1515" s="31">
        <v>44695</v>
      </c>
      <c r="B1515" s="38" t="s">
        <v>15650</v>
      </c>
      <c r="C1515" s="38" t="s">
        <v>161</v>
      </c>
      <c r="D1515" s="34">
        <v>1279.8</v>
      </c>
      <c r="E1515" s="35">
        <v>44695</v>
      </c>
      <c r="F1515" s="34">
        <v>1279.8</v>
      </c>
      <c r="G1515" s="36">
        <f>Tabla16[[#This Row],[Importe]]-Tabla16[[#This Row],[Pagado]]</f>
        <v>0</v>
      </c>
      <c r="H1515" s="38" t="s">
        <v>10</v>
      </c>
    </row>
    <row r="1516" spans="1:8" x14ac:dyDescent="0.25">
      <c r="A1516" s="31">
        <v>44695</v>
      </c>
      <c r="B1516" s="38" t="s">
        <v>15651</v>
      </c>
      <c r="C1516" s="38" t="s">
        <v>804</v>
      </c>
      <c r="D1516" s="34">
        <v>1173</v>
      </c>
      <c r="E1516" s="35">
        <v>44695</v>
      </c>
      <c r="F1516" s="34">
        <v>1173</v>
      </c>
      <c r="G1516" s="36">
        <f>Tabla16[[#This Row],[Importe]]-Tabla16[[#This Row],[Pagado]]</f>
        <v>0</v>
      </c>
      <c r="H1516" s="38" t="s">
        <v>10</v>
      </c>
    </row>
    <row r="1517" spans="1:8" x14ac:dyDescent="0.25">
      <c r="A1517" s="31">
        <v>44695</v>
      </c>
      <c r="B1517" s="38" t="s">
        <v>15652</v>
      </c>
      <c r="C1517" s="38" t="s">
        <v>11033</v>
      </c>
      <c r="D1517" s="34">
        <v>3776</v>
      </c>
      <c r="E1517" s="35">
        <v>44695</v>
      </c>
      <c r="F1517" s="34">
        <v>3776</v>
      </c>
      <c r="G1517" s="36">
        <f>Tabla16[[#This Row],[Importe]]-Tabla16[[#This Row],[Pagado]]</f>
        <v>0</v>
      </c>
      <c r="H1517" s="38" t="s">
        <v>10</v>
      </c>
    </row>
    <row r="1518" spans="1:8" x14ac:dyDescent="0.25">
      <c r="A1518" s="31">
        <v>44695</v>
      </c>
      <c r="B1518" s="38" t="s">
        <v>15653</v>
      </c>
      <c r="C1518" s="38" t="s">
        <v>314</v>
      </c>
      <c r="D1518" s="34">
        <v>4204.2</v>
      </c>
      <c r="E1518" s="35">
        <v>44695</v>
      </c>
      <c r="F1518" s="34">
        <v>4204.2</v>
      </c>
      <c r="G1518" s="36">
        <f>Tabla16[[#This Row],[Importe]]-Tabla16[[#This Row],[Pagado]]</f>
        <v>0</v>
      </c>
      <c r="H1518" s="38" t="s">
        <v>10</v>
      </c>
    </row>
    <row r="1519" spans="1:8" x14ac:dyDescent="0.25">
      <c r="A1519" s="31">
        <v>44695</v>
      </c>
      <c r="B1519" s="38" t="s">
        <v>15654</v>
      </c>
      <c r="C1519" s="38" t="s">
        <v>2780</v>
      </c>
      <c r="D1519" s="34">
        <v>10766.5</v>
      </c>
      <c r="E1519" s="35">
        <v>44695</v>
      </c>
      <c r="F1519" s="34">
        <v>10766.5</v>
      </c>
      <c r="G1519" s="36">
        <f>Tabla16[[#This Row],[Importe]]-Tabla16[[#This Row],[Pagado]]</f>
        <v>0</v>
      </c>
      <c r="H1519" s="38" t="s">
        <v>10</v>
      </c>
    </row>
    <row r="1520" spans="1:8" x14ac:dyDescent="0.25">
      <c r="A1520" s="31">
        <v>44695</v>
      </c>
      <c r="B1520" s="38" t="s">
        <v>15655</v>
      </c>
      <c r="C1520" s="38" t="s">
        <v>29</v>
      </c>
      <c r="D1520" s="34">
        <v>7959.6</v>
      </c>
      <c r="E1520" s="35">
        <v>44695</v>
      </c>
      <c r="F1520" s="34">
        <v>7959.6</v>
      </c>
      <c r="G1520" s="36">
        <f>Tabla16[[#This Row],[Importe]]-Tabla16[[#This Row],[Pagado]]</f>
        <v>0</v>
      </c>
      <c r="H1520" s="38" t="s">
        <v>10</v>
      </c>
    </row>
    <row r="1521" spans="1:8" x14ac:dyDescent="0.25">
      <c r="A1521" s="31">
        <v>44695</v>
      </c>
      <c r="B1521" s="38" t="s">
        <v>15656</v>
      </c>
      <c r="C1521" s="38" t="s">
        <v>16</v>
      </c>
      <c r="D1521" s="34">
        <v>7112.6</v>
      </c>
      <c r="E1521" s="35">
        <v>44695</v>
      </c>
      <c r="F1521" s="34">
        <v>7112.6</v>
      </c>
      <c r="G1521" s="36">
        <f>Tabla16[[#This Row],[Importe]]-Tabla16[[#This Row],[Pagado]]</f>
        <v>0</v>
      </c>
      <c r="H1521" s="38" t="s">
        <v>10</v>
      </c>
    </row>
    <row r="1522" spans="1:8" x14ac:dyDescent="0.25">
      <c r="A1522" s="31">
        <v>44695</v>
      </c>
      <c r="B1522" s="38" t="s">
        <v>15657</v>
      </c>
      <c r="C1522" s="38" t="s">
        <v>87</v>
      </c>
      <c r="D1522" s="34">
        <v>3395.7</v>
      </c>
      <c r="E1522" s="35">
        <v>44695</v>
      </c>
      <c r="F1522" s="34">
        <v>3395.7</v>
      </c>
      <c r="G1522" s="36">
        <f>Tabla16[[#This Row],[Importe]]-Tabla16[[#This Row],[Pagado]]</f>
        <v>0</v>
      </c>
      <c r="H1522" s="38" t="s">
        <v>10</v>
      </c>
    </row>
    <row r="1523" spans="1:8" x14ac:dyDescent="0.25">
      <c r="A1523" s="31">
        <v>44695</v>
      </c>
      <c r="B1523" s="38" t="s">
        <v>15658</v>
      </c>
      <c r="C1523" s="38" t="s">
        <v>27</v>
      </c>
      <c r="D1523" s="34">
        <v>1901.5</v>
      </c>
      <c r="E1523" s="35">
        <v>44695</v>
      </c>
      <c r="F1523" s="34">
        <v>1901.5</v>
      </c>
      <c r="G1523" s="36">
        <f>Tabla16[[#This Row],[Importe]]-Tabla16[[#This Row],[Pagado]]</f>
        <v>0</v>
      </c>
      <c r="H1523" s="38" t="s">
        <v>10</v>
      </c>
    </row>
    <row r="1524" spans="1:8" x14ac:dyDescent="0.25">
      <c r="A1524" s="31">
        <v>44695</v>
      </c>
      <c r="B1524" s="38" t="s">
        <v>15659</v>
      </c>
      <c r="C1524" s="38" t="s">
        <v>43</v>
      </c>
      <c r="D1524" s="34">
        <v>52768.5</v>
      </c>
      <c r="E1524" s="35">
        <v>44705</v>
      </c>
      <c r="F1524" s="34">
        <v>52768.5</v>
      </c>
      <c r="G1524" s="36">
        <f>Tabla16[[#This Row],[Importe]]-Tabla16[[#This Row],[Pagado]]</f>
        <v>0</v>
      </c>
      <c r="H1524" s="38" t="s">
        <v>10</v>
      </c>
    </row>
    <row r="1525" spans="1:8" x14ac:dyDescent="0.25">
      <c r="A1525" s="31">
        <v>44695</v>
      </c>
      <c r="B1525" s="38" t="s">
        <v>15660</v>
      </c>
      <c r="C1525" s="38" t="s">
        <v>15039</v>
      </c>
      <c r="D1525" s="34">
        <v>6784</v>
      </c>
      <c r="E1525" s="35">
        <v>44695</v>
      </c>
      <c r="F1525" s="34">
        <v>6784</v>
      </c>
      <c r="G1525" s="36">
        <f>Tabla16[[#This Row],[Importe]]-Tabla16[[#This Row],[Pagado]]</f>
        <v>0</v>
      </c>
      <c r="H1525" s="38" t="s">
        <v>10</v>
      </c>
    </row>
    <row r="1526" spans="1:8" x14ac:dyDescent="0.25">
      <c r="A1526" s="31">
        <v>44695</v>
      </c>
      <c r="B1526" s="38" t="s">
        <v>15661</v>
      </c>
      <c r="C1526" s="38" t="s">
        <v>1362</v>
      </c>
      <c r="D1526" s="34">
        <v>7681.2</v>
      </c>
      <c r="E1526" s="35">
        <v>44695</v>
      </c>
      <c r="F1526" s="34">
        <v>7681.2</v>
      </c>
      <c r="G1526" s="36">
        <f>Tabla16[[#This Row],[Importe]]-Tabla16[[#This Row],[Pagado]]</f>
        <v>0</v>
      </c>
      <c r="H1526" s="38" t="s">
        <v>10</v>
      </c>
    </row>
    <row r="1527" spans="1:8" x14ac:dyDescent="0.25">
      <c r="A1527" s="31">
        <v>44695</v>
      </c>
      <c r="B1527" s="38" t="s">
        <v>15662</v>
      </c>
      <c r="C1527" s="38" t="s">
        <v>230</v>
      </c>
      <c r="D1527" s="34">
        <v>957.6</v>
      </c>
      <c r="E1527" s="35">
        <v>44695</v>
      </c>
      <c r="F1527" s="34">
        <v>957.6</v>
      </c>
      <c r="G1527" s="36">
        <f>Tabla16[[#This Row],[Importe]]-Tabla16[[#This Row],[Pagado]]</f>
        <v>0</v>
      </c>
      <c r="H1527" s="38" t="s">
        <v>10</v>
      </c>
    </row>
    <row r="1528" spans="1:8" x14ac:dyDescent="0.25">
      <c r="A1528" s="31">
        <v>44695</v>
      </c>
      <c r="B1528" s="38" t="s">
        <v>15663</v>
      </c>
      <c r="C1528" s="38" t="s">
        <v>357</v>
      </c>
      <c r="D1528" s="34">
        <v>1676.4</v>
      </c>
      <c r="E1528" s="35">
        <v>44695</v>
      </c>
      <c r="F1528" s="34">
        <v>1676.4</v>
      </c>
      <c r="G1528" s="36">
        <f>Tabla16[[#This Row],[Importe]]-Tabla16[[#This Row],[Pagado]]</f>
        <v>0</v>
      </c>
      <c r="H1528" s="38" t="s">
        <v>10</v>
      </c>
    </row>
    <row r="1529" spans="1:8" x14ac:dyDescent="0.25">
      <c r="A1529" s="31">
        <v>44695</v>
      </c>
      <c r="B1529" s="38" t="s">
        <v>15664</v>
      </c>
      <c r="C1529" s="38" t="s">
        <v>140</v>
      </c>
      <c r="D1529" s="34">
        <v>4804.1000000000004</v>
      </c>
      <c r="E1529" s="35">
        <v>44695</v>
      </c>
      <c r="F1529" s="34">
        <v>4804.1000000000004</v>
      </c>
      <c r="G1529" s="36">
        <f>Tabla16[[#This Row],[Importe]]-Tabla16[[#This Row],[Pagado]]</f>
        <v>0</v>
      </c>
      <c r="H1529" s="38" t="s">
        <v>10</v>
      </c>
    </row>
    <row r="1530" spans="1:8" x14ac:dyDescent="0.25">
      <c r="A1530" s="31">
        <v>44695</v>
      </c>
      <c r="B1530" s="38" t="s">
        <v>15665</v>
      </c>
      <c r="C1530" s="38" t="s">
        <v>140</v>
      </c>
      <c r="D1530" s="34">
        <v>308</v>
      </c>
      <c r="E1530" s="35">
        <v>44695</v>
      </c>
      <c r="F1530" s="34">
        <v>308</v>
      </c>
      <c r="G1530" s="36">
        <f>Tabla16[[#This Row],[Importe]]-Tabla16[[#This Row],[Pagado]]</f>
        <v>0</v>
      </c>
      <c r="H1530" s="38" t="s">
        <v>10</v>
      </c>
    </row>
    <row r="1531" spans="1:8" x14ac:dyDescent="0.25">
      <c r="A1531" s="31">
        <v>44695</v>
      </c>
      <c r="B1531" s="38" t="s">
        <v>15666</v>
      </c>
      <c r="C1531" s="38" t="s">
        <v>24</v>
      </c>
      <c r="D1531" s="34">
        <v>3078.4</v>
      </c>
      <c r="E1531" s="35">
        <v>44695</v>
      </c>
      <c r="F1531" s="34">
        <v>3078.4</v>
      </c>
      <c r="G1531" s="36">
        <f>Tabla16[[#This Row],[Importe]]-Tabla16[[#This Row],[Pagado]]</f>
        <v>0</v>
      </c>
      <c r="H1531" s="38" t="s">
        <v>10</v>
      </c>
    </row>
    <row r="1532" spans="1:8" x14ac:dyDescent="0.25">
      <c r="A1532" s="31">
        <v>44695</v>
      </c>
      <c r="B1532" s="38" t="s">
        <v>15667</v>
      </c>
      <c r="C1532" s="38" t="s">
        <v>129</v>
      </c>
      <c r="D1532" s="34">
        <v>2891.1</v>
      </c>
      <c r="E1532" s="35">
        <v>44695</v>
      </c>
      <c r="F1532" s="34">
        <v>2891.1</v>
      </c>
      <c r="G1532" s="36">
        <f>Tabla16[[#This Row],[Importe]]-Tabla16[[#This Row],[Pagado]]</f>
        <v>0</v>
      </c>
      <c r="H1532" s="38" t="s">
        <v>10</v>
      </c>
    </row>
    <row r="1533" spans="1:8" x14ac:dyDescent="0.25">
      <c r="A1533" s="31">
        <v>44695</v>
      </c>
      <c r="B1533" s="38" t="s">
        <v>15668</v>
      </c>
      <c r="C1533" s="38" t="s">
        <v>127</v>
      </c>
      <c r="D1533" s="34">
        <v>5441.2</v>
      </c>
      <c r="E1533" s="35">
        <v>44695</v>
      </c>
      <c r="F1533" s="34">
        <v>5441.2</v>
      </c>
      <c r="G1533" s="36">
        <f>Tabla16[[#This Row],[Importe]]-Tabla16[[#This Row],[Pagado]]</f>
        <v>0</v>
      </c>
      <c r="H1533" s="38" t="s">
        <v>10</v>
      </c>
    </row>
    <row r="1534" spans="1:8" x14ac:dyDescent="0.25">
      <c r="A1534" s="31">
        <v>44695</v>
      </c>
      <c r="B1534" s="38" t="s">
        <v>15669</v>
      </c>
      <c r="C1534" s="38" t="s">
        <v>339</v>
      </c>
      <c r="D1534" s="34">
        <v>586.5</v>
      </c>
      <c r="E1534" s="35">
        <v>44695</v>
      </c>
      <c r="F1534" s="34">
        <v>586.5</v>
      </c>
      <c r="G1534" s="36">
        <f>Tabla16[[#This Row],[Importe]]-Tabla16[[#This Row],[Pagado]]</f>
        <v>0</v>
      </c>
      <c r="H1534" s="38" t="s">
        <v>10</v>
      </c>
    </row>
    <row r="1535" spans="1:8" x14ac:dyDescent="0.25">
      <c r="A1535" s="31">
        <v>44695</v>
      </c>
      <c r="B1535" s="38" t="s">
        <v>15670</v>
      </c>
      <c r="C1535" s="38" t="s">
        <v>146</v>
      </c>
      <c r="D1535" s="34">
        <v>10907.2</v>
      </c>
      <c r="E1535" s="35">
        <v>44695</v>
      </c>
      <c r="F1535" s="34">
        <v>10907.2</v>
      </c>
      <c r="G1535" s="36">
        <f>Tabla16[[#This Row],[Importe]]-Tabla16[[#This Row],[Pagado]]</f>
        <v>0</v>
      </c>
      <c r="H1535" s="38" t="s">
        <v>10</v>
      </c>
    </row>
    <row r="1536" spans="1:8" x14ac:dyDescent="0.25">
      <c r="A1536" s="31">
        <v>44695</v>
      </c>
      <c r="B1536" s="38" t="s">
        <v>15671</v>
      </c>
      <c r="C1536" s="38" t="s">
        <v>216</v>
      </c>
      <c r="D1536" s="34">
        <v>2070.8000000000002</v>
      </c>
      <c r="E1536" s="35">
        <v>44695</v>
      </c>
      <c r="F1536" s="34">
        <v>2070.8000000000002</v>
      </c>
      <c r="G1536" s="36">
        <f>Tabla16[[#This Row],[Importe]]-Tabla16[[#This Row],[Pagado]]</f>
        <v>0</v>
      </c>
      <c r="H1536" s="38" t="s">
        <v>10</v>
      </c>
    </row>
    <row r="1537" spans="1:8" x14ac:dyDescent="0.25">
      <c r="A1537" s="31">
        <v>44695</v>
      </c>
      <c r="B1537" s="38" t="s">
        <v>15672</v>
      </c>
      <c r="C1537" s="38" t="s">
        <v>49</v>
      </c>
      <c r="D1537" s="34">
        <v>4366</v>
      </c>
      <c r="E1537" s="35">
        <v>44695</v>
      </c>
      <c r="F1537" s="34">
        <v>4366</v>
      </c>
      <c r="G1537" s="36">
        <f>Tabla16[[#This Row],[Importe]]-Tabla16[[#This Row],[Pagado]]</f>
        <v>0</v>
      </c>
      <c r="H1537" s="38" t="s">
        <v>10</v>
      </c>
    </row>
    <row r="1538" spans="1:8" x14ac:dyDescent="0.25">
      <c r="A1538" s="31">
        <v>44695</v>
      </c>
      <c r="B1538" s="38" t="s">
        <v>15673</v>
      </c>
      <c r="C1538" s="38" t="s">
        <v>97</v>
      </c>
      <c r="D1538" s="34">
        <v>4164.5</v>
      </c>
      <c r="E1538" s="35">
        <v>44695</v>
      </c>
      <c r="F1538" s="34">
        <v>4164.5</v>
      </c>
      <c r="G1538" s="36">
        <f>Tabla16[[#This Row],[Importe]]-Tabla16[[#This Row],[Pagado]]</f>
        <v>0</v>
      </c>
      <c r="H1538" s="38" t="s">
        <v>10</v>
      </c>
    </row>
    <row r="1539" spans="1:8" x14ac:dyDescent="0.25">
      <c r="A1539" s="31">
        <v>44695</v>
      </c>
      <c r="B1539" s="38" t="s">
        <v>15674</v>
      </c>
      <c r="C1539" s="38" t="s">
        <v>45</v>
      </c>
      <c r="D1539" s="34">
        <v>11570.1</v>
      </c>
      <c r="E1539" s="35">
        <v>44695</v>
      </c>
      <c r="F1539" s="34">
        <v>11570.1</v>
      </c>
      <c r="G1539" s="36">
        <f>Tabla16[[#This Row],[Importe]]-Tabla16[[#This Row],[Pagado]]</f>
        <v>0</v>
      </c>
      <c r="H1539" s="38" t="s">
        <v>10</v>
      </c>
    </row>
    <row r="1540" spans="1:8" x14ac:dyDescent="0.25">
      <c r="A1540" s="31">
        <v>44695</v>
      </c>
      <c r="B1540" s="38" t="s">
        <v>15675</v>
      </c>
      <c r="C1540" s="38" t="s">
        <v>1239</v>
      </c>
      <c r="D1540" s="34">
        <v>11356.4</v>
      </c>
      <c r="E1540" s="35">
        <v>44695</v>
      </c>
      <c r="F1540" s="34">
        <v>11356.4</v>
      </c>
      <c r="G1540" s="36">
        <f>Tabla16[[#This Row],[Importe]]-Tabla16[[#This Row],[Pagado]]</f>
        <v>0</v>
      </c>
      <c r="H1540" s="38" t="s">
        <v>10</v>
      </c>
    </row>
    <row r="1541" spans="1:8" x14ac:dyDescent="0.25">
      <c r="A1541" s="31">
        <v>44695</v>
      </c>
      <c r="B1541" s="38" t="s">
        <v>15676</v>
      </c>
      <c r="C1541" s="38" t="s">
        <v>97</v>
      </c>
      <c r="D1541" s="34">
        <v>432</v>
      </c>
      <c r="E1541" s="35">
        <v>44695</v>
      </c>
      <c r="F1541" s="34">
        <v>432</v>
      </c>
      <c r="G1541" s="36">
        <f>Tabla16[[#This Row],[Importe]]-Tabla16[[#This Row],[Pagado]]</f>
        <v>0</v>
      </c>
      <c r="H1541" s="38" t="s">
        <v>10</v>
      </c>
    </row>
    <row r="1542" spans="1:8" x14ac:dyDescent="0.25">
      <c r="A1542" s="31">
        <v>44695</v>
      </c>
      <c r="B1542" s="38" t="s">
        <v>15677</v>
      </c>
      <c r="C1542" s="38" t="s">
        <v>107</v>
      </c>
      <c r="D1542" s="34">
        <v>23800.3</v>
      </c>
      <c r="E1542" s="35">
        <v>44695</v>
      </c>
      <c r="F1542" s="34">
        <v>23800.3</v>
      </c>
      <c r="G1542" s="36">
        <f>Tabla16[[#This Row],[Importe]]-Tabla16[[#This Row],[Pagado]]</f>
        <v>0</v>
      </c>
      <c r="H1542" s="38" t="s">
        <v>10</v>
      </c>
    </row>
    <row r="1543" spans="1:8" x14ac:dyDescent="0.25">
      <c r="A1543" s="31">
        <v>44695</v>
      </c>
      <c r="B1543" s="38" t="s">
        <v>15678</v>
      </c>
      <c r="C1543" s="38" t="s">
        <v>463</v>
      </c>
      <c r="D1543" s="34">
        <v>550</v>
      </c>
      <c r="E1543" s="35">
        <v>44697</v>
      </c>
      <c r="F1543" s="34">
        <v>550</v>
      </c>
      <c r="G1543" s="36">
        <f>Tabla16[[#This Row],[Importe]]-Tabla16[[#This Row],[Pagado]]</f>
        <v>0</v>
      </c>
      <c r="H1543" s="38" t="s">
        <v>10</v>
      </c>
    </row>
    <row r="1544" spans="1:8" x14ac:dyDescent="0.25">
      <c r="A1544" s="31">
        <v>44695</v>
      </c>
      <c r="B1544" s="38" t="s">
        <v>15679</v>
      </c>
      <c r="C1544" s="38" t="s">
        <v>461</v>
      </c>
      <c r="D1544" s="34">
        <v>394</v>
      </c>
      <c r="E1544" s="35">
        <v>44696</v>
      </c>
      <c r="F1544" s="34">
        <v>394</v>
      </c>
      <c r="G1544" s="36">
        <f>Tabla16[[#This Row],[Importe]]-Tabla16[[#This Row],[Pagado]]</f>
        <v>0</v>
      </c>
      <c r="H1544" s="38" t="s">
        <v>10</v>
      </c>
    </row>
    <row r="1545" spans="1:8" x14ac:dyDescent="0.25">
      <c r="A1545" s="31">
        <v>44695</v>
      </c>
      <c r="B1545" s="38" t="s">
        <v>15680</v>
      </c>
      <c r="C1545" s="38" t="s">
        <v>459</v>
      </c>
      <c r="D1545" s="34">
        <v>213</v>
      </c>
      <c r="E1545" s="35">
        <v>44696</v>
      </c>
      <c r="F1545" s="34">
        <v>213</v>
      </c>
      <c r="G1545" s="36">
        <f>Tabla16[[#This Row],[Importe]]-Tabla16[[#This Row],[Pagado]]</f>
        <v>0</v>
      </c>
      <c r="H1545" s="38" t="s">
        <v>10</v>
      </c>
    </row>
    <row r="1546" spans="1:8" x14ac:dyDescent="0.25">
      <c r="A1546" s="31">
        <v>44695</v>
      </c>
      <c r="B1546" s="38" t="s">
        <v>15681</v>
      </c>
      <c r="C1546" s="38" t="s">
        <v>457</v>
      </c>
      <c r="D1546" s="34">
        <v>198</v>
      </c>
      <c r="E1546" s="35">
        <v>44696</v>
      </c>
      <c r="F1546" s="34">
        <v>198</v>
      </c>
      <c r="G1546" s="36">
        <f>Tabla16[[#This Row],[Importe]]-Tabla16[[#This Row],[Pagado]]</f>
        <v>0</v>
      </c>
      <c r="H1546" s="38" t="s">
        <v>10</v>
      </c>
    </row>
    <row r="1547" spans="1:8" x14ac:dyDescent="0.25">
      <c r="A1547" s="31">
        <v>44695</v>
      </c>
      <c r="B1547" s="38" t="s">
        <v>15682</v>
      </c>
      <c r="C1547" s="38" t="s">
        <v>698</v>
      </c>
      <c r="D1547" s="34">
        <v>6848.7</v>
      </c>
      <c r="E1547" s="35">
        <v>44695</v>
      </c>
      <c r="F1547" s="34">
        <v>6848.7</v>
      </c>
      <c r="G1547" s="36">
        <f>Tabla16[[#This Row],[Importe]]-Tabla16[[#This Row],[Pagado]]</f>
        <v>0</v>
      </c>
      <c r="H1547" s="38" t="s">
        <v>10</v>
      </c>
    </row>
    <row r="1548" spans="1:8" x14ac:dyDescent="0.25">
      <c r="A1548" s="31">
        <v>44695</v>
      </c>
      <c r="B1548" s="38" t="s">
        <v>15683</v>
      </c>
      <c r="C1548" s="38" t="s">
        <v>191</v>
      </c>
      <c r="D1548" s="34">
        <v>1574.4</v>
      </c>
      <c r="E1548" s="35">
        <v>44695</v>
      </c>
      <c r="F1548" s="34">
        <v>1574.4</v>
      </c>
      <c r="G1548" s="36">
        <f>Tabla16[[#This Row],[Importe]]-Tabla16[[#This Row],[Pagado]]</f>
        <v>0</v>
      </c>
      <c r="H1548" s="38" t="s">
        <v>10</v>
      </c>
    </row>
    <row r="1549" spans="1:8" x14ac:dyDescent="0.25">
      <c r="A1549" s="31">
        <v>44695</v>
      </c>
      <c r="B1549" s="38" t="s">
        <v>15684</v>
      </c>
      <c r="C1549" s="38" t="s">
        <v>382</v>
      </c>
      <c r="D1549" s="34">
        <v>7282.8</v>
      </c>
      <c r="E1549" s="35">
        <v>44695</v>
      </c>
      <c r="F1549" s="34">
        <v>7282.8</v>
      </c>
      <c r="G1549" s="36">
        <f>Tabla16[[#This Row],[Importe]]-Tabla16[[#This Row],[Pagado]]</f>
        <v>0</v>
      </c>
      <c r="H1549" s="38" t="s">
        <v>10</v>
      </c>
    </row>
    <row r="1550" spans="1:8" x14ac:dyDescent="0.25">
      <c r="A1550" s="31">
        <v>44695</v>
      </c>
      <c r="B1550" s="38" t="s">
        <v>15685</v>
      </c>
      <c r="C1550" s="38" t="s">
        <v>382</v>
      </c>
      <c r="D1550" s="34">
        <v>706.2</v>
      </c>
      <c r="E1550" s="35">
        <v>44695</v>
      </c>
      <c r="F1550" s="34">
        <v>706.2</v>
      </c>
      <c r="G1550" s="36">
        <f>Tabla16[[#This Row],[Importe]]-Tabla16[[#This Row],[Pagado]]</f>
        <v>0</v>
      </c>
      <c r="H1550" s="38" t="s">
        <v>10</v>
      </c>
    </row>
    <row r="1551" spans="1:8" x14ac:dyDescent="0.25">
      <c r="A1551" s="31">
        <v>44695</v>
      </c>
      <c r="B1551" s="38" t="s">
        <v>15686</v>
      </c>
      <c r="C1551" s="38" t="s">
        <v>698</v>
      </c>
      <c r="D1551" s="34">
        <v>182.7</v>
      </c>
      <c r="E1551" s="35">
        <v>44695</v>
      </c>
      <c r="F1551" s="34">
        <v>182.7</v>
      </c>
      <c r="G1551" s="36">
        <f>Tabla16[[#This Row],[Importe]]-Tabla16[[#This Row],[Pagado]]</f>
        <v>0</v>
      </c>
      <c r="H1551" s="38" t="s">
        <v>10</v>
      </c>
    </row>
    <row r="1552" spans="1:8" x14ac:dyDescent="0.25">
      <c r="A1552" s="31">
        <v>44695</v>
      </c>
      <c r="B1552" s="38" t="s">
        <v>15687</v>
      </c>
      <c r="C1552" s="38" t="s">
        <v>196</v>
      </c>
      <c r="D1552" s="34">
        <v>130766.36</v>
      </c>
      <c r="E1552" s="35">
        <v>44701</v>
      </c>
      <c r="F1552" s="34">
        <v>130766.36</v>
      </c>
      <c r="G1552" s="36">
        <f>Tabla16[[#This Row],[Importe]]-Tabla16[[#This Row],[Pagado]]</f>
        <v>0</v>
      </c>
      <c r="H1552" s="38" t="s">
        <v>10</v>
      </c>
    </row>
    <row r="1553" spans="1:8" ht="31.5" x14ac:dyDescent="0.25">
      <c r="A1553" s="31">
        <v>44695</v>
      </c>
      <c r="B1553" s="38" t="s">
        <v>15688</v>
      </c>
      <c r="C1553" s="38" t="s">
        <v>7444</v>
      </c>
      <c r="D1553" s="34">
        <v>24284</v>
      </c>
      <c r="E1553" s="35" t="s">
        <v>15689</v>
      </c>
      <c r="F1553" s="34">
        <f>4284+20000</f>
        <v>24284</v>
      </c>
      <c r="G1553" s="36">
        <f>Tabla16[[#This Row],[Importe]]-Tabla16[[#This Row],[Pagado]]</f>
        <v>0</v>
      </c>
      <c r="H1553" s="38" t="s">
        <v>10</v>
      </c>
    </row>
    <row r="1554" spans="1:8" ht="31.5" x14ac:dyDescent="0.25">
      <c r="A1554" s="31">
        <v>44695</v>
      </c>
      <c r="B1554" s="38" t="s">
        <v>15690</v>
      </c>
      <c r="C1554" s="41" t="s">
        <v>6106</v>
      </c>
      <c r="D1554" s="34">
        <v>0</v>
      </c>
      <c r="E1554" s="39" t="s">
        <v>189</v>
      </c>
      <c r="F1554" s="34">
        <v>0</v>
      </c>
      <c r="G1554" s="36">
        <f>Tabla16[[#This Row],[Importe]]-Tabla16[[#This Row],[Pagado]]</f>
        <v>0</v>
      </c>
      <c r="H1554" s="38" t="s">
        <v>189</v>
      </c>
    </row>
    <row r="1555" spans="1:8" x14ac:dyDescent="0.25">
      <c r="A1555" s="31">
        <v>44695</v>
      </c>
      <c r="B1555" s="38" t="s">
        <v>15691</v>
      </c>
      <c r="C1555" s="38" t="s">
        <v>31</v>
      </c>
      <c r="D1555" s="34">
        <v>1280.4000000000001</v>
      </c>
      <c r="E1555" s="35">
        <v>44695</v>
      </c>
      <c r="F1555" s="34">
        <v>1280.4000000000001</v>
      </c>
      <c r="G1555" s="36">
        <f>Tabla16[[#This Row],[Importe]]-Tabla16[[#This Row],[Pagado]]</f>
        <v>0</v>
      </c>
      <c r="H1555" s="38" t="s">
        <v>10</v>
      </c>
    </row>
    <row r="1556" spans="1:8" x14ac:dyDescent="0.25">
      <c r="A1556" s="31">
        <v>44695</v>
      </c>
      <c r="B1556" s="38" t="s">
        <v>15692</v>
      </c>
      <c r="C1556" s="38" t="s">
        <v>224</v>
      </c>
      <c r="D1556" s="34">
        <v>743.2</v>
      </c>
      <c r="E1556" s="35">
        <v>44695</v>
      </c>
      <c r="F1556" s="34">
        <v>743.2</v>
      </c>
      <c r="G1556" s="36">
        <f>Tabla16[[#This Row],[Importe]]-Tabla16[[#This Row],[Pagado]]</f>
        <v>0</v>
      </c>
      <c r="H1556" s="38" t="s">
        <v>10</v>
      </c>
    </row>
    <row r="1557" spans="1:8" x14ac:dyDescent="0.25">
      <c r="A1557" s="31">
        <v>44695</v>
      </c>
      <c r="B1557" s="38" t="s">
        <v>15693</v>
      </c>
      <c r="C1557" s="38" t="s">
        <v>12</v>
      </c>
      <c r="D1557" s="34">
        <v>7920.1</v>
      </c>
      <c r="E1557" s="35">
        <v>44696</v>
      </c>
      <c r="F1557" s="34">
        <v>7920.1</v>
      </c>
      <c r="G1557" s="36">
        <f>Tabla16[[#This Row],[Importe]]-Tabla16[[#This Row],[Pagado]]</f>
        <v>0</v>
      </c>
      <c r="H1557" s="38" t="s">
        <v>10</v>
      </c>
    </row>
    <row r="1558" spans="1:8" x14ac:dyDescent="0.25">
      <c r="A1558" s="31">
        <v>44695</v>
      </c>
      <c r="B1558" s="38" t="s">
        <v>15694</v>
      </c>
      <c r="C1558" s="38" t="s">
        <v>224</v>
      </c>
      <c r="D1558" s="34">
        <v>562.4</v>
      </c>
      <c r="E1558" s="35">
        <v>44695</v>
      </c>
      <c r="F1558" s="34">
        <v>562.4</v>
      </c>
      <c r="G1558" s="36">
        <f>Tabla16[[#This Row],[Importe]]-Tabla16[[#This Row],[Pagado]]</f>
        <v>0</v>
      </c>
      <c r="H1558" s="38" t="s">
        <v>10</v>
      </c>
    </row>
    <row r="1559" spans="1:8" x14ac:dyDescent="0.25">
      <c r="A1559" s="31">
        <v>44695</v>
      </c>
      <c r="B1559" s="38" t="s">
        <v>15695</v>
      </c>
      <c r="C1559" s="38" t="s">
        <v>79</v>
      </c>
      <c r="D1559" s="34">
        <v>28106.799999999999</v>
      </c>
      <c r="E1559" s="35">
        <v>44695</v>
      </c>
      <c r="F1559" s="34">
        <v>28106.799999999999</v>
      </c>
      <c r="G1559" s="36">
        <f>Tabla16[[#This Row],[Importe]]-Tabla16[[#This Row],[Pagado]]</f>
        <v>0</v>
      </c>
      <c r="H1559" s="38" t="s">
        <v>10</v>
      </c>
    </row>
    <row r="1560" spans="1:8" x14ac:dyDescent="0.25">
      <c r="A1560" s="31">
        <v>44695</v>
      </c>
      <c r="B1560" s="38" t="s">
        <v>15696</v>
      </c>
      <c r="C1560" s="38" t="s">
        <v>31</v>
      </c>
      <c r="D1560" s="34">
        <v>1188</v>
      </c>
      <c r="E1560" s="35">
        <v>44695</v>
      </c>
      <c r="F1560" s="34">
        <v>1188</v>
      </c>
      <c r="G1560" s="36">
        <f>Tabla16[[#This Row],[Importe]]-Tabla16[[#This Row],[Pagado]]</f>
        <v>0</v>
      </c>
      <c r="H1560" s="38" t="s">
        <v>10</v>
      </c>
    </row>
    <row r="1561" spans="1:8" x14ac:dyDescent="0.25">
      <c r="A1561" s="31">
        <v>44695</v>
      </c>
      <c r="B1561" s="38" t="s">
        <v>15697</v>
      </c>
      <c r="C1561" s="38" t="s">
        <v>10190</v>
      </c>
      <c r="D1561" s="34">
        <v>19830.599999999999</v>
      </c>
      <c r="E1561" s="35">
        <v>44695</v>
      </c>
      <c r="F1561" s="34">
        <v>19830.599999999999</v>
      </c>
      <c r="G1561" s="36">
        <f>Tabla16[[#This Row],[Importe]]-Tabla16[[#This Row],[Pagado]]</f>
        <v>0</v>
      </c>
      <c r="H1561" s="38" t="s">
        <v>10</v>
      </c>
    </row>
    <row r="1562" spans="1:8" x14ac:dyDescent="0.25">
      <c r="A1562" s="31">
        <v>44695</v>
      </c>
      <c r="B1562" s="38" t="s">
        <v>15698</v>
      </c>
      <c r="C1562" s="38" t="s">
        <v>414</v>
      </c>
      <c r="D1562" s="34">
        <v>19779.5</v>
      </c>
      <c r="E1562" s="35">
        <v>44695</v>
      </c>
      <c r="F1562" s="34">
        <v>19779.5</v>
      </c>
      <c r="G1562" s="36">
        <f>Tabla16[[#This Row],[Importe]]-Tabla16[[#This Row],[Pagado]]</f>
        <v>0</v>
      </c>
      <c r="H1562" s="38" t="s">
        <v>10</v>
      </c>
    </row>
    <row r="1563" spans="1:8" x14ac:dyDescent="0.25">
      <c r="A1563" s="31">
        <v>44695</v>
      </c>
      <c r="B1563" s="38" t="s">
        <v>15699</v>
      </c>
      <c r="C1563" s="38" t="s">
        <v>56</v>
      </c>
      <c r="D1563" s="34">
        <v>2931.6</v>
      </c>
      <c r="E1563" s="35">
        <v>44695</v>
      </c>
      <c r="F1563" s="34">
        <v>2931.6</v>
      </c>
      <c r="G1563" s="36">
        <f>Tabla16[[#This Row],[Importe]]-Tabla16[[#This Row],[Pagado]]</f>
        <v>0</v>
      </c>
      <c r="H1563" s="38" t="s">
        <v>10</v>
      </c>
    </row>
    <row r="1564" spans="1:8" x14ac:dyDescent="0.25">
      <c r="A1564" s="31">
        <v>44695</v>
      </c>
      <c r="B1564" s="38" t="s">
        <v>15700</v>
      </c>
      <c r="C1564" s="38" t="s">
        <v>407</v>
      </c>
      <c r="D1564" s="34">
        <v>11400</v>
      </c>
      <c r="E1564" s="35">
        <v>44708</v>
      </c>
      <c r="F1564" s="34">
        <v>11400</v>
      </c>
      <c r="G1564" s="36">
        <f>Tabla16[[#This Row],[Importe]]-Tabla16[[#This Row],[Pagado]]</f>
        <v>0</v>
      </c>
      <c r="H1564" s="38" t="s">
        <v>10</v>
      </c>
    </row>
    <row r="1565" spans="1:8" x14ac:dyDescent="0.25">
      <c r="A1565" s="31">
        <v>44695</v>
      </c>
      <c r="B1565" s="38" t="s">
        <v>15701</v>
      </c>
      <c r="C1565" s="38" t="s">
        <v>289</v>
      </c>
      <c r="D1565" s="34">
        <v>7276</v>
      </c>
      <c r="E1565" s="35">
        <v>44695</v>
      </c>
      <c r="F1565" s="34">
        <v>7276</v>
      </c>
      <c r="G1565" s="36">
        <f>Tabla16[[#This Row],[Importe]]-Tabla16[[#This Row],[Pagado]]</f>
        <v>0</v>
      </c>
      <c r="H1565" s="38" t="s">
        <v>10</v>
      </c>
    </row>
    <row r="1566" spans="1:8" x14ac:dyDescent="0.25">
      <c r="A1566" s="31">
        <v>44695</v>
      </c>
      <c r="B1566" s="38" t="s">
        <v>15702</v>
      </c>
      <c r="C1566" s="38" t="s">
        <v>396</v>
      </c>
      <c r="D1566" s="34">
        <v>18971.400000000001</v>
      </c>
      <c r="E1566" s="35">
        <v>44701</v>
      </c>
      <c r="F1566" s="34">
        <v>18971.400000000001</v>
      </c>
      <c r="G1566" s="36">
        <f>Tabla16[[#This Row],[Importe]]-Tabla16[[#This Row],[Pagado]]</f>
        <v>0</v>
      </c>
      <c r="H1566" s="38" t="s">
        <v>10</v>
      </c>
    </row>
    <row r="1567" spans="1:8" x14ac:dyDescent="0.25">
      <c r="A1567" s="31">
        <v>44695</v>
      </c>
      <c r="B1567" s="38" t="s">
        <v>15703</v>
      </c>
      <c r="C1567" s="38" t="s">
        <v>31</v>
      </c>
      <c r="D1567" s="34">
        <v>1573.2</v>
      </c>
      <c r="E1567" s="35">
        <v>44695</v>
      </c>
      <c r="F1567" s="34">
        <v>1573.2</v>
      </c>
      <c r="G1567" s="36">
        <f>Tabla16[[#This Row],[Importe]]-Tabla16[[#This Row],[Pagado]]</f>
        <v>0</v>
      </c>
      <c r="H1567" s="38" t="s">
        <v>10</v>
      </c>
    </row>
    <row r="1568" spans="1:8" x14ac:dyDescent="0.25">
      <c r="A1568" s="31">
        <v>44695</v>
      </c>
      <c r="B1568" s="38" t="s">
        <v>15704</v>
      </c>
      <c r="C1568" s="38" t="s">
        <v>1265</v>
      </c>
      <c r="D1568" s="34">
        <v>572</v>
      </c>
      <c r="E1568" s="35">
        <v>44695</v>
      </c>
      <c r="F1568" s="34">
        <v>572</v>
      </c>
      <c r="G1568" s="36">
        <f>Tabla16[[#This Row],[Importe]]-Tabla16[[#This Row],[Pagado]]</f>
        <v>0</v>
      </c>
      <c r="H1568" s="38" t="s">
        <v>10</v>
      </c>
    </row>
    <row r="1569" spans="1:8" x14ac:dyDescent="0.25">
      <c r="A1569" s="31">
        <v>44695</v>
      </c>
      <c r="B1569" s="38" t="s">
        <v>15705</v>
      </c>
      <c r="C1569" s="38" t="s">
        <v>409</v>
      </c>
      <c r="D1569" s="34">
        <v>4606.2</v>
      </c>
      <c r="E1569" s="35">
        <v>44701</v>
      </c>
      <c r="F1569" s="34">
        <v>4606.2</v>
      </c>
      <c r="G1569" s="36">
        <f>Tabla16[[#This Row],[Importe]]-Tabla16[[#This Row],[Pagado]]</f>
        <v>0</v>
      </c>
      <c r="H1569" s="38" t="s">
        <v>10</v>
      </c>
    </row>
    <row r="1570" spans="1:8" x14ac:dyDescent="0.25">
      <c r="A1570" s="31">
        <v>44695</v>
      </c>
      <c r="B1570" s="38" t="s">
        <v>15706</v>
      </c>
      <c r="C1570" s="38" t="s">
        <v>214</v>
      </c>
      <c r="D1570" s="34">
        <v>1240.8</v>
      </c>
      <c r="E1570" s="35">
        <v>44695</v>
      </c>
      <c r="F1570" s="34">
        <v>1240.8</v>
      </c>
      <c r="G1570" s="36">
        <f>Tabla16[[#This Row],[Importe]]-Tabla16[[#This Row],[Pagado]]</f>
        <v>0</v>
      </c>
      <c r="H1570" s="38" t="s">
        <v>10</v>
      </c>
    </row>
    <row r="1571" spans="1:8" x14ac:dyDescent="0.25">
      <c r="A1571" s="31">
        <v>44695</v>
      </c>
      <c r="B1571" s="38" t="s">
        <v>15707</v>
      </c>
      <c r="C1571" s="38" t="s">
        <v>15708</v>
      </c>
      <c r="D1571" s="34">
        <v>0</v>
      </c>
      <c r="E1571" s="39" t="s">
        <v>189</v>
      </c>
      <c r="F1571" s="34">
        <v>0</v>
      </c>
      <c r="G1571" s="36">
        <f>Tabla16[[#This Row],[Importe]]-Tabla16[[#This Row],[Pagado]]</f>
        <v>0</v>
      </c>
      <c r="H1571" s="38" t="s">
        <v>189</v>
      </c>
    </row>
    <row r="1572" spans="1:8" x14ac:dyDescent="0.25">
      <c r="A1572" s="31">
        <v>44695</v>
      </c>
      <c r="B1572" s="38" t="s">
        <v>15709</v>
      </c>
      <c r="C1572" s="38" t="s">
        <v>159</v>
      </c>
      <c r="D1572" s="34">
        <v>3141.6</v>
      </c>
      <c r="E1572" s="35">
        <v>44697</v>
      </c>
      <c r="F1572" s="34">
        <v>3141.6</v>
      </c>
      <c r="G1572" s="36">
        <f>Tabla16[[#This Row],[Importe]]-Tabla16[[#This Row],[Pagado]]</f>
        <v>0</v>
      </c>
      <c r="H1572" s="38" t="s">
        <v>10</v>
      </c>
    </row>
    <row r="1573" spans="1:8" x14ac:dyDescent="0.25">
      <c r="A1573" s="31">
        <v>44695</v>
      </c>
      <c r="B1573" s="38" t="s">
        <v>15710</v>
      </c>
      <c r="C1573" s="38" t="s">
        <v>9175</v>
      </c>
      <c r="D1573" s="34">
        <v>24238.400000000001</v>
      </c>
      <c r="E1573" s="35">
        <v>44695</v>
      </c>
      <c r="F1573" s="34">
        <v>24238.400000000001</v>
      </c>
      <c r="G1573" s="36">
        <f>Tabla16[[#This Row],[Importe]]-Tabla16[[#This Row],[Pagado]]</f>
        <v>0</v>
      </c>
      <c r="H1573" s="38" t="s">
        <v>10</v>
      </c>
    </row>
    <row r="1574" spans="1:8" x14ac:dyDescent="0.25">
      <c r="A1574" s="31">
        <v>44695</v>
      </c>
      <c r="B1574" s="38" t="s">
        <v>15711</v>
      </c>
      <c r="C1574" s="38" t="s">
        <v>9827</v>
      </c>
      <c r="D1574" s="34">
        <v>3220.8</v>
      </c>
      <c r="E1574" s="35">
        <v>44695</v>
      </c>
      <c r="F1574" s="34">
        <v>3220.8</v>
      </c>
      <c r="G1574" s="36">
        <f>Tabla16[[#This Row],[Importe]]-Tabla16[[#This Row],[Pagado]]</f>
        <v>0</v>
      </c>
      <c r="H1574" s="38" t="s">
        <v>10</v>
      </c>
    </row>
    <row r="1575" spans="1:8" x14ac:dyDescent="0.25">
      <c r="A1575" s="31">
        <v>44695</v>
      </c>
      <c r="B1575" s="38" t="s">
        <v>15712</v>
      </c>
      <c r="C1575" s="38" t="s">
        <v>380</v>
      </c>
      <c r="D1575" s="34">
        <v>8947.2999999999993</v>
      </c>
      <c r="E1575" s="35">
        <v>44697</v>
      </c>
      <c r="F1575" s="34">
        <v>8947.2999999999993</v>
      </c>
      <c r="G1575" s="36">
        <f>Tabla16[[#This Row],[Importe]]-Tabla16[[#This Row],[Pagado]]</f>
        <v>0</v>
      </c>
      <c r="H1575" s="38" t="s">
        <v>10</v>
      </c>
    </row>
    <row r="1576" spans="1:8" x14ac:dyDescent="0.25">
      <c r="A1576" s="31">
        <v>44695</v>
      </c>
      <c r="B1576" s="38" t="s">
        <v>15713</v>
      </c>
      <c r="C1576" s="38" t="s">
        <v>520</v>
      </c>
      <c r="D1576" s="34">
        <v>19692.400000000001</v>
      </c>
      <c r="E1576" s="35">
        <v>44697</v>
      </c>
      <c r="F1576" s="34">
        <v>19692.400000000001</v>
      </c>
      <c r="G1576" s="36">
        <f>Tabla16[[#This Row],[Importe]]-Tabla16[[#This Row],[Pagado]]</f>
        <v>0</v>
      </c>
      <c r="H1576" s="38" t="s">
        <v>10</v>
      </c>
    </row>
    <row r="1577" spans="1:8" x14ac:dyDescent="0.25">
      <c r="A1577" s="31">
        <v>44695</v>
      </c>
      <c r="B1577" s="38" t="s">
        <v>15714</v>
      </c>
      <c r="C1577" s="38" t="s">
        <v>183</v>
      </c>
      <c r="D1577" s="34">
        <v>2654.2</v>
      </c>
      <c r="E1577" s="35">
        <v>44697</v>
      </c>
      <c r="F1577" s="34">
        <v>2654.2</v>
      </c>
      <c r="G1577" s="36">
        <f>Tabla16[[#This Row],[Importe]]-Tabla16[[#This Row],[Pagado]]</f>
        <v>0</v>
      </c>
      <c r="H1577" s="38" t="s">
        <v>10</v>
      </c>
    </row>
    <row r="1578" spans="1:8" x14ac:dyDescent="0.25">
      <c r="A1578" s="31">
        <v>44695</v>
      </c>
      <c r="B1578" s="38" t="s">
        <v>15715</v>
      </c>
      <c r="C1578" s="38" t="s">
        <v>555</v>
      </c>
      <c r="D1578" s="34">
        <v>31156.82</v>
      </c>
      <c r="E1578" s="35">
        <v>44695</v>
      </c>
      <c r="F1578" s="34">
        <v>31156.82</v>
      </c>
      <c r="G1578" s="36">
        <f>Tabla16[[#This Row],[Importe]]-Tabla16[[#This Row],[Pagado]]</f>
        <v>0</v>
      </c>
      <c r="H1578" s="38" t="s">
        <v>10</v>
      </c>
    </row>
    <row r="1579" spans="1:8" x14ac:dyDescent="0.25">
      <c r="A1579" s="31">
        <v>44695</v>
      </c>
      <c r="B1579" s="38" t="s">
        <v>15716</v>
      </c>
      <c r="C1579" s="38" t="s">
        <v>151</v>
      </c>
      <c r="D1579" s="34">
        <v>6283.2</v>
      </c>
      <c r="E1579" s="35">
        <v>44697</v>
      </c>
      <c r="F1579" s="34">
        <v>6283.2</v>
      </c>
      <c r="G1579" s="36">
        <f>Tabla16[[#This Row],[Importe]]-Tabla16[[#This Row],[Pagado]]</f>
        <v>0</v>
      </c>
      <c r="H1579" s="38" t="s">
        <v>10</v>
      </c>
    </row>
    <row r="1580" spans="1:8" x14ac:dyDescent="0.25">
      <c r="A1580" s="31">
        <v>44695</v>
      </c>
      <c r="B1580" s="38" t="s">
        <v>15717</v>
      </c>
      <c r="C1580" s="38" t="s">
        <v>525</v>
      </c>
      <c r="D1580" s="34">
        <v>3620.9</v>
      </c>
      <c r="E1580" s="35">
        <v>44697</v>
      </c>
      <c r="F1580" s="34">
        <v>3620.9</v>
      </c>
      <c r="G1580" s="36">
        <f>Tabla16[[#This Row],[Importe]]-Tabla16[[#This Row],[Pagado]]</f>
        <v>0</v>
      </c>
      <c r="H1580" s="38" t="s">
        <v>10</v>
      </c>
    </row>
    <row r="1581" spans="1:8" x14ac:dyDescent="0.25">
      <c r="A1581" s="31">
        <v>44695</v>
      </c>
      <c r="B1581" s="38" t="s">
        <v>15718</v>
      </c>
      <c r="C1581" s="38" t="s">
        <v>450</v>
      </c>
      <c r="D1581" s="34">
        <v>1173</v>
      </c>
      <c r="E1581" s="35">
        <v>44695</v>
      </c>
      <c r="F1581" s="34">
        <v>1173</v>
      </c>
      <c r="G1581" s="36">
        <f>Tabla16[[#This Row],[Importe]]-Tabla16[[#This Row],[Pagado]]</f>
        <v>0</v>
      </c>
      <c r="H1581" s="38" t="s">
        <v>10</v>
      </c>
    </row>
    <row r="1582" spans="1:8" x14ac:dyDescent="0.25">
      <c r="A1582" s="31">
        <v>44695</v>
      </c>
      <c r="B1582" s="38" t="s">
        <v>15719</v>
      </c>
      <c r="C1582" s="38" t="s">
        <v>419</v>
      </c>
      <c r="D1582" s="34">
        <v>9421.9</v>
      </c>
      <c r="E1582" s="35">
        <v>44695</v>
      </c>
      <c r="F1582" s="34">
        <v>9421.9</v>
      </c>
      <c r="G1582" s="36">
        <f>Tabla16[[#This Row],[Importe]]-Tabla16[[#This Row],[Pagado]]</f>
        <v>0</v>
      </c>
      <c r="H1582" s="38" t="s">
        <v>10</v>
      </c>
    </row>
    <row r="1583" spans="1:8" x14ac:dyDescent="0.25">
      <c r="A1583" s="31">
        <v>44695</v>
      </c>
      <c r="B1583" s="38" t="s">
        <v>15720</v>
      </c>
      <c r="C1583" s="38" t="s">
        <v>4136</v>
      </c>
      <c r="D1583" s="34">
        <v>1310.8</v>
      </c>
      <c r="E1583" s="35">
        <v>44695</v>
      </c>
      <c r="F1583" s="34">
        <v>1310.8</v>
      </c>
      <c r="G1583" s="36">
        <f>Tabla16[[#This Row],[Importe]]-Tabla16[[#This Row],[Pagado]]</f>
        <v>0</v>
      </c>
      <c r="H1583" s="38" t="s">
        <v>10</v>
      </c>
    </row>
    <row r="1584" spans="1:8" x14ac:dyDescent="0.25">
      <c r="A1584" s="31">
        <v>44695</v>
      </c>
      <c r="B1584" s="38" t="s">
        <v>15721</v>
      </c>
      <c r="C1584" s="38" t="s">
        <v>244</v>
      </c>
      <c r="D1584" s="34">
        <v>2233.1999999999998</v>
      </c>
      <c r="E1584" s="35">
        <v>44695</v>
      </c>
      <c r="F1584" s="34">
        <v>2233.1999999999998</v>
      </c>
      <c r="G1584" s="36">
        <f>Tabla16[[#This Row],[Importe]]-Tabla16[[#This Row],[Pagado]]</f>
        <v>0</v>
      </c>
      <c r="H1584" s="38" t="s">
        <v>10</v>
      </c>
    </row>
    <row r="1585" spans="1:8" x14ac:dyDescent="0.25">
      <c r="A1585" s="31">
        <v>44695</v>
      </c>
      <c r="B1585" s="38" t="s">
        <v>15722</v>
      </c>
      <c r="C1585" s="38" t="s">
        <v>142</v>
      </c>
      <c r="D1585" s="34">
        <v>77730.7</v>
      </c>
      <c r="E1585" s="35">
        <v>44760</v>
      </c>
      <c r="F1585" s="34">
        <v>77730.7</v>
      </c>
      <c r="G1585" s="36">
        <f>Tabla16[[#This Row],[Importe]]-Tabla16[[#This Row],[Pagado]]</f>
        <v>0</v>
      </c>
      <c r="H1585" s="38" t="s">
        <v>10</v>
      </c>
    </row>
    <row r="1586" spans="1:8" x14ac:dyDescent="0.25">
      <c r="A1586" s="31">
        <v>44695</v>
      </c>
      <c r="B1586" s="38" t="s">
        <v>15723</v>
      </c>
      <c r="C1586" s="38" t="s">
        <v>58</v>
      </c>
      <c r="D1586" s="34">
        <v>3177.3</v>
      </c>
      <c r="E1586" s="35">
        <v>44695</v>
      </c>
      <c r="F1586" s="34">
        <v>3177.3</v>
      </c>
      <c r="G1586" s="36">
        <f>Tabla16[[#This Row],[Importe]]-Tabla16[[#This Row],[Pagado]]</f>
        <v>0</v>
      </c>
      <c r="H1586" s="38" t="s">
        <v>10</v>
      </c>
    </row>
    <row r="1587" spans="1:8" x14ac:dyDescent="0.25">
      <c r="A1587" s="31">
        <v>44695</v>
      </c>
      <c r="B1587" s="38" t="s">
        <v>15724</v>
      </c>
      <c r="C1587" s="38" t="s">
        <v>198</v>
      </c>
      <c r="D1587" s="34">
        <v>4114.6000000000004</v>
      </c>
      <c r="E1587" s="35">
        <v>44695</v>
      </c>
      <c r="F1587" s="34">
        <v>4114.6000000000004</v>
      </c>
      <c r="G1587" s="36">
        <f>Tabla16[[#This Row],[Importe]]-Tabla16[[#This Row],[Pagado]]</f>
        <v>0</v>
      </c>
      <c r="H1587" s="38" t="s">
        <v>10</v>
      </c>
    </row>
    <row r="1588" spans="1:8" x14ac:dyDescent="0.25">
      <c r="A1588" s="31">
        <v>44695</v>
      </c>
      <c r="B1588" s="38" t="s">
        <v>15725</v>
      </c>
      <c r="C1588" s="38" t="s">
        <v>67</v>
      </c>
      <c r="D1588" s="34">
        <v>2637.1</v>
      </c>
      <c r="E1588" s="35">
        <v>44695</v>
      </c>
      <c r="F1588" s="34">
        <v>2637.1</v>
      </c>
      <c r="G1588" s="36">
        <f>Tabla16[[#This Row],[Importe]]-Tabla16[[#This Row],[Pagado]]</f>
        <v>0</v>
      </c>
      <c r="H1588" s="38" t="s">
        <v>10</v>
      </c>
    </row>
    <row r="1589" spans="1:8" x14ac:dyDescent="0.25">
      <c r="A1589" s="31">
        <v>44695</v>
      </c>
      <c r="B1589" s="38" t="s">
        <v>15726</v>
      </c>
      <c r="C1589" s="38" t="s">
        <v>135</v>
      </c>
      <c r="D1589" s="34">
        <v>1600.8</v>
      </c>
      <c r="E1589" s="35">
        <v>44695</v>
      </c>
      <c r="F1589" s="34">
        <v>1600.8</v>
      </c>
      <c r="G1589" s="36">
        <f>Tabla16[[#This Row],[Importe]]-Tabla16[[#This Row],[Pagado]]</f>
        <v>0</v>
      </c>
      <c r="H1589" s="38" t="s">
        <v>10</v>
      </c>
    </row>
    <row r="1590" spans="1:8" x14ac:dyDescent="0.25">
      <c r="A1590" s="31">
        <v>44695</v>
      </c>
      <c r="B1590" s="38" t="s">
        <v>15727</v>
      </c>
      <c r="C1590" s="38" t="s">
        <v>179</v>
      </c>
      <c r="D1590" s="34">
        <v>1306.8</v>
      </c>
      <c r="E1590" s="35">
        <v>44695</v>
      </c>
      <c r="F1590" s="34">
        <v>1306.8</v>
      </c>
      <c r="G1590" s="36">
        <f>Tabla16[[#This Row],[Importe]]-Tabla16[[#This Row],[Pagado]]</f>
        <v>0</v>
      </c>
      <c r="H1590" s="38" t="s">
        <v>10</v>
      </c>
    </row>
    <row r="1591" spans="1:8" x14ac:dyDescent="0.25">
      <c r="A1591" s="31">
        <v>44695</v>
      </c>
      <c r="B1591" s="38" t="s">
        <v>15728</v>
      </c>
      <c r="C1591" s="38" t="s">
        <v>15449</v>
      </c>
      <c r="D1591" s="34">
        <v>1078</v>
      </c>
      <c r="E1591" s="35">
        <v>44695</v>
      </c>
      <c r="F1591" s="34">
        <v>1078</v>
      </c>
      <c r="G1591" s="36">
        <f>Tabla16[[#This Row],[Importe]]-Tabla16[[#This Row],[Pagado]]</f>
        <v>0</v>
      </c>
      <c r="H1591" s="38" t="s">
        <v>10</v>
      </c>
    </row>
    <row r="1592" spans="1:8" x14ac:dyDescent="0.25">
      <c r="A1592" s="31">
        <v>44695</v>
      </c>
      <c r="B1592" s="38" t="s">
        <v>15729</v>
      </c>
      <c r="C1592" s="38" t="s">
        <v>31</v>
      </c>
      <c r="D1592" s="34">
        <v>942.5</v>
      </c>
      <c r="E1592" s="35">
        <v>44695</v>
      </c>
      <c r="F1592" s="34">
        <v>942.5</v>
      </c>
      <c r="G1592" s="36">
        <f>Tabla16[[#This Row],[Importe]]-Tabla16[[#This Row],[Pagado]]</f>
        <v>0</v>
      </c>
      <c r="H1592" s="38" t="s">
        <v>10</v>
      </c>
    </row>
    <row r="1593" spans="1:8" x14ac:dyDescent="0.25">
      <c r="A1593" s="31">
        <v>44695</v>
      </c>
      <c r="B1593" s="38" t="s">
        <v>15730</v>
      </c>
      <c r="C1593" s="38" t="s">
        <v>157</v>
      </c>
      <c r="D1593" s="34">
        <v>6093.2</v>
      </c>
      <c r="E1593" s="35">
        <v>44697</v>
      </c>
      <c r="F1593" s="34">
        <v>6093.2</v>
      </c>
      <c r="G1593" s="36">
        <f>Tabla16[[#This Row],[Importe]]-Tabla16[[#This Row],[Pagado]]</f>
        <v>0</v>
      </c>
      <c r="H1593" s="38" t="s">
        <v>10</v>
      </c>
    </row>
    <row r="1594" spans="1:8" x14ac:dyDescent="0.25">
      <c r="A1594" s="31">
        <v>44695</v>
      </c>
      <c r="B1594" s="38" t="s">
        <v>15731</v>
      </c>
      <c r="C1594" s="38" t="s">
        <v>518</v>
      </c>
      <c r="D1594" s="34">
        <v>1747.6</v>
      </c>
      <c r="E1594" s="35">
        <v>44697</v>
      </c>
      <c r="F1594" s="34">
        <v>1747.6</v>
      </c>
      <c r="G1594" s="36">
        <f>Tabla16[[#This Row],[Importe]]-Tabla16[[#This Row],[Pagado]]</f>
        <v>0</v>
      </c>
      <c r="H1594" s="38" t="s">
        <v>10</v>
      </c>
    </row>
    <row r="1595" spans="1:8" x14ac:dyDescent="0.25">
      <c r="A1595" s="31">
        <v>44695</v>
      </c>
      <c r="B1595" s="38" t="s">
        <v>15732</v>
      </c>
      <c r="C1595" s="38" t="s">
        <v>1537</v>
      </c>
      <c r="D1595" s="34">
        <v>2053.6</v>
      </c>
      <c r="E1595" s="35">
        <v>44697</v>
      </c>
      <c r="F1595" s="34">
        <v>2053.6</v>
      </c>
      <c r="G1595" s="36">
        <f>Tabla16[[#This Row],[Importe]]-Tabla16[[#This Row],[Pagado]]</f>
        <v>0</v>
      </c>
      <c r="H1595" s="38" t="s">
        <v>10</v>
      </c>
    </row>
    <row r="1596" spans="1:8" x14ac:dyDescent="0.25">
      <c r="A1596" s="31">
        <v>44695</v>
      </c>
      <c r="B1596" s="38" t="s">
        <v>15733</v>
      </c>
      <c r="C1596" s="38" t="s">
        <v>69</v>
      </c>
      <c r="D1596" s="34">
        <v>3656.4</v>
      </c>
      <c r="E1596" s="35">
        <v>44695</v>
      </c>
      <c r="F1596" s="34">
        <v>3656.4</v>
      </c>
      <c r="G1596" s="36">
        <f>Tabla16[[#This Row],[Importe]]-Tabla16[[#This Row],[Pagado]]</f>
        <v>0</v>
      </c>
      <c r="H1596" s="38" t="s">
        <v>10</v>
      </c>
    </row>
    <row r="1597" spans="1:8" x14ac:dyDescent="0.25">
      <c r="A1597" s="31">
        <v>44695</v>
      </c>
      <c r="B1597" s="38" t="s">
        <v>15734</v>
      </c>
      <c r="C1597" s="38" t="s">
        <v>1421</v>
      </c>
      <c r="D1597" s="34">
        <v>32201.4</v>
      </c>
      <c r="E1597" s="35">
        <v>44695</v>
      </c>
      <c r="F1597" s="34">
        <v>32201.4</v>
      </c>
      <c r="G1597" s="36">
        <f>Tabla16[[#This Row],[Importe]]-Tabla16[[#This Row],[Pagado]]</f>
        <v>0</v>
      </c>
      <c r="H1597" s="38" t="s">
        <v>10</v>
      </c>
    </row>
    <row r="1598" spans="1:8" x14ac:dyDescent="0.25">
      <c r="A1598" s="31">
        <v>44695</v>
      </c>
      <c r="B1598" s="38" t="s">
        <v>15735</v>
      </c>
      <c r="C1598" s="38" t="s">
        <v>452</v>
      </c>
      <c r="D1598" s="34">
        <v>6473.6</v>
      </c>
      <c r="E1598" s="35">
        <v>44695</v>
      </c>
      <c r="F1598" s="34">
        <v>6473.6</v>
      </c>
      <c r="G1598" s="36">
        <f>Tabla16[[#This Row],[Importe]]-Tabla16[[#This Row],[Pagado]]</f>
        <v>0</v>
      </c>
      <c r="H1598" s="38" t="s">
        <v>10</v>
      </c>
    </row>
    <row r="1599" spans="1:8" x14ac:dyDescent="0.25">
      <c r="A1599" s="31">
        <v>44695</v>
      </c>
      <c r="B1599" s="38" t="s">
        <v>15736</v>
      </c>
      <c r="C1599" s="38" t="s">
        <v>191</v>
      </c>
      <c r="D1599" s="34">
        <v>1382.4</v>
      </c>
      <c r="E1599" s="35">
        <v>44695</v>
      </c>
      <c r="F1599" s="34">
        <v>1382.4</v>
      </c>
      <c r="G1599" s="36">
        <f>Tabla16[[#This Row],[Importe]]-Tabla16[[#This Row],[Pagado]]</f>
        <v>0</v>
      </c>
      <c r="H1599" s="38" t="s">
        <v>10</v>
      </c>
    </row>
    <row r="1600" spans="1:8" x14ac:dyDescent="0.25">
      <c r="A1600" s="31">
        <v>44695</v>
      </c>
      <c r="B1600" s="38" t="s">
        <v>15737</v>
      </c>
      <c r="C1600" s="38" t="s">
        <v>51</v>
      </c>
      <c r="D1600" s="34">
        <v>4712.3999999999996</v>
      </c>
      <c r="E1600" s="35">
        <v>44695</v>
      </c>
      <c r="F1600" s="34">
        <v>4712.3999999999996</v>
      </c>
      <c r="G1600" s="36">
        <f>Tabla16[[#This Row],[Importe]]-Tabla16[[#This Row],[Pagado]]</f>
        <v>0</v>
      </c>
      <c r="H1600" s="38" t="s">
        <v>10</v>
      </c>
    </row>
    <row r="1601" spans="1:8" x14ac:dyDescent="0.25">
      <c r="A1601" s="31">
        <v>44695</v>
      </c>
      <c r="B1601" s="38" t="s">
        <v>15738</v>
      </c>
      <c r="C1601" s="38" t="s">
        <v>51</v>
      </c>
      <c r="D1601" s="34">
        <v>4117.2</v>
      </c>
      <c r="E1601" s="35">
        <v>44695</v>
      </c>
      <c r="F1601" s="34">
        <v>4117.2</v>
      </c>
      <c r="G1601" s="36">
        <f>Tabla16[[#This Row],[Importe]]-Tabla16[[#This Row],[Pagado]]</f>
        <v>0</v>
      </c>
      <c r="H1601" s="38" t="s">
        <v>10</v>
      </c>
    </row>
    <row r="1602" spans="1:8" x14ac:dyDescent="0.25">
      <c r="A1602" s="31">
        <v>44695</v>
      </c>
      <c r="B1602" s="38" t="s">
        <v>15739</v>
      </c>
      <c r="C1602" s="38" t="s">
        <v>275</v>
      </c>
      <c r="D1602" s="34">
        <v>173063.9</v>
      </c>
      <c r="E1602" s="35">
        <v>44708</v>
      </c>
      <c r="F1602" s="34">
        <v>173063.9</v>
      </c>
      <c r="G1602" s="36">
        <f>Tabla16[[#This Row],[Importe]]-Tabla16[[#This Row],[Pagado]]</f>
        <v>0</v>
      </c>
      <c r="H1602" s="38" t="s">
        <v>10</v>
      </c>
    </row>
    <row r="1603" spans="1:8" x14ac:dyDescent="0.25">
      <c r="A1603" s="31">
        <v>44695</v>
      </c>
      <c r="B1603" s="38" t="s">
        <v>15740</v>
      </c>
      <c r="C1603" s="38" t="s">
        <v>7313</v>
      </c>
      <c r="D1603" s="34">
        <v>3076.5</v>
      </c>
      <c r="E1603" s="35">
        <v>44695</v>
      </c>
      <c r="F1603" s="34">
        <v>3076.5</v>
      </c>
      <c r="G1603" s="36">
        <f>Tabla16[[#This Row],[Importe]]-Tabla16[[#This Row],[Pagado]]</f>
        <v>0</v>
      </c>
      <c r="H1603" s="38" t="s">
        <v>10</v>
      </c>
    </row>
    <row r="1604" spans="1:8" x14ac:dyDescent="0.25">
      <c r="A1604" s="31">
        <v>44695</v>
      </c>
      <c r="B1604" s="38" t="s">
        <v>15741</v>
      </c>
      <c r="C1604" s="38" t="s">
        <v>994</v>
      </c>
      <c r="D1604" s="34">
        <v>1072</v>
      </c>
      <c r="E1604" s="35">
        <v>44695</v>
      </c>
      <c r="F1604" s="34">
        <v>1072</v>
      </c>
      <c r="G1604" s="36">
        <f>Tabla16[[#This Row],[Importe]]-Tabla16[[#This Row],[Pagado]]</f>
        <v>0</v>
      </c>
      <c r="H1604" s="38" t="s">
        <v>10</v>
      </c>
    </row>
    <row r="1605" spans="1:8" x14ac:dyDescent="0.25">
      <c r="A1605" s="31">
        <v>44695</v>
      </c>
      <c r="B1605" s="38" t="s">
        <v>15742</v>
      </c>
      <c r="C1605" s="38" t="s">
        <v>275</v>
      </c>
      <c r="D1605" s="34">
        <v>55624.6</v>
      </c>
      <c r="E1605" s="35">
        <v>44708</v>
      </c>
      <c r="F1605" s="34">
        <v>55624.6</v>
      </c>
      <c r="G1605" s="36">
        <f>Tabla16[[#This Row],[Importe]]-Tabla16[[#This Row],[Pagado]]</f>
        <v>0</v>
      </c>
      <c r="H1605" s="38" t="s">
        <v>10</v>
      </c>
    </row>
    <row r="1606" spans="1:8" x14ac:dyDescent="0.25">
      <c r="A1606" s="31">
        <v>44695</v>
      </c>
      <c r="B1606" s="38" t="s">
        <v>15743</v>
      </c>
      <c r="C1606" s="38" t="s">
        <v>284</v>
      </c>
      <c r="D1606" s="34">
        <v>13503.6</v>
      </c>
      <c r="E1606" s="35">
        <v>44696</v>
      </c>
      <c r="F1606" s="34">
        <v>13503.6</v>
      </c>
      <c r="G1606" s="36">
        <f>Tabla16[[#This Row],[Importe]]-Tabla16[[#This Row],[Pagado]]</f>
        <v>0</v>
      </c>
      <c r="H1606" s="38" t="s">
        <v>10</v>
      </c>
    </row>
    <row r="1607" spans="1:8" x14ac:dyDescent="0.25">
      <c r="A1607" s="31">
        <v>44695</v>
      </c>
      <c r="B1607" s="38" t="s">
        <v>15744</v>
      </c>
      <c r="C1607" s="38" t="s">
        <v>280</v>
      </c>
      <c r="D1607" s="34">
        <v>1359.6</v>
      </c>
      <c r="E1607" s="35">
        <v>44696</v>
      </c>
      <c r="F1607" s="34">
        <v>1359.6</v>
      </c>
      <c r="G1607" s="36">
        <f>Tabla16[[#This Row],[Importe]]-Tabla16[[#This Row],[Pagado]]</f>
        <v>0</v>
      </c>
      <c r="H1607" s="38" t="s">
        <v>10</v>
      </c>
    </row>
    <row r="1608" spans="1:8" x14ac:dyDescent="0.25">
      <c r="A1608" s="31">
        <v>44695</v>
      </c>
      <c r="B1608" s="38" t="s">
        <v>15745</v>
      </c>
      <c r="C1608" s="38" t="s">
        <v>5345</v>
      </c>
      <c r="D1608" s="34">
        <v>3484.8</v>
      </c>
      <c r="E1608" s="35">
        <v>44696</v>
      </c>
      <c r="F1608" s="34">
        <v>3484.8</v>
      </c>
      <c r="G1608" s="36">
        <f>Tabla16[[#This Row],[Importe]]-Tabla16[[#This Row],[Pagado]]</f>
        <v>0</v>
      </c>
      <c r="H1608" s="38" t="s">
        <v>10</v>
      </c>
    </row>
    <row r="1609" spans="1:8" x14ac:dyDescent="0.25">
      <c r="A1609" s="31">
        <v>44695</v>
      </c>
      <c r="B1609" s="38" t="s">
        <v>15746</v>
      </c>
      <c r="C1609" s="38" t="s">
        <v>282</v>
      </c>
      <c r="D1609" s="34">
        <v>5385.6</v>
      </c>
      <c r="E1609" s="35">
        <v>44696</v>
      </c>
      <c r="F1609" s="34">
        <v>5385.6</v>
      </c>
      <c r="G1609" s="36">
        <f>Tabla16[[#This Row],[Importe]]-Tabla16[[#This Row],[Pagado]]</f>
        <v>0</v>
      </c>
      <c r="H1609" s="38" t="s">
        <v>10</v>
      </c>
    </row>
    <row r="1610" spans="1:8" x14ac:dyDescent="0.25">
      <c r="A1610" s="31">
        <v>44695</v>
      </c>
      <c r="B1610" s="38" t="s">
        <v>15747</v>
      </c>
      <c r="C1610" s="38" t="s">
        <v>10819</v>
      </c>
      <c r="D1610" s="34">
        <v>3557.4</v>
      </c>
      <c r="E1610" s="35">
        <v>44696</v>
      </c>
      <c r="F1610" s="34">
        <v>3557.4</v>
      </c>
      <c r="G1610" s="36">
        <f>Tabla16[[#This Row],[Importe]]-Tabla16[[#This Row],[Pagado]]</f>
        <v>0</v>
      </c>
      <c r="H1610" s="38" t="s">
        <v>10</v>
      </c>
    </row>
    <row r="1611" spans="1:8" x14ac:dyDescent="0.25">
      <c r="A1611" s="31">
        <v>44695</v>
      </c>
      <c r="B1611" s="38" t="s">
        <v>15748</v>
      </c>
      <c r="C1611" s="38" t="s">
        <v>10840</v>
      </c>
      <c r="D1611" s="34">
        <v>6725.3</v>
      </c>
      <c r="E1611" s="35">
        <v>44695</v>
      </c>
      <c r="F1611" s="34">
        <v>6725.3</v>
      </c>
      <c r="G1611" s="36">
        <f>Tabla16[[#This Row],[Importe]]-Tabla16[[#This Row],[Pagado]]</f>
        <v>0</v>
      </c>
      <c r="H1611" s="38" t="s">
        <v>10</v>
      </c>
    </row>
    <row r="1612" spans="1:8" x14ac:dyDescent="0.25">
      <c r="A1612" s="31">
        <v>44695</v>
      </c>
      <c r="B1612" s="38" t="s">
        <v>15749</v>
      </c>
      <c r="C1612" s="38" t="s">
        <v>296</v>
      </c>
      <c r="D1612" s="34">
        <v>1469.7</v>
      </c>
      <c r="E1612" s="35">
        <v>44695</v>
      </c>
      <c r="F1612" s="34">
        <v>1469.7</v>
      </c>
      <c r="G1612" s="36">
        <f>Tabla16[[#This Row],[Importe]]-Tabla16[[#This Row],[Pagado]]</f>
        <v>0</v>
      </c>
      <c r="H1612" s="38" t="s">
        <v>10</v>
      </c>
    </row>
    <row r="1613" spans="1:8" x14ac:dyDescent="0.25">
      <c r="A1613" s="31">
        <v>44695</v>
      </c>
      <c r="B1613" s="38" t="s">
        <v>15750</v>
      </c>
      <c r="C1613" s="38" t="s">
        <v>14</v>
      </c>
      <c r="D1613" s="34">
        <v>24807</v>
      </c>
      <c r="E1613" s="35">
        <v>44695</v>
      </c>
      <c r="F1613" s="34">
        <v>24807</v>
      </c>
      <c r="G1613" s="36">
        <f>Tabla16[[#This Row],[Importe]]-Tabla16[[#This Row],[Pagado]]</f>
        <v>0</v>
      </c>
      <c r="H1613" s="38" t="s">
        <v>10</v>
      </c>
    </row>
    <row r="1614" spans="1:8" x14ac:dyDescent="0.25">
      <c r="A1614" s="31">
        <v>44695</v>
      </c>
      <c r="B1614" s="38" t="s">
        <v>15751</v>
      </c>
      <c r="C1614" s="38" t="s">
        <v>857</v>
      </c>
      <c r="D1614" s="34">
        <v>1402.2</v>
      </c>
      <c r="E1614" s="35">
        <v>44695</v>
      </c>
      <c r="F1614" s="34">
        <v>1402.2</v>
      </c>
      <c r="G1614" s="36">
        <f>Tabla16[[#This Row],[Importe]]-Tabla16[[#This Row],[Pagado]]</f>
        <v>0</v>
      </c>
      <c r="H1614" s="38" t="s">
        <v>10</v>
      </c>
    </row>
    <row r="1615" spans="1:8" x14ac:dyDescent="0.25">
      <c r="A1615" s="31">
        <v>44695</v>
      </c>
      <c r="B1615" s="38" t="s">
        <v>15752</v>
      </c>
      <c r="C1615" s="38" t="s">
        <v>371</v>
      </c>
      <c r="D1615" s="34">
        <v>7804.1</v>
      </c>
      <c r="E1615" s="35">
        <v>44696</v>
      </c>
      <c r="F1615" s="34">
        <v>7804.1</v>
      </c>
      <c r="G1615" s="36">
        <f>Tabla16[[#This Row],[Importe]]-Tabla16[[#This Row],[Pagado]]</f>
        <v>0</v>
      </c>
      <c r="H1615" s="38" t="s">
        <v>10</v>
      </c>
    </row>
    <row r="1616" spans="1:8" x14ac:dyDescent="0.25">
      <c r="A1616" s="31">
        <v>44695</v>
      </c>
      <c r="B1616" s="38" t="s">
        <v>15753</v>
      </c>
      <c r="C1616" s="38" t="s">
        <v>31</v>
      </c>
      <c r="D1616" s="34">
        <v>4492.8</v>
      </c>
      <c r="E1616" s="35">
        <v>44696</v>
      </c>
      <c r="F1616" s="34">
        <v>4492.8</v>
      </c>
      <c r="G1616" s="36">
        <f>Tabla16[[#This Row],[Importe]]-Tabla16[[#This Row],[Pagado]]</f>
        <v>0</v>
      </c>
      <c r="H1616" s="38" t="s">
        <v>10</v>
      </c>
    </row>
    <row r="1617" spans="1:8" x14ac:dyDescent="0.25">
      <c r="A1617" s="31">
        <v>44696</v>
      </c>
      <c r="B1617" s="38" t="s">
        <v>15754</v>
      </c>
      <c r="C1617" s="38" t="s">
        <v>12</v>
      </c>
      <c r="D1617" s="34">
        <v>79752.45</v>
      </c>
      <c r="E1617" s="35">
        <v>44696</v>
      </c>
      <c r="F1617" s="34">
        <v>79752.45</v>
      </c>
      <c r="G1617" s="36">
        <f>Tabla16[[#This Row],[Importe]]-Tabla16[[#This Row],[Pagado]]</f>
        <v>0</v>
      </c>
      <c r="H1617" s="38" t="s">
        <v>10</v>
      </c>
    </row>
    <row r="1618" spans="1:8" x14ac:dyDescent="0.25">
      <c r="A1618" s="31">
        <v>44696</v>
      </c>
      <c r="B1618" s="38" t="s">
        <v>15755</v>
      </c>
      <c r="C1618" s="38" t="s">
        <v>9</v>
      </c>
      <c r="D1618" s="34">
        <v>8746.7999999999993</v>
      </c>
      <c r="E1618" s="35">
        <v>44696</v>
      </c>
      <c r="F1618" s="34">
        <v>8746.7999999999993</v>
      </c>
      <c r="G1618" s="36">
        <f>Tabla16[[#This Row],[Importe]]-Tabla16[[#This Row],[Pagado]]</f>
        <v>0</v>
      </c>
      <c r="H1618" s="38" t="s">
        <v>10</v>
      </c>
    </row>
    <row r="1619" spans="1:8" ht="31.5" x14ac:dyDescent="0.25">
      <c r="A1619" s="31">
        <v>44696</v>
      </c>
      <c r="B1619" s="38" t="s">
        <v>15756</v>
      </c>
      <c r="C1619" s="38" t="s">
        <v>475</v>
      </c>
      <c r="D1619" s="34">
        <v>67382.5</v>
      </c>
      <c r="E1619" s="35" t="s">
        <v>15757</v>
      </c>
      <c r="F1619" s="34">
        <f>53000+14382.5</f>
        <v>67382.5</v>
      </c>
      <c r="G1619" s="36">
        <f>Tabla16[[#This Row],[Importe]]-Tabla16[[#This Row],[Pagado]]</f>
        <v>0</v>
      </c>
      <c r="H1619" s="38" t="s">
        <v>10</v>
      </c>
    </row>
    <row r="1620" spans="1:8" x14ac:dyDescent="0.25">
      <c r="A1620" s="31">
        <v>44696</v>
      </c>
      <c r="B1620" s="38" t="s">
        <v>15758</v>
      </c>
      <c r="C1620" s="38" t="s">
        <v>33</v>
      </c>
      <c r="D1620" s="34">
        <v>10759.5</v>
      </c>
      <c r="E1620" s="35">
        <v>44696</v>
      </c>
      <c r="F1620" s="34">
        <v>10759.5</v>
      </c>
      <c r="G1620" s="36">
        <f>Tabla16[[#This Row],[Importe]]-Tabla16[[#This Row],[Pagado]]</f>
        <v>0</v>
      </c>
      <c r="H1620" s="38" t="s">
        <v>10</v>
      </c>
    </row>
    <row r="1621" spans="1:8" x14ac:dyDescent="0.25">
      <c r="A1621" s="31">
        <v>44696</v>
      </c>
      <c r="B1621" s="38" t="s">
        <v>15759</v>
      </c>
      <c r="C1621" s="38" t="s">
        <v>1187</v>
      </c>
      <c r="D1621" s="34">
        <v>2035.8</v>
      </c>
      <c r="E1621" s="35">
        <v>44696</v>
      </c>
      <c r="F1621" s="34">
        <v>2035.8</v>
      </c>
      <c r="G1621" s="36">
        <f>Tabla16[[#This Row],[Importe]]-Tabla16[[#This Row],[Pagado]]</f>
        <v>0</v>
      </c>
      <c r="H1621" s="38" t="s">
        <v>10</v>
      </c>
    </row>
    <row r="1622" spans="1:8" x14ac:dyDescent="0.25">
      <c r="A1622" s="31">
        <v>44696</v>
      </c>
      <c r="B1622" s="38" t="s">
        <v>15760</v>
      </c>
      <c r="C1622" s="38" t="s">
        <v>15438</v>
      </c>
      <c r="D1622" s="34">
        <v>0</v>
      </c>
      <c r="E1622" s="39" t="s">
        <v>189</v>
      </c>
      <c r="F1622" s="34">
        <v>0</v>
      </c>
      <c r="G1622" s="36">
        <f>Tabla16[[#This Row],[Importe]]-Tabla16[[#This Row],[Pagado]]</f>
        <v>0</v>
      </c>
      <c r="H1622" s="40" t="s">
        <v>15761</v>
      </c>
    </row>
    <row r="1623" spans="1:8" x14ac:dyDescent="0.25">
      <c r="A1623" s="31">
        <v>44696</v>
      </c>
      <c r="B1623" s="38" t="s">
        <v>15762</v>
      </c>
      <c r="C1623" s="38" t="s">
        <v>365</v>
      </c>
      <c r="D1623" s="34">
        <v>1203</v>
      </c>
      <c r="E1623" s="35">
        <v>44696</v>
      </c>
      <c r="F1623" s="34">
        <v>1203</v>
      </c>
      <c r="G1623" s="36">
        <f>Tabla16[[#This Row],[Importe]]-Tabla16[[#This Row],[Pagado]]</f>
        <v>0</v>
      </c>
      <c r="H1623" s="38" t="s">
        <v>10</v>
      </c>
    </row>
    <row r="1624" spans="1:8" x14ac:dyDescent="0.25">
      <c r="A1624" s="31">
        <v>44696</v>
      </c>
      <c r="B1624" s="38" t="s">
        <v>15763</v>
      </c>
      <c r="C1624" s="38" t="s">
        <v>224</v>
      </c>
      <c r="D1624" s="34">
        <v>2080</v>
      </c>
      <c r="E1624" s="35">
        <v>44696</v>
      </c>
      <c r="F1624" s="34">
        <v>2080</v>
      </c>
      <c r="G1624" s="36">
        <f>Tabla16[[#This Row],[Importe]]-Tabla16[[#This Row],[Pagado]]</f>
        <v>0</v>
      </c>
      <c r="H1624" s="38" t="s">
        <v>10</v>
      </c>
    </row>
    <row r="1625" spans="1:8" x14ac:dyDescent="0.25">
      <c r="A1625" s="31">
        <v>44696</v>
      </c>
      <c r="B1625" s="38" t="s">
        <v>15764</v>
      </c>
      <c r="C1625" s="38" t="s">
        <v>22</v>
      </c>
      <c r="D1625" s="34">
        <v>55901.1</v>
      </c>
      <c r="E1625" s="35">
        <v>44697</v>
      </c>
      <c r="F1625" s="34">
        <v>55901.1</v>
      </c>
      <c r="G1625" s="36">
        <f>Tabla16[[#This Row],[Importe]]-Tabla16[[#This Row],[Pagado]]</f>
        <v>0</v>
      </c>
      <c r="H1625" s="38" t="s">
        <v>10</v>
      </c>
    </row>
    <row r="1626" spans="1:8" x14ac:dyDescent="0.25">
      <c r="A1626" s="31">
        <v>44696</v>
      </c>
      <c r="B1626" s="38" t="s">
        <v>15765</v>
      </c>
      <c r="C1626" s="38" t="s">
        <v>230</v>
      </c>
      <c r="D1626" s="34">
        <v>4082.8</v>
      </c>
      <c r="E1626" s="35">
        <v>44696</v>
      </c>
      <c r="F1626" s="34">
        <v>4082.8</v>
      </c>
      <c r="G1626" s="36">
        <f>Tabla16[[#This Row],[Importe]]-Tabla16[[#This Row],[Pagado]]</f>
        <v>0</v>
      </c>
      <c r="H1626" s="38" t="s">
        <v>10</v>
      </c>
    </row>
    <row r="1627" spans="1:8" x14ac:dyDescent="0.25">
      <c r="A1627" s="31">
        <v>44696</v>
      </c>
      <c r="B1627" s="38" t="s">
        <v>15766</v>
      </c>
      <c r="C1627" s="38" t="s">
        <v>16</v>
      </c>
      <c r="D1627" s="34">
        <v>10185.6</v>
      </c>
      <c r="E1627" s="35">
        <v>44696</v>
      </c>
      <c r="F1627" s="34">
        <v>10185.6</v>
      </c>
      <c r="G1627" s="36">
        <f>Tabla16[[#This Row],[Importe]]-Tabla16[[#This Row],[Pagado]]</f>
        <v>0</v>
      </c>
      <c r="H1627" s="38" t="s">
        <v>10</v>
      </c>
    </row>
    <row r="1628" spans="1:8" x14ac:dyDescent="0.25">
      <c r="A1628" s="31">
        <v>44696</v>
      </c>
      <c r="B1628" s="38" t="s">
        <v>15767</v>
      </c>
      <c r="C1628" s="38" t="s">
        <v>56</v>
      </c>
      <c r="D1628" s="34">
        <v>9931.4</v>
      </c>
      <c r="E1628" s="35">
        <v>44696</v>
      </c>
      <c r="F1628" s="34">
        <v>9931.4</v>
      </c>
      <c r="G1628" s="36">
        <f>Tabla16[[#This Row],[Importe]]-Tabla16[[#This Row],[Pagado]]</f>
        <v>0</v>
      </c>
      <c r="H1628" s="38" t="s">
        <v>10</v>
      </c>
    </row>
    <row r="1629" spans="1:8" x14ac:dyDescent="0.25">
      <c r="A1629" s="31">
        <v>44696</v>
      </c>
      <c r="B1629" s="38" t="s">
        <v>15768</v>
      </c>
      <c r="C1629" s="38" t="s">
        <v>37</v>
      </c>
      <c r="D1629" s="34">
        <v>3707.4</v>
      </c>
      <c r="E1629" s="35">
        <v>44696</v>
      </c>
      <c r="F1629" s="34">
        <v>3707.4</v>
      </c>
      <c r="G1629" s="36">
        <f>Tabla16[[#This Row],[Importe]]-Tabla16[[#This Row],[Pagado]]</f>
        <v>0</v>
      </c>
      <c r="H1629" s="38" t="s">
        <v>10</v>
      </c>
    </row>
    <row r="1630" spans="1:8" x14ac:dyDescent="0.25">
      <c r="A1630" s="31">
        <v>44696</v>
      </c>
      <c r="B1630" s="38" t="s">
        <v>15769</v>
      </c>
      <c r="C1630" s="38" t="s">
        <v>49</v>
      </c>
      <c r="D1630" s="34">
        <v>3850.4</v>
      </c>
      <c r="E1630" s="35">
        <v>44696</v>
      </c>
      <c r="F1630" s="34">
        <v>3850.4</v>
      </c>
      <c r="G1630" s="36">
        <f>Tabla16[[#This Row],[Importe]]-Tabla16[[#This Row],[Pagado]]</f>
        <v>0</v>
      </c>
      <c r="H1630" s="38" t="s">
        <v>10</v>
      </c>
    </row>
    <row r="1631" spans="1:8" x14ac:dyDescent="0.25">
      <c r="A1631" s="31">
        <v>44696</v>
      </c>
      <c r="B1631" s="38" t="s">
        <v>15770</v>
      </c>
      <c r="C1631" s="38" t="s">
        <v>216</v>
      </c>
      <c r="D1631" s="34">
        <v>2079</v>
      </c>
      <c r="E1631" s="35">
        <v>44696</v>
      </c>
      <c r="F1631" s="34">
        <v>2079</v>
      </c>
      <c r="G1631" s="36">
        <f>Tabla16[[#This Row],[Importe]]-Tabla16[[#This Row],[Pagado]]</f>
        <v>0</v>
      </c>
      <c r="H1631" s="38" t="s">
        <v>10</v>
      </c>
    </row>
    <row r="1632" spans="1:8" x14ac:dyDescent="0.25">
      <c r="A1632" s="31">
        <v>44696</v>
      </c>
      <c r="B1632" s="38" t="s">
        <v>15771</v>
      </c>
      <c r="C1632" s="38" t="s">
        <v>2114</v>
      </c>
      <c r="D1632" s="34">
        <v>1494</v>
      </c>
      <c r="E1632" s="35">
        <v>44696</v>
      </c>
      <c r="F1632" s="34">
        <v>1494</v>
      </c>
      <c r="G1632" s="36">
        <f>Tabla16[[#This Row],[Importe]]-Tabla16[[#This Row],[Pagado]]</f>
        <v>0</v>
      </c>
      <c r="H1632" s="38" t="s">
        <v>10</v>
      </c>
    </row>
    <row r="1633" spans="1:8" x14ac:dyDescent="0.25">
      <c r="A1633" s="31">
        <v>44696</v>
      </c>
      <c r="B1633" s="38" t="s">
        <v>15772</v>
      </c>
      <c r="C1633" s="38" t="s">
        <v>2114</v>
      </c>
      <c r="D1633" s="34">
        <v>184.6</v>
      </c>
      <c r="E1633" s="35">
        <v>44696</v>
      </c>
      <c r="F1633" s="34">
        <v>184.6</v>
      </c>
      <c r="G1633" s="36">
        <f>Tabla16[[#This Row],[Importe]]-Tabla16[[#This Row],[Pagado]]</f>
        <v>0</v>
      </c>
      <c r="H1633" s="38" t="s">
        <v>10</v>
      </c>
    </row>
    <row r="1634" spans="1:8" x14ac:dyDescent="0.25">
      <c r="A1634" s="31">
        <v>44696</v>
      </c>
      <c r="B1634" s="38" t="s">
        <v>15773</v>
      </c>
      <c r="C1634" s="38" t="s">
        <v>481</v>
      </c>
      <c r="D1634" s="34">
        <v>914.3</v>
      </c>
      <c r="E1634" s="35">
        <v>44696</v>
      </c>
      <c r="F1634" s="34">
        <v>914.3</v>
      </c>
      <c r="G1634" s="36">
        <f>Tabla16[[#This Row],[Importe]]-Tabla16[[#This Row],[Pagado]]</f>
        <v>0</v>
      </c>
      <c r="H1634" s="38" t="s">
        <v>10</v>
      </c>
    </row>
    <row r="1635" spans="1:8" x14ac:dyDescent="0.25">
      <c r="A1635" s="31">
        <v>44696</v>
      </c>
      <c r="B1635" s="38" t="s">
        <v>15774</v>
      </c>
      <c r="C1635" s="38" t="s">
        <v>105</v>
      </c>
      <c r="D1635" s="34">
        <v>1645.6</v>
      </c>
      <c r="E1635" s="35">
        <v>44696</v>
      </c>
      <c r="F1635" s="34">
        <v>1645.6</v>
      </c>
      <c r="G1635" s="36">
        <f>Tabla16[[#This Row],[Importe]]-Tabla16[[#This Row],[Pagado]]</f>
        <v>0</v>
      </c>
      <c r="H1635" s="38" t="s">
        <v>10</v>
      </c>
    </row>
    <row r="1636" spans="1:8" x14ac:dyDescent="0.25">
      <c r="A1636" s="31">
        <v>44696</v>
      </c>
      <c r="B1636" s="38" t="s">
        <v>15775</v>
      </c>
      <c r="C1636" s="38" t="s">
        <v>29</v>
      </c>
      <c r="D1636" s="34">
        <v>9504</v>
      </c>
      <c r="E1636" s="35">
        <v>44696</v>
      </c>
      <c r="F1636" s="34">
        <v>9504</v>
      </c>
      <c r="G1636" s="36">
        <f>Tabla16[[#This Row],[Importe]]-Tabla16[[#This Row],[Pagado]]</f>
        <v>0</v>
      </c>
      <c r="H1636" s="38" t="s">
        <v>10</v>
      </c>
    </row>
    <row r="1637" spans="1:8" x14ac:dyDescent="0.25">
      <c r="A1637" s="31">
        <v>44696</v>
      </c>
      <c r="B1637" s="38" t="s">
        <v>15776</v>
      </c>
      <c r="C1637" s="38" t="s">
        <v>161</v>
      </c>
      <c r="D1637" s="34">
        <v>4013.8</v>
      </c>
      <c r="E1637" s="35">
        <v>44696</v>
      </c>
      <c r="F1637" s="34">
        <v>4013.8</v>
      </c>
      <c r="G1637" s="36">
        <f>Tabla16[[#This Row],[Importe]]-Tabla16[[#This Row],[Pagado]]</f>
        <v>0</v>
      </c>
      <c r="H1637" s="38" t="s">
        <v>10</v>
      </c>
    </row>
    <row r="1638" spans="1:8" x14ac:dyDescent="0.25">
      <c r="A1638" s="31">
        <v>44696</v>
      </c>
      <c r="B1638" s="38" t="s">
        <v>15777</v>
      </c>
      <c r="C1638" s="38" t="s">
        <v>289</v>
      </c>
      <c r="D1638" s="34">
        <v>7539.4</v>
      </c>
      <c r="E1638" s="35">
        <v>44696</v>
      </c>
      <c r="F1638" s="34">
        <v>7539.4</v>
      </c>
      <c r="G1638" s="36">
        <f>Tabla16[[#This Row],[Importe]]-Tabla16[[#This Row],[Pagado]]</f>
        <v>0</v>
      </c>
      <c r="H1638" s="38" t="s">
        <v>10</v>
      </c>
    </row>
    <row r="1639" spans="1:8" x14ac:dyDescent="0.25">
      <c r="A1639" s="31">
        <v>44696</v>
      </c>
      <c r="B1639" s="38" t="s">
        <v>15778</v>
      </c>
      <c r="C1639" s="38" t="s">
        <v>20</v>
      </c>
      <c r="D1639" s="34">
        <v>7461</v>
      </c>
      <c r="E1639" s="35">
        <v>44696</v>
      </c>
      <c r="F1639" s="34">
        <v>7461</v>
      </c>
      <c r="G1639" s="36">
        <f>Tabla16[[#This Row],[Importe]]-Tabla16[[#This Row],[Pagado]]</f>
        <v>0</v>
      </c>
      <c r="H1639" s="38" t="s">
        <v>10</v>
      </c>
    </row>
    <row r="1640" spans="1:8" x14ac:dyDescent="0.25">
      <c r="A1640" s="31">
        <v>44696</v>
      </c>
      <c r="B1640" s="38" t="s">
        <v>15779</v>
      </c>
      <c r="C1640" s="38" t="s">
        <v>31</v>
      </c>
      <c r="D1640" s="34">
        <v>950.4</v>
      </c>
      <c r="E1640" s="35">
        <v>44696</v>
      </c>
      <c r="F1640" s="34">
        <v>950.4</v>
      </c>
      <c r="G1640" s="36">
        <f>Tabla16[[#This Row],[Importe]]-Tabla16[[#This Row],[Pagado]]</f>
        <v>0</v>
      </c>
      <c r="H1640" s="38" t="s">
        <v>10</v>
      </c>
    </row>
    <row r="1641" spans="1:8" x14ac:dyDescent="0.25">
      <c r="A1641" s="31">
        <v>44696</v>
      </c>
      <c r="B1641" s="38" t="s">
        <v>15780</v>
      </c>
      <c r="C1641" s="38" t="s">
        <v>35</v>
      </c>
      <c r="D1641" s="34">
        <v>1615.1</v>
      </c>
      <c r="E1641" s="35">
        <v>44696</v>
      </c>
      <c r="F1641" s="34">
        <v>1615.1</v>
      </c>
      <c r="G1641" s="36">
        <f>Tabla16[[#This Row],[Importe]]-Tabla16[[#This Row],[Pagado]]</f>
        <v>0</v>
      </c>
      <c r="H1641" s="38" t="s">
        <v>10</v>
      </c>
    </row>
    <row r="1642" spans="1:8" x14ac:dyDescent="0.25">
      <c r="A1642" s="31">
        <v>44696</v>
      </c>
      <c r="B1642" s="38" t="s">
        <v>15781</v>
      </c>
      <c r="C1642" s="38" t="s">
        <v>45</v>
      </c>
      <c r="D1642" s="34">
        <v>6256.2</v>
      </c>
      <c r="E1642" s="35">
        <v>44696</v>
      </c>
      <c r="F1642" s="34">
        <v>6256.2</v>
      </c>
      <c r="G1642" s="36">
        <f>Tabla16[[#This Row],[Importe]]-Tabla16[[#This Row],[Pagado]]</f>
        <v>0</v>
      </c>
      <c r="H1642" s="38" t="s">
        <v>10</v>
      </c>
    </row>
    <row r="1643" spans="1:8" x14ac:dyDescent="0.25">
      <c r="A1643" s="31">
        <v>44696</v>
      </c>
      <c r="B1643" s="38" t="s">
        <v>15782</v>
      </c>
      <c r="C1643" s="38" t="s">
        <v>97</v>
      </c>
      <c r="D1643" s="34">
        <v>1193.4000000000001</v>
      </c>
      <c r="E1643" s="35">
        <v>44696</v>
      </c>
      <c r="F1643" s="34">
        <v>1193.4000000000001</v>
      </c>
      <c r="G1643" s="36">
        <f>Tabla16[[#This Row],[Importe]]-Tabla16[[#This Row],[Pagado]]</f>
        <v>0</v>
      </c>
      <c r="H1643" s="38" t="s">
        <v>10</v>
      </c>
    </row>
    <row r="1644" spans="1:8" x14ac:dyDescent="0.25">
      <c r="A1644" s="31">
        <v>44696</v>
      </c>
      <c r="B1644" s="38" t="s">
        <v>15783</v>
      </c>
      <c r="C1644" s="38" t="s">
        <v>15449</v>
      </c>
      <c r="D1644" s="34">
        <v>2297.9</v>
      </c>
      <c r="E1644" s="35">
        <v>44696</v>
      </c>
      <c r="F1644" s="34">
        <v>2297.9</v>
      </c>
      <c r="G1644" s="36">
        <f>Tabla16[[#This Row],[Importe]]-Tabla16[[#This Row],[Pagado]]</f>
        <v>0</v>
      </c>
      <c r="H1644" s="38" t="s">
        <v>10</v>
      </c>
    </row>
    <row r="1645" spans="1:8" x14ac:dyDescent="0.25">
      <c r="A1645" s="31">
        <v>44696</v>
      </c>
      <c r="B1645" s="38" t="s">
        <v>15784</v>
      </c>
      <c r="C1645" s="38" t="s">
        <v>244</v>
      </c>
      <c r="D1645" s="34">
        <v>2260.8000000000002</v>
      </c>
      <c r="E1645" s="35">
        <v>44696</v>
      </c>
      <c r="F1645" s="34">
        <v>2260.8000000000002</v>
      </c>
      <c r="G1645" s="36">
        <f>Tabla16[[#This Row],[Importe]]-Tabla16[[#This Row],[Pagado]]</f>
        <v>0</v>
      </c>
      <c r="H1645" s="38" t="s">
        <v>10</v>
      </c>
    </row>
    <row r="1646" spans="1:8" x14ac:dyDescent="0.25">
      <c r="A1646" s="31">
        <v>44696</v>
      </c>
      <c r="B1646" s="38" t="s">
        <v>15785</v>
      </c>
      <c r="C1646" s="38" t="s">
        <v>24</v>
      </c>
      <c r="D1646" s="34">
        <v>4016.5</v>
      </c>
      <c r="E1646" s="35">
        <v>44696</v>
      </c>
      <c r="F1646" s="34">
        <v>4016.5</v>
      </c>
      <c r="G1646" s="36">
        <f>Tabla16[[#This Row],[Importe]]-Tabla16[[#This Row],[Pagado]]</f>
        <v>0</v>
      </c>
      <c r="H1646" s="38" t="s">
        <v>10</v>
      </c>
    </row>
    <row r="1647" spans="1:8" x14ac:dyDescent="0.25">
      <c r="A1647" s="31">
        <v>44696</v>
      </c>
      <c r="B1647" s="38" t="s">
        <v>15786</v>
      </c>
      <c r="C1647" s="38" t="s">
        <v>4136</v>
      </c>
      <c r="D1647" s="34">
        <v>2334.4</v>
      </c>
      <c r="E1647" s="35">
        <v>44696</v>
      </c>
      <c r="F1647" s="34">
        <v>2334.4</v>
      </c>
      <c r="G1647" s="36">
        <f>Tabla16[[#This Row],[Importe]]-Tabla16[[#This Row],[Pagado]]</f>
        <v>0</v>
      </c>
      <c r="H1647" s="38" t="s">
        <v>10</v>
      </c>
    </row>
    <row r="1648" spans="1:8" x14ac:dyDescent="0.25">
      <c r="A1648" s="31">
        <v>44696</v>
      </c>
      <c r="B1648" s="38" t="s">
        <v>15787</v>
      </c>
      <c r="C1648" s="38" t="s">
        <v>51</v>
      </c>
      <c r="D1648" s="34">
        <v>1516.6</v>
      </c>
      <c r="E1648" s="35">
        <v>44696</v>
      </c>
      <c r="F1648" s="34">
        <v>1516.6</v>
      </c>
      <c r="G1648" s="36">
        <f>Tabla16[[#This Row],[Importe]]-Tabla16[[#This Row],[Pagado]]</f>
        <v>0</v>
      </c>
      <c r="H1648" s="38" t="s">
        <v>10</v>
      </c>
    </row>
    <row r="1649" spans="1:8" x14ac:dyDescent="0.25">
      <c r="A1649" s="31">
        <v>44696</v>
      </c>
      <c r="B1649" s="38" t="s">
        <v>15788</v>
      </c>
      <c r="C1649" s="38" t="s">
        <v>214</v>
      </c>
      <c r="D1649" s="34">
        <v>1623.6</v>
      </c>
      <c r="E1649" s="35">
        <v>44696</v>
      </c>
      <c r="F1649" s="34">
        <v>1623.6</v>
      </c>
      <c r="G1649" s="36">
        <f>Tabla16[[#This Row],[Importe]]-Tabla16[[#This Row],[Pagado]]</f>
        <v>0</v>
      </c>
      <c r="H1649" s="38" t="s">
        <v>10</v>
      </c>
    </row>
    <row r="1650" spans="1:8" x14ac:dyDescent="0.25">
      <c r="A1650" s="31">
        <v>44696</v>
      </c>
      <c r="B1650" s="38" t="s">
        <v>15789</v>
      </c>
      <c r="C1650" s="38" t="s">
        <v>47</v>
      </c>
      <c r="D1650" s="34">
        <v>34488.699999999997</v>
      </c>
      <c r="E1650" s="35">
        <v>44696</v>
      </c>
      <c r="F1650" s="34">
        <v>34488.699999999997</v>
      </c>
      <c r="G1650" s="36">
        <f>Tabla16[[#This Row],[Importe]]-Tabla16[[#This Row],[Pagado]]</f>
        <v>0</v>
      </c>
      <c r="H1650" s="38" t="s">
        <v>10</v>
      </c>
    </row>
    <row r="1651" spans="1:8" x14ac:dyDescent="0.25">
      <c r="A1651" s="31">
        <v>44696</v>
      </c>
      <c r="B1651" s="38" t="s">
        <v>15790</v>
      </c>
      <c r="C1651" s="38" t="s">
        <v>67</v>
      </c>
      <c r="D1651" s="34">
        <v>3546</v>
      </c>
      <c r="E1651" s="35">
        <v>44696</v>
      </c>
      <c r="F1651" s="34">
        <v>3546</v>
      </c>
      <c r="G1651" s="36">
        <f>Tabla16[[#This Row],[Importe]]-Tabla16[[#This Row],[Pagado]]</f>
        <v>0</v>
      </c>
      <c r="H1651" s="38" t="s">
        <v>10</v>
      </c>
    </row>
    <row r="1652" spans="1:8" x14ac:dyDescent="0.25">
      <c r="A1652" s="31">
        <v>44696</v>
      </c>
      <c r="B1652" s="38" t="s">
        <v>15791</v>
      </c>
      <c r="C1652" s="38" t="s">
        <v>53</v>
      </c>
      <c r="D1652" s="34">
        <v>2642.7</v>
      </c>
      <c r="E1652" s="35">
        <v>44696</v>
      </c>
      <c r="F1652" s="34">
        <v>2642.7</v>
      </c>
      <c r="G1652" s="36">
        <f>Tabla16[[#This Row],[Importe]]-Tabla16[[#This Row],[Pagado]]</f>
        <v>0</v>
      </c>
      <c r="H1652" s="38" t="s">
        <v>10</v>
      </c>
    </row>
    <row r="1653" spans="1:8" x14ac:dyDescent="0.25">
      <c r="A1653" s="31">
        <v>44696</v>
      </c>
      <c r="B1653" s="38" t="s">
        <v>15792</v>
      </c>
      <c r="C1653" s="38" t="s">
        <v>16</v>
      </c>
      <c r="D1653" s="34">
        <v>2065.1999999999998</v>
      </c>
      <c r="E1653" s="35">
        <v>44696</v>
      </c>
      <c r="F1653" s="34">
        <v>2065.1999999999998</v>
      </c>
      <c r="G1653" s="36">
        <f>Tabla16[[#This Row],[Importe]]-Tabla16[[#This Row],[Pagado]]</f>
        <v>0</v>
      </c>
      <c r="H1653" s="38" t="s">
        <v>10</v>
      </c>
    </row>
    <row r="1654" spans="1:8" x14ac:dyDescent="0.25">
      <c r="A1654" s="31">
        <v>44696</v>
      </c>
      <c r="B1654" s="38" t="s">
        <v>15793</v>
      </c>
      <c r="C1654" s="38" t="s">
        <v>58</v>
      </c>
      <c r="D1654" s="34">
        <v>4597.5</v>
      </c>
      <c r="E1654" s="35">
        <v>44696</v>
      </c>
      <c r="F1654" s="34">
        <v>4597.5</v>
      </c>
      <c r="G1654" s="36">
        <f>Tabla16[[#This Row],[Importe]]-Tabla16[[#This Row],[Pagado]]</f>
        <v>0</v>
      </c>
      <c r="H1654" s="38" t="s">
        <v>10</v>
      </c>
    </row>
    <row r="1655" spans="1:8" x14ac:dyDescent="0.25">
      <c r="A1655" s="31">
        <v>44696</v>
      </c>
      <c r="B1655" s="38" t="s">
        <v>15794</v>
      </c>
      <c r="C1655" s="38" t="s">
        <v>7862</v>
      </c>
      <c r="D1655" s="34">
        <v>22045.8</v>
      </c>
      <c r="E1655" s="35">
        <v>44696</v>
      </c>
      <c r="F1655" s="34">
        <v>22045.8</v>
      </c>
      <c r="G1655" s="36">
        <f>Tabla16[[#This Row],[Importe]]-Tabla16[[#This Row],[Pagado]]</f>
        <v>0</v>
      </c>
      <c r="H1655" s="38" t="s">
        <v>10</v>
      </c>
    </row>
    <row r="1656" spans="1:8" x14ac:dyDescent="0.25">
      <c r="A1656" s="31">
        <v>44696</v>
      </c>
      <c r="B1656" s="38" t="s">
        <v>15795</v>
      </c>
      <c r="C1656" s="38" t="s">
        <v>71</v>
      </c>
      <c r="D1656" s="34">
        <v>1326</v>
      </c>
      <c r="E1656" s="35">
        <v>44696</v>
      </c>
      <c r="F1656" s="34">
        <v>1326</v>
      </c>
      <c r="G1656" s="36">
        <f>Tabla16[[#This Row],[Importe]]-Tabla16[[#This Row],[Pagado]]</f>
        <v>0</v>
      </c>
      <c r="H1656" s="38" t="s">
        <v>10</v>
      </c>
    </row>
    <row r="1657" spans="1:8" x14ac:dyDescent="0.25">
      <c r="A1657" s="31">
        <v>44696</v>
      </c>
      <c r="B1657" s="38" t="s">
        <v>15796</v>
      </c>
      <c r="C1657" s="38" t="s">
        <v>191</v>
      </c>
      <c r="D1657" s="34">
        <v>1484.8</v>
      </c>
      <c r="E1657" s="35">
        <v>44696</v>
      </c>
      <c r="F1657" s="34">
        <v>1484.8</v>
      </c>
      <c r="G1657" s="36">
        <f>Tabla16[[#This Row],[Importe]]-Tabla16[[#This Row],[Pagado]]</f>
        <v>0</v>
      </c>
      <c r="H1657" s="38" t="s">
        <v>10</v>
      </c>
    </row>
    <row r="1658" spans="1:8" x14ac:dyDescent="0.25">
      <c r="A1658" s="31">
        <v>44696</v>
      </c>
      <c r="B1658" s="38" t="s">
        <v>15797</v>
      </c>
      <c r="C1658" s="38" t="s">
        <v>31</v>
      </c>
      <c r="D1658" s="34">
        <v>3357.9</v>
      </c>
      <c r="E1658" s="35">
        <v>44696</v>
      </c>
      <c r="F1658" s="34">
        <v>3357.9</v>
      </c>
      <c r="G1658" s="36">
        <f>Tabla16[[#This Row],[Importe]]-Tabla16[[#This Row],[Pagado]]</f>
        <v>0</v>
      </c>
      <c r="H1658" s="38" t="s">
        <v>10</v>
      </c>
    </row>
    <row r="1659" spans="1:8" x14ac:dyDescent="0.25">
      <c r="A1659" s="31">
        <v>44696</v>
      </c>
      <c r="B1659" s="38" t="s">
        <v>15798</v>
      </c>
      <c r="C1659" s="38" t="s">
        <v>296</v>
      </c>
      <c r="D1659" s="34">
        <v>1524.9</v>
      </c>
      <c r="E1659" s="35">
        <v>44696</v>
      </c>
      <c r="F1659" s="34">
        <v>1524.9</v>
      </c>
      <c r="G1659" s="36">
        <f>Tabla16[[#This Row],[Importe]]-Tabla16[[#This Row],[Pagado]]</f>
        <v>0</v>
      </c>
      <c r="H1659" s="38" t="s">
        <v>10</v>
      </c>
    </row>
    <row r="1660" spans="1:8" x14ac:dyDescent="0.25">
      <c r="A1660" s="31">
        <v>44696</v>
      </c>
      <c r="B1660" s="38" t="s">
        <v>15799</v>
      </c>
      <c r="C1660" s="38" t="s">
        <v>191</v>
      </c>
      <c r="D1660" s="34">
        <v>519.20000000000005</v>
      </c>
      <c r="E1660" s="35">
        <v>44696</v>
      </c>
      <c r="F1660" s="34">
        <v>519.20000000000005</v>
      </c>
      <c r="G1660" s="36">
        <f>Tabla16[[#This Row],[Importe]]-Tabla16[[#This Row],[Pagado]]</f>
        <v>0</v>
      </c>
      <c r="H1660" s="38" t="s">
        <v>10</v>
      </c>
    </row>
    <row r="1661" spans="1:8" x14ac:dyDescent="0.25">
      <c r="A1661" s="31">
        <v>44696</v>
      </c>
      <c r="B1661" s="38" t="s">
        <v>15800</v>
      </c>
      <c r="C1661" s="38" t="s">
        <v>75</v>
      </c>
      <c r="D1661" s="34">
        <v>1425.6</v>
      </c>
      <c r="E1661" s="35">
        <v>44696</v>
      </c>
      <c r="F1661" s="34">
        <v>1425.6</v>
      </c>
      <c r="G1661" s="36">
        <f>Tabla16[[#This Row],[Importe]]-Tabla16[[#This Row],[Pagado]]</f>
        <v>0</v>
      </c>
      <c r="H1661" s="38" t="s">
        <v>10</v>
      </c>
    </row>
    <row r="1662" spans="1:8" x14ac:dyDescent="0.25">
      <c r="A1662" s="31">
        <v>44696</v>
      </c>
      <c r="B1662" s="38" t="s">
        <v>15801</v>
      </c>
      <c r="C1662" s="38" t="s">
        <v>296</v>
      </c>
      <c r="D1662" s="34">
        <v>1035.5999999999999</v>
      </c>
      <c r="E1662" s="35">
        <v>44696</v>
      </c>
      <c r="F1662" s="34">
        <v>1035.5999999999999</v>
      </c>
      <c r="G1662" s="36">
        <f>Tabla16[[#This Row],[Importe]]-Tabla16[[#This Row],[Pagado]]</f>
        <v>0</v>
      </c>
      <c r="H1662" s="38" t="s">
        <v>10</v>
      </c>
    </row>
    <row r="1663" spans="1:8" x14ac:dyDescent="0.25">
      <c r="A1663" s="31">
        <v>44696</v>
      </c>
      <c r="B1663" s="38" t="s">
        <v>15802</v>
      </c>
      <c r="C1663" s="38" t="s">
        <v>67</v>
      </c>
      <c r="D1663" s="34">
        <v>1600</v>
      </c>
      <c r="E1663" s="35">
        <v>44696</v>
      </c>
      <c r="F1663" s="34">
        <v>1600</v>
      </c>
      <c r="G1663" s="36">
        <f>Tabla16[[#This Row],[Importe]]-Tabla16[[#This Row],[Pagado]]</f>
        <v>0</v>
      </c>
      <c r="H1663" s="38" t="s">
        <v>10</v>
      </c>
    </row>
    <row r="1664" spans="1:8" x14ac:dyDescent="0.25">
      <c r="A1664" s="31">
        <v>44696</v>
      </c>
      <c r="B1664" s="38" t="s">
        <v>15803</v>
      </c>
      <c r="C1664" s="38" t="s">
        <v>191</v>
      </c>
      <c r="D1664" s="34">
        <v>1319.5</v>
      </c>
      <c r="E1664" s="35">
        <v>44696</v>
      </c>
      <c r="F1664" s="34">
        <v>1319.5</v>
      </c>
      <c r="G1664" s="36">
        <f>Tabla16[[#This Row],[Importe]]-Tabla16[[#This Row],[Pagado]]</f>
        <v>0</v>
      </c>
      <c r="H1664" s="38" t="s">
        <v>10</v>
      </c>
    </row>
    <row r="1665" spans="1:8" x14ac:dyDescent="0.25">
      <c r="A1665" s="31">
        <v>44696</v>
      </c>
      <c r="B1665" s="38" t="s">
        <v>15804</v>
      </c>
      <c r="C1665" s="38" t="s">
        <v>71</v>
      </c>
      <c r="D1665" s="34">
        <v>3589.6</v>
      </c>
      <c r="E1665" s="35">
        <v>44697</v>
      </c>
      <c r="F1665" s="34">
        <v>3589.6</v>
      </c>
      <c r="G1665" s="36">
        <f>Tabla16[[#This Row],[Importe]]-Tabla16[[#This Row],[Pagado]]</f>
        <v>0</v>
      </c>
      <c r="H1665" s="38" t="s">
        <v>10</v>
      </c>
    </row>
    <row r="1666" spans="1:8" x14ac:dyDescent="0.25">
      <c r="A1666" s="31">
        <v>44697</v>
      </c>
      <c r="B1666" s="38" t="s">
        <v>15805</v>
      </c>
      <c r="C1666" s="38" t="s">
        <v>12</v>
      </c>
      <c r="D1666" s="34">
        <v>60646.35</v>
      </c>
      <c r="E1666" s="35">
        <v>44697</v>
      </c>
      <c r="F1666" s="34">
        <v>60646.35</v>
      </c>
      <c r="G1666" s="36">
        <f>Tabla16[[#This Row],[Importe]]-Tabla16[[#This Row],[Pagado]]</f>
        <v>0</v>
      </c>
      <c r="H1666" s="38" t="s">
        <v>10</v>
      </c>
    </row>
    <row r="1667" spans="1:8" x14ac:dyDescent="0.25">
      <c r="A1667" s="31">
        <v>44697</v>
      </c>
      <c r="B1667" s="38" t="s">
        <v>15806</v>
      </c>
      <c r="C1667" s="38" t="s">
        <v>481</v>
      </c>
      <c r="D1667" s="34">
        <v>684.6</v>
      </c>
      <c r="E1667" s="35">
        <v>44697</v>
      </c>
      <c r="F1667" s="34">
        <v>684.6</v>
      </c>
      <c r="G1667" s="36">
        <f>Tabla16[[#This Row],[Importe]]-Tabla16[[#This Row],[Pagado]]</f>
        <v>0</v>
      </c>
      <c r="H1667" s="38" t="s">
        <v>10</v>
      </c>
    </row>
    <row r="1668" spans="1:8" x14ac:dyDescent="0.25">
      <c r="A1668" s="31">
        <v>44697</v>
      </c>
      <c r="B1668" s="38" t="s">
        <v>15807</v>
      </c>
      <c r="C1668" s="38" t="s">
        <v>475</v>
      </c>
      <c r="D1668" s="34">
        <v>73278.8</v>
      </c>
      <c r="E1668" s="35">
        <v>44699</v>
      </c>
      <c r="F1668" s="34">
        <v>73278.8</v>
      </c>
      <c r="G1668" s="36">
        <f>Tabla16[[#This Row],[Importe]]-Tabla16[[#This Row],[Pagado]]</f>
        <v>0</v>
      </c>
      <c r="H1668" s="38" t="s">
        <v>10</v>
      </c>
    </row>
    <row r="1669" spans="1:8" x14ac:dyDescent="0.25">
      <c r="A1669" s="31">
        <v>44697</v>
      </c>
      <c r="B1669" s="38" t="s">
        <v>15808</v>
      </c>
      <c r="C1669" s="38" t="s">
        <v>109</v>
      </c>
      <c r="D1669" s="34">
        <v>4289.1000000000004</v>
      </c>
      <c r="E1669" s="35">
        <v>44698</v>
      </c>
      <c r="F1669" s="34">
        <v>4289.1000000000004</v>
      </c>
      <c r="G1669" s="36">
        <f>Tabla16[[#This Row],[Importe]]-Tabla16[[#This Row],[Pagado]]</f>
        <v>0</v>
      </c>
      <c r="H1669" s="38" t="s">
        <v>10</v>
      </c>
    </row>
    <row r="1670" spans="1:8" x14ac:dyDescent="0.25">
      <c r="A1670" s="31">
        <v>44697</v>
      </c>
      <c r="B1670" s="38" t="s">
        <v>15809</v>
      </c>
      <c r="C1670" s="38" t="s">
        <v>13946</v>
      </c>
      <c r="D1670" s="34">
        <v>4202.3999999999996</v>
      </c>
      <c r="E1670" s="35">
        <v>44699</v>
      </c>
      <c r="F1670" s="34">
        <v>4202.3999999999996</v>
      </c>
      <c r="G1670" s="36">
        <f>Tabla16[[#This Row],[Importe]]-Tabla16[[#This Row],[Pagado]]</f>
        <v>0</v>
      </c>
      <c r="H1670" s="38" t="s">
        <v>10</v>
      </c>
    </row>
    <row r="1671" spans="1:8" x14ac:dyDescent="0.25">
      <c r="A1671" s="31">
        <v>44697</v>
      </c>
      <c r="B1671" s="38" t="s">
        <v>15810</v>
      </c>
      <c r="C1671" s="38" t="s">
        <v>95</v>
      </c>
      <c r="D1671" s="34">
        <v>16195.2</v>
      </c>
      <c r="E1671" s="35">
        <v>44697</v>
      </c>
      <c r="F1671" s="34">
        <v>16195.2</v>
      </c>
      <c r="G1671" s="36">
        <f>Tabla16[[#This Row],[Importe]]-Tabla16[[#This Row],[Pagado]]</f>
        <v>0</v>
      </c>
      <c r="H1671" s="38" t="s">
        <v>10</v>
      </c>
    </row>
    <row r="1672" spans="1:8" x14ac:dyDescent="0.25">
      <c r="A1672" s="31">
        <v>44697</v>
      </c>
      <c r="B1672" s="38" t="s">
        <v>15811</v>
      </c>
      <c r="C1672" s="38" t="s">
        <v>89</v>
      </c>
      <c r="D1672" s="34">
        <v>8583.2999999999993</v>
      </c>
      <c r="E1672" s="35">
        <v>44698</v>
      </c>
      <c r="F1672" s="34">
        <v>8583.2999999999993</v>
      </c>
      <c r="G1672" s="36">
        <f>Tabla16[[#This Row],[Importe]]-Tabla16[[#This Row],[Pagado]]</f>
        <v>0</v>
      </c>
      <c r="H1672" s="38" t="s">
        <v>10</v>
      </c>
    </row>
    <row r="1673" spans="1:8" x14ac:dyDescent="0.25">
      <c r="A1673" s="31">
        <v>44697</v>
      </c>
      <c r="B1673" s="38" t="s">
        <v>15812</v>
      </c>
      <c r="C1673" s="38" t="s">
        <v>15813</v>
      </c>
      <c r="D1673" s="34">
        <v>0</v>
      </c>
      <c r="E1673" s="39" t="s">
        <v>189</v>
      </c>
      <c r="F1673" s="34">
        <v>0</v>
      </c>
      <c r="G1673" s="36">
        <f>Tabla16[[#This Row],[Importe]]-Tabla16[[#This Row],[Pagado]]</f>
        <v>0</v>
      </c>
      <c r="H1673" s="38" t="s">
        <v>189</v>
      </c>
    </row>
    <row r="1674" spans="1:8" x14ac:dyDescent="0.25">
      <c r="A1674" s="31">
        <v>44697</v>
      </c>
      <c r="B1674" s="38" t="s">
        <v>15814</v>
      </c>
      <c r="C1674" s="38" t="s">
        <v>105</v>
      </c>
      <c r="D1674" s="34">
        <v>5875.2</v>
      </c>
      <c r="E1674" s="35">
        <v>44698</v>
      </c>
      <c r="F1674" s="34">
        <v>5875.2</v>
      </c>
      <c r="G1674" s="36">
        <f>Tabla16[[#This Row],[Importe]]-Tabla16[[#This Row],[Pagado]]</f>
        <v>0</v>
      </c>
      <c r="H1674" s="38" t="s">
        <v>10</v>
      </c>
    </row>
    <row r="1675" spans="1:8" x14ac:dyDescent="0.25">
      <c r="A1675" s="31">
        <v>44697</v>
      </c>
      <c r="B1675" s="38" t="s">
        <v>15815</v>
      </c>
      <c r="C1675" s="38" t="s">
        <v>326</v>
      </c>
      <c r="D1675" s="34">
        <v>4906.2</v>
      </c>
      <c r="E1675" s="35">
        <v>44698</v>
      </c>
      <c r="F1675" s="34">
        <v>4906.2</v>
      </c>
      <c r="G1675" s="36">
        <f>Tabla16[[#This Row],[Importe]]-Tabla16[[#This Row],[Pagado]]</f>
        <v>0</v>
      </c>
      <c r="H1675" s="38" t="s">
        <v>10</v>
      </c>
    </row>
    <row r="1676" spans="1:8" x14ac:dyDescent="0.25">
      <c r="A1676" s="31">
        <v>44697</v>
      </c>
      <c r="B1676" s="38" t="s">
        <v>15816</v>
      </c>
      <c r="C1676" s="38" t="s">
        <v>114</v>
      </c>
      <c r="D1676" s="34">
        <v>9552.2999999999993</v>
      </c>
      <c r="E1676" s="35">
        <v>44698</v>
      </c>
      <c r="F1676" s="34">
        <v>9552.2999999999993</v>
      </c>
      <c r="G1676" s="36">
        <f>Tabla16[[#This Row],[Importe]]-Tabla16[[#This Row],[Pagado]]</f>
        <v>0</v>
      </c>
      <c r="H1676" s="38" t="s">
        <v>10</v>
      </c>
    </row>
    <row r="1677" spans="1:8" x14ac:dyDescent="0.25">
      <c r="A1677" s="31">
        <v>44697</v>
      </c>
      <c r="B1677" s="38" t="s">
        <v>15817</v>
      </c>
      <c r="C1677" s="38" t="s">
        <v>111</v>
      </c>
      <c r="D1677" s="34">
        <v>4284</v>
      </c>
      <c r="E1677" s="35">
        <v>44698</v>
      </c>
      <c r="F1677" s="34">
        <v>4284</v>
      </c>
      <c r="G1677" s="36">
        <f>Tabla16[[#This Row],[Importe]]-Tabla16[[#This Row],[Pagado]]</f>
        <v>0</v>
      </c>
      <c r="H1677" s="38" t="s">
        <v>10</v>
      </c>
    </row>
    <row r="1678" spans="1:8" x14ac:dyDescent="0.25">
      <c r="A1678" s="31">
        <v>44697</v>
      </c>
      <c r="B1678" s="38" t="s">
        <v>15818</v>
      </c>
      <c r="C1678" s="38" t="s">
        <v>97</v>
      </c>
      <c r="D1678" s="34">
        <v>8629.2000000000007</v>
      </c>
      <c r="E1678" s="35">
        <v>44698</v>
      </c>
      <c r="F1678" s="34">
        <v>8629.2000000000007</v>
      </c>
      <c r="G1678" s="36">
        <f>Tabla16[[#This Row],[Importe]]-Tabla16[[#This Row],[Pagado]]</f>
        <v>0</v>
      </c>
      <c r="H1678" s="38" t="s">
        <v>10</v>
      </c>
    </row>
    <row r="1679" spans="1:8" x14ac:dyDescent="0.25">
      <c r="A1679" s="31">
        <v>44697</v>
      </c>
      <c r="B1679" s="38" t="s">
        <v>15819</v>
      </c>
      <c r="C1679" s="38" t="s">
        <v>64</v>
      </c>
      <c r="D1679" s="34">
        <v>8858.7999999999993</v>
      </c>
      <c r="E1679" s="35">
        <v>44698</v>
      </c>
      <c r="F1679" s="34">
        <v>8858.7999999999993</v>
      </c>
      <c r="G1679" s="36">
        <f>Tabla16[[#This Row],[Importe]]-Tabla16[[#This Row],[Pagado]]</f>
        <v>0</v>
      </c>
      <c r="H1679" s="38" t="s">
        <v>10</v>
      </c>
    </row>
    <row r="1680" spans="1:8" ht="31.5" x14ac:dyDescent="0.25">
      <c r="A1680" s="31">
        <v>44697</v>
      </c>
      <c r="B1680" s="38" t="s">
        <v>15820</v>
      </c>
      <c r="C1680" s="38" t="s">
        <v>39</v>
      </c>
      <c r="D1680" s="34">
        <v>22578</v>
      </c>
      <c r="E1680" s="35" t="s">
        <v>15625</v>
      </c>
      <c r="F1680" s="34">
        <f>7000+15578</f>
        <v>22578</v>
      </c>
      <c r="G1680" s="36">
        <f>Tabla16[[#This Row],[Importe]]-Tabla16[[#This Row],[Pagado]]</f>
        <v>0</v>
      </c>
      <c r="H1680" s="38" t="s">
        <v>10</v>
      </c>
    </row>
    <row r="1681" spans="1:8" x14ac:dyDescent="0.25">
      <c r="A1681" s="31">
        <v>44697</v>
      </c>
      <c r="B1681" s="38" t="s">
        <v>15821</v>
      </c>
      <c r="C1681" s="38" t="s">
        <v>348</v>
      </c>
      <c r="D1681" s="34">
        <v>3596.6</v>
      </c>
      <c r="E1681" s="35">
        <v>44697</v>
      </c>
      <c r="F1681" s="34">
        <v>3596.6</v>
      </c>
      <c r="G1681" s="36">
        <f>Tabla16[[#This Row],[Importe]]-Tabla16[[#This Row],[Pagado]]</f>
        <v>0</v>
      </c>
      <c r="H1681" s="38" t="s">
        <v>10</v>
      </c>
    </row>
    <row r="1682" spans="1:8" x14ac:dyDescent="0.25">
      <c r="A1682" s="31">
        <v>44697</v>
      </c>
      <c r="B1682" s="38" t="s">
        <v>15822</v>
      </c>
      <c r="C1682" s="38" t="s">
        <v>2151</v>
      </c>
      <c r="D1682" s="34">
        <v>18207</v>
      </c>
      <c r="E1682" s="35">
        <v>44697</v>
      </c>
      <c r="F1682" s="34">
        <v>18207</v>
      </c>
      <c r="G1682" s="36">
        <f>Tabla16[[#This Row],[Importe]]-Tabla16[[#This Row],[Pagado]]</f>
        <v>0</v>
      </c>
      <c r="H1682" s="38" t="s">
        <v>10</v>
      </c>
    </row>
    <row r="1683" spans="1:8" ht="31.5" x14ac:dyDescent="0.25">
      <c r="A1683" s="31">
        <v>44697</v>
      </c>
      <c r="B1683" s="38" t="s">
        <v>15823</v>
      </c>
      <c r="C1683" s="38" t="s">
        <v>93</v>
      </c>
      <c r="D1683" s="34">
        <v>9351.5</v>
      </c>
      <c r="E1683" s="35" t="s">
        <v>15824</v>
      </c>
      <c r="F1683" s="34">
        <f>5000+4351.5</f>
        <v>9351.5</v>
      </c>
      <c r="G1683" s="36">
        <f>Tabla16[[#This Row],[Importe]]-Tabla16[[#This Row],[Pagado]]</f>
        <v>0</v>
      </c>
      <c r="H1683" s="38" t="s">
        <v>10</v>
      </c>
    </row>
    <row r="1684" spans="1:8" x14ac:dyDescent="0.25">
      <c r="A1684" s="31">
        <v>44697</v>
      </c>
      <c r="B1684" s="38" t="s">
        <v>15825</v>
      </c>
      <c r="C1684" s="38" t="s">
        <v>924</v>
      </c>
      <c r="D1684" s="34">
        <v>7911.4</v>
      </c>
      <c r="E1684" s="35">
        <v>44697</v>
      </c>
      <c r="F1684" s="34">
        <v>7911.4</v>
      </c>
      <c r="G1684" s="36">
        <f>Tabla16[[#This Row],[Importe]]-Tabla16[[#This Row],[Pagado]]</f>
        <v>0</v>
      </c>
      <c r="H1684" s="38" t="s">
        <v>10</v>
      </c>
    </row>
    <row r="1685" spans="1:8" x14ac:dyDescent="0.25">
      <c r="A1685" s="31">
        <v>44697</v>
      </c>
      <c r="B1685" s="38" t="s">
        <v>15826</v>
      </c>
      <c r="C1685" s="38" t="s">
        <v>9</v>
      </c>
      <c r="D1685" s="34">
        <v>6391.6</v>
      </c>
      <c r="E1685" s="35">
        <v>44697</v>
      </c>
      <c r="F1685" s="34">
        <v>6391.6</v>
      </c>
      <c r="G1685" s="36">
        <f>Tabla16[[#This Row],[Importe]]-Tabla16[[#This Row],[Pagado]]</f>
        <v>0</v>
      </c>
      <c r="H1685" s="38" t="s">
        <v>10</v>
      </c>
    </row>
    <row r="1686" spans="1:8" x14ac:dyDescent="0.25">
      <c r="A1686" s="31">
        <v>44697</v>
      </c>
      <c r="B1686" s="38" t="s">
        <v>15827</v>
      </c>
      <c r="C1686" s="38" t="s">
        <v>99</v>
      </c>
      <c r="D1686" s="34">
        <v>3611.1</v>
      </c>
      <c r="E1686" s="35">
        <v>44699</v>
      </c>
      <c r="F1686" s="34">
        <v>3611.1</v>
      </c>
      <c r="G1686" s="36">
        <f>Tabla16[[#This Row],[Importe]]-Tabla16[[#This Row],[Pagado]]</f>
        <v>0</v>
      </c>
      <c r="H1686" s="38" t="s">
        <v>10</v>
      </c>
    </row>
    <row r="1687" spans="1:8" x14ac:dyDescent="0.25">
      <c r="A1687" s="31">
        <v>44697</v>
      </c>
      <c r="B1687" s="38" t="s">
        <v>15828</v>
      </c>
      <c r="C1687" s="38" t="s">
        <v>60</v>
      </c>
      <c r="D1687" s="34">
        <v>4245.3</v>
      </c>
      <c r="E1687" s="35">
        <v>44699</v>
      </c>
      <c r="F1687" s="34">
        <v>4245.3</v>
      </c>
      <c r="G1687" s="36">
        <f>Tabla16[[#This Row],[Importe]]-Tabla16[[#This Row],[Pagado]]</f>
        <v>0</v>
      </c>
      <c r="H1687" s="38" t="s">
        <v>10</v>
      </c>
    </row>
    <row r="1688" spans="1:8" x14ac:dyDescent="0.25">
      <c r="A1688" s="31">
        <v>44697</v>
      </c>
      <c r="B1688" s="38" t="s">
        <v>15829</v>
      </c>
      <c r="C1688" s="38" t="s">
        <v>2563</v>
      </c>
      <c r="D1688" s="34">
        <v>3964.4</v>
      </c>
      <c r="E1688" s="35">
        <v>44698</v>
      </c>
      <c r="F1688" s="34">
        <v>3964.4</v>
      </c>
      <c r="G1688" s="36">
        <f>Tabla16[[#This Row],[Importe]]-Tabla16[[#This Row],[Pagado]]</f>
        <v>0</v>
      </c>
      <c r="H1688" s="38" t="s">
        <v>10</v>
      </c>
    </row>
    <row r="1689" spans="1:8" x14ac:dyDescent="0.25">
      <c r="A1689" s="31">
        <v>44697</v>
      </c>
      <c r="B1689" s="38" t="s">
        <v>15830</v>
      </c>
      <c r="C1689" s="38" t="s">
        <v>12202</v>
      </c>
      <c r="D1689" s="34">
        <v>2880</v>
      </c>
      <c r="E1689" s="35">
        <v>44697</v>
      </c>
      <c r="F1689" s="34">
        <v>2880</v>
      </c>
      <c r="G1689" s="36">
        <f>Tabla16[[#This Row],[Importe]]-Tabla16[[#This Row],[Pagado]]</f>
        <v>0</v>
      </c>
      <c r="H1689" s="38" t="s">
        <v>10</v>
      </c>
    </row>
    <row r="1690" spans="1:8" x14ac:dyDescent="0.25">
      <c r="A1690" s="31">
        <v>44697</v>
      </c>
      <c r="B1690" s="38" t="s">
        <v>15831</v>
      </c>
      <c r="C1690" s="38" t="s">
        <v>31</v>
      </c>
      <c r="D1690" s="34">
        <v>1679.4</v>
      </c>
      <c r="E1690" s="35">
        <v>44697</v>
      </c>
      <c r="F1690" s="34">
        <v>1679.4</v>
      </c>
      <c r="G1690" s="36">
        <f>Tabla16[[#This Row],[Importe]]-Tabla16[[#This Row],[Pagado]]</f>
        <v>0</v>
      </c>
      <c r="H1690" s="38" t="s">
        <v>10</v>
      </c>
    </row>
    <row r="1691" spans="1:8" x14ac:dyDescent="0.25">
      <c r="A1691" s="31">
        <v>44697</v>
      </c>
      <c r="B1691" s="38" t="s">
        <v>15832</v>
      </c>
      <c r="C1691" s="38" t="s">
        <v>348</v>
      </c>
      <c r="D1691" s="34">
        <v>3934</v>
      </c>
      <c r="E1691" s="35">
        <v>44697</v>
      </c>
      <c r="F1691" s="34">
        <v>3934</v>
      </c>
      <c r="G1691" s="36">
        <f>Tabla16[[#This Row],[Importe]]-Tabla16[[#This Row],[Pagado]]</f>
        <v>0</v>
      </c>
      <c r="H1691" s="38" t="s">
        <v>10</v>
      </c>
    </row>
    <row r="1692" spans="1:8" x14ac:dyDescent="0.25">
      <c r="A1692" s="31">
        <v>44697</v>
      </c>
      <c r="B1692" s="38" t="s">
        <v>15833</v>
      </c>
      <c r="C1692" s="38" t="s">
        <v>314</v>
      </c>
      <c r="D1692" s="34">
        <v>1491.6</v>
      </c>
      <c r="E1692" s="35">
        <v>44697</v>
      </c>
      <c r="F1692" s="34">
        <v>1491.6</v>
      </c>
      <c r="G1692" s="36">
        <f>Tabla16[[#This Row],[Importe]]-Tabla16[[#This Row],[Pagado]]</f>
        <v>0</v>
      </c>
      <c r="H1692" s="38" t="s">
        <v>10</v>
      </c>
    </row>
    <row r="1693" spans="1:8" x14ac:dyDescent="0.25">
      <c r="A1693" s="31">
        <v>44697</v>
      </c>
      <c r="B1693" s="38" t="s">
        <v>15834</v>
      </c>
      <c r="C1693" s="38" t="s">
        <v>85</v>
      </c>
      <c r="D1693" s="34">
        <v>1247.4000000000001</v>
      </c>
      <c r="E1693" s="35">
        <v>44697</v>
      </c>
      <c r="F1693" s="34">
        <v>1247.4000000000001</v>
      </c>
      <c r="G1693" s="36">
        <f>Tabla16[[#This Row],[Importe]]-Tabla16[[#This Row],[Pagado]]</f>
        <v>0</v>
      </c>
      <c r="H1693" s="38" t="s">
        <v>10</v>
      </c>
    </row>
    <row r="1694" spans="1:8" x14ac:dyDescent="0.25">
      <c r="A1694" s="31">
        <v>44697</v>
      </c>
      <c r="B1694" s="38" t="s">
        <v>15835</v>
      </c>
      <c r="C1694" s="38" t="s">
        <v>22</v>
      </c>
      <c r="D1694" s="34">
        <v>52217.8</v>
      </c>
      <c r="E1694" s="35">
        <v>44698</v>
      </c>
      <c r="F1694" s="34">
        <v>52217.8</v>
      </c>
      <c r="G1694" s="36">
        <f>Tabla16[[#This Row],[Importe]]-Tabla16[[#This Row],[Pagado]]</f>
        <v>0</v>
      </c>
      <c r="H1694" s="38" t="s">
        <v>10</v>
      </c>
    </row>
    <row r="1695" spans="1:8" x14ac:dyDescent="0.25">
      <c r="A1695" s="31">
        <v>44697</v>
      </c>
      <c r="B1695" s="38" t="s">
        <v>15836</v>
      </c>
      <c r="C1695" s="38" t="s">
        <v>27</v>
      </c>
      <c r="D1695" s="34">
        <v>3352</v>
      </c>
      <c r="E1695" s="35">
        <v>44697</v>
      </c>
      <c r="F1695" s="34">
        <v>3352</v>
      </c>
      <c r="G1695" s="36">
        <f>Tabla16[[#This Row],[Importe]]-Tabla16[[#This Row],[Pagado]]</f>
        <v>0</v>
      </c>
      <c r="H1695" s="38" t="s">
        <v>10</v>
      </c>
    </row>
    <row r="1696" spans="1:8" x14ac:dyDescent="0.25">
      <c r="A1696" s="31">
        <v>44697</v>
      </c>
      <c r="B1696" s="38" t="s">
        <v>15837</v>
      </c>
      <c r="C1696" s="38" t="s">
        <v>87</v>
      </c>
      <c r="D1696" s="34">
        <v>2956.8</v>
      </c>
      <c r="E1696" s="35">
        <v>44697</v>
      </c>
      <c r="F1696" s="34">
        <v>2956.8</v>
      </c>
      <c r="G1696" s="36">
        <f>Tabla16[[#This Row],[Importe]]-Tabla16[[#This Row],[Pagado]]</f>
        <v>0</v>
      </c>
      <c r="H1696" s="38" t="s">
        <v>10</v>
      </c>
    </row>
    <row r="1697" spans="1:8" x14ac:dyDescent="0.25">
      <c r="A1697" s="31">
        <v>44697</v>
      </c>
      <c r="B1697" s="38" t="s">
        <v>15838</v>
      </c>
      <c r="C1697" s="38" t="s">
        <v>146</v>
      </c>
      <c r="D1697" s="34">
        <v>2080.8000000000002</v>
      </c>
      <c r="E1697" s="35">
        <v>44697</v>
      </c>
      <c r="F1697" s="34">
        <v>2080.8000000000002</v>
      </c>
      <c r="G1697" s="36">
        <f>Tabla16[[#This Row],[Importe]]-Tabla16[[#This Row],[Pagado]]</f>
        <v>0</v>
      </c>
      <c r="H1697" s="38" t="s">
        <v>10</v>
      </c>
    </row>
    <row r="1698" spans="1:8" x14ac:dyDescent="0.25">
      <c r="A1698" s="31">
        <v>44697</v>
      </c>
      <c r="B1698" s="38" t="s">
        <v>15839</v>
      </c>
      <c r="C1698" s="38" t="s">
        <v>333</v>
      </c>
      <c r="D1698" s="34">
        <v>1393.26</v>
      </c>
      <c r="E1698" s="35">
        <v>44697</v>
      </c>
      <c r="F1698" s="34">
        <v>1393.26</v>
      </c>
      <c r="G1698" s="36">
        <f>Tabla16[[#This Row],[Importe]]-Tabla16[[#This Row],[Pagado]]</f>
        <v>0</v>
      </c>
      <c r="H1698" s="38" t="s">
        <v>10</v>
      </c>
    </row>
    <row r="1699" spans="1:8" x14ac:dyDescent="0.25">
      <c r="A1699" s="31">
        <v>44697</v>
      </c>
      <c r="B1699" s="38" t="s">
        <v>15840</v>
      </c>
      <c r="C1699" s="38" t="s">
        <v>196</v>
      </c>
      <c r="D1699" s="34">
        <v>114866.53</v>
      </c>
      <c r="E1699" s="35">
        <v>44701</v>
      </c>
      <c r="F1699" s="34">
        <v>114866.53</v>
      </c>
      <c r="G1699" s="36">
        <f>Tabla16[[#This Row],[Importe]]-Tabla16[[#This Row],[Pagado]]</f>
        <v>0</v>
      </c>
      <c r="H1699" s="38" t="s">
        <v>10</v>
      </c>
    </row>
    <row r="1700" spans="1:8" x14ac:dyDescent="0.25">
      <c r="A1700" s="31">
        <v>44697</v>
      </c>
      <c r="B1700" s="38" t="s">
        <v>15841</v>
      </c>
      <c r="C1700" s="38" t="s">
        <v>212</v>
      </c>
      <c r="D1700" s="34">
        <v>44669.4</v>
      </c>
      <c r="E1700" s="35">
        <v>44699</v>
      </c>
      <c r="F1700" s="34">
        <v>44669.4</v>
      </c>
      <c r="G1700" s="36">
        <f>Tabla16[[#This Row],[Importe]]-Tabla16[[#This Row],[Pagado]]</f>
        <v>0</v>
      </c>
      <c r="H1700" s="38" t="s">
        <v>10</v>
      </c>
    </row>
    <row r="1701" spans="1:8" x14ac:dyDescent="0.25">
      <c r="A1701" s="31">
        <v>44697</v>
      </c>
      <c r="B1701" s="38" t="s">
        <v>15842</v>
      </c>
      <c r="C1701" s="38" t="s">
        <v>473</v>
      </c>
      <c r="D1701" s="34">
        <v>7467.2</v>
      </c>
      <c r="E1701" s="35">
        <v>44697</v>
      </c>
      <c r="F1701" s="34">
        <v>7467.2</v>
      </c>
      <c r="G1701" s="36">
        <f>Tabla16[[#This Row],[Importe]]-Tabla16[[#This Row],[Pagado]]</f>
        <v>0</v>
      </c>
      <c r="H1701" s="38" t="s">
        <v>10</v>
      </c>
    </row>
    <row r="1702" spans="1:8" x14ac:dyDescent="0.25">
      <c r="A1702" s="31">
        <v>44697</v>
      </c>
      <c r="B1702" s="38" t="s">
        <v>15843</v>
      </c>
      <c r="C1702" s="38" t="s">
        <v>473</v>
      </c>
      <c r="D1702" s="34">
        <v>481.84</v>
      </c>
      <c r="E1702" s="35">
        <v>44697</v>
      </c>
      <c r="F1702" s="34">
        <v>481.84</v>
      </c>
      <c r="G1702" s="36">
        <f>Tabla16[[#This Row],[Importe]]-Tabla16[[#This Row],[Pagado]]</f>
        <v>0</v>
      </c>
      <c r="H1702" s="38" t="s">
        <v>10</v>
      </c>
    </row>
    <row r="1703" spans="1:8" x14ac:dyDescent="0.25">
      <c r="A1703" s="31">
        <v>44697</v>
      </c>
      <c r="B1703" s="38" t="s">
        <v>15844</v>
      </c>
      <c r="C1703" s="38" t="s">
        <v>75</v>
      </c>
      <c r="D1703" s="34">
        <v>8797.7999999999993</v>
      </c>
      <c r="E1703" s="35">
        <v>44697</v>
      </c>
      <c r="F1703" s="34">
        <v>8797.7999999999993</v>
      </c>
      <c r="G1703" s="36">
        <f>Tabla16[[#This Row],[Importe]]-Tabla16[[#This Row],[Pagado]]</f>
        <v>0</v>
      </c>
      <c r="H1703" s="38" t="s">
        <v>10</v>
      </c>
    </row>
    <row r="1704" spans="1:8" x14ac:dyDescent="0.25">
      <c r="A1704" s="31">
        <v>44697</v>
      </c>
      <c r="B1704" s="38" t="s">
        <v>15845</v>
      </c>
      <c r="C1704" s="38" t="s">
        <v>83</v>
      </c>
      <c r="D1704" s="34">
        <v>12097.6</v>
      </c>
      <c r="E1704" s="35">
        <v>44697</v>
      </c>
      <c r="F1704" s="34">
        <v>12097.6</v>
      </c>
      <c r="G1704" s="36">
        <f>Tabla16[[#This Row],[Importe]]-Tabla16[[#This Row],[Pagado]]</f>
        <v>0</v>
      </c>
      <c r="H1704" s="38" t="s">
        <v>10</v>
      </c>
    </row>
    <row r="1705" spans="1:8" x14ac:dyDescent="0.25">
      <c r="A1705" s="31">
        <v>44697</v>
      </c>
      <c r="B1705" s="38" t="s">
        <v>15846</v>
      </c>
      <c r="C1705" s="38" t="s">
        <v>137</v>
      </c>
      <c r="D1705" s="34">
        <v>2240</v>
      </c>
      <c r="E1705" s="35">
        <v>44697</v>
      </c>
      <c r="F1705" s="34">
        <v>2240</v>
      </c>
      <c r="G1705" s="36">
        <f>Tabla16[[#This Row],[Importe]]-Tabla16[[#This Row],[Pagado]]</f>
        <v>0</v>
      </c>
      <c r="H1705" s="38" t="s">
        <v>10</v>
      </c>
    </row>
    <row r="1706" spans="1:8" x14ac:dyDescent="0.25">
      <c r="A1706" s="31">
        <v>44697</v>
      </c>
      <c r="B1706" s="38" t="s">
        <v>15847</v>
      </c>
      <c r="C1706" s="38" t="s">
        <v>154</v>
      </c>
      <c r="D1706" s="34">
        <v>28093.1</v>
      </c>
      <c r="E1706" s="35">
        <v>44701</v>
      </c>
      <c r="F1706" s="34">
        <v>28093.1</v>
      </c>
      <c r="G1706" s="36">
        <f>Tabla16[[#This Row],[Importe]]-Tabla16[[#This Row],[Pagado]]</f>
        <v>0</v>
      </c>
      <c r="H1706" s="38" t="s">
        <v>10</v>
      </c>
    </row>
    <row r="1707" spans="1:8" x14ac:dyDescent="0.25">
      <c r="A1707" s="31">
        <v>44697</v>
      </c>
      <c r="B1707" s="38" t="s">
        <v>15848</v>
      </c>
      <c r="C1707" s="38" t="s">
        <v>218</v>
      </c>
      <c r="D1707" s="34">
        <v>15513.7</v>
      </c>
      <c r="E1707" s="35">
        <v>44700</v>
      </c>
      <c r="F1707" s="34">
        <v>15513.7</v>
      </c>
      <c r="G1707" s="36">
        <f>Tabla16[[#This Row],[Importe]]-Tabla16[[#This Row],[Pagado]]</f>
        <v>0</v>
      </c>
      <c r="H1707" s="38" t="s">
        <v>10</v>
      </c>
    </row>
    <row r="1708" spans="1:8" x14ac:dyDescent="0.25">
      <c r="A1708" s="31">
        <v>44697</v>
      </c>
      <c r="B1708" s="38" t="s">
        <v>15849</v>
      </c>
      <c r="C1708" s="38" t="s">
        <v>16</v>
      </c>
      <c r="D1708" s="34">
        <v>4931.8</v>
      </c>
      <c r="E1708" s="35">
        <v>44697</v>
      </c>
      <c r="F1708" s="34">
        <v>4931.8</v>
      </c>
      <c r="G1708" s="36">
        <f>Tabla16[[#This Row],[Importe]]-Tabla16[[#This Row],[Pagado]]</f>
        <v>0</v>
      </c>
      <c r="H1708" s="38" t="s">
        <v>10</v>
      </c>
    </row>
    <row r="1709" spans="1:8" x14ac:dyDescent="0.25">
      <c r="A1709" s="31">
        <v>44697</v>
      </c>
      <c r="B1709" s="38" t="s">
        <v>15850</v>
      </c>
      <c r="C1709" s="38" t="s">
        <v>140</v>
      </c>
      <c r="D1709" s="34">
        <v>1062.5999999999999</v>
      </c>
      <c r="E1709" s="35">
        <v>44697</v>
      </c>
      <c r="F1709" s="34">
        <v>1062.5999999999999</v>
      </c>
      <c r="G1709" s="36">
        <f>Tabla16[[#This Row],[Importe]]-Tabla16[[#This Row],[Pagado]]</f>
        <v>0</v>
      </c>
      <c r="H1709" s="38" t="s">
        <v>10</v>
      </c>
    </row>
    <row r="1710" spans="1:8" x14ac:dyDescent="0.25">
      <c r="A1710" s="31">
        <v>44697</v>
      </c>
      <c r="B1710" s="38" t="s">
        <v>15851</v>
      </c>
      <c r="C1710" s="38" t="s">
        <v>339</v>
      </c>
      <c r="D1710" s="34">
        <v>510.6</v>
      </c>
      <c r="E1710" s="35">
        <v>44697</v>
      </c>
      <c r="F1710" s="34">
        <v>510.6</v>
      </c>
      <c r="G1710" s="36">
        <f>Tabla16[[#This Row],[Importe]]-Tabla16[[#This Row],[Pagado]]</f>
        <v>0</v>
      </c>
      <c r="H1710" s="38" t="s">
        <v>10</v>
      </c>
    </row>
    <row r="1711" spans="1:8" x14ac:dyDescent="0.25">
      <c r="A1711" s="31">
        <v>44697</v>
      </c>
      <c r="B1711" s="38" t="s">
        <v>15852</v>
      </c>
      <c r="C1711" s="38" t="s">
        <v>127</v>
      </c>
      <c r="D1711" s="34">
        <v>4882</v>
      </c>
      <c r="E1711" s="35">
        <v>44697</v>
      </c>
      <c r="F1711" s="34">
        <v>4882</v>
      </c>
      <c r="G1711" s="36">
        <f>Tabla16[[#This Row],[Importe]]-Tabla16[[#This Row],[Pagado]]</f>
        <v>0</v>
      </c>
      <c r="H1711" s="38" t="s">
        <v>10</v>
      </c>
    </row>
    <row r="1712" spans="1:8" x14ac:dyDescent="0.25">
      <c r="A1712" s="31">
        <v>44697</v>
      </c>
      <c r="B1712" s="38" t="s">
        <v>15853</v>
      </c>
      <c r="C1712" s="38" t="s">
        <v>129</v>
      </c>
      <c r="D1712" s="34">
        <v>3825.4</v>
      </c>
      <c r="E1712" s="35">
        <v>44697</v>
      </c>
      <c r="F1712" s="34">
        <v>3825.4</v>
      </c>
      <c r="G1712" s="36">
        <f>Tabla16[[#This Row],[Importe]]-Tabla16[[#This Row],[Pagado]]</f>
        <v>0</v>
      </c>
      <c r="H1712" s="38" t="s">
        <v>10</v>
      </c>
    </row>
    <row r="1713" spans="1:8" x14ac:dyDescent="0.25">
      <c r="A1713" s="31">
        <v>44697</v>
      </c>
      <c r="B1713" s="38" t="s">
        <v>15854</v>
      </c>
      <c r="C1713" s="38" t="s">
        <v>357</v>
      </c>
      <c r="D1713" s="34">
        <v>3930.8</v>
      </c>
      <c r="E1713" s="35">
        <v>44697</v>
      </c>
      <c r="F1713" s="34">
        <v>3930.8</v>
      </c>
      <c r="G1713" s="36">
        <f>Tabla16[[#This Row],[Importe]]-Tabla16[[#This Row],[Pagado]]</f>
        <v>0</v>
      </c>
      <c r="H1713" s="38" t="s">
        <v>10</v>
      </c>
    </row>
    <row r="1714" spans="1:8" x14ac:dyDescent="0.25">
      <c r="A1714" s="31">
        <v>44697</v>
      </c>
      <c r="B1714" s="38" t="s">
        <v>15855</v>
      </c>
      <c r="C1714" s="38" t="s">
        <v>31</v>
      </c>
      <c r="D1714" s="34">
        <v>6800</v>
      </c>
      <c r="E1714" s="35">
        <v>44697</v>
      </c>
      <c r="F1714" s="34">
        <v>6800</v>
      </c>
      <c r="G1714" s="36">
        <f>Tabla16[[#This Row],[Importe]]-Tabla16[[#This Row],[Pagado]]</f>
        <v>0</v>
      </c>
      <c r="H1714" s="38" t="s">
        <v>10</v>
      </c>
    </row>
    <row r="1715" spans="1:8" x14ac:dyDescent="0.25">
      <c r="A1715" s="31">
        <v>44697</v>
      </c>
      <c r="B1715" s="38" t="s">
        <v>15856</v>
      </c>
      <c r="C1715" s="38" t="s">
        <v>206</v>
      </c>
      <c r="D1715" s="34">
        <v>23417.1</v>
      </c>
      <c r="E1715" s="35">
        <v>44701</v>
      </c>
      <c r="F1715" s="34">
        <v>23417.1</v>
      </c>
      <c r="G1715" s="36">
        <f>Tabla16[[#This Row],[Importe]]-Tabla16[[#This Row],[Pagado]]</f>
        <v>0</v>
      </c>
      <c r="H1715" s="38" t="s">
        <v>10</v>
      </c>
    </row>
    <row r="1716" spans="1:8" x14ac:dyDescent="0.25">
      <c r="A1716" s="31">
        <v>44697</v>
      </c>
      <c r="B1716" s="38" t="s">
        <v>15857</v>
      </c>
      <c r="C1716" s="38" t="s">
        <v>206</v>
      </c>
      <c r="D1716" s="34">
        <v>5746.2</v>
      </c>
      <c r="E1716" s="35">
        <v>44701</v>
      </c>
      <c r="F1716" s="34">
        <v>5746.2</v>
      </c>
      <c r="G1716" s="36">
        <f>Tabla16[[#This Row],[Importe]]-Tabla16[[#This Row],[Pagado]]</f>
        <v>0</v>
      </c>
      <c r="H1716" s="38" t="s">
        <v>10</v>
      </c>
    </row>
    <row r="1717" spans="1:8" x14ac:dyDescent="0.25">
      <c r="A1717" s="31">
        <v>44697</v>
      </c>
      <c r="B1717" s="38" t="s">
        <v>15858</v>
      </c>
      <c r="C1717" s="38" t="s">
        <v>15859</v>
      </c>
      <c r="D1717" s="34">
        <v>0</v>
      </c>
      <c r="E1717" s="39" t="s">
        <v>189</v>
      </c>
      <c r="F1717" s="34">
        <v>0</v>
      </c>
      <c r="G1717" s="36">
        <f>Tabla16[[#This Row],[Importe]]-Tabla16[[#This Row],[Pagado]]</f>
        <v>0</v>
      </c>
      <c r="H1717" s="40" t="s">
        <v>15860</v>
      </c>
    </row>
    <row r="1718" spans="1:8" x14ac:dyDescent="0.25">
      <c r="A1718" s="31">
        <v>44697</v>
      </c>
      <c r="B1718" s="38" t="s">
        <v>15861</v>
      </c>
      <c r="C1718" s="38" t="s">
        <v>208</v>
      </c>
      <c r="D1718" s="34">
        <v>12538.2</v>
      </c>
      <c r="E1718" s="35">
        <v>44699</v>
      </c>
      <c r="F1718" s="34">
        <v>12538.2</v>
      </c>
      <c r="G1718" s="36">
        <f>Tabla16[[#This Row],[Importe]]-Tabla16[[#This Row],[Pagado]]</f>
        <v>0</v>
      </c>
      <c r="H1718" s="38" t="s">
        <v>10</v>
      </c>
    </row>
    <row r="1719" spans="1:8" x14ac:dyDescent="0.25">
      <c r="A1719" s="31">
        <v>44697</v>
      </c>
      <c r="B1719" s="38" t="s">
        <v>15862</v>
      </c>
      <c r="C1719" s="38" t="s">
        <v>10157</v>
      </c>
      <c r="D1719" s="34">
        <v>8159</v>
      </c>
      <c r="E1719" s="35">
        <v>44701</v>
      </c>
      <c r="F1719" s="34">
        <v>8159</v>
      </c>
      <c r="G1719" s="36">
        <f>Tabla16[[#This Row],[Importe]]-Tabla16[[#This Row],[Pagado]]</f>
        <v>0</v>
      </c>
      <c r="H1719" s="38" t="s">
        <v>10</v>
      </c>
    </row>
    <row r="1720" spans="1:8" x14ac:dyDescent="0.25">
      <c r="A1720" s="31">
        <v>44697</v>
      </c>
      <c r="B1720" s="38" t="s">
        <v>15863</v>
      </c>
      <c r="C1720" s="38" t="s">
        <v>414</v>
      </c>
      <c r="D1720" s="34">
        <v>19202.400000000001</v>
      </c>
      <c r="E1720" s="35">
        <v>44697</v>
      </c>
      <c r="F1720" s="34">
        <v>19202.400000000001</v>
      </c>
      <c r="G1720" s="36">
        <f>Tabla16[[#This Row],[Importe]]-Tabla16[[#This Row],[Pagado]]</f>
        <v>0</v>
      </c>
      <c r="H1720" s="38" t="s">
        <v>10</v>
      </c>
    </row>
    <row r="1721" spans="1:8" x14ac:dyDescent="0.25">
      <c r="A1721" s="31">
        <v>44697</v>
      </c>
      <c r="B1721" s="38" t="s">
        <v>15864</v>
      </c>
      <c r="C1721" s="38" t="s">
        <v>15865</v>
      </c>
      <c r="D1721" s="34">
        <v>0</v>
      </c>
      <c r="E1721" s="39" t="s">
        <v>189</v>
      </c>
      <c r="F1721" s="34">
        <v>0</v>
      </c>
      <c r="G1721" s="36">
        <f>Tabla16[[#This Row],[Importe]]-Tabla16[[#This Row],[Pagado]]</f>
        <v>0</v>
      </c>
      <c r="H1721" s="38" t="s">
        <v>189</v>
      </c>
    </row>
    <row r="1722" spans="1:8" x14ac:dyDescent="0.25">
      <c r="A1722" s="31">
        <v>44697</v>
      </c>
      <c r="B1722" s="38" t="s">
        <v>15866</v>
      </c>
      <c r="C1722" s="38" t="s">
        <v>56</v>
      </c>
      <c r="D1722" s="34">
        <v>5355</v>
      </c>
      <c r="E1722" s="35">
        <v>44697</v>
      </c>
      <c r="F1722" s="34">
        <v>5355</v>
      </c>
      <c r="G1722" s="36">
        <f>Tabla16[[#This Row],[Importe]]-Tabla16[[#This Row],[Pagado]]</f>
        <v>0</v>
      </c>
      <c r="H1722" s="38" t="s">
        <v>10</v>
      </c>
    </row>
    <row r="1723" spans="1:8" x14ac:dyDescent="0.25">
      <c r="A1723" s="31">
        <v>44697</v>
      </c>
      <c r="B1723" s="38" t="s">
        <v>15867</v>
      </c>
      <c r="C1723" s="38" t="s">
        <v>15868</v>
      </c>
      <c r="D1723" s="34">
        <v>39883.5</v>
      </c>
      <c r="E1723" s="35">
        <v>44698</v>
      </c>
      <c r="F1723" s="34">
        <v>39883.5</v>
      </c>
      <c r="G1723" s="36">
        <f>Tabla16[[#This Row],[Importe]]-Tabla16[[#This Row],[Pagado]]</f>
        <v>0</v>
      </c>
      <c r="H1723" s="38" t="s">
        <v>10</v>
      </c>
    </row>
    <row r="1724" spans="1:8" x14ac:dyDescent="0.25">
      <c r="A1724" s="31">
        <v>44697</v>
      </c>
      <c r="B1724" s="38" t="s">
        <v>15869</v>
      </c>
      <c r="C1724" s="38" t="s">
        <v>173</v>
      </c>
      <c r="D1724" s="34">
        <v>15569.4</v>
      </c>
      <c r="E1724" s="35">
        <v>44698</v>
      </c>
      <c r="F1724" s="34">
        <v>15569.4</v>
      </c>
      <c r="G1724" s="36">
        <f>Tabla16[[#This Row],[Importe]]-Tabla16[[#This Row],[Pagado]]</f>
        <v>0</v>
      </c>
      <c r="H1724" s="38" t="s">
        <v>10</v>
      </c>
    </row>
    <row r="1725" spans="1:8" x14ac:dyDescent="0.25">
      <c r="A1725" s="31">
        <v>44697</v>
      </c>
      <c r="B1725" s="38" t="s">
        <v>15870</v>
      </c>
      <c r="C1725" s="38" t="s">
        <v>173</v>
      </c>
      <c r="D1725" s="34">
        <v>990</v>
      </c>
      <c r="E1725" s="35">
        <v>44698</v>
      </c>
      <c r="F1725" s="34">
        <v>990</v>
      </c>
      <c r="G1725" s="36">
        <f>Tabla16[[#This Row],[Importe]]-Tabla16[[#This Row],[Pagado]]</f>
        <v>0</v>
      </c>
      <c r="H1725" s="38" t="s">
        <v>10</v>
      </c>
    </row>
    <row r="1726" spans="1:8" x14ac:dyDescent="0.25">
      <c r="A1726" s="31">
        <v>44697</v>
      </c>
      <c r="B1726" s="38" t="s">
        <v>15871</v>
      </c>
      <c r="C1726" s="38" t="s">
        <v>240</v>
      </c>
      <c r="D1726" s="34">
        <v>8731.2000000000007</v>
      </c>
      <c r="E1726" s="35">
        <v>44697</v>
      </c>
      <c r="F1726" s="34">
        <v>8731.2000000000007</v>
      </c>
      <c r="G1726" s="36">
        <f>Tabla16[[#This Row],[Importe]]-Tabla16[[#This Row],[Pagado]]</f>
        <v>0</v>
      </c>
      <c r="H1726" s="38" t="s">
        <v>10</v>
      </c>
    </row>
    <row r="1727" spans="1:8" x14ac:dyDescent="0.25">
      <c r="A1727" s="31">
        <v>44697</v>
      </c>
      <c r="B1727" s="38" t="s">
        <v>15872</v>
      </c>
      <c r="C1727" s="38" t="s">
        <v>133</v>
      </c>
      <c r="D1727" s="34">
        <v>13668</v>
      </c>
      <c r="E1727" s="35">
        <v>44698</v>
      </c>
      <c r="F1727" s="34">
        <v>13668</v>
      </c>
      <c r="G1727" s="36">
        <f>Tabla16[[#This Row],[Importe]]-Tabla16[[#This Row],[Pagado]]</f>
        <v>0</v>
      </c>
      <c r="H1727" s="38" t="s">
        <v>10</v>
      </c>
    </row>
    <row r="1728" spans="1:8" x14ac:dyDescent="0.25">
      <c r="A1728" s="31">
        <v>44697</v>
      </c>
      <c r="B1728" s="38" t="s">
        <v>15873</v>
      </c>
      <c r="C1728" s="38" t="s">
        <v>31</v>
      </c>
      <c r="D1728" s="34">
        <v>2452.8000000000002</v>
      </c>
      <c r="E1728" s="35">
        <v>44697</v>
      </c>
      <c r="F1728" s="34">
        <v>2452.8000000000002</v>
      </c>
      <c r="G1728" s="36">
        <f>Tabla16[[#This Row],[Importe]]-Tabla16[[#This Row],[Pagado]]</f>
        <v>0</v>
      </c>
      <c r="H1728" s="38" t="s">
        <v>10</v>
      </c>
    </row>
    <row r="1729" spans="1:8" x14ac:dyDescent="0.25">
      <c r="A1729" s="31">
        <v>44697</v>
      </c>
      <c r="B1729" s="38" t="s">
        <v>15874</v>
      </c>
      <c r="C1729" s="38" t="s">
        <v>24</v>
      </c>
      <c r="D1729" s="34">
        <v>3509.1</v>
      </c>
      <c r="E1729" s="35">
        <v>44697</v>
      </c>
      <c r="F1729" s="34">
        <v>3509.1</v>
      </c>
      <c r="G1729" s="36">
        <f>Tabla16[[#This Row],[Importe]]-Tabla16[[#This Row],[Pagado]]</f>
        <v>0</v>
      </c>
      <c r="H1729" s="38" t="s">
        <v>10</v>
      </c>
    </row>
    <row r="1730" spans="1:8" x14ac:dyDescent="0.25">
      <c r="A1730" s="31">
        <v>44697</v>
      </c>
      <c r="B1730" s="38" t="s">
        <v>15875</v>
      </c>
      <c r="C1730" s="38" t="s">
        <v>15876</v>
      </c>
      <c r="D1730" s="34">
        <v>0</v>
      </c>
      <c r="E1730" s="39" t="s">
        <v>189</v>
      </c>
      <c r="F1730" s="34">
        <v>0</v>
      </c>
      <c r="G1730" s="36">
        <f>Tabla16[[#This Row],[Importe]]-Tabla16[[#This Row],[Pagado]]</f>
        <v>0</v>
      </c>
      <c r="H1730" s="38" t="s">
        <v>189</v>
      </c>
    </row>
    <row r="1731" spans="1:8" x14ac:dyDescent="0.25">
      <c r="A1731" s="31">
        <v>44697</v>
      </c>
      <c r="B1731" s="38" t="s">
        <v>15877</v>
      </c>
      <c r="C1731" s="38" t="s">
        <v>45</v>
      </c>
      <c r="D1731" s="34">
        <v>11248.5</v>
      </c>
      <c r="E1731" s="35">
        <v>44697</v>
      </c>
      <c r="F1731" s="34">
        <v>11248.5</v>
      </c>
      <c r="G1731" s="36">
        <f>Tabla16[[#This Row],[Importe]]-Tabla16[[#This Row],[Pagado]]</f>
        <v>0</v>
      </c>
      <c r="H1731" s="38" t="s">
        <v>10</v>
      </c>
    </row>
    <row r="1732" spans="1:8" x14ac:dyDescent="0.25">
      <c r="A1732" s="31">
        <v>44697</v>
      </c>
      <c r="B1732" s="38" t="s">
        <v>15878</v>
      </c>
      <c r="C1732" s="38" t="s">
        <v>5816</v>
      </c>
      <c r="D1732" s="34">
        <v>10463</v>
      </c>
      <c r="E1732" s="35">
        <v>44698</v>
      </c>
      <c r="F1732" s="34">
        <v>10463</v>
      </c>
      <c r="G1732" s="36">
        <f>Tabla16[[#This Row],[Importe]]-Tabla16[[#This Row],[Pagado]]</f>
        <v>0</v>
      </c>
      <c r="H1732" s="38" t="s">
        <v>10</v>
      </c>
    </row>
    <row r="1733" spans="1:8" x14ac:dyDescent="0.25">
      <c r="A1733" s="31">
        <v>44697</v>
      </c>
      <c r="B1733" s="38" t="s">
        <v>15879</v>
      </c>
      <c r="C1733" s="38" t="s">
        <v>31</v>
      </c>
      <c r="D1733" s="34">
        <v>1331.2</v>
      </c>
      <c r="E1733" s="35">
        <v>44697</v>
      </c>
      <c r="F1733" s="34">
        <v>1331.2</v>
      </c>
      <c r="G1733" s="36">
        <f>Tabla16[[#This Row],[Importe]]-Tabla16[[#This Row],[Pagado]]</f>
        <v>0</v>
      </c>
      <c r="H1733" s="38" t="s">
        <v>10</v>
      </c>
    </row>
    <row r="1734" spans="1:8" x14ac:dyDescent="0.25">
      <c r="A1734" s="31">
        <v>44697</v>
      </c>
      <c r="B1734" s="38" t="s">
        <v>15880</v>
      </c>
      <c r="C1734" s="38" t="s">
        <v>592</v>
      </c>
      <c r="D1734" s="34">
        <v>1657.5</v>
      </c>
      <c r="E1734" s="35">
        <v>44698</v>
      </c>
      <c r="F1734" s="34">
        <v>1657.5</v>
      </c>
      <c r="G1734" s="36">
        <f>Tabla16[[#This Row],[Importe]]-Tabla16[[#This Row],[Pagado]]</f>
        <v>0</v>
      </c>
      <c r="H1734" s="38" t="s">
        <v>10</v>
      </c>
    </row>
    <row r="1735" spans="1:8" x14ac:dyDescent="0.25">
      <c r="A1735" s="31">
        <v>44697</v>
      </c>
      <c r="B1735" s="38" t="s">
        <v>15881</v>
      </c>
      <c r="C1735" s="38" t="s">
        <v>216</v>
      </c>
      <c r="D1735" s="34">
        <v>1656.6</v>
      </c>
      <c r="E1735" s="35">
        <v>44697</v>
      </c>
      <c r="F1735" s="34">
        <v>1656.6</v>
      </c>
      <c r="G1735" s="36">
        <f>Tabla16[[#This Row],[Importe]]-Tabla16[[#This Row],[Pagado]]</f>
        <v>0</v>
      </c>
      <c r="H1735" s="38" t="s">
        <v>10</v>
      </c>
    </row>
    <row r="1736" spans="1:8" x14ac:dyDescent="0.25">
      <c r="A1736" s="31">
        <v>44697</v>
      </c>
      <c r="B1736" s="38" t="s">
        <v>15882</v>
      </c>
      <c r="C1736" s="38" t="s">
        <v>312</v>
      </c>
      <c r="D1736" s="34">
        <v>5333.6</v>
      </c>
      <c r="E1736" s="35">
        <v>44697</v>
      </c>
      <c r="F1736" s="34">
        <v>5333.6</v>
      </c>
      <c r="G1736" s="36">
        <f>Tabla16[[#This Row],[Importe]]-Tabla16[[#This Row],[Pagado]]</f>
        <v>0</v>
      </c>
      <c r="H1736" s="38" t="s">
        <v>10</v>
      </c>
    </row>
    <row r="1737" spans="1:8" x14ac:dyDescent="0.25">
      <c r="A1737" s="31">
        <v>44697</v>
      </c>
      <c r="B1737" s="38" t="s">
        <v>15883</v>
      </c>
      <c r="C1737" s="38" t="s">
        <v>224</v>
      </c>
      <c r="D1737" s="34">
        <v>14809.6</v>
      </c>
      <c r="E1737" s="35">
        <v>44708</v>
      </c>
      <c r="F1737" s="34">
        <v>14809.6</v>
      </c>
      <c r="G1737" s="36">
        <f>Tabla16[[#This Row],[Importe]]-Tabla16[[#This Row],[Pagado]]</f>
        <v>0</v>
      </c>
      <c r="H1737" s="38" t="s">
        <v>10</v>
      </c>
    </row>
    <row r="1738" spans="1:8" x14ac:dyDescent="0.25">
      <c r="A1738" s="31">
        <v>44697</v>
      </c>
      <c r="B1738" s="38" t="s">
        <v>15884</v>
      </c>
      <c r="C1738" s="38" t="s">
        <v>670</v>
      </c>
      <c r="D1738" s="34">
        <v>3922.3</v>
      </c>
      <c r="E1738" s="35">
        <v>44697</v>
      </c>
      <c r="F1738" s="34">
        <v>3922.3</v>
      </c>
      <c r="G1738" s="36">
        <f>Tabla16[[#This Row],[Importe]]-Tabla16[[#This Row],[Pagado]]</f>
        <v>0</v>
      </c>
      <c r="H1738" s="38" t="s">
        <v>10</v>
      </c>
    </row>
    <row r="1739" spans="1:8" x14ac:dyDescent="0.25">
      <c r="A1739" s="31">
        <v>44697</v>
      </c>
      <c r="B1739" s="38" t="s">
        <v>15885</v>
      </c>
      <c r="C1739" s="38" t="s">
        <v>62</v>
      </c>
      <c r="D1739" s="34">
        <v>4611.6000000000004</v>
      </c>
      <c r="E1739" s="35">
        <v>44697</v>
      </c>
      <c r="F1739" s="34">
        <v>4611.6000000000004</v>
      </c>
      <c r="G1739" s="36">
        <f>Tabla16[[#This Row],[Importe]]-Tabla16[[#This Row],[Pagado]]</f>
        <v>0</v>
      </c>
      <c r="H1739" s="38" t="s">
        <v>10</v>
      </c>
    </row>
    <row r="1740" spans="1:8" x14ac:dyDescent="0.25">
      <c r="A1740" s="31">
        <v>44697</v>
      </c>
      <c r="B1740" s="38" t="s">
        <v>15886</v>
      </c>
      <c r="C1740" s="38" t="s">
        <v>222</v>
      </c>
      <c r="D1740" s="34">
        <v>8992.7000000000007</v>
      </c>
      <c r="E1740" s="35">
        <v>44697</v>
      </c>
      <c r="F1740" s="34">
        <v>8992.7000000000007</v>
      </c>
      <c r="G1740" s="36">
        <f>Tabla16[[#This Row],[Importe]]-Tabla16[[#This Row],[Pagado]]</f>
        <v>0</v>
      </c>
      <c r="H1740" s="38" t="s">
        <v>10</v>
      </c>
    </row>
    <row r="1741" spans="1:8" x14ac:dyDescent="0.25">
      <c r="A1741" s="31">
        <v>44697</v>
      </c>
      <c r="B1741" s="38" t="s">
        <v>15887</v>
      </c>
      <c r="C1741" s="38" t="s">
        <v>681</v>
      </c>
      <c r="D1741" s="34">
        <v>10.82</v>
      </c>
      <c r="E1741" s="35">
        <v>44705</v>
      </c>
      <c r="F1741" s="34">
        <v>10.82</v>
      </c>
      <c r="G1741" s="36">
        <f>Tabla16[[#This Row],[Importe]]-Tabla16[[#This Row],[Pagado]]</f>
        <v>0</v>
      </c>
      <c r="H1741" s="38" t="s">
        <v>10</v>
      </c>
    </row>
    <row r="1742" spans="1:8" x14ac:dyDescent="0.25">
      <c r="A1742" s="31">
        <v>44697</v>
      </c>
      <c r="B1742" s="38" t="s">
        <v>15888</v>
      </c>
      <c r="C1742" s="38" t="s">
        <v>419</v>
      </c>
      <c r="D1742" s="34">
        <v>3786.5</v>
      </c>
      <c r="E1742" s="35">
        <v>44697</v>
      </c>
      <c r="F1742" s="34">
        <v>3786.5</v>
      </c>
      <c r="G1742" s="36">
        <f>Tabla16[[#This Row],[Importe]]-Tabla16[[#This Row],[Pagado]]</f>
        <v>0</v>
      </c>
      <c r="H1742" s="38" t="s">
        <v>10</v>
      </c>
    </row>
    <row r="1743" spans="1:8" x14ac:dyDescent="0.25">
      <c r="A1743" s="31">
        <v>44697</v>
      </c>
      <c r="B1743" s="38" t="s">
        <v>15889</v>
      </c>
      <c r="C1743" s="38" t="s">
        <v>698</v>
      </c>
      <c r="D1743" s="34">
        <v>7455.7</v>
      </c>
      <c r="E1743" s="35">
        <v>44697</v>
      </c>
      <c r="F1743" s="34">
        <v>7455.7</v>
      </c>
      <c r="G1743" s="36">
        <f>Tabla16[[#This Row],[Importe]]-Tabla16[[#This Row],[Pagado]]</f>
        <v>0</v>
      </c>
      <c r="H1743" s="38" t="s">
        <v>10</v>
      </c>
    </row>
    <row r="1744" spans="1:8" x14ac:dyDescent="0.25">
      <c r="A1744" s="31">
        <v>44697</v>
      </c>
      <c r="B1744" s="38" t="s">
        <v>15890</v>
      </c>
      <c r="C1744" s="38" t="s">
        <v>407</v>
      </c>
      <c r="D1744" s="34">
        <v>1059.2</v>
      </c>
      <c r="E1744" s="35">
        <v>44708</v>
      </c>
      <c r="F1744" s="34">
        <v>1059.2</v>
      </c>
      <c r="G1744" s="36">
        <f>Tabla16[[#This Row],[Importe]]-Tabla16[[#This Row],[Pagado]]</f>
        <v>0</v>
      </c>
      <c r="H1744" s="38" t="s">
        <v>10</v>
      </c>
    </row>
    <row r="1745" spans="1:8" x14ac:dyDescent="0.25">
      <c r="A1745" s="31">
        <v>44697</v>
      </c>
      <c r="B1745" s="38" t="s">
        <v>15891</v>
      </c>
      <c r="C1745" s="38" t="s">
        <v>31</v>
      </c>
      <c r="D1745" s="34">
        <v>2767.1</v>
      </c>
      <c r="E1745" s="35">
        <v>44697</v>
      </c>
      <c r="F1745" s="34">
        <v>2767.1</v>
      </c>
      <c r="G1745" s="36">
        <f>Tabla16[[#This Row],[Importe]]-Tabla16[[#This Row],[Pagado]]</f>
        <v>0</v>
      </c>
      <c r="H1745" s="38" t="s">
        <v>10</v>
      </c>
    </row>
    <row r="1746" spans="1:8" x14ac:dyDescent="0.25">
      <c r="A1746" s="31">
        <v>44697</v>
      </c>
      <c r="B1746" s="38" t="s">
        <v>15892</v>
      </c>
      <c r="C1746" s="38" t="s">
        <v>31</v>
      </c>
      <c r="D1746" s="34">
        <v>2252.8000000000002</v>
      </c>
      <c r="E1746" s="35">
        <v>44697</v>
      </c>
      <c r="F1746" s="34">
        <v>2252.8000000000002</v>
      </c>
      <c r="G1746" s="36">
        <f>Tabla16[[#This Row],[Importe]]-Tabla16[[#This Row],[Pagado]]</f>
        <v>0</v>
      </c>
      <c r="H1746" s="38" t="s">
        <v>10</v>
      </c>
    </row>
    <row r="1747" spans="1:8" x14ac:dyDescent="0.25">
      <c r="A1747" s="31">
        <v>44697</v>
      </c>
      <c r="B1747" s="38" t="s">
        <v>15893</v>
      </c>
      <c r="C1747" s="38" t="s">
        <v>53</v>
      </c>
      <c r="D1747" s="34">
        <v>2953.2</v>
      </c>
      <c r="E1747" s="35">
        <v>44697</v>
      </c>
      <c r="F1747" s="34">
        <v>2953.2</v>
      </c>
      <c r="G1747" s="36">
        <f>Tabla16[[#This Row],[Importe]]-Tabla16[[#This Row],[Pagado]]</f>
        <v>0</v>
      </c>
      <c r="H1747" s="38" t="s">
        <v>10</v>
      </c>
    </row>
    <row r="1748" spans="1:8" x14ac:dyDescent="0.25">
      <c r="A1748" s="31">
        <v>44697</v>
      </c>
      <c r="B1748" s="38" t="s">
        <v>15894</v>
      </c>
      <c r="C1748" s="38" t="s">
        <v>230</v>
      </c>
      <c r="D1748" s="34">
        <v>4501.8</v>
      </c>
      <c r="E1748" s="35">
        <v>44697</v>
      </c>
      <c r="F1748" s="34">
        <v>4501.8</v>
      </c>
      <c r="G1748" s="36">
        <f>Tabla16[[#This Row],[Importe]]-Tabla16[[#This Row],[Pagado]]</f>
        <v>0</v>
      </c>
      <c r="H1748" s="38" t="s">
        <v>10</v>
      </c>
    </row>
    <row r="1749" spans="1:8" x14ac:dyDescent="0.25">
      <c r="A1749" s="31">
        <v>44697</v>
      </c>
      <c r="B1749" s="38" t="s">
        <v>15895</v>
      </c>
      <c r="C1749" s="38" t="s">
        <v>142</v>
      </c>
      <c r="D1749" s="34">
        <v>13778.94</v>
      </c>
      <c r="E1749" s="35">
        <v>44760</v>
      </c>
      <c r="F1749" s="34">
        <v>13778.94</v>
      </c>
      <c r="G1749" s="36">
        <f>Tabla16[[#This Row],[Importe]]-Tabla16[[#This Row],[Pagado]]</f>
        <v>0</v>
      </c>
      <c r="H1749" s="38" t="s">
        <v>10</v>
      </c>
    </row>
    <row r="1750" spans="1:8" x14ac:dyDescent="0.25">
      <c r="A1750" s="31">
        <v>44697</v>
      </c>
      <c r="B1750" s="38" t="s">
        <v>15896</v>
      </c>
      <c r="C1750" s="38" t="s">
        <v>31</v>
      </c>
      <c r="D1750" s="34">
        <v>1106.0999999999999</v>
      </c>
      <c r="E1750" s="35">
        <v>44697</v>
      </c>
      <c r="F1750" s="34">
        <v>1106.0999999999999</v>
      </c>
      <c r="G1750" s="36">
        <f>Tabla16[[#This Row],[Importe]]-Tabla16[[#This Row],[Pagado]]</f>
        <v>0</v>
      </c>
      <c r="H1750" s="38" t="s">
        <v>10</v>
      </c>
    </row>
    <row r="1751" spans="1:8" x14ac:dyDescent="0.25">
      <c r="A1751" s="31">
        <v>44697</v>
      </c>
      <c r="B1751" s="38" t="s">
        <v>15897</v>
      </c>
      <c r="C1751" s="38" t="s">
        <v>58</v>
      </c>
      <c r="D1751" s="34">
        <v>6213.9</v>
      </c>
      <c r="E1751" s="35">
        <v>44697</v>
      </c>
      <c r="F1751" s="34">
        <v>6213.9</v>
      </c>
      <c r="G1751" s="36">
        <f>Tabla16[[#This Row],[Importe]]-Tabla16[[#This Row],[Pagado]]</f>
        <v>0</v>
      </c>
      <c r="H1751" s="38" t="s">
        <v>10</v>
      </c>
    </row>
    <row r="1752" spans="1:8" x14ac:dyDescent="0.25">
      <c r="A1752" s="31">
        <v>44697</v>
      </c>
      <c r="B1752" s="38" t="s">
        <v>15898</v>
      </c>
      <c r="C1752" s="38" t="s">
        <v>1174</v>
      </c>
      <c r="D1752" s="34">
        <v>33081.599999999999</v>
      </c>
      <c r="E1752" s="35">
        <v>44697</v>
      </c>
      <c r="F1752" s="34">
        <v>33081.599999999999</v>
      </c>
      <c r="G1752" s="36">
        <f>Tabla16[[#This Row],[Importe]]-Tabla16[[#This Row],[Pagado]]</f>
        <v>0</v>
      </c>
      <c r="H1752" s="38" t="s">
        <v>10</v>
      </c>
    </row>
    <row r="1753" spans="1:8" x14ac:dyDescent="0.25">
      <c r="A1753" s="31">
        <v>44697</v>
      </c>
      <c r="B1753" s="38" t="s">
        <v>15899</v>
      </c>
      <c r="C1753" s="38" t="s">
        <v>51</v>
      </c>
      <c r="D1753" s="34">
        <v>739.2</v>
      </c>
      <c r="E1753" s="35">
        <v>44697</v>
      </c>
      <c r="F1753" s="34">
        <v>739.2</v>
      </c>
      <c r="G1753" s="36">
        <f>Tabla16[[#This Row],[Importe]]-Tabla16[[#This Row],[Pagado]]</f>
        <v>0</v>
      </c>
      <c r="H1753" s="38" t="s">
        <v>10</v>
      </c>
    </row>
    <row r="1754" spans="1:8" x14ac:dyDescent="0.25">
      <c r="A1754" s="31">
        <v>44697</v>
      </c>
      <c r="B1754" s="38" t="s">
        <v>15900</v>
      </c>
      <c r="C1754" s="38" t="s">
        <v>191</v>
      </c>
      <c r="D1754" s="34">
        <v>1152</v>
      </c>
      <c r="E1754" s="35">
        <v>44697</v>
      </c>
      <c r="F1754" s="34">
        <v>1152</v>
      </c>
      <c r="G1754" s="36">
        <f>Tabla16[[#This Row],[Importe]]-Tabla16[[#This Row],[Pagado]]</f>
        <v>0</v>
      </c>
      <c r="H1754" s="38" t="s">
        <v>10</v>
      </c>
    </row>
    <row r="1755" spans="1:8" x14ac:dyDescent="0.25">
      <c r="A1755" s="31">
        <v>44697</v>
      </c>
      <c r="B1755" s="38" t="s">
        <v>15901</v>
      </c>
      <c r="C1755" s="38" t="s">
        <v>10190</v>
      </c>
      <c r="D1755" s="34">
        <v>19720.2</v>
      </c>
      <c r="E1755" s="35">
        <v>44698</v>
      </c>
      <c r="F1755" s="34">
        <v>19720.2</v>
      </c>
      <c r="G1755" s="36">
        <f>Tabla16[[#This Row],[Importe]]-Tabla16[[#This Row],[Pagado]]</f>
        <v>0</v>
      </c>
      <c r="H1755" s="38" t="s">
        <v>10</v>
      </c>
    </row>
    <row r="1756" spans="1:8" x14ac:dyDescent="0.25">
      <c r="A1756" s="31">
        <v>44697</v>
      </c>
      <c r="B1756" s="38" t="s">
        <v>15902</v>
      </c>
      <c r="C1756" s="38" t="s">
        <v>400</v>
      </c>
      <c r="D1756" s="34">
        <v>5618</v>
      </c>
      <c r="E1756" s="35">
        <v>44716</v>
      </c>
      <c r="F1756" s="34">
        <v>5618</v>
      </c>
      <c r="G1756" s="36">
        <f>Tabla16[[#This Row],[Importe]]-Tabla16[[#This Row],[Pagado]]</f>
        <v>0</v>
      </c>
      <c r="H1756" s="38" t="s">
        <v>10</v>
      </c>
    </row>
    <row r="1757" spans="1:8" x14ac:dyDescent="0.25">
      <c r="A1757" s="31">
        <v>44697</v>
      </c>
      <c r="B1757" s="38" t="s">
        <v>15903</v>
      </c>
      <c r="C1757" s="38" t="s">
        <v>402</v>
      </c>
      <c r="D1757" s="34">
        <v>17876.7</v>
      </c>
      <c r="E1757" s="35">
        <v>44716</v>
      </c>
      <c r="F1757" s="34">
        <v>17876.7</v>
      </c>
      <c r="G1757" s="36">
        <f>Tabla16[[#This Row],[Importe]]-Tabla16[[#This Row],[Pagado]]</f>
        <v>0</v>
      </c>
      <c r="H1757" s="38" t="s">
        <v>10</v>
      </c>
    </row>
    <row r="1758" spans="1:8" x14ac:dyDescent="0.25">
      <c r="A1758" s="31">
        <v>44697</v>
      </c>
      <c r="B1758" s="38" t="s">
        <v>15904</v>
      </c>
      <c r="C1758" s="38" t="s">
        <v>179</v>
      </c>
      <c r="D1758" s="34">
        <v>1436.6</v>
      </c>
      <c r="E1758" s="35">
        <v>44698</v>
      </c>
      <c r="F1758" s="34">
        <v>1436.6</v>
      </c>
      <c r="G1758" s="36">
        <f>Tabla16[[#This Row],[Importe]]-Tabla16[[#This Row],[Pagado]]</f>
        <v>0</v>
      </c>
      <c r="H1758" s="38" t="s">
        <v>10</v>
      </c>
    </row>
    <row r="1759" spans="1:8" x14ac:dyDescent="0.25">
      <c r="A1759" s="31">
        <v>44697</v>
      </c>
      <c r="B1759" s="38" t="s">
        <v>15905</v>
      </c>
      <c r="C1759" s="38" t="s">
        <v>31</v>
      </c>
      <c r="D1759" s="34">
        <v>829.5</v>
      </c>
      <c r="E1759" s="35">
        <v>44698</v>
      </c>
      <c r="F1759" s="34">
        <v>829.5</v>
      </c>
      <c r="G1759" s="36">
        <f>Tabla16[[#This Row],[Importe]]-Tabla16[[#This Row],[Pagado]]</f>
        <v>0</v>
      </c>
      <c r="H1759" s="38" t="s">
        <v>10</v>
      </c>
    </row>
    <row r="1760" spans="1:8" x14ac:dyDescent="0.25">
      <c r="A1760" s="31">
        <v>44697</v>
      </c>
      <c r="B1760" s="38" t="s">
        <v>15906</v>
      </c>
      <c r="C1760" s="38" t="s">
        <v>359</v>
      </c>
      <c r="D1760" s="34">
        <v>884</v>
      </c>
      <c r="E1760" s="35">
        <v>44698</v>
      </c>
      <c r="F1760" s="34">
        <v>884</v>
      </c>
      <c r="G1760" s="36">
        <f>Tabla16[[#This Row],[Importe]]-Tabla16[[#This Row],[Pagado]]</f>
        <v>0</v>
      </c>
      <c r="H1760" s="38" t="s">
        <v>10</v>
      </c>
    </row>
    <row r="1761" spans="1:8" x14ac:dyDescent="0.25">
      <c r="A1761" s="31">
        <v>44697</v>
      </c>
      <c r="B1761" s="38" t="s">
        <v>15907</v>
      </c>
      <c r="C1761" s="38" t="s">
        <v>8574</v>
      </c>
      <c r="D1761" s="34">
        <v>0</v>
      </c>
      <c r="E1761" s="39" t="s">
        <v>189</v>
      </c>
      <c r="F1761" s="34">
        <v>0</v>
      </c>
      <c r="G1761" s="36">
        <f>Tabla16[[#This Row],[Importe]]-Tabla16[[#This Row],[Pagado]]</f>
        <v>0</v>
      </c>
      <c r="H1761" s="38" t="s">
        <v>189</v>
      </c>
    </row>
    <row r="1762" spans="1:8" x14ac:dyDescent="0.25">
      <c r="A1762" s="31">
        <v>44697</v>
      </c>
      <c r="B1762" s="38" t="s">
        <v>15908</v>
      </c>
      <c r="C1762" s="38" t="s">
        <v>200</v>
      </c>
      <c r="D1762" s="34">
        <v>963.6</v>
      </c>
      <c r="E1762" s="35">
        <v>44698</v>
      </c>
      <c r="F1762" s="34">
        <v>963.6</v>
      </c>
      <c r="G1762" s="36">
        <f>Tabla16[[#This Row],[Importe]]-Tabla16[[#This Row],[Pagado]]</f>
        <v>0</v>
      </c>
      <c r="H1762" s="38" t="s">
        <v>10</v>
      </c>
    </row>
    <row r="1763" spans="1:8" x14ac:dyDescent="0.25">
      <c r="A1763" s="31">
        <v>44697</v>
      </c>
      <c r="B1763" s="38" t="s">
        <v>15909</v>
      </c>
      <c r="C1763" s="38" t="s">
        <v>181</v>
      </c>
      <c r="D1763" s="34">
        <v>7195.2</v>
      </c>
      <c r="E1763" s="35">
        <v>44698</v>
      </c>
      <c r="F1763" s="34">
        <v>7195.2</v>
      </c>
      <c r="G1763" s="36">
        <f>Tabla16[[#This Row],[Importe]]-Tabla16[[#This Row],[Pagado]]</f>
        <v>0</v>
      </c>
      <c r="H1763" s="38" t="s">
        <v>10</v>
      </c>
    </row>
    <row r="1764" spans="1:8" x14ac:dyDescent="0.25">
      <c r="A1764" s="31">
        <v>44697</v>
      </c>
      <c r="B1764" s="38" t="s">
        <v>15910</v>
      </c>
      <c r="C1764" s="38" t="s">
        <v>175</v>
      </c>
      <c r="D1764" s="34">
        <v>13285.5</v>
      </c>
      <c r="E1764" s="35">
        <v>44698</v>
      </c>
      <c r="F1764" s="34">
        <v>13285.5</v>
      </c>
      <c r="G1764" s="36">
        <f>Tabla16[[#This Row],[Importe]]-Tabla16[[#This Row],[Pagado]]</f>
        <v>0</v>
      </c>
      <c r="H1764" s="38" t="s">
        <v>10</v>
      </c>
    </row>
    <row r="1765" spans="1:8" x14ac:dyDescent="0.25">
      <c r="A1765" s="31">
        <v>44697</v>
      </c>
      <c r="B1765" s="38" t="s">
        <v>15911</v>
      </c>
      <c r="C1765" s="38" t="s">
        <v>2166</v>
      </c>
      <c r="D1765" s="34">
        <v>3340.8</v>
      </c>
      <c r="E1765" s="35">
        <v>44697</v>
      </c>
      <c r="F1765" s="34">
        <v>3340.8</v>
      </c>
      <c r="G1765" s="36">
        <f>Tabla16[[#This Row],[Importe]]-Tabla16[[#This Row],[Pagado]]</f>
        <v>0</v>
      </c>
      <c r="H1765" s="38" t="s">
        <v>10</v>
      </c>
    </row>
    <row r="1766" spans="1:8" x14ac:dyDescent="0.25">
      <c r="A1766" s="31">
        <v>44697</v>
      </c>
      <c r="B1766" s="38" t="s">
        <v>15912</v>
      </c>
      <c r="C1766" s="38" t="s">
        <v>144</v>
      </c>
      <c r="D1766" s="34">
        <v>4383.6000000000004</v>
      </c>
      <c r="E1766" s="35">
        <v>44697</v>
      </c>
      <c r="F1766" s="34">
        <v>4383.6000000000004</v>
      </c>
      <c r="G1766" s="36">
        <f>Tabla16[[#This Row],[Importe]]-Tabla16[[#This Row],[Pagado]]</f>
        <v>0</v>
      </c>
      <c r="H1766" s="38" t="s">
        <v>10</v>
      </c>
    </row>
    <row r="1767" spans="1:8" x14ac:dyDescent="0.25">
      <c r="A1767" s="31">
        <v>44697</v>
      </c>
      <c r="B1767" s="38" t="s">
        <v>15913</v>
      </c>
      <c r="C1767" s="38" t="s">
        <v>107</v>
      </c>
      <c r="D1767" s="34">
        <v>12105.2</v>
      </c>
      <c r="E1767" s="35">
        <v>44697</v>
      </c>
      <c r="F1767" s="34">
        <v>12105.2</v>
      </c>
      <c r="G1767" s="36">
        <f>Tabla16[[#This Row],[Importe]]-Tabla16[[#This Row],[Pagado]]</f>
        <v>0</v>
      </c>
      <c r="H1767" s="38" t="s">
        <v>10</v>
      </c>
    </row>
    <row r="1768" spans="1:8" x14ac:dyDescent="0.25">
      <c r="A1768" s="31">
        <v>44697</v>
      </c>
      <c r="B1768" s="38" t="s">
        <v>15914</v>
      </c>
      <c r="C1768" s="38" t="s">
        <v>291</v>
      </c>
      <c r="D1768" s="34">
        <v>4328.1000000000004</v>
      </c>
      <c r="E1768" s="35">
        <v>44697</v>
      </c>
      <c r="F1768" s="34">
        <v>4328.1000000000004</v>
      </c>
      <c r="G1768" s="36">
        <f>Tabla16[[#This Row],[Importe]]-Tabla16[[#This Row],[Pagado]]</f>
        <v>0</v>
      </c>
      <c r="H1768" s="38" t="s">
        <v>10</v>
      </c>
    </row>
    <row r="1769" spans="1:8" x14ac:dyDescent="0.25">
      <c r="A1769" s="31">
        <v>44697</v>
      </c>
      <c r="B1769" s="38" t="s">
        <v>15915</v>
      </c>
      <c r="C1769" s="38" t="s">
        <v>6112</v>
      </c>
      <c r="D1769" s="34">
        <v>9844.7999999999993</v>
      </c>
      <c r="E1769" s="35">
        <v>44697</v>
      </c>
      <c r="F1769" s="34">
        <v>9844.7999999999993</v>
      </c>
      <c r="G1769" s="36">
        <f>Tabla16[[#This Row],[Importe]]-Tabla16[[#This Row],[Pagado]]</f>
        <v>0</v>
      </c>
      <c r="H1769" s="38" t="s">
        <v>10</v>
      </c>
    </row>
    <row r="1770" spans="1:8" x14ac:dyDescent="0.25">
      <c r="A1770" s="31">
        <v>44697</v>
      </c>
      <c r="B1770" s="38" t="s">
        <v>15916</v>
      </c>
      <c r="C1770" s="38" t="s">
        <v>214</v>
      </c>
      <c r="D1770" s="34">
        <v>6090</v>
      </c>
      <c r="E1770" s="35">
        <v>44697</v>
      </c>
      <c r="F1770" s="34">
        <v>6090</v>
      </c>
      <c r="G1770" s="36">
        <f>Tabla16[[#This Row],[Importe]]-Tabla16[[#This Row],[Pagado]]</f>
        <v>0</v>
      </c>
      <c r="H1770" s="38" t="s">
        <v>10</v>
      </c>
    </row>
    <row r="1771" spans="1:8" x14ac:dyDescent="0.25">
      <c r="A1771" s="31">
        <v>44697</v>
      </c>
      <c r="B1771" s="38" t="s">
        <v>15917</v>
      </c>
      <c r="C1771" s="38" t="s">
        <v>12107</v>
      </c>
      <c r="D1771" s="34">
        <v>1481.2</v>
      </c>
      <c r="E1771" s="35">
        <v>44697</v>
      </c>
      <c r="F1771" s="34">
        <v>1481.2</v>
      </c>
      <c r="G1771" s="36">
        <f>Tabla16[[#This Row],[Importe]]-Tabla16[[#This Row],[Pagado]]</f>
        <v>0</v>
      </c>
      <c r="H1771" s="38" t="s">
        <v>10</v>
      </c>
    </row>
    <row r="1772" spans="1:8" x14ac:dyDescent="0.25">
      <c r="A1772" s="31">
        <v>44697</v>
      </c>
      <c r="B1772" s="38" t="s">
        <v>15918</v>
      </c>
      <c r="C1772" s="38" t="s">
        <v>426</v>
      </c>
      <c r="D1772" s="34">
        <v>4971.2</v>
      </c>
      <c r="E1772" s="35">
        <v>44698</v>
      </c>
      <c r="F1772" s="34">
        <v>4971.2</v>
      </c>
      <c r="G1772" s="36">
        <f>Tabla16[[#This Row],[Importe]]-Tabla16[[#This Row],[Pagado]]</f>
        <v>0</v>
      </c>
      <c r="H1772" s="38" t="s">
        <v>10</v>
      </c>
    </row>
    <row r="1773" spans="1:8" x14ac:dyDescent="0.25">
      <c r="A1773" s="31">
        <v>44697</v>
      </c>
      <c r="B1773" s="38" t="s">
        <v>15919</v>
      </c>
      <c r="C1773" s="38" t="s">
        <v>14</v>
      </c>
      <c r="D1773" s="34">
        <v>18391.3</v>
      </c>
      <c r="E1773" s="35">
        <v>44697</v>
      </c>
      <c r="F1773" s="34">
        <v>18391.3</v>
      </c>
      <c r="G1773" s="36">
        <f>Tabla16[[#This Row],[Importe]]-Tabla16[[#This Row],[Pagado]]</f>
        <v>0</v>
      </c>
      <c r="H1773" s="38" t="s">
        <v>10</v>
      </c>
    </row>
    <row r="1774" spans="1:8" x14ac:dyDescent="0.25">
      <c r="A1774" s="31">
        <v>44697</v>
      </c>
      <c r="B1774" s="38" t="s">
        <v>15920</v>
      </c>
      <c r="C1774" s="38" t="s">
        <v>14</v>
      </c>
      <c r="D1774" s="34">
        <v>2407.6</v>
      </c>
      <c r="E1774" s="35">
        <v>44697</v>
      </c>
      <c r="F1774" s="34">
        <v>2407.6</v>
      </c>
      <c r="G1774" s="36">
        <f>Tabla16[[#This Row],[Importe]]-Tabla16[[#This Row],[Pagado]]</f>
        <v>0</v>
      </c>
      <c r="H1774" s="38" t="s">
        <v>10</v>
      </c>
    </row>
    <row r="1775" spans="1:8" x14ac:dyDescent="0.25">
      <c r="A1775" s="31">
        <v>44697</v>
      </c>
      <c r="B1775" s="38" t="s">
        <v>15921</v>
      </c>
      <c r="C1775" s="38" t="s">
        <v>275</v>
      </c>
      <c r="D1775" s="34">
        <v>15295.8</v>
      </c>
      <c r="E1775" s="35">
        <v>44708</v>
      </c>
      <c r="F1775" s="34">
        <v>15295.8</v>
      </c>
      <c r="G1775" s="36">
        <f>Tabla16[[#This Row],[Importe]]-Tabla16[[#This Row],[Pagado]]</f>
        <v>0</v>
      </c>
      <c r="H1775" s="38" t="s">
        <v>10</v>
      </c>
    </row>
    <row r="1776" spans="1:8" x14ac:dyDescent="0.25">
      <c r="A1776" s="31">
        <v>44697</v>
      </c>
      <c r="B1776" s="38" t="s">
        <v>15922</v>
      </c>
      <c r="C1776" s="38" t="s">
        <v>4136</v>
      </c>
      <c r="D1776" s="34">
        <v>1728</v>
      </c>
      <c r="E1776" s="35">
        <v>44697</v>
      </c>
      <c r="F1776" s="34">
        <v>1728</v>
      </c>
      <c r="G1776" s="36">
        <f>Tabla16[[#This Row],[Importe]]-Tabla16[[#This Row],[Pagado]]</f>
        <v>0</v>
      </c>
      <c r="H1776" s="38" t="s">
        <v>10</v>
      </c>
    </row>
    <row r="1777" spans="1:8" x14ac:dyDescent="0.25">
      <c r="A1777" s="31">
        <v>44697</v>
      </c>
      <c r="B1777" s="38" t="s">
        <v>15923</v>
      </c>
      <c r="C1777" s="38" t="s">
        <v>10678</v>
      </c>
      <c r="D1777" s="34">
        <v>914.4</v>
      </c>
      <c r="E1777" s="35">
        <v>44697</v>
      </c>
      <c r="F1777" s="34">
        <v>914.4</v>
      </c>
      <c r="G1777" s="36">
        <f>Tabla16[[#This Row],[Importe]]-Tabla16[[#This Row],[Pagado]]</f>
        <v>0</v>
      </c>
      <c r="H1777" s="38" t="s">
        <v>10</v>
      </c>
    </row>
    <row r="1778" spans="1:8" x14ac:dyDescent="0.25">
      <c r="A1778" s="31">
        <v>44697</v>
      </c>
      <c r="B1778" s="38" t="s">
        <v>15924</v>
      </c>
      <c r="C1778" s="38" t="s">
        <v>10678</v>
      </c>
      <c r="D1778" s="34">
        <v>2760</v>
      </c>
      <c r="E1778" s="35" t="s">
        <v>15925</v>
      </c>
      <c r="F1778" s="34">
        <v>2760</v>
      </c>
      <c r="G1778" s="36">
        <f>Tabla16[[#This Row],[Importe]]-Tabla16[[#This Row],[Pagado]]</f>
        <v>0</v>
      </c>
      <c r="H1778" s="38" t="s">
        <v>10</v>
      </c>
    </row>
    <row r="1779" spans="1:8" x14ac:dyDescent="0.25">
      <c r="A1779" s="31">
        <v>44697</v>
      </c>
      <c r="B1779" s="38" t="s">
        <v>15926</v>
      </c>
      <c r="C1779" s="38" t="s">
        <v>2961</v>
      </c>
      <c r="D1779" s="34">
        <v>32289.599999999999</v>
      </c>
      <c r="E1779" s="35">
        <v>44698</v>
      </c>
      <c r="F1779" s="34">
        <v>32289.599999999999</v>
      </c>
      <c r="G1779" s="36">
        <f>Tabla16[[#This Row],[Importe]]-Tabla16[[#This Row],[Pagado]]</f>
        <v>0</v>
      </c>
      <c r="H1779" s="38" t="s">
        <v>10</v>
      </c>
    </row>
    <row r="1780" spans="1:8" x14ac:dyDescent="0.25">
      <c r="A1780" s="31">
        <v>44697</v>
      </c>
      <c r="B1780" s="38" t="s">
        <v>15927</v>
      </c>
      <c r="C1780" s="38" t="s">
        <v>10840</v>
      </c>
      <c r="D1780" s="34">
        <v>17017.400000000001</v>
      </c>
      <c r="E1780" s="35">
        <v>44705</v>
      </c>
      <c r="F1780" s="34">
        <v>17017.400000000001</v>
      </c>
      <c r="G1780" s="36">
        <f>Tabla16[[#This Row],[Importe]]-Tabla16[[#This Row],[Pagado]]</f>
        <v>0</v>
      </c>
      <c r="H1780" s="38" t="s">
        <v>10</v>
      </c>
    </row>
    <row r="1781" spans="1:8" x14ac:dyDescent="0.25">
      <c r="A1781" s="31">
        <v>44697</v>
      </c>
      <c r="B1781" s="38" t="s">
        <v>15928</v>
      </c>
      <c r="C1781" s="38" t="s">
        <v>10840</v>
      </c>
      <c r="D1781" s="34">
        <v>2354</v>
      </c>
      <c r="E1781" s="35">
        <v>44705</v>
      </c>
      <c r="F1781" s="34">
        <v>2354</v>
      </c>
      <c r="G1781" s="36">
        <f>Tabla16[[#This Row],[Importe]]-Tabla16[[#This Row],[Pagado]]</f>
        <v>0</v>
      </c>
      <c r="H1781" s="38" t="s">
        <v>10</v>
      </c>
    </row>
    <row r="1782" spans="1:8" x14ac:dyDescent="0.25">
      <c r="A1782" s="31">
        <v>44697</v>
      </c>
      <c r="B1782" s="38" t="s">
        <v>15929</v>
      </c>
      <c r="C1782" s="38" t="s">
        <v>440</v>
      </c>
      <c r="D1782" s="34">
        <v>22400.240000000002</v>
      </c>
      <c r="E1782" s="35">
        <v>44716</v>
      </c>
      <c r="F1782" s="34">
        <v>22400.240000000002</v>
      </c>
      <c r="G1782" s="36">
        <f>Tabla16[[#This Row],[Importe]]-Tabla16[[#This Row],[Pagado]]</f>
        <v>0</v>
      </c>
      <c r="H1782" s="38" t="s">
        <v>10</v>
      </c>
    </row>
    <row r="1783" spans="1:8" x14ac:dyDescent="0.25">
      <c r="A1783" s="31">
        <v>44697</v>
      </c>
      <c r="B1783" s="38" t="s">
        <v>15930</v>
      </c>
      <c r="C1783" s="38" t="s">
        <v>296</v>
      </c>
      <c r="D1783" s="34">
        <v>3519</v>
      </c>
      <c r="E1783" s="35">
        <v>44697</v>
      </c>
      <c r="F1783" s="34">
        <v>3519</v>
      </c>
      <c r="G1783" s="36">
        <f>Tabla16[[#This Row],[Importe]]-Tabla16[[#This Row],[Pagado]]</f>
        <v>0</v>
      </c>
      <c r="H1783" s="38" t="s">
        <v>10</v>
      </c>
    </row>
    <row r="1784" spans="1:8" x14ac:dyDescent="0.25">
      <c r="A1784" s="31">
        <v>44697</v>
      </c>
      <c r="B1784" s="38" t="s">
        <v>15931</v>
      </c>
      <c r="C1784" s="38" t="s">
        <v>15932</v>
      </c>
      <c r="D1784" s="34">
        <v>0</v>
      </c>
      <c r="E1784" s="39" t="s">
        <v>189</v>
      </c>
      <c r="F1784" s="34">
        <v>0</v>
      </c>
      <c r="G1784" s="36">
        <f>Tabla16[[#This Row],[Importe]]-Tabla16[[#This Row],[Pagado]]</f>
        <v>0</v>
      </c>
      <c r="H1784" s="38" t="s">
        <v>189</v>
      </c>
    </row>
    <row r="1785" spans="1:8" x14ac:dyDescent="0.25">
      <c r="A1785" s="31">
        <v>44697</v>
      </c>
      <c r="B1785" s="38" t="s">
        <v>15933</v>
      </c>
      <c r="C1785" s="38" t="s">
        <v>301</v>
      </c>
      <c r="D1785" s="34">
        <v>20516.599999999999</v>
      </c>
      <c r="E1785" s="35">
        <v>44697</v>
      </c>
      <c r="F1785" s="34">
        <v>20516.599999999999</v>
      </c>
      <c r="G1785" s="36">
        <f>Tabla16[[#This Row],[Importe]]-Tabla16[[#This Row],[Pagado]]</f>
        <v>0</v>
      </c>
      <c r="H1785" s="38" t="s">
        <v>10</v>
      </c>
    </row>
    <row r="1786" spans="1:8" x14ac:dyDescent="0.25">
      <c r="A1786" s="31">
        <v>44697</v>
      </c>
      <c r="B1786" s="38" t="s">
        <v>15934</v>
      </c>
      <c r="C1786" s="38" t="s">
        <v>450</v>
      </c>
      <c r="D1786" s="34">
        <v>5126.3999999999996</v>
      </c>
      <c r="E1786" s="35">
        <v>44697</v>
      </c>
      <c r="F1786" s="34">
        <v>5126.3999999999996</v>
      </c>
      <c r="G1786" s="36">
        <f>Tabla16[[#This Row],[Importe]]-Tabla16[[#This Row],[Pagado]]</f>
        <v>0</v>
      </c>
      <c r="H1786" s="38" t="s">
        <v>10</v>
      </c>
    </row>
    <row r="1787" spans="1:8" x14ac:dyDescent="0.25">
      <c r="A1787" s="31">
        <v>44697</v>
      </c>
      <c r="B1787" s="38" t="s">
        <v>15935</v>
      </c>
      <c r="C1787" s="38" t="s">
        <v>840</v>
      </c>
      <c r="D1787" s="34">
        <v>4957.2</v>
      </c>
      <c r="E1787" s="35">
        <v>44697</v>
      </c>
      <c r="F1787" s="34">
        <v>4957.2</v>
      </c>
      <c r="G1787" s="36">
        <f>Tabla16[[#This Row],[Importe]]-Tabla16[[#This Row],[Pagado]]</f>
        <v>0</v>
      </c>
      <c r="H1787" s="38" t="s">
        <v>10</v>
      </c>
    </row>
    <row r="1788" spans="1:8" x14ac:dyDescent="0.25">
      <c r="A1788" s="31">
        <v>44697</v>
      </c>
      <c r="B1788" s="38" t="s">
        <v>15936</v>
      </c>
      <c r="C1788" s="38" t="s">
        <v>475</v>
      </c>
      <c r="D1788" s="34">
        <v>16695</v>
      </c>
      <c r="E1788" s="35">
        <v>44699</v>
      </c>
      <c r="F1788" s="34">
        <v>16695</v>
      </c>
      <c r="G1788" s="36">
        <f>Tabla16[[#This Row],[Importe]]-Tabla16[[#This Row],[Pagado]]</f>
        <v>0</v>
      </c>
      <c r="H1788" s="38" t="s">
        <v>10</v>
      </c>
    </row>
    <row r="1789" spans="1:8" x14ac:dyDescent="0.25">
      <c r="A1789" s="31">
        <v>44697</v>
      </c>
      <c r="B1789" s="38" t="s">
        <v>15937</v>
      </c>
      <c r="C1789" s="38" t="s">
        <v>31</v>
      </c>
      <c r="D1789" s="34">
        <v>400</v>
      </c>
      <c r="E1789" s="35">
        <v>44697</v>
      </c>
      <c r="F1789" s="34">
        <v>400</v>
      </c>
      <c r="G1789" s="36">
        <f>Tabla16[[#This Row],[Importe]]-Tabla16[[#This Row],[Pagado]]</f>
        <v>0</v>
      </c>
      <c r="H1789" s="38" t="s">
        <v>10</v>
      </c>
    </row>
    <row r="1790" spans="1:8" x14ac:dyDescent="0.25">
      <c r="A1790" s="31">
        <v>44697</v>
      </c>
      <c r="B1790" s="38" t="s">
        <v>15938</v>
      </c>
      <c r="C1790" s="38" t="s">
        <v>10819</v>
      </c>
      <c r="D1790" s="34">
        <v>1082.4000000000001</v>
      </c>
      <c r="E1790" s="35">
        <v>44698</v>
      </c>
      <c r="F1790" s="34">
        <v>1082.4000000000001</v>
      </c>
      <c r="G1790" s="36">
        <f>Tabla16[[#This Row],[Importe]]-Tabla16[[#This Row],[Pagado]]</f>
        <v>0</v>
      </c>
      <c r="H1790" s="38" t="s">
        <v>10</v>
      </c>
    </row>
    <row r="1791" spans="1:8" x14ac:dyDescent="0.25">
      <c r="A1791" s="31">
        <v>44697</v>
      </c>
      <c r="B1791" s="38" t="s">
        <v>15939</v>
      </c>
      <c r="C1791" s="38" t="s">
        <v>5345</v>
      </c>
      <c r="D1791" s="34">
        <v>2072.4</v>
      </c>
      <c r="E1791" s="35">
        <v>44698</v>
      </c>
      <c r="F1791" s="34">
        <v>2072.4</v>
      </c>
      <c r="G1791" s="36">
        <f>Tabla16[[#This Row],[Importe]]-Tabla16[[#This Row],[Pagado]]</f>
        <v>0</v>
      </c>
      <c r="H1791" s="38" t="s">
        <v>10</v>
      </c>
    </row>
    <row r="1792" spans="1:8" x14ac:dyDescent="0.25">
      <c r="A1792" s="31">
        <v>44697</v>
      </c>
      <c r="B1792" s="38" t="s">
        <v>15940</v>
      </c>
      <c r="C1792" s="38" t="s">
        <v>282</v>
      </c>
      <c r="D1792" s="34">
        <v>2871</v>
      </c>
      <c r="E1792" s="35">
        <v>44698</v>
      </c>
      <c r="F1792" s="34">
        <v>2871</v>
      </c>
      <c r="G1792" s="36">
        <f>Tabla16[[#This Row],[Importe]]-Tabla16[[#This Row],[Pagado]]</f>
        <v>0</v>
      </c>
      <c r="H1792" s="38" t="s">
        <v>10</v>
      </c>
    </row>
    <row r="1793" spans="1:8" x14ac:dyDescent="0.25">
      <c r="A1793" s="31">
        <v>44697</v>
      </c>
      <c r="B1793" s="38" t="s">
        <v>15941</v>
      </c>
      <c r="C1793" s="38" t="s">
        <v>280</v>
      </c>
      <c r="D1793" s="34">
        <v>772.2</v>
      </c>
      <c r="E1793" s="35">
        <v>44698</v>
      </c>
      <c r="F1793" s="34">
        <v>772.2</v>
      </c>
      <c r="G1793" s="36">
        <f>Tabla16[[#This Row],[Importe]]-Tabla16[[#This Row],[Pagado]]</f>
        <v>0</v>
      </c>
      <c r="H1793" s="38" t="s">
        <v>10</v>
      </c>
    </row>
    <row r="1794" spans="1:8" x14ac:dyDescent="0.25">
      <c r="A1794" s="31">
        <v>44697</v>
      </c>
      <c r="B1794" s="38" t="s">
        <v>15942</v>
      </c>
      <c r="C1794" s="38" t="s">
        <v>284</v>
      </c>
      <c r="D1794" s="34">
        <v>7827.6</v>
      </c>
      <c r="E1794" s="35">
        <v>44698</v>
      </c>
      <c r="F1794" s="34">
        <v>7827.6</v>
      </c>
      <c r="G1794" s="36">
        <f>Tabla16[[#This Row],[Importe]]-Tabla16[[#This Row],[Pagado]]</f>
        <v>0</v>
      </c>
      <c r="H1794" s="38" t="s">
        <v>10</v>
      </c>
    </row>
    <row r="1795" spans="1:8" x14ac:dyDescent="0.25">
      <c r="A1795" s="31">
        <v>44697</v>
      </c>
      <c r="B1795" s="38" t="s">
        <v>15943</v>
      </c>
      <c r="C1795" s="38" t="s">
        <v>10273</v>
      </c>
      <c r="D1795" s="34">
        <v>354</v>
      </c>
      <c r="E1795" s="35">
        <v>44718</v>
      </c>
      <c r="F1795" s="34">
        <v>354</v>
      </c>
      <c r="G1795" s="36">
        <f>Tabla16[[#This Row],[Importe]]-Tabla16[[#This Row],[Pagado]]</f>
        <v>0</v>
      </c>
      <c r="H1795" s="38" t="s">
        <v>10</v>
      </c>
    </row>
    <row r="1796" spans="1:8" x14ac:dyDescent="0.25">
      <c r="A1796" s="31">
        <v>44697</v>
      </c>
      <c r="B1796" s="38" t="s">
        <v>15944</v>
      </c>
      <c r="C1796" s="38" t="s">
        <v>461</v>
      </c>
      <c r="D1796" s="34">
        <v>135</v>
      </c>
      <c r="E1796" s="35">
        <v>44698</v>
      </c>
      <c r="F1796" s="34">
        <v>135</v>
      </c>
      <c r="G1796" s="36">
        <f>Tabla16[[#This Row],[Importe]]-Tabla16[[#This Row],[Pagado]]</f>
        <v>0</v>
      </c>
      <c r="H1796" s="38" t="s">
        <v>10</v>
      </c>
    </row>
    <row r="1797" spans="1:8" x14ac:dyDescent="0.25">
      <c r="A1797" s="31">
        <v>44697</v>
      </c>
      <c r="B1797" s="38" t="s">
        <v>15945</v>
      </c>
      <c r="C1797" s="38" t="s">
        <v>407</v>
      </c>
      <c r="D1797" s="34">
        <v>19354</v>
      </c>
      <c r="E1797" s="35">
        <v>44708</v>
      </c>
      <c r="F1797" s="34">
        <v>19354</v>
      </c>
      <c r="G1797" s="36">
        <f>Tabla16[[#This Row],[Importe]]-Tabla16[[#This Row],[Pagado]]</f>
        <v>0</v>
      </c>
      <c r="H1797" s="38" t="s">
        <v>10</v>
      </c>
    </row>
    <row r="1798" spans="1:8" x14ac:dyDescent="0.25">
      <c r="A1798" s="31">
        <v>44697</v>
      </c>
      <c r="B1798" s="38" t="s">
        <v>15946</v>
      </c>
      <c r="C1798" s="38" t="s">
        <v>142</v>
      </c>
      <c r="D1798" s="34">
        <v>768</v>
      </c>
      <c r="E1798" s="35">
        <v>44760</v>
      </c>
      <c r="F1798" s="34">
        <v>768</v>
      </c>
      <c r="G1798" s="36">
        <f>Tabla16[[#This Row],[Importe]]-Tabla16[[#This Row],[Pagado]]</f>
        <v>0</v>
      </c>
      <c r="H1798" s="38" t="s">
        <v>10</v>
      </c>
    </row>
    <row r="1799" spans="1:8" x14ac:dyDescent="0.25">
      <c r="A1799" s="31">
        <v>44697</v>
      </c>
      <c r="B1799" s="38" t="s">
        <v>15947</v>
      </c>
      <c r="C1799" s="38" t="s">
        <v>12202</v>
      </c>
      <c r="D1799" s="34">
        <v>5760</v>
      </c>
      <c r="E1799" s="35">
        <v>44698</v>
      </c>
      <c r="F1799" s="34">
        <v>5760</v>
      </c>
      <c r="G1799" s="36">
        <f>Tabla16[[#This Row],[Importe]]-Tabla16[[#This Row],[Pagado]]</f>
        <v>0</v>
      </c>
      <c r="H1799" s="38" t="s">
        <v>10</v>
      </c>
    </row>
    <row r="1800" spans="1:8" x14ac:dyDescent="0.25">
      <c r="A1800" s="31">
        <v>44698</v>
      </c>
      <c r="B1800" s="38" t="s">
        <v>15948</v>
      </c>
      <c r="C1800" s="38" t="s">
        <v>64</v>
      </c>
      <c r="D1800" s="34">
        <v>8836.7000000000007</v>
      </c>
      <c r="E1800" s="35">
        <v>44699</v>
      </c>
      <c r="F1800" s="34">
        <v>8836.7000000000007</v>
      </c>
      <c r="G1800" s="36">
        <f>Tabla16[[#This Row],[Importe]]-Tabla16[[#This Row],[Pagado]]</f>
        <v>0</v>
      </c>
      <c r="H1800" s="38" t="s">
        <v>10</v>
      </c>
    </row>
    <row r="1801" spans="1:8" x14ac:dyDescent="0.25">
      <c r="A1801" s="31">
        <v>44698</v>
      </c>
      <c r="B1801" s="38" t="s">
        <v>15949</v>
      </c>
      <c r="C1801" s="38" t="s">
        <v>97</v>
      </c>
      <c r="D1801" s="34">
        <v>6113.2</v>
      </c>
      <c r="E1801" s="35">
        <v>44699</v>
      </c>
      <c r="F1801" s="34">
        <v>6113.2</v>
      </c>
      <c r="G1801" s="36">
        <f>Tabla16[[#This Row],[Importe]]-Tabla16[[#This Row],[Pagado]]</f>
        <v>0</v>
      </c>
      <c r="H1801" s="38" t="s">
        <v>10</v>
      </c>
    </row>
    <row r="1802" spans="1:8" x14ac:dyDescent="0.25">
      <c r="A1802" s="31">
        <v>44698</v>
      </c>
      <c r="B1802" s="38" t="s">
        <v>15950</v>
      </c>
      <c r="C1802" s="38" t="s">
        <v>39</v>
      </c>
      <c r="D1802" s="34">
        <v>18124.5</v>
      </c>
      <c r="E1802" s="35">
        <v>44699</v>
      </c>
      <c r="F1802" s="34">
        <v>18124.5</v>
      </c>
      <c r="G1802" s="36">
        <f>Tabla16[[#This Row],[Importe]]-Tabla16[[#This Row],[Pagado]]</f>
        <v>0</v>
      </c>
      <c r="H1802" s="38" t="s">
        <v>10</v>
      </c>
    </row>
    <row r="1803" spans="1:8" x14ac:dyDescent="0.25">
      <c r="A1803" s="31">
        <v>44698</v>
      </c>
      <c r="B1803" s="38" t="s">
        <v>15951</v>
      </c>
      <c r="C1803" s="38" t="s">
        <v>120</v>
      </c>
      <c r="D1803" s="34">
        <v>4192.3</v>
      </c>
      <c r="E1803" s="35">
        <v>44700</v>
      </c>
      <c r="F1803" s="34">
        <v>4192.3</v>
      </c>
      <c r="G1803" s="36">
        <f>Tabla16[[#This Row],[Importe]]-Tabla16[[#This Row],[Pagado]]</f>
        <v>0</v>
      </c>
      <c r="H1803" s="38" t="s">
        <v>10</v>
      </c>
    </row>
    <row r="1804" spans="1:8" x14ac:dyDescent="0.25">
      <c r="A1804" s="31">
        <v>44698</v>
      </c>
      <c r="B1804" s="38" t="s">
        <v>15952</v>
      </c>
      <c r="C1804" s="38" t="s">
        <v>114</v>
      </c>
      <c r="D1804" s="34">
        <v>10526.4</v>
      </c>
      <c r="E1804" s="35">
        <v>44699</v>
      </c>
      <c r="F1804" s="34">
        <v>10526.4</v>
      </c>
      <c r="G1804" s="36">
        <f>Tabla16[[#This Row],[Importe]]-Tabla16[[#This Row],[Pagado]]</f>
        <v>0</v>
      </c>
      <c r="H1804" s="38" t="s">
        <v>10</v>
      </c>
    </row>
    <row r="1805" spans="1:8" x14ac:dyDescent="0.25">
      <c r="A1805" s="31">
        <v>44698</v>
      </c>
      <c r="B1805" s="38" t="s">
        <v>15953</v>
      </c>
      <c r="C1805" s="38" t="s">
        <v>93</v>
      </c>
      <c r="D1805" s="34">
        <v>1759.5</v>
      </c>
      <c r="E1805" s="35">
        <v>44699</v>
      </c>
      <c r="F1805" s="34">
        <v>1759.5</v>
      </c>
      <c r="G1805" s="36">
        <f>Tabla16[[#This Row],[Importe]]-Tabla16[[#This Row],[Pagado]]</f>
        <v>0</v>
      </c>
      <c r="H1805" s="38" t="s">
        <v>10</v>
      </c>
    </row>
    <row r="1806" spans="1:8" x14ac:dyDescent="0.25">
      <c r="A1806" s="31">
        <v>44698</v>
      </c>
      <c r="B1806" s="38" t="s">
        <v>15954</v>
      </c>
      <c r="C1806" s="38" t="s">
        <v>345</v>
      </c>
      <c r="D1806" s="34">
        <v>1013.2</v>
      </c>
      <c r="E1806" s="35">
        <v>44698</v>
      </c>
      <c r="F1806" s="34">
        <v>1013.2</v>
      </c>
      <c r="G1806" s="36">
        <f>Tabla16[[#This Row],[Importe]]-Tabla16[[#This Row],[Pagado]]</f>
        <v>0</v>
      </c>
      <c r="H1806" s="38" t="s">
        <v>10</v>
      </c>
    </row>
    <row r="1807" spans="1:8" x14ac:dyDescent="0.25">
      <c r="A1807" s="31">
        <v>44698</v>
      </c>
      <c r="B1807" s="38" t="s">
        <v>15955</v>
      </c>
      <c r="C1807" s="38" t="s">
        <v>2151</v>
      </c>
      <c r="D1807" s="34">
        <v>13443.6</v>
      </c>
      <c r="E1807" s="35">
        <v>44698</v>
      </c>
      <c r="F1807" s="34">
        <v>13443.6</v>
      </c>
      <c r="G1807" s="36">
        <f>Tabla16[[#This Row],[Importe]]-Tabla16[[#This Row],[Pagado]]</f>
        <v>0</v>
      </c>
      <c r="H1807" s="38" t="s">
        <v>10</v>
      </c>
    </row>
    <row r="1808" spans="1:8" x14ac:dyDescent="0.25">
      <c r="A1808" s="31">
        <v>44698</v>
      </c>
      <c r="B1808" s="38" t="s">
        <v>15956</v>
      </c>
      <c r="C1808" s="38" t="s">
        <v>99</v>
      </c>
      <c r="D1808" s="34">
        <v>4365.6000000000004</v>
      </c>
      <c r="E1808" s="35">
        <v>44700</v>
      </c>
      <c r="F1808" s="34">
        <v>4365.6000000000004</v>
      </c>
      <c r="G1808" s="36">
        <f>Tabla16[[#This Row],[Importe]]-Tabla16[[#This Row],[Pagado]]</f>
        <v>0</v>
      </c>
      <c r="H1808" s="38" t="s">
        <v>10</v>
      </c>
    </row>
    <row r="1809" spans="1:8" x14ac:dyDescent="0.25">
      <c r="A1809" s="31">
        <v>44698</v>
      </c>
      <c r="B1809" s="38" t="s">
        <v>15957</v>
      </c>
      <c r="C1809" s="38" t="s">
        <v>105</v>
      </c>
      <c r="D1809" s="34">
        <v>8139.6</v>
      </c>
      <c r="E1809" s="35">
        <v>44699</v>
      </c>
      <c r="F1809" s="34">
        <v>8139.6</v>
      </c>
      <c r="G1809" s="36">
        <f>Tabla16[[#This Row],[Importe]]-Tabla16[[#This Row],[Pagado]]</f>
        <v>0</v>
      </c>
      <c r="H1809" s="38" t="s">
        <v>10</v>
      </c>
    </row>
    <row r="1810" spans="1:8" x14ac:dyDescent="0.25">
      <c r="A1810" s="31">
        <v>44698</v>
      </c>
      <c r="B1810" s="38" t="s">
        <v>15958</v>
      </c>
      <c r="C1810" s="38" t="s">
        <v>75</v>
      </c>
      <c r="D1810" s="34">
        <v>8131.2</v>
      </c>
      <c r="E1810" s="35">
        <v>44698</v>
      </c>
      <c r="F1810" s="34">
        <v>8131.2</v>
      </c>
      <c r="G1810" s="36">
        <f>Tabla16[[#This Row],[Importe]]-Tabla16[[#This Row],[Pagado]]</f>
        <v>0</v>
      </c>
      <c r="H1810" s="38" t="s">
        <v>10</v>
      </c>
    </row>
    <row r="1811" spans="1:8" x14ac:dyDescent="0.25">
      <c r="A1811" s="31">
        <v>44698</v>
      </c>
      <c r="B1811" s="38" t="s">
        <v>15959</v>
      </c>
      <c r="C1811" s="38" t="s">
        <v>60</v>
      </c>
      <c r="D1811" s="34">
        <v>4483.8</v>
      </c>
      <c r="E1811" s="35">
        <v>44699</v>
      </c>
      <c r="F1811" s="34">
        <v>4483.8</v>
      </c>
      <c r="G1811" s="36">
        <f>Tabla16[[#This Row],[Importe]]-Tabla16[[#This Row],[Pagado]]</f>
        <v>0</v>
      </c>
      <c r="H1811" s="38" t="s">
        <v>10</v>
      </c>
    </row>
    <row r="1812" spans="1:8" x14ac:dyDescent="0.25">
      <c r="A1812" s="31">
        <v>44698</v>
      </c>
      <c r="B1812" s="38" t="s">
        <v>15960</v>
      </c>
      <c r="C1812" s="38" t="s">
        <v>89</v>
      </c>
      <c r="D1812" s="34">
        <v>7599</v>
      </c>
      <c r="E1812" s="35">
        <v>44699</v>
      </c>
      <c r="F1812" s="34">
        <v>7599</v>
      </c>
      <c r="G1812" s="36">
        <f>Tabla16[[#This Row],[Importe]]-Tabla16[[#This Row],[Pagado]]</f>
        <v>0</v>
      </c>
      <c r="H1812" s="38" t="s">
        <v>10</v>
      </c>
    </row>
    <row r="1813" spans="1:8" x14ac:dyDescent="0.25">
      <c r="A1813" s="31">
        <v>44698</v>
      </c>
      <c r="B1813" s="38" t="s">
        <v>15961</v>
      </c>
      <c r="C1813" s="38" t="s">
        <v>326</v>
      </c>
      <c r="D1813" s="34">
        <v>4335</v>
      </c>
      <c r="E1813" s="35">
        <v>44699</v>
      </c>
      <c r="F1813" s="34">
        <v>4335</v>
      </c>
      <c r="G1813" s="36">
        <f>Tabla16[[#This Row],[Importe]]-Tabla16[[#This Row],[Pagado]]</f>
        <v>0</v>
      </c>
      <c r="H1813" s="38" t="s">
        <v>10</v>
      </c>
    </row>
    <row r="1814" spans="1:8" x14ac:dyDescent="0.25">
      <c r="A1814" s="31">
        <v>44698</v>
      </c>
      <c r="B1814" s="38" t="s">
        <v>15962</v>
      </c>
      <c r="C1814" s="38" t="s">
        <v>111</v>
      </c>
      <c r="D1814" s="34">
        <v>4375.8</v>
      </c>
      <c r="E1814" s="35">
        <v>44699</v>
      </c>
      <c r="F1814" s="34">
        <v>4375.8</v>
      </c>
      <c r="G1814" s="36">
        <f>Tabla16[[#This Row],[Importe]]-Tabla16[[#This Row],[Pagado]]</f>
        <v>0</v>
      </c>
      <c r="H1814" s="38" t="s">
        <v>10</v>
      </c>
    </row>
    <row r="1815" spans="1:8" x14ac:dyDescent="0.25">
      <c r="A1815" s="31">
        <v>44698</v>
      </c>
      <c r="B1815" s="38" t="s">
        <v>15963</v>
      </c>
      <c r="C1815" s="38" t="s">
        <v>87</v>
      </c>
      <c r="D1815" s="34">
        <v>2244</v>
      </c>
      <c r="E1815" s="35">
        <v>44698</v>
      </c>
      <c r="F1815" s="34">
        <v>2244</v>
      </c>
      <c r="G1815" s="36">
        <f>Tabla16[[#This Row],[Importe]]-Tabla16[[#This Row],[Pagado]]</f>
        <v>0</v>
      </c>
      <c r="H1815" s="38" t="s">
        <v>10</v>
      </c>
    </row>
    <row r="1816" spans="1:8" x14ac:dyDescent="0.25">
      <c r="A1816" s="31">
        <v>44698</v>
      </c>
      <c r="B1816" s="38" t="s">
        <v>15964</v>
      </c>
      <c r="C1816" s="38" t="s">
        <v>481</v>
      </c>
      <c r="D1816" s="34">
        <v>2095.5</v>
      </c>
      <c r="E1816" s="35">
        <v>44698</v>
      </c>
      <c r="F1816" s="34">
        <v>2095.5</v>
      </c>
      <c r="G1816" s="36">
        <f>Tabla16[[#This Row],[Importe]]-Tabla16[[#This Row],[Pagado]]</f>
        <v>0</v>
      </c>
      <c r="H1816" s="38" t="s">
        <v>10</v>
      </c>
    </row>
    <row r="1817" spans="1:8" x14ac:dyDescent="0.25">
      <c r="A1817" s="31">
        <v>44698</v>
      </c>
      <c r="B1817" s="38" t="s">
        <v>15965</v>
      </c>
      <c r="C1817" s="38" t="s">
        <v>85</v>
      </c>
      <c r="D1817" s="34">
        <v>2945</v>
      </c>
      <c r="E1817" s="35">
        <v>44698</v>
      </c>
      <c r="F1817" s="34">
        <v>2945</v>
      </c>
      <c r="G1817" s="36">
        <f>Tabla16[[#This Row],[Importe]]-Tabla16[[#This Row],[Pagado]]</f>
        <v>0</v>
      </c>
      <c r="H1817" s="38" t="s">
        <v>10</v>
      </c>
    </row>
    <row r="1818" spans="1:8" x14ac:dyDescent="0.25">
      <c r="A1818" s="31">
        <v>44698</v>
      </c>
      <c r="B1818" s="38" t="s">
        <v>15966</v>
      </c>
      <c r="C1818" s="38" t="s">
        <v>314</v>
      </c>
      <c r="D1818" s="34">
        <v>2435.4</v>
      </c>
      <c r="E1818" s="35">
        <v>44698</v>
      </c>
      <c r="F1818" s="34">
        <v>2435.4</v>
      </c>
      <c r="G1818" s="36">
        <f>Tabla16[[#This Row],[Importe]]-Tabla16[[#This Row],[Pagado]]</f>
        <v>0</v>
      </c>
      <c r="H1818" s="38" t="s">
        <v>10</v>
      </c>
    </row>
    <row r="1819" spans="1:8" x14ac:dyDescent="0.25">
      <c r="A1819" s="31">
        <v>44698</v>
      </c>
      <c r="B1819" s="38" t="s">
        <v>15967</v>
      </c>
      <c r="C1819" s="38" t="s">
        <v>83</v>
      </c>
      <c r="D1819" s="34">
        <v>9769.76</v>
      </c>
      <c r="E1819" s="35">
        <v>44698</v>
      </c>
      <c r="F1819" s="34">
        <v>9769.76</v>
      </c>
      <c r="G1819" s="36">
        <f>Tabla16[[#This Row],[Importe]]-Tabla16[[#This Row],[Pagado]]</f>
        <v>0</v>
      </c>
      <c r="H1819" s="38" t="s">
        <v>10</v>
      </c>
    </row>
    <row r="1820" spans="1:8" x14ac:dyDescent="0.25">
      <c r="A1820" s="31">
        <v>44698</v>
      </c>
      <c r="B1820" s="38" t="s">
        <v>15968</v>
      </c>
      <c r="C1820" s="38" t="s">
        <v>12</v>
      </c>
      <c r="D1820" s="34">
        <v>43094.8</v>
      </c>
      <c r="E1820" s="35">
        <v>44698</v>
      </c>
      <c r="F1820" s="34">
        <v>43094.8</v>
      </c>
      <c r="G1820" s="36">
        <f>Tabla16[[#This Row],[Importe]]-Tabla16[[#This Row],[Pagado]]</f>
        <v>0</v>
      </c>
      <c r="H1820" s="38" t="s">
        <v>10</v>
      </c>
    </row>
    <row r="1821" spans="1:8" x14ac:dyDescent="0.25">
      <c r="A1821" s="31">
        <v>44698</v>
      </c>
      <c r="B1821" s="38" t="s">
        <v>15969</v>
      </c>
      <c r="C1821" s="38" t="s">
        <v>9</v>
      </c>
      <c r="D1821" s="34">
        <v>6580.5</v>
      </c>
      <c r="E1821" s="35">
        <v>44698</v>
      </c>
      <c r="F1821" s="34">
        <v>6580.5</v>
      </c>
      <c r="G1821" s="36">
        <f>Tabla16[[#This Row],[Importe]]-Tabla16[[#This Row],[Pagado]]</f>
        <v>0</v>
      </c>
      <c r="H1821" s="38" t="s">
        <v>10</v>
      </c>
    </row>
    <row r="1822" spans="1:8" x14ac:dyDescent="0.25">
      <c r="A1822" s="31">
        <v>44698</v>
      </c>
      <c r="B1822" s="38" t="s">
        <v>15970</v>
      </c>
      <c r="C1822" s="38" t="s">
        <v>12</v>
      </c>
      <c r="D1822" s="34">
        <v>8301.4</v>
      </c>
      <c r="E1822" s="35">
        <v>44698</v>
      </c>
      <c r="F1822" s="34">
        <v>8301.4</v>
      </c>
      <c r="G1822" s="36">
        <f>Tabla16[[#This Row],[Importe]]-Tabla16[[#This Row],[Pagado]]</f>
        <v>0</v>
      </c>
      <c r="H1822" s="38" t="s">
        <v>10</v>
      </c>
    </row>
    <row r="1823" spans="1:8" x14ac:dyDescent="0.25">
      <c r="A1823" s="31">
        <v>44698</v>
      </c>
      <c r="B1823" s="38" t="s">
        <v>15971</v>
      </c>
      <c r="C1823" s="38" t="s">
        <v>22</v>
      </c>
      <c r="D1823" s="34">
        <v>40160.400000000001</v>
      </c>
      <c r="E1823" s="35">
        <v>44699</v>
      </c>
      <c r="F1823" s="34">
        <v>40160.400000000001</v>
      </c>
      <c r="G1823" s="36">
        <f>Tabla16[[#This Row],[Importe]]-Tabla16[[#This Row],[Pagado]]</f>
        <v>0</v>
      </c>
      <c r="H1823" s="38" t="s">
        <v>10</v>
      </c>
    </row>
    <row r="1824" spans="1:8" x14ac:dyDescent="0.25">
      <c r="A1824" s="31">
        <v>44698</v>
      </c>
      <c r="B1824" s="38" t="s">
        <v>15972</v>
      </c>
      <c r="C1824" s="38" t="s">
        <v>9415</v>
      </c>
      <c r="D1824" s="34">
        <v>17629</v>
      </c>
      <c r="E1824" s="35">
        <v>44699</v>
      </c>
      <c r="F1824" s="34">
        <v>17629</v>
      </c>
      <c r="G1824" s="36">
        <f>Tabla16[[#This Row],[Importe]]-Tabla16[[#This Row],[Pagado]]</f>
        <v>0</v>
      </c>
      <c r="H1824" s="38" t="s">
        <v>10</v>
      </c>
    </row>
    <row r="1825" spans="1:8" x14ac:dyDescent="0.25">
      <c r="A1825" s="31">
        <v>44698</v>
      </c>
      <c r="B1825" s="38" t="s">
        <v>15973</v>
      </c>
      <c r="C1825" s="38" t="s">
        <v>144</v>
      </c>
      <c r="D1825" s="34">
        <v>2884.2</v>
      </c>
      <c r="E1825" s="35">
        <v>44698</v>
      </c>
      <c r="F1825" s="34">
        <v>2884.2</v>
      </c>
      <c r="G1825" s="36">
        <f>Tabla16[[#This Row],[Importe]]-Tabla16[[#This Row],[Pagado]]</f>
        <v>0</v>
      </c>
      <c r="H1825" s="38" t="s">
        <v>10</v>
      </c>
    </row>
    <row r="1826" spans="1:8" x14ac:dyDescent="0.25">
      <c r="A1826" s="31">
        <v>44698</v>
      </c>
      <c r="B1826" s="38" t="s">
        <v>15974</v>
      </c>
      <c r="C1826" s="38" t="s">
        <v>146</v>
      </c>
      <c r="D1826" s="34">
        <v>3148.4</v>
      </c>
      <c r="E1826" s="35">
        <v>44698</v>
      </c>
      <c r="F1826" s="34">
        <v>3148.4</v>
      </c>
      <c r="G1826" s="36">
        <f>Tabla16[[#This Row],[Importe]]-Tabla16[[#This Row],[Pagado]]</f>
        <v>0</v>
      </c>
      <c r="H1826" s="38" t="s">
        <v>10</v>
      </c>
    </row>
    <row r="1827" spans="1:8" x14ac:dyDescent="0.25">
      <c r="A1827" s="31">
        <v>44698</v>
      </c>
      <c r="B1827" s="38" t="s">
        <v>15975</v>
      </c>
      <c r="C1827" s="38" t="s">
        <v>466</v>
      </c>
      <c r="D1827" s="34">
        <v>9000</v>
      </c>
      <c r="E1827" s="35">
        <v>44698</v>
      </c>
      <c r="F1827" s="34">
        <v>9000</v>
      </c>
      <c r="G1827" s="36">
        <f>Tabla16[[#This Row],[Importe]]-Tabla16[[#This Row],[Pagado]]</f>
        <v>0</v>
      </c>
      <c r="H1827" s="38" t="s">
        <v>10</v>
      </c>
    </row>
    <row r="1828" spans="1:8" x14ac:dyDescent="0.25">
      <c r="A1828" s="31">
        <v>44698</v>
      </c>
      <c r="B1828" s="38" t="s">
        <v>15976</v>
      </c>
      <c r="C1828" s="38" t="s">
        <v>357</v>
      </c>
      <c r="D1828" s="34">
        <v>252</v>
      </c>
      <c r="E1828" s="35">
        <v>44698</v>
      </c>
      <c r="F1828" s="34">
        <v>252</v>
      </c>
      <c r="G1828" s="36">
        <f>Tabla16[[#This Row],[Importe]]-Tabla16[[#This Row],[Pagado]]</f>
        <v>0</v>
      </c>
      <c r="H1828" s="38" t="s">
        <v>10</v>
      </c>
    </row>
    <row r="1829" spans="1:8" x14ac:dyDescent="0.25">
      <c r="A1829" s="31">
        <v>44698</v>
      </c>
      <c r="B1829" s="38" t="s">
        <v>15977</v>
      </c>
      <c r="C1829" s="38" t="s">
        <v>140</v>
      </c>
      <c r="D1829" s="34">
        <v>4582.8</v>
      </c>
      <c r="E1829" s="35">
        <v>44698</v>
      </c>
      <c r="F1829" s="34">
        <v>4582.8</v>
      </c>
      <c r="G1829" s="36">
        <f>Tabla16[[#This Row],[Importe]]-Tabla16[[#This Row],[Pagado]]</f>
        <v>0</v>
      </c>
      <c r="H1829" s="38" t="s">
        <v>10</v>
      </c>
    </row>
    <row r="1830" spans="1:8" x14ac:dyDescent="0.25">
      <c r="A1830" s="31">
        <v>44698</v>
      </c>
      <c r="B1830" s="38" t="s">
        <v>15978</v>
      </c>
      <c r="C1830" s="38" t="s">
        <v>27</v>
      </c>
      <c r="D1830" s="34">
        <v>2927</v>
      </c>
      <c r="E1830" s="35">
        <v>44698</v>
      </c>
      <c r="F1830" s="34">
        <v>2927</v>
      </c>
      <c r="G1830" s="36">
        <f>Tabla16[[#This Row],[Importe]]-Tabla16[[#This Row],[Pagado]]</f>
        <v>0</v>
      </c>
      <c r="H1830" s="38" t="s">
        <v>10</v>
      </c>
    </row>
    <row r="1831" spans="1:8" x14ac:dyDescent="0.25">
      <c r="A1831" s="31">
        <v>44698</v>
      </c>
      <c r="B1831" s="38" t="s">
        <v>15979</v>
      </c>
      <c r="C1831" s="38" t="s">
        <v>129</v>
      </c>
      <c r="D1831" s="34">
        <v>2084.1</v>
      </c>
      <c r="E1831" s="35">
        <v>44698</v>
      </c>
      <c r="F1831" s="34">
        <v>2084.1</v>
      </c>
      <c r="G1831" s="36">
        <f>Tabla16[[#This Row],[Importe]]-Tabla16[[#This Row],[Pagado]]</f>
        <v>0</v>
      </c>
      <c r="H1831" s="38" t="s">
        <v>10</v>
      </c>
    </row>
    <row r="1832" spans="1:8" x14ac:dyDescent="0.25">
      <c r="A1832" s="31">
        <v>44698</v>
      </c>
      <c r="B1832" s="38" t="s">
        <v>15980</v>
      </c>
      <c r="C1832" s="38" t="s">
        <v>127</v>
      </c>
      <c r="D1832" s="34">
        <v>4059</v>
      </c>
      <c r="E1832" s="35">
        <v>44698</v>
      </c>
      <c r="F1832" s="34">
        <v>4059</v>
      </c>
      <c r="G1832" s="36">
        <f>Tabla16[[#This Row],[Importe]]-Tabla16[[#This Row],[Pagado]]</f>
        <v>0</v>
      </c>
      <c r="H1832" s="38" t="s">
        <v>10</v>
      </c>
    </row>
    <row r="1833" spans="1:8" x14ac:dyDescent="0.25">
      <c r="A1833" s="31">
        <v>44698</v>
      </c>
      <c r="B1833" s="38" t="s">
        <v>15981</v>
      </c>
      <c r="C1833" s="38" t="s">
        <v>333</v>
      </c>
      <c r="D1833" s="34">
        <v>1483.5</v>
      </c>
      <c r="E1833" s="35">
        <v>44698</v>
      </c>
      <c r="F1833" s="34">
        <v>1483.5</v>
      </c>
      <c r="G1833" s="36">
        <f>Tabla16[[#This Row],[Importe]]-Tabla16[[#This Row],[Pagado]]</f>
        <v>0</v>
      </c>
      <c r="H1833" s="38" t="s">
        <v>10</v>
      </c>
    </row>
    <row r="1834" spans="1:8" x14ac:dyDescent="0.25">
      <c r="A1834" s="31">
        <v>44698</v>
      </c>
      <c r="B1834" s="38" t="s">
        <v>15982</v>
      </c>
      <c r="C1834" s="38" t="s">
        <v>196</v>
      </c>
      <c r="D1834" s="34">
        <v>6227.2</v>
      </c>
      <c r="E1834" s="35">
        <v>44701</v>
      </c>
      <c r="F1834" s="34">
        <v>6227.2</v>
      </c>
      <c r="G1834" s="36">
        <f>Tabla16[[#This Row],[Importe]]-Tabla16[[#This Row],[Pagado]]</f>
        <v>0</v>
      </c>
      <c r="H1834" s="38" t="s">
        <v>10</v>
      </c>
    </row>
    <row r="1835" spans="1:8" x14ac:dyDescent="0.25">
      <c r="A1835" s="31">
        <v>44698</v>
      </c>
      <c r="B1835" s="38" t="s">
        <v>15983</v>
      </c>
      <c r="C1835" s="38" t="s">
        <v>11033</v>
      </c>
      <c r="D1835" s="34">
        <v>3084.8</v>
      </c>
      <c r="E1835" s="35">
        <v>44698</v>
      </c>
      <c r="F1835" s="34">
        <v>3084.8</v>
      </c>
      <c r="G1835" s="36">
        <f>Tabla16[[#This Row],[Importe]]-Tabla16[[#This Row],[Pagado]]</f>
        <v>0</v>
      </c>
      <c r="H1835" s="38" t="s">
        <v>10</v>
      </c>
    </row>
    <row r="1836" spans="1:8" x14ac:dyDescent="0.25">
      <c r="A1836" s="31">
        <v>44698</v>
      </c>
      <c r="B1836" s="38" t="s">
        <v>15984</v>
      </c>
      <c r="C1836" s="38" t="s">
        <v>24</v>
      </c>
      <c r="D1836" s="34">
        <v>4602.6000000000004</v>
      </c>
      <c r="E1836" s="35">
        <v>44698</v>
      </c>
      <c r="F1836" s="34">
        <v>4602.6000000000004</v>
      </c>
      <c r="G1836" s="36">
        <f>Tabla16[[#This Row],[Importe]]-Tabla16[[#This Row],[Pagado]]</f>
        <v>0</v>
      </c>
      <c r="H1836" s="38" t="s">
        <v>10</v>
      </c>
    </row>
    <row r="1837" spans="1:8" x14ac:dyDescent="0.25">
      <c r="A1837" s="31">
        <v>44698</v>
      </c>
      <c r="B1837" s="38" t="s">
        <v>15985</v>
      </c>
      <c r="C1837" s="38" t="s">
        <v>16</v>
      </c>
      <c r="D1837" s="34">
        <v>4044.8</v>
      </c>
      <c r="E1837" s="35">
        <v>44698</v>
      </c>
      <c r="F1837" s="34">
        <v>4044.8</v>
      </c>
      <c r="G1837" s="36">
        <f>Tabla16[[#This Row],[Importe]]-Tabla16[[#This Row],[Pagado]]</f>
        <v>0</v>
      </c>
      <c r="H1837" s="38" t="s">
        <v>10</v>
      </c>
    </row>
    <row r="1838" spans="1:8" x14ac:dyDescent="0.25">
      <c r="A1838" s="31">
        <v>44698</v>
      </c>
      <c r="B1838" s="38" t="s">
        <v>15986</v>
      </c>
      <c r="C1838" s="38" t="s">
        <v>11383</v>
      </c>
      <c r="D1838" s="34">
        <v>34470.800000000003</v>
      </c>
      <c r="E1838" s="35">
        <v>44698</v>
      </c>
      <c r="F1838" s="34">
        <v>34470.800000000003</v>
      </c>
      <c r="G1838" s="36">
        <f>Tabla16[[#This Row],[Importe]]-Tabla16[[#This Row],[Pagado]]</f>
        <v>0</v>
      </c>
      <c r="H1838" s="38" t="s">
        <v>10</v>
      </c>
    </row>
    <row r="1839" spans="1:8" x14ac:dyDescent="0.25">
      <c r="A1839" s="31">
        <v>44698</v>
      </c>
      <c r="B1839" s="38" t="s">
        <v>15987</v>
      </c>
      <c r="C1839" s="38" t="s">
        <v>53</v>
      </c>
      <c r="D1839" s="34">
        <v>1849.2</v>
      </c>
      <c r="E1839" s="35">
        <v>44698</v>
      </c>
      <c r="F1839" s="34">
        <v>1849.2</v>
      </c>
      <c r="G1839" s="36">
        <f>Tabla16[[#This Row],[Importe]]-Tabla16[[#This Row],[Pagado]]</f>
        <v>0</v>
      </c>
      <c r="H1839" s="38" t="s">
        <v>10</v>
      </c>
    </row>
    <row r="1840" spans="1:8" x14ac:dyDescent="0.25">
      <c r="A1840" s="31">
        <v>44698</v>
      </c>
      <c r="B1840" s="38" t="s">
        <v>15988</v>
      </c>
      <c r="C1840" s="38" t="s">
        <v>49</v>
      </c>
      <c r="D1840" s="34">
        <v>4005.2</v>
      </c>
      <c r="E1840" s="35">
        <v>44698</v>
      </c>
      <c r="F1840" s="34">
        <v>4005.2</v>
      </c>
      <c r="G1840" s="36">
        <f>Tabla16[[#This Row],[Importe]]-Tabla16[[#This Row],[Pagado]]</f>
        <v>0</v>
      </c>
      <c r="H1840" s="38" t="s">
        <v>10</v>
      </c>
    </row>
    <row r="1841" spans="1:8" x14ac:dyDescent="0.25">
      <c r="A1841" s="31">
        <v>44698</v>
      </c>
      <c r="B1841" s="38" t="s">
        <v>15989</v>
      </c>
      <c r="C1841" s="38" t="s">
        <v>11383</v>
      </c>
      <c r="D1841" s="34">
        <v>5038.8</v>
      </c>
      <c r="E1841" s="35">
        <v>44698</v>
      </c>
      <c r="F1841" s="34">
        <v>5038.8</v>
      </c>
      <c r="G1841" s="36">
        <f>Tabla16[[#This Row],[Importe]]-Tabla16[[#This Row],[Pagado]]</f>
        <v>0</v>
      </c>
      <c r="H1841" s="38" t="s">
        <v>10</v>
      </c>
    </row>
    <row r="1842" spans="1:8" x14ac:dyDescent="0.25">
      <c r="A1842" s="31">
        <v>44698</v>
      </c>
      <c r="B1842" s="38" t="s">
        <v>15990</v>
      </c>
      <c r="C1842" s="38" t="s">
        <v>216</v>
      </c>
      <c r="D1842" s="34">
        <v>1999.8</v>
      </c>
      <c r="E1842" s="35">
        <v>44698</v>
      </c>
      <c r="F1842" s="34">
        <v>1999.8</v>
      </c>
      <c r="G1842" s="36">
        <f>Tabla16[[#This Row],[Importe]]-Tabla16[[#This Row],[Pagado]]</f>
        <v>0</v>
      </c>
      <c r="H1842" s="38" t="s">
        <v>10</v>
      </c>
    </row>
    <row r="1843" spans="1:8" x14ac:dyDescent="0.25">
      <c r="A1843" s="31">
        <v>44698</v>
      </c>
      <c r="B1843" s="38" t="s">
        <v>15991</v>
      </c>
      <c r="C1843" s="38" t="s">
        <v>296</v>
      </c>
      <c r="D1843" s="34">
        <v>4353.8</v>
      </c>
      <c r="E1843" s="35">
        <v>44698</v>
      </c>
      <c r="F1843" s="34">
        <v>4353.8</v>
      </c>
      <c r="G1843" s="36">
        <f>Tabla16[[#This Row],[Importe]]-Tabla16[[#This Row],[Pagado]]</f>
        <v>0</v>
      </c>
      <c r="H1843" s="38" t="s">
        <v>10</v>
      </c>
    </row>
    <row r="1844" spans="1:8" x14ac:dyDescent="0.25">
      <c r="A1844" s="31">
        <v>44698</v>
      </c>
      <c r="B1844" s="38" t="s">
        <v>15992</v>
      </c>
      <c r="C1844" s="38" t="s">
        <v>56</v>
      </c>
      <c r="D1844" s="34">
        <v>6994.3</v>
      </c>
      <c r="E1844" s="35">
        <v>44698</v>
      </c>
      <c r="F1844" s="34">
        <v>6994.3</v>
      </c>
      <c r="G1844" s="36">
        <f>Tabla16[[#This Row],[Importe]]-Tabla16[[#This Row],[Pagado]]</f>
        <v>0</v>
      </c>
      <c r="H1844" s="38" t="s">
        <v>10</v>
      </c>
    </row>
    <row r="1845" spans="1:8" x14ac:dyDescent="0.25">
      <c r="A1845" s="31">
        <v>44698</v>
      </c>
      <c r="B1845" s="38" t="s">
        <v>15993</v>
      </c>
      <c r="C1845" s="38" t="s">
        <v>8501</v>
      </c>
      <c r="D1845" s="34">
        <v>3082.8</v>
      </c>
      <c r="E1845" s="35">
        <v>44698</v>
      </c>
      <c r="F1845" s="34">
        <v>3082.8</v>
      </c>
      <c r="G1845" s="36">
        <f>Tabla16[[#This Row],[Importe]]-Tabla16[[#This Row],[Pagado]]</f>
        <v>0</v>
      </c>
      <c r="H1845" s="38" t="s">
        <v>10</v>
      </c>
    </row>
    <row r="1846" spans="1:8" x14ac:dyDescent="0.25">
      <c r="A1846" s="31">
        <v>44698</v>
      </c>
      <c r="B1846" s="38" t="s">
        <v>15994</v>
      </c>
      <c r="C1846" s="38" t="s">
        <v>191</v>
      </c>
      <c r="D1846" s="34">
        <v>1593.6</v>
      </c>
      <c r="E1846" s="35">
        <v>44698</v>
      </c>
      <c r="F1846" s="34">
        <v>1593.6</v>
      </c>
      <c r="G1846" s="36">
        <f>Tabla16[[#This Row],[Importe]]-Tabla16[[#This Row],[Pagado]]</f>
        <v>0</v>
      </c>
      <c r="H1846" s="38" t="s">
        <v>10</v>
      </c>
    </row>
    <row r="1847" spans="1:8" x14ac:dyDescent="0.25">
      <c r="A1847" s="31">
        <v>44698</v>
      </c>
      <c r="B1847" s="38" t="s">
        <v>15995</v>
      </c>
      <c r="C1847" s="38" t="s">
        <v>31</v>
      </c>
      <c r="D1847" s="34">
        <v>1689.6</v>
      </c>
      <c r="E1847" s="35">
        <v>44698</v>
      </c>
      <c r="F1847" s="34">
        <v>1689.6</v>
      </c>
      <c r="G1847" s="36">
        <f>Tabla16[[#This Row],[Importe]]-Tabla16[[#This Row],[Pagado]]</f>
        <v>0</v>
      </c>
      <c r="H1847" s="38" t="s">
        <v>10</v>
      </c>
    </row>
    <row r="1848" spans="1:8" ht="31.5" x14ac:dyDescent="0.25">
      <c r="A1848" s="31">
        <v>44698</v>
      </c>
      <c r="B1848" s="38" t="s">
        <v>15996</v>
      </c>
      <c r="C1848" s="41" t="s">
        <v>9180</v>
      </c>
      <c r="D1848" s="34">
        <v>0</v>
      </c>
      <c r="E1848" s="39" t="s">
        <v>189</v>
      </c>
      <c r="F1848" s="34">
        <v>0</v>
      </c>
      <c r="G1848" s="36">
        <f>Tabla16[[#This Row],[Importe]]-Tabla16[[#This Row],[Pagado]]</f>
        <v>0</v>
      </c>
      <c r="H1848" s="40" t="s">
        <v>15997</v>
      </c>
    </row>
    <row r="1849" spans="1:8" x14ac:dyDescent="0.25">
      <c r="A1849" s="31">
        <v>44698</v>
      </c>
      <c r="B1849" s="38" t="s">
        <v>15998</v>
      </c>
      <c r="C1849" s="38" t="s">
        <v>45</v>
      </c>
      <c r="D1849" s="34">
        <v>9316.2000000000007</v>
      </c>
      <c r="E1849" s="35">
        <v>44698</v>
      </c>
      <c r="F1849" s="34">
        <v>9316.2000000000007</v>
      </c>
      <c r="G1849" s="36">
        <f>Tabla16[[#This Row],[Importe]]-Tabla16[[#This Row],[Pagado]]</f>
        <v>0</v>
      </c>
      <c r="H1849" s="38" t="s">
        <v>10</v>
      </c>
    </row>
    <row r="1850" spans="1:8" x14ac:dyDescent="0.25">
      <c r="A1850" s="31">
        <v>44698</v>
      </c>
      <c r="B1850" s="38" t="s">
        <v>15999</v>
      </c>
      <c r="C1850" s="38" t="s">
        <v>135</v>
      </c>
      <c r="D1850" s="34">
        <v>1273</v>
      </c>
      <c r="E1850" s="35">
        <v>44698</v>
      </c>
      <c r="F1850" s="34">
        <v>1273</v>
      </c>
      <c r="G1850" s="36">
        <f>Tabla16[[#This Row],[Importe]]-Tabla16[[#This Row],[Pagado]]</f>
        <v>0</v>
      </c>
      <c r="H1850" s="38" t="s">
        <v>10</v>
      </c>
    </row>
    <row r="1851" spans="1:8" x14ac:dyDescent="0.25">
      <c r="A1851" s="31">
        <v>44698</v>
      </c>
      <c r="B1851" s="38" t="s">
        <v>16000</v>
      </c>
      <c r="C1851" s="38" t="s">
        <v>179</v>
      </c>
      <c r="D1851" s="34">
        <v>1254</v>
      </c>
      <c r="E1851" s="35">
        <v>44698</v>
      </c>
      <c r="F1851" s="34">
        <v>1254</v>
      </c>
      <c r="G1851" s="36">
        <f>Tabla16[[#This Row],[Importe]]-Tabla16[[#This Row],[Pagado]]</f>
        <v>0</v>
      </c>
      <c r="H1851" s="38" t="s">
        <v>10</v>
      </c>
    </row>
    <row r="1852" spans="1:8" x14ac:dyDescent="0.25">
      <c r="A1852" s="31">
        <v>44698</v>
      </c>
      <c r="B1852" s="38" t="s">
        <v>16001</v>
      </c>
      <c r="C1852" s="38" t="s">
        <v>214</v>
      </c>
      <c r="D1852" s="34">
        <v>1762.2</v>
      </c>
      <c r="E1852" s="35">
        <v>44698</v>
      </c>
      <c r="F1852" s="34">
        <v>1762.2</v>
      </c>
      <c r="G1852" s="36">
        <f>Tabla16[[#This Row],[Importe]]-Tabla16[[#This Row],[Pagado]]</f>
        <v>0</v>
      </c>
      <c r="H1852" s="38" t="s">
        <v>10</v>
      </c>
    </row>
    <row r="1853" spans="1:8" x14ac:dyDescent="0.25">
      <c r="A1853" s="31">
        <v>44698</v>
      </c>
      <c r="B1853" s="38" t="s">
        <v>16002</v>
      </c>
      <c r="C1853" s="38" t="s">
        <v>15039</v>
      </c>
      <c r="D1853" s="34">
        <v>3488</v>
      </c>
      <c r="E1853" s="35">
        <v>44698</v>
      </c>
      <c r="F1853" s="34">
        <v>3488</v>
      </c>
      <c r="G1853" s="36">
        <f>Tabla16[[#This Row],[Importe]]-Tabla16[[#This Row],[Pagado]]</f>
        <v>0</v>
      </c>
      <c r="H1853" s="38" t="s">
        <v>10</v>
      </c>
    </row>
    <row r="1854" spans="1:8" x14ac:dyDescent="0.25">
      <c r="A1854" s="31">
        <v>44698</v>
      </c>
      <c r="B1854" s="38" t="s">
        <v>16003</v>
      </c>
      <c r="C1854" s="38" t="s">
        <v>804</v>
      </c>
      <c r="D1854" s="34">
        <v>20662.7</v>
      </c>
      <c r="E1854" s="35">
        <v>44698</v>
      </c>
      <c r="F1854" s="34">
        <v>20662.7</v>
      </c>
      <c r="G1854" s="36">
        <f>Tabla16[[#This Row],[Importe]]-Tabla16[[#This Row],[Pagado]]</f>
        <v>0</v>
      </c>
      <c r="H1854" s="38" t="s">
        <v>10</v>
      </c>
    </row>
    <row r="1855" spans="1:8" x14ac:dyDescent="0.25">
      <c r="A1855" s="31">
        <v>44698</v>
      </c>
      <c r="B1855" s="38" t="s">
        <v>16004</v>
      </c>
      <c r="C1855" s="38" t="s">
        <v>698</v>
      </c>
      <c r="D1855" s="34">
        <v>6625.2</v>
      </c>
      <c r="E1855" s="35">
        <v>44698</v>
      </c>
      <c r="F1855" s="34">
        <v>6625.2</v>
      </c>
      <c r="G1855" s="36">
        <f>Tabla16[[#This Row],[Importe]]-Tabla16[[#This Row],[Pagado]]</f>
        <v>0</v>
      </c>
      <c r="H1855" s="38" t="s">
        <v>10</v>
      </c>
    </row>
    <row r="1856" spans="1:8" x14ac:dyDescent="0.25">
      <c r="A1856" s="31">
        <v>44698</v>
      </c>
      <c r="B1856" s="38" t="s">
        <v>16005</v>
      </c>
      <c r="C1856" s="38" t="s">
        <v>670</v>
      </c>
      <c r="D1856" s="34">
        <v>3269.6</v>
      </c>
      <c r="E1856" s="35">
        <v>44698</v>
      </c>
      <c r="F1856" s="34">
        <v>3269.6</v>
      </c>
      <c r="G1856" s="36">
        <f>Tabla16[[#This Row],[Importe]]-Tabla16[[#This Row],[Pagado]]</f>
        <v>0</v>
      </c>
      <c r="H1856" s="38" t="s">
        <v>10</v>
      </c>
    </row>
    <row r="1857" spans="1:8" x14ac:dyDescent="0.25">
      <c r="A1857" s="31">
        <v>44698</v>
      </c>
      <c r="B1857" s="38" t="s">
        <v>16006</v>
      </c>
      <c r="C1857" s="38" t="s">
        <v>31</v>
      </c>
      <c r="D1857" s="34">
        <v>11065</v>
      </c>
      <c r="E1857" s="35">
        <v>44698</v>
      </c>
      <c r="F1857" s="34">
        <v>11065</v>
      </c>
      <c r="G1857" s="36">
        <f>Tabla16[[#This Row],[Importe]]-Tabla16[[#This Row],[Pagado]]</f>
        <v>0</v>
      </c>
      <c r="H1857" s="38" t="s">
        <v>10</v>
      </c>
    </row>
    <row r="1858" spans="1:8" x14ac:dyDescent="0.25">
      <c r="A1858" s="31">
        <v>44698</v>
      </c>
      <c r="B1858" s="38" t="s">
        <v>16007</v>
      </c>
      <c r="C1858" s="38" t="s">
        <v>31</v>
      </c>
      <c r="D1858" s="34">
        <v>747</v>
      </c>
      <c r="E1858" s="35">
        <v>44698</v>
      </c>
      <c r="F1858" s="34">
        <v>747</v>
      </c>
      <c r="G1858" s="36">
        <f>Tabla16[[#This Row],[Importe]]-Tabla16[[#This Row],[Pagado]]</f>
        <v>0</v>
      </c>
      <c r="H1858" s="38" t="s">
        <v>10</v>
      </c>
    </row>
    <row r="1859" spans="1:8" x14ac:dyDescent="0.25">
      <c r="A1859" s="31">
        <v>44698</v>
      </c>
      <c r="B1859" s="38" t="s">
        <v>16008</v>
      </c>
      <c r="C1859" s="38" t="s">
        <v>69</v>
      </c>
      <c r="D1859" s="34">
        <v>2508</v>
      </c>
      <c r="E1859" s="35">
        <v>44698</v>
      </c>
      <c r="F1859" s="34">
        <v>2508</v>
      </c>
      <c r="G1859" s="36">
        <f>Tabla16[[#This Row],[Importe]]-Tabla16[[#This Row],[Pagado]]</f>
        <v>0</v>
      </c>
      <c r="H1859" s="38" t="s">
        <v>10</v>
      </c>
    </row>
    <row r="1860" spans="1:8" x14ac:dyDescent="0.25">
      <c r="A1860" s="31">
        <v>44698</v>
      </c>
      <c r="B1860" s="38" t="s">
        <v>16009</v>
      </c>
      <c r="C1860" s="38" t="s">
        <v>16</v>
      </c>
      <c r="D1860" s="34">
        <v>1232</v>
      </c>
      <c r="E1860" s="35">
        <v>44698</v>
      </c>
      <c r="F1860" s="34">
        <v>1232</v>
      </c>
      <c r="G1860" s="36">
        <f>Tabla16[[#This Row],[Importe]]-Tabla16[[#This Row],[Pagado]]</f>
        <v>0</v>
      </c>
      <c r="H1860" s="38" t="s">
        <v>10</v>
      </c>
    </row>
    <row r="1861" spans="1:8" x14ac:dyDescent="0.25">
      <c r="A1861" s="31">
        <v>44698</v>
      </c>
      <c r="B1861" s="38" t="s">
        <v>16010</v>
      </c>
      <c r="C1861" s="38" t="s">
        <v>233</v>
      </c>
      <c r="D1861" s="34">
        <v>4556</v>
      </c>
      <c r="E1861" s="35">
        <v>44698</v>
      </c>
      <c r="F1861" s="34">
        <v>4556</v>
      </c>
      <c r="G1861" s="36">
        <f>Tabla16[[#This Row],[Importe]]-Tabla16[[#This Row],[Pagado]]</f>
        <v>0</v>
      </c>
      <c r="H1861" s="38" t="s">
        <v>10</v>
      </c>
    </row>
    <row r="1862" spans="1:8" x14ac:dyDescent="0.25">
      <c r="A1862" s="31">
        <v>44698</v>
      </c>
      <c r="B1862" s="38" t="s">
        <v>16011</v>
      </c>
      <c r="C1862" s="38" t="s">
        <v>419</v>
      </c>
      <c r="D1862" s="34">
        <v>4536.8</v>
      </c>
      <c r="E1862" s="35">
        <v>44698</v>
      </c>
      <c r="F1862" s="34">
        <v>4536.8</v>
      </c>
      <c r="G1862" s="36">
        <f>Tabla16[[#This Row],[Importe]]-Tabla16[[#This Row],[Pagado]]</f>
        <v>0</v>
      </c>
      <c r="H1862" s="38" t="s">
        <v>10</v>
      </c>
    </row>
    <row r="1863" spans="1:8" x14ac:dyDescent="0.25">
      <c r="A1863" s="31">
        <v>44698</v>
      </c>
      <c r="B1863" s="38" t="s">
        <v>16012</v>
      </c>
      <c r="C1863" s="38" t="s">
        <v>16013</v>
      </c>
      <c r="D1863" s="34">
        <v>0</v>
      </c>
      <c r="E1863" s="39" t="s">
        <v>189</v>
      </c>
      <c r="F1863" s="34">
        <v>0</v>
      </c>
      <c r="G1863" s="36">
        <f>Tabla16[[#This Row],[Importe]]-Tabla16[[#This Row],[Pagado]]</f>
        <v>0</v>
      </c>
      <c r="H1863" s="40" t="s">
        <v>16014</v>
      </c>
    </row>
    <row r="1864" spans="1:8" x14ac:dyDescent="0.25">
      <c r="A1864" s="31">
        <v>44698</v>
      </c>
      <c r="B1864" s="38" t="s">
        <v>16015</v>
      </c>
      <c r="C1864" s="38" t="s">
        <v>520</v>
      </c>
      <c r="D1864" s="34">
        <v>19694.2</v>
      </c>
      <c r="E1864" s="35">
        <v>44699</v>
      </c>
      <c r="F1864" s="34">
        <v>19694.2</v>
      </c>
      <c r="G1864" s="36">
        <f>Tabla16[[#This Row],[Importe]]-Tabla16[[#This Row],[Pagado]]</f>
        <v>0</v>
      </c>
      <c r="H1864" s="38" t="s">
        <v>10</v>
      </c>
    </row>
    <row r="1865" spans="1:8" x14ac:dyDescent="0.25">
      <c r="A1865" s="31">
        <v>44698</v>
      </c>
      <c r="B1865" s="38" t="s">
        <v>16016</v>
      </c>
      <c r="C1865" s="38" t="s">
        <v>16017</v>
      </c>
      <c r="D1865" s="34">
        <v>0</v>
      </c>
      <c r="E1865" s="39" t="s">
        <v>189</v>
      </c>
      <c r="F1865" s="34">
        <v>0</v>
      </c>
      <c r="G1865" s="36">
        <f>Tabla16[[#This Row],[Importe]]-Tabla16[[#This Row],[Pagado]]</f>
        <v>0</v>
      </c>
      <c r="H1865" s="105" t="s">
        <v>16018</v>
      </c>
    </row>
    <row r="1866" spans="1:8" x14ac:dyDescent="0.25">
      <c r="A1866" s="31">
        <v>44698</v>
      </c>
      <c r="B1866" s="38" t="s">
        <v>16019</v>
      </c>
      <c r="C1866" s="38" t="s">
        <v>518</v>
      </c>
      <c r="D1866" s="34">
        <v>615.4</v>
      </c>
      <c r="E1866" s="35">
        <v>44699</v>
      </c>
      <c r="F1866" s="34">
        <v>615.4</v>
      </c>
      <c r="G1866" s="36">
        <f>Tabla16[[#This Row],[Importe]]-Tabla16[[#This Row],[Pagado]]</f>
        <v>0</v>
      </c>
      <c r="H1866" s="38" t="s">
        <v>10</v>
      </c>
    </row>
    <row r="1867" spans="1:8" x14ac:dyDescent="0.25">
      <c r="A1867" s="31">
        <v>44698</v>
      </c>
      <c r="B1867" s="38" t="s">
        <v>16020</v>
      </c>
      <c r="C1867" s="38" t="s">
        <v>67</v>
      </c>
      <c r="D1867" s="34">
        <v>1419.6</v>
      </c>
      <c r="E1867" s="35">
        <v>44698</v>
      </c>
      <c r="F1867" s="34">
        <v>1419.6</v>
      </c>
      <c r="G1867" s="36">
        <f>Tabla16[[#This Row],[Importe]]-Tabla16[[#This Row],[Pagado]]</f>
        <v>0</v>
      </c>
      <c r="H1867" s="38" t="s">
        <v>10</v>
      </c>
    </row>
    <row r="1868" spans="1:8" x14ac:dyDescent="0.25">
      <c r="A1868" s="31">
        <v>44698</v>
      </c>
      <c r="B1868" s="38" t="s">
        <v>16021</v>
      </c>
      <c r="C1868" s="38" t="s">
        <v>159</v>
      </c>
      <c r="D1868" s="34">
        <v>3504.2</v>
      </c>
      <c r="E1868" s="35">
        <v>44699</v>
      </c>
      <c r="F1868" s="34">
        <v>3504.2</v>
      </c>
      <c r="G1868" s="36">
        <f>Tabla16[[#This Row],[Importe]]-Tabla16[[#This Row],[Pagado]]</f>
        <v>0</v>
      </c>
      <c r="H1868" s="38" t="s">
        <v>10</v>
      </c>
    </row>
    <row r="1869" spans="1:8" x14ac:dyDescent="0.25">
      <c r="A1869" s="31">
        <v>44698</v>
      </c>
      <c r="B1869" s="38" t="s">
        <v>16022</v>
      </c>
      <c r="C1869" s="38" t="s">
        <v>157</v>
      </c>
      <c r="D1869" s="34">
        <v>5320.7</v>
      </c>
      <c r="E1869" s="35">
        <v>44699</v>
      </c>
      <c r="F1869" s="34">
        <v>5320.7</v>
      </c>
      <c r="G1869" s="36">
        <f>Tabla16[[#This Row],[Importe]]-Tabla16[[#This Row],[Pagado]]</f>
        <v>0</v>
      </c>
      <c r="H1869" s="38" t="s">
        <v>10</v>
      </c>
    </row>
    <row r="1870" spans="1:8" x14ac:dyDescent="0.25">
      <c r="A1870" s="31">
        <v>44698</v>
      </c>
      <c r="B1870" s="38" t="s">
        <v>16023</v>
      </c>
      <c r="C1870" s="38" t="s">
        <v>525</v>
      </c>
      <c r="D1870" s="34">
        <v>468</v>
      </c>
      <c r="E1870" s="35">
        <v>44699</v>
      </c>
      <c r="F1870" s="34">
        <v>468</v>
      </c>
      <c r="G1870" s="36">
        <f>Tabla16[[#This Row],[Importe]]-Tabla16[[#This Row],[Pagado]]</f>
        <v>0</v>
      </c>
      <c r="H1870" s="38" t="s">
        <v>10</v>
      </c>
    </row>
    <row r="1871" spans="1:8" x14ac:dyDescent="0.25">
      <c r="A1871" s="31">
        <v>44698</v>
      </c>
      <c r="B1871" s="38" t="s">
        <v>16024</v>
      </c>
      <c r="C1871" s="38" t="s">
        <v>9827</v>
      </c>
      <c r="D1871" s="34">
        <v>938.4</v>
      </c>
      <c r="E1871" s="35">
        <v>44698</v>
      </c>
      <c r="F1871" s="34">
        <v>938.4</v>
      </c>
      <c r="G1871" s="36">
        <f>Tabla16[[#This Row],[Importe]]-Tabla16[[#This Row],[Pagado]]</f>
        <v>0</v>
      </c>
      <c r="H1871" s="38" t="s">
        <v>10</v>
      </c>
    </row>
    <row r="1872" spans="1:8" x14ac:dyDescent="0.25">
      <c r="A1872" s="31">
        <v>44698</v>
      </c>
      <c r="B1872" s="38" t="s">
        <v>16025</v>
      </c>
      <c r="C1872" s="38" t="s">
        <v>518</v>
      </c>
      <c r="D1872" s="34">
        <v>1200.2</v>
      </c>
      <c r="E1872" s="35">
        <v>44699</v>
      </c>
      <c r="F1872" s="34">
        <v>1200.2</v>
      </c>
      <c r="G1872" s="36">
        <f>Tabla16[[#This Row],[Importe]]-Tabla16[[#This Row],[Pagado]]</f>
        <v>0</v>
      </c>
      <c r="H1872" s="38" t="s">
        <v>10</v>
      </c>
    </row>
    <row r="1873" spans="1:8" x14ac:dyDescent="0.25">
      <c r="A1873" s="31">
        <v>44698</v>
      </c>
      <c r="B1873" s="38" t="s">
        <v>16026</v>
      </c>
      <c r="C1873" s="38" t="s">
        <v>934</v>
      </c>
      <c r="D1873" s="34">
        <v>4615.5</v>
      </c>
      <c r="E1873" s="35">
        <v>44699</v>
      </c>
      <c r="F1873" s="34">
        <v>4615.5</v>
      </c>
      <c r="G1873" s="36">
        <f>Tabla16[[#This Row],[Importe]]-Tabla16[[#This Row],[Pagado]]</f>
        <v>0</v>
      </c>
      <c r="H1873" s="38" t="s">
        <v>10</v>
      </c>
    </row>
    <row r="1874" spans="1:8" x14ac:dyDescent="0.25">
      <c r="A1874" s="31">
        <v>44698</v>
      </c>
      <c r="B1874" s="38" t="s">
        <v>16027</v>
      </c>
      <c r="C1874" s="38" t="s">
        <v>151</v>
      </c>
      <c r="D1874" s="34">
        <v>26508.400000000001</v>
      </c>
      <c r="E1874" s="35">
        <v>44699</v>
      </c>
      <c r="F1874" s="34">
        <v>26508.400000000001</v>
      </c>
      <c r="G1874" s="36">
        <f>Tabla16[[#This Row],[Importe]]-Tabla16[[#This Row],[Pagado]]</f>
        <v>0</v>
      </c>
      <c r="H1874" s="38" t="s">
        <v>10</v>
      </c>
    </row>
    <row r="1875" spans="1:8" x14ac:dyDescent="0.25">
      <c r="A1875" s="31">
        <v>44698</v>
      </c>
      <c r="B1875" s="38" t="s">
        <v>16028</v>
      </c>
      <c r="C1875" s="38" t="s">
        <v>79</v>
      </c>
      <c r="D1875" s="34">
        <v>15156.2</v>
      </c>
      <c r="E1875" s="35">
        <v>44699</v>
      </c>
      <c r="F1875" s="34">
        <v>15156.2</v>
      </c>
      <c r="G1875" s="36">
        <f>Tabla16[[#This Row],[Importe]]-Tabla16[[#This Row],[Pagado]]</f>
        <v>0</v>
      </c>
      <c r="H1875" s="38" t="s">
        <v>10</v>
      </c>
    </row>
    <row r="1876" spans="1:8" x14ac:dyDescent="0.25">
      <c r="A1876" s="31">
        <v>44698</v>
      </c>
      <c r="B1876" s="38" t="s">
        <v>16029</v>
      </c>
      <c r="C1876" s="38" t="s">
        <v>396</v>
      </c>
      <c r="D1876" s="34">
        <v>8343.4</v>
      </c>
      <c r="E1876" s="35">
        <v>44716</v>
      </c>
      <c r="F1876" s="34">
        <v>8343.4</v>
      </c>
      <c r="G1876" s="36">
        <f>Tabla16[[#This Row],[Importe]]-Tabla16[[#This Row],[Pagado]]</f>
        <v>0</v>
      </c>
      <c r="H1876" s="38" t="s">
        <v>10</v>
      </c>
    </row>
    <row r="1877" spans="1:8" x14ac:dyDescent="0.25">
      <c r="A1877" s="31">
        <v>44698</v>
      </c>
      <c r="B1877" s="38" t="s">
        <v>16030</v>
      </c>
      <c r="C1877" s="38" t="s">
        <v>6405</v>
      </c>
      <c r="D1877" s="34">
        <v>1.5</v>
      </c>
      <c r="E1877" s="35">
        <v>44706</v>
      </c>
      <c r="F1877" s="34">
        <v>1.5</v>
      </c>
      <c r="G1877" s="36">
        <f>Tabla16[[#This Row],[Importe]]-Tabla16[[#This Row],[Pagado]]</f>
        <v>0</v>
      </c>
      <c r="H1877" s="38" t="s">
        <v>10</v>
      </c>
    </row>
    <row r="1878" spans="1:8" x14ac:dyDescent="0.25">
      <c r="A1878" s="31">
        <v>44698</v>
      </c>
      <c r="B1878" s="38" t="s">
        <v>16031</v>
      </c>
      <c r="C1878" s="38" t="s">
        <v>450</v>
      </c>
      <c r="D1878" s="34">
        <v>4369.8</v>
      </c>
      <c r="E1878" s="35">
        <v>44698</v>
      </c>
      <c r="F1878" s="34">
        <v>4369.8</v>
      </c>
      <c r="G1878" s="36">
        <f>Tabla16[[#This Row],[Importe]]-Tabla16[[#This Row],[Pagado]]</f>
        <v>0</v>
      </c>
      <c r="H1878" s="38" t="s">
        <v>10</v>
      </c>
    </row>
    <row r="1879" spans="1:8" x14ac:dyDescent="0.25">
      <c r="A1879" s="31">
        <v>44698</v>
      </c>
      <c r="B1879" s="38" t="s">
        <v>16032</v>
      </c>
      <c r="C1879" s="38" t="s">
        <v>142</v>
      </c>
      <c r="D1879" s="34">
        <v>85663.7</v>
      </c>
      <c r="E1879" s="35">
        <v>44760</v>
      </c>
      <c r="F1879" s="34">
        <v>85663.7</v>
      </c>
      <c r="G1879" s="36">
        <f>Tabla16[[#This Row],[Importe]]-Tabla16[[#This Row],[Pagado]]</f>
        <v>0</v>
      </c>
      <c r="H1879" s="38" t="s">
        <v>10</v>
      </c>
    </row>
    <row r="1880" spans="1:8" x14ac:dyDescent="0.25">
      <c r="A1880" s="31">
        <v>44698</v>
      </c>
      <c r="B1880" s="38" t="s">
        <v>16033</v>
      </c>
      <c r="C1880" s="38" t="s">
        <v>175</v>
      </c>
      <c r="D1880" s="34">
        <v>18444</v>
      </c>
      <c r="E1880" s="35">
        <v>44698</v>
      </c>
      <c r="F1880" s="34">
        <v>18444</v>
      </c>
      <c r="G1880" s="36">
        <f>Tabla16[[#This Row],[Importe]]-Tabla16[[#This Row],[Pagado]]</f>
        <v>0</v>
      </c>
      <c r="H1880" s="38" t="s">
        <v>10</v>
      </c>
    </row>
    <row r="1881" spans="1:8" x14ac:dyDescent="0.25">
      <c r="A1881" s="31">
        <v>44698</v>
      </c>
      <c r="B1881" s="38" t="s">
        <v>16034</v>
      </c>
      <c r="C1881" s="38" t="s">
        <v>249</v>
      </c>
      <c r="D1881" s="34">
        <v>1449</v>
      </c>
      <c r="E1881" s="35">
        <v>44698</v>
      </c>
      <c r="F1881" s="34">
        <v>1449</v>
      </c>
      <c r="G1881" s="36">
        <f>Tabla16[[#This Row],[Importe]]-Tabla16[[#This Row],[Pagado]]</f>
        <v>0</v>
      </c>
      <c r="H1881" s="38" t="s">
        <v>10</v>
      </c>
    </row>
    <row r="1882" spans="1:8" x14ac:dyDescent="0.25">
      <c r="A1882" s="31">
        <v>44698</v>
      </c>
      <c r="B1882" s="38" t="s">
        <v>16035</v>
      </c>
      <c r="C1882" s="38" t="s">
        <v>31</v>
      </c>
      <c r="D1882" s="34">
        <v>480</v>
      </c>
      <c r="E1882" s="35">
        <v>44698</v>
      </c>
      <c r="F1882" s="34">
        <v>480</v>
      </c>
      <c r="G1882" s="36">
        <f>Tabla16[[#This Row],[Importe]]-Tabla16[[#This Row],[Pagado]]</f>
        <v>0</v>
      </c>
      <c r="H1882" s="38" t="s">
        <v>10</v>
      </c>
    </row>
    <row r="1883" spans="1:8" x14ac:dyDescent="0.25">
      <c r="A1883" s="31">
        <v>44698</v>
      </c>
      <c r="B1883" s="38" t="s">
        <v>16036</v>
      </c>
      <c r="C1883" s="38" t="s">
        <v>273</v>
      </c>
      <c r="D1883" s="34">
        <v>41074</v>
      </c>
      <c r="E1883" s="35">
        <v>44698</v>
      </c>
      <c r="F1883" s="34">
        <v>41074</v>
      </c>
      <c r="G1883" s="36">
        <f>Tabla16[[#This Row],[Importe]]-Tabla16[[#This Row],[Pagado]]</f>
        <v>0</v>
      </c>
      <c r="H1883" s="38" t="s">
        <v>10</v>
      </c>
    </row>
    <row r="1884" spans="1:8" x14ac:dyDescent="0.25">
      <c r="A1884" s="31">
        <v>44698</v>
      </c>
      <c r="B1884" s="38" t="s">
        <v>16037</v>
      </c>
      <c r="C1884" s="38" t="s">
        <v>426</v>
      </c>
      <c r="D1884" s="34">
        <v>3628.5</v>
      </c>
      <c r="E1884" s="35">
        <v>44698</v>
      </c>
      <c r="F1884" s="34">
        <v>3628.5</v>
      </c>
      <c r="G1884" s="36">
        <f>Tabla16[[#This Row],[Importe]]-Tabla16[[#This Row],[Pagado]]</f>
        <v>0</v>
      </c>
      <c r="H1884" s="38" t="s">
        <v>10</v>
      </c>
    </row>
    <row r="1885" spans="1:8" x14ac:dyDescent="0.25">
      <c r="A1885" s="31">
        <v>44698</v>
      </c>
      <c r="B1885" s="38" t="s">
        <v>16038</v>
      </c>
      <c r="C1885" s="38" t="s">
        <v>58</v>
      </c>
      <c r="D1885" s="34">
        <v>2929.5</v>
      </c>
      <c r="E1885" s="35">
        <v>44698</v>
      </c>
      <c r="F1885" s="34">
        <v>2929.5</v>
      </c>
      <c r="G1885" s="36">
        <f>Tabla16[[#This Row],[Importe]]-Tabla16[[#This Row],[Pagado]]</f>
        <v>0</v>
      </c>
      <c r="H1885" s="38" t="s">
        <v>10</v>
      </c>
    </row>
    <row r="1886" spans="1:8" x14ac:dyDescent="0.25">
      <c r="A1886" s="31">
        <v>44698</v>
      </c>
      <c r="B1886" s="38" t="s">
        <v>16039</v>
      </c>
      <c r="C1886" s="38" t="s">
        <v>10678</v>
      </c>
      <c r="D1886" s="34">
        <v>1872.6</v>
      </c>
      <c r="E1886" s="35">
        <v>44698</v>
      </c>
      <c r="F1886" s="34">
        <v>1872.6</v>
      </c>
      <c r="G1886" s="36">
        <f>Tabla16[[#This Row],[Importe]]-Tabla16[[#This Row],[Pagado]]</f>
        <v>0</v>
      </c>
      <c r="H1886" s="38" t="s">
        <v>10</v>
      </c>
    </row>
    <row r="1887" spans="1:8" x14ac:dyDescent="0.25">
      <c r="A1887" s="31">
        <v>44698</v>
      </c>
      <c r="B1887" s="38" t="s">
        <v>16040</v>
      </c>
      <c r="C1887" s="38" t="s">
        <v>857</v>
      </c>
      <c r="D1887" s="34">
        <v>424.8</v>
      </c>
      <c r="E1887" s="35">
        <v>44698</v>
      </c>
      <c r="F1887" s="34">
        <v>424.8</v>
      </c>
      <c r="G1887" s="36">
        <f>Tabla16[[#This Row],[Importe]]-Tabla16[[#This Row],[Pagado]]</f>
        <v>0</v>
      </c>
      <c r="H1887" s="38" t="s">
        <v>10</v>
      </c>
    </row>
    <row r="1888" spans="1:8" x14ac:dyDescent="0.25">
      <c r="A1888" s="31">
        <v>44698</v>
      </c>
      <c r="B1888" s="38" t="s">
        <v>16041</v>
      </c>
      <c r="C1888" s="38" t="s">
        <v>1362</v>
      </c>
      <c r="D1888" s="34">
        <v>4309.3999999999996</v>
      </c>
      <c r="E1888" s="35">
        <v>44698</v>
      </c>
      <c r="F1888" s="34">
        <v>4309.3999999999996</v>
      </c>
      <c r="G1888" s="36">
        <f>Tabla16[[#This Row],[Importe]]-Tabla16[[#This Row],[Pagado]]</f>
        <v>0</v>
      </c>
      <c r="H1888" s="38" t="s">
        <v>10</v>
      </c>
    </row>
    <row r="1889" spans="1:8" x14ac:dyDescent="0.25">
      <c r="A1889" s="31">
        <v>44698</v>
      </c>
      <c r="B1889" s="38" t="s">
        <v>16042</v>
      </c>
      <c r="C1889" s="38" t="s">
        <v>107</v>
      </c>
      <c r="D1889" s="34">
        <v>8972.9</v>
      </c>
      <c r="E1889" s="35">
        <v>44698</v>
      </c>
      <c r="F1889" s="34">
        <v>8972.9</v>
      </c>
      <c r="G1889" s="36">
        <f>Tabla16[[#This Row],[Importe]]-Tabla16[[#This Row],[Pagado]]</f>
        <v>0</v>
      </c>
      <c r="H1889" s="38" t="s">
        <v>10</v>
      </c>
    </row>
    <row r="1890" spans="1:8" x14ac:dyDescent="0.25">
      <c r="A1890" s="31">
        <v>44698</v>
      </c>
      <c r="B1890" s="38" t="s">
        <v>16043</v>
      </c>
      <c r="C1890" s="38" t="s">
        <v>433</v>
      </c>
      <c r="D1890" s="34">
        <v>29000</v>
      </c>
      <c r="E1890" s="35">
        <v>44698</v>
      </c>
      <c r="F1890" s="34">
        <v>29000</v>
      </c>
      <c r="G1890" s="36">
        <f>Tabla16[[#This Row],[Importe]]-Tabla16[[#This Row],[Pagado]]</f>
        <v>0</v>
      </c>
      <c r="H1890" s="38" t="s">
        <v>10</v>
      </c>
    </row>
    <row r="1891" spans="1:8" x14ac:dyDescent="0.25">
      <c r="A1891" s="31">
        <v>44698</v>
      </c>
      <c r="B1891" s="38" t="s">
        <v>16044</v>
      </c>
      <c r="C1891" s="38" t="s">
        <v>353</v>
      </c>
      <c r="D1891" s="34">
        <v>1395.2</v>
      </c>
      <c r="E1891" s="35">
        <v>44698</v>
      </c>
      <c r="F1891" s="34">
        <v>1395.2</v>
      </c>
      <c r="G1891" s="36">
        <f>Tabla16[[#This Row],[Importe]]-Tabla16[[#This Row],[Pagado]]</f>
        <v>0</v>
      </c>
      <c r="H1891" s="38" t="s">
        <v>10</v>
      </c>
    </row>
    <row r="1892" spans="1:8" x14ac:dyDescent="0.25">
      <c r="A1892" s="31">
        <v>44698</v>
      </c>
      <c r="B1892" s="38" t="s">
        <v>16045</v>
      </c>
      <c r="C1892" s="38" t="s">
        <v>2961</v>
      </c>
      <c r="D1892" s="34">
        <v>34154.400000000001</v>
      </c>
      <c r="E1892" s="35">
        <v>44706</v>
      </c>
      <c r="F1892" s="34">
        <v>34154.400000000001</v>
      </c>
      <c r="G1892" s="36">
        <f>Tabla16[[#This Row],[Importe]]-Tabla16[[#This Row],[Pagado]]</f>
        <v>0</v>
      </c>
      <c r="H1892" s="38" t="s">
        <v>10</v>
      </c>
    </row>
    <row r="1893" spans="1:8" x14ac:dyDescent="0.25">
      <c r="A1893" s="31">
        <v>44698</v>
      </c>
      <c r="B1893" s="38" t="s">
        <v>16046</v>
      </c>
      <c r="C1893" s="38" t="s">
        <v>994</v>
      </c>
      <c r="D1893" s="34">
        <v>1419</v>
      </c>
      <c r="E1893" s="35">
        <v>44698</v>
      </c>
      <c r="F1893" s="34">
        <v>1419</v>
      </c>
      <c r="G1893" s="36">
        <f>Tabla16[[#This Row],[Importe]]-Tabla16[[#This Row],[Pagado]]</f>
        <v>0</v>
      </c>
      <c r="H1893" s="38" t="s">
        <v>10</v>
      </c>
    </row>
    <row r="1894" spans="1:8" x14ac:dyDescent="0.25">
      <c r="A1894" s="31">
        <v>44698</v>
      </c>
      <c r="B1894" s="38" t="s">
        <v>16047</v>
      </c>
      <c r="C1894" s="38" t="s">
        <v>7862</v>
      </c>
      <c r="D1894" s="34">
        <v>20813.400000000001</v>
      </c>
      <c r="E1894" s="35">
        <v>44698</v>
      </c>
      <c r="F1894" s="34">
        <v>20813.400000000001</v>
      </c>
      <c r="G1894" s="36">
        <f>Tabla16[[#This Row],[Importe]]-Tabla16[[#This Row],[Pagado]]</f>
        <v>0</v>
      </c>
      <c r="H1894" s="38" t="s">
        <v>10</v>
      </c>
    </row>
    <row r="1895" spans="1:8" x14ac:dyDescent="0.25">
      <c r="A1895" s="31">
        <v>44698</v>
      </c>
      <c r="B1895" s="38" t="s">
        <v>16048</v>
      </c>
      <c r="C1895" s="38" t="s">
        <v>275</v>
      </c>
      <c r="D1895" s="34">
        <v>109837.08</v>
      </c>
      <c r="E1895" s="35">
        <v>44708</v>
      </c>
      <c r="F1895" s="34">
        <v>109837.08</v>
      </c>
      <c r="G1895" s="36">
        <f>Tabla16[[#This Row],[Importe]]-Tabla16[[#This Row],[Pagado]]</f>
        <v>0</v>
      </c>
      <c r="H1895" s="38" t="s">
        <v>10</v>
      </c>
    </row>
    <row r="1896" spans="1:8" x14ac:dyDescent="0.25">
      <c r="A1896" s="31">
        <v>44698</v>
      </c>
      <c r="B1896" s="38" t="s">
        <v>16049</v>
      </c>
      <c r="C1896" s="38" t="s">
        <v>450</v>
      </c>
      <c r="D1896" s="34">
        <v>1104</v>
      </c>
      <c r="E1896" s="35">
        <v>44698</v>
      </c>
      <c r="F1896" s="34">
        <v>1104</v>
      </c>
      <c r="G1896" s="36">
        <f>Tabla16[[#This Row],[Importe]]-Tabla16[[#This Row],[Pagado]]</f>
        <v>0</v>
      </c>
      <c r="H1896" s="38" t="s">
        <v>10</v>
      </c>
    </row>
    <row r="1897" spans="1:8" x14ac:dyDescent="0.25">
      <c r="A1897" s="31">
        <v>44698</v>
      </c>
      <c r="B1897" s="38" t="s">
        <v>16050</v>
      </c>
      <c r="C1897" s="38" t="s">
        <v>284</v>
      </c>
      <c r="D1897" s="34">
        <v>7377.6</v>
      </c>
      <c r="E1897" s="35">
        <v>44698</v>
      </c>
      <c r="F1897" s="34">
        <v>7377.6</v>
      </c>
      <c r="G1897" s="36">
        <f>Tabla16[[#This Row],[Importe]]-Tabla16[[#This Row],[Pagado]]</f>
        <v>0</v>
      </c>
      <c r="H1897" s="38" t="s">
        <v>10</v>
      </c>
    </row>
    <row r="1898" spans="1:8" x14ac:dyDescent="0.25">
      <c r="A1898" s="31">
        <v>44698</v>
      </c>
      <c r="B1898" s="38" t="s">
        <v>16051</v>
      </c>
      <c r="C1898" s="38" t="s">
        <v>5345</v>
      </c>
      <c r="D1898" s="34">
        <v>2563.6</v>
      </c>
      <c r="E1898" s="35">
        <v>44698</v>
      </c>
      <c r="F1898" s="34">
        <v>2563.6</v>
      </c>
      <c r="G1898" s="36">
        <f>Tabla16[[#This Row],[Importe]]-Tabla16[[#This Row],[Pagado]]</f>
        <v>0</v>
      </c>
      <c r="H1898" s="38" t="s">
        <v>10</v>
      </c>
    </row>
    <row r="1899" spans="1:8" x14ac:dyDescent="0.25">
      <c r="A1899" s="31">
        <v>44698</v>
      </c>
      <c r="B1899" s="38" t="s">
        <v>16052</v>
      </c>
      <c r="C1899" s="38" t="s">
        <v>282</v>
      </c>
      <c r="D1899" s="34">
        <v>1960.4</v>
      </c>
      <c r="E1899" s="35">
        <v>44698</v>
      </c>
      <c r="F1899" s="34">
        <v>1960.4</v>
      </c>
      <c r="G1899" s="36">
        <f>Tabla16[[#This Row],[Importe]]-Tabla16[[#This Row],[Pagado]]</f>
        <v>0</v>
      </c>
      <c r="H1899" s="38" t="s">
        <v>10</v>
      </c>
    </row>
    <row r="1900" spans="1:8" x14ac:dyDescent="0.25">
      <c r="A1900" s="31">
        <v>44698</v>
      </c>
      <c r="B1900" s="38" t="s">
        <v>16053</v>
      </c>
      <c r="C1900" s="38" t="s">
        <v>368</v>
      </c>
      <c r="D1900" s="34">
        <v>1784.8</v>
      </c>
      <c r="E1900" s="35">
        <v>44698</v>
      </c>
      <c r="F1900" s="34">
        <v>1784.8</v>
      </c>
      <c r="G1900" s="36">
        <f>Tabla16[[#This Row],[Importe]]-Tabla16[[#This Row],[Pagado]]</f>
        <v>0</v>
      </c>
      <c r="H1900" s="38" t="s">
        <v>10</v>
      </c>
    </row>
    <row r="1901" spans="1:8" x14ac:dyDescent="0.25">
      <c r="A1901" s="31">
        <v>44698</v>
      </c>
      <c r="B1901" s="38" t="s">
        <v>16054</v>
      </c>
      <c r="C1901" s="38" t="s">
        <v>1706</v>
      </c>
      <c r="D1901" s="34">
        <v>6992</v>
      </c>
      <c r="E1901" s="35">
        <v>44698</v>
      </c>
      <c r="F1901" s="34">
        <v>6992</v>
      </c>
      <c r="G1901" s="36">
        <f>Tabla16[[#This Row],[Importe]]-Tabla16[[#This Row],[Pagado]]</f>
        <v>0</v>
      </c>
      <c r="H1901" s="38" t="s">
        <v>10</v>
      </c>
    </row>
    <row r="1902" spans="1:8" x14ac:dyDescent="0.25">
      <c r="A1902" s="31">
        <v>44698</v>
      </c>
      <c r="B1902" s="38" t="s">
        <v>16055</v>
      </c>
      <c r="C1902" s="38" t="s">
        <v>31</v>
      </c>
      <c r="D1902" s="34">
        <v>22400.400000000001</v>
      </c>
      <c r="E1902" s="35">
        <v>44698</v>
      </c>
      <c r="F1902" s="34">
        <v>22400.400000000001</v>
      </c>
      <c r="G1902" s="36">
        <f>Tabla16[[#This Row],[Importe]]-Tabla16[[#This Row],[Pagado]]</f>
        <v>0</v>
      </c>
      <c r="H1902" s="38" t="s">
        <v>10</v>
      </c>
    </row>
    <row r="1903" spans="1:8" x14ac:dyDescent="0.25">
      <c r="A1903" s="31">
        <v>44698</v>
      </c>
      <c r="B1903" s="38" t="s">
        <v>16056</v>
      </c>
      <c r="C1903" s="38" t="s">
        <v>16057</v>
      </c>
      <c r="D1903" s="34">
        <v>0</v>
      </c>
      <c r="E1903" s="39" t="s">
        <v>189</v>
      </c>
      <c r="F1903" s="34">
        <v>0</v>
      </c>
      <c r="G1903" s="36">
        <f>Tabla16[[#This Row],[Importe]]-Tabla16[[#This Row],[Pagado]]</f>
        <v>0</v>
      </c>
      <c r="H1903" s="40" t="s">
        <v>16058</v>
      </c>
    </row>
    <row r="1904" spans="1:8" x14ac:dyDescent="0.25">
      <c r="A1904" s="31">
        <v>44698</v>
      </c>
      <c r="B1904" s="38" t="s">
        <v>16059</v>
      </c>
      <c r="C1904" s="38" t="s">
        <v>2139</v>
      </c>
      <c r="D1904" s="34">
        <v>4017.6</v>
      </c>
      <c r="E1904" s="35">
        <v>44698</v>
      </c>
      <c r="F1904" s="34">
        <v>4017.6</v>
      </c>
      <c r="G1904" s="36">
        <f>Tabla16[[#This Row],[Importe]]-Tabla16[[#This Row],[Pagado]]</f>
        <v>0</v>
      </c>
      <c r="H1904" s="38" t="s">
        <v>10</v>
      </c>
    </row>
    <row r="1905" spans="1:8" x14ac:dyDescent="0.25">
      <c r="A1905" s="31">
        <v>44698</v>
      </c>
      <c r="B1905" s="38" t="s">
        <v>16060</v>
      </c>
      <c r="C1905" s="38" t="s">
        <v>289</v>
      </c>
      <c r="D1905" s="34">
        <v>8826.4</v>
      </c>
      <c r="E1905" s="35">
        <v>44698</v>
      </c>
      <c r="F1905" s="34">
        <v>8826.4</v>
      </c>
      <c r="G1905" s="36">
        <f>Tabla16[[#This Row],[Importe]]-Tabla16[[#This Row],[Pagado]]</f>
        <v>0</v>
      </c>
      <c r="H1905" s="38" t="s">
        <v>10</v>
      </c>
    </row>
    <row r="1906" spans="1:8" x14ac:dyDescent="0.25">
      <c r="A1906" s="31">
        <v>44698</v>
      </c>
      <c r="B1906" s="38" t="s">
        <v>16061</v>
      </c>
      <c r="C1906" s="38" t="s">
        <v>53</v>
      </c>
      <c r="D1906" s="34">
        <v>2249.4</v>
      </c>
      <c r="E1906" s="35">
        <v>44698</v>
      </c>
      <c r="F1906" s="34">
        <v>2249.4</v>
      </c>
      <c r="G1906" s="36">
        <f>Tabla16[[#This Row],[Importe]]-Tabla16[[#This Row],[Pagado]]</f>
        <v>0</v>
      </c>
      <c r="H1906" s="38" t="s">
        <v>10</v>
      </c>
    </row>
    <row r="1907" spans="1:8" x14ac:dyDescent="0.25">
      <c r="A1907" s="31">
        <v>44698</v>
      </c>
      <c r="B1907" s="38" t="s">
        <v>16062</v>
      </c>
      <c r="C1907" s="38" t="s">
        <v>843</v>
      </c>
      <c r="D1907" s="34">
        <v>26538</v>
      </c>
      <c r="E1907" s="35">
        <v>44698</v>
      </c>
      <c r="F1907" s="34">
        <v>26538</v>
      </c>
      <c r="G1907" s="36">
        <f>Tabla16[[#This Row],[Importe]]-Tabla16[[#This Row],[Pagado]]</f>
        <v>0</v>
      </c>
      <c r="H1907" s="38" t="s">
        <v>10</v>
      </c>
    </row>
    <row r="1908" spans="1:8" x14ac:dyDescent="0.25">
      <c r="A1908" s="31">
        <v>44698</v>
      </c>
      <c r="B1908" s="38" t="s">
        <v>16063</v>
      </c>
      <c r="C1908" s="38" t="s">
        <v>31</v>
      </c>
      <c r="D1908" s="34">
        <v>199</v>
      </c>
      <c r="E1908" s="35">
        <v>44698</v>
      </c>
      <c r="F1908" s="34">
        <v>199</v>
      </c>
      <c r="G1908" s="36">
        <f>Tabla16[[#This Row],[Importe]]-Tabla16[[#This Row],[Pagado]]</f>
        <v>0</v>
      </c>
      <c r="H1908" s="38" t="s">
        <v>10</v>
      </c>
    </row>
    <row r="1909" spans="1:8" x14ac:dyDescent="0.25">
      <c r="A1909" s="31">
        <v>44698</v>
      </c>
      <c r="B1909" s="38" t="s">
        <v>16064</v>
      </c>
      <c r="C1909" s="38" t="s">
        <v>373</v>
      </c>
      <c r="D1909" s="34">
        <v>1505.7</v>
      </c>
      <c r="E1909" s="35">
        <v>44698</v>
      </c>
      <c r="F1909" s="34">
        <v>1505.7</v>
      </c>
      <c r="G1909" s="36">
        <f>Tabla16[[#This Row],[Importe]]-Tabla16[[#This Row],[Pagado]]</f>
        <v>0</v>
      </c>
      <c r="H1909" s="38" t="s">
        <v>10</v>
      </c>
    </row>
    <row r="1910" spans="1:8" x14ac:dyDescent="0.25">
      <c r="A1910" s="31">
        <v>44699</v>
      </c>
      <c r="B1910" s="38" t="s">
        <v>16065</v>
      </c>
      <c r="C1910" s="38" t="s">
        <v>99</v>
      </c>
      <c r="D1910" s="34">
        <v>2971.6</v>
      </c>
      <c r="E1910" s="35">
        <v>44701</v>
      </c>
      <c r="F1910" s="34">
        <v>2971.6</v>
      </c>
      <c r="G1910" s="36">
        <f>Tabla16[[#This Row],[Importe]]-Tabla16[[#This Row],[Pagado]]</f>
        <v>0</v>
      </c>
      <c r="H1910" s="38" t="s">
        <v>10</v>
      </c>
    </row>
    <row r="1911" spans="1:8" x14ac:dyDescent="0.25">
      <c r="A1911" s="31">
        <v>44699</v>
      </c>
      <c r="B1911" s="38" t="s">
        <v>16066</v>
      </c>
      <c r="C1911" s="38" t="s">
        <v>39</v>
      </c>
      <c r="D1911" s="34">
        <v>18877.7</v>
      </c>
      <c r="E1911" s="35">
        <v>44702</v>
      </c>
      <c r="F1911" s="34">
        <v>18877.7</v>
      </c>
      <c r="G1911" s="36">
        <f>Tabla16[[#This Row],[Importe]]-Tabla16[[#This Row],[Pagado]]</f>
        <v>0</v>
      </c>
      <c r="H1911" s="38" t="s">
        <v>10</v>
      </c>
    </row>
    <row r="1912" spans="1:8" ht="31.5" x14ac:dyDescent="0.25">
      <c r="A1912" s="31">
        <v>44699</v>
      </c>
      <c r="B1912" s="38" t="s">
        <v>16067</v>
      </c>
      <c r="C1912" s="38" t="s">
        <v>93</v>
      </c>
      <c r="D1912" s="34">
        <v>4508.7</v>
      </c>
      <c r="E1912" s="35" t="s">
        <v>15070</v>
      </c>
      <c r="F1912" s="34">
        <f>2508+2000.7</f>
        <v>4508.7</v>
      </c>
      <c r="G1912" s="36">
        <f>Tabla16[[#This Row],[Importe]]-Tabla16[[#This Row],[Pagado]]</f>
        <v>0</v>
      </c>
      <c r="H1912" s="38" t="s">
        <v>10</v>
      </c>
    </row>
    <row r="1913" spans="1:8" x14ac:dyDescent="0.25">
      <c r="A1913" s="31">
        <v>44699</v>
      </c>
      <c r="B1913" s="38" t="s">
        <v>16068</v>
      </c>
      <c r="C1913" s="38" t="s">
        <v>116</v>
      </c>
      <c r="D1913" s="34">
        <v>4059.8</v>
      </c>
      <c r="E1913" s="35">
        <v>44701</v>
      </c>
      <c r="F1913" s="34">
        <v>4059.8</v>
      </c>
      <c r="G1913" s="36">
        <f>Tabla16[[#This Row],[Importe]]-Tabla16[[#This Row],[Pagado]]</f>
        <v>0</v>
      </c>
      <c r="H1913" s="38" t="s">
        <v>10</v>
      </c>
    </row>
    <row r="1914" spans="1:8" x14ac:dyDescent="0.25">
      <c r="A1914" s="31">
        <v>44699</v>
      </c>
      <c r="B1914" s="38" t="s">
        <v>16069</v>
      </c>
      <c r="C1914" s="38" t="s">
        <v>109</v>
      </c>
      <c r="D1914" s="34">
        <v>4590</v>
      </c>
      <c r="E1914" s="35">
        <v>44700</v>
      </c>
      <c r="F1914" s="34">
        <v>4590</v>
      </c>
      <c r="G1914" s="36">
        <f>Tabla16[[#This Row],[Importe]]-Tabla16[[#This Row],[Pagado]]</f>
        <v>0</v>
      </c>
      <c r="H1914" s="38" t="s">
        <v>10</v>
      </c>
    </row>
    <row r="1915" spans="1:8" x14ac:dyDescent="0.25">
      <c r="A1915" s="31">
        <v>44699</v>
      </c>
      <c r="B1915" s="38" t="s">
        <v>16070</v>
      </c>
      <c r="C1915" s="38" t="s">
        <v>97</v>
      </c>
      <c r="D1915" s="34">
        <v>6070.4</v>
      </c>
      <c r="E1915" s="35">
        <v>44700</v>
      </c>
      <c r="F1915" s="34">
        <v>6070.4</v>
      </c>
      <c r="G1915" s="36">
        <f>Tabla16[[#This Row],[Importe]]-Tabla16[[#This Row],[Pagado]]</f>
        <v>0</v>
      </c>
      <c r="H1915" s="38" t="s">
        <v>10</v>
      </c>
    </row>
    <row r="1916" spans="1:8" x14ac:dyDescent="0.25">
      <c r="A1916" s="31">
        <v>44699</v>
      </c>
      <c r="B1916" s="38" t="s">
        <v>16071</v>
      </c>
      <c r="C1916" s="38" t="s">
        <v>105</v>
      </c>
      <c r="D1916" s="34">
        <v>10670.9</v>
      </c>
      <c r="E1916" s="35">
        <v>44700</v>
      </c>
      <c r="F1916" s="34">
        <v>10670.9</v>
      </c>
      <c r="G1916" s="36">
        <f>Tabla16[[#This Row],[Importe]]-Tabla16[[#This Row],[Pagado]]</f>
        <v>0</v>
      </c>
      <c r="H1916" s="38" t="s">
        <v>10</v>
      </c>
    </row>
    <row r="1917" spans="1:8" x14ac:dyDescent="0.25">
      <c r="A1917" s="31">
        <v>44699</v>
      </c>
      <c r="B1917" s="38" t="s">
        <v>16072</v>
      </c>
      <c r="C1917" s="38" t="s">
        <v>89</v>
      </c>
      <c r="D1917" s="34">
        <v>6129</v>
      </c>
      <c r="E1917" s="35">
        <v>44700</v>
      </c>
      <c r="F1917" s="34">
        <v>6129</v>
      </c>
      <c r="G1917" s="36">
        <f>Tabla16[[#This Row],[Importe]]-Tabla16[[#This Row],[Pagado]]</f>
        <v>0</v>
      </c>
      <c r="H1917" s="38" t="s">
        <v>10</v>
      </c>
    </row>
    <row r="1918" spans="1:8" x14ac:dyDescent="0.25">
      <c r="A1918" s="31">
        <v>44699</v>
      </c>
      <c r="B1918" s="38" t="s">
        <v>16073</v>
      </c>
      <c r="C1918" s="38" t="s">
        <v>2151</v>
      </c>
      <c r="D1918" s="34">
        <v>16797.5</v>
      </c>
      <c r="E1918" s="35">
        <v>44699</v>
      </c>
      <c r="F1918" s="34">
        <v>16797.5</v>
      </c>
      <c r="G1918" s="36">
        <f>Tabla16[[#This Row],[Importe]]-Tabla16[[#This Row],[Pagado]]</f>
        <v>0</v>
      </c>
      <c r="H1918" s="38" t="s">
        <v>10</v>
      </c>
    </row>
    <row r="1919" spans="1:8" x14ac:dyDescent="0.25">
      <c r="A1919" s="31">
        <v>44699</v>
      </c>
      <c r="B1919" s="38" t="s">
        <v>16074</v>
      </c>
      <c r="C1919" s="38" t="s">
        <v>114</v>
      </c>
      <c r="D1919" s="34">
        <v>5866.5</v>
      </c>
      <c r="E1919" s="35">
        <v>44700</v>
      </c>
      <c r="F1919" s="34">
        <v>5866.5</v>
      </c>
      <c r="G1919" s="36">
        <f>Tabla16[[#This Row],[Importe]]-Tabla16[[#This Row],[Pagado]]</f>
        <v>0</v>
      </c>
      <c r="H1919" s="38" t="s">
        <v>10</v>
      </c>
    </row>
    <row r="1920" spans="1:8" x14ac:dyDescent="0.25">
      <c r="A1920" s="31">
        <v>44699</v>
      </c>
      <c r="B1920" s="38" t="s">
        <v>16075</v>
      </c>
      <c r="C1920" s="38" t="s">
        <v>97</v>
      </c>
      <c r="D1920" s="34">
        <v>985.5</v>
      </c>
      <c r="E1920" s="35">
        <v>44700</v>
      </c>
      <c r="F1920" s="34">
        <v>985.5</v>
      </c>
      <c r="G1920" s="36">
        <f>Tabla16[[#This Row],[Importe]]-Tabla16[[#This Row],[Pagado]]</f>
        <v>0</v>
      </c>
      <c r="H1920" s="38" t="s">
        <v>10</v>
      </c>
    </row>
    <row r="1921" spans="1:8" x14ac:dyDescent="0.25">
      <c r="A1921" s="31">
        <v>44699</v>
      </c>
      <c r="B1921" s="38" t="s">
        <v>16076</v>
      </c>
      <c r="C1921" s="38" t="s">
        <v>481</v>
      </c>
      <c r="D1921" s="34">
        <v>1139.9000000000001</v>
      </c>
      <c r="E1921" s="35">
        <v>44699</v>
      </c>
      <c r="F1921" s="34">
        <v>1139.9000000000001</v>
      </c>
      <c r="G1921" s="36">
        <f>Tabla16[[#This Row],[Importe]]-Tabla16[[#This Row],[Pagado]]</f>
        <v>0</v>
      </c>
      <c r="H1921" s="38" t="s">
        <v>10</v>
      </c>
    </row>
    <row r="1922" spans="1:8" x14ac:dyDescent="0.25">
      <c r="A1922" s="31">
        <v>44699</v>
      </c>
      <c r="B1922" s="38" t="s">
        <v>16077</v>
      </c>
      <c r="C1922" s="38" t="s">
        <v>475</v>
      </c>
      <c r="D1922" s="34">
        <v>87281.4</v>
      </c>
      <c r="E1922" s="35">
        <v>44700</v>
      </c>
      <c r="F1922" s="34">
        <v>87281.4</v>
      </c>
      <c r="G1922" s="36">
        <f>Tabla16[[#This Row],[Importe]]-Tabla16[[#This Row],[Pagado]]</f>
        <v>0</v>
      </c>
      <c r="H1922" s="38" t="s">
        <v>10</v>
      </c>
    </row>
    <row r="1923" spans="1:8" x14ac:dyDescent="0.25">
      <c r="A1923" s="31">
        <v>44699</v>
      </c>
      <c r="B1923" s="38" t="s">
        <v>16078</v>
      </c>
      <c r="C1923" s="38" t="s">
        <v>12</v>
      </c>
      <c r="D1923" s="34">
        <v>25490.45</v>
      </c>
      <c r="E1923" s="35">
        <v>44699</v>
      </c>
      <c r="F1923" s="34">
        <v>25490.45</v>
      </c>
      <c r="G1923" s="36">
        <f>Tabla16[[#This Row],[Importe]]-Tabla16[[#This Row],[Pagado]]</f>
        <v>0</v>
      </c>
      <c r="H1923" s="38" t="s">
        <v>10</v>
      </c>
    </row>
    <row r="1924" spans="1:8" x14ac:dyDescent="0.25">
      <c r="A1924" s="31">
        <v>44699</v>
      </c>
      <c r="B1924" s="38" t="s">
        <v>16079</v>
      </c>
      <c r="C1924" s="38" t="s">
        <v>85</v>
      </c>
      <c r="D1924" s="34">
        <v>2574</v>
      </c>
      <c r="E1924" s="35">
        <v>44699</v>
      </c>
      <c r="F1924" s="34">
        <v>2574</v>
      </c>
      <c r="G1924" s="36">
        <f>Tabla16[[#This Row],[Importe]]-Tabla16[[#This Row],[Pagado]]</f>
        <v>0</v>
      </c>
      <c r="H1924" s="38" t="s">
        <v>10</v>
      </c>
    </row>
    <row r="1925" spans="1:8" x14ac:dyDescent="0.25">
      <c r="A1925" s="31">
        <v>44699</v>
      </c>
      <c r="B1925" s="38" t="s">
        <v>16080</v>
      </c>
      <c r="C1925" s="38" t="s">
        <v>9</v>
      </c>
      <c r="D1925" s="34">
        <v>8652.4</v>
      </c>
      <c r="E1925" s="35">
        <v>44699</v>
      </c>
      <c r="F1925" s="34">
        <v>8652.4</v>
      </c>
      <c r="G1925" s="36">
        <f>Tabla16[[#This Row],[Importe]]-Tabla16[[#This Row],[Pagado]]</f>
        <v>0</v>
      </c>
      <c r="H1925" s="38" t="s">
        <v>10</v>
      </c>
    </row>
    <row r="1926" spans="1:8" x14ac:dyDescent="0.25">
      <c r="A1926" s="31">
        <v>44699</v>
      </c>
      <c r="B1926" s="38" t="s">
        <v>16081</v>
      </c>
      <c r="C1926" s="38" t="s">
        <v>31</v>
      </c>
      <c r="D1926" s="34">
        <v>1764.8</v>
      </c>
      <c r="E1926" s="35">
        <v>44699</v>
      </c>
      <c r="F1926" s="34">
        <v>1764.8</v>
      </c>
      <c r="G1926" s="36">
        <f>Tabla16[[#This Row],[Importe]]-Tabla16[[#This Row],[Pagado]]</f>
        <v>0</v>
      </c>
      <c r="H1926" s="38" t="s">
        <v>10</v>
      </c>
    </row>
    <row r="1927" spans="1:8" x14ac:dyDescent="0.25">
      <c r="A1927" s="31">
        <v>44699</v>
      </c>
      <c r="B1927" s="38" t="s">
        <v>16082</v>
      </c>
      <c r="C1927" s="38" t="s">
        <v>31</v>
      </c>
      <c r="D1927" s="34">
        <v>4859.8</v>
      </c>
      <c r="E1927" s="35">
        <v>44699</v>
      </c>
      <c r="F1927" s="34">
        <v>4859.8</v>
      </c>
      <c r="G1927" s="36">
        <f>Tabla16[[#This Row],[Importe]]-Tabla16[[#This Row],[Pagado]]</f>
        <v>0</v>
      </c>
      <c r="H1927" s="38" t="s">
        <v>10</v>
      </c>
    </row>
    <row r="1928" spans="1:8" x14ac:dyDescent="0.25">
      <c r="A1928" s="31">
        <v>44699</v>
      </c>
      <c r="B1928" s="38" t="s">
        <v>16083</v>
      </c>
      <c r="C1928" s="38" t="s">
        <v>924</v>
      </c>
      <c r="D1928" s="34">
        <v>11529.2</v>
      </c>
      <c r="E1928" s="35">
        <v>44699</v>
      </c>
      <c r="F1928" s="34">
        <v>11529.2</v>
      </c>
      <c r="G1928" s="36">
        <f>Tabla16[[#This Row],[Importe]]-Tabla16[[#This Row],[Pagado]]</f>
        <v>0</v>
      </c>
      <c r="H1928" s="38" t="s">
        <v>10</v>
      </c>
    </row>
    <row r="1929" spans="1:8" x14ac:dyDescent="0.25">
      <c r="A1929" s="31">
        <v>44699</v>
      </c>
      <c r="B1929" s="38" t="s">
        <v>16084</v>
      </c>
      <c r="C1929" s="38" t="s">
        <v>196</v>
      </c>
      <c r="D1929" s="34">
        <v>66522.98</v>
      </c>
      <c r="E1929" s="35">
        <v>44701</v>
      </c>
      <c r="F1929" s="34">
        <v>66522.98</v>
      </c>
      <c r="G1929" s="36">
        <f>Tabla16[[#This Row],[Importe]]-Tabla16[[#This Row],[Pagado]]</f>
        <v>0</v>
      </c>
      <c r="H1929" s="38" t="s">
        <v>10</v>
      </c>
    </row>
    <row r="1930" spans="1:8" x14ac:dyDescent="0.25">
      <c r="A1930" s="31">
        <v>44699</v>
      </c>
      <c r="B1930" s="38" t="s">
        <v>16085</v>
      </c>
      <c r="C1930" s="38" t="s">
        <v>16</v>
      </c>
      <c r="D1930" s="34">
        <v>4345.8</v>
      </c>
      <c r="E1930" s="35">
        <v>44699</v>
      </c>
      <c r="F1930" s="34">
        <v>4345.8</v>
      </c>
      <c r="G1930" s="36">
        <f>Tabla16[[#This Row],[Importe]]-Tabla16[[#This Row],[Pagado]]</f>
        <v>0</v>
      </c>
      <c r="H1930" s="38" t="s">
        <v>10</v>
      </c>
    </row>
    <row r="1931" spans="1:8" x14ac:dyDescent="0.25">
      <c r="A1931" s="31">
        <v>44699</v>
      </c>
      <c r="B1931" s="38" t="s">
        <v>16086</v>
      </c>
      <c r="C1931" s="38" t="s">
        <v>27</v>
      </c>
      <c r="D1931" s="34">
        <v>2509.6</v>
      </c>
      <c r="E1931" s="35">
        <v>44699</v>
      </c>
      <c r="F1931" s="34">
        <v>2509.6</v>
      </c>
      <c r="G1931" s="36">
        <f>Tabla16[[#This Row],[Importe]]-Tabla16[[#This Row],[Pagado]]</f>
        <v>0</v>
      </c>
      <c r="H1931" s="38" t="s">
        <v>10</v>
      </c>
    </row>
    <row r="1932" spans="1:8" x14ac:dyDescent="0.25">
      <c r="A1932" s="31">
        <v>44699</v>
      </c>
      <c r="B1932" s="38" t="s">
        <v>16087</v>
      </c>
      <c r="C1932" s="38" t="s">
        <v>53</v>
      </c>
      <c r="D1932" s="34">
        <v>2731.7</v>
      </c>
      <c r="E1932" s="35">
        <v>44699</v>
      </c>
      <c r="F1932" s="34">
        <v>2731.7</v>
      </c>
      <c r="G1932" s="36">
        <f>Tabla16[[#This Row],[Importe]]-Tabla16[[#This Row],[Pagado]]</f>
        <v>0</v>
      </c>
      <c r="H1932" s="38" t="s">
        <v>10</v>
      </c>
    </row>
    <row r="1933" spans="1:8" x14ac:dyDescent="0.25">
      <c r="A1933" s="31">
        <v>44699</v>
      </c>
      <c r="B1933" s="38" t="s">
        <v>16088</v>
      </c>
      <c r="C1933" s="38" t="s">
        <v>49</v>
      </c>
      <c r="D1933" s="34">
        <v>3741.2</v>
      </c>
      <c r="E1933" s="35">
        <v>44699</v>
      </c>
      <c r="F1933" s="34">
        <v>3741.2</v>
      </c>
      <c r="G1933" s="36">
        <f>Tabla16[[#This Row],[Importe]]-Tabla16[[#This Row],[Pagado]]</f>
        <v>0</v>
      </c>
      <c r="H1933" s="38" t="s">
        <v>10</v>
      </c>
    </row>
    <row r="1934" spans="1:8" x14ac:dyDescent="0.25">
      <c r="A1934" s="31">
        <v>44699</v>
      </c>
      <c r="B1934" s="38" t="s">
        <v>16089</v>
      </c>
      <c r="C1934" s="38" t="s">
        <v>670</v>
      </c>
      <c r="D1934" s="34">
        <v>3757.2</v>
      </c>
      <c r="E1934" s="35">
        <v>44699</v>
      </c>
      <c r="F1934" s="34">
        <v>3757.2</v>
      </c>
      <c r="G1934" s="36">
        <f>Tabla16[[#This Row],[Importe]]-Tabla16[[#This Row],[Pagado]]</f>
        <v>0</v>
      </c>
      <c r="H1934" s="38" t="s">
        <v>10</v>
      </c>
    </row>
    <row r="1935" spans="1:8" x14ac:dyDescent="0.25">
      <c r="A1935" s="31">
        <v>44699</v>
      </c>
      <c r="B1935" s="38" t="s">
        <v>16090</v>
      </c>
      <c r="C1935" s="38" t="s">
        <v>161</v>
      </c>
      <c r="D1935" s="34">
        <v>3714.9</v>
      </c>
      <c r="E1935" s="35">
        <v>44699</v>
      </c>
      <c r="F1935" s="34">
        <v>3714.9</v>
      </c>
      <c r="G1935" s="36">
        <f>Tabla16[[#This Row],[Importe]]-Tabla16[[#This Row],[Pagado]]</f>
        <v>0</v>
      </c>
      <c r="H1935" s="38" t="s">
        <v>10</v>
      </c>
    </row>
    <row r="1936" spans="1:8" x14ac:dyDescent="0.25">
      <c r="A1936" s="31">
        <v>44699</v>
      </c>
      <c r="B1936" s="38" t="s">
        <v>16091</v>
      </c>
      <c r="C1936" s="38" t="s">
        <v>129</v>
      </c>
      <c r="D1936" s="34">
        <v>3416.2</v>
      </c>
      <c r="E1936" s="35">
        <v>44699</v>
      </c>
      <c r="F1936" s="34">
        <v>3416.2</v>
      </c>
      <c r="G1936" s="36">
        <f>Tabla16[[#This Row],[Importe]]-Tabla16[[#This Row],[Pagado]]</f>
        <v>0</v>
      </c>
      <c r="H1936" s="38" t="s">
        <v>10</v>
      </c>
    </row>
    <row r="1937" spans="1:8" x14ac:dyDescent="0.25">
      <c r="A1937" s="31">
        <v>44699</v>
      </c>
      <c r="B1937" s="38" t="s">
        <v>16092</v>
      </c>
      <c r="C1937" s="38" t="s">
        <v>127</v>
      </c>
      <c r="D1937" s="34">
        <v>3658</v>
      </c>
      <c r="E1937" s="35">
        <v>44699</v>
      </c>
      <c r="F1937" s="34">
        <v>3658</v>
      </c>
      <c r="G1937" s="36">
        <f>Tabla16[[#This Row],[Importe]]-Tabla16[[#This Row],[Pagado]]</f>
        <v>0</v>
      </c>
      <c r="H1937" s="38" t="s">
        <v>10</v>
      </c>
    </row>
    <row r="1938" spans="1:8" x14ac:dyDescent="0.25">
      <c r="A1938" s="31">
        <v>44699</v>
      </c>
      <c r="B1938" s="38" t="s">
        <v>16093</v>
      </c>
      <c r="C1938" s="38" t="s">
        <v>87</v>
      </c>
      <c r="D1938" s="34">
        <v>1839</v>
      </c>
      <c r="E1938" s="35">
        <v>44699</v>
      </c>
      <c r="F1938" s="34">
        <v>1839</v>
      </c>
      <c r="G1938" s="36">
        <f>Tabla16[[#This Row],[Importe]]-Tabla16[[#This Row],[Pagado]]</f>
        <v>0</v>
      </c>
      <c r="H1938" s="38" t="s">
        <v>10</v>
      </c>
    </row>
    <row r="1939" spans="1:8" x14ac:dyDescent="0.25">
      <c r="A1939" s="31">
        <v>44699</v>
      </c>
      <c r="B1939" s="38" t="s">
        <v>16094</v>
      </c>
      <c r="C1939" s="38" t="s">
        <v>129</v>
      </c>
      <c r="D1939" s="34">
        <v>811.2</v>
      </c>
      <c r="E1939" s="35">
        <v>44699</v>
      </c>
      <c r="F1939" s="34">
        <v>811.2</v>
      </c>
      <c r="G1939" s="36">
        <f>Tabla16[[#This Row],[Importe]]-Tabla16[[#This Row],[Pagado]]</f>
        <v>0</v>
      </c>
      <c r="H1939" s="38" t="s">
        <v>10</v>
      </c>
    </row>
    <row r="1940" spans="1:8" x14ac:dyDescent="0.25">
      <c r="A1940" s="31">
        <v>44699</v>
      </c>
      <c r="B1940" s="38" t="s">
        <v>16095</v>
      </c>
      <c r="C1940" s="38" t="s">
        <v>140</v>
      </c>
      <c r="D1940" s="34">
        <v>1640.2</v>
      </c>
      <c r="E1940" s="35">
        <v>44699</v>
      </c>
      <c r="F1940" s="34">
        <v>1640.2</v>
      </c>
      <c r="G1940" s="36">
        <f>Tabla16[[#This Row],[Importe]]-Tabla16[[#This Row],[Pagado]]</f>
        <v>0</v>
      </c>
      <c r="H1940" s="38" t="s">
        <v>10</v>
      </c>
    </row>
    <row r="1941" spans="1:8" x14ac:dyDescent="0.25">
      <c r="A1941" s="31">
        <v>44699</v>
      </c>
      <c r="B1941" s="38" t="s">
        <v>16096</v>
      </c>
      <c r="C1941" s="38" t="s">
        <v>212</v>
      </c>
      <c r="D1941" s="34">
        <v>39438</v>
      </c>
      <c r="E1941" s="35">
        <v>44701</v>
      </c>
      <c r="F1941" s="34">
        <v>39438</v>
      </c>
      <c r="G1941" s="36">
        <f>Tabla16[[#This Row],[Importe]]-Tabla16[[#This Row],[Pagado]]</f>
        <v>0</v>
      </c>
      <c r="H1941" s="38" t="s">
        <v>10</v>
      </c>
    </row>
    <row r="1942" spans="1:8" ht="31.5" x14ac:dyDescent="0.25">
      <c r="A1942" s="31">
        <v>44699</v>
      </c>
      <c r="B1942" s="38" t="s">
        <v>16097</v>
      </c>
      <c r="C1942" s="38" t="s">
        <v>83</v>
      </c>
      <c r="D1942" s="34">
        <v>9624.4</v>
      </c>
      <c r="E1942" s="35" t="s">
        <v>16098</v>
      </c>
      <c r="F1942" s="34">
        <f>9124.4+500</f>
        <v>9624.4</v>
      </c>
      <c r="G1942" s="36">
        <f>Tabla16[[#This Row],[Importe]]-Tabla16[[#This Row],[Pagado]]</f>
        <v>0</v>
      </c>
      <c r="H1942" s="38" t="s">
        <v>10</v>
      </c>
    </row>
    <row r="1943" spans="1:8" x14ac:dyDescent="0.25">
      <c r="A1943" s="31">
        <v>44699</v>
      </c>
      <c r="B1943" s="38" t="s">
        <v>16099</v>
      </c>
      <c r="C1943" s="38" t="s">
        <v>127</v>
      </c>
      <c r="D1943" s="34">
        <v>148.80000000000001</v>
      </c>
      <c r="E1943" s="35">
        <v>44699</v>
      </c>
      <c r="F1943" s="34">
        <v>148.80000000000001</v>
      </c>
      <c r="G1943" s="36">
        <f>Tabla16[[#This Row],[Importe]]-Tabla16[[#This Row],[Pagado]]</f>
        <v>0</v>
      </c>
      <c r="H1943" s="38" t="s">
        <v>10</v>
      </c>
    </row>
    <row r="1944" spans="1:8" x14ac:dyDescent="0.25">
      <c r="A1944" s="31">
        <v>44699</v>
      </c>
      <c r="B1944" s="38" t="s">
        <v>16100</v>
      </c>
      <c r="C1944" s="38" t="s">
        <v>146</v>
      </c>
      <c r="D1944" s="34">
        <v>3213.2</v>
      </c>
      <c r="E1944" s="35">
        <v>44699</v>
      </c>
      <c r="F1944" s="34">
        <v>3213.2</v>
      </c>
      <c r="G1944" s="36">
        <f>Tabla16[[#This Row],[Importe]]-Tabla16[[#This Row],[Pagado]]</f>
        <v>0</v>
      </c>
      <c r="H1944" s="38" t="s">
        <v>10</v>
      </c>
    </row>
    <row r="1945" spans="1:8" x14ac:dyDescent="0.25">
      <c r="A1945" s="31">
        <v>44699</v>
      </c>
      <c r="B1945" s="38" t="s">
        <v>16101</v>
      </c>
      <c r="C1945" s="38" t="s">
        <v>218</v>
      </c>
      <c r="D1945" s="34">
        <v>15534.9</v>
      </c>
      <c r="E1945" s="35">
        <v>44701</v>
      </c>
      <c r="F1945" s="34">
        <v>15534.9</v>
      </c>
      <c r="G1945" s="36">
        <f>Tabla16[[#This Row],[Importe]]-Tabla16[[#This Row],[Pagado]]</f>
        <v>0</v>
      </c>
      <c r="H1945" s="38" t="s">
        <v>10</v>
      </c>
    </row>
    <row r="1946" spans="1:8" x14ac:dyDescent="0.25">
      <c r="A1946" s="31">
        <v>44699</v>
      </c>
      <c r="B1946" s="38" t="s">
        <v>16102</v>
      </c>
      <c r="C1946" s="38" t="s">
        <v>206</v>
      </c>
      <c r="D1946" s="34">
        <v>29772.2</v>
      </c>
      <c r="E1946" s="35">
        <v>44701</v>
      </c>
      <c r="F1946" s="34">
        <v>29772.2</v>
      </c>
      <c r="G1946" s="36">
        <f>Tabla16[[#This Row],[Importe]]-Tabla16[[#This Row],[Pagado]]</f>
        <v>0</v>
      </c>
      <c r="H1946" s="38" t="s">
        <v>10</v>
      </c>
    </row>
    <row r="1947" spans="1:8" x14ac:dyDescent="0.25">
      <c r="A1947" s="31">
        <v>44699</v>
      </c>
      <c r="B1947" s="38" t="s">
        <v>16103</v>
      </c>
      <c r="C1947" s="38" t="s">
        <v>154</v>
      </c>
      <c r="D1947" s="34">
        <v>26778.7</v>
      </c>
      <c r="E1947" s="35">
        <v>44701</v>
      </c>
      <c r="F1947" s="34">
        <v>26778.7</v>
      </c>
      <c r="G1947" s="36">
        <f>Tabla16[[#This Row],[Importe]]-Tabla16[[#This Row],[Pagado]]</f>
        <v>0</v>
      </c>
      <c r="H1947" s="38" t="s">
        <v>10</v>
      </c>
    </row>
    <row r="1948" spans="1:8" x14ac:dyDescent="0.25">
      <c r="A1948" s="31">
        <v>44699</v>
      </c>
      <c r="B1948" s="38" t="s">
        <v>16104</v>
      </c>
      <c r="C1948" s="38" t="s">
        <v>357</v>
      </c>
      <c r="D1948" s="34">
        <v>839.46</v>
      </c>
      <c r="E1948" s="35">
        <v>44699</v>
      </c>
      <c r="F1948" s="34">
        <v>839.46</v>
      </c>
      <c r="G1948" s="36">
        <f>Tabla16[[#This Row],[Importe]]-Tabla16[[#This Row],[Pagado]]</f>
        <v>0</v>
      </c>
      <c r="H1948" s="38" t="s">
        <v>10</v>
      </c>
    </row>
    <row r="1949" spans="1:8" x14ac:dyDescent="0.25">
      <c r="A1949" s="31">
        <v>44699</v>
      </c>
      <c r="B1949" s="38" t="s">
        <v>16105</v>
      </c>
      <c r="C1949" s="38" t="s">
        <v>64</v>
      </c>
      <c r="D1949" s="34">
        <v>8251.7000000000007</v>
      </c>
      <c r="E1949" s="35">
        <v>44701</v>
      </c>
      <c r="F1949" s="34">
        <v>8251.7000000000007</v>
      </c>
      <c r="G1949" s="36">
        <f>Tabla16[[#This Row],[Importe]]-Tabla16[[#This Row],[Pagado]]</f>
        <v>0</v>
      </c>
      <c r="H1949" s="38" t="s">
        <v>10</v>
      </c>
    </row>
    <row r="1950" spans="1:8" x14ac:dyDescent="0.25">
      <c r="A1950" s="31">
        <v>44699</v>
      </c>
      <c r="B1950" s="38" t="s">
        <v>16106</v>
      </c>
      <c r="C1950" s="38" t="s">
        <v>12716</v>
      </c>
      <c r="D1950" s="34">
        <v>0</v>
      </c>
      <c r="E1950" s="39" t="s">
        <v>189</v>
      </c>
      <c r="F1950" s="34">
        <v>0</v>
      </c>
      <c r="G1950" s="36">
        <f>Tabla16[[#This Row],[Importe]]-Tabla16[[#This Row],[Pagado]]</f>
        <v>0</v>
      </c>
      <c r="H1950" s="40" t="s">
        <v>16058</v>
      </c>
    </row>
    <row r="1951" spans="1:8" x14ac:dyDescent="0.25">
      <c r="A1951" s="31">
        <v>44699</v>
      </c>
      <c r="B1951" s="38" t="s">
        <v>16107</v>
      </c>
      <c r="C1951" s="38" t="s">
        <v>56</v>
      </c>
      <c r="D1951" s="34">
        <v>3307.5</v>
      </c>
      <c r="E1951" s="35">
        <v>44699</v>
      </c>
      <c r="F1951" s="34">
        <v>3307.5</v>
      </c>
      <c r="G1951" s="36">
        <f>Tabla16[[#This Row],[Importe]]-Tabla16[[#This Row],[Pagado]]</f>
        <v>0</v>
      </c>
      <c r="H1951" s="38" t="s">
        <v>10</v>
      </c>
    </row>
    <row r="1952" spans="1:8" x14ac:dyDescent="0.25">
      <c r="A1952" s="31">
        <v>44699</v>
      </c>
      <c r="B1952" s="38" t="s">
        <v>16108</v>
      </c>
      <c r="C1952" s="38" t="s">
        <v>12202</v>
      </c>
      <c r="D1952" s="34">
        <v>3600</v>
      </c>
      <c r="E1952" s="35">
        <v>44699</v>
      </c>
      <c r="F1952" s="34">
        <v>3600</v>
      </c>
      <c r="G1952" s="36">
        <f>Tabla16[[#This Row],[Importe]]-Tabla16[[#This Row],[Pagado]]</f>
        <v>0</v>
      </c>
      <c r="H1952" s="38" t="s">
        <v>10</v>
      </c>
    </row>
    <row r="1953" spans="1:8" x14ac:dyDescent="0.25">
      <c r="A1953" s="31">
        <v>44699</v>
      </c>
      <c r="B1953" s="38" t="s">
        <v>16109</v>
      </c>
      <c r="C1953" s="38" t="s">
        <v>12202</v>
      </c>
      <c r="D1953" s="34">
        <v>19440</v>
      </c>
      <c r="E1953" s="35">
        <v>44699</v>
      </c>
      <c r="F1953" s="34">
        <v>19440</v>
      </c>
      <c r="G1953" s="36">
        <f>Tabla16[[#This Row],[Importe]]-Tabla16[[#This Row],[Pagado]]</f>
        <v>0</v>
      </c>
      <c r="H1953" s="38" t="s">
        <v>10</v>
      </c>
    </row>
    <row r="1954" spans="1:8" x14ac:dyDescent="0.25">
      <c r="A1954" s="31">
        <v>44699</v>
      </c>
      <c r="B1954" s="38" t="s">
        <v>16110</v>
      </c>
      <c r="C1954" s="38" t="s">
        <v>208</v>
      </c>
      <c r="D1954" s="34">
        <v>7262.8</v>
      </c>
      <c r="E1954" s="35">
        <v>44705</v>
      </c>
      <c r="F1954" s="34">
        <v>7262.8</v>
      </c>
      <c r="G1954" s="36">
        <f>Tabla16[[#This Row],[Importe]]-Tabla16[[#This Row],[Pagado]]</f>
        <v>0</v>
      </c>
      <c r="H1954" s="38" t="s">
        <v>10</v>
      </c>
    </row>
    <row r="1955" spans="1:8" x14ac:dyDescent="0.25">
      <c r="A1955" s="31">
        <v>44699</v>
      </c>
      <c r="B1955" s="38" t="s">
        <v>16111</v>
      </c>
      <c r="C1955" s="38" t="s">
        <v>9512</v>
      </c>
      <c r="D1955" s="34">
        <v>0</v>
      </c>
      <c r="E1955" s="39" t="s">
        <v>189</v>
      </c>
      <c r="F1955" s="34">
        <v>0</v>
      </c>
      <c r="G1955" s="36">
        <f>Tabla16[[#This Row],[Importe]]-Tabla16[[#This Row],[Pagado]]</f>
        <v>0</v>
      </c>
      <c r="H1955" s="38" t="s">
        <v>189</v>
      </c>
    </row>
    <row r="1956" spans="1:8" x14ac:dyDescent="0.25">
      <c r="A1956" s="31">
        <v>44699</v>
      </c>
      <c r="B1956" s="38" t="s">
        <v>16112</v>
      </c>
      <c r="C1956" s="38" t="s">
        <v>541</v>
      </c>
      <c r="D1956" s="34">
        <v>11072.2</v>
      </c>
      <c r="E1956" s="35">
        <v>44702</v>
      </c>
      <c r="F1956" s="34">
        <v>11072.2</v>
      </c>
      <c r="G1956" s="36">
        <f>Tabla16[[#This Row],[Importe]]-Tabla16[[#This Row],[Pagado]]</f>
        <v>0</v>
      </c>
      <c r="H1956" s="38" t="s">
        <v>10</v>
      </c>
    </row>
    <row r="1957" spans="1:8" x14ac:dyDescent="0.25">
      <c r="A1957" s="31">
        <v>44699</v>
      </c>
      <c r="B1957" s="38" t="s">
        <v>16113</v>
      </c>
      <c r="C1957" s="38" t="s">
        <v>133</v>
      </c>
      <c r="D1957" s="34">
        <v>14755.2</v>
      </c>
      <c r="E1957" s="35">
        <v>44700</v>
      </c>
      <c r="F1957" s="34">
        <v>14755.2</v>
      </c>
      <c r="G1957" s="36">
        <f>Tabla16[[#This Row],[Importe]]-Tabla16[[#This Row],[Pagado]]</f>
        <v>0</v>
      </c>
      <c r="H1957" s="38" t="s">
        <v>10</v>
      </c>
    </row>
    <row r="1958" spans="1:8" x14ac:dyDescent="0.25">
      <c r="A1958" s="31">
        <v>44699</v>
      </c>
      <c r="B1958" s="38" t="s">
        <v>16114</v>
      </c>
      <c r="C1958" s="38" t="s">
        <v>382</v>
      </c>
      <c r="D1958" s="34">
        <v>7371.8</v>
      </c>
      <c r="E1958" s="35">
        <v>44699</v>
      </c>
      <c r="F1958" s="34">
        <v>7371.8</v>
      </c>
      <c r="G1958" s="36">
        <f>Tabla16[[#This Row],[Importe]]-Tabla16[[#This Row],[Pagado]]</f>
        <v>0</v>
      </c>
      <c r="H1958" s="38" t="s">
        <v>10</v>
      </c>
    </row>
    <row r="1959" spans="1:8" x14ac:dyDescent="0.25">
      <c r="A1959" s="31">
        <v>44699</v>
      </c>
      <c r="B1959" s="38" t="s">
        <v>16115</v>
      </c>
      <c r="C1959" s="38" t="s">
        <v>216</v>
      </c>
      <c r="D1959" s="34">
        <v>951.2</v>
      </c>
      <c r="E1959" s="35">
        <v>44699</v>
      </c>
      <c r="F1959" s="34">
        <v>951.2</v>
      </c>
      <c r="G1959" s="36">
        <f>Tabla16[[#This Row],[Importe]]-Tabla16[[#This Row],[Pagado]]</f>
        <v>0</v>
      </c>
      <c r="H1959" s="38" t="s">
        <v>10</v>
      </c>
    </row>
    <row r="1960" spans="1:8" x14ac:dyDescent="0.25">
      <c r="A1960" s="31">
        <v>44699</v>
      </c>
      <c r="B1960" s="38" t="s">
        <v>16116</v>
      </c>
      <c r="C1960" s="38" t="s">
        <v>173</v>
      </c>
      <c r="D1960" s="34">
        <v>14778.4</v>
      </c>
      <c r="E1960" s="35">
        <v>44700</v>
      </c>
      <c r="F1960" s="34">
        <v>14778.4</v>
      </c>
      <c r="G1960" s="36">
        <f>Tabla16[[#This Row],[Importe]]-Tabla16[[#This Row],[Pagado]]</f>
        <v>0</v>
      </c>
      <c r="H1960" s="38" t="s">
        <v>10</v>
      </c>
    </row>
    <row r="1961" spans="1:8" x14ac:dyDescent="0.25">
      <c r="A1961" s="31">
        <v>44699</v>
      </c>
      <c r="B1961" s="38" t="s">
        <v>16117</v>
      </c>
      <c r="C1961" s="38" t="s">
        <v>191</v>
      </c>
      <c r="D1961" s="34">
        <v>1516.8</v>
      </c>
      <c r="E1961" s="35">
        <v>44699</v>
      </c>
      <c r="F1961" s="34">
        <v>1516.8</v>
      </c>
      <c r="G1961" s="36">
        <f>Tabla16[[#This Row],[Importe]]-Tabla16[[#This Row],[Pagado]]</f>
        <v>0</v>
      </c>
      <c r="H1961" s="38" t="s">
        <v>10</v>
      </c>
    </row>
    <row r="1962" spans="1:8" x14ac:dyDescent="0.25">
      <c r="A1962" s="31">
        <v>44699</v>
      </c>
      <c r="B1962" s="38" t="s">
        <v>16118</v>
      </c>
      <c r="C1962" s="38" t="s">
        <v>14</v>
      </c>
      <c r="D1962" s="34">
        <v>23870.5</v>
      </c>
      <c r="E1962" s="35">
        <v>44699</v>
      </c>
      <c r="F1962" s="34">
        <v>23870.5</v>
      </c>
      <c r="G1962" s="36">
        <f>Tabla16[[#This Row],[Importe]]-Tabla16[[#This Row],[Pagado]]</f>
        <v>0</v>
      </c>
      <c r="H1962" s="38" t="s">
        <v>10</v>
      </c>
    </row>
    <row r="1963" spans="1:8" x14ac:dyDescent="0.25">
      <c r="A1963" s="31">
        <v>44699</v>
      </c>
      <c r="B1963" s="38" t="s">
        <v>16119</v>
      </c>
      <c r="C1963" s="38" t="s">
        <v>24</v>
      </c>
      <c r="D1963" s="34">
        <v>1044.8</v>
      </c>
      <c r="E1963" s="35">
        <v>44699</v>
      </c>
      <c r="F1963" s="34">
        <v>1044.8</v>
      </c>
      <c r="G1963" s="36">
        <f>Tabla16[[#This Row],[Importe]]-Tabla16[[#This Row],[Pagado]]</f>
        <v>0</v>
      </c>
      <c r="H1963" s="38" t="s">
        <v>10</v>
      </c>
    </row>
    <row r="1964" spans="1:8" x14ac:dyDescent="0.25">
      <c r="A1964" s="31">
        <v>44699</v>
      </c>
      <c r="B1964" s="38" t="s">
        <v>16120</v>
      </c>
      <c r="C1964" s="38" t="s">
        <v>528</v>
      </c>
      <c r="D1964" s="34">
        <v>34916</v>
      </c>
      <c r="E1964" s="35">
        <v>44700</v>
      </c>
      <c r="F1964" s="34">
        <v>34916</v>
      </c>
      <c r="G1964" s="36">
        <f>Tabla16[[#This Row],[Importe]]-Tabla16[[#This Row],[Pagado]]</f>
        <v>0</v>
      </c>
      <c r="H1964" s="38" t="s">
        <v>10</v>
      </c>
    </row>
    <row r="1965" spans="1:8" x14ac:dyDescent="0.25">
      <c r="A1965" s="31">
        <v>44699</v>
      </c>
      <c r="B1965" s="38" t="s">
        <v>16121</v>
      </c>
      <c r="C1965" s="38" t="s">
        <v>154</v>
      </c>
      <c r="D1965" s="34">
        <v>4772.8</v>
      </c>
      <c r="E1965" s="35">
        <v>44701</v>
      </c>
      <c r="F1965" s="34">
        <v>4772.8</v>
      </c>
      <c r="G1965" s="36">
        <f>Tabla16[[#This Row],[Importe]]-Tabla16[[#This Row],[Pagado]]</f>
        <v>0</v>
      </c>
      <c r="H1965" s="38" t="s">
        <v>10</v>
      </c>
    </row>
    <row r="1966" spans="1:8" x14ac:dyDescent="0.25">
      <c r="A1966" s="31">
        <v>44699</v>
      </c>
      <c r="B1966" s="38" t="s">
        <v>16122</v>
      </c>
      <c r="C1966" s="38" t="s">
        <v>208</v>
      </c>
      <c r="D1966" s="34">
        <v>1755.6</v>
      </c>
      <c r="E1966" s="35">
        <v>44705</v>
      </c>
      <c r="F1966" s="34">
        <v>1755.6</v>
      </c>
      <c r="G1966" s="36">
        <f>Tabla16[[#This Row],[Importe]]-Tabla16[[#This Row],[Pagado]]</f>
        <v>0</v>
      </c>
      <c r="H1966" s="38" t="s">
        <v>10</v>
      </c>
    </row>
    <row r="1967" spans="1:8" x14ac:dyDescent="0.25">
      <c r="A1967" s="31">
        <v>44699</v>
      </c>
      <c r="B1967" s="38" t="s">
        <v>16123</v>
      </c>
      <c r="C1967" s="38" t="s">
        <v>555</v>
      </c>
      <c r="D1967" s="34">
        <v>39934.400000000001</v>
      </c>
      <c r="E1967" s="35">
        <v>44699</v>
      </c>
      <c r="F1967" s="34">
        <v>39934.400000000001</v>
      </c>
      <c r="G1967" s="36">
        <f>Tabla16[[#This Row],[Importe]]-Tabla16[[#This Row],[Pagado]]</f>
        <v>0</v>
      </c>
      <c r="H1967" s="38" t="s">
        <v>10</v>
      </c>
    </row>
    <row r="1968" spans="1:8" x14ac:dyDescent="0.25">
      <c r="A1968" s="31">
        <v>44699</v>
      </c>
      <c r="B1968" s="38" t="s">
        <v>16124</v>
      </c>
      <c r="C1968" s="38" t="s">
        <v>45</v>
      </c>
      <c r="D1968" s="34">
        <v>10379.700000000001</v>
      </c>
      <c r="E1968" s="35">
        <v>44699</v>
      </c>
      <c r="F1968" s="34">
        <v>10379.700000000001</v>
      </c>
      <c r="G1968" s="36">
        <f>Tabla16[[#This Row],[Importe]]-Tabla16[[#This Row],[Pagado]]</f>
        <v>0</v>
      </c>
      <c r="H1968" s="38" t="s">
        <v>10</v>
      </c>
    </row>
    <row r="1969" spans="1:8" x14ac:dyDescent="0.25">
      <c r="A1969" s="31">
        <v>44699</v>
      </c>
      <c r="B1969" s="38" t="s">
        <v>16125</v>
      </c>
      <c r="C1969" s="38" t="s">
        <v>45</v>
      </c>
      <c r="D1969" s="34">
        <v>2564.1</v>
      </c>
      <c r="E1969" s="35">
        <v>44699</v>
      </c>
      <c r="F1969" s="34">
        <v>2564.1</v>
      </c>
      <c r="G1969" s="36">
        <f>Tabla16[[#This Row],[Importe]]-Tabla16[[#This Row],[Pagado]]</f>
        <v>0</v>
      </c>
      <c r="H1969" s="38" t="s">
        <v>10</v>
      </c>
    </row>
    <row r="1970" spans="1:8" x14ac:dyDescent="0.25">
      <c r="A1970" s="31">
        <v>44699</v>
      </c>
      <c r="B1970" s="38" t="s">
        <v>16126</v>
      </c>
      <c r="C1970" s="38" t="s">
        <v>62</v>
      </c>
      <c r="D1970" s="34">
        <v>5242.3</v>
      </c>
      <c r="E1970" s="35">
        <v>44699</v>
      </c>
      <c r="F1970" s="34">
        <v>5242.3</v>
      </c>
      <c r="G1970" s="36">
        <f>Tabla16[[#This Row],[Importe]]-Tabla16[[#This Row],[Pagado]]</f>
        <v>0</v>
      </c>
      <c r="H1970" s="38" t="s">
        <v>10</v>
      </c>
    </row>
    <row r="1971" spans="1:8" x14ac:dyDescent="0.25">
      <c r="A1971" s="31">
        <v>44699</v>
      </c>
      <c r="B1971" s="38" t="s">
        <v>16127</v>
      </c>
      <c r="C1971" s="38" t="s">
        <v>51</v>
      </c>
      <c r="D1971" s="34">
        <v>460.2</v>
      </c>
      <c r="E1971" s="35">
        <v>44699</v>
      </c>
      <c r="F1971" s="34">
        <v>460.2</v>
      </c>
      <c r="G1971" s="36">
        <f>Tabla16[[#This Row],[Importe]]-Tabla16[[#This Row],[Pagado]]</f>
        <v>0</v>
      </c>
      <c r="H1971" s="38" t="s">
        <v>10</v>
      </c>
    </row>
    <row r="1972" spans="1:8" x14ac:dyDescent="0.25">
      <c r="A1972" s="31">
        <v>44699</v>
      </c>
      <c r="B1972" s="38" t="s">
        <v>16128</v>
      </c>
      <c r="C1972" s="38" t="s">
        <v>16129</v>
      </c>
      <c r="D1972" s="34">
        <v>0</v>
      </c>
      <c r="E1972" s="39" t="s">
        <v>189</v>
      </c>
      <c r="F1972" s="34">
        <v>0</v>
      </c>
      <c r="G1972" s="36">
        <f>Tabla16[[#This Row],[Importe]]-Tabla16[[#This Row],[Pagado]]</f>
        <v>0</v>
      </c>
      <c r="H1972" s="40" t="s">
        <v>16130</v>
      </c>
    </row>
    <row r="1973" spans="1:8" x14ac:dyDescent="0.25">
      <c r="A1973" s="31">
        <v>44699</v>
      </c>
      <c r="B1973" s="38" t="s">
        <v>16131</v>
      </c>
      <c r="C1973" s="38" t="s">
        <v>587</v>
      </c>
      <c r="D1973" s="34">
        <v>4409.08</v>
      </c>
      <c r="E1973" s="35">
        <v>44699</v>
      </c>
      <c r="F1973" s="34">
        <v>4409.08</v>
      </c>
      <c r="G1973" s="36">
        <f>Tabla16[[#This Row],[Importe]]-Tabla16[[#This Row],[Pagado]]</f>
        <v>0</v>
      </c>
      <c r="H1973" s="38" t="s">
        <v>10</v>
      </c>
    </row>
    <row r="1974" spans="1:8" x14ac:dyDescent="0.25">
      <c r="A1974" s="31">
        <v>44699</v>
      </c>
      <c r="B1974" s="38" t="s">
        <v>16132</v>
      </c>
      <c r="C1974" s="38" t="s">
        <v>69</v>
      </c>
      <c r="D1974" s="34">
        <v>1560.2</v>
      </c>
      <c r="E1974" s="35">
        <v>44699</v>
      </c>
      <c r="F1974" s="34">
        <v>1560.2</v>
      </c>
      <c r="G1974" s="36">
        <f>Tabla16[[#This Row],[Importe]]-Tabla16[[#This Row],[Pagado]]</f>
        <v>0</v>
      </c>
      <c r="H1974" s="38" t="s">
        <v>10</v>
      </c>
    </row>
    <row r="1975" spans="1:8" ht="31.5" x14ac:dyDescent="0.25">
      <c r="A1975" s="31">
        <v>44699</v>
      </c>
      <c r="B1975" s="38" t="s">
        <v>16133</v>
      </c>
      <c r="C1975" s="38" t="s">
        <v>275</v>
      </c>
      <c r="D1975" s="34">
        <v>127613.5</v>
      </c>
      <c r="E1975" s="35" t="s">
        <v>17779</v>
      </c>
      <c r="F1975" s="34">
        <f>42103.27+85510.23</f>
        <v>127613.5</v>
      </c>
      <c r="G1975" s="36">
        <f>Tabla16[[#This Row],[Importe]]-Tabla16[[#This Row],[Pagado]]</f>
        <v>0</v>
      </c>
      <c r="H1975" s="38" t="s">
        <v>10</v>
      </c>
    </row>
    <row r="1976" spans="1:8" x14ac:dyDescent="0.25">
      <c r="A1976" s="31">
        <v>44699</v>
      </c>
      <c r="B1976" s="38" t="s">
        <v>16134</v>
      </c>
      <c r="C1976" s="38" t="s">
        <v>31</v>
      </c>
      <c r="D1976" s="34">
        <v>3959</v>
      </c>
      <c r="E1976" s="35">
        <v>44699</v>
      </c>
      <c r="F1976" s="34">
        <v>3959</v>
      </c>
      <c r="G1976" s="36">
        <f>Tabla16[[#This Row],[Importe]]-Tabla16[[#This Row],[Pagado]]</f>
        <v>0</v>
      </c>
      <c r="H1976" s="38" t="s">
        <v>10</v>
      </c>
    </row>
    <row r="1977" spans="1:8" x14ac:dyDescent="0.25">
      <c r="A1977" s="31">
        <v>44699</v>
      </c>
      <c r="B1977" s="38" t="s">
        <v>16135</v>
      </c>
      <c r="C1977" s="38" t="s">
        <v>31</v>
      </c>
      <c r="D1977" s="34">
        <v>3790.8</v>
      </c>
      <c r="E1977" s="35">
        <v>44699</v>
      </c>
      <c r="F1977" s="34">
        <v>3790.8</v>
      </c>
      <c r="G1977" s="36">
        <f>Tabla16[[#This Row],[Importe]]-Tabla16[[#This Row],[Pagado]]</f>
        <v>0</v>
      </c>
      <c r="H1977" s="38" t="s">
        <v>10</v>
      </c>
    </row>
    <row r="1978" spans="1:8" x14ac:dyDescent="0.25">
      <c r="A1978" s="31">
        <v>44699</v>
      </c>
      <c r="B1978" s="38" t="s">
        <v>16136</v>
      </c>
      <c r="C1978" s="38" t="s">
        <v>33</v>
      </c>
      <c r="D1978" s="34">
        <v>10153</v>
      </c>
      <c r="E1978" s="35">
        <v>44699</v>
      </c>
      <c r="F1978" s="34">
        <v>10153</v>
      </c>
      <c r="G1978" s="36">
        <f>Tabla16[[#This Row],[Importe]]-Tabla16[[#This Row],[Pagado]]</f>
        <v>0</v>
      </c>
      <c r="H1978" s="38" t="s">
        <v>10</v>
      </c>
    </row>
    <row r="1979" spans="1:8" x14ac:dyDescent="0.25">
      <c r="A1979" s="31">
        <v>44699</v>
      </c>
      <c r="B1979" s="38" t="s">
        <v>16137</v>
      </c>
      <c r="C1979" s="38" t="s">
        <v>296</v>
      </c>
      <c r="D1979" s="34">
        <v>3304</v>
      </c>
      <c r="E1979" s="35">
        <v>44699</v>
      </c>
      <c r="F1979" s="34">
        <v>3304</v>
      </c>
      <c r="G1979" s="36">
        <f>Tabla16[[#This Row],[Importe]]-Tabla16[[#This Row],[Pagado]]</f>
        <v>0</v>
      </c>
      <c r="H1979" s="38" t="s">
        <v>10</v>
      </c>
    </row>
    <row r="1980" spans="1:8" x14ac:dyDescent="0.25">
      <c r="A1980" s="31">
        <v>44699</v>
      </c>
      <c r="B1980" s="38" t="s">
        <v>16138</v>
      </c>
      <c r="C1980" s="38" t="s">
        <v>319</v>
      </c>
      <c r="D1980" s="34">
        <v>939.6</v>
      </c>
      <c r="E1980" s="35">
        <v>44699</v>
      </c>
      <c r="F1980" s="34">
        <v>939.6</v>
      </c>
      <c r="G1980" s="36">
        <f>Tabla16[[#This Row],[Importe]]-Tabla16[[#This Row],[Pagado]]</f>
        <v>0</v>
      </c>
      <c r="H1980" s="38" t="s">
        <v>10</v>
      </c>
    </row>
    <row r="1981" spans="1:8" x14ac:dyDescent="0.25">
      <c r="A1981" s="31">
        <v>44699</v>
      </c>
      <c r="B1981" s="38" t="s">
        <v>16139</v>
      </c>
      <c r="C1981" s="38" t="s">
        <v>142</v>
      </c>
      <c r="D1981" s="34">
        <v>73144.72</v>
      </c>
      <c r="E1981" s="35">
        <v>44707</v>
      </c>
      <c r="F1981" s="34">
        <v>73144.72</v>
      </c>
      <c r="G1981" s="36">
        <f>Tabla16[[#This Row],[Importe]]-Tabla16[[#This Row],[Pagado]]</f>
        <v>0</v>
      </c>
      <c r="H1981" s="38" t="s">
        <v>10</v>
      </c>
    </row>
    <row r="1982" spans="1:8" x14ac:dyDescent="0.25">
      <c r="A1982" s="31">
        <v>44699</v>
      </c>
      <c r="B1982" s="38" t="s">
        <v>16140</v>
      </c>
      <c r="C1982" s="38" t="s">
        <v>58</v>
      </c>
      <c r="D1982" s="34">
        <v>2299.5</v>
      </c>
      <c r="E1982" s="35">
        <v>44699</v>
      </c>
      <c r="F1982" s="34">
        <v>2299.5</v>
      </c>
      <c r="G1982" s="36">
        <f>Tabla16[[#This Row],[Importe]]-Tabla16[[#This Row],[Pagado]]</f>
        <v>0</v>
      </c>
      <c r="H1982" s="38" t="s">
        <v>10</v>
      </c>
    </row>
    <row r="1983" spans="1:8" x14ac:dyDescent="0.25">
      <c r="A1983" s="31">
        <v>44699</v>
      </c>
      <c r="B1983" s="38" t="s">
        <v>16141</v>
      </c>
      <c r="C1983" s="38" t="s">
        <v>58</v>
      </c>
      <c r="D1983" s="34">
        <v>3647.7</v>
      </c>
      <c r="E1983" s="35">
        <v>44699</v>
      </c>
      <c r="F1983" s="34">
        <v>3647.7</v>
      </c>
      <c r="G1983" s="36">
        <f>Tabla16[[#This Row],[Importe]]-Tabla16[[#This Row],[Pagado]]</f>
        <v>0</v>
      </c>
      <c r="H1983" s="38" t="s">
        <v>10</v>
      </c>
    </row>
    <row r="1984" spans="1:8" x14ac:dyDescent="0.25">
      <c r="A1984" s="31">
        <v>44699</v>
      </c>
      <c r="B1984" s="38" t="s">
        <v>16142</v>
      </c>
      <c r="C1984" s="38" t="s">
        <v>4136</v>
      </c>
      <c r="D1984" s="34">
        <v>1722.8</v>
      </c>
      <c r="E1984" s="35">
        <v>44699</v>
      </c>
      <c r="F1984" s="34">
        <v>1722.8</v>
      </c>
      <c r="G1984" s="36">
        <f>Tabla16[[#This Row],[Importe]]-Tabla16[[#This Row],[Pagado]]</f>
        <v>0</v>
      </c>
      <c r="H1984" s="38" t="s">
        <v>10</v>
      </c>
    </row>
    <row r="1985" spans="1:8" x14ac:dyDescent="0.25">
      <c r="A1985" s="31">
        <v>44699</v>
      </c>
      <c r="B1985" s="38" t="s">
        <v>16143</v>
      </c>
      <c r="C1985" s="38" t="s">
        <v>31</v>
      </c>
      <c r="D1985" s="34">
        <v>132</v>
      </c>
      <c r="E1985" s="35">
        <v>44699</v>
      </c>
      <c r="F1985" s="34">
        <v>132</v>
      </c>
      <c r="G1985" s="36">
        <f>Tabla16[[#This Row],[Importe]]-Tabla16[[#This Row],[Pagado]]</f>
        <v>0</v>
      </c>
      <c r="H1985" s="38" t="s">
        <v>10</v>
      </c>
    </row>
    <row r="1986" spans="1:8" x14ac:dyDescent="0.25">
      <c r="A1986" s="31">
        <v>44699</v>
      </c>
      <c r="B1986" s="38" t="s">
        <v>16144</v>
      </c>
      <c r="C1986" s="38" t="s">
        <v>263</v>
      </c>
      <c r="D1986" s="34">
        <v>20904</v>
      </c>
      <c r="E1986" s="35">
        <v>44705</v>
      </c>
      <c r="F1986" s="34">
        <v>20904</v>
      </c>
      <c r="G1986" s="36">
        <f>Tabla16[[#This Row],[Importe]]-Tabla16[[#This Row],[Pagado]]</f>
        <v>0</v>
      </c>
      <c r="H1986" s="38" t="s">
        <v>10</v>
      </c>
    </row>
    <row r="1987" spans="1:8" x14ac:dyDescent="0.25">
      <c r="A1987" s="31">
        <v>44699</v>
      </c>
      <c r="B1987" s="38" t="s">
        <v>16145</v>
      </c>
      <c r="C1987" s="38" t="s">
        <v>9827</v>
      </c>
      <c r="D1987" s="34">
        <v>545.20000000000005</v>
      </c>
      <c r="E1987" s="35">
        <v>44699</v>
      </c>
      <c r="F1987" s="34">
        <v>545.20000000000005</v>
      </c>
      <c r="G1987" s="36">
        <f>Tabla16[[#This Row],[Importe]]-Tabla16[[#This Row],[Pagado]]</f>
        <v>0</v>
      </c>
      <c r="H1987" s="38" t="s">
        <v>10</v>
      </c>
    </row>
    <row r="1988" spans="1:8" x14ac:dyDescent="0.25">
      <c r="A1988" s="31">
        <v>44699</v>
      </c>
      <c r="B1988" s="38" t="s">
        <v>16146</v>
      </c>
      <c r="C1988" s="38" t="s">
        <v>214</v>
      </c>
      <c r="D1988" s="34">
        <v>6743.7</v>
      </c>
      <c r="E1988" s="35">
        <v>44699</v>
      </c>
      <c r="F1988" s="34">
        <v>6743.7</v>
      </c>
      <c r="G1988" s="36">
        <f>Tabla16[[#This Row],[Importe]]-Tabla16[[#This Row],[Pagado]]</f>
        <v>0</v>
      </c>
      <c r="H1988" s="38" t="s">
        <v>10</v>
      </c>
    </row>
    <row r="1989" spans="1:8" x14ac:dyDescent="0.25">
      <c r="A1989" s="31">
        <v>44699</v>
      </c>
      <c r="B1989" s="38" t="s">
        <v>16147</v>
      </c>
      <c r="C1989" s="38" t="s">
        <v>181</v>
      </c>
      <c r="D1989" s="34">
        <v>10270.6</v>
      </c>
      <c r="E1989" s="35">
        <v>44699</v>
      </c>
      <c r="F1989" s="34">
        <v>10270.6</v>
      </c>
      <c r="G1989" s="36">
        <f>Tabla16[[#This Row],[Importe]]-Tabla16[[#This Row],[Pagado]]</f>
        <v>0</v>
      </c>
      <c r="H1989" s="38" t="s">
        <v>10</v>
      </c>
    </row>
    <row r="1990" spans="1:8" x14ac:dyDescent="0.25">
      <c r="A1990" s="31">
        <v>44699</v>
      </c>
      <c r="B1990" s="38" t="s">
        <v>16148</v>
      </c>
      <c r="C1990" s="38" t="s">
        <v>198</v>
      </c>
      <c r="D1990" s="34">
        <v>4600.1000000000004</v>
      </c>
      <c r="E1990" s="35">
        <v>44699</v>
      </c>
      <c r="F1990" s="34">
        <v>4600.1000000000004</v>
      </c>
      <c r="G1990" s="36">
        <f>Tabla16[[#This Row],[Importe]]-Tabla16[[#This Row],[Pagado]]</f>
        <v>0</v>
      </c>
      <c r="H1990" s="38" t="s">
        <v>10</v>
      </c>
    </row>
    <row r="1991" spans="1:8" x14ac:dyDescent="0.25">
      <c r="A1991" s="31">
        <v>44699</v>
      </c>
      <c r="B1991" s="38" t="s">
        <v>16149</v>
      </c>
      <c r="C1991" s="38" t="s">
        <v>1362</v>
      </c>
      <c r="D1991" s="34">
        <v>4277.5</v>
      </c>
      <c r="E1991" s="35">
        <v>44699</v>
      </c>
      <c r="F1991" s="34">
        <v>4277.5</v>
      </c>
      <c r="G1991" s="36">
        <f>Tabla16[[#This Row],[Importe]]-Tabla16[[#This Row],[Pagado]]</f>
        <v>0</v>
      </c>
      <c r="H1991" s="38" t="s">
        <v>10</v>
      </c>
    </row>
    <row r="1992" spans="1:8" x14ac:dyDescent="0.25">
      <c r="A1992" s="31">
        <v>44699</v>
      </c>
      <c r="B1992" s="38" t="s">
        <v>16150</v>
      </c>
      <c r="C1992" s="38" t="s">
        <v>426</v>
      </c>
      <c r="D1992" s="34">
        <v>6993.1</v>
      </c>
      <c r="E1992" s="35">
        <v>44699</v>
      </c>
      <c r="F1992" s="34">
        <v>6993.1</v>
      </c>
      <c r="G1992" s="36">
        <f>Tabla16[[#This Row],[Importe]]-Tabla16[[#This Row],[Pagado]]</f>
        <v>0</v>
      </c>
      <c r="H1992" s="38" t="s">
        <v>10</v>
      </c>
    </row>
    <row r="1993" spans="1:8" x14ac:dyDescent="0.25">
      <c r="A1993" s="31">
        <v>44699</v>
      </c>
      <c r="B1993" s="38" t="s">
        <v>16151</v>
      </c>
      <c r="C1993" s="38" t="s">
        <v>175</v>
      </c>
      <c r="D1993" s="34">
        <v>25030.9</v>
      </c>
      <c r="E1993" s="35">
        <v>44699</v>
      </c>
      <c r="F1993" s="34">
        <v>25030.9</v>
      </c>
      <c r="G1993" s="36">
        <f>Tabla16[[#This Row],[Importe]]-Tabla16[[#This Row],[Pagado]]</f>
        <v>0</v>
      </c>
      <c r="H1993" s="38" t="s">
        <v>10</v>
      </c>
    </row>
    <row r="1994" spans="1:8" x14ac:dyDescent="0.25">
      <c r="A1994" s="31">
        <v>44699</v>
      </c>
      <c r="B1994" s="38" t="s">
        <v>16152</v>
      </c>
      <c r="C1994" s="38" t="s">
        <v>75</v>
      </c>
      <c r="D1994" s="34">
        <v>3201.6</v>
      </c>
      <c r="E1994" s="35">
        <v>44699</v>
      </c>
      <c r="F1994" s="34">
        <v>3201.6</v>
      </c>
      <c r="G1994" s="36">
        <f>Tabla16[[#This Row],[Importe]]-Tabla16[[#This Row],[Pagado]]</f>
        <v>0</v>
      </c>
      <c r="H1994" s="38" t="s">
        <v>10</v>
      </c>
    </row>
    <row r="1995" spans="1:8" x14ac:dyDescent="0.25">
      <c r="A1995" s="31">
        <v>44699</v>
      </c>
      <c r="B1995" s="38" t="s">
        <v>16153</v>
      </c>
      <c r="C1995" s="38" t="s">
        <v>312</v>
      </c>
      <c r="D1995" s="34">
        <v>3844</v>
      </c>
      <c r="E1995" s="35">
        <v>44699</v>
      </c>
      <c r="F1995" s="34">
        <v>3844</v>
      </c>
      <c r="G1995" s="36">
        <f>Tabla16[[#This Row],[Importe]]-Tabla16[[#This Row],[Pagado]]</f>
        <v>0</v>
      </c>
      <c r="H1995" s="38" t="s">
        <v>10</v>
      </c>
    </row>
    <row r="1996" spans="1:8" x14ac:dyDescent="0.25">
      <c r="A1996" s="31">
        <v>44699</v>
      </c>
      <c r="B1996" s="38" t="s">
        <v>16154</v>
      </c>
      <c r="C1996" s="38" t="s">
        <v>12986</v>
      </c>
      <c r="D1996" s="34">
        <v>1696</v>
      </c>
      <c r="E1996" s="35">
        <v>44699</v>
      </c>
      <c r="F1996" s="34">
        <v>1696</v>
      </c>
      <c r="G1996" s="36">
        <f>Tabla16[[#This Row],[Importe]]-Tabla16[[#This Row],[Pagado]]</f>
        <v>0</v>
      </c>
      <c r="H1996" s="38" t="s">
        <v>10</v>
      </c>
    </row>
    <row r="1997" spans="1:8" x14ac:dyDescent="0.25">
      <c r="A1997" s="31">
        <v>44699</v>
      </c>
      <c r="B1997" s="38" t="s">
        <v>16155</v>
      </c>
      <c r="C1997" s="38" t="s">
        <v>200</v>
      </c>
      <c r="D1997" s="34">
        <v>899</v>
      </c>
      <c r="E1997" s="35">
        <v>44699</v>
      </c>
      <c r="F1997" s="34">
        <v>899</v>
      </c>
      <c r="G1997" s="36">
        <f>Tabla16[[#This Row],[Importe]]-Tabla16[[#This Row],[Pagado]]</f>
        <v>0</v>
      </c>
      <c r="H1997" s="38" t="s">
        <v>10</v>
      </c>
    </row>
    <row r="1998" spans="1:8" x14ac:dyDescent="0.25">
      <c r="A1998" s="31">
        <v>44699</v>
      </c>
      <c r="B1998" s="38" t="s">
        <v>16156</v>
      </c>
      <c r="C1998" s="38" t="s">
        <v>107</v>
      </c>
      <c r="D1998" s="34">
        <v>9542.7999999999993</v>
      </c>
      <c r="E1998" s="35">
        <v>44699</v>
      </c>
      <c r="F1998" s="34">
        <v>9542.7999999999993</v>
      </c>
      <c r="G1998" s="36">
        <f>Tabla16[[#This Row],[Importe]]-Tabla16[[#This Row],[Pagado]]</f>
        <v>0</v>
      </c>
      <c r="H1998" s="38" t="s">
        <v>10</v>
      </c>
    </row>
    <row r="1999" spans="1:8" x14ac:dyDescent="0.25">
      <c r="A1999" s="31">
        <v>44699</v>
      </c>
      <c r="B1999" s="38" t="s">
        <v>16157</v>
      </c>
      <c r="C1999" s="38" t="s">
        <v>414</v>
      </c>
      <c r="D1999" s="34">
        <v>28408</v>
      </c>
      <c r="E1999" s="35">
        <v>44704</v>
      </c>
      <c r="F1999" s="34">
        <v>28408</v>
      </c>
      <c r="G1999" s="36">
        <f>Tabla16[[#This Row],[Importe]]-Tabla16[[#This Row],[Pagado]]</f>
        <v>0</v>
      </c>
      <c r="H1999" s="38" t="s">
        <v>10</v>
      </c>
    </row>
    <row r="2000" spans="1:8" x14ac:dyDescent="0.25">
      <c r="A2000" s="31">
        <v>44699</v>
      </c>
      <c r="B2000" s="38" t="s">
        <v>16158</v>
      </c>
      <c r="C2000" s="38" t="s">
        <v>664</v>
      </c>
      <c r="D2000" s="34">
        <v>4406.3999999999996</v>
      </c>
      <c r="E2000" s="35">
        <v>44699</v>
      </c>
      <c r="F2000" s="34">
        <v>4406.3999999999996</v>
      </c>
      <c r="G2000" s="36">
        <f>Tabla16[[#This Row],[Importe]]-Tabla16[[#This Row],[Pagado]]</f>
        <v>0</v>
      </c>
      <c r="H2000" s="38" t="s">
        <v>10</v>
      </c>
    </row>
    <row r="2001" spans="1:8" x14ac:dyDescent="0.25">
      <c r="A2001" s="31">
        <v>44699</v>
      </c>
      <c r="B2001" s="38" t="s">
        <v>16159</v>
      </c>
      <c r="C2001" s="38" t="s">
        <v>15306</v>
      </c>
      <c r="D2001" s="34">
        <v>10012.4</v>
      </c>
      <c r="E2001" s="35">
        <v>44699</v>
      </c>
      <c r="F2001" s="34">
        <v>10012.4</v>
      </c>
      <c r="G2001" s="36">
        <f>Tabla16[[#This Row],[Importe]]-Tabla16[[#This Row],[Pagado]]</f>
        <v>0</v>
      </c>
      <c r="H2001" s="38" t="s">
        <v>10</v>
      </c>
    </row>
    <row r="2002" spans="1:8" x14ac:dyDescent="0.25">
      <c r="A2002" s="31">
        <v>44699</v>
      </c>
      <c r="B2002" s="38" t="s">
        <v>16160</v>
      </c>
      <c r="C2002" s="38" t="s">
        <v>698</v>
      </c>
      <c r="D2002" s="34">
        <v>6911.1</v>
      </c>
      <c r="E2002" s="35">
        <v>44699</v>
      </c>
      <c r="F2002" s="34">
        <v>6911.1</v>
      </c>
      <c r="G2002" s="36">
        <f>Tabla16[[#This Row],[Importe]]-Tabla16[[#This Row],[Pagado]]</f>
        <v>0</v>
      </c>
      <c r="H2002" s="38" t="s">
        <v>10</v>
      </c>
    </row>
    <row r="2003" spans="1:8" x14ac:dyDescent="0.25">
      <c r="A2003" s="31">
        <v>44699</v>
      </c>
      <c r="B2003" s="38" t="s">
        <v>16161</v>
      </c>
      <c r="C2003" s="38" t="s">
        <v>583</v>
      </c>
      <c r="D2003" s="34">
        <v>1476</v>
      </c>
      <c r="E2003" s="35">
        <v>44699</v>
      </c>
      <c r="F2003" s="34">
        <v>1476</v>
      </c>
      <c r="G2003" s="36">
        <f>Tabla16[[#This Row],[Importe]]-Tabla16[[#This Row],[Pagado]]</f>
        <v>0</v>
      </c>
      <c r="H2003" s="38" t="s">
        <v>10</v>
      </c>
    </row>
    <row r="2004" spans="1:8" x14ac:dyDescent="0.25">
      <c r="A2004" s="31">
        <v>44699</v>
      </c>
      <c r="B2004" s="38" t="s">
        <v>16162</v>
      </c>
      <c r="C2004" s="38" t="s">
        <v>31</v>
      </c>
      <c r="D2004" s="34">
        <v>1339</v>
      </c>
      <c r="E2004" s="35">
        <v>44699</v>
      </c>
      <c r="F2004" s="34">
        <v>1339</v>
      </c>
      <c r="G2004" s="36">
        <f>Tabla16[[#This Row],[Importe]]-Tabla16[[#This Row],[Pagado]]</f>
        <v>0</v>
      </c>
      <c r="H2004" s="38" t="s">
        <v>10</v>
      </c>
    </row>
    <row r="2005" spans="1:8" x14ac:dyDescent="0.25">
      <c r="A2005" s="31">
        <v>44699</v>
      </c>
      <c r="B2005" s="38" t="s">
        <v>16163</v>
      </c>
      <c r="C2005" s="38" t="s">
        <v>13223</v>
      </c>
      <c r="D2005" s="34">
        <v>10054.799999999999</v>
      </c>
      <c r="E2005" s="35">
        <v>44706</v>
      </c>
      <c r="F2005" s="34">
        <v>10054.799999999999</v>
      </c>
      <c r="G2005" s="36">
        <f>Tabla16[[#This Row],[Importe]]-Tabla16[[#This Row],[Pagado]]</f>
        <v>0</v>
      </c>
      <c r="H2005" s="38" t="s">
        <v>10</v>
      </c>
    </row>
    <row r="2006" spans="1:8" x14ac:dyDescent="0.25">
      <c r="A2006" s="31">
        <v>44699</v>
      </c>
      <c r="B2006" s="38" t="s">
        <v>16164</v>
      </c>
      <c r="C2006" s="38" t="s">
        <v>16165</v>
      </c>
      <c r="D2006" s="34">
        <v>0</v>
      </c>
      <c r="E2006" s="39" t="s">
        <v>189</v>
      </c>
      <c r="F2006" s="34">
        <v>0</v>
      </c>
      <c r="G2006" s="36">
        <f>Tabla16[[#This Row],[Importe]]-Tabla16[[#This Row],[Pagado]]</f>
        <v>0</v>
      </c>
      <c r="H2006" s="40" t="s">
        <v>16166</v>
      </c>
    </row>
    <row r="2007" spans="1:8" x14ac:dyDescent="0.25">
      <c r="A2007" s="31">
        <v>44699</v>
      </c>
      <c r="B2007" s="38" t="s">
        <v>16167</v>
      </c>
      <c r="C2007" s="38" t="s">
        <v>10190</v>
      </c>
      <c r="D2007" s="34">
        <v>15372</v>
      </c>
      <c r="E2007" s="35">
        <v>44699</v>
      </c>
      <c r="F2007" s="34">
        <v>15372</v>
      </c>
      <c r="G2007" s="36">
        <f>Tabla16[[#This Row],[Importe]]-Tabla16[[#This Row],[Pagado]]</f>
        <v>0</v>
      </c>
      <c r="H2007" s="38" t="s">
        <v>10</v>
      </c>
    </row>
    <row r="2008" spans="1:8" x14ac:dyDescent="0.25">
      <c r="A2008" s="31">
        <v>44699</v>
      </c>
      <c r="B2008" s="38" t="s">
        <v>16168</v>
      </c>
      <c r="C2008" s="38" t="s">
        <v>6811</v>
      </c>
      <c r="D2008" s="34">
        <v>0</v>
      </c>
      <c r="E2008" s="39" t="s">
        <v>189</v>
      </c>
      <c r="F2008" s="34">
        <v>0</v>
      </c>
      <c r="G2008" s="36">
        <f>Tabla16[[#This Row],[Importe]]-Tabla16[[#This Row],[Pagado]]</f>
        <v>0</v>
      </c>
      <c r="H2008" s="40" t="s">
        <v>16169</v>
      </c>
    </row>
    <row r="2009" spans="1:8" x14ac:dyDescent="0.25">
      <c r="A2009" s="31">
        <v>44699</v>
      </c>
      <c r="B2009" s="38" t="s">
        <v>16170</v>
      </c>
      <c r="C2009" s="38" t="s">
        <v>33</v>
      </c>
      <c r="D2009" s="34">
        <v>545.20000000000005</v>
      </c>
      <c r="E2009" s="35">
        <v>44699</v>
      </c>
      <c r="F2009" s="34">
        <v>545.20000000000005</v>
      </c>
      <c r="G2009" s="36">
        <f>Tabla16[[#This Row],[Importe]]-Tabla16[[#This Row],[Pagado]]</f>
        <v>0</v>
      </c>
      <c r="H2009" s="38" t="s">
        <v>10</v>
      </c>
    </row>
    <row r="2010" spans="1:8" x14ac:dyDescent="0.25">
      <c r="A2010" s="31">
        <v>44699</v>
      </c>
      <c r="B2010" s="38" t="s">
        <v>16171</v>
      </c>
      <c r="C2010" s="38" t="s">
        <v>135</v>
      </c>
      <c r="D2010" s="34">
        <v>1167.2</v>
      </c>
      <c r="E2010" s="35">
        <v>44699</v>
      </c>
      <c r="F2010" s="34">
        <v>1167.2</v>
      </c>
      <c r="G2010" s="36">
        <f>Tabla16[[#This Row],[Importe]]-Tabla16[[#This Row],[Pagado]]</f>
        <v>0</v>
      </c>
      <c r="H2010" s="38" t="s">
        <v>10</v>
      </c>
    </row>
    <row r="2011" spans="1:8" x14ac:dyDescent="0.25">
      <c r="A2011" s="31">
        <v>44699</v>
      </c>
      <c r="B2011" s="38" t="s">
        <v>16172</v>
      </c>
      <c r="C2011" s="38" t="s">
        <v>179</v>
      </c>
      <c r="D2011" s="34">
        <v>1273.5999999999999</v>
      </c>
      <c r="E2011" s="35">
        <v>44699</v>
      </c>
      <c r="F2011" s="34">
        <v>1273.5999999999999</v>
      </c>
      <c r="G2011" s="36">
        <f>Tabla16[[#This Row],[Importe]]-Tabla16[[#This Row],[Pagado]]</f>
        <v>0</v>
      </c>
      <c r="H2011" s="38" t="s">
        <v>10</v>
      </c>
    </row>
    <row r="2012" spans="1:8" x14ac:dyDescent="0.25">
      <c r="A2012" s="31">
        <v>44699</v>
      </c>
      <c r="B2012" s="38" t="s">
        <v>16173</v>
      </c>
      <c r="C2012" s="38" t="s">
        <v>5694</v>
      </c>
      <c r="D2012" s="34">
        <v>4100.6000000000004</v>
      </c>
      <c r="E2012" s="35">
        <v>44699</v>
      </c>
      <c r="F2012" s="34">
        <v>4100.6000000000004</v>
      </c>
      <c r="G2012" s="36">
        <f>Tabla16[[#This Row],[Importe]]-Tabla16[[#This Row],[Pagado]]</f>
        <v>0</v>
      </c>
      <c r="H2012" s="38" t="s">
        <v>10</v>
      </c>
    </row>
    <row r="2013" spans="1:8" ht="31.5" x14ac:dyDescent="0.25">
      <c r="A2013" s="31">
        <v>44699</v>
      </c>
      <c r="B2013" s="38" t="s">
        <v>16174</v>
      </c>
      <c r="C2013" s="38" t="s">
        <v>22</v>
      </c>
      <c r="D2013" s="34">
        <v>43427</v>
      </c>
      <c r="E2013" s="35" t="s">
        <v>16175</v>
      </c>
      <c r="F2013" s="34">
        <f>29000+14427</f>
        <v>43427</v>
      </c>
      <c r="G2013" s="36">
        <f>Tabla16[[#This Row],[Importe]]-Tabla16[[#This Row],[Pagado]]</f>
        <v>0</v>
      </c>
      <c r="H2013" s="38" t="s">
        <v>10</v>
      </c>
    </row>
    <row r="2014" spans="1:8" x14ac:dyDescent="0.25">
      <c r="A2014" s="31">
        <v>44699</v>
      </c>
      <c r="B2014" s="38" t="s">
        <v>16176</v>
      </c>
      <c r="C2014" s="38" t="s">
        <v>1339</v>
      </c>
      <c r="D2014" s="34">
        <v>2155.6</v>
      </c>
      <c r="E2014" s="35">
        <v>44699</v>
      </c>
      <c r="F2014" s="34">
        <v>2155.6</v>
      </c>
      <c r="G2014" s="36">
        <f>Tabla16[[#This Row],[Importe]]-Tabla16[[#This Row],[Pagado]]</f>
        <v>0</v>
      </c>
      <c r="H2014" s="38" t="s">
        <v>10</v>
      </c>
    </row>
    <row r="2015" spans="1:8" x14ac:dyDescent="0.25">
      <c r="A2015" s="31">
        <v>44699</v>
      </c>
      <c r="B2015" s="38" t="s">
        <v>16177</v>
      </c>
      <c r="C2015" s="38" t="s">
        <v>435</v>
      </c>
      <c r="D2015" s="34">
        <v>1484</v>
      </c>
      <c r="E2015" s="35">
        <v>44699</v>
      </c>
      <c r="F2015" s="34">
        <v>1484</v>
      </c>
      <c r="G2015" s="36">
        <f>Tabla16[[#This Row],[Importe]]-Tabla16[[#This Row],[Pagado]]</f>
        <v>0</v>
      </c>
      <c r="H2015" s="38" t="s">
        <v>10</v>
      </c>
    </row>
    <row r="2016" spans="1:8" x14ac:dyDescent="0.25">
      <c r="A2016" s="31">
        <v>44699</v>
      </c>
      <c r="B2016" s="38" t="s">
        <v>16178</v>
      </c>
      <c r="C2016" s="38" t="s">
        <v>31</v>
      </c>
      <c r="D2016" s="34">
        <v>60</v>
      </c>
      <c r="E2016" s="35">
        <v>44699</v>
      </c>
      <c r="F2016" s="34">
        <v>60</v>
      </c>
      <c r="G2016" s="36">
        <f>Tabla16[[#This Row],[Importe]]-Tabla16[[#This Row],[Pagado]]</f>
        <v>0</v>
      </c>
      <c r="H2016" s="38" t="s">
        <v>10</v>
      </c>
    </row>
    <row r="2017" spans="1:8" x14ac:dyDescent="0.25">
      <c r="A2017" s="31">
        <v>44699</v>
      </c>
      <c r="B2017" s="38" t="s">
        <v>16179</v>
      </c>
      <c r="C2017" s="38" t="s">
        <v>291</v>
      </c>
      <c r="D2017" s="34">
        <v>3886</v>
      </c>
      <c r="E2017" s="35">
        <v>44700</v>
      </c>
      <c r="F2017" s="34">
        <v>3886</v>
      </c>
      <c r="G2017" s="36">
        <f>Tabla16[[#This Row],[Importe]]-Tabla16[[#This Row],[Pagado]]</f>
        <v>0</v>
      </c>
      <c r="H2017" s="38" t="s">
        <v>10</v>
      </c>
    </row>
    <row r="2018" spans="1:8" x14ac:dyDescent="0.25">
      <c r="A2018" s="31">
        <v>44699</v>
      </c>
      <c r="B2018" s="38" t="s">
        <v>16180</v>
      </c>
      <c r="C2018" s="38" t="s">
        <v>9577</v>
      </c>
      <c r="D2018" s="34">
        <v>29703.200000000001</v>
      </c>
      <c r="E2018" s="35">
        <v>44700</v>
      </c>
      <c r="F2018" s="34">
        <v>29703.200000000001</v>
      </c>
      <c r="G2018" s="36">
        <f>Tabla16[[#This Row],[Importe]]-Tabla16[[#This Row],[Pagado]]</f>
        <v>0</v>
      </c>
      <c r="H2018" s="38" t="s">
        <v>10</v>
      </c>
    </row>
    <row r="2019" spans="1:8" x14ac:dyDescent="0.25">
      <c r="A2019" s="31">
        <v>44699</v>
      </c>
      <c r="B2019" s="38" t="s">
        <v>16181</v>
      </c>
      <c r="C2019" s="38" t="s">
        <v>450</v>
      </c>
      <c r="D2019" s="34">
        <v>2488.1999999999998</v>
      </c>
      <c r="E2019" s="35">
        <v>44699</v>
      </c>
      <c r="F2019" s="34">
        <v>2488.1999999999998</v>
      </c>
      <c r="G2019" s="36">
        <f>Tabla16[[#This Row],[Importe]]-Tabla16[[#This Row],[Pagado]]</f>
        <v>0</v>
      </c>
      <c r="H2019" s="38" t="s">
        <v>10</v>
      </c>
    </row>
    <row r="2020" spans="1:8" x14ac:dyDescent="0.25">
      <c r="A2020" s="31">
        <v>44699</v>
      </c>
      <c r="B2020" s="38" t="s">
        <v>16182</v>
      </c>
      <c r="C2020" s="38" t="s">
        <v>284</v>
      </c>
      <c r="D2020" s="34">
        <v>6037.8</v>
      </c>
      <c r="E2020" s="35">
        <v>44700</v>
      </c>
      <c r="F2020" s="34">
        <v>6037.8</v>
      </c>
      <c r="G2020" s="36">
        <f>Tabla16[[#This Row],[Importe]]-Tabla16[[#This Row],[Pagado]]</f>
        <v>0</v>
      </c>
      <c r="H2020" s="38" t="s">
        <v>10</v>
      </c>
    </row>
    <row r="2021" spans="1:8" x14ac:dyDescent="0.25">
      <c r="A2021" s="31">
        <v>44699</v>
      </c>
      <c r="B2021" s="38" t="s">
        <v>16183</v>
      </c>
      <c r="C2021" s="38" t="s">
        <v>10819</v>
      </c>
      <c r="D2021" s="34">
        <v>1009.2</v>
      </c>
      <c r="E2021" s="35">
        <v>44700</v>
      </c>
      <c r="F2021" s="34">
        <v>1009.2</v>
      </c>
      <c r="G2021" s="36">
        <f>Tabla16[[#This Row],[Importe]]-Tabla16[[#This Row],[Pagado]]</f>
        <v>0</v>
      </c>
      <c r="H2021" s="38" t="s">
        <v>10</v>
      </c>
    </row>
    <row r="2022" spans="1:8" x14ac:dyDescent="0.25">
      <c r="A2022" s="31">
        <v>44699</v>
      </c>
      <c r="B2022" s="38" t="s">
        <v>16184</v>
      </c>
      <c r="C2022" s="38" t="s">
        <v>280</v>
      </c>
      <c r="D2022" s="34">
        <v>551</v>
      </c>
      <c r="E2022" s="35">
        <v>44700</v>
      </c>
      <c r="F2022" s="34">
        <v>551</v>
      </c>
      <c r="G2022" s="36">
        <f>Tabla16[[#This Row],[Importe]]-Tabla16[[#This Row],[Pagado]]</f>
        <v>0</v>
      </c>
      <c r="H2022" s="38" t="s">
        <v>10</v>
      </c>
    </row>
    <row r="2023" spans="1:8" x14ac:dyDescent="0.25">
      <c r="A2023" s="31">
        <v>44699</v>
      </c>
      <c r="B2023" s="38" t="s">
        <v>16185</v>
      </c>
      <c r="C2023" s="38" t="s">
        <v>282</v>
      </c>
      <c r="D2023" s="34">
        <v>1664.6</v>
      </c>
      <c r="E2023" s="35">
        <v>44700</v>
      </c>
      <c r="F2023" s="34">
        <v>1664.6</v>
      </c>
      <c r="G2023" s="36">
        <f>Tabla16[[#This Row],[Importe]]-Tabla16[[#This Row],[Pagado]]</f>
        <v>0</v>
      </c>
      <c r="H2023" s="38" t="s">
        <v>10</v>
      </c>
    </row>
    <row r="2024" spans="1:8" x14ac:dyDescent="0.25">
      <c r="A2024" s="31">
        <v>44699</v>
      </c>
      <c r="B2024" s="38" t="s">
        <v>16186</v>
      </c>
      <c r="C2024" s="38" t="s">
        <v>610</v>
      </c>
      <c r="D2024" s="34">
        <v>20327.599999999999</v>
      </c>
      <c r="E2024" s="35">
        <v>44699</v>
      </c>
      <c r="F2024" s="34">
        <v>20327.599999999999</v>
      </c>
      <c r="G2024" s="36">
        <f>Tabla16[[#This Row],[Importe]]-Tabla16[[#This Row],[Pagado]]</f>
        <v>0</v>
      </c>
      <c r="H2024" s="38" t="s">
        <v>10</v>
      </c>
    </row>
    <row r="2025" spans="1:8" x14ac:dyDescent="0.25">
      <c r="A2025" s="31">
        <v>44699</v>
      </c>
      <c r="B2025" s="38" t="s">
        <v>16187</v>
      </c>
      <c r="C2025" s="38" t="s">
        <v>31</v>
      </c>
      <c r="D2025" s="34">
        <v>340</v>
      </c>
      <c r="E2025" s="35">
        <v>44699</v>
      </c>
      <c r="F2025" s="34">
        <v>340</v>
      </c>
      <c r="G2025" s="36">
        <f>Tabla16[[#This Row],[Importe]]-Tabla16[[#This Row],[Pagado]]</f>
        <v>0</v>
      </c>
      <c r="H2025" s="38" t="s">
        <v>10</v>
      </c>
    </row>
    <row r="2026" spans="1:8" x14ac:dyDescent="0.25">
      <c r="A2026" s="31">
        <v>44699</v>
      </c>
      <c r="B2026" s="38" t="s">
        <v>16188</v>
      </c>
      <c r="C2026" s="38" t="s">
        <v>31</v>
      </c>
      <c r="D2026" s="34">
        <v>363.8</v>
      </c>
      <c r="E2026" s="35">
        <v>44699</v>
      </c>
      <c r="F2026" s="34">
        <v>363.8</v>
      </c>
      <c r="G2026" s="36">
        <f>Tabla16[[#This Row],[Importe]]-Tabla16[[#This Row],[Pagado]]</f>
        <v>0</v>
      </c>
      <c r="H2026" s="38" t="s">
        <v>10</v>
      </c>
    </row>
    <row r="2027" spans="1:8" x14ac:dyDescent="0.25">
      <c r="A2027" s="31">
        <v>44699</v>
      </c>
      <c r="B2027" s="38" t="s">
        <v>16189</v>
      </c>
      <c r="C2027" s="38" t="s">
        <v>5620</v>
      </c>
      <c r="D2027" s="34">
        <v>62991.6</v>
      </c>
      <c r="E2027" s="35">
        <v>44704</v>
      </c>
      <c r="F2027" s="34">
        <v>62991.6</v>
      </c>
      <c r="G2027" s="36">
        <f>Tabla16[[#This Row],[Importe]]-Tabla16[[#This Row],[Pagado]]</f>
        <v>0</v>
      </c>
      <c r="H2027" s="38" t="s">
        <v>10</v>
      </c>
    </row>
    <row r="2028" spans="1:8" x14ac:dyDescent="0.25">
      <c r="A2028" s="31">
        <v>44699</v>
      </c>
      <c r="B2028" s="38" t="s">
        <v>16190</v>
      </c>
      <c r="C2028" s="38" t="s">
        <v>31</v>
      </c>
      <c r="D2028" s="34">
        <v>20</v>
      </c>
      <c r="E2028" s="35">
        <v>44700</v>
      </c>
      <c r="F2028" s="34">
        <v>20</v>
      </c>
      <c r="G2028" s="36">
        <f>Tabla16[[#This Row],[Importe]]-Tabla16[[#This Row],[Pagado]]</f>
        <v>0</v>
      </c>
      <c r="H2028" s="38" t="s">
        <v>10</v>
      </c>
    </row>
    <row r="2029" spans="1:8" x14ac:dyDescent="0.25">
      <c r="A2029" s="31">
        <v>44700</v>
      </c>
      <c r="B2029" s="38" t="s">
        <v>16191</v>
      </c>
      <c r="C2029" s="38" t="s">
        <v>12</v>
      </c>
      <c r="D2029" s="34">
        <v>22521.1</v>
      </c>
      <c r="E2029" s="35">
        <v>44700</v>
      </c>
      <c r="F2029" s="34">
        <v>22521.1</v>
      </c>
      <c r="G2029" s="36">
        <f>Tabla16[[#This Row],[Importe]]-Tabla16[[#This Row],[Pagado]]</f>
        <v>0</v>
      </c>
      <c r="H2029" s="38" t="s">
        <v>10</v>
      </c>
    </row>
    <row r="2030" spans="1:8" x14ac:dyDescent="0.25">
      <c r="A2030" s="31">
        <v>44700</v>
      </c>
      <c r="B2030" s="38" t="s">
        <v>16192</v>
      </c>
      <c r="C2030" s="38" t="s">
        <v>475</v>
      </c>
      <c r="D2030" s="34">
        <v>85763.7</v>
      </c>
      <c r="E2030" s="35">
        <v>44701</v>
      </c>
      <c r="F2030" s="34">
        <v>85763.7</v>
      </c>
      <c r="G2030" s="36">
        <f>Tabla16[[#This Row],[Importe]]-Tabla16[[#This Row],[Pagado]]</f>
        <v>0</v>
      </c>
      <c r="H2030" s="38" t="s">
        <v>10</v>
      </c>
    </row>
    <row r="2031" spans="1:8" x14ac:dyDescent="0.25">
      <c r="A2031" s="31">
        <v>44700</v>
      </c>
      <c r="B2031" s="38" t="s">
        <v>16193</v>
      </c>
      <c r="C2031" s="38" t="s">
        <v>109</v>
      </c>
      <c r="D2031" s="34">
        <v>4643.6000000000004</v>
      </c>
      <c r="E2031" s="35">
        <v>44701</v>
      </c>
      <c r="F2031" s="34">
        <v>4643.6000000000004</v>
      </c>
      <c r="G2031" s="36">
        <f>Tabla16[[#This Row],[Importe]]-Tabla16[[#This Row],[Pagado]]</f>
        <v>0</v>
      </c>
      <c r="H2031" s="38" t="s">
        <v>10</v>
      </c>
    </row>
    <row r="2032" spans="1:8" x14ac:dyDescent="0.25">
      <c r="A2032" s="31">
        <v>44700</v>
      </c>
      <c r="B2032" s="38" t="s">
        <v>16194</v>
      </c>
      <c r="C2032" s="38" t="s">
        <v>13946</v>
      </c>
      <c r="D2032" s="34">
        <v>4404.3999999999996</v>
      </c>
      <c r="E2032" s="35">
        <v>44702</v>
      </c>
      <c r="F2032" s="34">
        <v>4404.3999999999996</v>
      </c>
      <c r="G2032" s="36">
        <f>Tabla16[[#This Row],[Importe]]-Tabla16[[#This Row],[Pagado]]</f>
        <v>0</v>
      </c>
      <c r="H2032" s="38" t="s">
        <v>10</v>
      </c>
    </row>
    <row r="2033" spans="1:8" x14ac:dyDescent="0.25">
      <c r="A2033" s="31">
        <v>44700</v>
      </c>
      <c r="B2033" s="38" t="s">
        <v>16195</v>
      </c>
      <c r="C2033" s="38" t="s">
        <v>2563</v>
      </c>
      <c r="D2033" s="34">
        <v>4368.6000000000004</v>
      </c>
      <c r="E2033" s="35">
        <v>44700</v>
      </c>
      <c r="F2033" s="34">
        <v>4368.6000000000004</v>
      </c>
      <c r="G2033" s="36">
        <f>Tabla16[[#This Row],[Importe]]-Tabla16[[#This Row],[Pagado]]</f>
        <v>0</v>
      </c>
      <c r="H2033" s="38" t="s">
        <v>10</v>
      </c>
    </row>
    <row r="2034" spans="1:8" x14ac:dyDescent="0.25">
      <c r="A2034" s="31">
        <v>44700</v>
      </c>
      <c r="B2034" s="38" t="s">
        <v>16196</v>
      </c>
      <c r="C2034" s="38" t="s">
        <v>64</v>
      </c>
      <c r="D2034" s="34">
        <v>8332.2000000000007</v>
      </c>
      <c r="E2034" s="35">
        <v>44701</v>
      </c>
      <c r="F2034" s="34">
        <v>8332.2000000000007</v>
      </c>
      <c r="G2034" s="36">
        <f>Tabla16[[#This Row],[Importe]]-Tabla16[[#This Row],[Pagado]]</f>
        <v>0</v>
      </c>
      <c r="H2034" s="38" t="s">
        <v>10</v>
      </c>
    </row>
    <row r="2035" spans="1:8" x14ac:dyDescent="0.25">
      <c r="A2035" s="31">
        <v>44700</v>
      </c>
      <c r="B2035" s="38" t="s">
        <v>16197</v>
      </c>
      <c r="C2035" s="38" t="s">
        <v>326</v>
      </c>
      <c r="D2035" s="34">
        <v>4336.8</v>
      </c>
      <c r="E2035" s="35">
        <v>44701</v>
      </c>
      <c r="F2035" s="34">
        <v>4336.8</v>
      </c>
      <c r="G2035" s="36">
        <f>Tabla16[[#This Row],[Importe]]-Tabla16[[#This Row],[Pagado]]</f>
        <v>0</v>
      </c>
      <c r="H2035" s="38" t="s">
        <v>10</v>
      </c>
    </row>
    <row r="2036" spans="1:8" x14ac:dyDescent="0.25">
      <c r="A2036" s="31">
        <v>44700</v>
      </c>
      <c r="B2036" s="38" t="s">
        <v>16198</v>
      </c>
      <c r="C2036" s="38" t="s">
        <v>111</v>
      </c>
      <c r="D2036" s="34">
        <v>4035.2</v>
      </c>
      <c r="E2036" s="35">
        <v>44701</v>
      </c>
      <c r="F2036" s="34">
        <v>4035.2</v>
      </c>
      <c r="G2036" s="36">
        <f>Tabla16[[#This Row],[Importe]]-Tabla16[[#This Row],[Pagado]]</f>
        <v>0</v>
      </c>
      <c r="H2036" s="38" t="s">
        <v>10</v>
      </c>
    </row>
    <row r="2037" spans="1:8" x14ac:dyDescent="0.25">
      <c r="A2037" s="31">
        <v>44700</v>
      </c>
      <c r="B2037" s="38" t="s">
        <v>16199</v>
      </c>
      <c r="C2037" s="38" t="s">
        <v>114</v>
      </c>
      <c r="D2037" s="34">
        <v>8918</v>
      </c>
      <c r="E2037" s="35">
        <v>44701</v>
      </c>
      <c r="F2037" s="34">
        <v>8918</v>
      </c>
      <c r="G2037" s="36">
        <f>Tabla16[[#This Row],[Importe]]-Tabla16[[#This Row],[Pagado]]</f>
        <v>0</v>
      </c>
      <c r="H2037" s="38" t="s">
        <v>10</v>
      </c>
    </row>
    <row r="2038" spans="1:8" x14ac:dyDescent="0.25">
      <c r="A2038" s="31">
        <v>44700</v>
      </c>
      <c r="B2038" s="38" t="s">
        <v>16200</v>
      </c>
      <c r="C2038" s="38" t="s">
        <v>97</v>
      </c>
      <c r="D2038" s="34">
        <v>9046.1</v>
      </c>
      <c r="E2038" s="35">
        <v>44701</v>
      </c>
      <c r="F2038" s="34">
        <v>9046.1</v>
      </c>
      <c r="G2038" s="36">
        <f>Tabla16[[#This Row],[Importe]]-Tabla16[[#This Row],[Pagado]]</f>
        <v>0</v>
      </c>
      <c r="H2038" s="38" t="s">
        <v>10</v>
      </c>
    </row>
    <row r="2039" spans="1:8" x14ac:dyDescent="0.25">
      <c r="A2039" s="31">
        <v>44700</v>
      </c>
      <c r="B2039" s="38" t="s">
        <v>16201</v>
      </c>
      <c r="C2039" s="38" t="s">
        <v>95</v>
      </c>
      <c r="D2039" s="34">
        <v>20441.599999999999</v>
      </c>
      <c r="E2039" s="35">
        <v>44700</v>
      </c>
      <c r="F2039" s="34">
        <v>20441.599999999999</v>
      </c>
      <c r="G2039" s="36">
        <f>Tabla16[[#This Row],[Importe]]-Tabla16[[#This Row],[Pagado]]</f>
        <v>0</v>
      </c>
      <c r="H2039" s="38" t="s">
        <v>10</v>
      </c>
    </row>
    <row r="2040" spans="1:8" x14ac:dyDescent="0.25">
      <c r="A2040" s="31">
        <v>44700</v>
      </c>
      <c r="B2040" s="38" t="s">
        <v>16202</v>
      </c>
      <c r="C2040" s="38" t="s">
        <v>60</v>
      </c>
      <c r="D2040" s="34">
        <v>4693.8</v>
      </c>
      <c r="E2040" s="35">
        <v>44703</v>
      </c>
      <c r="F2040" s="34">
        <v>4693.8</v>
      </c>
      <c r="G2040" s="36">
        <f>Tabla16[[#This Row],[Importe]]-Tabla16[[#This Row],[Pagado]]</f>
        <v>0</v>
      </c>
      <c r="H2040" s="38" t="s">
        <v>10</v>
      </c>
    </row>
    <row r="2041" spans="1:8" x14ac:dyDescent="0.25">
      <c r="A2041" s="31">
        <v>44700</v>
      </c>
      <c r="B2041" s="38" t="s">
        <v>16203</v>
      </c>
      <c r="C2041" s="38" t="s">
        <v>39</v>
      </c>
      <c r="D2041" s="34">
        <v>15319.7</v>
      </c>
      <c r="E2041" s="35">
        <v>44700</v>
      </c>
      <c r="F2041" s="34">
        <v>15319.7</v>
      </c>
      <c r="G2041" s="36">
        <f>Tabla16[[#This Row],[Importe]]-Tabla16[[#This Row],[Pagado]]</f>
        <v>0</v>
      </c>
      <c r="H2041" s="38" t="s">
        <v>10</v>
      </c>
    </row>
    <row r="2042" spans="1:8" x14ac:dyDescent="0.25">
      <c r="A2042" s="31">
        <v>44700</v>
      </c>
      <c r="B2042" s="38" t="s">
        <v>16204</v>
      </c>
      <c r="C2042" s="38" t="s">
        <v>120</v>
      </c>
      <c r="D2042" s="34">
        <v>3704.4</v>
      </c>
      <c r="E2042" s="35">
        <v>44702</v>
      </c>
      <c r="F2042" s="34">
        <v>3704.4</v>
      </c>
      <c r="G2042" s="36">
        <f>Tabla16[[#This Row],[Importe]]-Tabla16[[#This Row],[Pagado]]</f>
        <v>0</v>
      </c>
      <c r="H2042" s="38" t="s">
        <v>10</v>
      </c>
    </row>
    <row r="2043" spans="1:8" x14ac:dyDescent="0.25">
      <c r="A2043" s="31">
        <v>44700</v>
      </c>
      <c r="B2043" s="38" t="s">
        <v>16205</v>
      </c>
      <c r="C2043" s="38" t="s">
        <v>89</v>
      </c>
      <c r="D2043" s="34">
        <v>9180</v>
      </c>
      <c r="E2043" s="35">
        <v>44701</v>
      </c>
      <c r="F2043" s="34">
        <v>9180</v>
      </c>
      <c r="G2043" s="36">
        <f>Tabla16[[#This Row],[Importe]]-Tabla16[[#This Row],[Pagado]]</f>
        <v>0</v>
      </c>
      <c r="H2043" s="38" t="s">
        <v>10</v>
      </c>
    </row>
    <row r="2044" spans="1:8" x14ac:dyDescent="0.25">
      <c r="A2044" s="31">
        <v>44700</v>
      </c>
      <c r="B2044" s="38" t="s">
        <v>16206</v>
      </c>
      <c r="C2044" s="38" t="s">
        <v>99</v>
      </c>
      <c r="D2044" s="34">
        <v>3369.8</v>
      </c>
      <c r="E2044" s="35">
        <v>44701</v>
      </c>
      <c r="F2044" s="34">
        <v>3369.8</v>
      </c>
      <c r="G2044" s="36">
        <f>Tabla16[[#This Row],[Importe]]-Tabla16[[#This Row],[Pagado]]</f>
        <v>0</v>
      </c>
      <c r="H2044" s="38" t="s">
        <v>10</v>
      </c>
    </row>
    <row r="2045" spans="1:8" x14ac:dyDescent="0.25">
      <c r="A2045" s="31">
        <v>44700</v>
      </c>
      <c r="B2045" s="38" t="s">
        <v>16207</v>
      </c>
      <c r="C2045" s="38" t="s">
        <v>484</v>
      </c>
      <c r="D2045" s="34">
        <v>2736</v>
      </c>
      <c r="E2045" s="35">
        <v>44700</v>
      </c>
      <c r="F2045" s="34">
        <v>2736</v>
      </c>
      <c r="G2045" s="36">
        <f>Tabla16[[#This Row],[Importe]]-Tabla16[[#This Row],[Pagado]]</f>
        <v>0</v>
      </c>
      <c r="H2045" s="38" t="s">
        <v>10</v>
      </c>
    </row>
    <row r="2046" spans="1:8" x14ac:dyDescent="0.25">
      <c r="A2046" s="31">
        <v>44700</v>
      </c>
      <c r="B2046" s="38" t="s">
        <v>16208</v>
      </c>
      <c r="C2046" s="38" t="s">
        <v>481</v>
      </c>
      <c r="D2046" s="34">
        <v>1243.44</v>
      </c>
      <c r="E2046" s="35">
        <v>44700</v>
      </c>
      <c r="F2046" s="34">
        <v>1243.44</v>
      </c>
      <c r="G2046" s="36">
        <f>Tabla16[[#This Row],[Importe]]-Tabla16[[#This Row],[Pagado]]</f>
        <v>0</v>
      </c>
      <c r="H2046" s="38" t="s">
        <v>10</v>
      </c>
    </row>
    <row r="2047" spans="1:8" x14ac:dyDescent="0.25">
      <c r="A2047" s="31">
        <v>44700</v>
      </c>
      <c r="B2047" s="38" t="s">
        <v>16209</v>
      </c>
      <c r="C2047" s="38" t="s">
        <v>105</v>
      </c>
      <c r="D2047" s="34">
        <v>7341.4</v>
      </c>
      <c r="E2047" s="35">
        <v>44701</v>
      </c>
      <c r="F2047" s="34">
        <v>7341.4</v>
      </c>
      <c r="G2047" s="36">
        <f>Tabla16[[#This Row],[Importe]]-Tabla16[[#This Row],[Pagado]]</f>
        <v>0</v>
      </c>
      <c r="H2047" s="38" t="s">
        <v>10</v>
      </c>
    </row>
    <row r="2048" spans="1:8" x14ac:dyDescent="0.25">
      <c r="A2048" s="31">
        <v>44700</v>
      </c>
      <c r="B2048" s="38" t="s">
        <v>16210</v>
      </c>
      <c r="C2048" s="38" t="s">
        <v>348</v>
      </c>
      <c r="D2048" s="34">
        <v>4751.5</v>
      </c>
      <c r="E2048" s="35">
        <v>44700</v>
      </c>
      <c r="F2048" s="34">
        <v>4751.5</v>
      </c>
      <c r="G2048" s="36">
        <f>Tabla16[[#This Row],[Importe]]-Tabla16[[#This Row],[Pagado]]</f>
        <v>0</v>
      </c>
      <c r="H2048" s="38" t="s">
        <v>10</v>
      </c>
    </row>
    <row r="2049" spans="1:8" x14ac:dyDescent="0.25">
      <c r="A2049" s="31">
        <v>44700</v>
      </c>
      <c r="B2049" s="38" t="s">
        <v>16211</v>
      </c>
      <c r="C2049" s="38" t="s">
        <v>2151</v>
      </c>
      <c r="D2049" s="34">
        <v>18367.599999999999</v>
      </c>
      <c r="E2049" s="35">
        <v>44700</v>
      </c>
      <c r="F2049" s="34">
        <v>18367.599999999999</v>
      </c>
      <c r="G2049" s="36">
        <f>Tabla16[[#This Row],[Importe]]-Tabla16[[#This Row],[Pagado]]</f>
        <v>0</v>
      </c>
      <c r="H2049" s="38" t="s">
        <v>10</v>
      </c>
    </row>
    <row r="2050" spans="1:8" x14ac:dyDescent="0.25">
      <c r="A2050" s="31">
        <v>44700</v>
      </c>
      <c r="B2050" s="38" t="s">
        <v>16212</v>
      </c>
      <c r="C2050" s="38" t="s">
        <v>75</v>
      </c>
      <c r="D2050" s="34">
        <v>5533.2</v>
      </c>
      <c r="E2050" s="35">
        <v>44700</v>
      </c>
      <c r="F2050" s="34">
        <v>5533.2</v>
      </c>
      <c r="G2050" s="36">
        <f>Tabla16[[#This Row],[Importe]]-Tabla16[[#This Row],[Pagado]]</f>
        <v>0</v>
      </c>
      <c r="H2050" s="38" t="s">
        <v>10</v>
      </c>
    </row>
    <row r="2051" spans="1:8" x14ac:dyDescent="0.25">
      <c r="A2051" s="31">
        <v>44700</v>
      </c>
      <c r="B2051" s="38" t="s">
        <v>16213</v>
      </c>
      <c r="C2051" s="38" t="s">
        <v>31</v>
      </c>
      <c r="D2051" s="34">
        <v>4301</v>
      </c>
      <c r="E2051" s="35">
        <v>44700</v>
      </c>
      <c r="F2051" s="34">
        <v>4301</v>
      </c>
      <c r="G2051" s="36">
        <f>Tabla16[[#This Row],[Importe]]-Tabla16[[#This Row],[Pagado]]</f>
        <v>0</v>
      </c>
      <c r="H2051" s="38" t="s">
        <v>10</v>
      </c>
    </row>
    <row r="2052" spans="1:8" x14ac:dyDescent="0.25">
      <c r="A2052" s="31">
        <v>44700</v>
      </c>
      <c r="B2052" s="38" t="s">
        <v>16214</v>
      </c>
      <c r="C2052" s="38" t="s">
        <v>9</v>
      </c>
      <c r="D2052" s="34">
        <v>6542.1</v>
      </c>
      <c r="E2052" s="35">
        <v>44700</v>
      </c>
      <c r="F2052" s="34">
        <v>6542.1</v>
      </c>
      <c r="G2052" s="36">
        <f>Tabla16[[#This Row],[Importe]]-Tabla16[[#This Row],[Pagado]]</f>
        <v>0</v>
      </c>
      <c r="H2052" s="38" t="s">
        <v>10</v>
      </c>
    </row>
    <row r="2053" spans="1:8" x14ac:dyDescent="0.25">
      <c r="A2053" s="31">
        <v>44700</v>
      </c>
      <c r="B2053" s="38" t="s">
        <v>16215</v>
      </c>
      <c r="C2053" s="38" t="s">
        <v>85</v>
      </c>
      <c r="D2053" s="34">
        <v>1061.4000000000001</v>
      </c>
      <c r="E2053" s="35">
        <v>44700</v>
      </c>
      <c r="F2053" s="34">
        <v>1061.4000000000001</v>
      </c>
      <c r="G2053" s="36">
        <f>Tabla16[[#This Row],[Importe]]-Tabla16[[#This Row],[Pagado]]</f>
        <v>0</v>
      </c>
      <c r="H2053" s="38" t="s">
        <v>10</v>
      </c>
    </row>
    <row r="2054" spans="1:8" x14ac:dyDescent="0.25">
      <c r="A2054" s="31">
        <v>44700</v>
      </c>
      <c r="B2054" s="38" t="s">
        <v>16216</v>
      </c>
      <c r="C2054" s="38" t="s">
        <v>20</v>
      </c>
      <c r="D2054" s="34">
        <v>2412.8000000000002</v>
      </c>
      <c r="E2054" s="35">
        <v>44700</v>
      </c>
      <c r="F2054" s="34">
        <v>2412.8000000000002</v>
      </c>
      <c r="G2054" s="36">
        <f>Tabla16[[#This Row],[Importe]]-Tabla16[[#This Row],[Pagado]]</f>
        <v>0</v>
      </c>
      <c r="H2054" s="38" t="s">
        <v>10</v>
      </c>
    </row>
    <row r="2055" spans="1:8" x14ac:dyDescent="0.25">
      <c r="A2055" s="31">
        <v>44700</v>
      </c>
      <c r="B2055" s="38" t="s">
        <v>16217</v>
      </c>
      <c r="C2055" s="38" t="s">
        <v>31</v>
      </c>
      <c r="D2055" s="34">
        <v>1936</v>
      </c>
      <c r="E2055" s="35">
        <v>44700</v>
      </c>
      <c r="F2055" s="34">
        <v>1936</v>
      </c>
      <c r="G2055" s="36">
        <f>Tabla16[[#This Row],[Importe]]-Tabla16[[#This Row],[Pagado]]</f>
        <v>0</v>
      </c>
      <c r="H2055" s="38" t="s">
        <v>10</v>
      </c>
    </row>
    <row r="2056" spans="1:8" x14ac:dyDescent="0.25">
      <c r="A2056" s="31">
        <v>44700</v>
      </c>
      <c r="B2056" s="38" t="s">
        <v>16218</v>
      </c>
      <c r="C2056" s="38" t="s">
        <v>22</v>
      </c>
      <c r="D2056" s="34">
        <v>43031.5</v>
      </c>
      <c r="E2056" s="35">
        <v>44701</v>
      </c>
      <c r="F2056" s="34">
        <v>43031.5</v>
      </c>
      <c r="G2056" s="36">
        <f>Tabla16[[#This Row],[Importe]]-Tabla16[[#This Row],[Pagado]]</f>
        <v>0</v>
      </c>
      <c r="H2056" s="38" t="s">
        <v>10</v>
      </c>
    </row>
    <row r="2057" spans="1:8" x14ac:dyDescent="0.25">
      <c r="A2057" s="31">
        <v>44700</v>
      </c>
      <c r="B2057" s="38" t="s">
        <v>16219</v>
      </c>
      <c r="C2057" s="38" t="s">
        <v>618</v>
      </c>
      <c r="D2057" s="34">
        <v>10351.200000000001</v>
      </c>
      <c r="E2057" s="35">
        <v>44700</v>
      </c>
      <c r="F2057" s="34">
        <v>10351.200000000001</v>
      </c>
      <c r="G2057" s="36">
        <f>Tabla16[[#This Row],[Importe]]-Tabla16[[#This Row],[Pagado]]</f>
        <v>0</v>
      </c>
      <c r="H2057" s="38" t="s">
        <v>10</v>
      </c>
    </row>
    <row r="2058" spans="1:8" x14ac:dyDescent="0.25">
      <c r="A2058" s="31">
        <v>44700</v>
      </c>
      <c r="B2058" s="38" t="s">
        <v>16220</v>
      </c>
      <c r="C2058" s="38" t="s">
        <v>12716</v>
      </c>
      <c r="D2058" s="34">
        <v>0</v>
      </c>
      <c r="E2058" s="39" t="s">
        <v>189</v>
      </c>
      <c r="F2058" s="34">
        <v>0</v>
      </c>
      <c r="G2058" s="36">
        <f>Tabla16[[#This Row],[Importe]]-Tabla16[[#This Row],[Pagado]]</f>
        <v>0</v>
      </c>
      <c r="H2058" s="38" t="s">
        <v>189</v>
      </c>
    </row>
    <row r="2059" spans="1:8" x14ac:dyDescent="0.25">
      <c r="A2059" s="31">
        <v>44700</v>
      </c>
      <c r="B2059" s="38" t="s">
        <v>16221</v>
      </c>
      <c r="C2059" s="38" t="s">
        <v>1302</v>
      </c>
      <c r="D2059" s="34">
        <v>6890.4</v>
      </c>
      <c r="E2059" s="35">
        <v>44700</v>
      </c>
      <c r="F2059" s="34">
        <v>6890.4</v>
      </c>
      <c r="G2059" s="36">
        <f>Tabla16[[#This Row],[Importe]]-Tabla16[[#This Row],[Pagado]]</f>
        <v>0</v>
      </c>
      <c r="H2059" s="38" t="s">
        <v>10</v>
      </c>
    </row>
    <row r="2060" spans="1:8" x14ac:dyDescent="0.25">
      <c r="A2060" s="31">
        <v>44700</v>
      </c>
      <c r="B2060" s="38" t="s">
        <v>16222</v>
      </c>
      <c r="C2060" s="38" t="s">
        <v>1239</v>
      </c>
      <c r="D2060" s="34">
        <v>12592.8</v>
      </c>
      <c r="E2060" s="35">
        <v>44700</v>
      </c>
      <c r="F2060" s="34">
        <v>12592.8</v>
      </c>
      <c r="G2060" s="36">
        <f>Tabla16[[#This Row],[Importe]]-Tabla16[[#This Row],[Pagado]]</f>
        <v>0</v>
      </c>
      <c r="H2060" s="38" t="s">
        <v>10</v>
      </c>
    </row>
    <row r="2061" spans="1:8" x14ac:dyDescent="0.25">
      <c r="A2061" s="31">
        <v>44700</v>
      </c>
      <c r="B2061" s="38" t="s">
        <v>16223</v>
      </c>
      <c r="C2061" s="38" t="s">
        <v>87</v>
      </c>
      <c r="D2061" s="34">
        <v>2613.1999999999998</v>
      </c>
      <c r="E2061" s="35">
        <v>44700</v>
      </c>
      <c r="F2061" s="34">
        <v>2613.1999999999998</v>
      </c>
      <c r="G2061" s="36">
        <f>Tabla16[[#This Row],[Importe]]-Tabla16[[#This Row],[Pagado]]</f>
        <v>0</v>
      </c>
      <c r="H2061" s="38" t="s">
        <v>10</v>
      </c>
    </row>
    <row r="2062" spans="1:8" x14ac:dyDescent="0.25">
      <c r="A2062" s="31">
        <v>44700</v>
      </c>
      <c r="B2062" s="38" t="s">
        <v>16224</v>
      </c>
      <c r="C2062" s="38" t="s">
        <v>3971</v>
      </c>
      <c r="D2062" s="34">
        <v>1511.1</v>
      </c>
      <c r="E2062" s="35">
        <v>44700</v>
      </c>
      <c r="F2062" s="34">
        <v>1511.1</v>
      </c>
      <c r="G2062" s="36">
        <f>Tabla16[[#This Row],[Importe]]-Tabla16[[#This Row],[Pagado]]</f>
        <v>0</v>
      </c>
      <c r="H2062" s="38" t="s">
        <v>10</v>
      </c>
    </row>
    <row r="2063" spans="1:8" x14ac:dyDescent="0.25">
      <c r="A2063" s="31">
        <v>44700</v>
      </c>
      <c r="B2063" s="38" t="s">
        <v>16225</v>
      </c>
      <c r="C2063" s="38" t="s">
        <v>196</v>
      </c>
      <c r="D2063" s="34">
        <v>98570.79</v>
      </c>
      <c r="E2063" s="35">
        <v>44701</v>
      </c>
      <c r="F2063" s="34">
        <v>98570.79</v>
      </c>
      <c r="G2063" s="36">
        <f>Tabla16[[#This Row],[Importe]]-Tabla16[[#This Row],[Pagado]]</f>
        <v>0</v>
      </c>
      <c r="H2063" s="38" t="s">
        <v>10</v>
      </c>
    </row>
    <row r="2064" spans="1:8" x14ac:dyDescent="0.25">
      <c r="A2064" s="31">
        <v>44700</v>
      </c>
      <c r="B2064" s="38" t="s">
        <v>16226</v>
      </c>
      <c r="C2064" s="38" t="s">
        <v>151</v>
      </c>
      <c r="D2064" s="34">
        <v>29776.5</v>
      </c>
      <c r="E2064" s="35">
        <v>44700</v>
      </c>
      <c r="F2064" s="34">
        <v>29776.5</v>
      </c>
      <c r="G2064" s="36">
        <f>Tabla16[[#This Row],[Importe]]-Tabla16[[#This Row],[Pagado]]</f>
        <v>0</v>
      </c>
      <c r="H2064" s="38" t="s">
        <v>10</v>
      </c>
    </row>
    <row r="2065" spans="1:8" x14ac:dyDescent="0.25">
      <c r="A2065" s="31">
        <v>44700</v>
      </c>
      <c r="B2065" s="38" t="s">
        <v>16227</v>
      </c>
      <c r="C2065" s="38" t="s">
        <v>31</v>
      </c>
      <c r="D2065" s="34">
        <v>13004.7</v>
      </c>
      <c r="E2065" s="35">
        <v>44700</v>
      </c>
      <c r="F2065" s="34">
        <v>13004.7</v>
      </c>
      <c r="G2065" s="36">
        <f>Tabla16[[#This Row],[Importe]]-Tabla16[[#This Row],[Pagado]]</f>
        <v>0</v>
      </c>
      <c r="H2065" s="38" t="s">
        <v>10</v>
      </c>
    </row>
    <row r="2066" spans="1:8" x14ac:dyDescent="0.25">
      <c r="A2066" s="31">
        <v>44700</v>
      </c>
      <c r="B2066" s="38" t="s">
        <v>16228</v>
      </c>
      <c r="C2066" s="38" t="s">
        <v>647</v>
      </c>
      <c r="D2066" s="34">
        <v>4068.2</v>
      </c>
      <c r="E2066" s="35">
        <v>44700</v>
      </c>
      <c r="F2066" s="34">
        <v>4068.2</v>
      </c>
      <c r="G2066" s="36">
        <f>Tabla16[[#This Row],[Importe]]-Tabla16[[#This Row],[Pagado]]</f>
        <v>0</v>
      </c>
      <c r="H2066" s="38" t="s">
        <v>10</v>
      </c>
    </row>
    <row r="2067" spans="1:8" x14ac:dyDescent="0.25">
      <c r="A2067" s="31">
        <v>44700</v>
      </c>
      <c r="B2067" s="38" t="s">
        <v>16229</v>
      </c>
      <c r="C2067" s="38" t="s">
        <v>365</v>
      </c>
      <c r="D2067" s="34">
        <v>437</v>
      </c>
      <c r="E2067" s="35">
        <v>44700</v>
      </c>
      <c r="F2067" s="34">
        <v>437</v>
      </c>
      <c r="G2067" s="36">
        <f>Tabla16[[#This Row],[Importe]]-Tabla16[[#This Row],[Pagado]]</f>
        <v>0</v>
      </c>
      <c r="H2067" s="38" t="s">
        <v>10</v>
      </c>
    </row>
    <row r="2068" spans="1:8" x14ac:dyDescent="0.25">
      <c r="A2068" s="31">
        <v>44700</v>
      </c>
      <c r="B2068" s="38" t="s">
        <v>16230</v>
      </c>
      <c r="C2068" s="38" t="s">
        <v>83</v>
      </c>
      <c r="D2068" s="34">
        <v>10836</v>
      </c>
      <c r="E2068" s="35">
        <v>44700</v>
      </c>
      <c r="F2068" s="34">
        <v>10836</v>
      </c>
      <c r="G2068" s="36">
        <f>Tabla16[[#This Row],[Importe]]-Tabla16[[#This Row],[Pagado]]</f>
        <v>0</v>
      </c>
      <c r="H2068" s="38" t="s">
        <v>10</v>
      </c>
    </row>
    <row r="2069" spans="1:8" x14ac:dyDescent="0.25">
      <c r="A2069" s="31">
        <v>44700</v>
      </c>
      <c r="B2069" s="38" t="s">
        <v>16231</v>
      </c>
      <c r="C2069" s="38" t="s">
        <v>647</v>
      </c>
      <c r="D2069" s="34">
        <v>720</v>
      </c>
      <c r="E2069" s="35">
        <v>44700</v>
      </c>
      <c r="F2069" s="34">
        <v>720</v>
      </c>
      <c r="G2069" s="36">
        <f>Tabla16[[#This Row],[Importe]]-Tabla16[[#This Row],[Pagado]]</f>
        <v>0</v>
      </c>
      <c r="H2069" s="38" t="s">
        <v>10</v>
      </c>
    </row>
    <row r="2070" spans="1:8" x14ac:dyDescent="0.25">
      <c r="A2070" s="31">
        <v>44700</v>
      </c>
      <c r="B2070" s="38" t="s">
        <v>16232</v>
      </c>
      <c r="C2070" s="38" t="s">
        <v>79</v>
      </c>
      <c r="D2070" s="34">
        <v>14662.4</v>
      </c>
      <c r="E2070" s="35">
        <v>44700</v>
      </c>
      <c r="F2070" s="34">
        <v>14662.4</v>
      </c>
      <c r="G2070" s="36">
        <f>Tabla16[[#This Row],[Importe]]-Tabla16[[#This Row],[Pagado]]</f>
        <v>0</v>
      </c>
      <c r="H2070" s="38" t="s">
        <v>10</v>
      </c>
    </row>
    <row r="2071" spans="1:8" x14ac:dyDescent="0.25">
      <c r="A2071" s="31">
        <v>44700</v>
      </c>
      <c r="B2071" s="38" t="s">
        <v>16233</v>
      </c>
      <c r="C2071" s="38" t="s">
        <v>804</v>
      </c>
      <c r="D2071" s="34">
        <v>11530.3</v>
      </c>
      <c r="E2071" s="35">
        <v>44700</v>
      </c>
      <c r="F2071" s="34">
        <v>11530.3</v>
      </c>
      <c r="G2071" s="36">
        <f>Tabla16[[#This Row],[Importe]]-Tabla16[[#This Row],[Pagado]]</f>
        <v>0</v>
      </c>
      <c r="H2071" s="38" t="s">
        <v>10</v>
      </c>
    </row>
    <row r="2072" spans="1:8" x14ac:dyDescent="0.25">
      <c r="A2072" s="31">
        <v>44700</v>
      </c>
      <c r="B2072" s="38" t="s">
        <v>16234</v>
      </c>
      <c r="C2072" s="38" t="s">
        <v>27</v>
      </c>
      <c r="D2072" s="34">
        <v>1312.6</v>
      </c>
      <c r="E2072" s="35">
        <v>44700</v>
      </c>
      <c r="F2072" s="34">
        <v>1312.6</v>
      </c>
      <c r="G2072" s="36">
        <f>Tabla16[[#This Row],[Importe]]-Tabla16[[#This Row],[Pagado]]</f>
        <v>0</v>
      </c>
      <c r="H2072" s="38" t="s">
        <v>10</v>
      </c>
    </row>
    <row r="2073" spans="1:8" x14ac:dyDescent="0.25">
      <c r="A2073" s="31">
        <v>44700</v>
      </c>
      <c r="B2073" s="38" t="s">
        <v>16235</v>
      </c>
      <c r="C2073" s="38" t="s">
        <v>11033</v>
      </c>
      <c r="D2073" s="34">
        <v>3174.4</v>
      </c>
      <c r="E2073" s="35">
        <v>44700</v>
      </c>
      <c r="F2073" s="34">
        <v>3174.4</v>
      </c>
      <c r="G2073" s="36">
        <f>Tabla16[[#This Row],[Importe]]-Tabla16[[#This Row],[Pagado]]</f>
        <v>0</v>
      </c>
      <c r="H2073" s="38" t="s">
        <v>10</v>
      </c>
    </row>
    <row r="2074" spans="1:8" x14ac:dyDescent="0.25">
      <c r="A2074" s="31">
        <v>44700</v>
      </c>
      <c r="B2074" s="38" t="s">
        <v>16236</v>
      </c>
      <c r="C2074" s="38" t="s">
        <v>24</v>
      </c>
      <c r="D2074" s="34">
        <v>2350.3000000000002</v>
      </c>
      <c r="E2074" s="35">
        <v>44700</v>
      </c>
      <c r="F2074" s="34">
        <v>2350.3000000000002</v>
      </c>
      <c r="G2074" s="36">
        <f>Tabla16[[#This Row],[Importe]]-Tabla16[[#This Row],[Pagado]]</f>
        <v>0</v>
      </c>
      <c r="H2074" s="38" t="s">
        <v>10</v>
      </c>
    </row>
    <row r="2075" spans="1:8" x14ac:dyDescent="0.25">
      <c r="A2075" s="31">
        <v>44700</v>
      </c>
      <c r="B2075" s="38" t="s">
        <v>16237</v>
      </c>
      <c r="C2075" s="38" t="s">
        <v>664</v>
      </c>
      <c r="D2075" s="34">
        <v>5772</v>
      </c>
      <c r="E2075" s="35">
        <v>44700</v>
      </c>
      <c r="F2075" s="34">
        <v>5772</v>
      </c>
      <c r="G2075" s="36">
        <f>Tabla16[[#This Row],[Importe]]-Tabla16[[#This Row],[Pagado]]</f>
        <v>0</v>
      </c>
      <c r="H2075" s="38" t="s">
        <v>10</v>
      </c>
    </row>
    <row r="2076" spans="1:8" x14ac:dyDescent="0.25">
      <c r="A2076" s="31">
        <v>44700</v>
      </c>
      <c r="B2076" s="38" t="s">
        <v>16238</v>
      </c>
      <c r="C2076" s="38" t="s">
        <v>161</v>
      </c>
      <c r="D2076" s="34">
        <v>3281.8</v>
      </c>
      <c r="E2076" s="35">
        <v>44700</v>
      </c>
      <c r="F2076" s="34">
        <v>3281.8</v>
      </c>
      <c r="G2076" s="36">
        <f>Tabla16[[#This Row],[Importe]]-Tabla16[[#This Row],[Pagado]]</f>
        <v>0</v>
      </c>
      <c r="H2076" s="38" t="s">
        <v>10</v>
      </c>
    </row>
    <row r="2077" spans="1:8" x14ac:dyDescent="0.25">
      <c r="A2077" s="31">
        <v>44700</v>
      </c>
      <c r="B2077" s="38" t="s">
        <v>16239</v>
      </c>
      <c r="C2077" s="38" t="s">
        <v>1237</v>
      </c>
      <c r="D2077" s="34">
        <v>38240.400000000001</v>
      </c>
      <c r="E2077" s="35">
        <v>44700</v>
      </c>
      <c r="F2077" s="34">
        <v>38240.400000000001</v>
      </c>
      <c r="G2077" s="36">
        <f>Tabla16[[#This Row],[Importe]]-Tabla16[[#This Row],[Pagado]]</f>
        <v>0</v>
      </c>
      <c r="H2077" s="38" t="s">
        <v>10</v>
      </c>
    </row>
    <row r="2078" spans="1:8" x14ac:dyDescent="0.25">
      <c r="A2078" s="31">
        <v>44700</v>
      </c>
      <c r="B2078" s="38" t="s">
        <v>16240</v>
      </c>
      <c r="C2078" s="38" t="s">
        <v>703</v>
      </c>
      <c r="D2078" s="34">
        <v>3551.1</v>
      </c>
      <c r="E2078" s="35">
        <v>44700</v>
      </c>
      <c r="F2078" s="34">
        <v>3551.1</v>
      </c>
      <c r="G2078" s="36">
        <f>Tabla16[[#This Row],[Importe]]-Tabla16[[#This Row],[Pagado]]</f>
        <v>0</v>
      </c>
      <c r="H2078" s="38" t="s">
        <v>10</v>
      </c>
    </row>
    <row r="2079" spans="1:8" x14ac:dyDescent="0.25">
      <c r="A2079" s="31">
        <v>44700</v>
      </c>
      <c r="B2079" s="38" t="s">
        <v>16241</v>
      </c>
      <c r="C2079" s="38" t="s">
        <v>878</v>
      </c>
      <c r="D2079" s="34">
        <v>2889.9</v>
      </c>
      <c r="E2079" s="35">
        <v>44700</v>
      </c>
      <c r="F2079" s="34">
        <v>2889.9</v>
      </c>
      <c r="G2079" s="36">
        <f>Tabla16[[#This Row],[Importe]]-Tabla16[[#This Row],[Pagado]]</f>
        <v>0</v>
      </c>
      <c r="H2079" s="38" t="s">
        <v>10</v>
      </c>
    </row>
    <row r="2080" spans="1:8" x14ac:dyDescent="0.25">
      <c r="A2080" s="31">
        <v>44700</v>
      </c>
      <c r="B2080" s="38" t="s">
        <v>16242</v>
      </c>
      <c r="C2080" s="38" t="s">
        <v>382</v>
      </c>
      <c r="D2080" s="34">
        <v>589.5</v>
      </c>
      <c r="E2080" s="35">
        <v>44700</v>
      </c>
      <c r="F2080" s="34">
        <v>589.5</v>
      </c>
      <c r="G2080" s="36">
        <f>Tabla16[[#This Row],[Importe]]-Tabla16[[#This Row],[Pagado]]</f>
        <v>0</v>
      </c>
      <c r="H2080" s="38" t="s">
        <v>10</v>
      </c>
    </row>
    <row r="2081" spans="1:8" x14ac:dyDescent="0.25">
      <c r="A2081" s="31">
        <v>44700</v>
      </c>
      <c r="B2081" s="38" t="s">
        <v>16243</v>
      </c>
      <c r="C2081" s="38" t="s">
        <v>1362</v>
      </c>
      <c r="D2081" s="34">
        <v>3112.4</v>
      </c>
      <c r="E2081" s="35">
        <v>44700</v>
      </c>
      <c r="F2081" s="34">
        <v>3112.4</v>
      </c>
      <c r="G2081" s="36">
        <f>Tabla16[[#This Row],[Importe]]-Tabla16[[#This Row],[Pagado]]</f>
        <v>0</v>
      </c>
      <c r="H2081" s="38" t="s">
        <v>10</v>
      </c>
    </row>
    <row r="2082" spans="1:8" x14ac:dyDescent="0.25">
      <c r="A2082" s="31">
        <v>44700</v>
      </c>
      <c r="B2082" s="38" t="s">
        <v>16244</v>
      </c>
      <c r="C2082" s="38" t="s">
        <v>804</v>
      </c>
      <c r="D2082" s="34">
        <v>663</v>
      </c>
      <c r="E2082" s="35">
        <v>44700</v>
      </c>
      <c r="F2082" s="34">
        <v>663</v>
      </c>
      <c r="G2082" s="36">
        <f>Tabla16[[#This Row],[Importe]]-Tabla16[[#This Row],[Pagado]]</f>
        <v>0</v>
      </c>
      <c r="H2082" s="38" t="s">
        <v>10</v>
      </c>
    </row>
    <row r="2083" spans="1:8" x14ac:dyDescent="0.25">
      <c r="A2083" s="31">
        <v>44700</v>
      </c>
      <c r="B2083" s="38" t="s">
        <v>16245</v>
      </c>
      <c r="C2083" s="38" t="s">
        <v>49</v>
      </c>
      <c r="D2083" s="34">
        <v>2541.8000000000002</v>
      </c>
      <c r="E2083" s="35">
        <v>44700</v>
      </c>
      <c r="F2083" s="34">
        <v>2541.8000000000002</v>
      </c>
      <c r="G2083" s="36">
        <f>Tabla16[[#This Row],[Importe]]-Tabla16[[#This Row],[Pagado]]</f>
        <v>0</v>
      </c>
      <c r="H2083" s="38" t="s">
        <v>10</v>
      </c>
    </row>
    <row r="2084" spans="1:8" x14ac:dyDescent="0.25">
      <c r="A2084" s="31">
        <v>44700</v>
      </c>
      <c r="B2084" s="38" t="s">
        <v>16246</v>
      </c>
      <c r="C2084" s="38" t="s">
        <v>146</v>
      </c>
      <c r="D2084" s="34">
        <v>2923.2</v>
      </c>
      <c r="E2084" s="35">
        <v>44700</v>
      </c>
      <c r="F2084" s="34">
        <v>2923.2</v>
      </c>
      <c r="G2084" s="36">
        <f>Tabla16[[#This Row],[Importe]]-Tabla16[[#This Row],[Pagado]]</f>
        <v>0</v>
      </c>
      <c r="H2084" s="38" t="s">
        <v>10</v>
      </c>
    </row>
    <row r="2085" spans="1:8" x14ac:dyDescent="0.25">
      <c r="A2085" s="31">
        <v>44700</v>
      </c>
      <c r="B2085" s="38" t="s">
        <v>16247</v>
      </c>
      <c r="C2085" s="38" t="s">
        <v>230</v>
      </c>
      <c r="D2085" s="34">
        <v>4559.6000000000004</v>
      </c>
      <c r="E2085" s="35">
        <v>44700</v>
      </c>
      <c r="F2085" s="34">
        <v>4559.6000000000004</v>
      </c>
      <c r="G2085" s="36">
        <f>Tabla16[[#This Row],[Importe]]-Tabla16[[#This Row],[Pagado]]</f>
        <v>0</v>
      </c>
      <c r="H2085" s="38" t="s">
        <v>10</v>
      </c>
    </row>
    <row r="2086" spans="1:8" x14ac:dyDescent="0.25">
      <c r="A2086" s="31">
        <v>44700</v>
      </c>
      <c r="B2086" s="38" t="s">
        <v>16248</v>
      </c>
      <c r="C2086" s="38" t="s">
        <v>37</v>
      </c>
      <c r="D2086" s="34">
        <v>4648.8</v>
      </c>
      <c r="E2086" s="35">
        <v>44700</v>
      </c>
      <c r="F2086" s="34">
        <v>4648.8</v>
      </c>
      <c r="G2086" s="36">
        <f>Tabla16[[#This Row],[Importe]]-Tabla16[[#This Row],[Pagado]]</f>
        <v>0</v>
      </c>
      <c r="H2086" s="38" t="s">
        <v>10</v>
      </c>
    </row>
    <row r="2087" spans="1:8" x14ac:dyDescent="0.25">
      <c r="A2087" s="31">
        <v>44700</v>
      </c>
      <c r="B2087" s="38" t="s">
        <v>16249</v>
      </c>
      <c r="C2087" s="38" t="s">
        <v>142</v>
      </c>
      <c r="D2087" s="34">
        <v>54053.32</v>
      </c>
      <c r="E2087" s="35">
        <v>44707</v>
      </c>
      <c r="F2087" s="34">
        <v>54053.32</v>
      </c>
      <c r="G2087" s="36">
        <f>Tabla16[[#This Row],[Importe]]-Tabla16[[#This Row],[Pagado]]</f>
        <v>0</v>
      </c>
      <c r="H2087" s="38" t="s">
        <v>10</v>
      </c>
    </row>
    <row r="2088" spans="1:8" x14ac:dyDescent="0.25">
      <c r="A2088" s="31">
        <v>44700</v>
      </c>
      <c r="B2088" s="38" t="s">
        <v>16250</v>
      </c>
      <c r="C2088" s="38" t="s">
        <v>56</v>
      </c>
      <c r="D2088" s="34">
        <v>827.7</v>
      </c>
      <c r="E2088" s="35">
        <v>44700</v>
      </c>
      <c r="F2088" s="34">
        <v>827.7</v>
      </c>
      <c r="G2088" s="36">
        <f>Tabla16[[#This Row],[Importe]]-Tabla16[[#This Row],[Pagado]]</f>
        <v>0</v>
      </c>
      <c r="H2088" s="38" t="s">
        <v>10</v>
      </c>
    </row>
    <row r="2089" spans="1:8" x14ac:dyDescent="0.25">
      <c r="A2089" s="31">
        <v>44700</v>
      </c>
      <c r="B2089" s="38" t="s">
        <v>16251</v>
      </c>
      <c r="C2089" s="38" t="s">
        <v>214</v>
      </c>
      <c r="D2089" s="34">
        <v>1038.2</v>
      </c>
      <c r="E2089" s="35">
        <v>44700</v>
      </c>
      <c r="F2089" s="34">
        <v>1038.2</v>
      </c>
      <c r="G2089" s="36">
        <f>Tabla16[[#This Row],[Importe]]-Tabla16[[#This Row],[Pagado]]</f>
        <v>0</v>
      </c>
      <c r="H2089" s="38" t="s">
        <v>10</v>
      </c>
    </row>
    <row r="2090" spans="1:8" x14ac:dyDescent="0.25">
      <c r="A2090" s="31">
        <v>44700</v>
      </c>
      <c r="B2090" s="38" t="s">
        <v>16252</v>
      </c>
      <c r="C2090" s="38" t="s">
        <v>222</v>
      </c>
      <c r="D2090" s="34">
        <v>8362.1</v>
      </c>
      <c r="E2090" s="35">
        <v>44700</v>
      </c>
      <c r="F2090" s="34">
        <v>8362.1</v>
      </c>
      <c r="G2090" s="36">
        <f>Tabla16[[#This Row],[Importe]]-Tabla16[[#This Row],[Pagado]]</f>
        <v>0</v>
      </c>
      <c r="H2090" s="38" t="s">
        <v>10</v>
      </c>
    </row>
    <row r="2091" spans="1:8" x14ac:dyDescent="0.25">
      <c r="A2091" s="31">
        <v>44700</v>
      </c>
      <c r="B2091" s="38" t="s">
        <v>16253</v>
      </c>
      <c r="C2091" s="38" t="s">
        <v>47</v>
      </c>
      <c r="D2091" s="34">
        <v>46311.8</v>
      </c>
      <c r="E2091" s="35">
        <v>44700</v>
      </c>
      <c r="F2091" s="34">
        <v>46311.8</v>
      </c>
      <c r="G2091" s="36">
        <f>Tabla16[[#This Row],[Importe]]-Tabla16[[#This Row],[Pagado]]</f>
        <v>0</v>
      </c>
      <c r="H2091" s="38" t="s">
        <v>10</v>
      </c>
    </row>
    <row r="2092" spans="1:8" x14ac:dyDescent="0.25">
      <c r="A2092" s="31">
        <v>44700</v>
      </c>
      <c r="B2092" s="38" t="s">
        <v>16254</v>
      </c>
      <c r="C2092" s="38" t="s">
        <v>47</v>
      </c>
      <c r="D2092" s="34">
        <v>2430.4</v>
      </c>
      <c r="E2092" s="35">
        <v>44700</v>
      </c>
      <c r="F2092" s="34">
        <v>2430.4</v>
      </c>
      <c r="G2092" s="36">
        <f>Tabla16[[#This Row],[Importe]]-Tabla16[[#This Row],[Pagado]]</f>
        <v>0</v>
      </c>
      <c r="H2092" s="38" t="s">
        <v>10</v>
      </c>
    </row>
    <row r="2093" spans="1:8" x14ac:dyDescent="0.25">
      <c r="A2093" s="31">
        <v>44700</v>
      </c>
      <c r="B2093" s="38" t="s">
        <v>16255</v>
      </c>
      <c r="C2093" s="38" t="s">
        <v>29</v>
      </c>
      <c r="D2093" s="34">
        <v>3306</v>
      </c>
      <c r="E2093" s="35">
        <v>44700</v>
      </c>
      <c r="F2093" s="34">
        <v>3306</v>
      </c>
      <c r="G2093" s="36">
        <f>Tabla16[[#This Row],[Importe]]-Tabla16[[#This Row],[Pagado]]</f>
        <v>0</v>
      </c>
      <c r="H2093" s="38" t="s">
        <v>10</v>
      </c>
    </row>
    <row r="2094" spans="1:8" x14ac:dyDescent="0.25">
      <c r="A2094" s="31">
        <v>44700</v>
      </c>
      <c r="B2094" s="38" t="s">
        <v>16256</v>
      </c>
      <c r="C2094" s="38" t="s">
        <v>216</v>
      </c>
      <c r="D2094" s="34">
        <v>1548.6</v>
      </c>
      <c r="E2094" s="35">
        <v>44700</v>
      </c>
      <c r="F2094" s="34">
        <v>1548.6</v>
      </c>
      <c r="G2094" s="36">
        <f>Tabla16[[#This Row],[Importe]]-Tabla16[[#This Row],[Pagado]]</f>
        <v>0</v>
      </c>
      <c r="H2094" s="38" t="s">
        <v>10</v>
      </c>
    </row>
    <row r="2095" spans="1:8" x14ac:dyDescent="0.25">
      <c r="A2095" s="31">
        <v>44700</v>
      </c>
      <c r="B2095" s="38" t="s">
        <v>16257</v>
      </c>
      <c r="C2095" s="38" t="s">
        <v>31</v>
      </c>
      <c r="D2095" s="34">
        <v>3395.7</v>
      </c>
      <c r="E2095" s="35">
        <v>44700</v>
      </c>
      <c r="F2095" s="34">
        <v>3395.7</v>
      </c>
      <c r="G2095" s="36">
        <f>Tabla16[[#This Row],[Importe]]-Tabla16[[#This Row],[Pagado]]</f>
        <v>0</v>
      </c>
      <c r="H2095" s="38" t="s">
        <v>10</v>
      </c>
    </row>
    <row r="2096" spans="1:8" x14ac:dyDescent="0.25">
      <c r="A2096" s="31">
        <v>44700</v>
      </c>
      <c r="B2096" s="38" t="s">
        <v>16258</v>
      </c>
      <c r="C2096" s="38" t="s">
        <v>47</v>
      </c>
      <c r="D2096" s="34">
        <v>4895.2</v>
      </c>
      <c r="E2096" s="35">
        <v>44700</v>
      </c>
      <c r="F2096" s="34">
        <v>4895.2</v>
      </c>
      <c r="G2096" s="36">
        <f>Tabla16[[#This Row],[Importe]]-Tabla16[[#This Row],[Pagado]]</f>
        <v>0</v>
      </c>
      <c r="H2096" s="38" t="s">
        <v>10</v>
      </c>
    </row>
    <row r="2097" spans="1:8" x14ac:dyDescent="0.25">
      <c r="A2097" s="31">
        <v>44700</v>
      </c>
      <c r="B2097" s="38" t="s">
        <v>16259</v>
      </c>
      <c r="C2097" s="38" t="s">
        <v>45</v>
      </c>
      <c r="D2097" s="34">
        <v>13926.6</v>
      </c>
      <c r="E2097" s="35">
        <v>44700</v>
      </c>
      <c r="F2097" s="34">
        <v>13926.6</v>
      </c>
      <c r="G2097" s="36">
        <f>Tabla16[[#This Row],[Importe]]-Tabla16[[#This Row],[Pagado]]</f>
        <v>0</v>
      </c>
      <c r="H2097" s="38" t="s">
        <v>10</v>
      </c>
    </row>
    <row r="2098" spans="1:8" x14ac:dyDescent="0.25">
      <c r="A2098" s="31">
        <v>44700</v>
      </c>
      <c r="B2098" s="38" t="s">
        <v>16260</v>
      </c>
      <c r="C2098" s="38" t="s">
        <v>31</v>
      </c>
      <c r="D2098" s="34">
        <v>3601.8</v>
      </c>
      <c r="E2098" s="35">
        <v>44700</v>
      </c>
      <c r="F2098" s="34">
        <v>3601.8</v>
      </c>
      <c r="G2098" s="36">
        <f>Tabla16[[#This Row],[Importe]]-Tabla16[[#This Row],[Pagado]]</f>
        <v>0</v>
      </c>
      <c r="H2098" s="38" t="s">
        <v>10</v>
      </c>
    </row>
    <row r="2099" spans="1:8" x14ac:dyDescent="0.25">
      <c r="A2099" s="31">
        <v>44700</v>
      </c>
      <c r="B2099" s="38" t="s">
        <v>16261</v>
      </c>
      <c r="C2099" s="38" t="s">
        <v>244</v>
      </c>
      <c r="D2099" s="34">
        <v>4315.2</v>
      </c>
      <c r="E2099" s="35">
        <v>44700</v>
      </c>
      <c r="F2099" s="34">
        <v>4315.2</v>
      </c>
      <c r="G2099" s="36">
        <f>Tabla16[[#This Row],[Importe]]-Tabla16[[#This Row],[Pagado]]</f>
        <v>0</v>
      </c>
      <c r="H2099" s="38" t="s">
        <v>10</v>
      </c>
    </row>
    <row r="2100" spans="1:8" x14ac:dyDescent="0.25">
      <c r="A2100" s="31">
        <v>44700</v>
      </c>
      <c r="B2100" s="38" t="s">
        <v>16262</v>
      </c>
      <c r="C2100" s="38" t="s">
        <v>12202</v>
      </c>
      <c r="D2100" s="34">
        <v>3600</v>
      </c>
      <c r="E2100" s="35">
        <v>44700</v>
      </c>
      <c r="F2100" s="34">
        <v>3600</v>
      </c>
      <c r="G2100" s="36">
        <f>Tabla16[[#This Row],[Importe]]-Tabla16[[#This Row],[Pagado]]</f>
        <v>0</v>
      </c>
      <c r="H2100" s="38" t="s">
        <v>10</v>
      </c>
    </row>
    <row r="2101" spans="1:8" x14ac:dyDescent="0.25">
      <c r="A2101" s="31">
        <v>44700</v>
      </c>
      <c r="B2101" s="38" t="s">
        <v>16263</v>
      </c>
      <c r="C2101" s="38" t="s">
        <v>1558</v>
      </c>
      <c r="D2101" s="34">
        <v>3302.4</v>
      </c>
      <c r="E2101" s="35">
        <v>44700</v>
      </c>
      <c r="F2101" s="34">
        <v>3302.4</v>
      </c>
      <c r="G2101" s="36">
        <f>Tabla16[[#This Row],[Importe]]-Tabla16[[#This Row],[Pagado]]</f>
        <v>0</v>
      </c>
      <c r="H2101" s="38" t="s">
        <v>10</v>
      </c>
    </row>
    <row r="2102" spans="1:8" x14ac:dyDescent="0.25">
      <c r="A2102" s="31">
        <v>44700</v>
      </c>
      <c r="B2102" s="38" t="s">
        <v>16264</v>
      </c>
      <c r="C2102" s="38" t="s">
        <v>191</v>
      </c>
      <c r="D2102" s="34">
        <v>1401.6</v>
      </c>
      <c r="E2102" s="35">
        <v>44700</v>
      </c>
      <c r="F2102" s="34">
        <v>1401.6</v>
      </c>
      <c r="G2102" s="36">
        <f>Tabla16[[#This Row],[Importe]]-Tabla16[[#This Row],[Pagado]]</f>
        <v>0</v>
      </c>
      <c r="H2102" s="38" t="s">
        <v>10</v>
      </c>
    </row>
    <row r="2103" spans="1:8" x14ac:dyDescent="0.25">
      <c r="A2103" s="31">
        <v>44700</v>
      </c>
      <c r="B2103" s="38" t="s">
        <v>16265</v>
      </c>
      <c r="C2103" s="38" t="s">
        <v>16266</v>
      </c>
      <c r="D2103" s="34">
        <v>9953</v>
      </c>
      <c r="E2103" s="35">
        <v>44700</v>
      </c>
      <c r="F2103" s="34">
        <v>9953</v>
      </c>
      <c r="G2103" s="36">
        <f>Tabla16[[#This Row],[Importe]]-Tabla16[[#This Row],[Pagado]]</f>
        <v>0</v>
      </c>
      <c r="H2103" s="38" t="s">
        <v>10</v>
      </c>
    </row>
    <row r="2104" spans="1:8" x14ac:dyDescent="0.25">
      <c r="A2104" s="31">
        <v>44700</v>
      </c>
      <c r="B2104" s="38" t="s">
        <v>16267</v>
      </c>
      <c r="C2104" s="38" t="s">
        <v>16266</v>
      </c>
      <c r="D2104" s="34">
        <v>666</v>
      </c>
      <c r="E2104" s="35">
        <v>44700</v>
      </c>
      <c r="F2104" s="34">
        <v>666</v>
      </c>
      <c r="G2104" s="36">
        <f>Tabla16[[#This Row],[Importe]]-Tabla16[[#This Row],[Pagado]]</f>
        <v>0</v>
      </c>
      <c r="H2104" s="38" t="s">
        <v>10</v>
      </c>
    </row>
    <row r="2105" spans="1:8" x14ac:dyDescent="0.25">
      <c r="A2105" s="31">
        <v>44700</v>
      </c>
      <c r="B2105" s="38" t="s">
        <v>16268</v>
      </c>
      <c r="C2105" s="38" t="s">
        <v>53</v>
      </c>
      <c r="D2105" s="34">
        <v>1876.2</v>
      </c>
      <c r="E2105" s="35">
        <v>44700</v>
      </c>
      <c r="F2105" s="34">
        <v>1876.2</v>
      </c>
      <c r="G2105" s="36">
        <f>Tabla16[[#This Row],[Importe]]-Tabla16[[#This Row],[Pagado]]</f>
        <v>0</v>
      </c>
      <c r="H2105" s="38" t="s">
        <v>10</v>
      </c>
    </row>
    <row r="2106" spans="1:8" x14ac:dyDescent="0.25">
      <c r="A2106" s="31">
        <v>44700</v>
      </c>
      <c r="B2106" s="38" t="s">
        <v>16269</v>
      </c>
      <c r="C2106" s="38" t="s">
        <v>275</v>
      </c>
      <c r="D2106" s="34">
        <v>41700.76</v>
      </c>
      <c r="E2106" s="35">
        <v>44715</v>
      </c>
      <c r="F2106" s="34">
        <v>41700.76</v>
      </c>
      <c r="G2106" s="36">
        <f>Tabla16[[#This Row],[Importe]]-Tabla16[[#This Row],[Pagado]]</f>
        <v>0</v>
      </c>
      <c r="H2106" s="38" t="s">
        <v>10</v>
      </c>
    </row>
    <row r="2107" spans="1:8" x14ac:dyDescent="0.25">
      <c r="A2107" s="31">
        <v>44700</v>
      </c>
      <c r="B2107" s="38" t="s">
        <v>16270</v>
      </c>
      <c r="C2107" s="38" t="s">
        <v>31</v>
      </c>
      <c r="D2107" s="34">
        <v>516.20000000000005</v>
      </c>
      <c r="E2107" s="35">
        <v>44700</v>
      </c>
      <c r="F2107" s="34">
        <v>516.20000000000005</v>
      </c>
      <c r="G2107" s="36">
        <f>Tabla16[[#This Row],[Importe]]-Tabla16[[#This Row],[Pagado]]</f>
        <v>0</v>
      </c>
      <c r="H2107" s="38" t="s">
        <v>10</v>
      </c>
    </row>
    <row r="2108" spans="1:8" x14ac:dyDescent="0.25">
      <c r="A2108" s="31">
        <v>44700</v>
      </c>
      <c r="B2108" s="38" t="s">
        <v>16271</v>
      </c>
      <c r="C2108" s="38" t="s">
        <v>140</v>
      </c>
      <c r="D2108" s="34">
        <v>4803.6000000000004</v>
      </c>
      <c r="E2108" s="35">
        <v>44700</v>
      </c>
      <c r="F2108" s="34">
        <v>4803.6000000000004</v>
      </c>
      <c r="G2108" s="36">
        <f>Tabla16[[#This Row],[Importe]]-Tabla16[[#This Row],[Pagado]]</f>
        <v>0</v>
      </c>
      <c r="H2108" s="38" t="s">
        <v>10</v>
      </c>
    </row>
    <row r="2109" spans="1:8" x14ac:dyDescent="0.25">
      <c r="A2109" s="31">
        <v>44700</v>
      </c>
      <c r="B2109" s="38" t="s">
        <v>16272</v>
      </c>
      <c r="C2109" s="38" t="s">
        <v>3999</v>
      </c>
      <c r="D2109" s="34">
        <v>982.8</v>
      </c>
      <c r="E2109" s="35">
        <v>44700</v>
      </c>
      <c r="F2109" s="34">
        <v>982.8</v>
      </c>
      <c r="G2109" s="36">
        <f>Tabla16[[#This Row],[Importe]]-Tabla16[[#This Row],[Pagado]]</f>
        <v>0</v>
      </c>
      <c r="H2109" s="38" t="s">
        <v>10</v>
      </c>
    </row>
    <row r="2110" spans="1:8" x14ac:dyDescent="0.25">
      <c r="A2110" s="31">
        <v>44700</v>
      </c>
      <c r="B2110" s="38" t="s">
        <v>16273</v>
      </c>
      <c r="C2110" s="38" t="s">
        <v>157</v>
      </c>
      <c r="D2110" s="34">
        <v>4994.2</v>
      </c>
      <c r="E2110" s="35">
        <v>44700</v>
      </c>
      <c r="F2110" s="34">
        <v>4994.2</v>
      </c>
      <c r="G2110" s="36">
        <f>Tabla16[[#This Row],[Importe]]-Tabla16[[#This Row],[Pagado]]</f>
        <v>0</v>
      </c>
      <c r="H2110" s="38" t="s">
        <v>10</v>
      </c>
    </row>
    <row r="2111" spans="1:8" x14ac:dyDescent="0.25">
      <c r="A2111" s="31">
        <v>44700</v>
      </c>
      <c r="B2111" s="38" t="s">
        <v>16274</v>
      </c>
      <c r="C2111" s="38" t="s">
        <v>518</v>
      </c>
      <c r="D2111" s="34">
        <v>1537.6</v>
      </c>
      <c r="E2111" s="35">
        <v>44700</v>
      </c>
      <c r="F2111" s="34">
        <v>1537.6</v>
      </c>
      <c r="G2111" s="36">
        <f>Tabla16[[#This Row],[Importe]]-Tabla16[[#This Row],[Pagado]]</f>
        <v>0</v>
      </c>
      <c r="H2111" s="38" t="s">
        <v>10</v>
      </c>
    </row>
    <row r="2112" spans="1:8" x14ac:dyDescent="0.25">
      <c r="A2112" s="31">
        <v>44700</v>
      </c>
      <c r="B2112" s="38" t="s">
        <v>16275</v>
      </c>
      <c r="C2112" s="38" t="s">
        <v>520</v>
      </c>
      <c r="D2112" s="34">
        <v>14690.5</v>
      </c>
      <c r="E2112" s="35">
        <v>44706</v>
      </c>
      <c r="F2112" s="34">
        <v>14690.5</v>
      </c>
      <c r="G2112" s="36">
        <f>Tabla16[[#This Row],[Importe]]-Tabla16[[#This Row],[Pagado]]</f>
        <v>0</v>
      </c>
      <c r="H2112" s="38" t="s">
        <v>10</v>
      </c>
    </row>
    <row r="2113" spans="1:8" x14ac:dyDescent="0.25">
      <c r="A2113" s="31">
        <v>44700</v>
      </c>
      <c r="B2113" s="38" t="s">
        <v>16276</v>
      </c>
      <c r="C2113" s="38" t="s">
        <v>159</v>
      </c>
      <c r="D2113" s="34">
        <v>3295</v>
      </c>
      <c r="E2113" s="35">
        <v>44700</v>
      </c>
      <c r="F2113" s="34">
        <v>3295</v>
      </c>
      <c r="G2113" s="36">
        <f>Tabla16[[#This Row],[Importe]]-Tabla16[[#This Row],[Pagado]]</f>
        <v>0</v>
      </c>
      <c r="H2113" s="38" t="s">
        <v>10</v>
      </c>
    </row>
    <row r="2114" spans="1:8" x14ac:dyDescent="0.25">
      <c r="A2114" s="31">
        <v>44700</v>
      </c>
      <c r="B2114" s="38" t="s">
        <v>16277</v>
      </c>
      <c r="C2114" s="38" t="s">
        <v>127</v>
      </c>
      <c r="D2114" s="34">
        <v>4121.1000000000004</v>
      </c>
      <c r="E2114" s="35">
        <v>44700</v>
      </c>
      <c r="F2114" s="34">
        <v>4121.1000000000004</v>
      </c>
      <c r="G2114" s="36">
        <f>Tabla16[[#This Row],[Importe]]-Tabla16[[#This Row],[Pagado]]</f>
        <v>0</v>
      </c>
      <c r="H2114" s="38" t="s">
        <v>10</v>
      </c>
    </row>
    <row r="2115" spans="1:8" x14ac:dyDescent="0.25">
      <c r="A2115" s="31">
        <v>44700</v>
      </c>
      <c r="B2115" s="38" t="s">
        <v>16278</v>
      </c>
      <c r="C2115" s="38" t="s">
        <v>129</v>
      </c>
      <c r="D2115" s="34">
        <v>1516.3</v>
      </c>
      <c r="E2115" s="35">
        <v>44700</v>
      </c>
      <c r="F2115" s="34">
        <v>1516.3</v>
      </c>
      <c r="G2115" s="36">
        <f>Tabla16[[#This Row],[Importe]]-Tabla16[[#This Row],[Pagado]]</f>
        <v>0</v>
      </c>
      <c r="H2115" s="38" t="s">
        <v>10</v>
      </c>
    </row>
    <row r="2116" spans="1:8" x14ac:dyDescent="0.25">
      <c r="A2116" s="31">
        <v>44700</v>
      </c>
      <c r="B2116" s="38" t="s">
        <v>16279</v>
      </c>
      <c r="C2116" s="38" t="s">
        <v>419</v>
      </c>
      <c r="D2116" s="34">
        <v>6090.5</v>
      </c>
      <c r="E2116" s="35">
        <v>44700</v>
      </c>
      <c r="F2116" s="34">
        <v>6090.5</v>
      </c>
      <c r="G2116" s="36">
        <f>Tabla16[[#This Row],[Importe]]-Tabla16[[#This Row],[Pagado]]</f>
        <v>0</v>
      </c>
      <c r="H2116" s="38" t="s">
        <v>10</v>
      </c>
    </row>
    <row r="2117" spans="1:8" x14ac:dyDescent="0.25">
      <c r="A2117" s="31">
        <v>44700</v>
      </c>
      <c r="B2117" s="38" t="s">
        <v>16280</v>
      </c>
      <c r="C2117" s="38" t="s">
        <v>179</v>
      </c>
      <c r="D2117" s="34">
        <v>864.2</v>
      </c>
      <c r="E2117" s="35">
        <v>44700</v>
      </c>
      <c r="F2117" s="34">
        <v>864.2</v>
      </c>
      <c r="G2117" s="36">
        <f>Tabla16[[#This Row],[Importe]]-Tabla16[[#This Row],[Pagado]]</f>
        <v>0</v>
      </c>
      <c r="H2117" s="38" t="s">
        <v>10</v>
      </c>
    </row>
    <row r="2118" spans="1:8" x14ac:dyDescent="0.25">
      <c r="A2118" s="31">
        <v>44700</v>
      </c>
      <c r="B2118" s="38" t="s">
        <v>16281</v>
      </c>
      <c r="C2118" s="38" t="s">
        <v>135</v>
      </c>
      <c r="D2118" s="34">
        <v>1351.1</v>
      </c>
      <c r="E2118" s="35">
        <v>44700</v>
      </c>
      <c r="F2118" s="34">
        <v>1351.1</v>
      </c>
      <c r="G2118" s="36">
        <f>Tabla16[[#This Row],[Importe]]-Tabla16[[#This Row],[Pagado]]</f>
        <v>0</v>
      </c>
      <c r="H2118" s="38" t="s">
        <v>10</v>
      </c>
    </row>
    <row r="2119" spans="1:8" x14ac:dyDescent="0.25">
      <c r="A2119" s="31">
        <v>44700</v>
      </c>
      <c r="B2119" s="38" t="s">
        <v>16282</v>
      </c>
      <c r="C2119" s="38" t="s">
        <v>339</v>
      </c>
      <c r="D2119" s="34">
        <v>316.8</v>
      </c>
      <c r="E2119" s="35">
        <v>44700</v>
      </c>
      <c r="F2119" s="34">
        <v>316.8</v>
      </c>
      <c r="G2119" s="36">
        <f>Tabla16[[#This Row],[Importe]]-Tabla16[[#This Row],[Pagado]]</f>
        <v>0</v>
      </c>
      <c r="H2119" s="38" t="s">
        <v>10</v>
      </c>
    </row>
    <row r="2120" spans="1:8" x14ac:dyDescent="0.25">
      <c r="A2120" s="31">
        <v>44700</v>
      </c>
      <c r="B2120" s="38" t="s">
        <v>16283</v>
      </c>
      <c r="C2120" s="38" t="s">
        <v>698</v>
      </c>
      <c r="D2120" s="34">
        <v>6142.5</v>
      </c>
      <c r="E2120" s="35">
        <v>44700</v>
      </c>
      <c r="F2120" s="34">
        <v>6142.5</v>
      </c>
      <c r="G2120" s="36">
        <f>Tabla16[[#This Row],[Importe]]-Tabla16[[#This Row],[Pagado]]</f>
        <v>0</v>
      </c>
      <c r="H2120" s="38" t="s">
        <v>10</v>
      </c>
    </row>
    <row r="2121" spans="1:8" x14ac:dyDescent="0.25">
      <c r="A2121" s="31">
        <v>44700</v>
      </c>
      <c r="B2121" s="38" t="s">
        <v>16284</v>
      </c>
      <c r="C2121" s="38" t="s">
        <v>107</v>
      </c>
      <c r="D2121" s="34">
        <v>9392.2000000000007</v>
      </c>
      <c r="E2121" s="35">
        <v>44700</v>
      </c>
      <c r="F2121" s="34">
        <v>9392.2000000000007</v>
      </c>
      <c r="G2121" s="36">
        <f>Tabla16[[#This Row],[Importe]]-Tabla16[[#This Row],[Pagado]]</f>
        <v>0</v>
      </c>
      <c r="H2121" s="38" t="s">
        <v>10</v>
      </c>
    </row>
    <row r="2122" spans="1:8" x14ac:dyDescent="0.25">
      <c r="A2122" s="31">
        <v>44700</v>
      </c>
      <c r="B2122" s="38" t="s">
        <v>16285</v>
      </c>
      <c r="C2122" s="38" t="s">
        <v>275</v>
      </c>
      <c r="D2122" s="34">
        <v>78735.3</v>
      </c>
      <c r="E2122" s="35">
        <v>44715</v>
      </c>
      <c r="F2122" s="34">
        <v>78735.3</v>
      </c>
      <c r="G2122" s="36">
        <f>Tabla16[[#This Row],[Importe]]-Tabla16[[#This Row],[Pagado]]</f>
        <v>0</v>
      </c>
      <c r="H2122" s="38" t="s">
        <v>10</v>
      </c>
    </row>
    <row r="2123" spans="1:8" x14ac:dyDescent="0.25">
      <c r="A2123" s="31">
        <v>44700</v>
      </c>
      <c r="B2123" s="38" t="s">
        <v>16286</v>
      </c>
      <c r="C2123" s="38" t="s">
        <v>319</v>
      </c>
      <c r="D2123" s="34">
        <v>10492</v>
      </c>
      <c r="E2123" s="35">
        <v>44700</v>
      </c>
      <c r="F2123" s="34">
        <v>10492</v>
      </c>
      <c r="G2123" s="36">
        <f>Tabla16[[#This Row],[Importe]]-Tabla16[[#This Row],[Pagado]]</f>
        <v>0</v>
      </c>
      <c r="H2123" s="38" t="s">
        <v>10</v>
      </c>
    </row>
    <row r="2124" spans="1:8" x14ac:dyDescent="0.25">
      <c r="A2124" s="31">
        <v>44700</v>
      </c>
      <c r="B2124" s="38" t="s">
        <v>16287</v>
      </c>
      <c r="C2124" s="38" t="s">
        <v>67</v>
      </c>
      <c r="D2124" s="34">
        <v>1611</v>
      </c>
      <c r="E2124" s="35">
        <v>44700</v>
      </c>
      <c r="F2124" s="34">
        <v>1611</v>
      </c>
      <c r="G2124" s="36">
        <f>Tabla16[[#This Row],[Importe]]-Tabla16[[#This Row],[Pagado]]</f>
        <v>0</v>
      </c>
      <c r="H2124" s="38" t="s">
        <v>10</v>
      </c>
    </row>
    <row r="2125" spans="1:8" x14ac:dyDescent="0.25">
      <c r="A2125" s="31">
        <v>44700</v>
      </c>
      <c r="B2125" s="38" t="s">
        <v>16288</v>
      </c>
      <c r="C2125" s="38" t="s">
        <v>654</v>
      </c>
      <c r="D2125" s="34">
        <v>2016.6</v>
      </c>
      <c r="E2125" s="35">
        <v>44700</v>
      </c>
      <c r="F2125" s="34">
        <v>2016.6</v>
      </c>
      <c r="G2125" s="36">
        <f>Tabla16[[#This Row],[Importe]]-Tabla16[[#This Row],[Pagado]]</f>
        <v>0</v>
      </c>
      <c r="H2125" s="38" t="s">
        <v>10</v>
      </c>
    </row>
    <row r="2126" spans="1:8" x14ac:dyDescent="0.25">
      <c r="A2126" s="31">
        <v>44700</v>
      </c>
      <c r="B2126" s="38" t="s">
        <v>16289</v>
      </c>
      <c r="C2126" s="38" t="s">
        <v>64</v>
      </c>
      <c r="D2126" s="34">
        <v>1980</v>
      </c>
      <c r="E2126" s="35">
        <v>44700</v>
      </c>
      <c r="F2126" s="34">
        <v>1980</v>
      </c>
      <c r="G2126" s="36">
        <f>Tabla16[[#This Row],[Importe]]-Tabla16[[#This Row],[Pagado]]</f>
        <v>0</v>
      </c>
      <c r="H2126" s="38" t="s">
        <v>10</v>
      </c>
    </row>
    <row r="2127" spans="1:8" x14ac:dyDescent="0.25">
      <c r="A2127" s="31">
        <v>44700</v>
      </c>
      <c r="B2127" s="38" t="s">
        <v>16290</v>
      </c>
      <c r="C2127" s="38" t="s">
        <v>58</v>
      </c>
      <c r="D2127" s="34">
        <v>3001.5</v>
      </c>
      <c r="E2127" s="35">
        <v>44700</v>
      </c>
      <c r="F2127" s="34">
        <v>3001.5</v>
      </c>
      <c r="G2127" s="36">
        <f>Tabla16[[#This Row],[Importe]]-Tabla16[[#This Row],[Pagado]]</f>
        <v>0</v>
      </c>
      <c r="H2127" s="38" t="s">
        <v>10</v>
      </c>
    </row>
    <row r="2128" spans="1:8" x14ac:dyDescent="0.25">
      <c r="A2128" s="31">
        <v>44700</v>
      </c>
      <c r="B2128" s="38" t="s">
        <v>16291</v>
      </c>
      <c r="C2128" s="38" t="s">
        <v>204</v>
      </c>
      <c r="D2128" s="34">
        <v>296.39999999999998</v>
      </c>
      <c r="E2128" s="35">
        <v>44700</v>
      </c>
      <c r="F2128" s="34">
        <v>296.39999999999998</v>
      </c>
      <c r="G2128" s="36">
        <f>Tabla16[[#This Row],[Importe]]-Tabla16[[#This Row],[Pagado]]</f>
        <v>0</v>
      </c>
      <c r="H2128" s="38" t="s">
        <v>10</v>
      </c>
    </row>
    <row r="2129" spans="1:8" x14ac:dyDescent="0.25">
      <c r="A2129" s="31">
        <v>44700</v>
      </c>
      <c r="B2129" s="38" t="s">
        <v>16292</v>
      </c>
      <c r="C2129" s="38" t="s">
        <v>450</v>
      </c>
      <c r="D2129" s="34">
        <v>1725</v>
      </c>
      <c r="E2129" s="35">
        <v>44700</v>
      </c>
      <c r="F2129" s="34">
        <v>1725</v>
      </c>
      <c r="G2129" s="36">
        <f>Tabla16[[#This Row],[Importe]]-Tabla16[[#This Row],[Pagado]]</f>
        <v>0</v>
      </c>
      <c r="H2129" s="38" t="s">
        <v>10</v>
      </c>
    </row>
    <row r="2130" spans="1:8" x14ac:dyDescent="0.25">
      <c r="A2130" s="31">
        <v>44700</v>
      </c>
      <c r="B2130" s="38" t="s">
        <v>16293</v>
      </c>
      <c r="C2130" s="38" t="s">
        <v>13482</v>
      </c>
      <c r="D2130" s="34">
        <v>0</v>
      </c>
      <c r="E2130" s="39" t="s">
        <v>189</v>
      </c>
      <c r="F2130" s="34">
        <v>0</v>
      </c>
      <c r="G2130" s="36">
        <f>Tabla16[[#This Row],[Importe]]-Tabla16[[#This Row],[Pagado]]</f>
        <v>0</v>
      </c>
      <c r="H2130" s="105" t="s">
        <v>16294</v>
      </c>
    </row>
    <row r="2131" spans="1:8" x14ac:dyDescent="0.25">
      <c r="A2131" s="31">
        <v>44700</v>
      </c>
      <c r="B2131" s="38" t="s">
        <v>16295</v>
      </c>
      <c r="C2131" s="38" t="s">
        <v>840</v>
      </c>
      <c r="D2131" s="34">
        <v>34674.800000000003</v>
      </c>
      <c r="E2131" s="35">
        <v>44700</v>
      </c>
      <c r="F2131" s="34">
        <v>34674.800000000003</v>
      </c>
      <c r="G2131" s="36">
        <f>Tabla16[[#This Row],[Importe]]-Tabla16[[#This Row],[Pagado]]</f>
        <v>0</v>
      </c>
      <c r="H2131" s="38" t="s">
        <v>10</v>
      </c>
    </row>
    <row r="2132" spans="1:8" x14ac:dyDescent="0.25">
      <c r="A2132" s="31">
        <v>44700</v>
      </c>
      <c r="B2132" s="38" t="s">
        <v>16296</v>
      </c>
      <c r="C2132" s="38" t="s">
        <v>15092</v>
      </c>
      <c r="D2132" s="34">
        <v>0</v>
      </c>
      <c r="E2132" s="39" t="s">
        <v>189</v>
      </c>
      <c r="F2132" s="34">
        <v>0</v>
      </c>
      <c r="G2132" s="36">
        <f>Tabla16[[#This Row],[Importe]]-Tabla16[[#This Row],[Pagado]]</f>
        <v>0</v>
      </c>
      <c r="H2132" s="105" t="s">
        <v>16297</v>
      </c>
    </row>
    <row r="2133" spans="1:8" x14ac:dyDescent="0.25">
      <c r="A2133" s="31">
        <v>44700</v>
      </c>
      <c r="B2133" s="38" t="s">
        <v>16298</v>
      </c>
      <c r="C2133" s="38" t="s">
        <v>16299</v>
      </c>
      <c r="D2133" s="34">
        <v>0</v>
      </c>
      <c r="E2133" s="39" t="s">
        <v>189</v>
      </c>
      <c r="F2133" s="34">
        <v>0</v>
      </c>
      <c r="G2133" s="36">
        <f>Tabla16[[#This Row],[Importe]]-Tabla16[[#This Row],[Pagado]]</f>
        <v>0</v>
      </c>
      <c r="H2133" s="105" t="s">
        <v>16300</v>
      </c>
    </row>
    <row r="2134" spans="1:8" x14ac:dyDescent="0.25">
      <c r="A2134" s="31">
        <v>44700</v>
      </c>
      <c r="B2134" s="38" t="s">
        <v>16301</v>
      </c>
      <c r="C2134" s="38" t="s">
        <v>1237</v>
      </c>
      <c r="D2134" s="34">
        <v>42071.48</v>
      </c>
      <c r="E2134" s="35">
        <v>44700</v>
      </c>
      <c r="F2134" s="34">
        <v>42071.48</v>
      </c>
      <c r="G2134" s="36">
        <f>Tabla16[[#This Row],[Importe]]-Tabla16[[#This Row],[Pagado]]</f>
        <v>0</v>
      </c>
      <c r="H2134" s="38" t="s">
        <v>10</v>
      </c>
    </row>
    <row r="2135" spans="1:8" x14ac:dyDescent="0.25">
      <c r="A2135" s="31">
        <v>44700</v>
      </c>
      <c r="B2135" s="38" t="s">
        <v>16302</v>
      </c>
      <c r="C2135" s="38" t="s">
        <v>31</v>
      </c>
      <c r="D2135" s="34">
        <v>539.4</v>
      </c>
      <c r="E2135" s="35">
        <v>44700</v>
      </c>
      <c r="F2135" s="34">
        <v>539.4</v>
      </c>
      <c r="G2135" s="36">
        <f>Tabla16[[#This Row],[Importe]]-Tabla16[[#This Row],[Pagado]]</f>
        <v>0</v>
      </c>
      <c r="H2135" s="38" t="s">
        <v>10</v>
      </c>
    </row>
    <row r="2136" spans="1:8" x14ac:dyDescent="0.25">
      <c r="A2136" s="31">
        <v>44700</v>
      </c>
      <c r="B2136" s="38" t="s">
        <v>16303</v>
      </c>
      <c r="C2136" s="38" t="s">
        <v>191</v>
      </c>
      <c r="D2136" s="34">
        <v>1491.2</v>
      </c>
      <c r="E2136" s="35">
        <v>44700</v>
      </c>
      <c r="F2136" s="34">
        <v>1491.2</v>
      </c>
      <c r="G2136" s="36">
        <f>Tabla16[[#This Row],[Importe]]-Tabla16[[#This Row],[Pagado]]</f>
        <v>0</v>
      </c>
      <c r="H2136" s="38" t="s">
        <v>10</v>
      </c>
    </row>
    <row r="2137" spans="1:8" x14ac:dyDescent="0.25">
      <c r="A2137" s="31">
        <v>44700</v>
      </c>
      <c r="B2137" s="38" t="s">
        <v>16304</v>
      </c>
      <c r="C2137" s="38" t="s">
        <v>67</v>
      </c>
      <c r="D2137" s="34">
        <v>539.4</v>
      </c>
      <c r="E2137" s="35">
        <v>44700</v>
      </c>
      <c r="F2137" s="34">
        <v>539.4</v>
      </c>
      <c r="G2137" s="36">
        <f>Tabla16[[#This Row],[Importe]]-Tabla16[[#This Row],[Pagado]]</f>
        <v>0</v>
      </c>
      <c r="H2137" s="38" t="s">
        <v>10</v>
      </c>
    </row>
    <row r="2138" spans="1:8" x14ac:dyDescent="0.25">
      <c r="A2138" s="31">
        <v>44700</v>
      </c>
      <c r="B2138" s="38" t="s">
        <v>16305</v>
      </c>
      <c r="C2138" s="38" t="s">
        <v>843</v>
      </c>
      <c r="D2138" s="34">
        <v>14755</v>
      </c>
      <c r="E2138" s="35">
        <v>44701</v>
      </c>
      <c r="F2138" s="34">
        <v>14755</v>
      </c>
      <c r="G2138" s="36">
        <f>Tabla16[[#This Row],[Importe]]-Tabla16[[#This Row],[Pagado]]</f>
        <v>0</v>
      </c>
      <c r="H2138" s="38" t="s">
        <v>10</v>
      </c>
    </row>
    <row r="2139" spans="1:8" x14ac:dyDescent="0.25">
      <c r="A2139" s="31">
        <v>44700</v>
      </c>
      <c r="B2139" s="38" t="s">
        <v>16306</v>
      </c>
      <c r="C2139" s="38" t="s">
        <v>284</v>
      </c>
      <c r="D2139" s="34">
        <v>5771</v>
      </c>
      <c r="E2139" s="35">
        <v>44701</v>
      </c>
      <c r="F2139" s="34">
        <v>5771</v>
      </c>
      <c r="G2139" s="36">
        <f>Tabla16[[#This Row],[Importe]]-Tabla16[[#This Row],[Pagado]]</f>
        <v>0</v>
      </c>
      <c r="H2139" s="38" t="s">
        <v>10</v>
      </c>
    </row>
    <row r="2140" spans="1:8" x14ac:dyDescent="0.25">
      <c r="A2140" s="31">
        <v>44700</v>
      </c>
      <c r="B2140" s="38" t="s">
        <v>16307</v>
      </c>
      <c r="C2140" s="38" t="s">
        <v>5345</v>
      </c>
      <c r="D2140" s="34">
        <v>3538</v>
      </c>
      <c r="E2140" s="35">
        <v>44701</v>
      </c>
      <c r="F2140" s="34">
        <v>3538</v>
      </c>
      <c r="G2140" s="36">
        <f>Tabla16[[#This Row],[Importe]]-Tabla16[[#This Row],[Pagado]]</f>
        <v>0</v>
      </c>
      <c r="H2140" s="38" t="s">
        <v>10</v>
      </c>
    </row>
    <row r="2141" spans="1:8" x14ac:dyDescent="0.25">
      <c r="A2141" s="31">
        <v>44700</v>
      </c>
      <c r="B2141" s="38" t="s">
        <v>16308</v>
      </c>
      <c r="C2141" s="38" t="s">
        <v>282</v>
      </c>
      <c r="D2141" s="34">
        <v>1682</v>
      </c>
      <c r="E2141" s="35">
        <v>44701</v>
      </c>
      <c r="F2141" s="34">
        <v>1682</v>
      </c>
      <c r="G2141" s="36">
        <f>Tabla16[[#This Row],[Importe]]-Tabla16[[#This Row],[Pagado]]</f>
        <v>0</v>
      </c>
      <c r="H2141" s="38" t="s">
        <v>10</v>
      </c>
    </row>
    <row r="2142" spans="1:8" x14ac:dyDescent="0.25">
      <c r="A2142" s="31">
        <v>44700</v>
      </c>
      <c r="B2142" s="38" t="s">
        <v>16309</v>
      </c>
      <c r="C2142" s="38" t="s">
        <v>16</v>
      </c>
      <c r="D2142" s="34">
        <v>2449.4</v>
      </c>
      <c r="E2142" s="35">
        <v>44700</v>
      </c>
      <c r="F2142" s="34">
        <v>2449.4</v>
      </c>
      <c r="G2142" s="36">
        <f>Tabla16[[#This Row],[Importe]]-Tabla16[[#This Row],[Pagado]]</f>
        <v>0</v>
      </c>
      <c r="H2142" s="38" t="s">
        <v>10</v>
      </c>
    </row>
    <row r="2143" spans="1:8" x14ac:dyDescent="0.25">
      <c r="A2143" s="31">
        <v>44700</v>
      </c>
      <c r="B2143" s="38" t="s">
        <v>16310</v>
      </c>
      <c r="C2143" s="38" t="s">
        <v>10819</v>
      </c>
      <c r="D2143" s="34">
        <v>493</v>
      </c>
      <c r="E2143" s="35">
        <v>44701</v>
      </c>
      <c r="F2143" s="34">
        <v>493</v>
      </c>
      <c r="G2143" s="36">
        <f>Tabla16[[#This Row],[Importe]]-Tabla16[[#This Row],[Pagado]]</f>
        <v>0</v>
      </c>
      <c r="H2143" s="38" t="s">
        <v>10</v>
      </c>
    </row>
    <row r="2144" spans="1:8" x14ac:dyDescent="0.25">
      <c r="A2144" s="31">
        <v>44700</v>
      </c>
      <c r="B2144" s="38" t="s">
        <v>16311</v>
      </c>
      <c r="C2144" s="38" t="s">
        <v>280</v>
      </c>
      <c r="D2144" s="34">
        <v>493</v>
      </c>
      <c r="E2144" s="35">
        <v>44701</v>
      </c>
      <c r="F2144" s="34">
        <v>493</v>
      </c>
      <c r="G2144" s="36">
        <f>Tabla16[[#This Row],[Importe]]-Tabla16[[#This Row],[Pagado]]</f>
        <v>0</v>
      </c>
      <c r="H2144" s="38" t="s">
        <v>10</v>
      </c>
    </row>
    <row r="2145" spans="1:8" x14ac:dyDescent="0.25">
      <c r="A2145" s="31">
        <v>44700</v>
      </c>
      <c r="B2145" s="38" t="s">
        <v>16312</v>
      </c>
      <c r="C2145" s="38" t="s">
        <v>431</v>
      </c>
      <c r="D2145" s="34">
        <v>620.6</v>
      </c>
      <c r="E2145" s="35">
        <v>44701</v>
      </c>
      <c r="F2145" s="34">
        <v>620.6</v>
      </c>
      <c r="G2145" s="36">
        <f>Tabla16[[#This Row],[Importe]]-Tabla16[[#This Row],[Pagado]]</f>
        <v>0</v>
      </c>
      <c r="H2145" s="38" t="s">
        <v>10</v>
      </c>
    </row>
    <row r="2146" spans="1:8" x14ac:dyDescent="0.25">
      <c r="A2146" s="31">
        <v>44700</v>
      </c>
      <c r="B2146" s="38" t="s">
        <v>16313</v>
      </c>
      <c r="C2146" s="38" t="s">
        <v>729</v>
      </c>
      <c r="D2146" s="34">
        <v>21174.400000000001</v>
      </c>
      <c r="E2146" s="35">
        <v>44701</v>
      </c>
      <c r="F2146" s="34">
        <v>21174.400000000001</v>
      </c>
      <c r="G2146" s="36">
        <f>Tabla16[[#This Row],[Importe]]-Tabla16[[#This Row],[Pagado]]</f>
        <v>0</v>
      </c>
      <c r="H2146" s="38" t="s">
        <v>10</v>
      </c>
    </row>
    <row r="2147" spans="1:8" x14ac:dyDescent="0.25">
      <c r="A2147" s="31">
        <v>44700</v>
      </c>
      <c r="B2147" s="38" t="s">
        <v>16314</v>
      </c>
      <c r="C2147" s="38" t="s">
        <v>10678</v>
      </c>
      <c r="D2147" s="34">
        <v>3378</v>
      </c>
      <c r="E2147" s="35">
        <v>44700</v>
      </c>
      <c r="F2147" s="34">
        <v>3378</v>
      </c>
      <c r="G2147" s="36">
        <f>Tabla16[[#This Row],[Importe]]-Tabla16[[#This Row],[Pagado]]</f>
        <v>0</v>
      </c>
      <c r="H2147" s="38" t="s">
        <v>10</v>
      </c>
    </row>
    <row r="2148" spans="1:8" x14ac:dyDescent="0.25">
      <c r="A2148" s="31">
        <v>44700</v>
      </c>
      <c r="B2148" s="38" t="s">
        <v>16315</v>
      </c>
      <c r="C2148" s="38" t="s">
        <v>175</v>
      </c>
      <c r="D2148" s="34">
        <v>1041.2</v>
      </c>
      <c r="E2148" s="35">
        <v>44701</v>
      </c>
      <c r="F2148" s="34">
        <v>1041.2</v>
      </c>
      <c r="G2148" s="36">
        <f>Tabla16[[#This Row],[Importe]]-Tabla16[[#This Row],[Pagado]]</f>
        <v>0</v>
      </c>
      <c r="H2148" s="38" t="s">
        <v>10</v>
      </c>
    </row>
    <row r="2149" spans="1:8" x14ac:dyDescent="0.25">
      <c r="A2149" s="31">
        <v>44700</v>
      </c>
      <c r="B2149" s="38" t="s">
        <v>16316</v>
      </c>
      <c r="C2149" s="38" t="s">
        <v>359</v>
      </c>
      <c r="D2149" s="34">
        <v>653.6</v>
      </c>
      <c r="E2149" s="35">
        <v>44701</v>
      </c>
      <c r="F2149" s="34">
        <v>653.6</v>
      </c>
      <c r="G2149" s="36">
        <f>Tabla16[[#This Row],[Importe]]-Tabla16[[#This Row],[Pagado]]</f>
        <v>0</v>
      </c>
      <c r="H2149" s="38" t="s">
        <v>10</v>
      </c>
    </row>
    <row r="2150" spans="1:8" x14ac:dyDescent="0.25">
      <c r="A2150" s="31">
        <v>44700</v>
      </c>
      <c r="B2150" s="38" t="s">
        <v>16317</v>
      </c>
      <c r="C2150" s="38" t="s">
        <v>4136</v>
      </c>
      <c r="D2150" s="34">
        <v>3465.8</v>
      </c>
      <c r="E2150" s="35">
        <v>44700</v>
      </c>
      <c r="F2150" s="34">
        <v>3465.8</v>
      </c>
      <c r="G2150" s="36">
        <f>Tabla16[[#This Row],[Importe]]-Tabla16[[#This Row],[Pagado]]</f>
        <v>0</v>
      </c>
      <c r="H2150" s="38" t="s">
        <v>10</v>
      </c>
    </row>
    <row r="2151" spans="1:8" x14ac:dyDescent="0.25">
      <c r="A2151" s="31">
        <v>44700</v>
      </c>
      <c r="B2151" s="38" t="s">
        <v>16318</v>
      </c>
      <c r="C2151" s="38" t="s">
        <v>175</v>
      </c>
      <c r="D2151" s="34">
        <v>35709.599999999999</v>
      </c>
      <c r="E2151" s="35">
        <v>44700</v>
      </c>
      <c r="F2151" s="34">
        <v>35709.599999999999</v>
      </c>
      <c r="G2151" s="36">
        <f>Tabla16[[#This Row],[Importe]]-Tabla16[[#This Row],[Pagado]]</f>
        <v>0</v>
      </c>
      <c r="H2151" s="38" t="s">
        <v>10</v>
      </c>
    </row>
    <row r="2152" spans="1:8" x14ac:dyDescent="0.25">
      <c r="A2152" s="31">
        <v>44700</v>
      </c>
      <c r="B2152" s="38" t="s">
        <v>16319</v>
      </c>
      <c r="C2152" s="38" t="s">
        <v>732</v>
      </c>
      <c r="D2152" s="34">
        <v>6633</v>
      </c>
      <c r="E2152" s="35">
        <v>44700</v>
      </c>
      <c r="F2152" s="34">
        <v>6633</v>
      </c>
      <c r="G2152" s="36">
        <f>Tabla16[[#This Row],[Importe]]-Tabla16[[#This Row],[Pagado]]</f>
        <v>0</v>
      </c>
      <c r="H2152" s="38" t="s">
        <v>10</v>
      </c>
    </row>
    <row r="2153" spans="1:8" x14ac:dyDescent="0.25">
      <c r="A2153" s="31">
        <v>44700</v>
      </c>
      <c r="B2153" s="38" t="s">
        <v>16320</v>
      </c>
      <c r="C2153" s="38" t="s">
        <v>452</v>
      </c>
      <c r="D2153" s="34">
        <v>4819.2</v>
      </c>
      <c r="E2153" s="35">
        <v>44700</v>
      </c>
      <c r="F2153" s="34">
        <v>4819.2</v>
      </c>
      <c r="G2153" s="36">
        <f>Tabla16[[#This Row],[Importe]]-Tabla16[[#This Row],[Pagado]]</f>
        <v>0</v>
      </c>
      <c r="H2153" s="38" t="s">
        <v>10</v>
      </c>
    </row>
    <row r="2154" spans="1:8" x14ac:dyDescent="0.25">
      <c r="A2154" s="31">
        <v>44700</v>
      </c>
      <c r="B2154" s="38" t="s">
        <v>16321</v>
      </c>
      <c r="C2154" s="38" t="s">
        <v>3900</v>
      </c>
      <c r="D2154" s="34">
        <v>4973.8</v>
      </c>
      <c r="E2154" s="35">
        <v>44700</v>
      </c>
      <c r="F2154" s="34">
        <v>4973.8</v>
      </c>
      <c r="G2154" s="36">
        <f>Tabla16[[#This Row],[Importe]]-Tabla16[[#This Row],[Pagado]]</f>
        <v>0</v>
      </c>
      <c r="H2154" s="38" t="s">
        <v>10</v>
      </c>
    </row>
    <row r="2155" spans="1:8" x14ac:dyDescent="0.25">
      <c r="A2155" s="31">
        <v>44700</v>
      </c>
      <c r="B2155" s="38" t="s">
        <v>16322</v>
      </c>
      <c r="C2155" s="38" t="s">
        <v>56</v>
      </c>
      <c r="D2155" s="34">
        <v>5381</v>
      </c>
      <c r="E2155" s="35">
        <v>44700</v>
      </c>
      <c r="F2155" s="34">
        <v>5381</v>
      </c>
      <c r="G2155" s="36">
        <f>Tabla16[[#This Row],[Importe]]-Tabla16[[#This Row],[Pagado]]</f>
        <v>0</v>
      </c>
      <c r="H2155" s="38" t="s">
        <v>10</v>
      </c>
    </row>
    <row r="2156" spans="1:8" x14ac:dyDescent="0.25">
      <c r="A2156" s="31">
        <v>44700</v>
      </c>
      <c r="B2156" s="38" t="s">
        <v>16323</v>
      </c>
      <c r="C2156" s="38" t="s">
        <v>296</v>
      </c>
      <c r="D2156" s="34">
        <v>1339.3</v>
      </c>
      <c r="E2156" s="35">
        <v>44700</v>
      </c>
      <c r="F2156" s="34">
        <v>1339.3</v>
      </c>
      <c r="G2156" s="36">
        <f>Tabla16[[#This Row],[Importe]]-Tabla16[[#This Row],[Pagado]]</f>
        <v>0</v>
      </c>
      <c r="H2156" s="38" t="s">
        <v>10</v>
      </c>
    </row>
    <row r="2157" spans="1:8" x14ac:dyDescent="0.25">
      <c r="A2157" s="31">
        <v>44700</v>
      </c>
      <c r="B2157" s="38" t="s">
        <v>16324</v>
      </c>
      <c r="C2157" s="38" t="s">
        <v>373</v>
      </c>
      <c r="D2157" s="34">
        <v>1792</v>
      </c>
      <c r="E2157" s="35">
        <v>44700</v>
      </c>
      <c r="F2157" s="34">
        <v>1792</v>
      </c>
      <c r="G2157" s="36">
        <f>Tabla16[[#This Row],[Importe]]-Tabla16[[#This Row],[Pagado]]</f>
        <v>0</v>
      </c>
      <c r="H2157" s="38" t="s">
        <v>10</v>
      </c>
    </row>
    <row r="2158" spans="1:8" x14ac:dyDescent="0.25">
      <c r="A2158" s="31">
        <v>44700</v>
      </c>
      <c r="B2158" s="38" t="s">
        <v>16325</v>
      </c>
      <c r="C2158" s="38" t="s">
        <v>31</v>
      </c>
      <c r="D2158" s="34">
        <v>464</v>
      </c>
      <c r="E2158" s="35">
        <v>44700</v>
      </c>
      <c r="F2158" s="34">
        <v>464</v>
      </c>
      <c r="G2158" s="36">
        <f>Tabla16[[#This Row],[Importe]]-Tabla16[[#This Row],[Pagado]]</f>
        <v>0</v>
      </c>
      <c r="H2158" s="38" t="s">
        <v>10</v>
      </c>
    </row>
    <row r="2159" spans="1:8" x14ac:dyDescent="0.25">
      <c r="A2159" s="31">
        <v>44700</v>
      </c>
      <c r="B2159" s="38" t="s">
        <v>16326</v>
      </c>
      <c r="C2159" s="38" t="s">
        <v>53</v>
      </c>
      <c r="D2159" s="34">
        <v>2110.9</v>
      </c>
      <c r="E2159" s="35">
        <v>44700</v>
      </c>
      <c r="F2159" s="34">
        <v>2110.9</v>
      </c>
      <c r="G2159" s="36">
        <f>Tabla16[[#This Row],[Importe]]-Tabla16[[#This Row],[Pagado]]</f>
        <v>0</v>
      </c>
      <c r="H2159" s="38" t="s">
        <v>10</v>
      </c>
    </row>
    <row r="2160" spans="1:8" x14ac:dyDescent="0.25">
      <c r="A2160" s="31">
        <v>44700</v>
      </c>
      <c r="B2160" s="38" t="s">
        <v>16327</v>
      </c>
      <c r="C2160" s="38" t="s">
        <v>5694</v>
      </c>
      <c r="D2160" s="34">
        <v>3342.8</v>
      </c>
      <c r="E2160" s="35">
        <v>44700</v>
      </c>
      <c r="F2160" s="34">
        <v>3342.8</v>
      </c>
      <c r="G2160" s="36">
        <f>Tabla16[[#This Row],[Importe]]-Tabla16[[#This Row],[Pagado]]</f>
        <v>0</v>
      </c>
      <c r="H2160" s="38" t="s">
        <v>10</v>
      </c>
    </row>
    <row r="2161" spans="1:8" x14ac:dyDescent="0.25">
      <c r="A2161" s="31">
        <v>44700</v>
      </c>
      <c r="B2161" s="38" t="s">
        <v>16328</v>
      </c>
      <c r="C2161" s="38" t="s">
        <v>11685</v>
      </c>
      <c r="D2161" s="34">
        <v>3800</v>
      </c>
      <c r="E2161" s="35">
        <v>44700</v>
      </c>
      <c r="F2161" s="34">
        <v>3800</v>
      </c>
      <c r="G2161" s="36">
        <f>Tabla16[[#This Row],[Importe]]-Tabla16[[#This Row],[Pagado]]</f>
        <v>0</v>
      </c>
      <c r="H2161" s="38" t="s">
        <v>10</v>
      </c>
    </row>
    <row r="2162" spans="1:8" x14ac:dyDescent="0.25">
      <c r="A2162" s="31">
        <v>44700</v>
      </c>
      <c r="B2162" s="38" t="s">
        <v>16329</v>
      </c>
      <c r="C2162" s="38" t="s">
        <v>654</v>
      </c>
      <c r="D2162" s="34">
        <v>3415.6</v>
      </c>
      <c r="E2162" s="35">
        <v>44700</v>
      </c>
      <c r="F2162" s="34">
        <v>3415.6</v>
      </c>
      <c r="G2162" s="36">
        <f>Tabla16[[#This Row],[Importe]]-Tabla16[[#This Row],[Pagado]]</f>
        <v>0</v>
      </c>
      <c r="H2162" s="38" t="s">
        <v>10</v>
      </c>
    </row>
    <row r="2163" spans="1:8" x14ac:dyDescent="0.25">
      <c r="A2163" s="31">
        <v>44700</v>
      </c>
      <c r="B2163" s="38" t="s">
        <v>16330</v>
      </c>
      <c r="C2163" s="38" t="s">
        <v>407</v>
      </c>
      <c r="D2163" s="34">
        <v>1273.5999999999999</v>
      </c>
      <c r="E2163" s="35">
        <v>44708</v>
      </c>
      <c r="F2163" s="34">
        <v>1273.5999999999999</v>
      </c>
      <c r="G2163" s="36">
        <f>Tabla16[[#This Row],[Importe]]-Tabla16[[#This Row],[Pagado]]</f>
        <v>0</v>
      </c>
      <c r="H2163" s="38" t="s">
        <v>10</v>
      </c>
    </row>
    <row r="2164" spans="1:8" x14ac:dyDescent="0.25">
      <c r="A2164" s="31">
        <v>44700</v>
      </c>
      <c r="B2164" s="38" t="s">
        <v>16331</v>
      </c>
      <c r="C2164" s="38" t="s">
        <v>16332</v>
      </c>
      <c r="D2164" s="34">
        <v>0</v>
      </c>
      <c r="E2164" s="39" t="s">
        <v>189</v>
      </c>
      <c r="F2164" s="34">
        <v>0</v>
      </c>
      <c r="G2164" s="36">
        <f>Tabla16[[#This Row],[Importe]]-Tabla16[[#This Row],[Pagado]]</f>
        <v>0</v>
      </c>
      <c r="H2164" s="38" t="s">
        <v>189</v>
      </c>
    </row>
    <row r="2165" spans="1:8" x14ac:dyDescent="0.25">
      <c r="A2165" s="31">
        <v>44700</v>
      </c>
      <c r="B2165" s="38" t="s">
        <v>16333</v>
      </c>
      <c r="C2165" s="38" t="s">
        <v>291</v>
      </c>
      <c r="D2165" s="34">
        <v>688</v>
      </c>
      <c r="E2165" s="35">
        <v>44701</v>
      </c>
      <c r="F2165" s="34">
        <v>688</v>
      </c>
      <c r="G2165" s="36">
        <f>Tabla16[[#This Row],[Importe]]-Tabla16[[#This Row],[Pagado]]</f>
        <v>0</v>
      </c>
      <c r="H2165" s="38" t="s">
        <v>10</v>
      </c>
    </row>
    <row r="2166" spans="1:8" x14ac:dyDescent="0.25">
      <c r="A2166" s="31">
        <v>44700</v>
      </c>
      <c r="B2166" s="38" t="s">
        <v>16334</v>
      </c>
      <c r="C2166" s="38" t="s">
        <v>8949</v>
      </c>
      <c r="D2166" s="34">
        <v>1879.8</v>
      </c>
      <c r="E2166" s="35">
        <v>44701</v>
      </c>
      <c r="F2166" s="34">
        <v>1879.8</v>
      </c>
      <c r="G2166" s="36">
        <f>Tabla16[[#This Row],[Importe]]-Tabla16[[#This Row],[Pagado]]</f>
        <v>0</v>
      </c>
      <c r="H2166" s="38" t="s">
        <v>10</v>
      </c>
    </row>
    <row r="2167" spans="1:8" x14ac:dyDescent="0.25">
      <c r="A2167" s="31">
        <v>44700</v>
      </c>
      <c r="B2167" s="38" t="s">
        <v>16335</v>
      </c>
      <c r="C2167" s="38" t="s">
        <v>31</v>
      </c>
      <c r="D2167" s="34">
        <v>1596.2</v>
      </c>
      <c r="E2167" s="35">
        <v>44701</v>
      </c>
      <c r="F2167" s="34">
        <v>1596.2</v>
      </c>
      <c r="G2167" s="36">
        <f>Tabla16[[#This Row],[Importe]]-Tabla16[[#This Row],[Pagado]]</f>
        <v>0</v>
      </c>
      <c r="H2167" s="38" t="s">
        <v>10</v>
      </c>
    </row>
    <row r="2168" spans="1:8" x14ac:dyDescent="0.25">
      <c r="A2168" s="31">
        <v>44701</v>
      </c>
      <c r="B2168" s="38" t="s">
        <v>16336</v>
      </c>
      <c r="C2168" s="38" t="s">
        <v>475</v>
      </c>
      <c r="D2168" s="34">
        <v>65203.8</v>
      </c>
      <c r="E2168" s="35">
        <v>44702</v>
      </c>
      <c r="F2168" s="34">
        <v>65203.8</v>
      </c>
      <c r="G2168" s="36">
        <f>Tabla16[[#This Row],[Importe]]-Tabla16[[#This Row],[Pagado]]</f>
        <v>0</v>
      </c>
      <c r="H2168" s="38" t="s">
        <v>10</v>
      </c>
    </row>
    <row r="2169" spans="1:8" x14ac:dyDescent="0.25">
      <c r="A2169" s="31">
        <v>44701</v>
      </c>
      <c r="B2169" s="38" t="s">
        <v>16337</v>
      </c>
      <c r="C2169" s="38" t="s">
        <v>345</v>
      </c>
      <c r="D2169" s="34">
        <v>452.4</v>
      </c>
      <c r="E2169" s="35">
        <v>44701</v>
      </c>
      <c r="F2169" s="34">
        <v>452.4</v>
      </c>
      <c r="G2169" s="36">
        <f>Tabla16[[#This Row],[Importe]]-Tabla16[[#This Row],[Pagado]]</f>
        <v>0</v>
      </c>
      <c r="H2169" s="38" t="s">
        <v>10</v>
      </c>
    </row>
    <row r="2170" spans="1:8" x14ac:dyDescent="0.25">
      <c r="A2170" s="31">
        <v>44701</v>
      </c>
      <c r="B2170" s="38" t="s">
        <v>16338</v>
      </c>
      <c r="C2170" s="38" t="s">
        <v>89</v>
      </c>
      <c r="D2170" s="34">
        <v>5242.5</v>
      </c>
      <c r="E2170" s="35">
        <v>44702</v>
      </c>
      <c r="F2170" s="34">
        <v>5242.5</v>
      </c>
      <c r="G2170" s="36">
        <f>Tabla16[[#This Row],[Importe]]-Tabla16[[#This Row],[Pagado]]</f>
        <v>0</v>
      </c>
      <c r="H2170" s="38" t="s">
        <v>10</v>
      </c>
    </row>
    <row r="2171" spans="1:8" x14ac:dyDescent="0.25">
      <c r="A2171" s="31">
        <v>44701</v>
      </c>
      <c r="B2171" s="38" t="s">
        <v>16339</v>
      </c>
      <c r="C2171" s="38" t="s">
        <v>2151</v>
      </c>
      <c r="D2171" s="34">
        <v>17479.8</v>
      </c>
      <c r="E2171" s="35">
        <v>44701</v>
      </c>
      <c r="F2171" s="34">
        <v>17479.8</v>
      </c>
      <c r="G2171" s="36">
        <f>Tabla16[[#This Row],[Importe]]-Tabla16[[#This Row],[Pagado]]</f>
        <v>0</v>
      </c>
      <c r="H2171" s="38" t="s">
        <v>10</v>
      </c>
    </row>
    <row r="2172" spans="1:8" x14ac:dyDescent="0.25">
      <c r="A2172" s="31">
        <v>44701</v>
      </c>
      <c r="B2172" s="38" t="s">
        <v>16340</v>
      </c>
      <c r="C2172" s="38" t="s">
        <v>114</v>
      </c>
      <c r="D2172" s="34">
        <v>10056.799999999999</v>
      </c>
      <c r="E2172" s="35">
        <v>44702</v>
      </c>
      <c r="F2172" s="34">
        <v>10056.799999999999</v>
      </c>
      <c r="G2172" s="36">
        <f>Tabla16[[#This Row],[Importe]]-Tabla16[[#This Row],[Pagado]]</f>
        <v>0</v>
      </c>
      <c r="H2172" s="38" t="s">
        <v>10</v>
      </c>
    </row>
    <row r="2173" spans="1:8" x14ac:dyDescent="0.25">
      <c r="A2173" s="31">
        <v>44701</v>
      </c>
      <c r="B2173" s="38" t="s">
        <v>16341</v>
      </c>
      <c r="C2173" s="38" t="s">
        <v>97</v>
      </c>
      <c r="D2173" s="34">
        <v>5887</v>
      </c>
      <c r="E2173" s="35">
        <v>44702</v>
      </c>
      <c r="F2173" s="34">
        <v>5887</v>
      </c>
      <c r="G2173" s="36">
        <f>Tabla16[[#This Row],[Importe]]-Tabla16[[#This Row],[Pagado]]</f>
        <v>0</v>
      </c>
      <c r="H2173" s="38" t="s">
        <v>10</v>
      </c>
    </row>
    <row r="2174" spans="1:8" x14ac:dyDescent="0.25">
      <c r="A2174" s="31">
        <v>44701</v>
      </c>
      <c r="B2174" s="38" t="s">
        <v>16342</v>
      </c>
      <c r="C2174" s="38" t="s">
        <v>109</v>
      </c>
      <c r="D2174" s="34">
        <v>4232.8</v>
      </c>
      <c r="E2174" s="35">
        <v>44702</v>
      </c>
      <c r="F2174" s="34">
        <v>4232.8</v>
      </c>
      <c r="G2174" s="36">
        <f>Tabla16[[#This Row],[Importe]]-Tabla16[[#This Row],[Pagado]]</f>
        <v>0</v>
      </c>
      <c r="H2174" s="38" t="s">
        <v>10</v>
      </c>
    </row>
    <row r="2175" spans="1:8" x14ac:dyDescent="0.25">
      <c r="A2175" s="31">
        <v>44701</v>
      </c>
      <c r="B2175" s="38" t="s">
        <v>16343</v>
      </c>
      <c r="C2175" s="38" t="s">
        <v>105</v>
      </c>
      <c r="D2175" s="34">
        <v>16202.8</v>
      </c>
      <c r="E2175" s="35">
        <v>44702</v>
      </c>
      <c r="F2175" s="34">
        <v>16202.8</v>
      </c>
      <c r="G2175" s="36">
        <f>Tabla16[[#This Row],[Importe]]-Tabla16[[#This Row],[Pagado]]</f>
        <v>0</v>
      </c>
      <c r="H2175" s="38" t="s">
        <v>10</v>
      </c>
    </row>
    <row r="2176" spans="1:8" x14ac:dyDescent="0.25">
      <c r="A2176" s="31">
        <v>44701</v>
      </c>
      <c r="B2176" s="38" t="s">
        <v>16344</v>
      </c>
      <c r="C2176" s="38" t="s">
        <v>111</v>
      </c>
      <c r="D2176" s="34">
        <v>4352.3999999999996</v>
      </c>
      <c r="E2176" s="35">
        <v>44702</v>
      </c>
      <c r="F2176" s="34">
        <v>4352.3999999999996</v>
      </c>
      <c r="G2176" s="36">
        <f>Tabla16[[#This Row],[Importe]]-Tabla16[[#This Row],[Pagado]]</f>
        <v>0</v>
      </c>
      <c r="H2176" s="38" t="s">
        <v>10</v>
      </c>
    </row>
    <row r="2177" spans="1:8" x14ac:dyDescent="0.25">
      <c r="A2177" s="31">
        <v>44701</v>
      </c>
      <c r="B2177" s="38" t="s">
        <v>16345</v>
      </c>
      <c r="C2177" s="38" t="s">
        <v>348</v>
      </c>
      <c r="D2177" s="34">
        <v>2917.5</v>
      </c>
      <c r="E2177" s="35">
        <v>44701</v>
      </c>
      <c r="F2177" s="34">
        <v>2917.5</v>
      </c>
      <c r="G2177" s="36">
        <f>Tabla16[[#This Row],[Importe]]-Tabla16[[#This Row],[Pagado]]</f>
        <v>0</v>
      </c>
      <c r="H2177" s="38" t="s">
        <v>10</v>
      </c>
    </row>
    <row r="2178" spans="1:8" x14ac:dyDescent="0.25">
      <c r="A2178" s="31">
        <v>44701</v>
      </c>
      <c r="B2178" s="38" t="s">
        <v>16346</v>
      </c>
      <c r="C2178" s="38" t="s">
        <v>64</v>
      </c>
      <c r="D2178" s="34">
        <v>9127.2000000000007</v>
      </c>
      <c r="E2178" s="35">
        <v>44702</v>
      </c>
      <c r="F2178" s="34">
        <v>9127.2000000000007</v>
      </c>
      <c r="G2178" s="36">
        <f>Tabla16[[#This Row],[Importe]]-Tabla16[[#This Row],[Pagado]]</f>
        <v>0</v>
      </c>
      <c r="H2178" s="38" t="s">
        <v>10</v>
      </c>
    </row>
    <row r="2179" spans="1:8" x14ac:dyDescent="0.25">
      <c r="A2179" s="31">
        <v>44701</v>
      </c>
      <c r="B2179" s="38" t="s">
        <v>16347</v>
      </c>
      <c r="C2179" s="38" t="s">
        <v>99</v>
      </c>
      <c r="D2179" s="34">
        <v>4890.8</v>
      </c>
      <c r="E2179" s="35">
        <v>44702</v>
      </c>
      <c r="F2179" s="34">
        <v>4890.8</v>
      </c>
      <c r="G2179" s="36">
        <f>Tabla16[[#This Row],[Importe]]-Tabla16[[#This Row],[Pagado]]</f>
        <v>0</v>
      </c>
      <c r="H2179" s="38" t="s">
        <v>10</v>
      </c>
    </row>
    <row r="2180" spans="1:8" x14ac:dyDescent="0.25">
      <c r="A2180" s="31">
        <v>44701</v>
      </c>
      <c r="B2180" s="38" t="s">
        <v>16348</v>
      </c>
      <c r="C2180" s="38" t="s">
        <v>326</v>
      </c>
      <c r="D2180" s="34">
        <v>7927.2</v>
      </c>
      <c r="E2180" s="35">
        <v>44702</v>
      </c>
      <c r="F2180" s="34">
        <v>7927.2</v>
      </c>
      <c r="G2180" s="36">
        <f>Tabla16[[#This Row],[Importe]]-Tabla16[[#This Row],[Pagado]]</f>
        <v>0</v>
      </c>
      <c r="H2180" s="38" t="s">
        <v>10</v>
      </c>
    </row>
    <row r="2181" spans="1:8" x14ac:dyDescent="0.25">
      <c r="A2181" s="31">
        <v>44701</v>
      </c>
      <c r="B2181" s="38" t="s">
        <v>16349</v>
      </c>
      <c r="C2181" s="38" t="s">
        <v>93</v>
      </c>
      <c r="D2181" s="34">
        <v>8876.5</v>
      </c>
      <c r="E2181" s="35">
        <v>44702</v>
      </c>
      <c r="F2181" s="34">
        <v>8876.5</v>
      </c>
      <c r="G2181" s="36">
        <f>Tabla16[[#This Row],[Importe]]-Tabla16[[#This Row],[Pagado]]</f>
        <v>0</v>
      </c>
      <c r="H2181" s="38" t="s">
        <v>10</v>
      </c>
    </row>
    <row r="2182" spans="1:8" x14ac:dyDescent="0.25">
      <c r="A2182" s="31">
        <v>44701</v>
      </c>
      <c r="B2182" s="38" t="s">
        <v>16350</v>
      </c>
      <c r="C2182" s="38" t="s">
        <v>6252</v>
      </c>
      <c r="D2182" s="34">
        <v>0</v>
      </c>
      <c r="E2182" s="39" t="s">
        <v>189</v>
      </c>
      <c r="F2182" s="34">
        <v>0</v>
      </c>
      <c r="G2182" s="36">
        <f>Tabla16[[#This Row],[Importe]]-Tabla16[[#This Row],[Pagado]]</f>
        <v>0</v>
      </c>
      <c r="H2182" s="38" t="s">
        <v>189</v>
      </c>
    </row>
    <row r="2183" spans="1:8" ht="31.5" x14ac:dyDescent="0.25">
      <c r="A2183" s="31">
        <v>44701</v>
      </c>
      <c r="B2183" s="38" t="s">
        <v>16351</v>
      </c>
      <c r="C2183" s="38" t="s">
        <v>39</v>
      </c>
      <c r="D2183" s="34">
        <v>21271.5</v>
      </c>
      <c r="E2183" s="35" t="s">
        <v>16352</v>
      </c>
      <c r="F2183" s="34">
        <f>8500+12771.5</f>
        <v>21271.5</v>
      </c>
      <c r="G2183" s="36">
        <f>Tabla16[[#This Row],[Importe]]-Tabla16[[#This Row],[Pagado]]</f>
        <v>0</v>
      </c>
      <c r="H2183" s="38" t="s">
        <v>10</v>
      </c>
    </row>
    <row r="2184" spans="1:8" x14ac:dyDescent="0.25">
      <c r="A2184" s="31">
        <v>44701</v>
      </c>
      <c r="B2184" s="38" t="s">
        <v>16353</v>
      </c>
      <c r="C2184" s="38" t="s">
        <v>481</v>
      </c>
      <c r="D2184" s="34">
        <v>1418.6</v>
      </c>
      <c r="E2184" s="35">
        <v>44701</v>
      </c>
      <c r="F2184" s="34">
        <v>1418.6</v>
      </c>
      <c r="G2184" s="36">
        <f>Tabla16[[#This Row],[Importe]]-Tabla16[[#This Row],[Pagado]]</f>
        <v>0</v>
      </c>
      <c r="H2184" s="38" t="s">
        <v>10</v>
      </c>
    </row>
    <row r="2185" spans="1:8" x14ac:dyDescent="0.25">
      <c r="A2185" s="31">
        <v>44701</v>
      </c>
      <c r="B2185" s="38" t="s">
        <v>16354</v>
      </c>
      <c r="C2185" s="38" t="s">
        <v>31</v>
      </c>
      <c r="D2185" s="34">
        <v>356.5</v>
      </c>
      <c r="E2185" s="35">
        <v>44701</v>
      </c>
      <c r="F2185" s="34">
        <v>356.5</v>
      </c>
      <c r="G2185" s="36">
        <f>Tabla16[[#This Row],[Importe]]-Tabla16[[#This Row],[Pagado]]</f>
        <v>0</v>
      </c>
      <c r="H2185" s="38" t="s">
        <v>10</v>
      </c>
    </row>
    <row r="2186" spans="1:8" x14ac:dyDescent="0.25">
      <c r="A2186" s="31">
        <v>44701</v>
      </c>
      <c r="B2186" s="38" t="s">
        <v>16355</v>
      </c>
      <c r="C2186" s="38" t="s">
        <v>9</v>
      </c>
      <c r="D2186" s="34">
        <v>6937.1</v>
      </c>
      <c r="E2186" s="35">
        <v>44701</v>
      </c>
      <c r="F2186" s="34">
        <v>6937.1</v>
      </c>
      <c r="G2186" s="36">
        <f>Tabla16[[#This Row],[Importe]]-Tabla16[[#This Row],[Pagado]]</f>
        <v>0</v>
      </c>
      <c r="H2186" s="38" t="s">
        <v>10</v>
      </c>
    </row>
    <row r="2187" spans="1:8" x14ac:dyDescent="0.25">
      <c r="A2187" s="31">
        <v>44701</v>
      </c>
      <c r="B2187" s="38" t="s">
        <v>16356</v>
      </c>
      <c r="C2187" s="38" t="s">
        <v>212</v>
      </c>
      <c r="D2187" s="34">
        <v>57494.3</v>
      </c>
      <c r="E2187" s="35">
        <v>44707</v>
      </c>
      <c r="F2187" s="34">
        <v>57494.3</v>
      </c>
      <c r="G2187" s="36">
        <f>Tabla16[[#This Row],[Importe]]-Tabla16[[#This Row],[Pagado]]</f>
        <v>0</v>
      </c>
      <c r="H2187" s="38" t="s">
        <v>10</v>
      </c>
    </row>
    <row r="2188" spans="1:8" x14ac:dyDescent="0.25">
      <c r="A2188" s="31">
        <v>44701</v>
      </c>
      <c r="B2188" s="38" t="s">
        <v>16357</v>
      </c>
      <c r="C2188" s="38" t="s">
        <v>484</v>
      </c>
      <c r="D2188" s="34">
        <v>6528</v>
      </c>
      <c r="E2188" s="35">
        <v>44701</v>
      </c>
      <c r="F2188" s="34">
        <v>6528</v>
      </c>
      <c r="G2188" s="36">
        <f>Tabla16[[#This Row],[Importe]]-Tabla16[[#This Row],[Pagado]]</f>
        <v>0</v>
      </c>
      <c r="H2188" s="38" t="s">
        <v>10</v>
      </c>
    </row>
    <row r="2189" spans="1:8" x14ac:dyDescent="0.25">
      <c r="A2189" s="31">
        <v>44701</v>
      </c>
      <c r="B2189" s="38" t="s">
        <v>16358</v>
      </c>
      <c r="C2189" s="38" t="s">
        <v>29</v>
      </c>
      <c r="D2189" s="34">
        <v>10152.4</v>
      </c>
      <c r="E2189" s="35">
        <v>44701</v>
      </c>
      <c r="F2189" s="34">
        <v>10152.4</v>
      </c>
      <c r="G2189" s="36">
        <f>Tabla16[[#This Row],[Importe]]-Tabla16[[#This Row],[Pagado]]</f>
        <v>0</v>
      </c>
      <c r="H2189" s="38" t="s">
        <v>10</v>
      </c>
    </row>
    <row r="2190" spans="1:8" x14ac:dyDescent="0.25">
      <c r="A2190" s="31">
        <v>44701</v>
      </c>
      <c r="B2190" s="38" t="s">
        <v>16359</v>
      </c>
      <c r="C2190" s="38" t="s">
        <v>206</v>
      </c>
      <c r="D2190" s="34">
        <v>40313.4</v>
      </c>
      <c r="E2190" s="35">
        <v>44707</v>
      </c>
      <c r="F2190" s="34">
        <v>40313.4</v>
      </c>
      <c r="G2190" s="36">
        <f>Tabla16[[#This Row],[Importe]]-Tabla16[[#This Row],[Pagado]]</f>
        <v>0</v>
      </c>
      <c r="H2190" s="38" t="s">
        <v>10</v>
      </c>
    </row>
    <row r="2191" spans="1:8" x14ac:dyDescent="0.25">
      <c r="A2191" s="31">
        <v>44701</v>
      </c>
      <c r="B2191" s="38" t="s">
        <v>16360</v>
      </c>
      <c r="C2191" s="38" t="s">
        <v>208</v>
      </c>
      <c r="D2191" s="34">
        <v>11639.6</v>
      </c>
      <c r="E2191" s="35">
        <v>44705</v>
      </c>
      <c r="F2191" s="34">
        <v>11639.6</v>
      </c>
      <c r="G2191" s="36">
        <f>Tabla16[[#This Row],[Importe]]-Tabla16[[#This Row],[Pagado]]</f>
        <v>0</v>
      </c>
      <c r="H2191" s="38" t="s">
        <v>10</v>
      </c>
    </row>
    <row r="2192" spans="1:8" x14ac:dyDescent="0.25">
      <c r="A2192" s="31">
        <v>44701</v>
      </c>
      <c r="B2192" s="38" t="s">
        <v>16361</v>
      </c>
      <c r="C2192" s="38" t="s">
        <v>218</v>
      </c>
      <c r="D2192" s="34">
        <v>33438.5</v>
      </c>
      <c r="E2192" s="35">
        <v>44707</v>
      </c>
      <c r="F2192" s="34">
        <v>33438.5</v>
      </c>
      <c r="G2192" s="36">
        <f>Tabla16[[#This Row],[Importe]]-Tabla16[[#This Row],[Pagado]]</f>
        <v>0</v>
      </c>
      <c r="H2192" s="38" t="s">
        <v>10</v>
      </c>
    </row>
    <row r="2193" spans="1:8" x14ac:dyDescent="0.25">
      <c r="A2193" s="31">
        <v>44701</v>
      </c>
      <c r="B2193" s="38" t="s">
        <v>16362</v>
      </c>
      <c r="C2193" s="38" t="s">
        <v>154</v>
      </c>
      <c r="D2193" s="34">
        <v>50385.8</v>
      </c>
      <c r="E2193" s="35">
        <v>44706</v>
      </c>
      <c r="F2193" s="34">
        <v>50385.8</v>
      </c>
      <c r="G2193" s="36">
        <f>Tabla16[[#This Row],[Importe]]-Tabla16[[#This Row],[Pagado]]</f>
        <v>0</v>
      </c>
      <c r="H2193" s="38" t="s">
        <v>10</v>
      </c>
    </row>
    <row r="2194" spans="1:8" x14ac:dyDescent="0.25">
      <c r="A2194" s="31">
        <v>44701</v>
      </c>
      <c r="B2194" s="38" t="s">
        <v>16363</v>
      </c>
      <c r="C2194" s="38" t="s">
        <v>9415</v>
      </c>
      <c r="D2194" s="34">
        <v>7055.6</v>
      </c>
      <c r="E2194" s="35">
        <v>44704</v>
      </c>
      <c r="F2194" s="34">
        <v>7055.6</v>
      </c>
      <c r="G2194" s="36">
        <f>Tabla16[[#This Row],[Importe]]-Tabla16[[#This Row],[Pagado]]</f>
        <v>0</v>
      </c>
      <c r="H2194" s="38" t="s">
        <v>10</v>
      </c>
    </row>
    <row r="2195" spans="1:8" x14ac:dyDescent="0.25">
      <c r="A2195" s="31">
        <v>44701</v>
      </c>
      <c r="B2195" s="38" t="s">
        <v>16364</v>
      </c>
      <c r="C2195" s="38" t="s">
        <v>12</v>
      </c>
      <c r="D2195" s="34">
        <v>4368.8</v>
      </c>
      <c r="E2195" s="35">
        <v>44701</v>
      </c>
      <c r="F2195" s="34">
        <v>4368.8</v>
      </c>
      <c r="G2195" s="36">
        <f>Tabla16[[#This Row],[Importe]]-Tabla16[[#This Row],[Pagado]]</f>
        <v>0</v>
      </c>
      <c r="H2195" s="38" t="s">
        <v>10</v>
      </c>
    </row>
    <row r="2196" spans="1:8" ht="31.5" x14ac:dyDescent="0.25">
      <c r="A2196" s="31">
        <v>44701</v>
      </c>
      <c r="B2196" s="38" t="s">
        <v>16365</v>
      </c>
      <c r="C2196" s="38" t="s">
        <v>22</v>
      </c>
      <c r="D2196" s="34">
        <v>42778.2</v>
      </c>
      <c r="E2196" s="35" t="s">
        <v>16366</v>
      </c>
      <c r="F2196" s="34">
        <f>31000+11778.2</f>
        <v>42778.2</v>
      </c>
      <c r="G2196" s="36">
        <f>Tabla16[[#This Row],[Importe]]-Tabla16[[#This Row],[Pagado]]</f>
        <v>0</v>
      </c>
      <c r="H2196" s="38" t="s">
        <v>10</v>
      </c>
    </row>
    <row r="2197" spans="1:8" x14ac:dyDescent="0.25">
      <c r="A2197" s="31">
        <v>44701</v>
      </c>
      <c r="B2197" s="38" t="s">
        <v>16367</v>
      </c>
      <c r="C2197" s="38" t="s">
        <v>450</v>
      </c>
      <c r="D2197" s="34">
        <v>3724.8</v>
      </c>
      <c r="E2197" s="35">
        <v>44701</v>
      </c>
      <c r="F2197" s="34">
        <v>3724.8</v>
      </c>
      <c r="G2197" s="36">
        <f>Tabla16[[#This Row],[Importe]]-Tabla16[[#This Row],[Pagado]]</f>
        <v>0</v>
      </c>
      <c r="H2197" s="38" t="s">
        <v>10</v>
      </c>
    </row>
    <row r="2198" spans="1:8" x14ac:dyDescent="0.25">
      <c r="A2198" s="31">
        <v>44701</v>
      </c>
      <c r="B2198" s="38" t="s">
        <v>16368</v>
      </c>
      <c r="C2198" s="38" t="s">
        <v>592</v>
      </c>
      <c r="D2198" s="34">
        <v>29795</v>
      </c>
      <c r="E2198" s="35">
        <v>44709</v>
      </c>
      <c r="F2198" s="34">
        <v>29795</v>
      </c>
      <c r="G2198" s="36">
        <f>Tabla16[[#This Row],[Importe]]-Tabla16[[#This Row],[Pagado]]</f>
        <v>0</v>
      </c>
      <c r="H2198" s="38" t="s">
        <v>10</v>
      </c>
    </row>
    <row r="2199" spans="1:8" x14ac:dyDescent="0.25">
      <c r="A2199" s="31">
        <v>44701</v>
      </c>
      <c r="B2199" s="38" t="s">
        <v>16369</v>
      </c>
      <c r="C2199" s="38" t="s">
        <v>16370</v>
      </c>
      <c r="D2199" s="34">
        <v>0</v>
      </c>
      <c r="E2199" s="39" t="s">
        <v>189</v>
      </c>
      <c r="F2199" s="34">
        <v>0</v>
      </c>
      <c r="G2199" s="36">
        <f>Tabla16[[#This Row],[Importe]]-Tabla16[[#This Row],[Pagado]]</f>
        <v>0</v>
      </c>
      <c r="H2199" s="38" t="s">
        <v>189</v>
      </c>
    </row>
    <row r="2200" spans="1:8" x14ac:dyDescent="0.25">
      <c r="A2200" s="31">
        <v>44701</v>
      </c>
      <c r="B2200" s="38" t="s">
        <v>16371</v>
      </c>
      <c r="C2200" s="38" t="s">
        <v>27</v>
      </c>
      <c r="D2200" s="34">
        <v>2850.9</v>
      </c>
      <c r="E2200" s="35">
        <v>44701</v>
      </c>
      <c r="F2200" s="34">
        <v>2850.9</v>
      </c>
      <c r="G2200" s="36">
        <f>Tabla16[[#This Row],[Importe]]-Tabla16[[#This Row],[Pagado]]</f>
        <v>0</v>
      </c>
      <c r="H2200" s="38" t="s">
        <v>10</v>
      </c>
    </row>
    <row r="2201" spans="1:8" x14ac:dyDescent="0.25">
      <c r="A2201" s="31">
        <v>44701</v>
      </c>
      <c r="B2201" s="38" t="s">
        <v>16372</v>
      </c>
      <c r="C2201" s="38" t="s">
        <v>35</v>
      </c>
      <c r="D2201" s="34">
        <v>2174.8000000000002</v>
      </c>
      <c r="E2201" s="35">
        <v>44701</v>
      </c>
      <c r="F2201" s="34">
        <v>2174.8000000000002</v>
      </c>
      <c r="G2201" s="36">
        <f>Tabla16[[#This Row],[Importe]]-Tabla16[[#This Row],[Pagado]]</f>
        <v>0</v>
      </c>
      <c r="H2201" s="38" t="s">
        <v>10</v>
      </c>
    </row>
    <row r="2202" spans="1:8" x14ac:dyDescent="0.25">
      <c r="A2202" s="31">
        <v>44701</v>
      </c>
      <c r="B2202" s="38" t="s">
        <v>16373</v>
      </c>
      <c r="C2202" s="38" t="s">
        <v>10157</v>
      </c>
      <c r="D2202" s="34">
        <v>21255.5</v>
      </c>
      <c r="E2202" s="35">
        <v>44706</v>
      </c>
      <c r="F2202" s="34">
        <v>21255.5</v>
      </c>
      <c r="G2202" s="36">
        <f>Tabla16[[#This Row],[Importe]]-Tabla16[[#This Row],[Pagado]]</f>
        <v>0</v>
      </c>
      <c r="H2202" s="38" t="s">
        <v>10</v>
      </c>
    </row>
    <row r="2203" spans="1:8" x14ac:dyDescent="0.25">
      <c r="A2203" s="31">
        <v>44701</v>
      </c>
      <c r="B2203" s="38" t="s">
        <v>16374</v>
      </c>
      <c r="C2203" s="38" t="s">
        <v>314</v>
      </c>
      <c r="D2203" s="34">
        <v>4326.8</v>
      </c>
      <c r="E2203" s="35">
        <v>44701</v>
      </c>
      <c r="F2203" s="34">
        <v>4326.8</v>
      </c>
      <c r="G2203" s="36">
        <f>Tabla16[[#This Row],[Importe]]-Tabla16[[#This Row],[Pagado]]</f>
        <v>0</v>
      </c>
      <c r="H2203" s="38" t="s">
        <v>10</v>
      </c>
    </row>
    <row r="2204" spans="1:8" x14ac:dyDescent="0.25">
      <c r="A2204" s="31">
        <v>44701</v>
      </c>
      <c r="B2204" s="38" t="s">
        <v>16375</v>
      </c>
      <c r="C2204" s="38" t="s">
        <v>87</v>
      </c>
      <c r="D2204" s="34">
        <v>2695</v>
      </c>
      <c r="E2204" s="35">
        <v>44701</v>
      </c>
      <c r="F2204" s="34">
        <v>2695</v>
      </c>
      <c r="G2204" s="36">
        <f>Tabla16[[#This Row],[Importe]]-Tabla16[[#This Row],[Pagado]]</f>
        <v>0</v>
      </c>
      <c r="H2204" s="38" t="s">
        <v>10</v>
      </c>
    </row>
    <row r="2205" spans="1:8" x14ac:dyDescent="0.25">
      <c r="A2205" s="31">
        <v>44701</v>
      </c>
      <c r="B2205" s="38" t="s">
        <v>16376</v>
      </c>
      <c r="C2205" s="38" t="s">
        <v>83</v>
      </c>
      <c r="D2205" s="34">
        <v>11249.6</v>
      </c>
      <c r="E2205" s="35">
        <v>44701</v>
      </c>
      <c r="F2205" s="34">
        <v>11249.6</v>
      </c>
      <c r="G2205" s="36">
        <f>Tabla16[[#This Row],[Importe]]-Tabla16[[#This Row],[Pagado]]</f>
        <v>0</v>
      </c>
      <c r="H2205" s="38" t="s">
        <v>10</v>
      </c>
    </row>
    <row r="2206" spans="1:8" x14ac:dyDescent="0.25">
      <c r="A2206" s="31">
        <v>44701</v>
      </c>
      <c r="B2206" s="38" t="s">
        <v>16377</v>
      </c>
      <c r="C2206" s="38" t="s">
        <v>133</v>
      </c>
      <c r="D2206" s="34">
        <v>24013</v>
      </c>
      <c r="E2206" s="35">
        <v>44701</v>
      </c>
      <c r="F2206" s="34">
        <v>24013</v>
      </c>
      <c r="G2206" s="36">
        <f>Tabla16[[#This Row],[Importe]]-Tabla16[[#This Row],[Pagado]]</f>
        <v>0</v>
      </c>
      <c r="H2206" s="38" t="s">
        <v>10</v>
      </c>
    </row>
    <row r="2207" spans="1:8" x14ac:dyDescent="0.25">
      <c r="A2207" s="31">
        <v>44701</v>
      </c>
      <c r="B2207" s="38" t="s">
        <v>16378</v>
      </c>
      <c r="C2207" s="38" t="s">
        <v>85</v>
      </c>
      <c r="D2207" s="34">
        <v>3628.5</v>
      </c>
      <c r="E2207" s="35">
        <v>44701</v>
      </c>
      <c r="F2207" s="34">
        <v>3628.5</v>
      </c>
      <c r="G2207" s="36">
        <f>Tabla16[[#This Row],[Importe]]-Tabla16[[#This Row],[Pagado]]</f>
        <v>0</v>
      </c>
      <c r="H2207" s="38" t="s">
        <v>10</v>
      </c>
    </row>
    <row r="2208" spans="1:8" x14ac:dyDescent="0.25">
      <c r="A2208" s="31">
        <v>44701</v>
      </c>
      <c r="B2208" s="38" t="s">
        <v>16379</v>
      </c>
      <c r="C2208" s="38" t="s">
        <v>16380</v>
      </c>
      <c r="D2208" s="34">
        <v>0</v>
      </c>
      <c r="E2208" s="39" t="s">
        <v>189</v>
      </c>
      <c r="F2208" s="34">
        <v>0</v>
      </c>
      <c r="G2208" s="36">
        <f>Tabla16[[#This Row],[Importe]]-Tabla16[[#This Row],[Pagado]]</f>
        <v>0</v>
      </c>
      <c r="H2208" s="38" t="s">
        <v>189</v>
      </c>
    </row>
    <row r="2209" spans="1:8" x14ac:dyDescent="0.25">
      <c r="A2209" s="31">
        <v>44701</v>
      </c>
      <c r="B2209" s="38" t="s">
        <v>16381</v>
      </c>
      <c r="C2209" s="38" t="s">
        <v>49</v>
      </c>
      <c r="D2209" s="34">
        <v>4139.3999999999996</v>
      </c>
      <c r="E2209" s="35">
        <v>44701</v>
      </c>
      <c r="F2209" s="34">
        <v>4139.3999999999996</v>
      </c>
      <c r="G2209" s="36">
        <f>Tabla16[[#This Row],[Importe]]-Tabla16[[#This Row],[Pagado]]</f>
        <v>0</v>
      </c>
      <c r="H2209" s="38" t="s">
        <v>10</v>
      </c>
    </row>
    <row r="2210" spans="1:8" x14ac:dyDescent="0.25">
      <c r="A2210" s="31">
        <v>44701</v>
      </c>
      <c r="B2210" s="38" t="s">
        <v>16382</v>
      </c>
      <c r="C2210" s="38" t="s">
        <v>173</v>
      </c>
      <c r="D2210" s="34">
        <v>15281</v>
      </c>
      <c r="E2210" s="35">
        <v>44701</v>
      </c>
      <c r="F2210" s="34">
        <v>15281</v>
      </c>
      <c r="G2210" s="36">
        <f>Tabla16[[#This Row],[Importe]]-Tabla16[[#This Row],[Pagado]]</f>
        <v>0</v>
      </c>
      <c r="H2210" s="38" t="s">
        <v>10</v>
      </c>
    </row>
    <row r="2211" spans="1:8" x14ac:dyDescent="0.25">
      <c r="A2211" s="31">
        <v>44701</v>
      </c>
      <c r="B2211" s="38" t="s">
        <v>16383</v>
      </c>
      <c r="C2211" s="38" t="s">
        <v>12202</v>
      </c>
      <c r="D2211" s="34">
        <v>4320</v>
      </c>
      <c r="E2211" s="35">
        <v>44701</v>
      </c>
      <c r="F2211" s="34">
        <v>4320</v>
      </c>
      <c r="G2211" s="36">
        <f>Tabla16[[#This Row],[Importe]]-Tabla16[[#This Row],[Pagado]]</f>
        <v>0</v>
      </c>
      <c r="H2211" s="38" t="s">
        <v>10</v>
      </c>
    </row>
    <row r="2212" spans="1:8" x14ac:dyDescent="0.25">
      <c r="A2212" s="31">
        <v>44701</v>
      </c>
      <c r="B2212" s="38" t="s">
        <v>16384</v>
      </c>
      <c r="C2212" s="38" t="s">
        <v>647</v>
      </c>
      <c r="D2212" s="34">
        <v>4980.7</v>
      </c>
      <c r="E2212" s="35">
        <v>44701</v>
      </c>
      <c r="F2212" s="34">
        <v>4980.7</v>
      </c>
      <c r="G2212" s="36">
        <f>Tabla16[[#This Row],[Importe]]-Tabla16[[#This Row],[Pagado]]</f>
        <v>0</v>
      </c>
      <c r="H2212" s="38" t="s">
        <v>10</v>
      </c>
    </row>
    <row r="2213" spans="1:8" x14ac:dyDescent="0.25">
      <c r="A2213" s="31">
        <v>44701</v>
      </c>
      <c r="B2213" s="38" t="s">
        <v>16385</v>
      </c>
      <c r="C2213" s="38" t="s">
        <v>5816</v>
      </c>
      <c r="D2213" s="34">
        <v>9350.6</v>
      </c>
      <c r="E2213" s="35">
        <v>44701</v>
      </c>
      <c r="F2213" s="34">
        <v>9350.6</v>
      </c>
      <c r="G2213" s="36">
        <f>Tabla16[[#This Row],[Importe]]-Tabla16[[#This Row],[Pagado]]</f>
        <v>0</v>
      </c>
      <c r="H2213" s="38" t="s">
        <v>10</v>
      </c>
    </row>
    <row r="2214" spans="1:8" x14ac:dyDescent="0.25">
      <c r="A2214" s="31">
        <v>44701</v>
      </c>
      <c r="B2214" s="38" t="s">
        <v>16386</v>
      </c>
      <c r="C2214" s="38" t="s">
        <v>45</v>
      </c>
      <c r="D2214" s="34">
        <v>11909</v>
      </c>
      <c r="E2214" s="35">
        <v>44701</v>
      </c>
      <c r="F2214" s="34">
        <v>11909</v>
      </c>
      <c r="G2214" s="36">
        <f>Tabla16[[#This Row],[Importe]]-Tabla16[[#This Row],[Pagado]]</f>
        <v>0</v>
      </c>
      <c r="H2214" s="38" t="s">
        <v>10</v>
      </c>
    </row>
    <row r="2215" spans="1:8" x14ac:dyDescent="0.25">
      <c r="A2215" s="31">
        <v>44701</v>
      </c>
      <c r="B2215" s="38" t="s">
        <v>16387</v>
      </c>
      <c r="C2215" s="38" t="s">
        <v>681</v>
      </c>
      <c r="D2215" s="34">
        <v>5.93</v>
      </c>
      <c r="E2215" s="35">
        <v>44706</v>
      </c>
      <c r="F2215" s="34">
        <v>5.93</v>
      </c>
      <c r="G2215" s="36">
        <f>Tabla16[[#This Row],[Importe]]-Tabla16[[#This Row],[Pagado]]</f>
        <v>0</v>
      </c>
      <c r="H2215" s="38" t="s">
        <v>10</v>
      </c>
    </row>
    <row r="2216" spans="1:8" x14ac:dyDescent="0.25">
      <c r="A2216" s="31">
        <v>44701</v>
      </c>
      <c r="B2216" s="38" t="s">
        <v>16388</v>
      </c>
      <c r="C2216" s="38" t="s">
        <v>129</v>
      </c>
      <c r="D2216" s="34">
        <v>4132</v>
      </c>
      <c r="E2216" s="35">
        <v>44701</v>
      </c>
      <c r="F2216" s="34">
        <v>4132</v>
      </c>
      <c r="G2216" s="36">
        <f>Tabla16[[#This Row],[Importe]]-Tabla16[[#This Row],[Pagado]]</f>
        <v>0</v>
      </c>
      <c r="H2216" s="38" t="s">
        <v>10</v>
      </c>
    </row>
    <row r="2217" spans="1:8" x14ac:dyDescent="0.25">
      <c r="A2217" s="31">
        <v>44701</v>
      </c>
      <c r="B2217" s="38" t="s">
        <v>16389</v>
      </c>
      <c r="C2217" s="38" t="s">
        <v>357</v>
      </c>
      <c r="D2217" s="34">
        <v>3416.2</v>
      </c>
      <c r="E2217" s="35">
        <v>44701</v>
      </c>
      <c r="F2217" s="34">
        <v>3416.2</v>
      </c>
      <c r="G2217" s="36">
        <f>Tabla16[[#This Row],[Importe]]-Tabla16[[#This Row],[Pagado]]</f>
        <v>0</v>
      </c>
      <c r="H2217" s="38" t="s">
        <v>10</v>
      </c>
    </row>
    <row r="2218" spans="1:8" x14ac:dyDescent="0.25">
      <c r="A2218" s="31">
        <v>44701</v>
      </c>
      <c r="B2218" s="38" t="s">
        <v>16390</v>
      </c>
      <c r="C2218" s="38" t="s">
        <v>127</v>
      </c>
      <c r="D2218" s="34">
        <v>996</v>
      </c>
      <c r="E2218" s="35">
        <v>44701</v>
      </c>
      <c r="F2218" s="34">
        <v>996</v>
      </c>
      <c r="G2218" s="36">
        <f>Tabla16[[#This Row],[Importe]]-Tabla16[[#This Row],[Pagado]]</f>
        <v>0</v>
      </c>
      <c r="H2218" s="38" t="s">
        <v>10</v>
      </c>
    </row>
    <row r="2219" spans="1:8" x14ac:dyDescent="0.25">
      <c r="A2219" s="31">
        <v>44701</v>
      </c>
      <c r="B2219" s="38" t="s">
        <v>16391</v>
      </c>
      <c r="C2219" s="38" t="s">
        <v>365</v>
      </c>
      <c r="D2219" s="34">
        <v>1358.8</v>
      </c>
      <c r="E2219" s="35">
        <v>44701</v>
      </c>
      <c r="F2219" s="34">
        <v>1358.8</v>
      </c>
      <c r="G2219" s="36">
        <f>Tabla16[[#This Row],[Importe]]-Tabla16[[#This Row],[Pagado]]</f>
        <v>0</v>
      </c>
      <c r="H2219" s="38" t="s">
        <v>10</v>
      </c>
    </row>
    <row r="2220" spans="1:8" x14ac:dyDescent="0.25">
      <c r="A2220" s="31">
        <v>44701</v>
      </c>
      <c r="B2220" s="38" t="s">
        <v>16392</v>
      </c>
      <c r="C2220" s="38" t="s">
        <v>146</v>
      </c>
      <c r="D2220" s="34">
        <v>2702.2</v>
      </c>
      <c r="E2220" s="35">
        <v>44701</v>
      </c>
      <c r="F2220" s="34">
        <v>2702.2</v>
      </c>
      <c r="G2220" s="36">
        <f>Tabla16[[#This Row],[Importe]]-Tabla16[[#This Row],[Pagado]]</f>
        <v>0</v>
      </c>
      <c r="H2220" s="38" t="s">
        <v>10</v>
      </c>
    </row>
    <row r="2221" spans="1:8" x14ac:dyDescent="0.25">
      <c r="A2221" s="31">
        <v>44701</v>
      </c>
      <c r="B2221" s="38" t="s">
        <v>16393</v>
      </c>
      <c r="C2221" s="38" t="s">
        <v>1237</v>
      </c>
      <c r="D2221" s="34">
        <v>83743.88</v>
      </c>
      <c r="E2221" s="35">
        <v>44701</v>
      </c>
      <c r="F2221" s="34">
        <v>83743.88</v>
      </c>
      <c r="G2221" s="36">
        <f>Tabla16[[#This Row],[Importe]]-Tabla16[[#This Row],[Pagado]]</f>
        <v>0</v>
      </c>
      <c r="H2221" s="38" t="s">
        <v>10</v>
      </c>
    </row>
    <row r="2222" spans="1:8" x14ac:dyDescent="0.25">
      <c r="A2222" s="31">
        <v>44701</v>
      </c>
      <c r="B2222" s="38" t="s">
        <v>16394</v>
      </c>
      <c r="C2222" s="38" t="s">
        <v>144</v>
      </c>
      <c r="D2222" s="34">
        <v>3948.5</v>
      </c>
      <c r="E2222" s="35">
        <v>44701</v>
      </c>
      <c r="F2222" s="34">
        <v>3948.5</v>
      </c>
      <c r="G2222" s="36">
        <f>Tabla16[[#This Row],[Importe]]-Tabla16[[#This Row],[Pagado]]</f>
        <v>0</v>
      </c>
      <c r="H2222" s="38" t="s">
        <v>10</v>
      </c>
    </row>
    <row r="2223" spans="1:8" x14ac:dyDescent="0.25">
      <c r="A2223" s="31">
        <v>44701</v>
      </c>
      <c r="B2223" s="38" t="s">
        <v>16395</v>
      </c>
      <c r="C2223" s="38" t="s">
        <v>291</v>
      </c>
      <c r="D2223" s="34">
        <v>2297.6</v>
      </c>
      <c r="E2223" s="35">
        <v>44701</v>
      </c>
      <c r="F2223" s="34">
        <v>2297.6</v>
      </c>
      <c r="G2223" s="36">
        <f>Tabla16[[#This Row],[Importe]]-Tabla16[[#This Row],[Pagado]]</f>
        <v>0</v>
      </c>
      <c r="H2223" s="38" t="s">
        <v>10</v>
      </c>
    </row>
    <row r="2224" spans="1:8" x14ac:dyDescent="0.25">
      <c r="A2224" s="31">
        <v>44701</v>
      </c>
      <c r="B2224" s="38" t="s">
        <v>16396</v>
      </c>
      <c r="C2224" s="38" t="s">
        <v>214</v>
      </c>
      <c r="D2224" s="34">
        <v>1121</v>
      </c>
      <c r="E2224" s="35">
        <v>44701</v>
      </c>
      <c r="F2224" s="34">
        <v>1121</v>
      </c>
      <c r="G2224" s="36">
        <f>Tabla16[[#This Row],[Importe]]-Tabla16[[#This Row],[Pagado]]</f>
        <v>0</v>
      </c>
      <c r="H2224" s="38" t="s">
        <v>10</v>
      </c>
    </row>
    <row r="2225" spans="1:8" x14ac:dyDescent="0.25">
      <c r="A2225" s="31">
        <v>44701</v>
      </c>
      <c r="B2225" s="38" t="s">
        <v>16397</v>
      </c>
      <c r="C2225" s="38" t="s">
        <v>15520</v>
      </c>
      <c r="D2225" s="34">
        <v>0</v>
      </c>
      <c r="E2225" s="39" t="s">
        <v>189</v>
      </c>
      <c r="F2225" s="34">
        <v>0</v>
      </c>
      <c r="G2225" s="36">
        <f>Tabla16[[#This Row],[Importe]]-Tabla16[[#This Row],[Pagado]]</f>
        <v>0</v>
      </c>
      <c r="H2225" s="38" t="s">
        <v>189</v>
      </c>
    </row>
    <row r="2226" spans="1:8" x14ac:dyDescent="0.25">
      <c r="A2226" s="31">
        <v>44701</v>
      </c>
      <c r="B2226" s="38" t="s">
        <v>16398</v>
      </c>
      <c r="C2226" s="38" t="s">
        <v>2114</v>
      </c>
      <c r="D2226" s="34">
        <v>1511.8</v>
      </c>
      <c r="E2226" s="35">
        <v>44701</v>
      </c>
      <c r="F2226" s="34">
        <v>1511.8</v>
      </c>
      <c r="G2226" s="36">
        <f>Tabla16[[#This Row],[Importe]]-Tabla16[[#This Row],[Pagado]]</f>
        <v>0</v>
      </c>
      <c r="H2226" s="38" t="s">
        <v>10</v>
      </c>
    </row>
    <row r="2227" spans="1:8" x14ac:dyDescent="0.25">
      <c r="A2227" s="31">
        <v>44701</v>
      </c>
      <c r="B2227" s="38" t="s">
        <v>16399</v>
      </c>
      <c r="C2227" s="38" t="s">
        <v>191</v>
      </c>
      <c r="D2227" s="34">
        <v>3204</v>
      </c>
      <c r="E2227" s="35">
        <v>44701</v>
      </c>
      <c r="F2227" s="34">
        <v>3204</v>
      </c>
      <c r="G2227" s="36">
        <f>Tabla16[[#This Row],[Importe]]-Tabla16[[#This Row],[Pagado]]</f>
        <v>0</v>
      </c>
      <c r="H2227" s="38" t="s">
        <v>10</v>
      </c>
    </row>
    <row r="2228" spans="1:8" x14ac:dyDescent="0.25">
      <c r="A2228" s="31">
        <v>44701</v>
      </c>
      <c r="B2228" s="38" t="s">
        <v>16400</v>
      </c>
      <c r="C2228" s="38" t="s">
        <v>53</v>
      </c>
      <c r="D2228" s="34">
        <v>1924</v>
      </c>
      <c r="E2228" s="35">
        <v>44701</v>
      </c>
      <c r="F2228" s="34">
        <v>1924</v>
      </c>
      <c r="G2228" s="36">
        <f>Tabla16[[#This Row],[Importe]]-Tabla16[[#This Row],[Pagado]]</f>
        <v>0</v>
      </c>
      <c r="H2228" s="38" t="s">
        <v>10</v>
      </c>
    </row>
    <row r="2229" spans="1:8" x14ac:dyDescent="0.25">
      <c r="A2229" s="31">
        <v>44701</v>
      </c>
      <c r="B2229" s="38" t="s">
        <v>16401</v>
      </c>
      <c r="C2229" s="38" t="s">
        <v>45</v>
      </c>
      <c r="D2229" s="34">
        <v>1159.2</v>
      </c>
      <c r="E2229" s="35">
        <v>44701</v>
      </c>
      <c r="F2229" s="34">
        <v>1159.2</v>
      </c>
      <c r="G2229" s="36">
        <f>Tabla16[[#This Row],[Importe]]-Tabla16[[#This Row],[Pagado]]</f>
        <v>0</v>
      </c>
      <c r="H2229" s="38" t="s">
        <v>10</v>
      </c>
    </row>
    <row r="2230" spans="1:8" x14ac:dyDescent="0.25">
      <c r="A2230" s="31">
        <v>44701</v>
      </c>
      <c r="B2230" s="38" t="s">
        <v>16402</v>
      </c>
      <c r="C2230" s="38" t="s">
        <v>224</v>
      </c>
      <c r="D2230" s="34">
        <v>2738.3</v>
      </c>
      <c r="E2230" s="35">
        <v>44701</v>
      </c>
      <c r="F2230" s="34">
        <v>2738.3</v>
      </c>
      <c r="G2230" s="36">
        <f>Tabla16[[#This Row],[Importe]]-Tabla16[[#This Row],[Pagado]]</f>
        <v>0</v>
      </c>
      <c r="H2230" s="38" t="s">
        <v>10</v>
      </c>
    </row>
    <row r="2231" spans="1:8" x14ac:dyDescent="0.25">
      <c r="A2231" s="31">
        <v>44701</v>
      </c>
      <c r="B2231" s="38" t="s">
        <v>16403</v>
      </c>
      <c r="C2231" s="38" t="s">
        <v>56</v>
      </c>
      <c r="D2231" s="34">
        <v>6477.8</v>
      </c>
      <c r="E2231" s="35">
        <v>44701</v>
      </c>
      <c r="F2231" s="34">
        <v>6477.8</v>
      </c>
      <c r="G2231" s="36">
        <f>Tabla16[[#This Row],[Importe]]-Tabla16[[#This Row],[Pagado]]</f>
        <v>0</v>
      </c>
      <c r="H2231" s="38" t="s">
        <v>10</v>
      </c>
    </row>
    <row r="2232" spans="1:8" x14ac:dyDescent="0.25">
      <c r="A2232" s="31">
        <v>44701</v>
      </c>
      <c r="B2232" s="38" t="s">
        <v>16404</v>
      </c>
      <c r="C2232" s="38" t="s">
        <v>849</v>
      </c>
      <c r="D2232" s="34">
        <v>2778</v>
      </c>
      <c r="E2232" s="35">
        <v>44701</v>
      </c>
      <c r="F2232" s="34">
        <v>2778</v>
      </c>
      <c r="G2232" s="36">
        <f>Tabla16[[#This Row],[Importe]]-Tabla16[[#This Row],[Pagado]]</f>
        <v>0</v>
      </c>
      <c r="H2232" s="38" t="s">
        <v>10</v>
      </c>
    </row>
    <row r="2233" spans="1:8" x14ac:dyDescent="0.25">
      <c r="A2233" s="31">
        <v>44701</v>
      </c>
      <c r="B2233" s="38" t="s">
        <v>16405</v>
      </c>
      <c r="C2233" s="38" t="s">
        <v>51</v>
      </c>
      <c r="D2233" s="34">
        <v>3379.6</v>
      </c>
      <c r="E2233" s="35">
        <v>44701</v>
      </c>
      <c r="F2233" s="34">
        <v>3379.6</v>
      </c>
      <c r="G2233" s="36">
        <f>Tabla16[[#This Row],[Importe]]-Tabla16[[#This Row],[Pagado]]</f>
        <v>0</v>
      </c>
      <c r="H2233" s="38" t="s">
        <v>10</v>
      </c>
    </row>
    <row r="2234" spans="1:8" x14ac:dyDescent="0.25">
      <c r="A2234" s="31">
        <v>44701</v>
      </c>
      <c r="B2234" s="38" t="s">
        <v>16406</v>
      </c>
      <c r="C2234" s="38" t="s">
        <v>473</v>
      </c>
      <c r="D2234" s="34">
        <v>5165.6000000000004</v>
      </c>
      <c r="E2234" s="35">
        <v>44701</v>
      </c>
      <c r="F2234" s="34">
        <v>5165.6000000000004</v>
      </c>
      <c r="G2234" s="36">
        <f>Tabla16[[#This Row],[Importe]]-Tabla16[[#This Row],[Pagado]]</f>
        <v>0</v>
      </c>
      <c r="H2234" s="38" t="s">
        <v>10</v>
      </c>
    </row>
    <row r="2235" spans="1:8" x14ac:dyDescent="0.25">
      <c r="A2235" s="31">
        <v>44701</v>
      </c>
      <c r="B2235" s="38" t="s">
        <v>16407</v>
      </c>
      <c r="C2235" s="38" t="s">
        <v>75</v>
      </c>
      <c r="D2235" s="34">
        <v>5628.6</v>
      </c>
      <c r="E2235" s="35">
        <v>44701</v>
      </c>
      <c r="F2235" s="34">
        <v>5628.6</v>
      </c>
      <c r="G2235" s="36">
        <f>Tabla16[[#This Row],[Importe]]-Tabla16[[#This Row],[Pagado]]</f>
        <v>0</v>
      </c>
      <c r="H2235" s="38" t="s">
        <v>10</v>
      </c>
    </row>
    <row r="2236" spans="1:8" x14ac:dyDescent="0.25">
      <c r="A2236" s="31">
        <v>44701</v>
      </c>
      <c r="B2236" s="38" t="s">
        <v>16408</v>
      </c>
      <c r="C2236" s="38" t="s">
        <v>15039</v>
      </c>
      <c r="D2236" s="34">
        <v>3475.2</v>
      </c>
      <c r="E2236" s="35">
        <v>44701</v>
      </c>
      <c r="F2236" s="34">
        <v>3475.2</v>
      </c>
      <c r="G2236" s="36">
        <f>Tabla16[[#This Row],[Importe]]-Tabla16[[#This Row],[Pagado]]</f>
        <v>0</v>
      </c>
      <c r="H2236" s="38" t="s">
        <v>10</v>
      </c>
    </row>
    <row r="2237" spans="1:8" x14ac:dyDescent="0.25">
      <c r="A2237" s="31">
        <v>44701</v>
      </c>
      <c r="B2237" s="38" t="s">
        <v>16409</v>
      </c>
      <c r="C2237" s="38" t="s">
        <v>31</v>
      </c>
      <c r="D2237" s="34">
        <v>7349.5</v>
      </c>
      <c r="E2237" s="35">
        <v>44701</v>
      </c>
      <c r="F2237" s="34">
        <v>7349.5</v>
      </c>
      <c r="G2237" s="36">
        <f>Tabla16[[#This Row],[Importe]]-Tabla16[[#This Row],[Pagado]]</f>
        <v>0</v>
      </c>
      <c r="H2237" s="38" t="s">
        <v>10</v>
      </c>
    </row>
    <row r="2238" spans="1:8" x14ac:dyDescent="0.25">
      <c r="A2238" s="31">
        <v>44701</v>
      </c>
      <c r="B2238" s="38" t="s">
        <v>16410</v>
      </c>
      <c r="C2238" s="38" t="s">
        <v>31</v>
      </c>
      <c r="D2238" s="34">
        <v>3204</v>
      </c>
      <c r="E2238" s="35">
        <v>44701</v>
      </c>
      <c r="F2238" s="34">
        <v>3204</v>
      </c>
      <c r="G2238" s="36">
        <f>Tabla16[[#This Row],[Importe]]-Tabla16[[#This Row],[Pagado]]</f>
        <v>0</v>
      </c>
      <c r="H2238" s="38" t="s">
        <v>10</v>
      </c>
    </row>
    <row r="2239" spans="1:8" x14ac:dyDescent="0.25">
      <c r="A2239" s="31">
        <v>44701</v>
      </c>
      <c r="B2239" s="38" t="s">
        <v>16411</v>
      </c>
      <c r="C2239" s="38" t="s">
        <v>312</v>
      </c>
      <c r="D2239" s="34">
        <v>4585.2</v>
      </c>
      <c r="E2239" s="35">
        <v>44701</v>
      </c>
      <c r="F2239" s="34">
        <v>4585.2</v>
      </c>
      <c r="G2239" s="36">
        <f>Tabla16[[#This Row],[Importe]]-Tabla16[[#This Row],[Pagado]]</f>
        <v>0</v>
      </c>
      <c r="H2239" s="38" t="s">
        <v>10</v>
      </c>
    </row>
    <row r="2240" spans="1:8" x14ac:dyDescent="0.25">
      <c r="A2240" s="31">
        <v>44701</v>
      </c>
      <c r="B2240" s="38" t="s">
        <v>16412</v>
      </c>
      <c r="C2240" s="38" t="s">
        <v>31</v>
      </c>
      <c r="D2240" s="34">
        <v>997.1</v>
      </c>
      <c r="E2240" s="35">
        <v>44701</v>
      </c>
      <c r="F2240" s="34">
        <v>997.1</v>
      </c>
      <c r="G2240" s="36">
        <f>Tabla16[[#This Row],[Importe]]-Tabla16[[#This Row],[Pagado]]</f>
        <v>0</v>
      </c>
      <c r="H2240" s="38" t="s">
        <v>10</v>
      </c>
    </row>
    <row r="2241" spans="1:8" x14ac:dyDescent="0.25">
      <c r="A2241" s="31">
        <v>44701</v>
      </c>
      <c r="B2241" s="38" t="s">
        <v>16413</v>
      </c>
      <c r="C2241" s="38" t="s">
        <v>67</v>
      </c>
      <c r="D2241" s="34">
        <v>8882.2000000000007</v>
      </c>
      <c r="E2241" s="35">
        <v>44701</v>
      </c>
      <c r="F2241" s="34">
        <v>8882.2000000000007</v>
      </c>
      <c r="G2241" s="36">
        <f>Tabla16[[#This Row],[Importe]]-Tabla16[[#This Row],[Pagado]]</f>
        <v>0</v>
      </c>
      <c r="H2241" s="38" t="s">
        <v>10</v>
      </c>
    </row>
    <row r="2242" spans="1:8" x14ac:dyDescent="0.25">
      <c r="A2242" s="31">
        <v>44701</v>
      </c>
      <c r="B2242" s="38" t="s">
        <v>16414</v>
      </c>
      <c r="C2242" s="38" t="s">
        <v>198</v>
      </c>
      <c r="D2242" s="34">
        <v>4054.8</v>
      </c>
      <c r="E2242" s="35">
        <v>44701</v>
      </c>
      <c r="F2242" s="34">
        <v>4054.8</v>
      </c>
      <c r="G2242" s="36">
        <f>Tabla16[[#This Row],[Importe]]-Tabla16[[#This Row],[Pagado]]</f>
        <v>0</v>
      </c>
      <c r="H2242" s="38" t="s">
        <v>10</v>
      </c>
    </row>
    <row r="2243" spans="1:8" x14ac:dyDescent="0.25">
      <c r="A2243" s="31">
        <v>44701</v>
      </c>
      <c r="B2243" s="38" t="s">
        <v>16415</v>
      </c>
      <c r="C2243" s="38" t="s">
        <v>484</v>
      </c>
      <c r="D2243" s="34">
        <v>4226.2</v>
      </c>
      <c r="E2243" s="35">
        <v>44701</v>
      </c>
      <c r="F2243" s="34">
        <v>4226.2</v>
      </c>
      <c r="G2243" s="36">
        <f>Tabla16[[#This Row],[Importe]]-Tabla16[[#This Row],[Pagado]]</f>
        <v>0</v>
      </c>
      <c r="H2243" s="38" t="s">
        <v>10</v>
      </c>
    </row>
    <row r="2244" spans="1:8" x14ac:dyDescent="0.25">
      <c r="A2244" s="31">
        <v>44701</v>
      </c>
      <c r="B2244" s="38" t="s">
        <v>16416</v>
      </c>
      <c r="C2244" s="38" t="s">
        <v>216</v>
      </c>
      <c r="D2244" s="34">
        <v>1657.9</v>
      </c>
      <c r="E2244" s="35">
        <v>44701</v>
      </c>
      <c r="F2244" s="34">
        <v>1657.9</v>
      </c>
      <c r="G2244" s="36">
        <f>Tabla16[[#This Row],[Importe]]-Tabla16[[#This Row],[Pagado]]</f>
        <v>0</v>
      </c>
      <c r="H2244" s="38" t="s">
        <v>10</v>
      </c>
    </row>
    <row r="2245" spans="1:8" x14ac:dyDescent="0.25">
      <c r="A2245" s="31">
        <v>44701</v>
      </c>
      <c r="B2245" s="38" t="s">
        <v>16417</v>
      </c>
      <c r="C2245" s="38" t="s">
        <v>670</v>
      </c>
      <c r="D2245" s="34">
        <v>4489.7</v>
      </c>
      <c r="E2245" s="35">
        <v>44701</v>
      </c>
      <c r="F2245" s="34">
        <v>4489.7</v>
      </c>
      <c r="G2245" s="36">
        <f>Tabla16[[#This Row],[Importe]]-Tabla16[[#This Row],[Pagado]]</f>
        <v>0</v>
      </c>
      <c r="H2245" s="38" t="s">
        <v>10</v>
      </c>
    </row>
    <row r="2246" spans="1:8" x14ac:dyDescent="0.25">
      <c r="A2246" s="31">
        <v>44701</v>
      </c>
      <c r="B2246" s="38" t="s">
        <v>16418</v>
      </c>
      <c r="C2246" s="38" t="s">
        <v>71</v>
      </c>
      <c r="D2246" s="34">
        <v>4849.8</v>
      </c>
      <c r="E2246" s="35">
        <v>44701</v>
      </c>
      <c r="F2246" s="34">
        <v>4849.8</v>
      </c>
      <c r="G2246" s="36">
        <f>Tabla16[[#This Row],[Importe]]-Tabla16[[#This Row],[Pagado]]</f>
        <v>0</v>
      </c>
      <c r="H2246" s="38" t="s">
        <v>10</v>
      </c>
    </row>
    <row r="2247" spans="1:8" x14ac:dyDescent="0.25">
      <c r="A2247" s="31">
        <v>44701</v>
      </c>
      <c r="B2247" s="38" t="s">
        <v>16419</v>
      </c>
      <c r="C2247" s="38" t="s">
        <v>31</v>
      </c>
      <c r="D2247" s="34">
        <v>2988</v>
      </c>
      <c r="E2247" s="35">
        <v>44701</v>
      </c>
      <c r="F2247" s="34">
        <v>2988</v>
      </c>
      <c r="G2247" s="36">
        <f>Tabla16[[#This Row],[Importe]]-Tabla16[[#This Row],[Pagado]]</f>
        <v>0</v>
      </c>
      <c r="H2247" s="38" t="s">
        <v>10</v>
      </c>
    </row>
    <row r="2248" spans="1:8" x14ac:dyDescent="0.25">
      <c r="A2248" s="31">
        <v>44701</v>
      </c>
      <c r="B2248" s="38" t="s">
        <v>16420</v>
      </c>
      <c r="C2248" s="38" t="s">
        <v>31</v>
      </c>
      <c r="D2248" s="34">
        <v>549.9</v>
      </c>
      <c r="E2248" s="35">
        <v>44701</v>
      </c>
      <c r="F2248" s="34">
        <v>549.9</v>
      </c>
      <c r="G2248" s="36">
        <f>Tabla16[[#This Row],[Importe]]-Tabla16[[#This Row],[Pagado]]</f>
        <v>0</v>
      </c>
      <c r="H2248" s="38" t="s">
        <v>10</v>
      </c>
    </row>
    <row r="2249" spans="1:8" x14ac:dyDescent="0.25">
      <c r="A2249" s="31">
        <v>44701</v>
      </c>
      <c r="B2249" s="38" t="s">
        <v>16421</v>
      </c>
      <c r="C2249" s="38" t="s">
        <v>216</v>
      </c>
      <c r="D2249" s="34">
        <v>2846.6</v>
      </c>
      <c r="E2249" s="35">
        <v>44701</v>
      </c>
      <c r="F2249" s="34">
        <v>2846.6</v>
      </c>
      <c r="G2249" s="36">
        <f>Tabla16[[#This Row],[Importe]]-Tabla16[[#This Row],[Pagado]]</f>
        <v>0</v>
      </c>
      <c r="H2249" s="38" t="s">
        <v>10</v>
      </c>
    </row>
    <row r="2250" spans="1:8" x14ac:dyDescent="0.25">
      <c r="A2250" s="31">
        <v>44701</v>
      </c>
      <c r="B2250" s="38" t="s">
        <v>16422</v>
      </c>
      <c r="C2250" s="38" t="s">
        <v>58</v>
      </c>
      <c r="D2250" s="34">
        <v>5869.4</v>
      </c>
      <c r="E2250" s="35">
        <v>44701</v>
      </c>
      <c r="F2250" s="34">
        <v>5869.4</v>
      </c>
      <c r="G2250" s="36">
        <f>Tabla16[[#This Row],[Importe]]-Tabla16[[#This Row],[Pagado]]</f>
        <v>0</v>
      </c>
      <c r="H2250" s="38" t="s">
        <v>10</v>
      </c>
    </row>
    <row r="2251" spans="1:8" x14ac:dyDescent="0.25">
      <c r="A2251" s="31">
        <v>44701</v>
      </c>
      <c r="B2251" s="38" t="s">
        <v>16423</v>
      </c>
      <c r="C2251" s="38" t="s">
        <v>872</v>
      </c>
      <c r="D2251" s="34">
        <v>4468.5</v>
      </c>
      <c r="E2251" s="35">
        <v>44701</v>
      </c>
      <c r="F2251" s="34">
        <v>4468.5</v>
      </c>
      <c r="G2251" s="36">
        <f>Tabla16[[#This Row],[Importe]]-Tabla16[[#This Row],[Pagado]]</f>
        <v>0</v>
      </c>
      <c r="H2251" s="38" t="s">
        <v>10</v>
      </c>
    </row>
    <row r="2252" spans="1:8" x14ac:dyDescent="0.25">
      <c r="A2252" s="31">
        <v>44701</v>
      </c>
      <c r="B2252" s="38" t="s">
        <v>16424</v>
      </c>
      <c r="C2252" s="38" t="s">
        <v>541</v>
      </c>
      <c r="D2252" s="34">
        <v>29000</v>
      </c>
      <c r="E2252" s="35">
        <v>44702</v>
      </c>
      <c r="F2252" s="34">
        <v>29000</v>
      </c>
      <c r="G2252" s="36">
        <f>Tabla16[[#This Row],[Importe]]-Tabla16[[#This Row],[Pagado]]</f>
        <v>0</v>
      </c>
      <c r="H2252" s="38" t="s">
        <v>10</v>
      </c>
    </row>
    <row r="2253" spans="1:8" x14ac:dyDescent="0.25">
      <c r="A2253" s="31">
        <v>44701</v>
      </c>
      <c r="B2253" s="38" t="s">
        <v>16425</v>
      </c>
      <c r="C2253" s="38" t="s">
        <v>698</v>
      </c>
      <c r="D2253" s="34">
        <v>6064.1</v>
      </c>
      <c r="E2253" s="35">
        <v>44701</v>
      </c>
      <c r="F2253" s="34">
        <v>6064.1</v>
      </c>
      <c r="G2253" s="36">
        <f>Tabla16[[#This Row],[Importe]]-Tabla16[[#This Row],[Pagado]]</f>
        <v>0</v>
      </c>
      <c r="H2253" s="38" t="s">
        <v>10</v>
      </c>
    </row>
    <row r="2254" spans="1:8" x14ac:dyDescent="0.25">
      <c r="A2254" s="31">
        <v>44701</v>
      </c>
      <c r="B2254" s="38" t="s">
        <v>16426</v>
      </c>
      <c r="C2254" s="38" t="s">
        <v>15868</v>
      </c>
      <c r="D2254" s="34">
        <v>36946</v>
      </c>
      <c r="E2254" s="35">
        <v>44702</v>
      </c>
      <c r="F2254" s="34">
        <v>36946</v>
      </c>
      <c r="G2254" s="36">
        <f>Tabla16[[#This Row],[Importe]]-Tabla16[[#This Row],[Pagado]]</f>
        <v>0</v>
      </c>
      <c r="H2254" s="38" t="s">
        <v>10</v>
      </c>
    </row>
    <row r="2255" spans="1:8" x14ac:dyDescent="0.25">
      <c r="A2255" s="31">
        <v>44701</v>
      </c>
      <c r="B2255" s="38" t="s">
        <v>16427</v>
      </c>
      <c r="C2255" s="38" t="s">
        <v>11383</v>
      </c>
      <c r="D2255" s="34">
        <v>17432.400000000001</v>
      </c>
      <c r="E2255" s="35">
        <v>44701</v>
      </c>
      <c r="F2255" s="34">
        <v>17432.400000000001</v>
      </c>
      <c r="G2255" s="36">
        <f>Tabla16[[#This Row],[Importe]]-Tabla16[[#This Row],[Pagado]]</f>
        <v>0</v>
      </c>
      <c r="H2255" s="38" t="s">
        <v>10</v>
      </c>
    </row>
    <row r="2256" spans="1:8" x14ac:dyDescent="0.25">
      <c r="A2256" s="31">
        <v>44701</v>
      </c>
      <c r="B2256" s="38" t="s">
        <v>16428</v>
      </c>
      <c r="C2256" s="38" t="s">
        <v>576</v>
      </c>
      <c r="D2256" s="34">
        <v>1738</v>
      </c>
      <c r="E2256" s="35">
        <v>44702</v>
      </c>
      <c r="F2256" s="34">
        <v>1738</v>
      </c>
      <c r="G2256" s="36">
        <f>Tabla16[[#This Row],[Importe]]-Tabla16[[#This Row],[Pagado]]</f>
        <v>0</v>
      </c>
      <c r="H2256" s="38" t="s">
        <v>10</v>
      </c>
    </row>
    <row r="2257" spans="1:8" x14ac:dyDescent="0.25">
      <c r="A2257" s="31">
        <v>44701</v>
      </c>
      <c r="B2257" s="38" t="s">
        <v>16429</v>
      </c>
      <c r="C2257" s="38" t="s">
        <v>200</v>
      </c>
      <c r="D2257" s="34">
        <v>702.1</v>
      </c>
      <c r="E2257" s="35">
        <v>44702</v>
      </c>
      <c r="F2257" s="34">
        <v>702.1</v>
      </c>
      <c r="G2257" s="36">
        <f>Tabla16[[#This Row],[Importe]]-Tabla16[[#This Row],[Pagado]]</f>
        <v>0</v>
      </c>
      <c r="H2257" s="38" t="s">
        <v>10</v>
      </c>
    </row>
    <row r="2258" spans="1:8" x14ac:dyDescent="0.25">
      <c r="A2258" s="31">
        <v>44701</v>
      </c>
      <c r="B2258" s="38" t="s">
        <v>16430</v>
      </c>
      <c r="C2258" s="38" t="s">
        <v>181</v>
      </c>
      <c r="D2258" s="34">
        <v>10896.8</v>
      </c>
      <c r="E2258" s="35">
        <v>44702</v>
      </c>
      <c r="F2258" s="34">
        <v>10896.8</v>
      </c>
      <c r="G2258" s="36">
        <f>Tabla16[[#This Row],[Importe]]-Tabla16[[#This Row],[Pagado]]</f>
        <v>0</v>
      </c>
      <c r="H2258" s="38" t="s">
        <v>10</v>
      </c>
    </row>
    <row r="2259" spans="1:8" x14ac:dyDescent="0.25">
      <c r="A2259" s="31">
        <v>44701</v>
      </c>
      <c r="B2259" s="38" t="s">
        <v>16431</v>
      </c>
      <c r="C2259" s="38" t="s">
        <v>107</v>
      </c>
      <c r="D2259" s="34">
        <v>12833.4</v>
      </c>
      <c r="E2259" s="35">
        <v>44702</v>
      </c>
      <c r="F2259" s="34">
        <v>12833.4</v>
      </c>
      <c r="G2259" s="36">
        <f>Tabla16[[#This Row],[Importe]]-Tabla16[[#This Row],[Pagado]]</f>
        <v>0</v>
      </c>
      <c r="H2259" s="38" t="s">
        <v>10</v>
      </c>
    </row>
    <row r="2260" spans="1:8" x14ac:dyDescent="0.25">
      <c r="A2260" s="31">
        <v>44701</v>
      </c>
      <c r="B2260" s="38" t="s">
        <v>16432</v>
      </c>
      <c r="C2260" s="38" t="s">
        <v>214</v>
      </c>
      <c r="D2260" s="34">
        <v>5951</v>
      </c>
      <c r="E2260" s="35">
        <v>44702</v>
      </c>
      <c r="F2260" s="34">
        <v>5951</v>
      </c>
      <c r="G2260" s="36">
        <f>Tabla16[[#This Row],[Importe]]-Tabla16[[#This Row],[Pagado]]</f>
        <v>0</v>
      </c>
      <c r="H2260" s="38" t="s">
        <v>10</v>
      </c>
    </row>
    <row r="2261" spans="1:8" x14ac:dyDescent="0.25">
      <c r="A2261" s="31">
        <v>44701</v>
      </c>
      <c r="B2261" s="38" t="s">
        <v>16433</v>
      </c>
      <c r="C2261" s="38" t="s">
        <v>16434</v>
      </c>
      <c r="D2261" s="34">
        <v>0</v>
      </c>
      <c r="E2261" s="39" t="s">
        <v>189</v>
      </c>
      <c r="F2261" s="34">
        <v>0</v>
      </c>
      <c r="G2261" s="36">
        <f>Tabla16[[#This Row],[Importe]]-Tabla16[[#This Row],[Pagado]]</f>
        <v>0</v>
      </c>
      <c r="H2261" s="38" t="s">
        <v>189</v>
      </c>
    </row>
    <row r="2262" spans="1:8" x14ac:dyDescent="0.25">
      <c r="A2262" s="31">
        <v>44701</v>
      </c>
      <c r="B2262" s="38" t="s">
        <v>16435</v>
      </c>
      <c r="C2262" s="38" t="s">
        <v>175</v>
      </c>
      <c r="D2262" s="34">
        <v>30698.3</v>
      </c>
      <c r="E2262" s="35">
        <v>44702</v>
      </c>
      <c r="F2262" s="34">
        <v>30698.3</v>
      </c>
      <c r="G2262" s="36">
        <f>Tabla16[[#This Row],[Importe]]-Tabla16[[#This Row],[Pagado]]</f>
        <v>0</v>
      </c>
      <c r="H2262" s="38" t="s">
        <v>10</v>
      </c>
    </row>
    <row r="2263" spans="1:8" x14ac:dyDescent="0.25">
      <c r="A2263" s="31">
        <v>44701</v>
      </c>
      <c r="B2263" s="38" t="s">
        <v>16436</v>
      </c>
      <c r="C2263" s="38" t="s">
        <v>175</v>
      </c>
      <c r="D2263" s="34">
        <v>2915</v>
      </c>
      <c r="E2263" s="35">
        <v>44702</v>
      </c>
      <c r="F2263" s="34">
        <v>2915</v>
      </c>
      <c r="G2263" s="36">
        <f>Tabla16[[#This Row],[Importe]]-Tabla16[[#This Row],[Pagado]]</f>
        <v>0</v>
      </c>
      <c r="H2263" s="38" t="s">
        <v>10</v>
      </c>
    </row>
    <row r="2264" spans="1:8" x14ac:dyDescent="0.25">
      <c r="A2264" s="31">
        <v>44701</v>
      </c>
      <c r="B2264" s="38" t="s">
        <v>16437</v>
      </c>
      <c r="C2264" s="38" t="s">
        <v>284</v>
      </c>
      <c r="D2264" s="34">
        <v>8861.7999999999993</v>
      </c>
      <c r="E2264" s="35">
        <v>44702</v>
      </c>
      <c r="F2264" s="34">
        <v>8861.7999999999993</v>
      </c>
      <c r="G2264" s="36">
        <f>Tabla16[[#This Row],[Importe]]-Tabla16[[#This Row],[Pagado]]</f>
        <v>0</v>
      </c>
      <c r="H2264" s="38" t="s">
        <v>10</v>
      </c>
    </row>
    <row r="2265" spans="1:8" x14ac:dyDescent="0.25">
      <c r="A2265" s="31">
        <v>44701</v>
      </c>
      <c r="B2265" s="38" t="s">
        <v>16438</v>
      </c>
      <c r="C2265" s="38" t="s">
        <v>282</v>
      </c>
      <c r="D2265" s="34">
        <v>1787.7</v>
      </c>
      <c r="E2265" s="35">
        <v>44702</v>
      </c>
      <c r="F2265" s="34">
        <v>1787.7</v>
      </c>
      <c r="G2265" s="36">
        <f>Tabla16[[#This Row],[Importe]]-Tabla16[[#This Row],[Pagado]]</f>
        <v>0</v>
      </c>
      <c r="H2265" s="38" t="s">
        <v>10</v>
      </c>
    </row>
    <row r="2266" spans="1:8" x14ac:dyDescent="0.25">
      <c r="A2266" s="31">
        <v>44701</v>
      </c>
      <c r="B2266" s="38" t="s">
        <v>16439</v>
      </c>
      <c r="C2266" s="38" t="s">
        <v>5345</v>
      </c>
      <c r="D2266" s="34">
        <v>6336.6</v>
      </c>
      <c r="E2266" s="35">
        <v>44701</v>
      </c>
      <c r="F2266" s="34">
        <v>6336.6</v>
      </c>
      <c r="G2266" s="36">
        <f>Tabla16[[#This Row],[Importe]]-Tabla16[[#This Row],[Pagado]]</f>
        <v>0</v>
      </c>
      <c r="H2266" s="38" t="s">
        <v>10</v>
      </c>
    </row>
    <row r="2267" spans="1:8" x14ac:dyDescent="0.25">
      <c r="A2267" s="31">
        <v>44701</v>
      </c>
      <c r="B2267" s="38" t="s">
        <v>16440</v>
      </c>
      <c r="C2267" s="38" t="s">
        <v>273</v>
      </c>
      <c r="D2267" s="34">
        <v>4856.8</v>
      </c>
      <c r="E2267" s="35">
        <v>44702</v>
      </c>
      <c r="F2267" s="34">
        <v>4856.8</v>
      </c>
      <c r="G2267" s="36">
        <f>Tabla16[[#This Row],[Importe]]-Tabla16[[#This Row],[Pagado]]</f>
        <v>0</v>
      </c>
      <c r="H2267" s="38" t="s">
        <v>10</v>
      </c>
    </row>
    <row r="2268" spans="1:8" x14ac:dyDescent="0.25">
      <c r="A2268" s="31">
        <v>44701</v>
      </c>
      <c r="B2268" s="38" t="s">
        <v>16441</v>
      </c>
      <c r="C2268" s="38" t="s">
        <v>280</v>
      </c>
      <c r="D2268" s="34">
        <v>902.7</v>
      </c>
      <c r="E2268" s="35">
        <v>44702</v>
      </c>
      <c r="F2268" s="34">
        <v>902.7</v>
      </c>
      <c r="G2268" s="36">
        <f>Tabla16[[#This Row],[Importe]]-Tabla16[[#This Row],[Pagado]]</f>
        <v>0</v>
      </c>
      <c r="H2268" s="38" t="s">
        <v>10</v>
      </c>
    </row>
    <row r="2269" spans="1:8" x14ac:dyDescent="0.25">
      <c r="A2269" s="31">
        <v>44701</v>
      </c>
      <c r="B2269" s="38" t="s">
        <v>16442</v>
      </c>
      <c r="C2269" s="38" t="s">
        <v>10819</v>
      </c>
      <c r="D2269" s="34">
        <v>578.20000000000005</v>
      </c>
      <c r="E2269" s="35">
        <v>44702</v>
      </c>
      <c r="F2269" s="34">
        <v>578.20000000000005</v>
      </c>
      <c r="G2269" s="36">
        <f>Tabla16[[#This Row],[Importe]]-Tabla16[[#This Row],[Pagado]]</f>
        <v>0</v>
      </c>
      <c r="H2269" s="38" t="s">
        <v>10</v>
      </c>
    </row>
    <row r="2270" spans="1:8" x14ac:dyDescent="0.25">
      <c r="A2270" s="31">
        <v>44701</v>
      </c>
      <c r="B2270" s="38" t="s">
        <v>16443</v>
      </c>
      <c r="C2270" s="38" t="s">
        <v>9415</v>
      </c>
      <c r="D2270" s="34">
        <v>9055</v>
      </c>
      <c r="E2270" s="35">
        <v>44704</v>
      </c>
      <c r="F2270" s="34">
        <v>9055</v>
      </c>
      <c r="G2270" s="36">
        <f>Tabla16[[#This Row],[Importe]]-Tabla16[[#This Row],[Pagado]]</f>
        <v>0</v>
      </c>
      <c r="H2270" s="38" t="s">
        <v>10</v>
      </c>
    </row>
    <row r="2271" spans="1:8" x14ac:dyDescent="0.25">
      <c r="A2271" s="31">
        <v>44701</v>
      </c>
      <c r="B2271" s="38" t="s">
        <v>16444</v>
      </c>
      <c r="C2271" s="38" t="s">
        <v>870</v>
      </c>
      <c r="D2271" s="34">
        <v>6360.2</v>
      </c>
      <c r="E2271" s="35">
        <v>44702</v>
      </c>
      <c r="F2271" s="34">
        <v>6360.2</v>
      </c>
      <c r="G2271" s="36">
        <f>Tabla16[[#This Row],[Importe]]-Tabla16[[#This Row],[Pagado]]</f>
        <v>0</v>
      </c>
      <c r="H2271" s="38" t="s">
        <v>10</v>
      </c>
    </row>
    <row r="2272" spans="1:8" x14ac:dyDescent="0.25">
      <c r="A2272" s="31">
        <v>44701</v>
      </c>
      <c r="B2272" s="38" t="s">
        <v>16445</v>
      </c>
      <c r="C2272" s="38" t="s">
        <v>31</v>
      </c>
      <c r="D2272" s="34">
        <v>764.5</v>
      </c>
      <c r="E2272" s="35">
        <v>44701</v>
      </c>
      <c r="F2272" s="34">
        <v>764.5</v>
      </c>
      <c r="G2272" s="36">
        <f>Tabla16[[#This Row],[Importe]]-Tabla16[[#This Row],[Pagado]]</f>
        <v>0</v>
      </c>
      <c r="H2272" s="38" t="s">
        <v>10</v>
      </c>
    </row>
    <row r="2273" spans="1:8" x14ac:dyDescent="0.25">
      <c r="A2273" s="31">
        <v>44701</v>
      </c>
      <c r="B2273" s="38" t="s">
        <v>16446</v>
      </c>
      <c r="C2273" s="38" t="s">
        <v>16447</v>
      </c>
      <c r="D2273" s="34">
        <v>0</v>
      </c>
      <c r="E2273" s="39" t="s">
        <v>189</v>
      </c>
      <c r="F2273" s="34">
        <v>0</v>
      </c>
      <c r="G2273" s="36">
        <f>Tabla16[[#This Row],[Importe]]-Tabla16[[#This Row],[Pagado]]</f>
        <v>0</v>
      </c>
      <c r="H2273" s="38" t="s">
        <v>189</v>
      </c>
    </row>
    <row r="2274" spans="1:8" x14ac:dyDescent="0.25">
      <c r="A2274" s="31">
        <v>44701</v>
      </c>
      <c r="B2274" s="38" t="s">
        <v>16448</v>
      </c>
      <c r="C2274" s="38" t="s">
        <v>1313</v>
      </c>
      <c r="D2274" s="34">
        <v>4517.2</v>
      </c>
      <c r="E2274" s="35">
        <v>44701</v>
      </c>
      <c r="F2274" s="34">
        <v>4517.2</v>
      </c>
      <c r="G2274" s="36">
        <f>Tabla16[[#This Row],[Importe]]-Tabla16[[#This Row],[Pagado]]</f>
        <v>0</v>
      </c>
      <c r="H2274" s="38" t="s">
        <v>10</v>
      </c>
    </row>
    <row r="2275" spans="1:8" x14ac:dyDescent="0.25">
      <c r="A2275" s="31">
        <v>44701</v>
      </c>
      <c r="B2275" s="38" t="s">
        <v>16449</v>
      </c>
      <c r="C2275" s="38" t="s">
        <v>142</v>
      </c>
      <c r="D2275" s="34">
        <v>101400.66</v>
      </c>
      <c r="E2275" s="35">
        <v>44707</v>
      </c>
      <c r="F2275" s="34">
        <v>101400.66</v>
      </c>
      <c r="G2275" s="36">
        <f>Tabla16[[#This Row],[Importe]]-Tabla16[[#This Row],[Pagado]]</f>
        <v>0</v>
      </c>
      <c r="H2275" s="38" t="s">
        <v>10</v>
      </c>
    </row>
    <row r="2276" spans="1:8" x14ac:dyDescent="0.25">
      <c r="A2276" s="31">
        <v>44701</v>
      </c>
      <c r="B2276" s="38" t="s">
        <v>16450</v>
      </c>
      <c r="C2276" s="38" t="s">
        <v>246</v>
      </c>
      <c r="D2276" s="34">
        <v>6805.2</v>
      </c>
      <c r="E2276" s="35">
        <v>44701</v>
      </c>
      <c r="F2276" s="34">
        <v>6805.2</v>
      </c>
      <c r="G2276" s="36">
        <f>Tabla16[[#This Row],[Importe]]-Tabla16[[#This Row],[Pagado]]</f>
        <v>0</v>
      </c>
      <c r="H2276" s="38" t="s">
        <v>10</v>
      </c>
    </row>
    <row r="2277" spans="1:8" x14ac:dyDescent="0.25">
      <c r="A2277" s="31">
        <v>44701</v>
      </c>
      <c r="B2277" s="38" t="s">
        <v>16451</v>
      </c>
      <c r="C2277" s="38" t="s">
        <v>10678</v>
      </c>
      <c r="D2277" s="34">
        <v>2406.6</v>
      </c>
      <c r="E2277" s="35">
        <v>44701</v>
      </c>
      <c r="F2277" s="34">
        <v>2406.6</v>
      </c>
      <c r="G2277" s="36">
        <f>Tabla16[[#This Row],[Importe]]-Tabla16[[#This Row],[Pagado]]</f>
        <v>0</v>
      </c>
      <c r="H2277" s="38" t="s">
        <v>10</v>
      </c>
    </row>
    <row r="2278" spans="1:8" x14ac:dyDescent="0.25">
      <c r="A2278" s="31">
        <v>44701</v>
      </c>
      <c r="B2278" s="38" t="s">
        <v>16452</v>
      </c>
      <c r="C2278" s="38" t="s">
        <v>2151</v>
      </c>
      <c r="D2278" s="34">
        <v>4317.2</v>
      </c>
      <c r="E2278" s="35">
        <v>44701</v>
      </c>
      <c r="F2278" s="34">
        <v>4317.2</v>
      </c>
      <c r="G2278" s="36">
        <f>Tabla16[[#This Row],[Importe]]-Tabla16[[#This Row],[Pagado]]</f>
        <v>0</v>
      </c>
      <c r="H2278" s="38" t="s">
        <v>10</v>
      </c>
    </row>
    <row r="2279" spans="1:8" x14ac:dyDescent="0.25">
      <c r="A2279" s="31">
        <v>44701</v>
      </c>
      <c r="B2279" s="38" t="s">
        <v>16453</v>
      </c>
      <c r="C2279" s="38" t="s">
        <v>454</v>
      </c>
      <c r="D2279" s="34">
        <v>3853.2</v>
      </c>
      <c r="E2279" s="35">
        <v>44701</v>
      </c>
      <c r="F2279" s="34">
        <v>3853.2</v>
      </c>
      <c r="G2279" s="36">
        <f>Tabla16[[#This Row],[Importe]]-Tabla16[[#This Row],[Pagado]]</f>
        <v>0</v>
      </c>
      <c r="H2279" s="38" t="s">
        <v>10</v>
      </c>
    </row>
    <row r="2280" spans="1:8" x14ac:dyDescent="0.25">
      <c r="A2280" s="31">
        <v>44701</v>
      </c>
      <c r="B2280" s="38" t="s">
        <v>16454</v>
      </c>
      <c r="C2280" s="38" t="s">
        <v>275</v>
      </c>
      <c r="D2280" s="34">
        <v>42427.14</v>
      </c>
      <c r="E2280" s="35">
        <v>44715</v>
      </c>
      <c r="F2280" s="34">
        <v>42427.14</v>
      </c>
      <c r="G2280" s="36">
        <f>Tabla16[[#This Row],[Importe]]-Tabla16[[#This Row],[Pagado]]</f>
        <v>0</v>
      </c>
      <c r="H2280" s="38" t="s">
        <v>10</v>
      </c>
    </row>
    <row r="2281" spans="1:8" x14ac:dyDescent="0.25">
      <c r="A2281" s="31">
        <v>44701</v>
      </c>
      <c r="B2281" s="38" t="s">
        <v>16455</v>
      </c>
      <c r="C2281" s="38" t="s">
        <v>654</v>
      </c>
      <c r="D2281" s="34">
        <v>5663.6</v>
      </c>
      <c r="E2281" s="35">
        <v>44701</v>
      </c>
      <c r="F2281" s="34">
        <v>5663.6</v>
      </c>
      <c r="G2281" s="36">
        <f>Tabla16[[#This Row],[Importe]]-Tabla16[[#This Row],[Pagado]]</f>
        <v>0</v>
      </c>
      <c r="H2281" s="38" t="s">
        <v>10</v>
      </c>
    </row>
    <row r="2282" spans="1:8" x14ac:dyDescent="0.25">
      <c r="A2282" s="31">
        <v>44701</v>
      </c>
      <c r="B2282" s="38" t="s">
        <v>16456</v>
      </c>
      <c r="C2282" s="38" t="s">
        <v>31</v>
      </c>
      <c r="D2282" s="34">
        <v>208.6</v>
      </c>
      <c r="E2282" s="35">
        <v>44707</v>
      </c>
      <c r="F2282" s="34">
        <v>208.6</v>
      </c>
      <c r="G2282" s="36">
        <f>Tabla16[[#This Row],[Importe]]-Tabla16[[#This Row],[Pagado]]</f>
        <v>0</v>
      </c>
      <c r="H2282" s="38" t="s">
        <v>10</v>
      </c>
    </row>
    <row r="2283" spans="1:8" x14ac:dyDescent="0.25">
      <c r="A2283" s="31">
        <v>44701</v>
      </c>
      <c r="B2283" s="38" t="s">
        <v>16457</v>
      </c>
      <c r="C2283" s="38" t="s">
        <v>31</v>
      </c>
      <c r="D2283" s="34">
        <v>116.4</v>
      </c>
      <c r="E2283" s="35">
        <v>44701</v>
      </c>
      <c r="F2283" s="34">
        <v>116.4</v>
      </c>
      <c r="G2283" s="36">
        <f>Tabla16[[#This Row],[Importe]]-Tabla16[[#This Row],[Pagado]]</f>
        <v>0</v>
      </c>
      <c r="H2283" s="38" t="s">
        <v>10</v>
      </c>
    </row>
    <row r="2284" spans="1:8" x14ac:dyDescent="0.25">
      <c r="A2284" s="31">
        <v>44701</v>
      </c>
      <c r="B2284" s="38" t="s">
        <v>16458</v>
      </c>
      <c r="C2284" s="38" t="s">
        <v>275</v>
      </c>
      <c r="D2284" s="34">
        <v>102398.18</v>
      </c>
      <c r="E2284" s="35">
        <v>44715</v>
      </c>
      <c r="F2284" s="34">
        <v>102398.18</v>
      </c>
      <c r="G2284" s="36">
        <f>Tabla16[[#This Row],[Importe]]-Tabla16[[#This Row],[Pagado]]</f>
        <v>0</v>
      </c>
      <c r="H2284" s="38" t="s">
        <v>10</v>
      </c>
    </row>
    <row r="2285" spans="1:8" x14ac:dyDescent="0.25">
      <c r="A2285" s="31">
        <v>44701</v>
      </c>
      <c r="B2285" s="38" t="s">
        <v>16459</v>
      </c>
      <c r="C2285" s="38" t="s">
        <v>69</v>
      </c>
      <c r="D2285" s="34">
        <v>1669.7</v>
      </c>
      <c r="E2285" s="35">
        <v>44701</v>
      </c>
      <c r="F2285" s="34">
        <v>1669.7</v>
      </c>
      <c r="G2285" s="36">
        <f>Tabla16[[#This Row],[Importe]]-Tabla16[[#This Row],[Pagado]]</f>
        <v>0</v>
      </c>
      <c r="H2285" s="38" t="s">
        <v>10</v>
      </c>
    </row>
    <row r="2286" spans="1:8" x14ac:dyDescent="0.25">
      <c r="A2286" s="31">
        <v>44701</v>
      </c>
      <c r="B2286" s="38" t="s">
        <v>16460</v>
      </c>
      <c r="C2286" s="38" t="s">
        <v>31</v>
      </c>
      <c r="D2286" s="34">
        <v>483.8</v>
      </c>
      <c r="E2286" s="35">
        <v>44701</v>
      </c>
      <c r="F2286" s="34">
        <v>483.8</v>
      </c>
      <c r="G2286" s="36">
        <f>Tabla16[[#This Row],[Importe]]-Tabla16[[#This Row],[Pagado]]</f>
        <v>0</v>
      </c>
      <c r="H2286" s="38" t="s">
        <v>10</v>
      </c>
    </row>
    <row r="2287" spans="1:8" ht="31.5" x14ac:dyDescent="0.25">
      <c r="A2287" s="31">
        <v>44701</v>
      </c>
      <c r="B2287" s="38" t="s">
        <v>16461</v>
      </c>
      <c r="C2287" s="41" t="s">
        <v>9180</v>
      </c>
      <c r="D2287" s="34">
        <v>0</v>
      </c>
      <c r="E2287" s="39" t="s">
        <v>189</v>
      </c>
      <c r="F2287" s="34">
        <v>0</v>
      </c>
      <c r="G2287" s="36">
        <f>Tabla16[[#This Row],[Importe]]-Tabla16[[#This Row],[Pagado]]</f>
        <v>0</v>
      </c>
      <c r="H2287" s="38" t="s">
        <v>189</v>
      </c>
    </row>
    <row r="2288" spans="1:8" x14ac:dyDescent="0.25">
      <c r="A2288" s="31">
        <v>44701</v>
      </c>
      <c r="B2288" s="38" t="s">
        <v>16462</v>
      </c>
      <c r="C2288" s="38" t="s">
        <v>840</v>
      </c>
      <c r="D2288" s="34">
        <v>6366.4</v>
      </c>
      <c r="E2288" s="35">
        <v>44701</v>
      </c>
      <c r="F2288" s="34">
        <v>6366.4</v>
      </c>
      <c r="G2288" s="36">
        <f>Tabla16[[#This Row],[Importe]]-Tabla16[[#This Row],[Pagado]]</f>
        <v>0</v>
      </c>
      <c r="H2288" s="38" t="s">
        <v>10</v>
      </c>
    </row>
    <row r="2289" spans="1:8" x14ac:dyDescent="0.25">
      <c r="A2289" s="31">
        <v>44701</v>
      </c>
      <c r="B2289" s="38" t="s">
        <v>16463</v>
      </c>
      <c r="C2289" s="38" t="s">
        <v>849</v>
      </c>
      <c r="D2289" s="34">
        <v>1421.2</v>
      </c>
      <c r="E2289" s="35">
        <v>44701</v>
      </c>
      <c r="F2289" s="34">
        <v>1421.2</v>
      </c>
      <c r="G2289" s="36">
        <f>Tabla16[[#This Row],[Importe]]-Tabla16[[#This Row],[Pagado]]</f>
        <v>0</v>
      </c>
      <c r="H2289" s="38" t="s">
        <v>10</v>
      </c>
    </row>
    <row r="2290" spans="1:8" x14ac:dyDescent="0.25">
      <c r="A2290" s="31">
        <v>44701</v>
      </c>
      <c r="B2290" s="38" t="s">
        <v>16464</v>
      </c>
      <c r="C2290" s="38" t="s">
        <v>7444</v>
      </c>
      <c r="D2290" s="34">
        <v>663</v>
      </c>
      <c r="E2290" s="35">
        <v>44707</v>
      </c>
      <c r="F2290" s="34">
        <v>663</v>
      </c>
      <c r="G2290" s="36">
        <f>Tabla16[[#This Row],[Importe]]-Tabla16[[#This Row],[Pagado]]</f>
        <v>0</v>
      </c>
      <c r="H2290" s="38" t="s">
        <v>10</v>
      </c>
    </row>
    <row r="2291" spans="1:8" x14ac:dyDescent="0.25">
      <c r="A2291" s="31">
        <v>44701</v>
      </c>
      <c r="B2291" s="38" t="s">
        <v>16465</v>
      </c>
      <c r="C2291" s="38" t="s">
        <v>10190</v>
      </c>
      <c r="D2291" s="34">
        <v>31094.400000000001</v>
      </c>
      <c r="E2291" s="35">
        <v>44701</v>
      </c>
      <c r="F2291" s="34">
        <v>31094.400000000001</v>
      </c>
      <c r="G2291" s="36">
        <f>Tabla16[[#This Row],[Importe]]-Tabla16[[#This Row],[Pagado]]</f>
        <v>0</v>
      </c>
      <c r="H2291" s="38" t="s">
        <v>10</v>
      </c>
    </row>
    <row r="2292" spans="1:8" x14ac:dyDescent="0.25">
      <c r="A2292" s="31">
        <v>44701</v>
      </c>
      <c r="B2292" s="38" t="s">
        <v>16466</v>
      </c>
      <c r="C2292" s="38" t="s">
        <v>135</v>
      </c>
      <c r="D2292" s="34">
        <v>1362</v>
      </c>
      <c r="E2292" s="35">
        <v>44702</v>
      </c>
      <c r="F2292" s="34">
        <v>1362</v>
      </c>
      <c r="G2292" s="36">
        <f>Tabla16[[#This Row],[Importe]]-Tabla16[[#This Row],[Pagado]]</f>
        <v>0</v>
      </c>
      <c r="H2292" s="38" t="s">
        <v>10</v>
      </c>
    </row>
    <row r="2293" spans="1:8" x14ac:dyDescent="0.25">
      <c r="A2293" s="31">
        <v>44701</v>
      </c>
      <c r="B2293" s="38" t="s">
        <v>16467</v>
      </c>
      <c r="C2293" s="38" t="s">
        <v>179</v>
      </c>
      <c r="D2293" s="34">
        <v>1126.9000000000001</v>
      </c>
      <c r="E2293" s="35">
        <v>44702</v>
      </c>
      <c r="F2293" s="34">
        <v>1126.9000000000001</v>
      </c>
      <c r="G2293" s="36">
        <f>Tabla16[[#This Row],[Importe]]-Tabla16[[#This Row],[Pagado]]</f>
        <v>0</v>
      </c>
      <c r="H2293" s="38" t="s">
        <v>10</v>
      </c>
    </row>
    <row r="2294" spans="1:8" x14ac:dyDescent="0.25">
      <c r="A2294" s="31">
        <v>44701</v>
      </c>
      <c r="B2294" s="38" t="s">
        <v>16468</v>
      </c>
      <c r="C2294" s="38" t="s">
        <v>196</v>
      </c>
      <c r="D2294" s="34">
        <v>94991.4</v>
      </c>
      <c r="E2294" s="35">
        <v>44708</v>
      </c>
      <c r="F2294" s="34">
        <v>94991.4</v>
      </c>
      <c r="G2294" s="36">
        <f>Tabla16[[#This Row],[Importe]]-Tabla16[[#This Row],[Pagado]]</f>
        <v>0</v>
      </c>
      <c r="H2294" s="38" t="s">
        <v>10</v>
      </c>
    </row>
    <row r="2295" spans="1:8" x14ac:dyDescent="0.25">
      <c r="A2295" s="31">
        <v>44701</v>
      </c>
      <c r="B2295" s="38" t="s">
        <v>16469</v>
      </c>
      <c r="C2295" s="38" t="s">
        <v>555</v>
      </c>
      <c r="D2295" s="34">
        <v>27333.4</v>
      </c>
      <c r="E2295" s="35">
        <v>44702</v>
      </c>
      <c r="F2295" s="34">
        <v>27333.4</v>
      </c>
      <c r="G2295" s="36">
        <f>Tabla16[[#This Row],[Importe]]-Tabla16[[#This Row],[Pagado]]</f>
        <v>0</v>
      </c>
      <c r="H2295" s="38" t="s">
        <v>10</v>
      </c>
    </row>
    <row r="2296" spans="1:8" x14ac:dyDescent="0.25">
      <c r="A2296" s="31">
        <v>44702</v>
      </c>
      <c r="B2296" s="38" t="s">
        <v>16470</v>
      </c>
      <c r="C2296" s="38" t="s">
        <v>348</v>
      </c>
      <c r="D2296" s="34">
        <v>6467.2</v>
      </c>
      <c r="E2296" s="35">
        <v>44702</v>
      </c>
      <c r="F2296" s="34">
        <v>6467.2</v>
      </c>
      <c r="G2296" s="36">
        <f>Tabla16[[#This Row],[Importe]]-Tabla16[[#This Row],[Pagado]]</f>
        <v>0</v>
      </c>
      <c r="H2296" s="38" t="s">
        <v>10</v>
      </c>
    </row>
    <row r="2297" spans="1:8" ht="31.5" x14ac:dyDescent="0.25">
      <c r="A2297" s="31">
        <v>44702</v>
      </c>
      <c r="B2297" s="38" t="s">
        <v>16471</v>
      </c>
      <c r="C2297" s="38" t="s">
        <v>475</v>
      </c>
      <c r="D2297" s="34">
        <v>91735.8</v>
      </c>
      <c r="E2297" s="35" t="s">
        <v>16352</v>
      </c>
      <c r="F2297" s="34">
        <f>75000+16735.8</f>
        <v>91735.8</v>
      </c>
      <c r="G2297" s="36">
        <f>Tabla16[[#This Row],[Importe]]-Tabla16[[#This Row],[Pagado]]</f>
        <v>0</v>
      </c>
      <c r="H2297" s="38" t="s">
        <v>10</v>
      </c>
    </row>
    <row r="2298" spans="1:8" x14ac:dyDescent="0.25">
      <c r="A2298" s="31">
        <v>44702</v>
      </c>
      <c r="B2298" s="38" t="s">
        <v>16472</v>
      </c>
      <c r="C2298" s="38" t="s">
        <v>89</v>
      </c>
      <c r="D2298" s="34">
        <v>10687.8</v>
      </c>
      <c r="E2298" s="35">
        <v>44704</v>
      </c>
      <c r="F2298" s="34">
        <v>10687.8</v>
      </c>
      <c r="G2298" s="36">
        <f>Tabla16[[#This Row],[Importe]]-Tabla16[[#This Row],[Pagado]]</f>
        <v>0</v>
      </c>
      <c r="H2298" s="38" t="s">
        <v>10</v>
      </c>
    </row>
    <row r="2299" spans="1:8" ht="31.5" x14ac:dyDescent="0.25">
      <c r="A2299" s="31">
        <v>44702</v>
      </c>
      <c r="B2299" s="38" t="s">
        <v>16473</v>
      </c>
      <c r="C2299" s="38" t="s">
        <v>39</v>
      </c>
      <c r="D2299" s="34">
        <v>32207.8</v>
      </c>
      <c r="E2299" s="35" t="s">
        <v>16474</v>
      </c>
      <c r="F2299" s="34">
        <f>6500+25707.8</f>
        <v>32207.8</v>
      </c>
      <c r="G2299" s="36">
        <f>Tabla16[[#This Row],[Importe]]-Tabla16[[#This Row],[Pagado]]</f>
        <v>0</v>
      </c>
      <c r="H2299" s="38" t="s">
        <v>10</v>
      </c>
    </row>
    <row r="2300" spans="1:8" x14ac:dyDescent="0.25">
      <c r="A2300" s="31">
        <v>44702</v>
      </c>
      <c r="B2300" s="38" t="s">
        <v>16475</v>
      </c>
      <c r="C2300" s="38" t="s">
        <v>2151</v>
      </c>
      <c r="D2300" s="34">
        <v>31557.8</v>
      </c>
      <c r="E2300" s="35">
        <v>44702</v>
      </c>
      <c r="F2300" s="34">
        <v>31557.8</v>
      </c>
      <c r="G2300" s="36">
        <f>Tabla16[[#This Row],[Importe]]-Tabla16[[#This Row],[Pagado]]</f>
        <v>0</v>
      </c>
      <c r="H2300" s="38" t="s">
        <v>10</v>
      </c>
    </row>
    <row r="2301" spans="1:8" x14ac:dyDescent="0.25">
      <c r="A2301" s="31">
        <v>44702</v>
      </c>
      <c r="B2301" s="38" t="s">
        <v>16476</v>
      </c>
      <c r="C2301" s="38" t="s">
        <v>109</v>
      </c>
      <c r="D2301" s="34">
        <v>4004</v>
      </c>
      <c r="E2301" s="35">
        <v>44704</v>
      </c>
      <c r="F2301" s="34">
        <v>4004</v>
      </c>
      <c r="G2301" s="36">
        <f>Tabla16[[#This Row],[Importe]]-Tabla16[[#This Row],[Pagado]]</f>
        <v>0</v>
      </c>
      <c r="H2301" s="38" t="s">
        <v>10</v>
      </c>
    </row>
    <row r="2302" spans="1:8" x14ac:dyDescent="0.25">
      <c r="A2302" s="31">
        <v>44702</v>
      </c>
      <c r="B2302" s="38" t="s">
        <v>16477</v>
      </c>
      <c r="C2302" s="38" t="s">
        <v>120</v>
      </c>
      <c r="D2302" s="34">
        <v>4147.2</v>
      </c>
      <c r="E2302" s="35">
        <v>44705</v>
      </c>
      <c r="F2302" s="34">
        <v>4147.2</v>
      </c>
      <c r="G2302" s="36">
        <f>Tabla16[[#This Row],[Importe]]-Tabla16[[#This Row],[Pagado]]</f>
        <v>0</v>
      </c>
      <c r="H2302" s="38" t="s">
        <v>10</v>
      </c>
    </row>
    <row r="2303" spans="1:8" x14ac:dyDescent="0.25">
      <c r="A2303" s="31">
        <v>44702</v>
      </c>
      <c r="B2303" s="38" t="s">
        <v>16478</v>
      </c>
      <c r="C2303" s="38" t="s">
        <v>31</v>
      </c>
      <c r="D2303" s="34">
        <v>3597</v>
      </c>
      <c r="E2303" s="35">
        <v>44702</v>
      </c>
      <c r="F2303" s="34">
        <v>3597</v>
      </c>
      <c r="G2303" s="36">
        <f>Tabla16[[#This Row],[Importe]]-Tabla16[[#This Row],[Pagado]]</f>
        <v>0</v>
      </c>
      <c r="H2303" s="38" t="s">
        <v>10</v>
      </c>
    </row>
    <row r="2304" spans="1:8" x14ac:dyDescent="0.25">
      <c r="A2304" s="31">
        <v>44702</v>
      </c>
      <c r="B2304" s="38" t="s">
        <v>16479</v>
      </c>
      <c r="C2304" s="38" t="s">
        <v>5043</v>
      </c>
      <c r="D2304" s="34">
        <v>4012.2</v>
      </c>
      <c r="E2304" s="35">
        <v>44705</v>
      </c>
      <c r="F2304" s="34">
        <v>4012.2</v>
      </c>
      <c r="G2304" s="36">
        <f>Tabla16[[#This Row],[Importe]]-Tabla16[[#This Row],[Pagado]]</f>
        <v>0</v>
      </c>
      <c r="H2304" s="38" t="s">
        <v>10</v>
      </c>
    </row>
    <row r="2305" spans="1:8" x14ac:dyDescent="0.25">
      <c r="A2305" s="31">
        <v>44702</v>
      </c>
      <c r="B2305" s="38" t="s">
        <v>16480</v>
      </c>
      <c r="C2305" s="38" t="s">
        <v>114</v>
      </c>
      <c r="D2305" s="34">
        <v>8668.4</v>
      </c>
      <c r="E2305" s="35">
        <v>44704</v>
      </c>
      <c r="F2305" s="34">
        <v>8668.4</v>
      </c>
      <c r="G2305" s="36">
        <f>Tabla16[[#This Row],[Importe]]-Tabla16[[#This Row],[Pagado]]</f>
        <v>0</v>
      </c>
      <c r="H2305" s="38" t="s">
        <v>10</v>
      </c>
    </row>
    <row r="2306" spans="1:8" x14ac:dyDescent="0.25">
      <c r="A2306" s="31">
        <v>44702</v>
      </c>
      <c r="B2306" s="38" t="s">
        <v>16481</v>
      </c>
      <c r="C2306" s="38" t="s">
        <v>93</v>
      </c>
      <c r="D2306" s="34">
        <v>15143.2</v>
      </c>
      <c r="E2306" s="35">
        <v>44704</v>
      </c>
      <c r="F2306" s="34">
        <v>15143.2</v>
      </c>
      <c r="G2306" s="36">
        <f>Tabla16[[#This Row],[Importe]]-Tabla16[[#This Row],[Pagado]]</f>
        <v>0</v>
      </c>
      <c r="H2306" s="38" t="s">
        <v>10</v>
      </c>
    </row>
    <row r="2307" spans="1:8" x14ac:dyDescent="0.25">
      <c r="A2307" s="31">
        <v>44702</v>
      </c>
      <c r="B2307" s="38" t="s">
        <v>16482</v>
      </c>
      <c r="C2307" s="38" t="s">
        <v>13946</v>
      </c>
      <c r="D2307" s="34">
        <v>4076.8</v>
      </c>
      <c r="E2307" s="35">
        <v>44704</v>
      </c>
      <c r="F2307" s="34">
        <v>4076.8</v>
      </c>
      <c r="G2307" s="36">
        <f>Tabla16[[#This Row],[Importe]]-Tabla16[[#This Row],[Pagado]]</f>
        <v>0</v>
      </c>
      <c r="H2307" s="38" t="s">
        <v>10</v>
      </c>
    </row>
    <row r="2308" spans="1:8" x14ac:dyDescent="0.25">
      <c r="A2308" s="31">
        <v>44702</v>
      </c>
      <c r="B2308" s="38" t="s">
        <v>16483</v>
      </c>
      <c r="C2308" s="38" t="s">
        <v>60</v>
      </c>
      <c r="D2308" s="34">
        <v>8385</v>
      </c>
      <c r="E2308" s="35">
        <v>44706</v>
      </c>
      <c r="F2308" s="34">
        <v>8385</v>
      </c>
      <c r="G2308" s="36">
        <f>Tabla16[[#This Row],[Importe]]-Tabla16[[#This Row],[Pagado]]</f>
        <v>0</v>
      </c>
      <c r="H2308" s="38" t="s">
        <v>10</v>
      </c>
    </row>
    <row r="2309" spans="1:8" x14ac:dyDescent="0.25">
      <c r="A2309" s="31">
        <v>44702</v>
      </c>
      <c r="B2309" s="38" t="s">
        <v>16484</v>
      </c>
      <c r="C2309" s="38" t="s">
        <v>116</v>
      </c>
      <c r="D2309" s="34">
        <v>4093.2</v>
      </c>
      <c r="E2309" s="35">
        <v>44704</v>
      </c>
      <c r="F2309" s="34">
        <v>4093.2</v>
      </c>
      <c r="G2309" s="36">
        <f>Tabla16[[#This Row],[Importe]]-Tabla16[[#This Row],[Pagado]]</f>
        <v>0</v>
      </c>
      <c r="H2309" s="38" t="s">
        <v>10</v>
      </c>
    </row>
    <row r="2310" spans="1:8" x14ac:dyDescent="0.25">
      <c r="A2310" s="31">
        <v>44702</v>
      </c>
      <c r="B2310" s="38" t="s">
        <v>16485</v>
      </c>
      <c r="C2310" s="38" t="s">
        <v>97</v>
      </c>
      <c r="D2310" s="34">
        <v>8704.7999999999993</v>
      </c>
      <c r="E2310" s="35">
        <v>44705</v>
      </c>
      <c r="F2310" s="34">
        <v>8704.7999999999993</v>
      </c>
      <c r="G2310" s="36">
        <f>Tabla16[[#This Row],[Importe]]-Tabla16[[#This Row],[Pagado]]</f>
        <v>0</v>
      </c>
      <c r="H2310" s="38" t="s">
        <v>10</v>
      </c>
    </row>
    <row r="2311" spans="1:8" x14ac:dyDescent="0.25">
      <c r="A2311" s="31">
        <v>44702</v>
      </c>
      <c r="B2311" s="38" t="s">
        <v>16486</v>
      </c>
      <c r="C2311" s="38" t="s">
        <v>105</v>
      </c>
      <c r="D2311" s="34">
        <v>9063.6</v>
      </c>
      <c r="E2311" s="35">
        <v>44704</v>
      </c>
      <c r="F2311" s="34">
        <v>9063.6</v>
      </c>
      <c r="G2311" s="36">
        <f>Tabla16[[#This Row],[Importe]]-Tabla16[[#This Row],[Pagado]]</f>
        <v>0</v>
      </c>
      <c r="H2311" s="38" t="s">
        <v>10</v>
      </c>
    </row>
    <row r="2312" spans="1:8" x14ac:dyDescent="0.25">
      <c r="A2312" s="31">
        <v>44702</v>
      </c>
      <c r="B2312" s="38" t="s">
        <v>16487</v>
      </c>
      <c r="C2312" s="38" t="s">
        <v>64</v>
      </c>
      <c r="D2312" s="34">
        <v>11804.4</v>
      </c>
      <c r="E2312" s="35">
        <v>44705</v>
      </c>
      <c r="F2312" s="34">
        <v>11804.4</v>
      </c>
      <c r="G2312" s="36">
        <f>Tabla16[[#This Row],[Importe]]-Tabla16[[#This Row],[Pagado]]</f>
        <v>0</v>
      </c>
      <c r="H2312" s="38" t="s">
        <v>10</v>
      </c>
    </row>
    <row r="2313" spans="1:8" x14ac:dyDescent="0.25">
      <c r="A2313" s="31">
        <v>44702</v>
      </c>
      <c r="B2313" s="38" t="s">
        <v>16488</v>
      </c>
      <c r="C2313" s="38" t="s">
        <v>326</v>
      </c>
      <c r="D2313" s="34">
        <v>13322.4</v>
      </c>
      <c r="E2313" s="35">
        <v>44704</v>
      </c>
      <c r="F2313" s="34">
        <v>13322.4</v>
      </c>
      <c r="G2313" s="36">
        <f>Tabla16[[#This Row],[Importe]]-Tabla16[[#This Row],[Pagado]]</f>
        <v>0</v>
      </c>
      <c r="H2313" s="38" t="s">
        <v>10</v>
      </c>
    </row>
    <row r="2314" spans="1:8" x14ac:dyDescent="0.25">
      <c r="A2314" s="31">
        <v>44702</v>
      </c>
      <c r="B2314" s="38" t="s">
        <v>16489</v>
      </c>
      <c r="C2314" s="38" t="s">
        <v>111</v>
      </c>
      <c r="D2314" s="34">
        <v>8486.4</v>
      </c>
      <c r="E2314" s="35">
        <v>44704</v>
      </c>
      <c r="F2314" s="34">
        <v>8486.4</v>
      </c>
      <c r="G2314" s="36">
        <f>Tabla16[[#This Row],[Importe]]-Tabla16[[#This Row],[Pagado]]</f>
        <v>0</v>
      </c>
      <c r="H2314" s="38" t="s">
        <v>10</v>
      </c>
    </row>
    <row r="2315" spans="1:8" x14ac:dyDescent="0.25">
      <c r="A2315" s="31">
        <v>44702</v>
      </c>
      <c r="B2315" s="38" t="s">
        <v>16490</v>
      </c>
      <c r="C2315" s="38" t="s">
        <v>99</v>
      </c>
      <c r="D2315" s="34">
        <v>12048.2</v>
      </c>
      <c r="E2315" s="35">
        <v>44704</v>
      </c>
      <c r="F2315" s="34">
        <v>12048.2</v>
      </c>
      <c r="G2315" s="36">
        <f>Tabla16[[#This Row],[Importe]]-Tabla16[[#This Row],[Pagado]]</f>
        <v>0</v>
      </c>
      <c r="H2315" s="38" t="s">
        <v>10</v>
      </c>
    </row>
    <row r="2316" spans="1:8" x14ac:dyDescent="0.25">
      <c r="A2316" s="31">
        <v>44702</v>
      </c>
      <c r="B2316" s="38" t="s">
        <v>16491</v>
      </c>
      <c r="C2316" s="38" t="s">
        <v>9</v>
      </c>
      <c r="D2316" s="34">
        <v>5826.4</v>
      </c>
      <c r="E2316" s="35">
        <v>44702</v>
      </c>
      <c r="F2316" s="34">
        <v>5826.4</v>
      </c>
      <c r="G2316" s="36">
        <f>Tabla16[[#This Row],[Importe]]-Tabla16[[#This Row],[Pagado]]</f>
        <v>0</v>
      </c>
      <c r="H2316" s="38" t="s">
        <v>10</v>
      </c>
    </row>
    <row r="2317" spans="1:8" ht="31.5" x14ac:dyDescent="0.25">
      <c r="A2317" s="31">
        <v>44702</v>
      </c>
      <c r="B2317" s="38" t="s">
        <v>16492</v>
      </c>
      <c r="C2317" s="38" t="s">
        <v>22</v>
      </c>
      <c r="D2317" s="34">
        <v>53276.800000000003</v>
      </c>
      <c r="E2317" s="35" t="s">
        <v>16352</v>
      </c>
      <c r="F2317" s="34">
        <f>42000+11276.8</f>
        <v>53276.800000000003</v>
      </c>
      <c r="G2317" s="36">
        <f>Tabla16[[#This Row],[Importe]]-Tabla16[[#This Row],[Pagado]]</f>
        <v>0</v>
      </c>
      <c r="H2317" s="38" t="s">
        <v>10</v>
      </c>
    </row>
    <row r="2318" spans="1:8" x14ac:dyDescent="0.25">
      <c r="A2318" s="31">
        <v>44702</v>
      </c>
      <c r="B2318" s="38" t="s">
        <v>16493</v>
      </c>
      <c r="C2318" s="38" t="s">
        <v>1239</v>
      </c>
      <c r="D2318" s="34">
        <v>17014.8</v>
      </c>
      <c r="E2318" s="35">
        <v>44702</v>
      </c>
      <c r="F2318" s="34">
        <v>17014.8</v>
      </c>
      <c r="G2318" s="36">
        <f>Tabla16[[#This Row],[Importe]]-Tabla16[[#This Row],[Pagado]]</f>
        <v>0</v>
      </c>
      <c r="H2318" s="38" t="s">
        <v>10</v>
      </c>
    </row>
    <row r="2319" spans="1:8" x14ac:dyDescent="0.25">
      <c r="A2319" s="31">
        <v>44702</v>
      </c>
      <c r="B2319" s="38" t="s">
        <v>16494</v>
      </c>
      <c r="C2319" s="38" t="s">
        <v>2780</v>
      </c>
      <c r="D2319" s="34">
        <v>7646.4</v>
      </c>
      <c r="E2319" s="35">
        <v>44702</v>
      </c>
      <c r="F2319" s="34">
        <v>7646.4</v>
      </c>
      <c r="G2319" s="36">
        <f>Tabla16[[#This Row],[Importe]]-Tabla16[[#This Row],[Pagado]]</f>
        <v>0</v>
      </c>
      <c r="H2319" s="38" t="s">
        <v>10</v>
      </c>
    </row>
    <row r="2320" spans="1:8" x14ac:dyDescent="0.25">
      <c r="A2320" s="31">
        <v>44702</v>
      </c>
      <c r="B2320" s="38" t="s">
        <v>16495</v>
      </c>
      <c r="C2320" s="38" t="s">
        <v>16</v>
      </c>
      <c r="D2320" s="34">
        <v>5632.16</v>
      </c>
      <c r="E2320" s="35">
        <v>44702</v>
      </c>
      <c r="F2320" s="34">
        <v>5632.16</v>
      </c>
      <c r="G2320" s="36">
        <f>Tabla16[[#This Row],[Importe]]-Tabla16[[#This Row],[Pagado]]</f>
        <v>0</v>
      </c>
      <c r="H2320" s="38" t="s">
        <v>10</v>
      </c>
    </row>
    <row r="2321" spans="1:8" x14ac:dyDescent="0.25">
      <c r="A2321" s="31">
        <v>44702</v>
      </c>
      <c r="B2321" s="38" t="s">
        <v>16496</v>
      </c>
      <c r="C2321" s="38" t="s">
        <v>804</v>
      </c>
      <c r="D2321" s="34">
        <v>16514.599999999999</v>
      </c>
      <c r="E2321" s="35">
        <v>44702</v>
      </c>
      <c r="F2321" s="34">
        <v>16514.599999999999</v>
      </c>
      <c r="G2321" s="36">
        <f>Tabla16[[#This Row],[Importe]]-Tabla16[[#This Row],[Pagado]]</f>
        <v>0</v>
      </c>
      <c r="H2321" s="38" t="s">
        <v>10</v>
      </c>
    </row>
    <row r="2322" spans="1:8" x14ac:dyDescent="0.25">
      <c r="A2322" s="31">
        <v>44702</v>
      </c>
      <c r="B2322" s="38" t="s">
        <v>16497</v>
      </c>
      <c r="C2322" s="38" t="s">
        <v>79</v>
      </c>
      <c r="D2322" s="34">
        <v>15552</v>
      </c>
      <c r="E2322" s="35">
        <v>44702</v>
      </c>
      <c r="F2322" s="34">
        <v>15552</v>
      </c>
      <c r="G2322" s="36">
        <f>Tabla16[[#This Row],[Importe]]-Tabla16[[#This Row],[Pagado]]</f>
        <v>0</v>
      </c>
      <c r="H2322" s="38" t="s">
        <v>10</v>
      </c>
    </row>
    <row r="2323" spans="1:8" x14ac:dyDescent="0.25">
      <c r="A2323" s="31">
        <v>44702</v>
      </c>
      <c r="B2323" s="38" t="s">
        <v>16498</v>
      </c>
      <c r="C2323" s="38" t="s">
        <v>473</v>
      </c>
      <c r="D2323" s="34">
        <v>2667.6</v>
      </c>
      <c r="E2323" s="35">
        <v>44702</v>
      </c>
      <c r="F2323" s="34">
        <v>2667.6</v>
      </c>
      <c r="G2323" s="36">
        <f>Tabla16[[#This Row],[Importe]]-Tabla16[[#This Row],[Pagado]]</f>
        <v>0</v>
      </c>
      <c r="H2323" s="38" t="s">
        <v>10</v>
      </c>
    </row>
    <row r="2324" spans="1:8" ht="31.5" x14ac:dyDescent="0.25">
      <c r="A2324" s="31">
        <v>44702</v>
      </c>
      <c r="B2324" s="38" t="s">
        <v>16499</v>
      </c>
      <c r="C2324" s="38" t="s">
        <v>75</v>
      </c>
      <c r="D2324" s="34">
        <v>20424</v>
      </c>
      <c r="E2324" s="35" t="s">
        <v>16366</v>
      </c>
      <c r="F2324" s="34">
        <f>9342+11082</f>
        <v>20424</v>
      </c>
      <c r="G2324" s="36">
        <f>Tabla16[[#This Row],[Importe]]-Tabla16[[#This Row],[Pagado]]</f>
        <v>0</v>
      </c>
      <c r="H2324" s="38" t="s">
        <v>10</v>
      </c>
    </row>
    <row r="2325" spans="1:8" x14ac:dyDescent="0.25">
      <c r="A2325" s="31">
        <v>44702</v>
      </c>
      <c r="B2325" s="38" t="s">
        <v>16500</v>
      </c>
      <c r="C2325" s="38" t="s">
        <v>31</v>
      </c>
      <c r="D2325" s="34">
        <v>2255</v>
      </c>
      <c r="E2325" s="35">
        <v>44702</v>
      </c>
      <c r="F2325" s="34">
        <v>2255</v>
      </c>
      <c r="G2325" s="36">
        <f>Tabla16[[#This Row],[Importe]]-Tabla16[[#This Row],[Pagado]]</f>
        <v>0</v>
      </c>
      <c r="H2325" s="38" t="s">
        <v>10</v>
      </c>
    </row>
    <row r="2326" spans="1:8" x14ac:dyDescent="0.25">
      <c r="A2326" s="31">
        <v>44702</v>
      </c>
      <c r="B2326" s="38" t="s">
        <v>16501</v>
      </c>
      <c r="C2326" s="38" t="s">
        <v>87</v>
      </c>
      <c r="D2326" s="34">
        <v>2705.7</v>
      </c>
      <c r="E2326" s="35">
        <v>44702</v>
      </c>
      <c r="F2326" s="34">
        <v>2705.7</v>
      </c>
      <c r="G2326" s="36">
        <f>Tabla16[[#This Row],[Importe]]-Tabla16[[#This Row],[Pagado]]</f>
        <v>0</v>
      </c>
      <c r="H2326" s="38" t="s">
        <v>10</v>
      </c>
    </row>
    <row r="2327" spans="1:8" x14ac:dyDescent="0.25">
      <c r="A2327" s="31">
        <v>44702</v>
      </c>
      <c r="B2327" s="38" t="s">
        <v>16502</v>
      </c>
      <c r="C2327" s="38" t="s">
        <v>314</v>
      </c>
      <c r="D2327" s="34">
        <v>2664</v>
      </c>
      <c r="E2327" s="35">
        <v>44702</v>
      </c>
      <c r="F2327" s="34">
        <v>2664</v>
      </c>
      <c r="G2327" s="36">
        <f>Tabla16[[#This Row],[Importe]]-Tabla16[[#This Row],[Pagado]]</f>
        <v>0</v>
      </c>
      <c r="H2327" s="38" t="s">
        <v>10</v>
      </c>
    </row>
    <row r="2328" spans="1:8" x14ac:dyDescent="0.25">
      <c r="A2328" s="31">
        <v>44702</v>
      </c>
      <c r="B2328" s="38" t="s">
        <v>16503</v>
      </c>
      <c r="C2328" s="38" t="s">
        <v>555</v>
      </c>
      <c r="D2328" s="34">
        <v>31888.400000000001</v>
      </c>
      <c r="E2328" s="35">
        <v>44702</v>
      </c>
      <c r="F2328" s="34">
        <v>31888.400000000001</v>
      </c>
      <c r="G2328" s="36">
        <f>Tabla16[[#This Row],[Importe]]-Tabla16[[#This Row],[Pagado]]</f>
        <v>0</v>
      </c>
      <c r="H2328" s="38" t="s">
        <v>10</v>
      </c>
    </row>
    <row r="2329" spans="1:8" x14ac:dyDescent="0.25">
      <c r="A2329" s="31">
        <v>44702</v>
      </c>
      <c r="B2329" s="38" t="s">
        <v>16504</v>
      </c>
      <c r="C2329" s="38" t="s">
        <v>12202</v>
      </c>
      <c r="D2329" s="34">
        <v>7200</v>
      </c>
      <c r="E2329" s="35">
        <v>44702</v>
      </c>
      <c r="F2329" s="34">
        <v>7200</v>
      </c>
      <c r="G2329" s="36">
        <f>Tabla16[[#This Row],[Importe]]-Tabla16[[#This Row],[Pagado]]</f>
        <v>0</v>
      </c>
      <c r="H2329" s="38" t="s">
        <v>10</v>
      </c>
    </row>
    <row r="2330" spans="1:8" x14ac:dyDescent="0.25">
      <c r="A2330" s="31">
        <v>44702</v>
      </c>
      <c r="B2330" s="38" t="s">
        <v>16505</v>
      </c>
      <c r="C2330" s="38" t="s">
        <v>31</v>
      </c>
      <c r="D2330" s="34">
        <v>912</v>
      </c>
      <c r="E2330" s="35">
        <v>44702</v>
      </c>
      <c r="F2330" s="34">
        <v>912</v>
      </c>
      <c r="G2330" s="36">
        <f>Tabla16[[#This Row],[Importe]]-Tabla16[[#This Row],[Pagado]]</f>
        <v>0</v>
      </c>
      <c r="H2330" s="38" t="s">
        <v>10</v>
      </c>
    </row>
    <row r="2331" spans="1:8" x14ac:dyDescent="0.25">
      <c r="A2331" s="31">
        <v>44702</v>
      </c>
      <c r="B2331" s="38" t="s">
        <v>16506</v>
      </c>
      <c r="C2331" s="38" t="s">
        <v>924</v>
      </c>
      <c r="D2331" s="34">
        <v>9271.2000000000007</v>
      </c>
      <c r="E2331" s="35">
        <v>44702</v>
      </c>
      <c r="F2331" s="34">
        <v>9271.2000000000007</v>
      </c>
      <c r="G2331" s="36">
        <f>Tabla16[[#This Row],[Importe]]-Tabla16[[#This Row],[Pagado]]</f>
        <v>0</v>
      </c>
      <c r="H2331" s="38" t="s">
        <v>10</v>
      </c>
    </row>
    <row r="2332" spans="1:8" x14ac:dyDescent="0.25">
      <c r="A2332" s="31">
        <v>44702</v>
      </c>
      <c r="B2332" s="38" t="s">
        <v>16507</v>
      </c>
      <c r="C2332" s="38" t="s">
        <v>11033</v>
      </c>
      <c r="D2332" s="34">
        <v>3786.2</v>
      </c>
      <c r="E2332" s="35">
        <v>44702</v>
      </c>
      <c r="F2332" s="34">
        <v>3786.2</v>
      </c>
      <c r="G2332" s="36">
        <f>Tabla16[[#This Row],[Importe]]-Tabla16[[#This Row],[Pagado]]</f>
        <v>0</v>
      </c>
      <c r="H2332" s="38" t="s">
        <v>10</v>
      </c>
    </row>
    <row r="2333" spans="1:8" x14ac:dyDescent="0.25">
      <c r="A2333" s="31">
        <v>44702</v>
      </c>
      <c r="B2333" s="38" t="s">
        <v>16508</v>
      </c>
      <c r="C2333" s="38" t="s">
        <v>47</v>
      </c>
      <c r="D2333" s="34">
        <v>66065.600000000006</v>
      </c>
      <c r="E2333" s="35">
        <v>44702</v>
      </c>
      <c r="F2333" s="34">
        <v>66065.600000000006</v>
      </c>
      <c r="G2333" s="36">
        <f>Tabla16[[#This Row],[Importe]]-Tabla16[[#This Row],[Pagado]]</f>
        <v>0</v>
      </c>
      <c r="H2333" s="38" t="s">
        <v>10</v>
      </c>
    </row>
    <row r="2334" spans="1:8" x14ac:dyDescent="0.25">
      <c r="A2334" s="31">
        <v>44702</v>
      </c>
      <c r="B2334" s="38" t="s">
        <v>16509</v>
      </c>
      <c r="C2334" s="38" t="s">
        <v>12</v>
      </c>
      <c r="D2334" s="34">
        <v>12209.55</v>
      </c>
      <c r="E2334" s="35">
        <v>44702</v>
      </c>
      <c r="F2334" s="34">
        <v>12209.55</v>
      </c>
      <c r="G2334" s="36">
        <f>Tabla16[[#This Row],[Importe]]-Tabla16[[#This Row],[Pagado]]</f>
        <v>0</v>
      </c>
      <c r="H2334" s="38" t="s">
        <v>10</v>
      </c>
    </row>
    <row r="2335" spans="1:8" x14ac:dyDescent="0.25">
      <c r="A2335" s="31">
        <v>44702</v>
      </c>
      <c r="B2335" s="38" t="s">
        <v>16510</v>
      </c>
      <c r="C2335" s="38" t="s">
        <v>224</v>
      </c>
      <c r="D2335" s="34">
        <v>1117.3</v>
      </c>
      <c r="E2335" s="35">
        <v>44702</v>
      </c>
      <c r="F2335" s="34">
        <v>1117.3</v>
      </c>
      <c r="G2335" s="36">
        <f>Tabla16[[#This Row],[Importe]]-Tabla16[[#This Row],[Pagado]]</f>
        <v>0</v>
      </c>
      <c r="H2335" s="38" t="s">
        <v>10</v>
      </c>
    </row>
    <row r="2336" spans="1:8" x14ac:dyDescent="0.25">
      <c r="A2336" s="31">
        <v>44702</v>
      </c>
      <c r="B2336" s="38" t="s">
        <v>16511</v>
      </c>
      <c r="C2336" s="38" t="s">
        <v>62</v>
      </c>
      <c r="D2336" s="34">
        <v>5871.24</v>
      </c>
      <c r="E2336" s="35">
        <v>44702</v>
      </c>
      <c r="F2336" s="34">
        <v>5871.24</v>
      </c>
      <c r="G2336" s="36">
        <f>Tabla16[[#This Row],[Importe]]-Tabla16[[#This Row],[Pagado]]</f>
        <v>0</v>
      </c>
      <c r="H2336" s="38" t="s">
        <v>10</v>
      </c>
    </row>
    <row r="2337" spans="1:8" x14ac:dyDescent="0.25">
      <c r="A2337" s="31">
        <v>44702</v>
      </c>
      <c r="B2337" s="38" t="s">
        <v>16512</v>
      </c>
      <c r="C2337" s="38" t="s">
        <v>85</v>
      </c>
      <c r="D2337" s="34">
        <v>6161.4</v>
      </c>
      <c r="E2337" s="35">
        <v>44702</v>
      </c>
      <c r="F2337" s="34">
        <v>6161.4</v>
      </c>
      <c r="G2337" s="36">
        <f>Tabla16[[#This Row],[Importe]]-Tabla16[[#This Row],[Pagado]]</f>
        <v>0</v>
      </c>
      <c r="H2337" s="38" t="s">
        <v>10</v>
      </c>
    </row>
    <row r="2338" spans="1:8" x14ac:dyDescent="0.25">
      <c r="A2338" s="31">
        <v>44702</v>
      </c>
      <c r="B2338" s="38" t="s">
        <v>16513</v>
      </c>
      <c r="C2338" s="38" t="s">
        <v>85</v>
      </c>
      <c r="D2338" s="34">
        <v>102.3</v>
      </c>
      <c r="E2338" s="35">
        <v>44702</v>
      </c>
      <c r="F2338" s="34">
        <v>102.3</v>
      </c>
      <c r="G2338" s="36">
        <f>Tabla16[[#This Row],[Importe]]-Tabla16[[#This Row],[Pagado]]</f>
        <v>0</v>
      </c>
      <c r="H2338" s="38" t="s">
        <v>10</v>
      </c>
    </row>
    <row r="2339" spans="1:8" x14ac:dyDescent="0.25">
      <c r="A2339" s="31">
        <v>44702</v>
      </c>
      <c r="B2339" s="38" t="s">
        <v>16514</v>
      </c>
      <c r="C2339" s="38" t="s">
        <v>33</v>
      </c>
      <c r="D2339" s="34">
        <v>11130.3</v>
      </c>
      <c r="E2339" s="35">
        <v>44702</v>
      </c>
      <c r="F2339" s="34">
        <v>11130.3</v>
      </c>
      <c r="G2339" s="36">
        <f>Tabla16[[#This Row],[Importe]]-Tabla16[[#This Row],[Pagado]]</f>
        <v>0</v>
      </c>
      <c r="H2339" s="38" t="s">
        <v>10</v>
      </c>
    </row>
    <row r="2340" spans="1:8" x14ac:dyDescent="0.25">
      <c r="A2340" s="31">
        <v>44702</v>
      </c>
      <c r="B2340" s="38" t="s">
        <v>16515</v>
      </c>
      <c r="C2340" s="38" t="s">
        <v>127</v>
      </c>
      <c r="D2340" s="34">
        <v>824</v>
      </c>
      <c r="E2340" s="35">
        <v>44702</v>
      </c>
      <c r="F2340" s="34">
        <v>824</v>
      </c>
      <c r="G2340" s="36">
        <f>Tabla16[[#This Row],[Importe]]-Tabla16[[#This Row],[Pagado]]</f>
        <v>0</v>
      </c>
      <c r="H2340" s="38" t="s">
        <v>10</v>
      </c>
    </row>
    <row r="2341" spans="1:8" x14ac:dyDescent="0.25">
      <c r="A2341" s="31">
        <v>44702</v>
      </c>
      <c r="B2341" s="38" t="s">
        <v>16516</v>
      </c>
      <c r="C2341" s="38" t="s">
        <v>127</v>
      </c>
      <c r="D2341" s="34">
        <v>3893.4</v>
      </c>
      <c r="E2341" s="35">
        <v>44702</v>
      </c>
      <c r="F2341" s="34">
        <v>3893.4</v>
      </c>
      <c r="G2341" s="36">
        <f>Tabla16[[#This Row],[Importe]]-Tabla16[[#This Row],[Pagado]]</f>
        <v>0</v>
      </c>
      <c r="H2341" s="38" t="s">
        <v>10</v>
      </c>
    </row>
    <row r="2342" spans="1:8" x14ac:dyDescent="0.25">
      <c r="A2342" s="31">
        <v>44702</v>
      </c>
      <c r="B2342" s="38" t="s">
        <v>16517</v>
      </c>
      <c r="C2342" s="38" t="s">
        <v>140</v>
      </c>
      <c r="D2342" s="34">
        <v>3597.3</v>
      </c>
      <c r="E2342" s="35">
        <v>44702</v>
      </c>
      <c r="F2342" s="34">
        <v>3597.3</v>
      </c>
      <c r="G2342" s="36">
        <f>Tabla16[[#This Row],[Importe]]-Tabla16[[#This Row],[Pagado]]</f>
        <v>0</v>
      </c>
      <c r="H2342" s="38" t="s">
        <v>10</v>
      </c>
    </row>
    <row r="2343" spans="1:8" x14ac:dyDescent="0.25">
      <c r="A2343" s="31">
        <v>44702</v>
      </c>
      <c r="B2343" s="38" t="s">
        <v>16518</v>
      </c>
      <c r="C2343" s="38" t="s">
        <v>357</v>
      </c>
      <c r="D2343" s="34">
        <v>494.1</v>
      </c>
      <c r="E2343" s="35">
        <v>44702</v>
      </c>
      <c r="F2343" s="34">
        <v>494.1</v>
      </c>
      <c r="G2343" s="36">
        <f>Tabla16[[#This Row],[Importe]]-Tabla16[[#This Row],[Pagado]]</f>
        <v>0</v>
      </c>
      <c r="H2343" s="38" t="s">
        <v>10</v>
      </c>
    </row>
    <row r="2344" spans="1:8" x14ac:dyDescent="0.25">
      <c r="A2344" s="31">
        <v>44702</v>
      </c>
      <c r="B2344" s="38" t="s">
        <v>16519</v>
      </c>
      <c r="C2344" s="38" t="s">
        <v>129</v>
      </c>
      <c r="D2344" s="34">
        <v>2061.8000000000002</v>
      </c>
      <c r="E2344" s="35">
        <v>44702</v>
      </c>
      <c r="F2344" s="34">
        <v>2061.8000000000002</v>
      </c>
      <c r="G2344" s="36">
        <f>Tabla16[[#This Row],[Importe]]-Tabla16[[#This Row],[Pagado]]</f>
        <v>0</v>
      </c>
      <c r="H2344" s="38" t="s">
        <v>10</v>
      </c>
    </row>
    <row r="2345" spans="1:8" x14ac:dyDescent="0.25">
      <c r="A2345" s="31">
        <v>44702</v>
      </c>
      <c r="B2345" s="38" t="s">
        <v>16520</v>
      </c>
      <c r="C2345" s="38" t="s">
        <v>62</v>
      </c>
      <c r="D2345" s="34">
        <v>509.2</v>
      </c>
      <c r="E2345" s="35">
        <v>44702</v>
      </c>
      <c r="F2345" s="34">
        <v>509.2</v>
      </c>
      <c r="G2345" s="36">
        <f>Tabla16[[#This Row],[Importe]]-Tabla16[[#This Row],[Pagado]]</f>
        <v>0</v>
      </c>
      <c r="H2345" s="38" t="s">
        <v>10</v>
      </c>
    </row>
    <row r="2346" spans="1:8" x14ac:dyDescent="0.25">
      <c r="A2346" s="31">
        <v>44702</v>
      </c>
      <c r="B2346" s="38" t="s">
        <v>16521</v>
      </c>
      <c r="C2346" s="38" t="s">
        <v>15039</v>
      </c>
      <c r="D2346" s="34">
        <v>4385.6000000000004</v>
      </c>
      <c r="E2346" s="35">
        <v>44702</v>
      </c>
      <c r="F2346" s="34">
        <v>4385.6000000000004</v>
      </c>
      <c r="G2346" s="36">
        <f>Tabla16[[#This Row],[Importe]]-Tabla16[[#This Row],[Pagado]]</f>
        <v>0</v>
      </c>
      <c r="H2346" s="38" t="s">
        <v>10</v>
      </c>
    </row>
    <row r="2347" spans="1:8" x14ac:dyDescent="0.25">
      <c r="A2347" s="31">
        <v>44702</v>
      </c>
      <c r="B2347" s="38" t="s">
        <v>16522</v>
      </c>
      <c r="C2347" s="38" t="s">
        <v>146</v>
      </c>
      <c r="D2347" s="34">
        <v>9540</v>
      </c>
      <c r="E2347" s="35">
        <v>44702</v>
      </c>
      <c r="F2347" s="34">
        <v>9540</v>
      </c>
      <c r="G2347" s="36">
        <f>Tabla16[[#This Row],[Importe]]-Tabla16[[#This Row],[Pagado]]</f>
        <v>0</v>
      </c>
      <c r="H2347" s="38" t="s">
        <v>10</v>
      </c>
    </row>
    <row r="2348" spans="1:8" x14ac:dyDescent="0.25">
      <c r="A2348" s="31">
        <v>44702</v>
      </c>
      <c r="B2348" s="38" t="s">
        <v>16523</v>
      </c>
      <c r="C2348" s="38" t="s">
        <v>319</v>
      </c>
      <c r="D2348" s="34">
        <v>12971</v>
      </c>
      <c r="E2348" s="35">
        <v>44702</v>
      </c>
      <c r="F2348" s="34">
        <v>12971</v>
      </c>
      <c r="G2348" s="36">
        <f>Tabla16[[#This Row],[Importe]]-Tabla16[[#This Row],[Pagado]]</f>
        <v>0</v>
      </c>
      <c r="H2348" s="38" t="s">
        <v>10</v>
      </c>
    </row>
    <row r="2349" spans="1:8" x14ac:dyDescent="0.25">
      <c r="A2349" s="31">
        <v>44702</v>
      </c>
      <c r="B2349" s="38" t="s">
        <v>16524</v>
      </c>
      <c r="C2349" s="38" t="s">
        <v>2151</v>
      </c>
      <c r="D2349" s="34">
        <v>564</v>
      </c>
      <c r="E2349" s="35">
        <v>44702</v>
      </c>
      <c r="F2349" s="34">
        <v>564</v>
      </c>
      <c r="G2349" s="36">
        <f>Tabla16[[#This Row],[Importe]]-Tabla16[[#This Row],[Pagado]]</f>
        <v>0</v>
      </c>
      <c r="H2349" s="38" t="s">
        <v>10</v>
      </c>
    </row>
    <row r="2350" spans="1:8" x14ac:dyDescent="0.25">
      <c r="A2350" s="31">
        <v>44702</v>
      </c>
      <c r="B2350" s="38" t="s">
        <v>16525</v>
      </c>
      <c r="C2350" s="38" t="s">
        <v>157</v>
      </c>
      <c r="D2350" s="34">
        <v>1937.4</v>
      </c>
      <c r="E2350" s="35">
        <v>44702</v>
      </c>
      <c r="F2350" s="34">
        <v>1937.4</v>
      </c>
      <c r="G2350" s="36">
        <f>Tabla16[[#This Row],[Importe]]-Tabla16[[#This Row],[Pagado]]</f>
        <v>0</v>
      </c>
      <c r="H2350" s="38" t="s">
        <v>10</v>
      </c>
    </row>
    <row r="2351" spans="1:8" x14ac:dyDescent="0.25">
      <c r="A2351" s="31">
        <v>44702</v>
      </c>
      <c r="B2351" s="38" t="s">
        <v>16526</v>
      </c>
      <c r="C2351" s="38" t="s">
        <v>371</v>
      </c>
      <c r="D2351" s="34">
        <v>3021.2</v>
      </c>
      <c r="E2351" s="35">
        <v>44702</v>
      </c>
      <c r="F2351" s="34">
        <v>3021.2</v>
      </c>
      <c r="G2351" s="36">
        <f>Tabla16[[#This Row],[Importe]]-Tabla16[[#This Row],[Pagado]]</f>
        <v>0</v>
      </c>
      <c r="H2351" s="38" t="s">
        <v>10</v>
      </c>
    </row>
    <row r="2352" spans="1:8" x14ac:dyDescent="0.25">
      <c r="A2352" s="31">
        <v>44702</v>
      </c>
      <c r="B2352" s="38" t="s">
        <v>16527</v>
      </c>
      <c r="C2352" s="38" t="s">
        <v>934</v>
      </c>
      <c r="D2352" s="34">
        <v>3268.8</v>
      </c>
      <c r="E2352" s="35">
        <v>44702</v>
      </c>
      <c r="F2352" s="34">
        <v>3268.8</v>
      </c>
      <c r="G2352" s="36">
        <f>Tabla16[[#This Row],[Importe]]-Tabla16[[#This Row],[Pagado]]</f>
        <v>0</v>
      </c>
      <c r="H2352" s="38" t="s">
        <v>10</v>
      </c>
    </row>
    <row r="2353" spans="1:8" x14ac:dyDescent="0.25">
      <c r="A2353" s="31">
        <v>44702</v>
      </c>
      <c r="B2353" s="38" t="s">
        <v>16528</v>
      </c>
      <c r="C2353" s="38" t="s">
        <v>518</v>
      </c>
      <c r="D2353" s="34">
        <v>1138</v>
      </c>
      <c r="E2353" s="35">
        <v>44702</v>
      </c>
      <c r="F2353" s="34">
        <v>1138</v>
      </c>
      <c r="G2353" s="36">
        <f>Tabla16[[#This Row],[Importe]]-Tabla16[[#This Row],[Pagado]]</f>
        <v>0</v>
      </c>
      <c r="H2353" s="38" t="s">
        <v>10</v>
      </c>
    </row>
    <row r="2354" spans="1:8" x14ac:dyDescent="0.25">
      <c r="A2354" s="31">
        <v>44702</v>
      </c>
      <c r="B2354" s="38" t="s">
        <v>16529</v>
      </c>
      <c r="C2354" s="38" t="s">
        <v>27</v>
      </c>
      <c r="D2354" s="34">
        <v>2700.8</v>
      </c>
      <c r="E2354" s="35">
        <v>44702</v>
      </c>
      <c r="F2354" s="34">
        <v>2700.8</v>
      </c>
      <c r="G2354" s="36">
        <f>Tabla16[[#This Row],[Importe]]-Tabla16[[#This Row],[Pagado]]</f>
        <v>0</v>
      </c>
      <c r="H2354" s="38" t="s">
        <v>10</v>
      </c>
    </row>
    <row r="2355" spans="1:8" x14ac:dyDescent="0.25">
      <c r="A2355" s="31">
        <v>44702</v>
      </c>
      <c r="B2355" s="38" t="s">
        <v>16530</v>
      </c>
      <c r="C2355" s="38" t="s">
        <v>159</v>
      </c>
      <c r="D2355" s="34">
        <v>2180.8000000000002</v>
      </c>
      <c r="E2355" s="35">
        <v>44702</v>
      </c>
      <c r="F2355" s="34">
        <v>2180.8000000000002</v>
      </c>
      <c r="G2355" s="36">
        <f>Tabla16[[#This Row],[Importe]]-Tabla16[[#This Row],[Pagado]]</f>
        <v>0</v>
      </c>
      <c r="H2355" s="38" t="s">
        <v>10</v>
      </c>
    </row>
    <row r="2356" spans="1:8" x14ac:dyDescent="0.25">
      <c r="A2356" s="31">
        <v>44702</v>
      </c>
      <c r="B2356" s="38" t="s">
        <v>16531</v>
      </c>
      <c r="C2356" s="38" t="s">
        <v>333</v>
      </c>
      <c r="D2356" s="34">
        <v>1421.3</v>
      </c>
      <c r="E2356" s="35">
        <v>44702</v>
      </c>
      <c r="F2356" s="34">
        <v>1421.3</v>
      </c>
      <c r="G2356" s="36">
        <f>Tabla16[[#This Row],[Importe]]-Tabla16[[#This Row],[Pagado]]</f>
        <v>0</v>
      </c>
      <c r="H2356" s="38" t="s">
        <v>10</v>
      </c>
    </row>
    <row r="2357" spans="1:8" x14ac:dyDescent="0.25">
      <c r="A2357" s="31">
        <v>44702</v>
      </c>
      <c r="B2357" s="38" t="s">
        <v>16532</v>
      </c>
      <c r="C2357" s="38" t="s">
        <v>525</v>
      </c>
      <c r="D2357" s="34">
        <v>3763.7</v>
      </c>
      <c r="E2357" s="35">
        <v>44702</v>
      </c>
      <c r="F2357" s="34">
        <v>3763.7</v>
      </c>
      <c r="G2357" s="36">
        <f>Tabla16[[#This Row],[Importe]]-Tabla16[[#This Row],[Pagado]]</f>
        <v>0</v>
      </c>
      <c r="H2357" s="38" t="s">
        <v>10</v>
      </c>
    </row>
    <row r="2358" spans="1:8" x14ac:dyDescent="0.25">
      <c r="A2358" s="31">
        <v>44702</v>
      </c>
      <c r="B2358" s="38" t="s">
        <v>16533</v>
      </c>
      <c r="C2358" s="38" t="s">
        <v>520</v>
      </c>
      <c r="D2358" s="34">
        <v>13766.2</v>
      </c>
      <c r="E2358" s="35">
        <v>44702</v>
      </c>
      <c r="F2358" s="34">
        <v>13766.2</v>
      </c>
      <c r="G2358" s="36">
        <f>Tabla16[[#This Row],[Importe]]-Tabla16[[#This Row],[Pagado]]</f>
        <v>0</v>
      </c>
      <c r="H2358" s="38" t="s">
        <v>10</v>
      </c>
    </row>
    <row r="2359" spans="1:8" x14ac:dyDescent="0.25">
      <c r="A2359" s="31">
        <v>44702</v>
      </c>
      <c r="B2359" s="38" t="s">
        <v>16534</v>
      </c>
      <c r="C2359" s="38" t="s">
        <v>216</v>
      </c>
      <c r="D2359" s="34">
        <v>2631.7</v>
      </c>
      <c r="E2359" s="35">
        <v>44702</v>
      </c>
      <c r="F2359" s="34">
        <v>2631.7</v>
      </c>
      <c r="G2359" s="36">
        <f>Tabla16[[#This Row],[Importe]]-Tabla16[[#This Row],[Pagado]]</f>
        <v>0</v>
      </c>
      <c r="H2359" s="38" t="s">
        <v>10</v>
      </c>
    </row>
    <row r="2360" spans="1:8" x14ac:dyDescent="0.25">
      <c r="A2360" s="31">
        <v>44702</v>
      </c>
      <c r="B2360" s="38" t="s">
        <v>16535</v>
      </c>
      <c r="C2360" s="38" t="s">
        <v>49</v>
      </c>
      <c r="D2360" s="34">
        <v>4076.8</v>
      </c>
      <c r="E2360" s="35">
        <v>44702</v>
      </c>
      <c r="F2360" s="34">
        <v>4076.8</v>
      </c>
      <c r="G2360" s="36">
        <f>Tabla16[[#This Row],[Importe]]-Tabla16[[#This Row],[Pagado]]</f>
        <v>0</v>
      </c>
      <c r="H2360" s="38" t="s">
        <v>10</v>
      </c>
    </row>
    <row r="2361" spans="1:8" x14ac:dyDescent="0.25">
      <c r="A2361" s="31">
        <v>44702</v>
      </c>
      <c r="B2361" s="38" t="s">
        <v>16536</v>
      </c>
      <c r="C2361" s="38" t="s">
        <v>275</v>
      </c>
      <c r="D2361" s="34">
        <v>133091.01</v>
      </c>
      <c r="E2361" s="35">
        <v>44715</v>
      </c>
      <c r="F2361" s="34">
        <v>133091.01</v>
      </c>
      <c r="G2361" s="36">
        <f>Tabla16[[#This Row],[Importe]]-Tabla16[[#This Row],[Pagado]]</f>
        <v>0</v>
      </c>
      <c r="H2361" s="38" t="s">
        <v>10</v>
      </c>
    </row>
    <row r="2362" spans="1:8" x14ac:dyDescent="0.25">
      <c r="A2362" s="31">
        <v>44702</v>
      </c>
      <c r="B2362" s="38" t="s">
        <v>16537</v>
      </c>
      <c r="C2362" s="38" t="s">
        <v>1362</v>
      </c>
      <c r="D2362" s="34">
        <v>4593.3</v>
      </c>
      <c r="E2362" s="35">
        <v>44702</v>
      </c>
      <c r="F2362" s="34">
        <v>4593.3</v>
      </c>
      <c r="G2362" s="36">
        <f>Tabla16[[#This Row],[Importe]]-Tabla16[[#This Row],[Pagado]]</f>
        <v>0</v>
      </c>
      <c r="H2362" s="38" t="s">
        <v>10</v>
      </c>
    </row>
    <row r="2363" spans="1:8" x14ac:dyDescent="0.25">
      <c r="A2363" s="31">
        <v>44702</v>
      </c>
      <c r="B2363" s="38" t="s">
        <v>16538</v>
      </c>
      <c r="C2363" s="38" t="s">
        <v>275</v>
      </c>
      <c r="D2363" s="34">
        <v>10943</v>
      </c>
      <c r="E2363" s="35">
        <v>44715</v>
      </c>
      <c r="F2363" s="34">
        <v>10943</v>
      </c>
      <c r="G2363" s="36">
        <f>Tabla16[[#This Row],[Importe]]-Tabla16[[#This Row],[Pagado]]</f>
        <v>0</v>
      </c>
      <c r="H2363" s="38" t="s">
        <v>10</v>
      </c>
    </row>
    <row r="2364" spans="1:8" x14ac:dyDescent="0.25">
      <c r="A2364" s="31">
        <v>44702</v>
      </c>
      <c r="B2364" s="38" t="s">
        <v>16539</v>
      </c>
      <c r="C2364" s="38" t="s">
        <v>3971</v>
      </c>
      <c r="D2364" s="34">
        <v>1407.6</v>
      </c>
      <c r="E2364" s="35">
        <v>44702</v>
      </c>
      <c r="F2364" s="34">
        <v>1407.6</v>
      </c>
      <c r="G2364" s="36">
        <f>Tabla16[[#This Row],[Importe]]-Tabla16[[#This Row],[Pagado]]</f>
        <v>0</v>
      </c>
      <c r="H2364" s="38" t="s">
        <v>10</v>
      </c>
    </row>
    <row r="2365" spans="1:8" x14ac:dyDescent="0.25">
      <c r="A2365" s="31">
        <v>44702</v>
      </c>
      <c r="B2365" s="38" t="s">
        <v>16540</v>
      </c>
      <c r="C2365" s="38" t="s">
        <v>1362</v>
      </c>
      <c r="D2365" s="34">
        <v>2197</v>
      </c>
      <c r="E2365" s="35">
        <v>44702</v>
      </c>
      <c r="F2365" s="34">
        <v>2197</v>
      </c>
      <c r="G2365" s="36">
        <f>Tabla16[[#This Row],[Importe]]-Tabla16[[#This Row],[Pagado]]</f>
        <v>0</v>
      </c>
      <c r="H2365" s="38" t="s">
        <v>10</v>
      </c>
    </row>
    <row r="2366" spans="1:8" x14ac:dyDescent="0.25">
      <c r="A2366" s="31">
        <v>44702</v>
      </c>
      <c r="B2366" s="38" t="s">
        <v>16541</v>
      </c>
      <c r="C2366" s="38" t="s">
        <v>275</v>
      </c>
      <c r="D2366" s="34">
        <v>11918</v>
      </c>
      <c r="E2366" s="35">
        <v>44715</v>
      </c>
      <c r="F2366" s="34">
        <v>11918</v>
      </c>
      <c r="G2366" s="36">
        <f>Tabla16[[#This Row],[Importe]]-Tabla16[[#This Row],[Pagado]]</f>
        <v>0</v>
      </c>
      <c r="H2366" s="38" t="s">
        <v>10</v>
      </c>
    </row>
    <row r="2367" spans="1:8" x14ac:dyDescent="0.25">
      <c r="A2367" s="31">
        <v>44702</v>
      </c>
      <c r="B2367" s="38" t="s">
        <v>16542</v>
      </c>
      <c r="C2367" s="38" t="s">
        <v>157</v>
      </c>
      <c r="D2367" s="34">
        <v>2660.2</v>
      </c>
      <c r="E2367" s="35">
        <v>44702</v>
      </c>
      <c r="F2367" s="34">
        <v>2660.2</v>
      </c>
      <c r="G2367" s="36">
        <f>Tabla16[[#This Row],[Importe]]-Tabla16[[#This Row],[Pagado]]</f>
        <v>0</v>
      </c>
      <c r="H2367" s="38" t="s">
        <v>10</v>
      </c>
    </row>
    <row r="2368" spans="1:8" x14ac:dyDescent="0.25">
      <c r="A2368" s="31">
        <v>44702</v>
      </c>
      <c r="B2368" s="38" t="s">
        <v>16543</v>
      </c>
      <c r="C2368" s="38" t="s">
        <v>520</v>
      </c>
      <c r="D2368" s="34">
        <v>554</v>
      </c>
      <c r="E2368" s="35">
        <v>44702</v>
      </c>
      <c r="F2368" s="34">
        <v>554</v>
      </c>
      <c r="G2368" s="36">
        <f>Tabla16[[#This Row],[Importe]]-Tabla16[[#This Row],[Pagado]]</f>
        <v>0</v>
      </c>
      <c r="H2368" s="38" t="s">
        <v>10</v>
      </c>
    </row>
    <row r="2369" spans="1:8" x14ac:dyDescent="0.25">
      <c r="A2369" s="31">
        <v>44702</v>
      </c>
      <c r="B2369" s="38" t="s">
        <v>16544</v>
      </c>
      <c r="C2369" s="38" t="s">
        <v>966</v>
      </c>
      <c r="D2369" s="34">
        <v>2609.4</v>
      </c>
      <c r="E2369" s="35">
        <v>44702</v>
      </c>
      <c r="F2369" s="34">
        <v>2609.4</v>
      </c>
      <c r="G2369" s="36">
        <f>Tabla16[[#This Row],[Importe]]-Tabla16[[#This Row],[Pagado]]</f>
        <v>0</v>
      </c>
      <c r="H2369" s="38" t="s">
        <v>10</v>
      </c>
    </row>
    <row r="2370" spans="1:8" x14ac:dyDescent="0.25">
      <c r="A2370" s="31">
        <v>44702</v>
      </c>
      <c r="B2370" s="38" t="s">
        <v>16545</v>
      </c>
      <c r="C2370" s="38" t="s">
        <v>95</v>
      </c>
      <c r="D2370" s="34">
        <v>7160</v>
      </c>
      <c r="E2370" s="35">
        <v>44702</v>
      </c>
      <c r="F2370" s="34">
        <v>7160</v>
      </c>
      <c r="G2370" s="36">
        <f>Tabla16[[#This Row],[Importe]]-Tabla16[[#This Row],[Pagado]]</f>
        <v>0</v>
      </c>
      <c r="H2370" s="38" t="s">
        <v>10</v>
      </c>
    </row>
    <row r="2371" spans="1:8" x14ac:dyDescent="0.25">
      <c r="A2371" s="31">
        <v>44702</v>
      </c>
      <c r="B2371" s="38" t="s">
        <v>16546</v>
      </c>
      <c r="C2371" s="38" t="s">
        <v>481</v>
      </c>
      <c r="D2371" s="34">
        <v>865.2</v>
      </c>
      <c r="E2371" s="35">
        <v>44702</v>
      </c>
      <c r="F2371" s="34">
        <v>865.2</v>
      </c>
      <c r="G2371" s="36">
        <f>Tabla16[[#This Row],[Importe]]-Tabla16[[#This Row],[Pagado]]</f>
        <v>0</v>
      </c>
      <c r="H2371" s="38" t="s">
        <v>10</v>
      </c>
    </row>
    <row r="2372" spans="1:8" x14ac:dyDescent="0.25">
      <c r="A2372" s="31">
        <v>44702</v>
      </c>
      <c r="B2372" s="38" t="s">
        <v>16547</v>
      </c>
      <c r="C2372" s="38" t="s">
        <v>289</v>
      </c>
      <c r="D2372" s="34">
        <v>5877.3</v>
      </c>
      <c r="E2372" s="35">
        <v>44702</v>
      </c>
      <c r="F2372" s="34">
        <v>5877.3</v>
      </c>
      <c r="G2372" s="36">
        <f>Tabla16[[#This Row],[Importe]]-Tabla16[[#This Row],[Pagado]]</f>
        <v>0</v>
      </c>
      <c r="H2372" s="38" t="s">
        <v>10</v>
      </c>
    </row>
    <row r="2373" spans="1:8" x14ac:dyDescent="0.25">
      <c r="A2373" s="31">
        <v>44702</v>
      </c>
      <c r="B2373" s="38" t="s">
        <v>16548</v>
      </c>
      <c r="C2373" s="38" t="s">
        <v>698</v>
      </c>
      <c r="D2373" s="34">
        <v>3206.4</v>
      </c>
      <c r="E2373" s="35">
        <v>44702</v>
      </c>
      <c r="F2373" s="34">
        <v>3206.4</v>
      </c>
      <c r="G2373" s="36">
        <f>Tabla16[[#This Row],[Importe]]-Tabla16[[#This Row],[Pagado]]</f>
        <v>0</v>
      </c>
      <c r="H2373" s="38" t="s">
        <v>10</v>
      </c>
    </row>
    <row r="2374" spans="1:8" x14ac:dyDescent="0.25">
      <c r="A2374" s="31">
        <v>44702</v>
      </c>
      <c r="B2374" s="38" t="s">
        <v>16549</v>
      </c>
      <c r="C2374" s="38" t="s">
        <v>289</v>
      </c>
      <c r="D2374" s="34">
        <v>929.5</v>
      </c>
      <c r="E2374" s="35">
        <v>44702</v>
      </c>
      <c r="F2374" s="34">
        <v>929.5</v>
      </c>
      <c r="G2374" s="36">
        <f>Tabla16[[#This Row],[Importe]]-Tabla16[[#This Row],[Pagado]]</f>
        <v>0</v>
      </c>
      <c r="H2374" s="38" t="s">
        <v>10</v>
      </c>
    </row>
    <row r="2375" spans="1:8" x14ac:dyDescent="0.25">
      <c r="A2375" s="31">
        <v>44702</v>
      </c>
      <c r="B2375" s="38" t="s">
        <v>16550</v>
      </c>
      <c r="C2375" s="38" t="s">
        <v>16551</v>
      </c>
      <c r="D2375" s="34">
        <v>0</v>
      </c>
      <c r="E2375" s="39" t="s">
        <v>189</v>
      </c>
      <c r="F2375" s="34">
        <v>0</v>
      </c>
      <c r="G2375" s="36">
        <f>Tabla16[[#This Row],[Importe]]-Tabla16[[#This Row],[Pagado]]</f>
        <v>0</v>
      </c>
      <c r="H2375" s="38" t="s">
        <v>189</v>
      </c>
    </row>
    <row r="2376" spans="1:8" x14ac:dyDescent="0.25">
      <c r="A2376" s="31">
        <v>44702</v>
      </c>
      <c r="B2376" s="38" t="s">
        <v>16552</v>
      </c>
      <c r="C2376" s="38" t="s">
        <v>6252</v>
      </c>
      <c r="D2376" s="34">
        <v>0</v>
      </c>
      <c r="E2376" s="39" t="s">
        <v>189</v>
      </c>
      <c r="F2376" s="34">
        <v>0</v>
      </c>
      <c r="G2376" s="36">
        <f>Tabla16[[#This Row],[Importe]]-Tabla16[[#This Row],[Pagado]]</f>
        <v>0</v>
      </c>
      <c r="H2376" s="38" t="s">
        <v>189</v>
      </c>
    </row>
    <row r="2377" spans="1:8" x14ac:dyDescent="0.25">
      <c r="A2377" s="31">
        <v>44702</v>
      </c>
      <c r="B2377" s="38" t="s">
        <v>16553</v>
      </c>
      <c r="C2377" s="38" t="s">
        <v>31</v>
      </c>
      <c r="D2377" s="34">
        <v>966</v>
      </c>
      <c r="E2377" s="35">
        <v>44702</v>
      </c>
      <c r="F2377" s="34">
        <v>966</v>
      </c>
      <c r="G2377" s="36">
        <f>Tabla16[[#This Row],[Importe]]-Tabla16[[#This Row],[Pagado]]</f>
        <v>0</v>
      </c>
      <c r="H2377" s="38" t="s">
        <v>10</v>
      </c>
    </row>
    <row r="2378" spans="1:8" x14ac:dyDescent="0.25">
      <c r="A2378" s="31">
        <v>44702</v>
      </c>
      <c r="B2378" s="38" t="s">
        <v>16554</v>
      </c>
      <c r="C2378" s="38" t="s">
        <v>230</v>
      </c>
      <c r="D2378" s="34">
        <v>8926</v>
      </c>
      <c r="E2378" s="35">
        <v>44702</v>
      </c>
      <c r="F2378" s="34">
        <v>8926</v>
      </c>
      <c r="G2378" s="36">
        <f>Tabla16[[#This Row],[Importe]]-Tabla16[[#This Row],[Pagado]]</f>
        <v>0</v>
      </c>
      <c r="H2378" s="38" t="s">
        <v>10</v>
      </c>
    </row>
    <row r="2379" spans="1:8" x14ac:dyDescent="0.25">
      <c r="A2379" s="31">
        <v>44702</v>
      </c>
      <c r="B2379" s="38" t="s">
        <v>16555</v>
      </c>
      <c r="C2379" s="38" t="s">
        <v>45</v>
      </c>
      <c r="D2379" s="34">
        <v>10959.8</v>
      </c>
      <c r="E2379" s="35">
        <v>44702</v>
      </c>
      <c r="F2379" s="34">
        <v>10959.8</v>
      </c>
      <c r="G2379" s="36">
        <f>Tabla16[[#This Row],[Importe]]-Tabla16[[#This Row],[Pagado]]</f>
        <v>0</v>
      </c>
      <c r="H2379" s="38" t="s">
        <v>10</v>
      </c>
    </row>
    <row r="2380" spans="1:8" x14ac:dyDescent="0.25">
      <c r="A2380" s="31">
        <v>44702</v>
      </c>
      <c r="B2380" s="38" t="s">
        <v>16556</v>
      </c>
      <c r="C2380" s="38" t="s">
        <v>843</v>
      </c>
      <c r="D2380" s="34">
        <v>1790.1</v>
      </c>
      <c r="E2380" s="35">
        <v>44702</v>
      </c>
      <c r="F2380" s="34">
        <v>1790.1</v>
      </c>
      <c r="G2380" s="36">
        <f>Tabla16[[#This Row],[Importe]]-Tabla16[[#This Row],[Pagado]]</f>
        <v>0</v>
      </c>
      <c r="H2380" s="38" t="s">
        <v>10</v>
      </c>
    </row>
    <row r="2381" spans="1:8" x14ac:dyDescent="0.25">
      <c r="A2381" s="31">
        <v>44702</v>
      </c>
      <c r="B2381" s="38" t="s">
        <v>16557</v>
      </c>
      <c r="C2381" s="38" t="s">
        <v>382</v>
      </c>
      <c r="D2381" s="34">
        <v>7932</v>
      </c>
      <c r="E2381" s="35">
        <v>44702</v>
      </c>
      <c r="F2381" s="34">
        <v>7932</v>
      </c>
      <c r="G2381" s="36">
        <f>Tabla16[[#This Row],[Importe]]-Tabla16[[#This Row],[Pagado]]</f>
        <v>0</v>
      </c>
      <c r="H2381" s="38" t="s">
        <v>10</v>
      </c>
    </row>
    <row r="2382" spans="1:8" x14ac:dyDescent="0.25">
      <c r="A2382" s="31">
        <v>44702</v>
      </c>
      <c r="B2382" s="38" t="s">
        <v>16558</v>
      </c>
      <c r="C2382" s="38" t="s">
        <v>31</v>
      </c>
      <c r="D2382" s="34">
        <v>799.2</v>
      </c>
      <c r="E2382" s="35">
        <v>44702</v>
      </c>
      <c r="F2382" s="34">
        <v>799.2</v>
      </c>
      <c r="G2382" s="36">
        <f>Tabla16[[#This Row],[Importe]]-Tabla16[[#This Row],[Pagado]]</f>
        <v>0</v>
      </c>
      <c r="H2382" s="38" t="s">
        <v>10</v>
      </c>
    </row>
    <row r="2383" spans="1:8" x14ac:dyDescent="0.25">
      <c r="A2383" s="31">
        <v>44702</v>
      </c>
      <c r="B2383" s="38" t="s">
        <v>16559</v>
      </c>
      <c r="C2383" s="38" t="s">
        <v>244</v>
      </c>
      <c r="D2383" s="34">
        <v>1938</v>
      </c>
      <c r="E2383" s="35">
        <v>44702</v>
      </c>
      <c r="F2383" s="34">
        <v>1938</v>
      </c>
      <c r="G2383" s="36">
        <f>Tabla16[[#This Row],[Importe]]-Tabla16[[#This Row],[Pagado]]</f>
        <v>0</v>
      </c>
      <c r="H2383" s="38" t="s">
        <v>10</v>
      </c>
    </row>
    <row r="2384" spans="1:8" x14ac:dyDescent="0.25">
      <c r="A2384" s="31">
        <v>44702</v>
      </c>
      <c r="B2384" s="38" t="s">
        <v>16560</v>
      </c>
      <c r="C2384" s="38" t="s">
        <v>56</v>
      </c>
      <c r="D2384" s="34">
        <v>9579.6</v>
      </c>
      <c r="E2384" s="35">
        <v>44702</v>
      </c>
      <c r="F2384" s="34">
        <v>9579.6</v>
      </c>
      <c r="G2384" s="36">
        <f>Tabla16[[#This Row],[Importe]]-Tabla16[[#This Row],[Pagado]]</f>
        <v>0</v>
      </c>
      <c r="H2384" s="38" t="s">
        <v>10</v>
      </c>
    </row>
    <row r="2385" spans="1:8" x14ac:dyDescent="0.25">
      <c r="A2385" s="31">
        <v>44702</v>
      </c>
      <c r="B2385" s="38" t="s">
        <v>16561</v>
      </c>
      <c r="C2385" s="38" t="s">
        <v>407</v>
      </c>
      <c r="D2385" s="34">
        <v>6962</v>
      </c>
      <c r="E2385" s="35" t="s">
        <v>16562</v>
      </c>
      <c r="F2385" s="34">
        <v>6962</v>
      </c>
      <c r="G2385" s="36">
        <f>Tabla16[[#This Row],[Importe]]-Tabla16[[#This Row],[Pagado]]</f>
        <v>0</v>
      </c>
      <c r="H2385" s="38" t="s">
        <v>10</v>
      </c>
    </row>
    <row r="2386" spans="1:8" x14ac:dyDescent="0.25">
      <c r="A2386" s="31">
        <v>44702</v>
      </c>
      <c r="B2386" s="38" t="s">
        <v>16563</v>
      </c>
      <c r="C2386" s="38" t="s">
        <v>16564</v>
      </c>
      <c r="D2386" s="34">
        <v>0</v>
      </c>
      <c r="E2386" s="39" t="s">
        <v>189</v>
      </c>
      <c r="F2386" s="34">
        <v>0</v>
      </c>
      <c r="G2386" s="36">
        <f>Tabla16[[#This Row],[Importe]]-Tabla16[[#This Row],[Pagado]]</f>
        <v>0</v>
      </c>
      <c r="H2386" s="38" t="s">
        <v>189</v>
      </c>
    </row>
    <row r="2387" spans="1:8" x14ac:dyDescent="0.25">
      <c r="A2387" s="31">
        <v>44702</v>
      </c>
      <c r="B2387" s="38" t="s">
        <v>16565</v>
      </c>
      <c r="C2387" s="38" t="s">
        <v>654</v>
      </c>
      <c r="D2387" s="34">
        <v>1430.8</v>
      </c>
      <c r="E2387" s="35">
        <v>44702</v>
      </c>
      <c r="F2387" s="34">
        <v>1430.8</v>
      </c>
      <c r="G2387" s="36">
        <f>Tabla16[[#This Row],[Importe]]-Tabla16[[#This Row],[Pagado]]</f>
        <v>0</v>
      </c>
      <c r="H2387" s="38" t="s">
        <v>10</v>
      </c>
    </row>
    <row r="2388" spans="1:8" x14ac:dyDescent="0.25">
      <c r="A2388" s="31">
        <v>44702</v>
      </c>
      <c r="B2388" s="38" t="s">
        <v>16566</v>
      </c>
      <c r="C2388" s="38" t="s">
        <v>142</v>
      </c>
      <c r="D2388" s="34">
        <v>185753.4</v>
      </c>
      <c r="E2388" s="35">
        <v>44707</v>
      </c>
      <c r="F2388" s="34">
        <v>185753.4</v>
      </c>
      <c r="G2388" s="36">
        <f>Tabla16[[#This Row],[Importe]]-Tabla16[[#This Row],[Pagado]]</f>
        <v>0</v>
      </c>
      <c r="H2388" s="38" t="s">
        <v>10</v>
      </c>
    </row>
    <row r="2389" spans="1:8" x14ac:dyDescent="0.25">
      <c r="A2389" s="31">
        <v>44702</v>
      </c>
      <c r="B2389" s="38" t="s">
        <v>16567</v>
      </c>
      <c r="C2389" s="38" t="s">
        <v>16568</v>
      </c>
      <c r="D2389" s="34">
        <v>0</v>
      </c>
      <c r="E2389" s="39" t="s">
        <v>189</v>
      </c>
      <c r="F2389" s="34">
        <v>0</v>
      </c>
      <c r="G2389" s="36">
        <f>Tabla16[[#This Row],[Importe]]-Tabla16[[#This Row],[Pagado]]</f>
        <v>0</v>
      </c>
      <c r="H2389" s="38" t="s">
        <v>189</v>
      </c>
    </row>
    <row r="2390" spans="1:8" x14ac:dyDescent="0.25">
      <c r="A2390" s="31">
        <v>44702</v>
      </c>
      <c r="B2390" s="38" t="s">
        <v>16569</v>
      </c>
      <c r="C2390" s="38" t="s">
        <v>31</v>
      </c>
      <c r="D2390" s="34">
        <v>1927.4</v>
      </c>
      <c r="E2390" s="35">
        <v>44702</v>
      </c>
      <c r="F2390" s="34">
        <v>1927.4</v>
      </c>
      <c r="G2390" s="36">
        <f>Tabla16[[#This Row],[Importe]]-Tabla16[[#This Row],[Pagado]]</f>
        <v>0</v>
      </c>
      <c r="H2390" s="38" t="s">
        <v>10</v>
      </c>
    </row>
    <row r="2391" spans="1:8" x14ac:dyDescent="0.25">
      <c r="A2391" s="31">
        <v>44702</v>
      </c>
      <c r="B2391" s="38" t="s">
        <v>16570</v>
      </c>
      <c r="C2391" s="38" t="s">
        <v>31</v>
      </c>
      <c r="D2391" s="34">
        <v>897.4</v>
      </c>
      <c r="E2391" s="35">
        <v>44702</v>
      </c>
      <c r="F2391" s="34">
        <v>897.4</v>
      </c>
      <c r="G2391" s="36">
        <f>Tabla16[[#This Row],[Importe]]-Tabla16[[#This Row],[Pagado]]</f>
        <v>0</v>
      </c>
      <c r="H2391" s="38" t="s">
        <v>10</v>
      </c>
    </row>
    <row r="2392" spans="1:8" x14ac:dyDescent="0.25">
      <c r="A2392" s="31">
        <v>44702</v>
      </c>
      <c r="B2392" s="38" t="s">
        <v>16571</v>
      </c>
      <c r="C2392" s="38" t="s">
        <v>58</v>
      </c>
      <c r="D2392" s="34">
        <v>3778.8</v>
      </c>
      <c r="E2392" s="35">
        <v>44702</v>
      </c>
      <c r="F2392" s="34">
        <v>3778.8</v>
      </c>
      <c r="G2392" s="36">
        <f>Tabla16[[#This Row],[Importe]]-Tabla16[[#This Row],[Pagado]]</f>
        <v>0</v>
      </c>
      <c r="H2392" s="38" t="s">
        <v>10</v>
      </c>
    </row>
    <row r="2393" spans="1:8" x14ac:dyDescent="0.25">
      <c r="A2393" s="31">
        <v>44702</v>
      </c>
      <c r="B2393" s="38" t="s">
        <v>16572</v>
      </c>
      <c r="C2393" s="38" t="s">
        <v>53</v>
      </c>
      <c r="D2393" s="34">
        <v>2221.1999999999998</v>
      </c>
      <c r="E2393" s="35">
        <v>44702</v>
      </c>
      <c r="F2393" s="34">
        <v>2221.1999999999998</v>
      </c>
      <c r="G2393" s="36">
        <f>Tabla16[[#This Row],[Importe]]-Tabla16[[#This Row],[Pagado]]</f>
        <v>0</v>
      </c>
      <c r="H2393" s="38" t="s">
        <v>10</v>
      </c>
    </row>
    <row r="2394" spans="1:8" x14ac:dyDescent="0.25">
      <c r="A2394" s="31">
        <v>44702</v>
      </c>
      <c r="B2394" s="38" t="s">
        <v>16573</v>
      </c>
      <c r="C2394" s="38" t="s">
        <v>60</v>
      </c>
      <c r="D2394" s="34">
        <v>2119.6999999999998</v>
      </c>
      <c r="E2394" s="35">
        <v>44702</v>
      </c>
      <c r="F2394" s="34">
        <v>2119.6999999999998</v>
      </c>
      <c r="G2394" s="36">
        <f>Tabla16[[#This Row],[Importe]]-Tabla16[[#This Row],[Pagado]]</f>
        <v>0</v>
      </c>
      <c r="H2394" s="38" t="s">
        <v>10</v>
      </c>
    </row>
    <row r="2395" spans="1:8" ht="31.5" x14ac:dyDescent="0.25">
      <c r="A2395" s="31">
        <v>44702</v>
      </c>
      <c r="B2395" s="38" t="s">
        <v>16574</v>
      </c>
      <c r="C2395" s="41" t="s">
        <v>4301</v>
      </c>
      <c r="D2395" s="34">
        <v>0</v>
      </c>
      <c r="E2395" s="39" t="s">
        <v>189</v>
      </c>
      <c r="F2395" s="34">
        <v>0</v>
      </c>
      <c r="G2395" s="36">
        <f>Tabla16[[#This Row],[Importe]]-Tabla16[[#This Row],[Pagado]]</f>
        <v>0</v>
      </c>
      <c r="H2395" s="38" t="s">
        <v>189</v>
      </c>
    </row>
    <row r="2396" spans="1:8" x14ac:dyDescent="0.25">
      <c r="A2396" s="31">
        <v>44702</v>
      </c>
      <c r="B2396" s="38" t="s">
        <v>16575</v>
      </c>
      <c r="C2396" s="38" t="s">
        <v>31</v>
      </c>
      <c r="D2396" s="34">
        <v>1004.4</v>
      </c>
      <c r="E2396" s="35">
        <v>44702</v>
      </c>
      <c r="F2396" s="34">
        <v>1004.4</v>
      </c>
      <c r="G2396" s="36">
        <f>Tabla16[[#This Row],[Importe]]-Tabla16[[#This Row],[Pagado]]</f>
        <v>0</v>
      </c>
      <c r="H2396" s="38" t="s">
        <v>10</v>
      </c>
    </row>
    <row r="2397" spans="1:8" x14ac:dyDescent="0.25">
      <c r="A2397" s="31">
        <v>44702</v>
      </c>
      <c r="B2397" s="38" t="s">
        <v>16576</v>
      </c>
      <c r="C2397" s="38" t="s">
        <v>31</v>
      </c>
      <c r="D2397" s="34">
        <v>2318.6999999999998</v>
      </c>
      <c r="E2397" s="35">
        <v>44702</v>
      </c>
      <c r="F2397" s="34">
        <v>2318.6999999999998</v>
      </c>
      <c r="G2397" s="36">
        <f>Tabla16[[#This Row],[Importe]]-Tabla16[[#This Row],[Pagado]]</f>
        <v>0</v>
      </c>
      <c r="H2397" s="38" t="s">
        <v>10</v>
      </c>
    </row>
    <row r="2398" spans="1:8" x14ac:dyDescent="0.25">
      <c r="A2398" s="31">
        <v>44702</v>
      </c>
      <c r="B2398" s="38" t="s">
        <v>16577</v>
      </c>
      <c r="C2398" s="38" t="s">
        <v>419</v>
      </c>
      <c r="D2398" s="34">
        <v>6258.4</v>
      </c>
      <c r="E2398" s="35">
        <v>44702</v>
      </c>
      <c r="F2398" s="34">
        <v>6258.4</v>
      </c>
      <c r="G2398" s="36">
        <f>Tabla16[[#This Row],[Importe]]-Tabla16[[#This Row],[Pagado]]</f>
        <v>0</v>
      </c>
      <c r="H2398" s="38" t="s">
        <v>10</v>
      </c>
    </row>
    <row r="2399" spans="1:8" x14ac:dyDescent="0.25">
      <c r="A2399" s="31">
        <v>44702</v>
      </c>
      <c r="B2399" s="38" t="s">
        <v>16578</v>
      </c>
      <c r="C2399" s="38" t="s">
        <v>214</v>
      </c>
      <c r="D2399" s="34">
        <v>1344</v>
      </c>
      <c r="E2399" s="35">
        <v>44702</v>
      </c>
      <c r="F2399" s="34">
        <v>1344</v>
      </c>
      <c r="G2399" s="36">
        <f>Tabla16[[#This Row],[Importe]]-Tabla16[[#This Row],[Pagado]]</f>
        <v>0</v>
      </c>
      <c r="H2399" s="38" t="s">
        <v>10</v>
      </c>
    </row>
    <row r="2400" spans="1:8" ht="31.5" x14ac:dyDescent="0.25">
      <c r="A2400" s="31">
        <v>44702</v>
      </c>
      <c r="B2400" s="38" t="s">
        <v>16579</v>
      </c>
      <c r="C2400" s="41" t="s">
        <v>5463</v>
      </c>
      <c r="D2400" s="34">
        <v>0</v>
      </c>
      <c r="E2400" s="39" t="s">
        <v>189</v>
      </c>
      <c r="F2400" s="34">
        <v>0</v>
      </c>
      <c r="G2400" s="36">
        <f>Tabla16[[#This Row],[Importe]]-Tabla16[[#This Row],[Pagado]]</f>
        <v>0</v>
      </c>
      <c r="H2400" s="38" t="s">
        <v>189</v>
      </c>
    </row>
    <row r="2401" spans="1:8" x14ac:dyDescent="0.25">
      <c r="A2401" s="31">
        <v>44702</v>
      </c>
      <c r="B2401" s="38" t="s">
        <v>16580</v>
      </c>
      <c r="C2401" s="38" t="s">
        <v>392</v>
      </c>
      <c r="D2401" s="34">
        <v>12507.1</v>
      </c>
      <c r="E2401" s="35">
        <v>44707</v>
      </c>
      <c r="F2401" s="34">
        <v>12507.1</v>
      </c>
      <c r="G2401" s="36">
        <f>Tabla16[[#This Row],[Importe]]-Tabla16[[#This Row],[Pagado]]</f>
        <v>0</v>
      </c>
      <c r="H2401" s="38" t="s">
        <v>10</v>
      </c>
    </row>
    <row r="2402" spans="1:8" x14ac:dyDescent="0.25">
      <c r="A2402" s="31">
        <v>44702</v>
      </c>
      <c r="B2402" s="38" t="s">
        <v>16581</v>
      </c>
      <c r="C2402" s="38" t="s">
        <v>179</v>
      </c>
      <c r="D2402" s="34">
        <v>642</v>
      </c>
      <c r="E2402" s="35">
        <v>44702</v>
      </c>
      <c r="F2402" s="34">
        <v>642</v>
      </c>
      <c r="G2402" s="36">
        <f>Tabla16[[#This Row],[Importe]]-Tabla16[[#This Row],[Pagado]]</f>
        <v>0</v>
      </c>
      <c r="H2402" s="38" t="s">
        <v>10</v>
      </c>
    </row>
    <row r="2403" spans="1:8" x14ac:dyDescent="0.25">
      <c r="A2403" s="31">
        <v>44702</v>
      </c>
      <c r="B2403" s="38" t="s">
        <v>16582</v>
      </c>
      <c r="C2403" s="38" t="s">
        <v>196</v>
      </c>
      <c r="D2403" s="34">
        <v>39581.199999999997</v>
      </c>
      <c r="E2403" s="35">
        <v>44708</v>
      </c>
      <c r="F2403" s="34">
        <v>39581.199999999997</v>
      </c>
      <c r="G2403" s="36">
        <f>Tabla16[[#This Row],[Importe]]-Tabla16[[#This Row],[Pagado]]</f>
        <v>0</v>
      </c>
      <c r="H2403" s="38" t="s">
        <v>10</v>
      </c>
    </row>
    <row r="2404" spans="1:8" x14ac:dyDescent="0.25">
      <c r="A2404" s="31">
        <v>44702</v>
      </c>
      <c r="B2404" s="38" t="s">
        <v>16583</v>
      </c>
      <c r="C2404" s="38" t="s">
        <v>67</v>
      </c>
      <c r="D2404" s="34">
        <v>1932</v>
      </c>
      <c r="E2404" s="35">
        <v>44702</v>
      </c>
      <c r="F2404" s="34">
        <v>1932</v>
      </c>
      <c r="G2404" s="36">
        <f>Tabla16[[#This Row],[Importe]]-Tabla16[[#This Row],[Pagado]]</f>
        <v>0</v>
      </c>
      <c r="H2404" s="38" t="s">
        <v>10</v>
      </c>
    </row>
    <row r="2405" spans="1:8" x14ac:dyDescent="0.25">
      <c r="A2405" s="31">
        <v>44702</v>
      </c>
      <c r="B2405" s="38" t="s">
        <v>16584</v>
      </c>
      <c r="C2405" s="38" t="s">
        <v>414</v>
      </c>
      <c r="D2405" s="34">
        <v>23718</v>
      </c>
      <c r="E2405" s="35">
        <v>44704</v>
      </c>
      <c r="F2405" s="34">
        <v>23718</v>
      </c>
      <c r="G2405" s="36">
        <f>Tabla16[[#This Row],[Importe]]-Tabla16[[#This Row],[Pagado]]</f>
        <v>0</v>
      </c>
      <c r="H2405" s="38" t="s">
        <v>10</v>
      </c>
    </row>
    <row r="2406" spans="1:8" x14ac:dyDescent="0.25">
      <c r="A2406" s="31">
        <v>44702</v>
      </c>
      <c r="B2406" s="38" t="s">
        <v>16585</v>
      </c>
      <c r="C2406" s="38" t="s">
        <v>175</v>
      </c>
      <c r="D2406" s="34">
        <v>25860.799999999999</v>
      </c>
      <c r="E2406" s="35">
        <v>44702</v>
      </c>
      <c r="F2406" s="34">
        <v>25860.799999999999</v>
      </c>
      <c r="G2406" s="36">
        <f>Tabla16[[#This Row],[Importe]]-Tabla16[[#This Row],[Pagado]]</f>
        <v>0</v>
      </c>
      <c r="H2406" s="38" t="s">
        <v>10</v>
      </c>
    </row>
    <row r="2407" spans="1:8" x14ac:dyDescent="0.25">
      <c r="A2407" s="31">
        <v>44702</v>
      </c>
      <c r="B2407" s="38" t="s">
        <v>16586</v>
      </c>
      <c r="C2407" s="38" t="s">
        <v>6112</v>
      </c>
      <c r="D2407" s="34">
        <v>10298.4</v>
      </c>
      <c r="E2407" s="35">
        <v>44702</v>
      </c>
      <c r="F2407" s="34">
        <v>10298.4</v>
      </c>
      <c r="G2407" s="36">
        <f>Tabla16[[#This Row],[Importe]]-Tabla16[[#This Row],[Pagado]]</f>
        <v>0</v>
      </c>
      <c r="H2407" s="38" t="s">
        <v>10</v>
      </c>
    </row>
    <row r="2408" spans="1:8" x14ac:dyDescent="0.25">
      <c r="A2408" s="31">
        <v>44702</v>
      </c>
      <c r="B2408" s="38" t="s">
        <v>16587</v>
      </c>
      <c r="C2408" s="38" t="s">
        <v>31</v>
      </c>
      <c r="D2408" s="34">
        <v>1509.9</v>
      </c>
      <c r="E2408" s="35">
        <v>44702</v>
      </c>
      <c r="F2408" s="34">
        <v>1509.9</v>
      </c>
      <c r="G2408" s="36">
        <f>Tabla16[[#This Row],[Importe]]-Tabla16[[#This Row],[Pagado]]</f>
        <v>0</v>
      </c>
      <c r="H2408" s="38" t="s">
        <v>10</v>
      </c>
    </row>
    <row r="2409" spans="1:8" x14ac:dyDescent="0.25">
      <c r="A2409" s="31">
        <v>44702</v>
      </c>
      <c r="B2409" s="38" t="s">
        <v>16588</v>
      </c>
      <c r="C2409" s="38" t="s">
        <v>181</v>
      </c>
      <c r="D2409" s="34">
        <v>11038</v>
      </c>
      <c r="E2409" s="35">
        <v>44702</v>
      </c>
      <c r="F2409" s="34">
        <v>11038</v>
      </c>
      <c r="G2409" s="36">
        <f>Tabla16[[#This Row],[Importe]]-Tabla16[[#This Row],[Pagado]]</f>
        <v>0</v>
      </c>
      <c r="H2409" s="38" t="s">
        <v>10</v>
      </c>
    </row>
    <row r="2410" spans="1:8" x14ac:dyDescent="0.25">
      <c r="A2410" s="31">
        <v>44702</v>
      </c>
      <c r="B2410" s="38" t="s">
        <v>16589</v>
      </c>
      <c r="C2410" s="38" t="s">
        <v>426</v>
      </c>
      <c r="D2410" s="34">
        <v>7138.9</v>
      </c>
      <c r="E2410" s="35">
        <v>44702</v>
      </c>
      <c r="F2410" s="34">
        <v>7138.9</v>
      </c>
      <c r="G2410" s="36">
        <f>Tabla16[[#This Row],[Importe]]-Tabla16[[#This Row],[Pagado]]</f>
        <v>0</v>
      </c>
      <c r="H2410" s="38" t="s">
        <v>10</v>
      </c>
    </row>
    <row r="2411" spans="1:8" x14ac:dyDescent="0.25">
      <c r="A2411" s="31">
        <v>44702</v>
      </c>
      <c r="B2411" s="38" t="s">
        <v>16590</v>
      </c>
      <c r="C2411" s="38" t="s">
        <v>200</v>
      </c>
      <c r="D2411" s="34">
        <v>2532</v>
      </c>
      <c r="E2411" s="35">
        <v>44702</v>
      </c>
      <c r="F2411" s="34">
        <v>2532</v>
      </c>
      <c r="G2411" s="36">
        <f>Tabla16[[#This Row],[Importe]]-Tabla16[[#This Row],[Pagado]]</f>
        <v>0</v>
      </c>
      <c r="H2411" s="38" t="s">
        <v>10</v>
      </c>
    </row>
    <row r="2412" spans="1:8" x14ac:dyDescent="0.25">
      <c r="A2412" s="31">
        <v>44702</v>
      </c>
      <c r="B2412" s="38" t="s">
        <v>16591</v>
      </c>
      <c r="C2412" s="38" t="s">
        <v>359</v>
      </c>
      <c r="D2412" s="34">
        <v>516.79999999999995</v>
      </c>
      <c r="E2412" s="35">
        <v>44702</v>
      </c>
      <c r="F2412" s="34">
        <v>516.79999999999995</v>
      </c>
      <c r="G2412" s="36">
        <f>Tabla16[[#This Row],[Importe]]-Tabla16[[#This Row],[Pagado]]</f>
        <v>0</v>
      </c>
      <c r="H2412" s="38" t="s">
        <v>10</v>
      </c>
    </row>
    <row r="2413" spans="1:8" x14ac:dyDescent="0.25">
      <c r="A2413" s="31">
        <v>44702</v>
      </c>
      <c r="B2413" s="38" t="s">
        <v>16592</v>
      </c>
      <c r="C2413" s="38" t="s">
        <v>9827</v>
      </c>
      <c r="D2413" s="34">
        <v>4926</v>
      </c>
      <c r="E2413" s="35">
        <v>44702</v>
      </c>
      <c r="F2413" s="34">
        <v>4926</v>
      </c>
      <c r="G2413" s="36">
        <f>Tabla16[[#This Row],[Importe]]-Tabla16[[#This Row],[Pagado]]</f>
        <v>0</v>
      </c>
      <c r="H2413" s="38" t="s">
        <v>10</v>
      </c>
    </row>
    <row r="2414" spans="1:8" x14ac:dyDescent="0.25">
      <c r="A2414" s="31">
        <v>44702</v>
      </c>
      <c r="B2414" s="38" t="s">
        <v>16593</v>
      </c>
      <c r="C2414" s="38" t="s">
        <v>9827</v>
      </c>
      <c r="D2414" s="34">
        <v>1704</v>
      </c>
      <c r="E2414" s="35">
        <v>44702</v>
      </c>
      <c r="F2414" s="34">
        <v>1704</v>
      </c>
      <c r="G2414" s="36">
        <f>Tabla16[[#This Row],[Importe]]-Tabla16[[#This Row],[Pagado]]</f>
        <v>0</v>
      </c>
      <c r="H2414" s="38" t="s">
        <v>10</v>
      </c>
    </row>
    <row r="2415" spans="1:8" x14ac:dyDescent="0.25">
      <c r="A2415" s="31">
        <v>44702</v>
      </c>
      <c r="B2415" s="38" t="s">
        <v>16594</v>
      </c>
      <c r="C2415" s="38" t="s">
        <v>107</v>
      </c>
      <c r="D2415" s="34">
        <v>21343.8</v>
      </c>
      <c r="E2415" s="35">
        <v>44702</v>
      </c>
      <c r="F2415" s="34">
        <v>21343.8</v>
      </c>
      <c r="G2415" s="36">
        <f>Tabla16[[#This Row],[Importe]]-Tabla16[[#This Row],[Pagado]]</f>
        <v>0</v>
      </c>
      <c r="H2415" s="38" t="s">
        <v>10</v>
      </c>
    </row>
    <row r="2416" spans="1:8" x14ac:dyDescent="0.25">
      <c r="A2416" s="31">
        <v>44702</v>
      </c>
      <c r="B2416" s="38" t="s">
        <v>16595</v>
      </c>
      <c r="C2416" s="38" t="s">
        <v>4523</v>
      </c>
      <c r="D2416" s="34">
        <v>3568</v>
      </c>
      <c r="E2416" s="35">
        <v>44702</v>
      </c>
      <c r="F2416" s="34">
        <v>3568</v>
      </c>
      <c r="G2416" s="36">
        <f>Tabla16[[#This Row],[Importe]]-Tabla16[[#This Row],[Pagado]]</f>
        <v>0</v>
      </c>
      <c r="H2416" s="38" t="s">
        <v>10</v>
      </c>
    </row>
    <row r="2417" spans="1:8" x14ac:dyDescent="0.25">
      <c r="A2417" s="31">
        <v>44702</v>
      </c>
      <c r="B2417" s="38" t="s">
        <v>16596</v>
      </c>
      <c r="C2417" s="38" t="s">
        <v>31</v>
      </c>
      <c r="D2417" s="34">
        <v>1155</v>
      </c>
      <c r="E2417" s="35">
        <v>44702</v>
      </c>
      <c r="F2417" s="34">
        <v>1155</v>
      </c>
      <c r="G2417" s="36">
        <f>Tabla16[[#This Row],[Importe]]-Tabla16[[#This Row],[Pagado]]</f>
        <v>0</v>
      </c>
      <c r="H2417" s="38" t="s">
        <v>10</v>
      </c>
    </row>
    <row r="2418" spans="1:8" x14ac:dyDescent="0.25">
      <c r="A2418" s="31">
        <v>44702</v>
      </c>
      <c r="B2418" s="38" t="s">
        <v>16597</v>
      </c>
      <c r="C2418" s="38" t="s">
        <v>450</v>
      </c>
      <c r="D2418" s="34">
        <v>719.9</v>
      </c>
      <c r="E2418" s="35">
        <v>44702</v>
      </c>
      <c r="F2418" s="34">
        <v>719.9</v>
      </c>
      <c r="G2418" s="36">
        <f>Tabla16[[#This Row],[Importe]]-Tabla16[[#This Row],[Pagado]]</f>
        <v>0</v>
      </c>
      <c r="H2418" s="38" t="s">
        <v>10</v>
      </c>
    </row>
    <row r="2419" spans="1:8" x14ac:dyDescent="0.25">
      <c r="A2419" s="31">
        <v>44702</v>
      </c>
      <c r="B2419" s="38" t="s">
        <v>16598</v>
      </c>
      <c r="C2419" s="38" t="s">
        <v>51</v>
      </c>
      <c r="D2419" s="34">
        <v>4222.8</v>
      </c>
      <c r="E2419" s="35">
        <v>44702</v>
      </c>
      <c r="F2419" s="34">
        <v>4222.8</v>
      </c>
      <c r="G2419" s="36">
        <f>Tabla16[[#This Row],[Importe]]-Tabla16[[#This Row],[Pagado]]</f>
        <v>0</v>
      </c>
      <c r="H2419" s="38" t="s">
        <v>10</v>
      </c>
    </row>
    <row r="2420" spans="1:8" x14ac:dyDescent="0.25">
      <c r="A2420" s="31">
        <v>44702</v>
      </c>
      <c r="B2420" s="38" t="s">
        <v>16599</v>
      </c>
      <c r="C2420" s="38" t="s">
        <v>51</v>
      </c>
      <c r="D2420" s="34">
        <v>917.8</v>
      </c>
      <c r="E2420" s="35">
        <v>44702</v>
      </c>
      <c r="F2420" s="34">
        <v>917.8</v>
      </c>
      <c r="G2420" s="36">
        <f>Tabla16[[#This Row],[Importe]]-Tabla16[[#This Row],[Pagado]]</f>
        <v>0</v>
      </c>
      <c r="H2420" s="38" t="s">
        <v>10</v>
      </c>
    </row>
    <row r="2421" spans="1:8" x14ac:dyDescent="0.25">
      <c r="A2421" s="31">
        <v>44702</v>
      </c>
      <c r="B2421" s="38" t="s">
        <v>16600</v>
      </c>
      <c r="C2421" s="38" t="s">
        <v>409</v>
      </c>
      <c r="D2421" s="34">
        <v>18789.599999999999</v>
      </c>
      <c r="E2421" s="35">
        <v>44705</v>
      </c>
      <c r="F2421" s="34">
        <v>18789.599999999999</v>
      </c>
      <c r="G2421" s="36">
        <f>Tabla16[[#This Row],[Importe]]-Tabla16[[#This Row],[Pagado]]</f>
        <v>0</v>
      </c>
      <c r="H2421" s="38" t="s">
        <v>10</v>
      </c>
    </row>
    <row r="2422" spans="1:8" x14ac:dyDescent="0.25">
      <c r="A2422" s="31">
        <v>44702</v>
      </c>
      <c r="B2422" s="38" t="s">
        <v>16601</v>
      </c>
      <c r="C2422" s="38" t="s">
        <v>282</v>
      </c>
      <c r="D2422" s="34">
        <v>4668</v>
      </c>
      <c r="E2422" s="35">
        <v>44703</v>
      </c>
      <c r="F2422" s="34">
        <v>4668</v>
      </c>
      <c r="G2422" s="36">
        <f>Tabla16[[#This Row],[Importe]]-Tabla16[[#This Row],[Pagado]]</f>
        <v>0</v>
      </c>
      <c r="H2422" s="38" t="s">
        <v>10</v>
      </c>
    </row>
    <row r="2423" spans="1:8" x14ac:dyDescent="0.25">
      <c r="A2423" s="31">
        <v>44702</v>
      </c>
      <c r="B2423" s="38" t="s">
        <v>16602</v>
      </c>
      <c r="C2423" s="38" t="s">
        <v>280</v>
      </c>
      <c r="D2423" s="34">
        <v>2958</v>
      </c>
      <c r="E2423" s="35">
        <v>44703</v>
      </c>
      <c r="F2423" s="34">
        <v>2958</v>
      </c>
      <c r="G2423" s="36">
        <f>Tabla16[[#This Row],[Importe]]-Tabla16[[#This Row],[Pagado]]</f>
        <v>0</v>
      </c>
      <c r="H2423" s="38" t="s">
        <v>10</v>
      </c>
    </row>
    <row r="2424" spans="1:8" x14ac:dyDescent="0.25">
      <c r="A2424" s="31">
        <v>44702</v>
      </c>
      <c r="B2424" s="38" t="s">
        <v>16603</v>
      </c>
      <c r="C2424" s="38" t="s">
        <v>10819</v>
      </c>
      <c r="D2424" s="34">
        <v>1704</v>
      </c>
      <c r="E2424" s="35">
        <v>44703</v>
      </c>
      <c r="F2424" s="34">
        <v>1704</v>
      </c>
      <c r="G2424" s="36">
        <f>Tabla16[[#This Row],[Importe]]-Tabla16[[#This Row],[Pagado]]</f>
        <v>0</v>
      </c>
      <c r="H2424" s="38" t="s">
        <v>10</v>
      </c>
    </row>
    <row r="2425" spans="1:8" x14ac:dyDescent="0.25">
      <c r="A2425" s="31">
        <v>44702</v>
      </c>
      <c r="B2425" s="38" t="s">
        <v>16604</v>
      </c>
      <c r="C2425" s="38" t="s">
        <v>284</v>
      </c>
      <c r="D2425" s="34">
        <v>10992</v>
      </c>
      <c r="E2425" s="35">
        <v>44703</v>
      </c>
      <c r="F2425" s="34">
        <v>10992</v>
      </c>
      <c r="G2425" s="36">
        <f>Tabla16[[#This Row],[Importe]]-Tabla16[[#This Row],[Pagado]]</f>
        <v>0</v>
      </c>
      <c r="H2425" s="38" t="s">
        <v>10</v>
      </c>
    </row>
    <row r="2426" spans="1:8" x14ac:dyDescent="0.25">
      <c r="A2426" s="31">
        <v>44702</v>
      </c>
      <c r="B2426" s="38" t="s">
        <v>16605</v>
      </c>
      <c r="C2426" s="38" t="s">
        <v>280</v>
      </c>
      <c r="D2426" s="34">
        <v>1650</v>
      </c>
      <c r="E2426" s="35">
        <v>44703</v>
      </c>
      <c r="F2426" s="34">
        <v>1650</v>
      </c>
      <c r="G2426" s="36">
        <f>Tabla16[[#This Row],[Importe]]-Tabla16[[#This Row],[Pagado]]</f>
        <v>0</v>
      </c>
      <c r="H2426" s="38" t="s">
        <v>10</v>
      </c>
    </row>
    <row r="2427" spans="1:8" x14ac:dyDescent="0.25">
      <c r="A2427" s="31">
        <v>44702</v>
      </c>
      <c r="B2427" s="38" t="s">
        <v>16606</v>
      </c>
      <c r="C2427" s="38" t="s">
        <v>431</v>
      </c>
      <c r="D2427" s="34">
        <v>552</v>
      </c>
      <c r="E2427" s="35">
        <v>44703</v>
      </c>
      <c r="F2427" s="34">
        <v>552</v>
      </c>
      <c r="G2427" s="36">
        <f>Tabla16[[#This Row],[Importe]]-Tabla16[[#This Row],[Pagado]]</f>
        <v>0</v>
      </c>
      <c r="H2427" s="38" t="s">
        <v>10</v>
      </c>
    </row>
    <row r="2428" spans="1:8" x14ac:dyDescent="0.25">
      <c r="A2428" s="31">
        <v>44702</v>
      </c>
      <c r="B2428" s="38" t="s">
        <v>16607</v>
      </c>
      <c r="C2428" s="38" t="s">
        <v>414</v>
      </c>
      <c r="D2428" s="34">
        <v>35.520000000000003</v>
      </c>
      <c r="E2428" s="35">
        <v>44707</v>
      </c>
      <c r="F2428" s="34">
        <v>35.520000000000003</v>
      </c>
      <c r="G2428" s="36">
        <f>Tabla16[[#This Row],[Importe]]-Tabla16[[#This Row],[Pagado]]</f>
        <v>0</v>
      </c>
      <c r="H2428" s="38" t="s">
        <v>10</v>
      </c>
    </row>
    <row r="2429" spans="1:8" x14ac:dyDescent="0.25">
      <c r="A2429" s="31">
        <v>44702</v>
      </c>
      <c r="B2429" s="38" t="s">
        <v>16608</v>
      </c>
      <c r="C2429" s="38" t="s">
        <v>51</v>
      </c>
      <c r="D2429" s="34">
        <v>204</v>
      </c>
      <c r="E2429" s="35">
        <v>44702</v>
      </c>
      <c r="F2429" s="34">
        <v>204</v>
      </c>
      <c r="G2429" s="36">
        <f>Tabla16[[#This Row],[Importe]]-Tabla16[[#This Row],[Pagado]]</f>
        <v>0</v>
      </c>
      <c r="H2429" s="38" t="s">
        <v>10</v>
      </c>
    </row>
    <row r="2430" spans="1:8" x14ac:dyDescent="0.25">
      <c r="A2430" s="31">
        <v>44702</v>
      </c>
      <c r="B2430" s="38" t="s">
        <v>16609</v>
      </c>
      <c r="C2430" s="38" t="s">
        <v>69</v>
      </c>
      <c r="D2430" s="34">
        <v>1530</v>
      </c>
      <c r="E2430" s="35">
        <v>44702</v>
      </c>
      <c r="F2430" s="34">
        <v>1530</v>
      </c>
      <c r="G2430" s="36">
        <f>Tabla16[[#This Row],[Importe]]-Tabla16[[#This Row],[Pagado]]</f>
        <v>0</v>
      </c>
      <c r="H2430" s="38" t="s">
        <v>10</v>
      </c>
    </row>
    <row r="2431" spans="1:8" x14ac:dyDescent="0.25">
      <c r="A2431" s="31">
        <v>44702</v>
      </c>
      <c r="B2431" s="38" t="s">
        <v>16610</v>
      </c>
      <c r="C2431" s="38" t="s">
        <v>994</v>
      </c>
      <c r="D2431" s="34">
        <v>1234.2</v>
      </c>
      <c r="E2431" s="35">
        <v>44702</v>
      </c>
      <c r="F2431" s="34">
        <v>1234.2</v>
      </c>
      <c r="G2431" s="36">
        <f>Tabla16[[#This Row],[Importe]]-Tabla16[[#This Row],[Pagado]]</f>
        <v>0</v>
      </c>
      <c r="H2431" s="38" t="s">
        <v>10</v>
      </c>
    </row>
    <row r="2432" spans="1:8" x14ac:dyDescent="0.25">
      <c r="A2432" s="31">
        <v>44702</v>
      </c>
      <c r="B2432" s="38" t="s">
        <v>16611</v>
      </c>
      <c r="C2432" s="38" t="s">
        <v>22</v>
      </c>
      <c r="D2432" s="34">
        <v>4314.6000000000004</v>
      </c>
      <c r="E2432" s="35">
        <v>44703</v>
      </c>
      <c r="F2432" s="34">
        <v>4314.6000000000004</v>
      </c>
      <c r="G2432" s="36">
        <f>Tabla16[[#This Row],[Importe]]-Tabla16[[#This Row],[Pagado]]</f>
        <v>0</v>
      </c>
      <c r="H2432" s="38" t="s">
        <v>10</v>
      </c>
    </row>
    <row r="2433" spans="1:8" x14ac:dyDescent="0.25">
      <c r="A2433" s="31">
        <v>44702</v>
      </c>
      <c r="B2433" s="38" t="s">
        <v>16612</v>
      </c>
      <c r="C2433" s="38" t="s">
        <v>167</v>
      </c>
      <c r="D2433" s="34">
        <v>22462</v>
      </c>
      <c r="E2433" s="35">
        <v>44702</v>
      </c>
      <c r="F2433" s="34">
        <v>22462</v>
      </c>
      <c r="G2433" s="36">
        <f>Tabla16[[#This Row],[Importe]]-Tabla16[[#This Row],[Pagado]]</f>
        <v>0</v>
      </c>
      <c r="H2433" s="38" t="s">
        <v>10</v>
      </c>
    </row>
    <row r="2434" spans="1:8" x14ac:dyDescent="0.25">
      <c r="A2434" s="31">
        <v>44702</v>
      </c>
      <c r="B2434" s="38" t="s">
        <v>16613</v>
      </c>
      <c r="C2434" s="38" t="s">
        <v>196</v>
      </c>
      <c r="D2434" s="34">
        <v>83382</v>
      </c>
      <c r="E2434" s="35">
        <v>44708</v>
      </c>
      <c r="F2434" s="34">
        <v>83382</v>
      </c>
      <c r="G2434" s="36">
        <f>Tabla16[[#This Row],[Importe]]-Tabla16[[#This Row],[Pagado]]</f>
        <v>0</v>
      </c>
      <c r="H2434" s="38" t="s">
        <v>10</v>
      </c>
    </row>
    <row r="2435" spans="1:8" x14ac:dyDescent="0.25">
      <c r="A2435" s="31">
        <v>44702</v>
      </c>
      <c r="B2435" s="38" t="s">
        <v>16614</v>
      </c>
      <c r="C2435" s="38" t="s">
        <v>196</v>
      </c>
      <c r="D2435" s="34">
        <v>1534.4</v>
      </c>
      <c r="E2435" s="35">
        <v>44708</v>
      </c>
      <c r="F2435" s="34">
        <v>1534.4</v>
      </c>
      <c r="G2435" s="36">
        <f>Tabla16[[#This Row],[Importe]]-Tabla16[[#This Row],[Pagado]]</f>
        <v>0</v>
      </c>
      <c r="H2435" s="38" t="s">
        <v>10</v>
      </c>
    </row>
    <row r="2436" spans="1:8" x14ac:dyDescent="0.25">
      <c r="A2436" s="31">
        <v>44702</v>
      </c>
      <c r="B2436" s="38" t="s">
        <v>16615</v>
      </c>
      <c r="C2436" s="38" t="s">
        <v>35</v>
      </c>
      <c r="D2436" s="34">
        <v>2208</v>
      </c>
      <c r="E2436" s="35">
        <v>44702</v>
      </c>
      <c r="F2436" s="34">
        <v>2208</v>
      </c>
      <c r="G2436" s="36">
        <f>Tabla16[[#This Row],[Importe]]-Tabla16[[#This Row],[Pagado]]</f>
        <v>0</v>
      </c>
      <c r="H2436" s="38" t="s">
        <v>10</v>
      </c>
    </row>
    <row r="2437" spans="1:8" x14ac:dyDescent="0.25">
      <c r="A2437" s="31">
        <v>44702</v>
      </c>
      <c r="B2437" s="38" t="s">
        <v>16616</v>
      </c>
      <c r="C2437" s="38" t="s">
        <v>1706</v>
      </c>
      <c r="D2437" s="34">
        <v>4613.8</v>
      </c>
      <c r="E2437" s="35">
        <v>44702</v>
      </c>
      <c r="F2437" s="34">
        <v>4613.8</v>
      </c>
      <c r="G2437" s="36">
        <f>Tabla16[[#This Row],[Importe]]-Tabla16[[#This Row],[Pagado]]</f>
        <v>0</v>
      </c>
      <c r="H2437" s="38" t="s">
        <v>10</v>
      </c>
    </row>
    <row r="2438" spans="1:8" x14ac:dyDescent="0.25">
      <c r="A2438" s="31">
        <v>44702</v>
      </c>
      <c r="B2438" s="38" t="s">
        <v>16617</v>
      </c>
      <c r="C2438" s="38" t="s">
        <v>246</v>
      </c>
      <c r="D2438" s="34">
        <v>3471</v>
      </c>
      <c r="E2438" s="35">
        <v>44702</v>
      </c>
      <c r="F2438" s="34">
        <v>3471</v>
      </c>
      <c r="G2438" s="36">
        <f>Tabla16[[#This Row],[Importe]]-Tabla16[[#This Row],[Pagado]]</f>
        <v>0</v>
      </c>
      <c r="H2438" s="38" t="s">
        <v>10</v>
      </c>
    </row>
    <row r="2439" spans="1:8" x14ac:dyDescent="0.25">
      <c r="A2439" s="31">
        <v>44702</v>
      </c>
      <c r="B2439" s="38" t="s">
        <v>16618</v>
      </c>
      <c r="C2439" s="38" t="s">
        <v>857</v>
      </c>
      <c r="D2439" s="34">
        <v>1036.8</v>
      </c>
      <c r="E2439" s="35">
        <v>44702</v>
      </c>
      <c r="F2439" s="34">
        <v>1036.8</v>
      </c>
      <c r="G2439" s="36">
        <f>Tabla16[[#This Row],[Importe]]-Tabla16[[#This Row],[Pagado]]</f>
        <v>0</v>
      </c>
      <c r="H2439" s="38" t="s">
        <v>10</v>
      </c>
    </row>
    <row r="2440" spans="1:8" x14ac:dyDescent="0.25">
      <c r="A2440" s="31">
        <v>44702</v>
      </c>
      <c r="B2440" s="38" t="s">
        <v>16619</v>
      </c>
      <c r="C2440" s="38" t="s">
        <v>857</v>
      </c>
      <c r="D2440" s="34">
        <v>200.6</v>
      </c>
      <c r="E2440" s="35">
        <v>44702</v>
      </c>
      <c r="F2440" s="34">
        <v>200.6</v>
      </c>
      <c r="G2440" s="36">
        <f>Tabla16[[#This Row],[Importe]]-Tabla16[[#This Row],[Pagado]]</f>
        <v>0</v>
      </c>
      <c r="H2440" s="38" t="s">
        <v>10</v>
      </c>
    </row>
    <row r="2441" spans="1:8" x14ac:dyDescent="0.25">
      <c r="A2441" s="31">
        <v>44702</v>
      </c>
      <c r="B2441" s="38" t="s">
        <v>16620</v>
      </c>
      <c r="C2441" s="38" t="s">
        <v>10840</v>
      </c>
      <c r="D2441" s="34">
        <v>5583.6</v>
      </c>
      <c r="E2441" s="35">
        <v>44702</v>
      </c>
      <c r="F2441" s="34">
        <v>5583.6</v>
      </c>
      <c r="G2441" s="36">
        <f>Tabla16[[#This Row],[Importe]]-Tabla16[[#This Row],[Pagado]]</f>
        <v>0</v>
      </c>
      <c r="H2441" s="38" t="s">
        <v>10</v>
      </c>
    </row>
    <row r="2442" spans="1:8" x14ac:dyDescent="0.25">
      <c r="A2442" s="31">
        <v>44702</v>
      </c>
      <c r="B2442" s="38" t="s">
        <v>16621</v>
      </c>
      <c r="C2442" s="38" t="s">
        <v>31</v>
      </c>
      <c r="D2442" s="34">
        <v>103.6</v>
      </c>
      <c r="E2442" s="35">
        <v>44702</v>
      </c>
      <c r="F2442" s="34">
        <v>103.6</v>
      </c>
      <c r="G2442" s="36">
        <f>Tabla16[[#This Row],[Importe]]-Tabla16[[#This Row],[Pagado]]</f>
        <v>0</v>
      </c>
      <c r="H2442" s="38" t="s">
        <v>10</v>
      </c>
    </row>
    <row r="2443" spans="1:8" x14ac:dyDescent="0.25">
      <c r="A2443" s="31">
        <v>44702</v>
      </c>
      <c r="B2443" s="38" t="s">
        <v>16622</v>
      </c>
      <c r="C2443" s="38" t="s">
        <v>275</v>
      </c>
      <c r="D2443" s="34">
        <v>81159.3</v>
      </c>
      <c r="E2443" s="35">
        <v>44715</v>
      </c>
      <c r="F2443" s="34">
        <v>81159.3</v>
      </c>
      <c r="G2443" s="36">
        <f>Tabla16[[#This Row],[Importe]]-Tabla16[[#This Row],[Pagado]]</f>
        <v>0</v>
      </c>
      <c r="H2443" s="38" t="s">
        <v>10</v>
      </c>
    </row>
    <row r="2444" spans="1:8" x14ac:dyDescent="0.25">
      <c r="A2444" s="31">
        <v>44702</v>
      </c>
      <c r="B2444" s="38" t="s">
        <v>16623</v>
      </c>
      <c r="C2444" s="38" t="s">
        <v>275</v>
      </c>
      <c r="D2444" s="34">
        <v>18051.14</v>
      </c>
      <c r="E2444" s="35">
        <v>44715</v>
      </c>
      <c r="F2444" s="34">
        <v>18051.14</v>
      </c>
      <c r="G2444" s="36">
        <f>Tabla16[[#This Row],[Importe]]-Tabla16[[#This Row],[Pagado]]</f>
        <v>0</v>
      </c>
      <c r="H2444" s="38" t="s">
        <v>10</v>
      </c>
    </row>
    <row r="2445" spans="1:8" x14ac:dyDescent="0.25">
      <c r="A2445" s="31">
        <v>44702</v>
      </c>
      <c r="B2445" s="38" t="s">
        <v>16624</v>
      </c>
      <c r="C2445" s="38" t="s">
        <v>53</v>
      </c>
      <c r="D2445" s="34">
        <v>2647.4</v>
      </c>
      <c r="E2445" s="35">
        <v>44702</v>
      </c>
      <c r="F2445" s="34">
        <v>2647.4</v>
      </c>
      <c r="G2445" s="36">
        <f>Tabla16[[#This Row],[Importe]]-Tabla16[[#This Row],[Pagado]]</f>
        <v>0</v>
      </c>
      <c r="H2445" s="38" t="s">
        <v>10</v>
      </c>
    </row>
    <row r="2446" spans="1:8" x14ac:dyDescent="0.25">
      <c r="A2446" s="31">
        <v>44702</v>
      </c>
      <c r="B2446" s="38" t="s">
        <v>16625</v>
      </c>
      <c r="C2446" s="38" t="s">
        <v>67</v>
      </c>
      <c r="D2446" s="34">
        <v>273.7</v>
      </c>
      <c r="E2446" s="35">
        <v>44702</v>
      </c>
      <c r="F2446" s="34">
        <v>273.7</v>
      </c>
      <c r="G2446" s="36">
        <f>Tabla16[[#This Row],[Importe]]-Tabla16[[#This Row],[Pagado]]</f>
        <v>0</v>
      </c>
      <c r="H2446" s="38" t="s">
        <v>10</v>
      </c>
    </row>
    <row r="2447" spans="1:8" x14ac:dyDescent="0.25">
      <c r="A2447" s="31">
        <v>44702</v>
      </c>
      <c r="B2447" s="38" t="s">
        <v>16626</v>
      </c>
      <c r="C2447" s="38" t="s">
        <v>296</v>
      </c>
      <c r="D2447" s="34">
        <v>1043.0999999999999</v>
      </c>
      <c r="E2447" s="35">
        <v>44702</v>
      </c>
      <c r="F2447" s="34">
        <v>1043.0999999999999</v>
      </c>
      <c r="G2447" s="36">
        <f>Tabla16[[#This Row],[Importe]]-Tabla16[[#This Row],[Pagado]]</f>
        <v>0</v>
      </c>
      <c r="H2447" s="38" t="s">
        <v>10</v>
      </c>
    </row>
    <row r="2448" spans="1:8" x14ac:dyDescent="0.25">
      <c r="A2448" s="31">
        <v>44702</v>
      </c>
      <c r="B2448" s="38" t="s">
        <v>16627</v>
      </c>
      <c r="C2448" s="38" t="s">
        <v>14</v>
      </c>
      <c r="D2448" s="34">
        <v>26242.9</v>
      </c>
      <c r="E2448" s="35">
        <v>44702</v>
      </c>
      <c r="F2448" s="34">
        <v>26242.9</v>
      </c>
      <c r="G2448" s="36">
        <f>Tabla16[[#This Row],[Importe]]-Tabla16[[#This Row],[Pagado]]</f>
        <v>0</v>
      </c>
      <c r="H2448" s="38" t="s">
        <v>10</v>
      </c>
    </row>
    <row r="2449" spans="1:8" x14ac:dyDescent="0.25">
      <c r="A2449" s="31">
        <v>44702</v>
      </c>
      <c r="B2449" s="38" t="s">
        <v>16628</v>
      </c>
      <c r="C2449" s="38" t="s">
        <v>463</v>
      </c>
      <c r="D2449" s="34">
        <v>550</v>
      </c>
      <c r="E2449" s="35">
        <v>44702</v>
      </c>
      <c r="F2449" s="34">
        <v>550</v>
      </c>
      <c r="G2449" s="36">
        <f>Tabla16[[#This Row],[Importe]]-Tabla16[[#This Row],[Pagado]]</f>
        <v>0</v>
      </c>
      <c r="H2449" s="38" t="s">
        <v>10</v>
      </c>
    </row>
    <row r="2450" spans="1:8" x14ac:dyDescent="0.25">
      <c r="A2450" s="31">
        <v>44702</v>
      </c>
      <c r="B2450" s="38" t="s">
        <v>16629</v>
      </c>
      <c r="C2450" s="38" t="s">
        <v>459</v>
      </c>
      <c r="D2450" s="34">
        <v>213</v>
      </c>
      <c r="E2450" s="35">
        <v>44703</v>
      </c>
      <c r="F2450" s="34">
        <v>213</v>
      </c>
      <c r="G2450" s="36">
        <f>Tabla16[[#This Row],[Importe]]-Tabla16[[#This Row],[Pagado]]</f>
        <v>0</v>
      </c>
      <c r="H2450" s="38" t="s">
        <v>10</v>
      </c>
    </row>
    <row r="2451" spans="1:8" x14ac:dyDescent="0.25">
      <c r="A2451" s="31">
        <v>44702</v>
      </c>
      <c r="B2451" s="38" t="s">
        <v>16630</v>
      </c>
      <c r="C2451" s="38" t="s">
        <v>654</v>
      </c>
      <c r="D2451" s="34">
        <v>2973.6</v>
      </c>
      <c r="E2451" s="35">
        <v>44702</v>
      </c>
      <c r="F2451" s="34">
        <v>2973.6</v>
      </c>
      <c r="G2451" s="36">
        <f>Tabla16[[#This Row],[Importe]]-Tabla16[[#This Row],[Pagado]]</f>
        <v>0</v>
      </c>
      <c r="H2451" s="38" t="s">
        <v>10</v>
      </c>
    </row>
    <row r="2452" spans="1:8" x14ac:dyDescent="0.25">
      <c r="A2452" s="31">
        <v>44702</v>
      </c>
      <c r="B2452" s="38" t="s">
        <v>16631</v>
      </c>
      <c r="C2452" s="38" t="s">
        <v>461</v>
      </c>
      <c r="D2452" s="34">
        <v>394</v>
      </c>
      <c r="E2452" s="35">
        <v>44703</v>
      </c>
      <c r="F2452" s="34">
        <v>394</v>
      </c>
      <c r="G2452" s="36">
        <f>Tabla16[[#This Row],[Importe]]-Tabla16[[#This Row],[Pagado]]</f>
        <v>0</v>
      </c>
      <c r="H2452" s="38" t="s">
        <v>10</v>
      </c>
    </row>
    <row r="2453" spans="1:8" x14ac:dyDescent="0.25">
      <c r="A2453" s="31">
        <v>44702</v>
      </c>
      <c r="B2453" s="38" t="s">
        <v>16632</v>
      </c>
      <c r="C2453" s="38" t="s">
        <v>457</v>
      </c>
      <c r="D2453" s="34">
        <v>198</v>
      </c>
      <c r="E2453" s="35">
        <v>44703</v>
      </c>
      <c r="F2453" s="34">
        <v>198</v>
      </c>
      <c r="G2453" s="36">
        <f>Tabla16[[#This Row],[Importe]]-Tabla16[[#This Row],[Pagado]]</f>
        <v>0</v>
      </c>
      <c r="H2453" s="38" t="s">
        <v>10</v>
      </c>
    </row>
    <row r="2454" spans="1:8" x14ac:dyDescent="0.25">
      <c r="A2454" s="31">
        <v>44702</v>
      </c>
      <c r="B2454" s="38" t="s">
        <v>16633</v>
      </c>
      <c r="C2454" s="38" t="s">
        <v>31</v>
      </c>
      <c r="D2454" s="34">
        <v>201.5</v>
      </c>
      <c r="E2454" s="35">
        <v>44702</v>
      </c>
      <c r="F2454" s="34">
        <v>201.5</v>
      </c>
      <c r="G2454" s="36">
        <f>Tabla16[[#This Row],[Importe]]-Tabla16[[#This Row],[Pagado]]</f>
        <v>0</v>
      </c>
      <c r="H2454" s="38" t="s">
        <v>10</v>
      </c>
    </row>
    <row r="2455" spans="1:8" x14ac:dyDescent="0.25">
      <c r="A2455" s="31">
        <v>44702</v>
      </c>
      <c r="B2455" s="38" t="s">
        <v>16634</v>
      </c>
      <c r="C2455" s="38" t="s">
        <v>12</v>
      </c>
      <c r="D2455" s="34">
        <v>500</v>
      </c>
      <c r="E2455" s="35">
        <v>44703</v>
      </c>
      <c r="F2455" s="34">
        <v>500</v>
      </c>
      <c r="G2455" s="36">
        <f>Tabla16[[#This Row],[Importe]]-Tabla16[[#This Row],[Pagado]]</f>
        <v>0</v>
      </c>
      <c r="H2455" s="38" t="s">
        <v>10</v>
      </c>
    </row>
    <row r="2456" spans="1:8" ht="47.25" x14ac:dyDescent="0.25">
      <c r="A2456" s="31">
        <v>44702</v>
      </c>
      <c r="B2456" s="38" t="s">
        <v>16635</v>
      </c>
      <c r="C2456" s="38" t="s">
        <v>14</v>
      </c>
      <c r="D2456" s="34">
        <v>4189.8999999999996</v>
      </c>
      <c r="E2456" s="35" t="s">
        <v>24625</v>
      </c>
      <c r="F2456" s="34">
        <f>2700+500+989.9</f>
        <v>4189.8999999999996</v>
      </c>
      <c r="G2456" s="36">
        <f>Tabla16[[#This Row],[Importe]]-Tabla16[[#This Row],[Pagado]]</f>
        <v>0</v>
      </c>
      <c r="H2456" s="38" t="s">
        <v>10</v>
      </c>
    </row>
    <row r="2457" spans="1:8" x14ac:dyDescent="0.25">
      <c r="A2457" s="31">
        <v>44702</v>
      </c>
      <c r="B2457" s="38" t="s">
        <v>16636</v>
      </c>
      <c r="C2457" s="38" t="s">
        <v>12</v>
      </c>
      <c r="D2457" s="34">
        <v>35246.6</v>
      </c>
      <c r="E2457" s="35">
        <v>44703</v>
      </c>
      <c r="F2457" s="34">
        <v>35246.6</v>
      </c>
      <c r="G2457" s="36">
        <f>Tabla16[[#This Row],[Importe]]-Tabla16[[#This Row],[Pagado]]</f>
        <v>0</v>
      </c>
      <c r="H2457" s="38" t="s">
        <v>10</v>
      </c>
    </row>
    <row r="2458" spans="1:8" x14ac:dyDescent="0.25">
      <c r="A2458" s="31">
        <v>44703</v>
      </c>
      <c r="B2458" s="38" t="s">
        <v>16637</v>
      </c>
      <c r="C2458" s="38" t="s">
        <v>9</v>
      </c>
      <c r="D2458" s="34">
        <v>6214.4</v>
      </c>
      <c r="E2458" s="35">
        <v>44703</v>
      </c>
      <c r="F2458" s="34">
        <v>6214.4</v>
      </c>
      <c r="G2458" s="36">
        <f>Tabla16[[#This Row],[Importe]]-Tabla16[[#This Row],[Pagado]]</f>
        <v>0</v>
      </c>
      <c r="H2458" s="38" t="s">
        <v>10</v>
      </c>
    </row>
    <row r="2459" spans="1:8" x14ac:dyDescent="0.25">
      <c r="A2459" s="31">
        <v>44703</v>
      </c>
      <c r="B2459" s="38" t="s">
        <v>16638</v>
      </c>
      <c r="C2459" s="38" t="s">
        <v>27</v>
      </c>
      <c r="D2459" s="34">
        <v>742.8</v>
      </c>
      <c r="E2459" s="35">
        <v>44703</v>
      </c>
      <c r="F2459" s="34">
        <v>742.8</v>
      </c>
      <c r="G2459" s="36">
        <f>Tabla16[[#This Row],[Importe]]-Tabla16[[#This Row],[Pagado]]</f>
        <v>0</v>
      </c>
      <c r="H2459" s="38" t="s">
        <v>10</v>
      </c>
    </row>
    <row r="2460" spans="1:8" x14ac:dyDescent="0.25">
      <c r="A2460" s="31">
        <v>44703</v>
      </c>
      <c r="B2460" s="38" t="s">
        <v>16639</v>
      </c>
      <c r="C2460" s="38" t="s">
        <v>16640</v>
      </c>
      <c r="D2460" s="34">
        <v>0</v>
      </c>
      <c r="E2460" s="39" t="s">
        <v>189</v>
      </c>
      <c r="F2460" s="34">
        <v>0</v>
      </c>
      <c r="G2460" s="36">
        <f>Tabla16[[#This Row],[Importe]]-Tabla16[[#This Row],[Pagado]]</f>
        <v>0</v>
      </c>
      <c r="H2460" s="40" t="s">
        <v>16641</v>
      </c>
    </row>
    <row r="2461" spans="1:8" x14ac:dyDescent="0.25">
      <c r="A2461" s="31">
        <v>44703</v>
      </c>
      <c r="B2461" s="38" t="s">
        <v>16642</v>
      </c>
      <c r="C2461" s="38" t="s">
        <v>224</v>
      </c>
      <c r="D2461" s="34">
        <v>3555.2</v>
      </c>
      <c r="E2461" s="35">
        <v>44703</v>
      </c>
      <c r="F2461" s="34">
        <v>3555.2</v>
      </c>
      <c r="G2461" s="36">
        <f>Tabla16[[#This Row],[Importe]]-Tabla16[[#This Row],[Pagado]]</f>
        <v>0</v>
      </c>
      <c r="H2461" s="38" t="s">
        <v>10</v>
      </c>
    </row>
    <row r="2462" spans="1:8" x14ac:dyDescent="0.25">
      <c r="A2462" s="31">
        <v>44703</v>
      </c>
      <c r="B2462" s="38" t="s">
        <v>16643</v>
      </c>
      <c r="C2462" s="38" t="s">
        <v>16</v>
      </c>
      <c r="D2462" s="34">
        <v>9704.4</v>
      </c>
      <c r="E2462" s="35">
        <v>44703</v>
      </c>
      <c r="F2462" s="34">
        <v>9704.4</v>
      </c>
      <c r="G2462" s="36">
        <f>Tabla16[[#This Row],[Importe]]-Tabla16[[#This Row],[Pagado]]</f>
        <v>0</v>
      </c>
      <c r="H2462" s="38" t="s">
        <v>10</v>
      </c>
    </row>
    <row r="2463" spans="1:8" x14ac:dyDescent="0.25">
      <c r="A2463" s="31">
        <v>44703</v>
      </c>
      <c r="B2463" s="38" t="s">
        <v>16644</v>
      </c>
      <c r="C2463" s="38" t="s">
        <v>29</v>
      </c>
      <c r="D2463" s="34">
        <v>10104</v>
      </c>
      <c r="E2463" s="35">
        <v>44703</v>
      </c>
      <c r="F2463" s="34">
        <v>10104</v>
      </c>
      <c r="G2463" s="36">
        <f>Tabla16[[#This Row],[Importe]]-Tabla16[[#This Row],[Pagado]]</f>
        <v>0</v>
      </c>
      <c r="H2463" s="38" t="s">
        <v>10</v>
      </c>
    </row>
    <row r="2464" spans="1:8" x14ac:dyDescent="0.25">
      <c r="A2464" s="31">
        <v>44703</v>
      </c>
      <c r="B2464" s="38" t="s">
        <v>16645</v>
      </c>
      <c r="C2464" s="38" t="s">
        <v>51</v>
      </c>
      <c r="D2464" s="34">
        <v>1988.6</v>
      </c>
      <c r="E2464" s="35">
        <v>44703</v>
      </c>
      <c r="F2464" s="34">
        <v>1988.6</v>
      </c>
      <c r="G2464" s="36">
        <f>Tabla16[[#This Row],[Importe]]-Tabla16[[#This Row],[Pagado]]</f>
        <v>0</v>
      </c>
      <c r="H2464" s="38" t="s">
        <v>10</v>
      </c>
    </row>
    <row r="2465" spans="1:8" x14ac:dyDescent="0.25">
      <c r="A2465" s="31">
        <v>44703</v>
      </c>
      <c r="B2465" s="38" t="s">
        <v>16646</v>
      </c>
      <c r="C2465" s="38" t="s">
        <v>2780</v>
      </c>
      <c r="D2465" s="34">
        <v>1313</v>
      </c>
      <c r="E2465" s="35">
        <v>44703</v>
      </c>
      <c r="F2465" s="34">
        <v>1313</v>
      </c>
      <c r="G2465" s="36">
        <f>Tabla16[[#This Row],[Importe]]-Tabla16[[#This Row],[Pagado]]</f>
        <v>0</v>
      </c>
      <c r="H2465" s="38" t="s">
        <v>10</v>
      </c>
    </row>
    <row r="2466" spans="1:8" x14ac:dyDescent="0.25">
      <c r="A2466" s="31">
        <v>44703</v>
      </c>
      <c r="B2466" s="38" t="s">
        <v>16647</v>
      </c>
      <c r="C2466" s="38" t="s">
        <v>2780</v>
      </c>
      <c r="D2466" s="34">
        <v>15710.8</v>
      </c>
      <c r="E2466" s="35">
        <v>44703</v>
      </c>
      <c r="F2466" s="34">
        <v>15710.8</v>
      </c>
      <c r="G2466" s="36">
        <f>Tabla16[[#This Row],[Importe]]-Tabla16[[#This Row],[Pagado]]</f>
        <v>0</v>
      </c>
      <c r="H2466" s="38" t="s">
        <v>10</v>
      </c>
    </row>
    <row r="2467" spans="1:8" x14ac:dyDescent="0.25">
      <c r="A2467" s="31">
        <v>44703</v>
      </c>
      <c r="B2467" s="38" t="s">
        <v>16648</v>
      </c>
      <c r="C2467" s="38" t="s">
        <v>22</v>
      </c>
      <c r="D2467" s="34">
        <v>45215.9</v>
      </c>
      <c r="E2467" s="35">
        <v>44704</v>
      </c>
      <c r="F2467" s="34">
        <v>45215.9</v>
      </c>
      <c r="G2467" s="36">
        <f>Tabla16[[#This Row],[Importe]]-Tabla16[[#This Row],[Pagado]]</f>
        <v>0</v>
      </c>
      <c r="H2467" s="38" t="s">
        <v>10</v>
      </c>
    </row>
    <row r="2468" spans="1:8" x14ac:dyDescent="0.25">
      <c r="A2468" s="31">
        <v>44703</v>
      </c>
      <c r="B2468" s="38" t="s">
        <v>16649</v>
      </c>
      <c r="C2468" s="38" t="s">
        <v>382</v>
      </c>
      <c r="D2468" s="34">
        <v>672</v>
      </c>
      <c r="E2468" s="35">
        <v>44703</v>
      </c>
      <c r="F2468" s="34">
        <v>672</v>
      </c>
      <c r="G2468" s="36">
        <f>Tabla16[[#This Row],[Importe]]-Tabla16[[#This Row],[Pagado]]</f>
        <v>0</v>
      </c>
      <c r="H2468" s="38" t="s">
        <v>10</v>
      </c>
    </row>
    <row r="2469" spans="1:8" x14ac:dyDescent="0.25">
      <c r="A2469" s="31">
        <v>44703</v>
      </c>
      <c r="B2469" s="38" t="s">
        <v>16650</v>
      </c>
      <c r="C2469" s="38" t="s">
        <v>15039</v>
      </c>
      <c r="D2469" s="34">
        <v>4044.6</v>
      </c>
      <c r="E2469" s="35">
        <v>44703</v>
      </c>
      <c r="F2469" s="34">
        <v>4044.6</v>
      </c>
      <c r="G2469" s="36">
        <f>Tabla16[[#This Row],[Importe]]-Tabla16[[#This Row],[Pagado]]</f>
        <v>0</v>
      </c>
      <c r="H2469" s="38" t="s">
        <v>10</v>
      </c>
    </row>
    <row r="2470" spans="1:8" x14ac:dyDescent="0.25">
      <c r="A2470" s="31">
        <v>44703</v>
      </c>
      <c r="B2470" s="38" t="s">
        <v>16651</v>
      </c>
      <c r="C2470" s="38" t="s">
        <v>4136</v>
      </c>
      <c r="D2470" s="34">
        <v>2955.9</v>
      </c>
      <c r="E2470" s="35">
        <v>44703</v>
      </c>
      <c r="F2470" s="34">
        <v>2955.9</v>
      </c>
      <c r="G2470" s="36">
        <f>Tabla16[[#This Row],[Importe]]-Tabla16[[#This Row],[Pagado]]</f>
        <v>0</v>
      </c>
      <c r="H2470" s="38" t="s">
        <v>10</v>
      </c>
    </row>
    <row r="2471" spans="1:8" x14ac:dyDescent="0.25">
      <c r="A2471" s="31">
        <v>44703</v>
      </c>
      <c r="B2471" s="38" t="s">
        <v>16652</v>
      </c>
      <c r="C2471" s="38" t="s">
        <v>37</v>
      </c>
      <c r="D2471" s="34">
        <v>3564</v>
      </c>
      <c r="E2471" s="35">
        <v>44703</v>
      </c>
      <c r="F2471" s="34">
        <v>3564</v>
      </c>
      <c r="G2471" s="36">
        <f>Tabla16[[#This Row],[Importe]]-Tabla16[[#This Row],[Pagado]]</f>
        <v>0</v>
      </c>
      <c r="H2471" s="38" t="s">
        <v>10</v>
      </c>
    </row>
    <row r="2472" spans="1:8" x14ac:dyDescent="0.25">
      <c r="A2472" s="31">
        <v>44703</v>
      </c>
      <c r="B2472" s="38" t="s">
        <v>16653</v>
      </c>
      <c r="C2472" s="38" t="s">
        <v>31</v>
      </c>
      <c r="D2472" s="34">
        <v>1530</v>
      </c>
      <c r="E2472" s="35">
        <v>44703</v>
      </c>
      <c r="F2472" s="34">
        <v>1530</v>
      </c>
      <c r="G2472" s="36">
        <f>Tabla16[[#This Row],[Importe]]-Tabla16[[#This Row],[Pagado]]</f>
        <v>0</v>
      </c>
      <c r="H2472" s="38" t="s">
        <v>10</v>
      </c>
    </row>
    <row r="2473" spans="1:8" x14ac:dyDescent="0.25">
      <c r="A2473" s="31">
        <v>44703</v>
      </c>
      <c r="B2473" s="38" t="s">
        <v>16654</v>
      </c>
      <c r="C2473" s="38" t="s">
        <v>481</v>
      </c>
      <c r="D2473" s="34">
        <v>1637.9</v>
      </c>
      <c r="E2473" s="35">
        <v>44703</v>
      </c>
      <c r="F2473" s="34">
        <v>1637.9</v>
      </c>
      <c r="G2473" s="36">
        <f>Tabla16[[#This Row],[Importe]]-Tabla16[[#This Row],[Pagado]]</f>
        <v>0</v>
      </c>
      <c r="H2473" s="38" t="s">
        <v>10</v>
      </c>
    </row>
    <row r="2474" spans="1:8" x14ac:dyDescent="0.25">
      <c r="A2474" s="31">
        <v>44703</v>
      </c>
      <c r="B2474" s="38" t="s">
        <v>16655</v>
      </c>
      <c r="C2474" s="38" t="s">
        <v>20</v>
      </c>
      <c r="D2474" s="34">
        <v>10789.6</v>
      </c>
      <c r="E2474" s="35">
        <v>44703</v>
      </c>
      <c r="F2474" s="34">
        <v>10789.6</v>
      </c>
      <c r="G2474" s="36">
        <f>Tabla16[[#This Row],[Importe]]-Tabla16[[#This Row],[Pagado]]</f>
        <v>0</v>
      </c>
      <c r="H2474" s="38" t="s">
        <v>10</v>
      </c>
    </row>
    <row r="2475" spans="1:8" x14ac:dyDescent="0.25">
      <c r="A2475" s="31">
        <v>44703</v>
      </c>
      <c r="B2475" s="38" t="s">
        <v>16656</v>
      </c>
      <c r="C2475" s="38" t="s">
        <v>49</v>
      </c>
      <c r="D2475" s="34">
        <v>3885.6</v>
      </c>
      <c r="E2475" s="35">
        <v>44703</v>
      </c>
      <c r="F2475" s="34">
        <v>3885.6</v>
      </c>
      <c r="G2475" s="36">
        <f>Tabla16[[#This Row],[Importe]]-Tabla16[[#This Row],[Pagado]]</f>
        <v>0</v>
      </c>
      <c r="H2475" s="38" t="s">
        <v>10</v>
      </c>
    </row>
    <row r="2476" spans="1:8" x14ac:dyDescent="0.25">
      <c r="A2476" s="31">
        <v>44703</v>
      </c>
      <c r="B2476" s="38" t="s">
        <v>16657</v>
      </c>
      <c r="C2476" s="38" t="s">
        <v>815</v>
      </c>
      <c r="D2476" s="34">
        <v>6030.3</v>
      </c>
      <c r="E2476" s="35">
        <v>44703</v>
      </c>
      <c r="F2476" s="34">
        <v>6030.3</v>
      </c>
      <c r="G2476" s="36">
        <f>Tabla16[[#This Row],[Importe]]-Tabla16[[#This Row],[Pagado]]</f>
        <v>0</v>
      </c>
      <c r="H2476" s="38" t="s">
        <v>10</v>
      </c>
    </row>
    <row r="2477" spans="1:8" x14ac:dyDescent="0.25">
      <c r="A2477" s="31">
        <v>44703</v>
      </c>
      <c r="B2477" s="38" t="s">
        <v>16658</v>
      </c>
      <c r="C2477" s="38" t="s">
        <v>56</v>
      </c>
      <c r="D2477" s="34">
        <v>6969.6</v>
      </c>
      <c r="E2477" s="35">
        <v>44703</v>
      </c>
      <c r="F2477" s="34">
        <v>6969.6</v>
      </c>
      <c r="G2477" s="36">
        <f>Tabla16[[#This Row],[Importe]]-Tabla16[[#This Row],[Pagado]]</f>
        <v>0</v>
      </c>
      <c r="H2477" s="38" t="s">
        <v>10</v>
      </c>
    </row>
    <row r="2478" spans="1:8" x14ac:dyDescent="0.25">
      <c r="A2478" s="31">
        <v>44703</v>
      </c>
      <c r="B2478" s="38" t="s">
        <v>16659</v>
      </c>
      <c r="C2478" s="38" t="s">
        <v>216</v>
      </c>
      <c r="D2478" s="34">
        <v>2508</v>
      </c>
      <c r="E2478" s="35">
        <v>44703</v>
      </c>
      <c r="F2478" s="34">
        <v>2508</v>
      </c>
      <c r="G2478" s="36">
        <f>Tabla16[[#This Row],[Importe]]-Tabla16[[#This Row],[Pagado]]</f>
        <v>0</v>
      </c>
      <c r="H2478" s="38" t="s">
        <v>10</v>
      </c>
    </row>
    <row r="2479" spans="1:8" x14ac:dyDescent="0.25">
      <c r="A2479" s="31">
        <v>44703</v>
      </c>
      <c r="B2479" s="38" t="s">
        <v>16660</v>
      </c>
      <c r="C2479" s="38" t="s">
        <v>56</v>
      </c>
      <c r="D2479" s="34">
        <v>26</v>
      </c>
      <c r="E2479" s="35">
        <v>44703</v>
      </c>
      <c r="F2479" s="34">
        <v>26</v>
      </c>
      <c r="G2479" s="36">
        <f>Tabla16[[#This Row],[Importe]]-Tabla16[[#This Row],[Pagado]]</f>
        <v>0</v>
      </c>
      <c r="H2479" s="38" t="s">
        <v>10</v>
      </c>
    </row>
    <row r="2480" spans="1:8" x14ac:dyDescent="0.25">
      <c r="A2480" s="31">
        <v>44703</v>
      </c>
      <c r="B2480" s="38" t="s">
        <v>16661</v>
      </c>
      <c r="C2480" s="38" t="s">
        <v>373</v>
      </c>
      <c r="D2480" s="34">
        <v>1751.4</v>
      </c>
      <c r="E2480" s="35">
        <v>44703</v>
      </c>
      <c r="F2480" s="34">
        <v>1751.4</v>
      </c>
      <c r="G2480" s="36">
        <f>Tabla16[[#This Row],[Importe]]-Tabla16[[#This Row],[Pagado]]</f>
        <v>0</v>
      </c>
      <c r="H2480" s="38" t="s">
        <v>10</v>
      </c>
    </row>
    <row r="2481" spans="1:8" x14ac:dyDescent="0.25">
      <c r="A2481" s="31">
        <v>44703</v>
      </c>
      <c r="B2481" s="38" t="s">
        <v>16662</v>
      </c>
      <c r="C2481" s="38" t="s">
        <v>191</v>
      </c>
      <c r="D2481" s="34">
        <v>2122.8000000000002</v>
      </c>
      <c r="E2481" s="35">
        <v>44703</v>
      </c>
      <c r="F2481" s="34">
        <v>2122.8000000000002</v>
      </c>
      <c r="G2481" s="36">
        <f>Tabla16[[#This Row],[Importe]]-Tabla16[[#This Row],[Pagado]]</f>
        <v>0</v>
      </c>
      <c r="H2481" s="38" t="s">
        <v>10</v>
      </c>
    </row>
    <row r="2482" spans="1:8" x14ac:dyDescent="0.25">
      <c r="A2482" s="31">
        <v>44703</v>
      </c>
      <c r="B2482" s="38" t="s">
        <v>16663</v>
      </c>
      <c r="C2482" s="38" t="s">
        <v>45</v>
      </c>
      <c r="D2482" s="34">
        <v>6630.2</v>
      </c>
      <c r="E2482" s="35">
        <v>44703</v>
      </c>
      <c r="F2482" s="34">
        <v>6630.2</v>
      </c>
      <c r="G2482" s="36">
        <f>Tabla16[[#This Row],[Importe]]-Tabla16[[#This Row],[Pagado]]</f>
        <v>0</v>
      </c>
      <c r="H2482" s="38" t="s">
        <v>10</v>
      </c>
    </row>
    <row r="2483" spans="1:8" x14ac:dyDescent="0.25">
      <c r="A2483" s="31">
        <v>44703</v>
      </c>
      <c r="B2483" s="38" t="s">
        <v>16664</v>
      </c>
      <c r="C2483" s="38" t="s">
        <v>31</v>
      </c>
      <c r="D2483" s="34">
        <v>1089</v>
      </c>
      <c r="E2483" s="35">
        <v>44703</v>
      </c>
      <c r="F2483" s="34">
        <v>1089</v>
      </c>
      <c r="G2483" s="36">
        <f>Tabla16[[#This Row],[Importe]]-Tabla16[[#This Row],[Pagado]]</f>
        <v>0</v>
      </c>
      <c r="H2483" s="38" t="s">
        <v>10</v>
      </c>
    </row>
    <row r="2484" spans="1:8" x14ac:dyDescent="0.25">
      <c r="A2484" s="31">
        <v>44703</v>
      </c>
      <c r="B2484" s="38" t="s">
        <v>16665</v>
      </c>
      <c r="C2484" s="38" t="s">
        <v>31</v>
      </c>
      <c r="D2484" s="34">
        <v>799.5</v>
      </c>
      <c r="E2484" s="35">
        <v>44703</v>
      </c>
      <c r="F2484" s="34">
        <v>799.5</v>
      </c>
      <c r="G2484" s="36">
        <f>Tabla16[[#This Row],[Importe]]-Tabla16[[#This Row],[Pagado]]</f>
        <v>0</v>
      </c>
      <c r="H2484" s="38" t="s">
        <v>10</v>
      </c>
    </row>
    <row r="2485" spans="1:8" x14ac:dyDescent="0.25">
      <c r="A2485" s="31">
        <v>44703</v>
      </c>
      <c r="B2485" s="38" t="s">
        <v>16666</v>
      </c>
      <c r="C2485" s="38" t="s">
        <v>296</v>
      </c>
      <c r="D2485" s="34">
        <v>3889.1</v>
      </c>
      <c r="E2485" s="35">
        <v>44703</v>
      </c>
      <c r="F2485" s="34">
        <v>3889.1</v>
      </c>
      <c r="G2485" s="36">
        <f>Tabla16[[#This Row],[Importe]]-Tabla16[[#This Row],[Pagado]]</f>
        <v>0</v>
      </c>
      <c r="H2485" s="38" t="s">
        <v>10</v>
      </c>
    </row>
    <row r="2486" spans="1:8" x14ac:dyDescent="0.25">
      <c r="A2486" s="31">
        <v>44703</v>
      </c>
      <c r="B2486" s="38" t="s">
        <v>16667</v>
      </c>
      <c r="C2486" s="38" t="s">
        <v>24</v>
      </c>
      <c r="D2486" s="34">
        <v>1993.3</v>
      </c>
      <c r="E2486" s="35">
        <v>44703</v>
      </c>
      <c r="F2486" s="34">
        <v>1993.3</v>
      </c>
      <c r="G2486" s="36">
        <f>Tabla16[[#This Row],[Importe]]-Tabla16[[#This Row],[Pagado]]</f>
        <v>0</v>
      </c>
      <c r="H2486" s="38" t="s">
        <v>10</v>
      </c>
    </row>
    <row r="2487" spans="1:8" x14ac:dyDescent="0.25">
      <c r="A2487" s="31">
        <v>44703</v>
      </c>
      <c r="B2487" s="38" t="s">
        <v>16668</v>
      </c>
      <c r="C2487" s="38" t="s">
        <v>214</v>
      </c>
      <c r="D2487" s="34">
        <v>1415.2</v>
      </c>
      <c r="E2487" s="35">
        <v>44703</v>
      </c>
      <c r="F2487" s="34">
        <v>1415.2</v>
      </c>
      <c r="G2487" s="36">
        <f>Tabla16[[#This Row],[Importe]]-Tabla16[[#This Row],[Pagado]]</f>
        <v>0</v>
      </c>
      <c r="H2487" s="38" t="s">
        <v>10</v>
      </c>
    </row>
    <row r="2488" spans="1:8" ht="31.5" x14ac:dyDescent="0.25">
      <c r="A2488" s="31">
        <v>44703</v>
      </c>
      <c r="B2488" s="38" t="s">
        <v>16669</v>
      </c>
      <c r="C2488" s="38" t="s">
        <v>475</v>
      </c>
      <c r="D2488" s="34">
        <v>75407.399999999994</v>
      </c>
      <c r="E2488" s="35" t="s">
        <v>16670</v>
      </c>
      <c r="F2488" s="34">
        <f>52700+22707.4</f>
        <v>75407.399999999994</v>
      </c>
      <c r="G2488" s="36">
        <f>Tabla16[[#This Row],[Importe]]-Tabla16[[#This Row],[Pagado]]</f>
        <v>0</v>
      </c>
      <c r="H2488" s="38" t="s">
        <v>10</v>
      </c>
    </row>
    <row r="2489" spans="1:8" x14ac:dyDescent="0.25">
      <c r="A2489" s="31">
        <v>44703</v>
      </c>
      <c r="B2489" s="38" t="s">
        <v>16671</v>
      </c>
      <c r="C2489" s="38" t="s">
        <v>64</v>
      </c>
      <c r="D2489" s="34">
        <v>6868.8</v>
      </c>
      <c r="E2489" s="35">
        <v>44703</v>
      </c>
      <c r="F2489" s="34">
        <v>6868.8</v>
      </c>
      <c r="G2489" s="36">
        <f>Tabla16[[#This Row],[Importe]]-Tabla16[[#This Row],[Pagado]]</f>
        <v>0</v>
      </c>
      <c r="H2489" s="38" t="s">
        <v>10</v>
      </c>
    </row>
    <row r="2490" spans="1:8" x14ac:dyDescent="0.25">
      <c r="A2490" s="31">
        <v>44703</v>
      </c>
      <c r="B2490" s="38" t="s">
        <v>16672</v>
      </c>
      <c r="C2490" s="38" t="s">
        <v>670</v>
      </c>
      <c r="D2490" s="34">
        <v>3881.2</v>
      </c>
      <c r="E2490" s="35">
        <v>44703</v>
      </c>
      <c r="F2490" s="34">
        <v>3881.2</v>
      </c>
      <c r="G2490" s="36">
        <f>Tabla16[[#This Row],[Importe]]-Tabla16[[#This Row],[Pagado]]</f>
        <v>0</v>
      </c>
      <c r="H2490" s="38" t="s">
        <v>10</v>
      </c>
    </row>
    <row r="2491" spans="1:8" x14ac:dyDescent="0.25">
      <c r="A2491" s="31">
        <v>44703</v>
      </c>
      <c r="B2491" s="38" t="s">
        <v>16673</v>
      </c>
      <c r="C2491" s="38" t="s">
        <v>67</v>
      </c>
      <c r="D2491" s="34">
        <v>3468</v>
      </c>
      <c r="E2491" s="35">
        <v>44703</v>
      </c>
      <c r="F2491" s="34">
        <v>3468</v>
      </c>
      <c r="G2491" s="36">
        <f>Tabla16[[#This Row],[Importe]]-Tabla16[[#This Row],[Pagado]]</f>
        <v>0</v>
      </c>
      <c r="H2491" s="38" t="s">
        <v>10</v>
      </c>
    </row>
    <row r="2492" spans="1:8" x14ac:dyDescent="0.25">
      <c r="A2492" s="31">
        <v>44703</v>
      </c>
      <c r="B2492" s="38" t="s">
        <v>16674</v>
      </c>
      <c r="C2492" s="38" t="s">
        <v>9827</v>
      </c>
      <c r="D2492" s="34">
        <v>1212</v>
      </c>
      <c r="E2492" s="35">
        <v>44703</v>
      </c>
      <c r="F2492" s="34">
        <v>1212</v>
      </c>
      <c r="G2492" s="36">
        <f>Tabla16[[#This Row],[Importe]]-Tabla16[[#This Row],[Pagado]]</f>
        <v>0</v>
      </c>
      <c r="H2492" s="38" t="s">
        <v>10</v>
      </c>
    </row>
    <row r="2493" spans="1:8" x14ac:dyDescent="0.25">
      <c r="A2493" s="31">
        <v>44703</v>
      </c>
      <c r="B2493" s="38" t="s">
        <v>16675</v>
      </c>
      <c r="C2493" s="38" t="s">
        <v>71</v>
      </c>
      <c r="D2493" s="34">
        <v>1690</v>
      </c>
      <c r="E2493" s="35">
        <v>44703</v>
      </c>
      <c r="F2493" s="34">
        <v>1690</v>
      </c>
      <c r="G2493" s="36">
        <f>Tabla16[[#This Row],[Importe]]-Tabla16[[#This Row],[Pagado]]</f>
        <v>0</v>
      </c>
      <c r="H2493" s="38" t="s">
        <v>10</v>
      </c>
    </row>
    <row r="2494" spans="1:8" x14ac:dyDescent="0.25">
      <c r="A2494" s="31">
        <v>44703</v>
      </c>
      <c r="B2494" s="38" t="s">
        <v>16676</v>
      </c>
      <c r="C2494" s="38" t="s">
        <v>58</v>
      </c>
      <c r="D2494" s="34">
        <v>3745.9</v>
      </c>
      <c r="E2494" s="35">
        <v>44703</v>
      </c>
      <c r="F2494" s="34">
        <v>3745.9</v>
      </c>
      <c r="G2494" s="36">
        <f>Tabla16[[#This Row],[Importe]]-Tabla16[[#This Row],[Pagado]]</f>
        <v>0</v>
      </c>
      <c r="H2494" s="38" t="s">
        <v>10</v>
      </c>
    </row>
    <row r="2495" spans="1:8" x14ac:dyDescent="0.25">
      <c r="A2495" s="31">
        <v>44703</v>
      </c>
      <c r="B2495" s="38" t="s">
        <v>16677</v>
      </c>
      <c r="C2495" s="38" t="s">
        <v>58</v>
      </c>
      <c r="D2495" s="34">
        <v>639.20000000000005</v>
      </c>
      <c r="E2495" s="35">
        <v>44703</v>
      </c>
      <c r="F2495" s="34">
        <v>639.20000000000005</v>
      </c>
      <c r="G2495" s="36">
        <f>Tabla16[[#This Row],[Importe]]-Tabla16[[#This Row],[Pagado]]</f>
        <v>0</v>
      </c>
      <c r="H2495" s="38" t="s">
        <v>10</v>
      </c>
    </row>
    <row r="2496" spans="1:8" x14ac:dyDescent="0.25">
      <c r="A2496" s="31">
        <v>44703</v>
      </c>
      <c r="B2496" s="38" t="s">
        <v>16678</v>
      </c>
      <c r="C2496" s="38" t="s">
        <v>69</v>
      </c>
      <c r="D2496" s="34">
        <v>2532</v>
      </c>
      <c r="E2496" s="35">
        <v>44703</v>
      </c>
      <c r="F2496" s="34">
        <v>2532</v>
      </c>
      <c r="G2496" s="36">
        <f>Tabla16[[#This Row],[Importe]]-Tabla16[[#This Row],[Pagado]]</f>
        <v>0</v>
      </c>
      <c r="H2496" s="38" t="s">
        <v>10</v>
      </c>
    </row>
    <row r="2497" spans="1:8" x14ac:dyDescent="0.25">
      <c r="A2497" s="31">
        <v>44703</v>
      </c>
      <c r="B2497" s="38" t="s">
        <v>16679</v>
      </c>
      <c r="C2497" s="38" t="s">
        <v>7745</v>
      </c>
      <c r="D2497" s="34">
        <v>31277.4</v>
      </c>
      <c r="E2497" s="35">
        <v>44703</v>
      </c>
      <c r="F2497" s="34">
        <v>31277.4</v>
      </c>
      <c r="G2497" s="36">
        <f>Tabla16[[#This Row],[Importe]]-Tabla16[[#This Row],[Pagado]]</f>
        <v>0</v>
      </c>
      <c r="H2497" s="38" t="s">
        <v>10</v>
      </c>
    </row>
    <row r="2498" spans="1:8" x14ac:dyDescent="0.25">
      <c r="A2498" s="31">
        <v>44703</v>
      </c>
      <c r="B2498" s="38" t="s">
        <v>16680</v>
      </c>
      <c r="C2498" s="38" t="s">
        <v>296</v>
      </c>
      <c r="D2498" s="34">
        <v>1844.8</v>
      </c>
      <c r="E2498" s="35">
        <v>44703</v>
      </c>
      <c r="F2498" s="34">
        <v>1844.8</v>
      </c>
      <c r="G2498" s="36">
        <f>Tabla16[[#This Row],[Importe]]-Tabla16[[#This Row],[Pagado]]</f>
        <v>0</v>
      </c>
      <c r="H2498" s="38" t="s">
        <v>10</v>
      </c>
    </row>
    <row r="2499" spans="1:8" x14ac:dyDescent="0.25">
      <c r="A2499" s="31">
        <v>44703</v>
      </c>
      <c r="B2499" s="38" t="s">
        <v>16681</v>
      </c>
      <c r="C2499" s="38" t="s">
        <v>67</v>
      </c>
      <c r="D2499" s="34">
        <v>1320</v>
      </c>
      <c r="E2499" s="35">
        <v>44703</v>
      </c>
      <c r="F2499" s="34">
        <v>1320</v>
      </c>
      <c r="G2499" s="36">
        <f>Tabla16[[#This Row],[Importe]]-Tabla16[[#This Row],[Pagado]]</f>
        <v>0</v>
      </c>
      <c r="H2499" s="38" t="s">
        <v>10</v>
      </c>
    </row>
    <row r="2500" spans="1:8" x14ac:dyDescent="0.25">
      <c r="A2500" s="31">
        <v>44703</v>
      </c>
      <c r="B2500" s="38" t="s">
        <v>16682</v>
      </c>
      <c r="C2500" s="38" t="s">
        <v>289</v>
      </c>
      <c r="D2500" s="34">
        <v>8798.9</v>
      </c>
      <c r="E2500" s="35">
        <v>44704</v>
      </c>
      <c r="F2500" s="34">
        <v>8798.9</v>
      </c>
      <c r="G2500" s="36">
        <f>Tabla16[[#This Row],[Importe]]-Tabla16[[#This Row],[Pagado]]</f>
        <v>0</v>
      </c>
      <c r="H2500" s="38" t="s">
        <v>10</v>
      </c>
    </row>
    <row r="2501" spans="1:8" ht="31.5" x14ac:dyDescent="0.25">
      <c r="A2501" s="31">
        <v>44704</v>
      </c>
      <c r="B2501" s="38" t="s">
        <v>16683</v>
      </c>
      <c r="C2501" s="38" t="s">
        <v>475</v>
      </c>
      <c r="D2501" s="34">
        <v>94229.4</v>
      </c>
      <c r="E2501" s="35" t="s">
        <v>16684</v>
      </c>
      <c r="F2501" s="34">
        <f>93000+1229.4</f>
        <v>94229.4</v>
      </c>
      <c r="G2501" s="36">
        <f>Tabla16[[#This Row],[Importe]]-Tabla16[[#This Row],[Pagado]]</f>
        <v>0</v>
      </c>
      <c r="H2501" s="38" t="s">
        <v>10</v>
      </c>
    </row>
    <row r="2502" spans="1:8" x14ac:dyDescent="0.25">
      <c r="A2502" s="31">
        <v>44704</v>
      </c>
      <c r="B2502" s="38" t="s">
        <v>16685</v>
      </c>
      <c r="C2502" s="38" t="s">
        <v>12</v>
      </c>
      <c r="D2502" s="34">
        <v>30522.15</v>
      </c>
      <c r="E2502" s="35">
        <v>44704</v>
      </c>
      <c r="F2502" s="34">
        <v>30522.15</v>
      </c>
      <c r="G2502" s="36">
        <f>Tabla16[[#This Row],[Importe]]-Tabla16[[#This Row],[Pagado]]</f>
        <v>0</v>
      </c>
      <c r="H2502" s="38" t="s">
        <v>10</v>
      </c>
    </row>
    <row r="2503" spans="1:8" x14ac:dyDescent="0.25">
      <c r="A2503" s="31">
        <v>44704</v>
      </c>
      <c r="B2503" s="38" t="s">
        <v>16686</v>
      </c>
      <c r="C2503" s="38" t="s">
        <v>9415</v>
      </c>
      <c r="D2503" s="34">
        <v>13200.4</v>
      </c>
      <c r="E2503" s="35">
        <v>44706</v>
      </c>
      <c r="F2503" s="34">
        <v>13200.4</v>
      </c>
      <c r="G2503" s="36">
        <f>Tabla16[[#This Row],[Importe]]-Tabla16[[#This Row],[Pagado]]</f>
        <v>0</v>
      </c>
      <c r="H2503" s="38" t="s">
        <v>10</v>
      </c>
    </row>
    <row r="2504" spans="1:8" x14ac:dyDescent="0.25">
      <c r="A2504" s="31">
        <v>44704</v>
      </c>
      <c r="B2504" s="38" t="s">
        <v>16687</v>
      </c>
      <c r="C2504" s="38" t="s">
        <v>99</v>
      </c>
      <c r="D2504" s="34">
        <v>4243.2</v>
      </c>
      <c r="E2504" s="35">
        <v>44705</v>
      </c>
      <c r="F2504" s="34">
        <v>4243.2</v>
      </c>
      <c r="G2504" s="36">
        <f>Tabla16[[#This Row],[Importe]]-Tabla16[[#This Row],[Pagado]]</f>
        <v>0</v>
      </c>
      <c r="H2504" s="38" t="s">
        <v>10</v>
      </c>
    </row>
    <row r="2505" spans="1:8" x14ac:dyDescent="0.25">
      <c r="A2505" s="31">
        <v>44704</v>
      </c>
      <c r="B2505" s="38" t="s">
        <v>16688</v>
      </c>
      <c r="C2505" s="38" t="s">
        <v>89</v>
      </c>
      <c r="D2505" s="34">
        <v>7496.5</v>
      </c>
      <c r="E2505" s="35">
        <v>44705</v>
      </c>
      <c r="F2505" s="34">
        <v>7496.5</v>
      </c>
      <c r="G2505" s="36">
        <f>Tabla16[[#This Row],[Importe]]-Tabla16[[#This Row],[Pagado]]</f>
        <v>0</v>
      </c>
      <c r="H2505" s="38" t="s">
        <v>10</v>
      </c>
    </row>
    <row r="2506" spans="1:8" x14ac:dyDescent="0.25">
      <c r="A2506" s="31">
        <v>44704</v>
      </c>
      <c r="B2506" s="38" t="s">
        <v>16689</v>
      </c>
      <c r="C2506" s="38" t="s">
        <v>109</v>
      </c>
      <c r="D2506" s="34">
        <v>4799.6000000000004</v>
      </c>
      <c r="E2506" s="35">
        <v>44705</v>
      </c>
      <c r="F2506" s="34">
        <v>4799.6000000000004</v>
      </c>
      <c r="G2506" s="36">
        <f>Tabla16[[#This Row],[Importe]]-Tabla16[[#This Row],[Pagado]]</f>
        <v>0</v>
      </c>
      <c r="H2506" s="38" t="s">
        <v>10</v>
      </c>
    </row>
    <row r="2507" spans="1:8" x14ac:dyDescent="0.25">
      <c r="A2507" s="31">
        <v>44704</v>
      </c>
      <c r="B2507" s="38" t="s">
        <v>16690</v>
      </c>
      <c r="C2507" s="38" t="s">
        <v>13946</v>
      </c>
      <c r="D2507" s="34">
        <v>4420</v>
      </c>
      <c r="E2507" s="35">
        <v>44705</v>
      </c>
      <c r="F2507" s="34">
        <v>4420</v>
      </c>
      <c r="G2507" s="36">
        <f>Tabla16[[#This Row],[Importe]]-Tabla16[[#This Row],[Pagado]]</f>
        <v>0</v>
      </c>
      <c r="H2507" s="38" t="s">
        <v>10</v>
      </c>
    </row>
    <row r="2508" spans="1:8" x14ac:dyDescent="0.25">
      <c r="A2508" s="31">
        <v>44704</v>
      </c>
      <c r="B2508" s="38" t="s">
        <v>16691</v>
      </c>
      <c r="C2508" s="38" t="s">
        <v>114</v>
      </c>
      <c r="D2508" s="34">
        <v>4383.6000000000004</v>
      </c>
      <c r="E2508" s="35">
        <v>44705</v>
      </c>
      <c r="F2508" s="34">
        <v>4383.6000000000004</v>
      </c>
      <c r="G2508" s="36">
        <f>Tabla16[[#This Row],[Importe]]-Tabla16[[#This Row],[Pagado]]</f>
        <v>0</v>
      </c>
      <c r="H2508" s="38" t="s">
        <v>10</v>
      </c>
    </row>
    <row r="2509" spans="1:8" x14ac:dyDescent="0.25">
      <c r="A2509" s="31">
        <v>44704</v>
      </c>
      <c r="B2509" s="38" t="s">
        <v>16692</v>
      </c>
      <c r="C2509" s="38" t="s">
        <v>97</v>
      </c>
      <c r="D2509" s="34">
        <v>7940.4</v>
      </c>
      <c r="E2509" s="35">
        <v>44706</v>
      </c>
      <c r="F2509" s="34">
        <v>7940.4</v>
      </c>
      <c r="G2509" s="36">
        <f>Tabla16[[#This Row],[Importe]]-Tabla16[[#This Row],[Pagado]]</f>
        <v>0</v>
      </c>
      <c r="H2509" s="38" t="s">
        <v>10</v>
      </c>
    </row>
    <row r="2510" spans="1:8" x14ac:dyDescent="0.25">
      <c r="A2510" s="31">
        <v>44704</v>
      </c>
      <c r="B2510" s="38" t="s">
        <v>16693</v>
      </c>
      <c r="C2510" s="38" t="s">
        <v>116</v>
      </c>
      <c r="D2510" s="34">
        <v>4271.3999999999996</v>
      </c>
      <c r="E2510" s="35">
        <v>44705</v>
      </c>
      <c r="F2510" s="34">
        <v>4271.3999999999996</v>
      </c>
      <c r="G2510" s="36">
        <f>Tabla16[[#This Row],[Importe]]-Tabla16[[#This Row],[Pagado]]</f>
        <v>0</v>
      </c>
      <c r="H2510" s="38" t="s">
        <v>10</v>
      </c>
    </row>
    <row r="2511" spans="1:8" x14ac:dyDescent="0.25">
      <c r="A2511" s="31">
        <v>44704</v>
      </c>
      <c r="B2511" s="38" t="s">
        <v>16694</v>
      </c>
      <c r="C2511" s="38" t="s">
        <v>326</v>
      </c>
      <c r="D2511" s="34">
        <v>4310.8</v>
      </c>
      <c r="E2511" s="35">
        <v>44705</v>
      </c>
      <c r="F2511" s="34">
        <v>4310.8</v>
      </c>
      <c r="G2511" s="36">
        <f>Tabla16[[#This Row],[Importe]]-Tabla16[[#This Row],[Pagado]]</f>
        <v>0</v>
      </c>
      <c r="H2511" s="38" t="s">
        <v>10</v>
      </c>
    </row>
    <row r="2512" spans="1:8" x14ac:dyDescent="0.25">
      <c r="A2512" s="31">
        <v>44704</v>
      </c>
      <c r="B2512" s="38" t="s">
        <v>16695</v>
      </c>
      <c r="C2512" s="38" t="s">
        <v>348</v>
      </c>
      <c r="D2512" s="34">
        <v>4133.2</v>
      </c>
      <c r="E2512" s="35">
        <v>44704</v>
      </c>
      <c r="F2512" s="34">
        <v>4133.2</v>
      </c>
      <c r="G2512" s="36">
        <f>Tabla16[[#This Row],[Importe]]-Tabla16[[#This Row],[Pagado]]</f>
        <v>0</v>
      </c>
      <c r="H2512" s="38" t="s">
        <v>10</v>
      </c>
    </row>
    <row r="2513" spans="1:8" x14ac:dyDescent="0.25">
      <c r="A2513" s="31">
        <v>44704</v>
      </c>
      <c r="B2513" s="38" t="s">
        <v>16696</v>
      </c>
      <c r="C2513" s="38" t="s">
        <v>105</v>
      </c>
      <c r="D2513" s="34">
        <v>5941.3</v>
      </c>
      <c r="E2513" s="35">
        <v>44705</v>
      </c>
      <c r="F2513" s="34">
        <v>5941.3</v>
      </c>
      <c r="G2513" s="36">
        <f>Tabla16[[#This Row],[Importe]]-Tabla16[[#This Row],[Pagado]]</f>
        <v>0</v>
      </c>
      <c r="H2513" s="38" t="s">
        <v>10</v>
      </c>
    </row>
    <row r="2514" spans="1:8" x14ac:dyDescent="0.25">
      <c r="A2514" s="31">
        <v>44704</v>
      </c>
      <c r="B2514" s="38" t="s">
        <v>16697</v>
      </c>
      <c r="C2514" s="38" t="s">
        <v>111</v>
      </c>
      <c r="D2514" s="34">
        <v>4399.2</v>
      </c>
      <c r="E2514" s="35">
        <v>44705</v>
      </c>
      <c r="F2514" s="34">
        <v>4399.2</v>
      </c>
      <c r="G2514" s="36">
        <f>Tabla16[[#This Row],[Importe]]-Tabla16[[#This Row],[Pagado]]</f>
        <v>0</v>
      </c>
      <c r="H2514" s="38" t="s">
        <v>10</v>
      </c>
    </row>
    <row r="2515" spans="1:8" x14ac:dyDescent="0.25">
      <c r="A2515" s="31">
        <v>44704</v>
      </c>
      <c r="B2515" s="38" t="s">
        <v>16698</v>
      </c>
      <c r="C2515" s="38" t="s">
        <v>2151</v>
      </c>
      <c r="D2515" s="34">
        <v>15048.8</v>
      </c>
      <c r="E2515" s="35">
        <v>44704</v>
      </c>
      <c r="F2515" s="34">
        <v>15048.8</v>
      </c>
      <c r="G2515" s="36">
        <f>Tabla16[[#This Row],[Importe]]-Tabla16[[#This Row],[Pagado]]</f>
        <v>0</v>
      </c>
      <c r="H2515" s="38" t="s">
        <v>10</v>
      </c>
    </row>
    <row r="2516" spans="1:8" x14ac:dyDescent="0.25">
      <c r="A2516" s="31">
        <v>44704</v>
      </c>
      <c r="B2516" s="38" t="s">
        <v>16699</v>
      </c>
      <c r="C2516" s="38" t="s">
        <v>64</v>
      </c>
      <c r="D2516" s="34">
        <v>4370.3999999999996</v>
      </c>
      <c r="E2516" s="35">
        <v>44705</v>
      </c>
      <c r="F2516" s="34">
        <v>4370.3999999999996</v>
      </c>
      <c r="G2516" s="36">
        <f>Tabla16[[#This Row],[Importe]]-Tabla16[[#This Row],[Pagado]]</f>
        <v>0</v>
      </c>
      <c r="H2516" s="38" t="s">
        <v>10</v>
      </c>
    </row>
    <row r="2517" spans="1:8" ht="31.5" x14ac:dyDescent="0.25">
      <c r="A2517" s="31">
        <v>44704</v>
      </c>
      <c r="B2517" s="38" t="s">
        <v>16700</v>
      </c>
      <c r="C2517" s="38" t="s">
        <v>39</v>
      </c>
      <c r="D2517" s="34">
        <v>22083</v>
      </c>
      <c r="E2517" s="35" t="s">
        <v>16701</v>
      </c>
      <c r="F2517" s="34">
        <f>10300+11783</f>
        <v>22083</v>
      </c>
      <c r="G2517" s="36">
        <f>Tabla16[[#This Row],[Importe]]-Tabla16[[#This Row],[Pagado]]</f>
        <v>0</v>
      </c>
      <c r="H2517" s="38" t="s">
        <v>10</v>
      </c>
    </row>
    <row r="2518" spans="1:8" x14ac:dyDescent="0.25">
      <c r="A2518" s="31">
        <v>44704</v>
      </c>
      <c r="B2518" s="38" t="s">
        <v>16702</v>
      </c>
      <c r="C2518" s="38" t="s">
        <v>60</v>
      </c>
      <c r="D2518" s="34">
        <v>4422.6000000000004</v>
      </c>
      <c r="E2518" s="35">
        <v>44708</v>
      </c>
      <c r="F2518" s="34">
        <v>4422.6000000000004</v>
      </c>
      <c r="G2518" s="36">
        <f>Tabla16[[#This Row],[Importe]]-Tabla16[[#This Row],[Pagado]]</f>
        <v>0</v>
      </c>
      <c r="H2518" s="38" t="s">
        <v>10</v>
      </c>
    </row>
    <row r="2519" spans="1:8" x14ac:dyDescent="0.25">
      <c r="A2519" s="31">
        <v>44704</v>
      </c>
      <c r="B2519" s="38" t="s">
        <v>16703</v>
      </c>
      <c r="C2519" s="38" t="s">
        <v>16704</v>
      </c>
      <c r="D2519" s="34">
        <v>4087.2</v>
      </c>
      <c r="E2519" s="35">
        <v>44704</v>
      </c>
      <c r="F2519" s="34">
        <v>4087.2</v>
      </c>
      <c r="G2519" s="36">
        <f>Tabla16[[#This Row],[Importe]]-Tabla16[[#This Row],[Pagado]]</f>
        <v>0</v>
      </c>
      <c r="H2519" s="38" t="s">
        <v>10</v>
      </c>
    </row>
    <row r="2520" spans="1:8" ht="31.5" x14ac:dyDescent="0.25">
      <c r="A2520" s="31">
        <v>44704</v>
      </c>
      <c r="B2520" s="38" t="s">
        <v>16705</v>
      </c>
      <c r="C2520" s="38" t="s">
        <v>93</v>
      </c>
      <c r="D2520" s="34">
        <v>6661.6</v>
      </c>
      <c r="E2520" s="35" t="s">
        <v>16684</v>
      </c>
      <c r="F2520" s="34">
        <f>3661+3000.6</f>
        <v>6661.6</v>
      </c>
      <c r="G2520" s="36">
        <f>Tabla16[[#This Row],[Importe]]-Tabla16[[#This Row],[Pagado]]</f>
        <v>0</v>
      </c>
      <c r="H2520" s="38" t="s">
        <v>10</v>
      </c>
    </row>
    <row r="2521" spans="1:8" x14ac:dyDescent="0.25">
      <c r="A2521" s="31">
        <v>44704</v>
      </c>
      <c r="B2521" s="38" t="s">
        <v>16706</v>
      </c>
      <c r="C2521" s="38" t="s">
        <v>93</v>
      </c>
      <c r="D2521" s="34">
        <v>990</v>
      </c>
      <c r="E2521" s="35">
        <v>44705</v>
      </c>
      <c r="F2521" s="34">
        <v>990</v>
      </c>
      <c r="G2521" s="36">
        <f>Tabla16[[#This Row],[Importe]]-Tabla16[[#This Row],[Pagado]]</f>
        <v>0</v>
      </c>
      <c r="H2521" s="38" t="s">
        <v>10</v>
      </c>
    </row>
    <row r="2522" spans="1:8" x14ac:dyDescent="0.25">
      <c r="A2522" s="31">
        <v>44704</v>
      </c>
      <c r="B2522" s="38" t="s">
        <v>16707</v>
      </c>
      <c r="C2522" s="38" t="s">
        <v>22</v>
      </c>
      <c r="D2522" s="34">
        <v>46943.6</v>
      </c>
      <c r="E2522" s="35">
        <v>44706</v>
      </c>
      <c r="F2522" s="34">
        <v>46943.6</v>
      </c>
      <c r="G2522" s="36">
        <f>Tabla16[[#This Row],[Importe]]-Tabla16[[#This Row],[Pagado]]</f>
        <v>0</v>
      </c>
      <c r="H2522" s="38" t="s">
        <v>10</v>
      </c>
    </row>
    <row r="2523" spans="1:8" x14ac:dyDescent="0.25">
      <c r="A2523" s="31">
        <v>44704</v>
      </c>
      <c r="B2523" s="38" t="s">
        <v>16708</v>
      </c>
      <c r="C2523" s="38" t="s">
        <v>345</v>
      </c>
      <c r="D2523" s="34">
        <v>360</v>
      </c>
      <c r="E2523" s="35">
        <v>44704</v>
      </c>
      <c r="F2523" s="34">
        <v>360</v>
      </c>
      <c r="G2523" s="36">
        <f>Tabla16[[#This Row],[Importe]]-Tabla16[[#This Row],[Pagado]]</f>
        <v>0</v>
      </c>
      <c r="H2523" s="38" t="s">
        <v>10</v>
      </c>
    </row>
    <row r="2524" spans="1:8" x14ac:dyDescent="0.25">
      <c r="A2524" s="31">
        <v>44704</v>
      </c>
      <c r="B2524" s="38" t="s">
        <v>16709</v>
      </c>
      <c r="C2524" s="38" t="s">
        <v>353</v>
      </c>
      <c r="D2524" s="34">
        <v>2131.1</v>
      </c>
      <c r="E2524" s="35">
        <v>44704</v>
      </c>
      <c r="F2524" s="34">
        <v>2131.1</v>
      </c>
      <c r="G2524" s="36">
        <f>Tabla16[[#This Row],[Importe]]-Tabla16[[#This Row],[Pagado]]</f>
        <v>0</v>
      </c>
      <c r="H2524" s="38" t="s">
        <v>10</v>
      </c>
    </row>
    <row r="2525" spans="1:8" x14ac:dyDescent="0.25">
      <c r="A2525" s="31">
        <v>44704</v>
      </c>
      <c r="B2525" s="38" t="s">
        <v>16710</v>
      </c>
      <c r="C2525" s="38" t="s">
        <v>87</v>
      </c>
      <c r="D2525" s="34">
        <v>3105</v>
      </c>
      <c r="E2525" s="35">
        <v>44704</v>
      </c>
      <c r="F2525" s="34">
        <v>3105</v>
      </c>
      <c r="G2525" s="36">
        <f>Tabla16[[#This Row],[Importe]]-Tabla16[[#This Row],[Pagado]]</f>
        <v>0</v>
      </c>
      <c r="H2525" s="38" t="s">
        <v>10</v>
      </c>
    </row>
    <row r="2526" spans="1:8" x14ac:dyDescent="0.25">
      <c r="A2526" s="31">
        <v>44704</v>
      </c>
      <c r="B2526" s="38" t="s">
        <v>16711</v>
      </c>
      <c r="C2526" s="38" t="s">
        <v>85</v>
      </c>
      <c r="D2526" s="34">
        <v>1162</v>
      </c>
      <c r="E2526" s="35">
        <v>44704</v>
      </c>
      <c r="F2526" s="34">
        <v>1162</v>
      </c>
      <c r="G2526" s="36">
        <f>Tabla16[[#This Row],[Importe]]-Tabla16[[#This Row],[Pagado]]</f>
        <v>0</v>
      </c>
      <c r="H2526" s="38" t="s">
        <v>10</v>
      </c>
    </row>
    <row r="2527" spans="1:8" x14ac:dyDescent="0.25">
      <c r="A2527" s="31">
        <v>44704</v>
      </c>
      <c r="B2527" s="38" t="s">
        <v>16712</v>
      </c>
      <c r="C2527" s="38" t="s">
        <v>83</v>
      </c>
      <c r="D2527" s="34">
        <v>11000</v>
      </c>
      <c r="E2527" s="35">
        <v>44704</v>
      </c>
      <c r="F2527" s="34">
        <v>11000</v>
      </c>
      <c r="G2527" s="36">
        <f>Tabla16[[#This Row],[Importe]]-Tabla16[[#This Row],[Pagado]]</f>
        <v>0</v>
      </c>
      <c r="H2527" s="38" t="s">
        <v>10</v>
      </c>
    </row>
    <row r="2528" spans="1:8" x14ac:dyDescent="0.25">
      <c r="A2528" s="31">
        <v>44704</v>
      </c>
      <c r="B2528" s="38" t="s">
        <v>16713</v>
      </c>
      <c r="C2528" s="38" t="s">
        <v>9</v>
      </c>
      <c r="D2528" s="34">
        <v>7739.5</v>
      </c>
      <c r="E2528" s="35">
        <v>44704</v>
      </c>
      <c r="F2528" s="34">
        <v>7739.5</v>
      </c>
      <c r="G2528" s="36">
        <f>Tabla16[[#This Row],[Importe]]-Tabla16[[#This Row],[Pagado]]</f>
        <v>0</v>
      </c>
      <c r="H2528" s="38" t="s">
        <v>10</v>
      </c>
    </row>
    <row r="2529" spans="1:8" x14ac:dyDescent="0.25">
      <c r="A2529" s="31">
        <v>44704</v>
      </c>
      <c r="B2529" s="38" t="s">
        <v>16714</v>
      </c>
      <c r="C2529" s="38" t="s">
        <v>12202</v>
      </c>
      <c r="D2529" s="34">
        <v>2880</v>
      </c>
      <c r="E2529" s="35">
        <v>44704</v>
      </c>
      <c r="F2529" s="34">
        <v>2880</v>
      </c>
      <c r="G2529" s="36">
        <f>Tabla16[[#This Row],[Importe]]-Tabla16[[#This Row],[Pagado]]</f>
        <v>0</v>
      </c>
      <c r="H2529" s="38" t="s">
        <v>10</v>
      </c>
    </row>
    <row r="2530" spans="1:8" x14ac:dyDescent="0.25">
      <c r="A2530" s="31">
        <v>44704</v>
      </c>
      <c r="B2530" s="38" t="s">
        <v>16715</v>
      </c>
      <c r="C2530" s="38" t="s">
        <v>146</v>
      </c>
      <c r="D2530" s="34">
        <v>2951.2</v>
      </c>
      <c r="E2530" s="35">
        <v>44704</v>
      </c>
      <c r="F2530" s="34">
        <v>2951.2</v>
      </c>
      <c r="G2530" s="36">
        <f>Tabla16[[#This Row],[Importe]]-Tabla16[[#This Row],[Pagado]]</f>
        <v>0</v>
      </c>
      <c r="H2530" s="38" t="s">
        <v>10</v>
      </c>
    </row>
    <row r="2531" spans="1:8" x14ac:dyDescent="0.25">
      <c r="A2531" s="31">
        <v>44704</v>
      </c>
      <c r="B2531" s="38" t="s">
        <v>16716</v>
      </c>
      <c r="C2531" s="38" t="s">
        <v>31</v>
      </c>
      <c r="D2531" s="34">
        <v>1976.4</v>
      </c>
      <c r="E2531" s="35">
        <v>44704</v>
      </c>
      <c r="F2531" s="34">
        <v>1976.4</v>
      </c>
      <c r="G2531" s="36">
        <f>Tabla16[[#This Row],[Importe]]-Tabla16[[#This Row],[Pagado]]</f>
        <v>0</v>
      </c>
      <c r="H2531" s="38" t="s">
        <v>10</v>
      </c>
    </row>
    <row r="2532" spans="1:8" x14ac:dyDescent="0.25">
      <c r="A2532" s="31">
        <v>44704</v>
      </c>
      <c r="B2532" s="38" t="s">
        <v>16717</v>
      </c>
      <c r="C2532" s="38" t="s">
        <v>144</v>
      </c>
      <c r="D2532" s="34">
        <v>2757.7</v>
      </c>
      <c r="E2532" s="35">
        <v>44705</v>
      </c>
      <c r="F2532" s="34">
        <v>2757.7</v>
      </c>
      <c r="G2532" s="36">
        <f>Tabla16[[#This Row],[Importe]]-Tabla16[[#This Row],[Pagado]]</f>
        <v>0</v>
      </c>
      <c r="H2532" s="38" t="s">
        <v>10</v>
      </c>
    </row>
    <row r="2533" spans="1:8" x14ac:dyDescent="0.25">
      <c r="A2533" s="31">
        <v>44704</v>
      </c>
      <c r="B2533" s="38" t="s">
        <v>16718</v>
      </c>
      <c r="C2533" s="38" t="s">
        <v>804</v>
      </c>
      <c r="D2533" s="34">
        <v>17378</v>
      </c>
      <c r="E2533" s="35">
        <v>44704</v>
      </c>
      <c r="F2533" s="34">
        <v>17378</v>
      </c>
      <c r="G2533" s="36">
        <f>Tabla16[[#This Row],[Importe]]-Tabla16[[#This Row],[Pagado]]</f>
        <v>0</v>
      </c>
      <c r="H2533" s="38" t="s">
        <v>10</v>
      </c>
    </row>
    <row r="2534" spans="1:8" x14ac:dyDescent="0.25">
      <c r="A2534" s="31">
        <v>44704</v>
      </c>
      <c r="B2534" s="38" t="s">
        <v>16719</v>
      </c>
      <c r="C2534" s="38" t="s">
        <v>137</v>
      </c>
      <c r="D2534" s="34">
        <v>2240</v>
      </c>
      <c r="E2534" s="35">
        <v>44704</v>
      </c>
      <c r="F2534" s="34">
        <v>2240</v>
      </c>
      <c r="G2534" s="36">
        <f>Tabla16[[#This Row],[Importe]]-Tabla16[[#This Row],[Pagado]]</f>
        <v>0</v>
      </c>
      <c r="H2534" s="38" t="s">
        <v>10</v>
      </c>
    </row>
    <row r="2535" spans="1:8" x14ac:dyDescent="0.25">
      <c r="A2535" s="31">
        <v>44704</v>
      </c>
      <c r="B2535" s="38" t="s">
        <v>16720</v>
      </c>
      <c r="C2535" s="38" t="s">
        <v>27</v>
      </c>
      <c r="D2535" s="34">
        <v>3398.4</v>
      </c>
      <c r="E2535" s="35">
        <v>44704</v>
      </c>
      <c r="F2535" s="34">
        <v>3398.4</v>
      </c>
      <c r="G2535" s="36">
        <f>Tabla16[[#This Row],[Importe]]-Tabla16[[#This Row],[Pagado]]</f>
        <v>0</v>
      </c>
      <c r="H2535" s="38" t="s">
        <v>10</v>
      </c>
    </row>
    <row r="2536" spans="1:8" x14ac:dyDescent="0.25">
      <c r="A2536" s="31">
        <v>44704</v>
      </c>
      <c r="B2536" s="38" t="s">
        <v>16721</v>
      </c>
      <c r="C2536" s="38" t="s">
        <v>196</v>
      </c>
      <c r="D2536" s="34">
        <v>58225.08</v>
      </c>
      <c r="E2536" s="35">
        <v>44708</v>
      </c>
      <c r="F2536" s="34">
        <v>58225.08</v>
      </c>
      <c r="G2536" s="36">
        <f>Tabla16[[#This Row],[Importe]]-Tabla16[[#This Row],[Pagado]]</f>
        <v>0</v>
      </c>
      <c r="H2536" s="38" t="s">
        <v>10</v>
      </c>
    </row>
    <row r="2537" spans="1:8" x14ac:dyDescent="0.25">
      <c r="A2537" s="31">
        <v>44704</v>
      </c>
      <c r="B2537" s="38" t="s">
        <v>16722</v>
      </c>
      <c r="C2537" s="38" t="s">
        <v>11033</v>
      </c>
      <c r="D2537" s="34">
        <v>3380</v>
      </c>
      <c r="E2537" s="35">
        <v>44704</v>
      </c>
      <c r="F2537" s="34">
        <v>3380</v>
      </c>
      <c r="G2537" s="36">
        <f>Tabla16[[#This Row],[Importe]]-Tabla16[[#This Row],[Pagado]]</f>
        <v>0</v>
      </c>
      <c r="H2537" s="38" t="s">
        <v>10</v>
      </c>
    </row>
    <row r="2538" spans="1:8" x14ac:dyDescent="0.25">
      <c r="A2538" s="31">
        <v>44704</v>
      </c>
      <c r="B2538" s="38" t="s">
        <v>16723</v>
      </c>
      <c r="C2538" s="38" t="s">
        <v>16</v>
      </c>
      <c r="D2538" s="34">
        <v>5419.4</v>
      </c>
      <c r="E2538" s="35">
        <v>44704</v>
      </c>
      <c r="F2538" s="34">
        <v>5419.4</v>
      </c>
      <c r="G2538" s="36">
        <f>Tabla16[[#This Row],[Importe]]-Tabla16[[#This Row],[Pagado]]</f>
        <v>0</v>
      </c>
      <c r="H2538" s="38" t="s">
        <v>10</v>
      </c>
    </row>
    <row r="2539" spans="1:8" x14ac:dyDescent="0.25">
      <c r="A2539" s="31">
        <v>44704</v>
      </c>
      <c r="B2539" s="38" t="s">
        <v>16724</v>
      </c>
      <c r="C2539" s="38" t="s">
        <v>473</v>
      </c>
      <c r="D2539" s="34">
        <v>2212.8000000000002</v>
      </c>
      <c r="E2539" s="35">
        <v>44704</v>
      </c>
      <c r="F2539" s="34">
        <v>2212.8000000000002</v>
      </c>
      <c r="G2539" s="36">
        <f>Tabla16[[#This Row],[Importe]]-Tabla16[[#This Row],[Pagado]]</f>
        <v>0</v>
      </c>
      <c r="H2539" s="38" t="s">
        <v>10</v>
      </c>
    </row>
    <row r="2540" spans="1:8" x14ac:dyDescent="0.25">
      <c r="A2540" s="31">
        <v>44704</v>
      </c>
      <c r="B2540" s="38" t="s">
        <v>16725</v>
      </c>
      <c r="C2540" s="38" t="s">
        <v>75</v>
      </c>
      <c r="D2540" s="34">
        <v>6402</v>
      </c>
      <c r="E2540" s="35">
        <v>44704</v>
      </c>
      <c r="F2540" s="34">
        <v>6402</v>
      </c>
      <c r="G2540" s="36">
        <f>Tabla16[[#This Row],[Importe]]-Tabla16[[#This Row],[Pagado]]</f>
        <v>0</v>
      </c>
      <c r="H2540" s="38" t="s">
        <v>10</v>
      </c>
    </row>
    <row r="2541" spans="1:8" x14ac:dyDescent="0.25">
      <c r="A2541" s="31">
        <v>44704</v>
      </c>
      <c r="B2541" s="38" t="s">
        <v>16726</v>
      </c>
      <c r="C2541" s="38" t="s">
        <v>49</v>
      </c>
      <c r="D2541" s="34">
        <v>3159.6</v>
      </c>
      <c r="E2541" s="35">
        <v>44704</v>
      </c>
      <c r="F2541" s="34">
        <v>3159.6</v>
      </c>
      <c r="G2541" s="36">
        <f>Tabla16[[#This Row],[Importe]]-Tabla16[[#This Row],[Pagado]]</f>
        <v>0</v>
      </c>
      <c r="H2541" s="38" t="s">
        <v>10</v>
      </c>
    </row>
    <row r="2542" spans="1:8" x14ac:dyDescent="0.25">
      <c r="A2542" s="31">
        <v>44704</v>
      </c>
      <c r="B2542" s="38" t="s">
        <v>16727</v>
      </c>
      <c r="C2542" s="38" t="s">
        <v>45</v>
      </c>
      <c r="D2542" s="34">
        <v>8887.2999999999993</v>
      </c>
      <c r="E2542" s="35">
        <v>44704</v>
      </c>
      <c r="F2542" s="34">
        <v>8887.2999999999993</v>
      </c>
      <c r="G2542" s="36">
        <f>Tabla16[[#This Row],[Importe]]-Tabla16[[#This Row],[Pagado]]</f>
        <v>0</v>
      </c>
      <c r="H2542" s="38" t="s">
        <v>10</v>
      </c>
    </row>
    <row r="2543" spans="1:8" x14ac:dyDescent="0.25">
      <c r="A2543" s="31">
        <v>44704</v>
      </c>
      <c r="B2543" s="38" t="s">
        <v>16728</v>
      </c>
      <c r="C2543" s="38" t="s">
        <v>426</v>
      </c>
      <c r="D2543" s="34">
        <v>4752</v>
      </c>
      <c r="E2543" s="35">
        <v>44704</v>
      </c>
      <c r="F2543" s="34">
        <v>4752</v>
      </c>
      <c r="G2543" s="36">
        <f>Tabla16[[#This Row],[Importe]]-Tabla16[[#This Row],[Pagado]]</f>
        <v>0</v>
      </c>
      <c r="H2543" s="38" t="s">
        <v>10</v>
      </c>
    </row>
    <row r="2544" spans="1:8" x14ac:dyDescent="0.25">
      <c r="A2544" s="31">
        <v>44704</v>
      </c>
      <c r="B2544" s="38" t="s">
        <v>16729</v>
      </c>
      <c r="C2544" s="38" t="s">
        <v>173</v>
      </c>
      <c r="D2544" s="34">
        <v>15096</v>
      </c>
      <c r="E2544" s="35">
        <v>44705</v>
      </c>
      <c r="F2544" s="34">
        <v>15096</v>
      </c>
      <c r="G2544" s="36">
        <f>Tabla16[[#This Row],[Importe]]-Tabla16[[#This Row],[Pagado]]</f>
        <v>0</v>
      </c>
      <c r="H2544" s="38" t="s">
        <v>10</v>
      </c>
    </row>
    <row r="2545" spans="1:8" x14ac:dyDescent="0.25">
      <c r="A2545" s="31">
        <v>44704</v>
      </c>
      <c r="B2545" s="38" t="s">
        <v>16730</v>
      </c>
      <c r="C2545" s="38" t="s">
        <v>181</v>
      </c>
      <c r="D2545" s="34">
        <v>6466.6</v>
      </c>
      <c r="E2545" s="35">
        <v>44704</v>
      </c>
      <c r="F2545" s="34">
        <v>6466.6</v>
      </c>
      <c r="G2545" s="36">
        <f>Tabla16[[#This Row],[Importe]]-Tabla16[[#This Row],[Pagado]]</f>
        <v>0</v>
      </c>
      <c r="H2545" s="38" t="s">
        <v>10</v>
      </c>
    </row>
    <row r="2546" spans="1:8" x14ac:dyDescent="0.25">
      <c r="A2546" s="31">
        <v>44704</v>
      </c>
      <c r="B2546" s="38" t="s">
        <v>16731</v>
      </c>
      <c r="C2546" s="38" t="s">
        <v>181</v>
      </c>
      <c r="D2546" s="34">
        <v>3830.4</v>
      </c>
      <c r="E2546" s="35">
        <v>44704</v>
      </c>
      <c r="F2546" s="34">
        <v>3830.4</v>
      </c>
      <c r="G2546" s="36">
        <f>Tabla16[[#This Row],[Importe]]-Tabla16[[#This Row],[Pagado]]</f>
        <v>0</v>
      </c>
      <c r="H2546" s="38" t="s">
        <v>10</v>
      </c>
    </row>
    <row r="2547" spans="1:8" x14ac:dyDescent="0.25">
      <c r="A2547" s="31">
        <v>44704</v>
      </c>
      <c r="B2547" s="38" t="s">
        <v>16732</v>
      </c>
      <c r="C2547" s="38" t="s">
        <v>212</v>
      </c>
      <c r="D2547" s="34">
        <v>32818.800000000003</v>
      </c>
      <c r="E2547" s="35">
        <v>44707</v>
      </c>
      <c r="F2547" s="34">
        <v>32818.800000000003</v>
      </c>
      <c r="G2547" s="36">
        <f>Tabla16[[#This Row],[Importe]]-Tabla16[[#This Row],[Pagado]]</f>
        <v>0</v>
      </c>
      <c r="H2547" s="38" t="s">
        <v>10</v>
      </c>
    </row>
    <row r="2548" spans="1:8" x14ac:dyDescent="0.25">
      <c r="A2548" s="31">
        <v>44704</v>
      </c>
      <c r="B2548" s="38" t="s">
        <v>16733</v>
      </c>
      <c r="C2548" s="38" t="s">
        <v>154</v>
      </c>
      <c r="D2548" s="34">
        <v>38083.800000000003</v>
      </c>
      <c r="E2548" s="35">
        <v>44709</v>
      </c>
      <c r="F2548" s="34">
        <v>38083.800000000003</v>
      </c>
      <c r="G2548" s="36">
        <f>Tabla16[[#This Row],[Importe]]-Tabla16[[#This Row],[Pagado]]</f>
        <v>0</v>
      </c>
      <c r="H2548" s="38" t="s">
        <v>10</v>
      </c>
    </row>
    <row r="2549" spans="1:8" x14ac:dyDescent="0.25">
      <c r="A2549" s="31">
        <v>44704</v>
      </c>
      <c r="B2549" s="38" t="s">
        <v>16734</v>
      </c>
      <c r="C2549" s="38" t="s">
        <v>179</v>
      </c>
      <c r="D2549" s="34">
        <v>954</v>
      </c>
      <c r="E2549" s="35">
        <v>44704</v>
      </c>
      <c r="F2549" s="34">
        <v>954</v>
      </c>
      <c r="G2549" s="36">
        <f>Tabla16[[#This Row],[Importe]]-Tabla16[[#This Row],[Pagado]]</f>
        <v>0</v>
      </c>
      <c r="H2549" s="38" t="s">
        <v>10</v>
      </c>
    </row>
    <row r="2550" spans="1:8" x14ac:dyDescent="0.25">
      <c r="A2550" s="31">
        <v>44704</v>
      </c>
      <c r="B2550" s="38" t="s">
        <v>16735</v>
      </c>
      <c r="C2550" s="38" t="s">
        <v>16736</v>
      </c>
      <c r="D2550" s="34">
        <v>0</v>
      </c>
      <c r="E2550" s="39" t="s">
        <v>189</v>
      </c>
      <c r="F2550" s="34">
        <v>0</v>
      </c>
      <c r="G2550" s="36">
        <f>Tabla16[[#This Row],[Importe]]-Tabla16[[#This Row],[Pagado]]</f>
        <v>0</v>
      </c>
      <c r="H2550" s="38" t="s">
        <v>189</v>
      </c>
    </row>
    <row r="2551" spans="1:8" x14ac:dyDescent="0.25">
      <c r="A2551" s="31">
        <v>44704</v>
      </c>
      <c r="B2551" s="38" t="s">
        <v>16737</v>
      </c>
      <c r="C2551" s="38" t="s">
        <v>214</v>
      </c>
      <c r="D2551" s="34">
        <v>1392</v>
      </c>
      <c r="E2551" s="35">
        <v>44704</v>
      </c>
      <c r="F2551" s="34">
        <v>1392</v>
      </c>
      <c r="G2551" s="36">
        <f>Tabla16[[#This Row],[Importe]]-Tabla16[[#This Row],[Pagado]]</f>
        <v>0</v>
      </c>
      <c r="H2551" s="38" t="s">
        <v>10</v>
      </c>
    </row>
    <row r="2552" spans="1:8" x14ac:dyDescent="0.25">
      <c r="A2552" s="31">
        <v>44704</v>
      </c>
      <c r="B2552" s="38" t="s">
        <v>16738</v>
      </c>
      <c r="C2552" s="38" t="s">
        <v>56</v>
      </c>
      <c r="D2552" s="34">
        <v>6774.2</v>
      </c>
      <c r="E2552" s="35">
        <v>44704</v>
      </c>
      <c r="F2552" s="34">
        <v>6774.2</v>
      </c>
      <c r="G2552" s="36">
        <f>Tabla16[[#This Row],[Importe]]-Tabla16[[#This Row],[Pagado]]</f>
        <v>0</v>
      </c>
      <c r="H2552" s="38" t="s">
        <v>10</v>
      </c>
    </row>
    <row r="2553" spans="1:8" x14ac:dyDescent="0.25">
      <c r="A2553" s="31">
        <v>44704</v>
      </c>
      <c r="B2553" s="38" t="s">
        <v>16739</v>
      </c>
      <c r="C2553" s="38" t="s">
        <v>2114</v>
      </c>
      <c r="D2553" s="34">
        <v>828</v>
      </c>
      <c r="E2553" s="35">
        <v>44704</v>
      </c>
      <c r="F2553" s="34">
        <v>828</v>
      </c>
      <c r="G2553" s="36">
        <f>Tabla16[[#This Row],[Importe]]-Tabla16[[#This Row],[Pagado]]</f>
        <v>0</v>
      </c>
      <c r="H2553" s="38" t="s">
        <v>10</v>
      </c>
    </row>
    <row r="2554" spans="1:8" x14ac:dyDescent="0.25">
      <c r="A2554" s="31">
        <v>44704</v>
      </c>
      <c r="B2554" s="38" t="s">
        <v>16740</v>
      </c>
      <c r="C2554" s="38" t="s">
        <v>191</v>
      </c>
      <c r="D2554" s="34">
        <v>1749.5</v>
      </c>
      <c r="E2554" s="35">
        <v>44704</v>
      </c>
      <c r="F2554" s="34">
        <v>1749.5</v>
      </c>
      <c r="G2554" s="36">
        <f>Tabla16[[#This Row],[Importe]]-Tabla16[[#This Row],[Pagado]]</f>
        <v>0</v>
      </c>
      <c r="H2554" s="38" t="s">
        <v>10</v>
      </c>
    </row>
    <row r="2555" spans="1:8" x14ac:dyDescent="0.25">
      <c r="A2555" s="31">
        <v>44704</v>
      </c>
      <c r="B2555" s="38" t="s">
        <v>16741</v>
      </c>
      <c r="C2555" s="38" t="s">
        <v>218</v>
      </c>
      <c r="D2555" s="34">
        <v>14061.4</v>
      </c>
      <c r="E2555" s="35">
        <v>44707</v>
      </c>
      <c r="F2555" s="34">
        <v>14061.4</v>
      </c>
      <c r="G2555" s="36">
        <f>Tabla16[[#This Row],[Importe]]-Tabla16[[#This Row],[Pagado]]</f>
        <v>0</v>
      </c>
      <c r="H2555" s="38" t="s">
        <v>10</v>
      </c>
    </row>
    <row r="2556" spans="1:8" x14ac:dyDescent="0.25">
      <c r="A2556" s="31">
        <v>44704</v>
      </c>
      <c r="B2556" s="38" t="s">
        <v>16742</v>
      </c>
      <c r="C2556" s="38" t="s">
        <v>206</v>
      </c>
      <c r="D2556" s="34">
        <v>25274.6</v>
      </c>
      <c r="E2556" s="35">
        <v>44707</v>
      </c>
      <c r="F2556" s="34">
        <v>25274.6</v>
      </c>
      <c r="G2556" s="36">
        <f>Tabla16[[#This Row],[Importe]]-Tabla16[[#This Row],[Pagado]]</f>
        <v>0</v>
      </c>
      <c r="H2556" s="38" t="s">
        <v>10</v>
      </c>
    </row>
    <row r="2557" spans="1:8" x14ac:dyDescent="0.25">
      <c r="A2557" s="31">
        <v>44704</v>
      </c>
      <c r="B2557" s="38" t="s">
        <v>16743</v>
      </c>
      <c r="C2557" s="38" t="s">
        <v>275</v>
      </c>
      <c r="D2557" s="34">
        <v>89634</v>
      </c>
      <c r="E2557" s="35">
        <v>44715</v>
      </c>
      <c r="F2557" s="34">
        <v>89634</v>
      </c>
      <c r="G2557" s="36">
        <f>Tabla16[[#This Row],[Importe]]-Tabla16[[#This Row],[Pagado]]</f>
        <v>0</v>
      </c>
      <c r="H2557" s="38" t="s">
        <v>10</v>
      </c>
    </row>
    <row r="2558" spans="1:8" x14ac:dyDescent="0.25">
      <c r="A2558" s="31">
        <v>44704</v>
      </c>
      <c r="B2558" s="38" t="s">
        <v>16744</v>
      </c>
      <c r="C2558" s="38" t="s">
        <v>230</v>
      </c>
      <c r="D2558" s="34">
        <v>1041.9000000000001</v>
      </c>
      <c r="E2558" s="35">
        <v>44704</v>
      </c>
      <c r="F2558" s="34">
        <v>1041.9000000000001</v>
      </c>
      <c r="G2558" s="36">
        <f>Tabla16[[#This Row],[Importe]]-Tabla16[[#This Row],[Pagado]]</f>
        <v>0</v>
      </c>
      <c r="H2558" s="38" t="s">
        <v>10</v>
      </c>
    </row>
    <row r="2559" spans="1:8" x14ac:dyDescent="0.25">
      <c r="A2559" s="31">
        <v>44704</v>
      </c>
      <c r="B2559" s="38" t="s">
        <v>16745</v>
      </c>
      <c r="C2559" s="38" t="s">
        <v>240</v>
      </c>
      <c r="D2559" s="34">
        <v>8997.2000000000007</v>
      </c>
      <c r="E2559" s="35">
        <v>44704</v>
      </c>
      <c r="F2559" s="34">
        <v>8997.2000000000007</v>
      </c>
      <c r="G2559" s="36">
        <f>Tabla16[[#This Row],[Importe]]-Tabla16[[#This Row],[Pagado]]</f>
        <v>0</v>
      </c>
      <c r="H2559" s="38" t="s">
        <v>10</v>
      </c>
    </row>
    <row r="2560" spans="1:8" x14ac:dyDescent="0.25">
      <c r="A2560" s="31">
        <v>44704</v>
      </c>
      <c r="B2560" s="38" t="s">
        <v>16746</v>
      </c>
      <c r="C2560" s="38" t="s">
        <v>698</v>
      </c>
      <c r="D2560" s="34">
        <v>6284.8</v>
      </c>
      <c r="E2560" s="35">
        <v>44704</v>
      </c>
      <c r="F2560" s="34">
        <v>6284.8</v>
      </c>
      <c r="G2560" s="36">
        <f>Tabla16[[#This Row],[Importe]]-Tabla16[[#This Row],[Pagado]]</f>
        <v>0</v>
      </c>
      <c r="H2560" s="38" t="s">
        <v>10</v>
      </c>
    </row>
    <row r="2561" spans="1:8" x14ac:dyDescent="0.25">
      <c r="A2561" s="31">
        <v>44704</v>
      </c>
      <c r="B2561" s="38" t="s">
        <v>16747</v>
      </c>
      <c r="C2561" s="38" t="s">
        <v>246</v>
      </c>
      <c r="D2561" s="34">
        <v>3146</v>
      </c>
      <c r="E2561" s="35">
        <v>44704</v>
      </c>
      <c r="F2561" s="34">
        <v>3146</v>
      </c>
      <c r="G2561" s="36">
        <f>Tabla16[[#This Row],[Importe]]-Tabla16[[#This Row],[Pagado]]</f>
        <v>0</v>
      </c>
      <c r="H2561" s="38" t="s">
        <v>10</v>
      </c>
    </row>
    <row r="2562" spans="1:8" x14ac:dyDescent="0.25">
      <c r="A2562" s="31">
        <v>44704</v>
      </c>
      <c r="B2562" s="38" t="s">
        <v>16748</v>
      </c>
      <c r="C2562" s="38" t="s">
        <v>240</v>
      </c>
      <c r="D2562" s="34">
        <v>4434.7</v>
      </c>
      <c r="E2562" s="35">
        <v>44704</v>
      </c>
      <c r="F2562" s="34">
        <v>4434.7</v>
      </c>
      <c r="G2562" s="36">
        <f>Tabla16[[#This Row],[Importe]]-Tabla16[[#This Row],[Pagado]]</f>
        <v>0</v>
      </c>
      <c r="H2562" s="38" t="s">
        <v>10</v>
      </c>
    </row>
    <row r="2563" spans="1:8" ht="31.5" x14ac:dyDescent="0.25">
      <c r="A2563" s="31">
        <v>44704</v>
      </c>
      <c r="B2563" s="38" t="s">
        <v>16749</v>
      </c>
      <c r="C2563" s="41" t="s">
        <v>16750</v>
      </c>
      <c r="D2563" s="34">
        <v>0</v>
      </c>
      <c r="E2563" s="39" t="s">
        <v>189</v>
      </c>
      <c r="F2563" s="34">
        <v>0</v>
      </c>
      <c r="G2563" s="36">
        <f>Tabla16[[#This Row],[Importe]]-Tabla16[[#This Row],[Pagado]]</f>
        <v>0</v>
      </c>
      <c r="H2563" s="38" t="s">
        <v>189</v>
      </c>
    </row>
    <row r="2564" spans="1:8" x14ac:dyDescent="0.25">
      <c r="A2564" s="31">
        <v>44704</v>
      </c>
      <c r="B2564" s="38" t="s">
        <v>16751</v>
      </c>
      <c r="C2564" s="38" t="s">
        <v>222</v>
      </c>
      <c r="D2564" s="34">
        <v>7103.8</v>
      </c>
      <c r="E2564" s="35">
        <v>44704</v>
      </c>
      <c r="F2564" s="34">
        <v>7103.8</v>
      </c>
      <c r="G2564" s="36">
        <f>Tabla16[[#This Row],[Importe]]-Tabla16[[#This Row],[Pagado]]</f>
        <v>0</v>
      </c>
      <c r="H2564" s="38" t="s">
        <v>10</v>
      </c>
    </row>
    <row r="2565" spans="1:8" x14ac:dyDescent="0.25">
      <c r="A2565" s="31">
        <v>44704</v>
      </c>
      <c r="B2565" s="38" t="s">
        <v>16752</v>
      </c>
      <c r="C2565" s="38" t="s">
        <v>51</v>
      </c>
      <c r="D2565" s="34">
        <v>1328.8</v>
      </c>
      <c r="E2565" s="35">
        <v>44704</v>
      </c>
      <c r="F2565" s="34">
        <v>1328.8</v>
      </c>
      <c r="G2565" s="36">
        <f>Tabla16[[#This Row],[Importe]]-Tabla16[[#This Row],[Pagado]]</f>
        <v>0</v>
      </c>
      <c r="H2565" s="38" t="s">
        <v>10</v>
      </c>
    </row>
    <row r="2566" spans="1:8" x14ac:dyDescent="0.25">
      <c r="A2566" s="31">
        <v>44704</v>
      </c>
      <c r="B2566" s="38" t="s">
        <v>16753</v>
      </c>
      <c r="C2566" s="38" t="s">
        <v>31</v>
      </c>
      <c r="D2566" s="34">
        <v>2514.8000000000002</v>
      </c>
      <c r="E2566" s="35">
        <v>44704</v>
      </c>
      <c r="F2566" s="34">
        <v>2514.8000000000002</v>
      </c>
      <c r="G2566" s="36">
        <f>Tabla16[[#This Row],[Importe]]-Tabla16[[#This Row],[Pagado]]</f>
        <v>0</v>
      </c>
      <c r="H2566" s="38" t="s">
        <v>10</v>
      </c>
    </row>
    <row r="2567" spans="1:8" x14ac:dyDescent="0.25">
      <c r="A2567" s="31">
        <v>44704</v>
      </c>
      <c r="B2567" s="38" t="s">
        <v>16754</v>
      </c>
      <c r="C2567" s="38" t="s">
        <v>421</v>
      </c>
      <c r="D2567" s="34">
        <v>7095</v>
      </c>
      <c r="E2567" s="35">
        <v>44712</v>
      </c>
      <c r="F2567" s="34">
        <v>7095</v>
      </c>
      <c r="G2567" s="36">
        <f>Tabla16[[#This Row],[Importe]]-Tabla16[[#This Row],[Pagado]]</f>
        <v>0</v>
      </c>
      <c r="H2567" s="38" t="s">
        <v>10</v>
      </c>
    </row>
    <row r="2568" spans="1:8" x14ac:dyDescent="0.25">
      <c r="A2568" s="31">
        <v>44704</v>
      </c>
      <c r="B2568" s="38" t="s">
        <v>16755</v>
      </c>
      <c r="C2568" s="38" t="s">
        <v>421</v>
      </c>
      <c r="D2568" s="34">
        <v>3393.2</v>
      </c>
      <c r="E2568" s="35">
        <v>44712</v>
      </c>
      <c r="F2568" s="34">
        <v>3393.2</v>
      </c>
      <c r="G2568" s="36">
        <f>Tabla16[[#This Row],[Importe]]-Tabla16[[#This Row],[Pagado]]</f>
        <v>0</v>
      </c>
      <c r="H2568" s="38" t="s">
        <v>10</v>
      </c>
    </row>
    <row r="2569" spans="1:8" x14ac:dyDescent="0.25">
      <c r="A2569" s="31">
        <v>44704</v>
      </c>
      <c r="B2569" s="38" t="s">
        <v>16756</v>
      </c>
      <c r="C2569" s="38" t="s">
        <v>127</v>
      </c>
      <c r="D2569" s="34">
        <v>4953.8999999999996</v>
      </c>
      <c r="E2569" s="35">
        <v>44704</v>
      </c>
      <c r="F2569" s="34">
        <v>4953.8999999999996</v>
      </c>
      <c r="G2569" s="36">
        <f>Tabla16[[#This Row],[Importe]]-Tabla16[[#This Row],[Pagado]]</f>
        <v>0</v>
      </c>
      <c r="H2569" s="38" t="s">
        <v>10</v>
      </c>
    </row>
    <row r="2570" spans="1:8" x14ac:dyDescent="0.25">
      <c r="A2570" s="31">
        <v>44704</v>
      </c>
      <c r="B2570" s="38" t="s">
        <v>16757</v>
      </c>
      <c r="C2570" s="38" t="s">
        <v>129</v>
      </c>
      <c r="D2570" s="34">
        <v>5553.8</v>
      </c>
      <c r="E2570" s="35">
        <v>44704</v>
      </c>
      <c r="F2570" s="34">
        <v>5553.8</v>
      </c>
      <c r="G2570" s="36">
        <f>Tabla16[[#This Row],[Importe]]-Tabla16[[#This Row],[Pagado]]</f>
        <v>0</v>
      </c>
      <c r="H2570" s="38" t="s">
        <v>10</v>
      </c>
    </row>
    <row r="2571" spans="1:8" x14ac:dyDescent="0.25">
      <c r="A2571" s="31">
        <v>44704</v>
      </c>
      <c r="B2571" s="38" t="s">
        <v>16758</v>
      </c>
      <c r="C2571" s="38" t="s">
        <v>339</v>
      </c>
      <c r="D2571" s="34">
        <v>555.1</v>
      </c>
      <c r="E2571" s="35">
        <v>44704</v>
      </c>
      <c r="F2571" s="34">
        <v>555.1</v>
      </c>
      <c r="G2571" s="36">
        <f>Tabla16[[#This Row],[Importe]]-Tabla16[[#This Row],[Pagado]]</f>
        <v>0</v>
      </c>
      <c r="H2571" s="38" t="s">
        <v>10</v>
      </c>
    </row>
    <row r="2572" spans="1:8" x14ac:dyDescent="0.25">
      <c r="A2572" s="31">
        <v>44704</v>
      </c>
      <c r="B2572" s="38" t="s">
        <v>16759</v>
      </c>
      <c r="C2572" s="38" t="s">
        <v>357</v>
      </c>
      <c r="D2572" s="34">
        <v>951.6</v>
      </c>
      <c r="E2572" s="35">
        <v>44704</v>
      </c>
      <c r="F2572" s="34">
        <v>951.6</v>
      </c>
      <c r="G2572" s="36">
        <f>Tabla16[[#This Row],[Importe]]-Tabla16[[#This Row],[Pagado]]</f>
        <v>0</v>
      </c>
      <c r="H2572" s="38" t="s">
        <v>10</v>
      </c>
    </row>
    <row r="2573" spans="1:8" x14ac:dyDescent="0.25">
      <c r="A2573" s="31">
        <v>44704</v>
      </c>
      <c r="B2573" s="38" t="s">
        <v>16760</v>
      </c>
      <c r="C2573" s="38" t="s">
        <v>140</v>
      </c>
      <c r="D2573" s="34">
        <v>1366.4</v>
      </c>
      <c r="E2573" s="35">
        <v>44704</v>
      </c>
      <c r="F2573" s="34">
        <v>1366.4</v>
      </c>
      <c r="G2573" s="36">
        <f>Tabla16[[#This Row],[Importe]]-Tabla16[[#This Row],[Pagado]]</f>
        <v>0</v>
      </c>
      <c r="H2573" s="38" t="s">
        <v>10</v>
      </c>
    </row>
    <row r="2574" spans="1:8" x14ac:dyDescent="0.25">
      <c r="A2574" s="31">
        <v>44704</v>
      </c>
      <c r="B2574" s="38" t="s">
        <v>16761</v>
      </c>
      <c r="C2574" s="38" t="s">
        <v>31</v>
      </c>
      <c r="D2574" s="34">
        <v>2608.1999999999998</v>
      </c>
      <c r="E2574" s="35">
        <v>44704</v>
      </c>
      <c r="F2574" s="34">
        <v>2608.1999999999998</v>
      </c>
      <c r="G2574" s="36">
        <f>Tabla16[[#This Row],[Importe]]-Tabla16[[#This Row],[Pagado]]</f>
        <v>0</v>
      </c>
      <c r="H2574" s="38" t="s">
        <v>10</v>
      </c>
    </row>
    <row r="2575" spans="1:8" x14ac:dyDescent="0.25">
      <c r="A2575" s="31">
        <v>44704</v>
      </c>
      <c r="B2575" s="38" t="s">
        <v>16762</v>
      </c>
      <c r="C2575" s="38" t="s">
        <v>216</v>
      </c>
      <c r="D2575" s="34">
        <v>1560</v>
      </c>
      <c r="E2575" s="35">
        <v>44704</v>
      </c>
      <c r="F2575" s="34">
        <v>1560</v>
      </c>
      <c r="G2575" s="36">
        <f>Tabla16[[#This Row],[Importe]]-Tabla16[[#This Row],[Pagado]]</f>
        <v>0</v>
      </c>
      <c r="H2575" s="38" t="s">
        <v>10</v>
      </c>
    </row>
    <row r="2576" spans="1:8" x14ac:dyDescent="0.25">
      <c r="A2576" s="31">
        <v>44704</v>
      </c>
      <c r="B2576" s="38" t="s">
        <v>16763</v>
      </c>
      <c r="C2576" s="38" t="s">
        <v>5816</v>
      </c>
      <c r="D2576" s="34">
        <v>9357</v>
      </c>
      <c r="E2576" s="35">
        <v>44706</v>
      </c>
      <c r="F2576" s="34">
        <v>9357</v>
      </c>
      <c r="G2576" s="36">
        <f>Tabla16[[#This Row],[Importe]]-Tabla16[[#This Row],[Pagado]]</f>
        <v>0</v>
      </c>
      <c r="H2576" s="38" t="s">
        <v>10</v>
      </c>
    </row>
    <row r="2577" spans="1:8" x14ac:dyDescent="0.25">
      <c r="A2577" s="31">
        <v>44704</v>
      </c>
      <c r="B2577" s="38" t="s">
        <v>16764</v>
      </c>
      <c r="C2577" s="38" t="s">
        <v>133</v>
      </c>
      <c r="D2577" s="34">
        <v>12240</v>
      </c>
      <c r="E2577" s="35">
        <v>44706</v>
      </c>
      <c r="F2577" s="34">
        <v>12240</v>
      </c>
      <c r="G2577" s="36">
        <f>Tabla16[[#This Row],[Importe]]-Tabla16[[#This Row],[Pagado]]</f>
        <v>0</v>
      </c>
      <c r="H2577" s="38" t="s">
        <v>10</v>
      </c>
    </row>
    <row r="2578" spans="1:8" x14ac:dyDescent="0.25">
      <c r="A2578" s="31">
        <v>44704</v>
      </c>
      <c r="B2578" s="38" t="s">
        <v>16765</v>
      </c>
      <c r="C2578" s="38" t="s">
        <v>419</v>
      </c>
      <c r="D2578" s="34">
        <v>3660.8</v>
      </c>
      <c r="E2578" s="35">
        <v>44704</v>
      </c>
      <c r="F2578" s="34">
        <v>3660.8</v>
      </c>
      <c r="G2578" s="36">
        <f>Tabla16[[#This Row],[Importe]]-Tabla16[[#This Row],[Pagado]]</f>
        <v>0</v>
      </c>
      <c r="H2578" s="38" t="s">
        <v>10</v>
      </c>
    </row>
    <row r="2579" spans="1:8" x14ac:dyDescent="0.25">
      <c r="A2579" s="31">
        <v>44704</v>
      </c>
      <c r="B2579" s="38" t="s">
        <v>16766</v>
      </c>
      <c r="C2579" s="38" t="s">
        <v>135</v>
      </c>
      <c r="D2579" s="34">
        <v>1950</v>
      </c>
      <c r="E2579" s="35">
        <v>44704</v>
      </c>
      <c r="F2579" s="34">
        <v>1950</v>
      </c>
      <c r="G2579" s="36">
        <f>Tabla16[[#This Row],[Importe]]-Tabla16[[#This Row],[Pagado]]</f>
        <v>0</v>
      </c>
      <c r="H2579" s="38" t="s">
        <v>10</v>
      </c>
    </row>
    <row r="2580" spans="1:8" x14ac:dyDescent="0.25">
      <c r="A2580" s="31">
        <v>44704</v>
      </c>
      <c r="B2580" s="38" t="s">
        <v>16767</v>
      </c>
      <c r="C2580" s="38" t="s">
        <v>1174</v>
      </c>
      <c r="D2580" s="34">
        <v>32076.799999999999</v>
      </c>
      <c r="E2580" s="35">
        <v>44704</v>
      </c>
      <c r="F2580" s="34">
        <v>32076.799999999999</v>
      </c>
      <c r="G2580" s="36">
        <f>Tabla16[[#This Row],[Importe]]-Tabla16[[#This Row],[Pagado]]</f>
        <v>0</v>
      </c>
      <c r="H2580" s="38" t="s">
        <v>10</v>
      </c>
    </row>
    <row r="2581" spans="1:8" x14ac:dyDescent="0.25">
      <c r="A2581" s="31">
        <v>44704</v>
      </c>
      <c r="B2581" s="38" t="s">
        <v>16768</v>
      </c>
      <c r="C2581" s="38" t="s">
        <v>402</v>
      </c>
      <c r="D2581" s="34">
        <v>15628.2</v>
      </c>
      <c r="E2581" s="35">
        <v>44715</v>
      </c>
      <c r="F2581" s="34">
        <v>15628.2</v>
      </c>
      <c r="G2581" s="36">
        <f>Tabla16[[#This Row],[Importe]]-Tabla16[[#This Row],[Pagado]]</f>
        <v>0</v>
      </c>
      <c r="H2581" s="38" t="s">
        <v>10</v>
      </c>
    </row>
    <row r="2582" spans="1:8" x14ac:dyDescent="0.25">
      <c r="A2582" s="31">
        <v>44704</v>
      </c>
      <c r="B2582" s="38" t="s">
        <v>16769</v>
      </c>
      <c r="C2582" s="38" t="s">
        <v>400</v>
      </c>
      <c r="D2582" s="34">
        <v>5052.6000000000004</v>
      </c>
      <c r="E2582" s="35">
        <v>44715</v>
      </c>
      <c r="F2582" s="34">
        <v>5052.6000000000004</v>
      </c>
      <c r="G2582" s="36">
        <f>Tabla16[[#This Row],[Importe]]-Tabla16[[#This Row],[Pagado]]</f>
        <v>0</v>
      </c>
      <c r="H2582" s="38" t="s">
        <v>10</v>
      </c>
    </row>
    <row r="2583" spans="1:8" x14ac:dyDescent="0.25">
      <c r="A2583" s="31">
        <v>44704</v>
      </c>
      <c r="B2583" s="38" t="s">
        <v>16770</v>
      </c>
      <c r="C2583" s="38" t="s">
        <v>15868</v>
      </c>
      <c r="D2583" s="34">
        <v>25332</v>
      </c>
      <c r="E2583" s="35">
        <v>44706</v>
      </c>
      <c r="F2583" s="34">
        <v>25332</v>
      </c>
      <c r="G2583" s="36">
        <f>Tabla16[[#This Row],[Importe]]-Tabla16[[#This Row],[Pagado]]</f>
        <v>0</v>
      </c>
      <c r="H2583" s="38" t="s">
        <v>10</v>
      </c>
    </row>
    <row r="2584" spans="1:8" x14ac:dyDescent="0.25">
      <c r="A2584" s="31">
        <v>44704</v>
      </c>
      <c r="B2584" s="38" t="s">
        <v>16771</v>
      </c>
      <c r="C2584" s="38" t="s">
        <v>214</v>
      </c>
      <c r="D2584" s="34">
        <v>5313</v>
      </c>
      <c r="E2584" s="35">
        <v>44704</v>
      </c>
      <c r="F2584" s="34">
        <v>5313</v>
      </c>
      <c r="G2584" s="36">
        <f>Tabla16[[#This Row],[Importe]]-Tabla16[[#This Row],[Pagado]]</f>
        <v>0</v>
      </c>
      <c r="H2584" s="38" t="s">
        <v>10</v>
      </c>
    </row>
    <row r="2585" spans="1:8" x14ac:dyDescent="0.25">
      <c r="A2585" s="31">
        <v>44704</v>
      </c>
      <c r="B2585" s="38" t="s">
        <v>16772</v>
      </c>
      <c r="C2585" s="38" t="s">
        <v>58</v>
      </c>
      <c r="D2585" s="34">
        <v>2944</v>
      </c>
      <c r="E2585" s="35">
        <v>44704</v>
      </c>
      <c r="F2585" s="34">
        <v>2944</v>
      </c>
      <c r="G2585" s="36">
        <f>Tabla16[[#This Row],[Importe]]-Tabla16[[#This Row],[Pagado]]</f>
        <v>0</v>
      </c>
      <c r="H2585" s="38" t="s">
        <v>10</v>
      </c>
    </row>
    <row r="2586" spans="1:8" x14ac:dyDescent="0.25">
      <c r="A2586" s="31">
        <v>44704</v>
      </c>
      <c r="B2586" s="38" t="s">
        <v>16773</v>
      </c>
      <c r="C2586" s="38" t="s">
        <v>58</v>
      </c>
      <c r="D2586" s="34">
        <v>1090.4000000000001</v>
      </c>
      <c r="E2586" s="35">
        <v>44704</v>
      </c>
      <c r="F2586" s="34">
        <v>1090.4000000000001</v>
      </c>
      <c r="G2586" s="36">
        <f>Tabla16[[#This Row],[Importe]]-Tabla16[[#This Row],[Pagado]]</f>
        <v>0</v>
      </c>
      <c r="H2586" s="38" t="s">
        <v>10</v>
      </c>
    </row>
    <row r="2587" spans="1:8" x14ac:dyDescent="0.25">
      <c r="A2587" s="31">
        <v>44704</v>
      </c>
      <c r="B2587" s="38" t="s">
        <v>16774</v>
      </c>
      <c r="C2587" s="38" t="s">
        <v>541</v>
      </c>
      <c r="D2587" s="34">
        <v>32394</v>
      </c>
      <c r="E2587" s="35">
        <v>44706</v>
      </c>
      <c r="F2587" s="34">
        <v>32394</v>
      </c>
      <c r="G2587" s="36">
        <f>Tabla16[[#This Row],[Importe]]-Tabla16[[#This Row],[Pagado]]</f>
        <v>0</v>
      </c>
      <c r="H2587" s="38" t="s">
        <v>10</v>
      </c>
    </row>
    <row r="2588" spans="1:8" x14ac:dyDescent="0.25">
      <c r="A2588" s="31">
        <v>44704</v>
      </c>
      <c r="B2588" s="38" t="s">
        <v>16775</v>
      </c>
      <c r="C2588" s="38" t="s">
        <v>414</v>
      </c>
      <c r="D2588" s="34">
        <v>2460</v>
      </c>
      <c r="E2588" s="35">
        <v>44704</v>
      </c>
      <c r="F2588" s="34">
        <v>2460</v>
      </c>
      <c r="G2588" s="36">
        <f>Tabla16[[#This Row],[Importe]]-Tabla16[[#This Row],[Pagado]]</f>
        <v>0</v>
      </c>
      <c r="H2588" s="38" t="s">
        <v>10</v>
      </c>
    </row>
    <row r="2589" spans="1:8" x14ac:dyDescent="0.25">
      <c r="A2589" s="31">
        <v>44704</v>
      </c>
      <c r="B2589" s="38" t="s">
        <v>16776</v>
      </c>
      <c r="C2589" s="38" t="s">
        <v>843</v>
      </c>
      <c r="D2589" s="34">
        <v>30003</v>
      </c>
      <c r="E2589" s="35">
        <v>44704</v>
      </c>
      <c r="F2589" s="34">
        <v>30003</v>
      </c>
      <c r="G2589" s="36">
        <f>Tabla16[[#This Row],[Importe]]-Tabla16[[#This Row],[Pagado]]</f>
        <v>0</v>
      </c>
      <c r="H2589" s="38" t="s">
        <v>10</v>
      </c>
    </row>
    <row r="2590" spans="1:8" x14ac:dyDescent="0.25">
      <c r="A2590" s="31">
        <v>44704</v>
      </c>
      <c r="B2590" s="38" t="s">
        <v>16777</v>
      </c>
      <c r="C2590" s="38" t="s">
        <v>9827</v>
      </c>
      <c r="D2590" s="34">
        <v>4830</v>
      </c>
      <c r="E2590" s="35">
        <v>44704</v>
      </c>
      <c r="F2590" s="34">
        <v>4830</v>
      </c>
      <c r="G2590" s="36">
        <f>Tabla16[[#This Row],[Importe]]-Tabla16[[#This Row],[Pagado]]</f>
        <v>0</v>
      </c>
      <c r="H2590" s="38" t="s">
        <v>10</v>
      </c>
    </row>
    <row r="2591" spans="1:8" x14ac:dyDescent="0.25">
      <c r="A2591" s="31">
        <v>44704</v>
      </c>
      <c r="B2591" s="38" t="s">
        <v>16778</v>
      </c>
      <c r="C2591" s="38" t="s">
        <v>450</v>
      </c>
      <c r="D2591" s="34">
        <v>1238.9000000000001</v>
      </c>
      <c r="E2591" s="35">
        <v>44704</v>
      </c>
      <c r="F2591" s="34">
        <v>1238.9000000000001</v>
      </c>
      <c r="G2591" s="36">
        <f>Tabla16[[#This Row],[Importe]]-Tabla16[[#This Row],[Pagado]]</f>
        <v>0</v>
      </c>
      <c r="H2591" s="38" t="s">
        <v>10</v>
      </c>
    </row>
    <row r="2592" spans="1:8" x14ac:dyDescent="0.25">
      <c r="A2592" s="31">
        <v>44704</v>
      </c>
      <c r="B2592" s="38" t="s">
        <v>16779</v>
      </c>
      <c r="C2592" s="38" t="s">
        <v>9827</v>
      </c>
      <c r="D2592" s="34">
        <v>546</v>
      </c>
      <c r="E2592" s="35">
        <v>44704</v>
      </c>
      <c r="F2592" s="34">
        <v>546</v>
      </c>
      <c r="G2592" s="36">
        <f>Tabla16[[#This Row],[Importe]]-Tabla16[[#This Row],[Pagado]]</f>
        <v>0</v>
      </c>
      <c r="H2592" s="38" t="s">
        <v>10</v>
      </c>
    </row>
    <row r="2593" spans="1:8" x14ac:dyDescent="0.25">
      <c r="A2593" s="31">
        <v>44704</v>
      </c>
      <c r="B2593" s="38" t="s">
        <v>16780</v>
      </c>
      <c r="C2593" s="38" t="s">
        <v>67</v>
      </c>
      <c r="D2593" s="34">
        <v>1254</v>
      </c>
      <c r="E2593" s="35">
        <v>44704</v>
      </c>
      <c r="F2593" s="34">
        <v>1254</v>
      </c>
      <c r="G2593" s="36">
        <f>Tabla16[[#This Row],[Importe]]-Tabla16[[#This Row],[Pagado]]</f>
        <v>0</v>
      </c>
      <c r="H2593" s="38" t="s">
        <v>10</v>
      </c>
    </row>
    <row r="2594" spans="1:8" x14ac:dyDescent="0.25">
      <c r="A2594" s="31">
        <v>44704</v>
      </c>
      <c r="B2594" s="38" t="s">
        <v>16781</v>
      </c>
      <c r="C2594" s="38" t="s">
        <v>31</v>
      </c>
      <c r="D2594" s="34">
        <v>452</v>
      </c>
      <c r="E2594" s="35">
        <v>44704</v>
      </c>
      <c r="F2594" s="34">
        <v>452</v>
      </c>
      <c r="G2594" s="36">
        <f>Tabla16[[#This Row],[Importe]]-Tabla16[[#This Row],[Pagado]]</f>
        <v>0</v>
      </c>
      <c r="H2594" s="38" t="s">
        <v>10</v>
      </c>
    </row>
    <row r="2595" spans="1:8" x14ac:dyDescent="0.25">
      <c r="A2595" s="31">
        <v>44704</v>
      </c>
      <c r="B2595" s="38" t="s">
        <v>16782</v>
      </c>
      <c r="C2595" s="38" t="s">
        <v>654</v>
      </c>
      <c r="D2595" s="34">
        <v>3648.2</v>
      </c>
      <c r="E2595" s="35">
        <v>44704</v>
      </c>
      <c r="F2595" s="34">
        <v>3648.2</v>
      </c>
      <c r="G2595" s="36">
        <f>Tabla16[[#This Row],[Importe]]-Tabla16[[#This Row],[Pagado]]</f>
        <v>0</v>
      </c>
      <c r="H2595" s="38" t="s">
        <v>10</v>
      </c>
    </row>
    <row r="2596" spans="1:8" x14ac:dyDescent="0.25">
      <c r="A2596" s="31">
        <v>44704</v>
      </c>
      <c r="B2596" s="38" t="s">
        <v>16783</v>
      </c>
      <c r="C2596" s="38" t="s">
        <v>273</v>
      </c>
      <c r="D2596" s="34">
        <v>1481.7</v>
      </c>
      <c r="E2596" s="35">
        <v>44705</v>
      </c>
      <c r="F2596" s="34">
        <v>1481.7</v>
      </c>
      <c r="G2596" s="36">
        <f>Tabla16[[#This Row],[Importe]]-Tabla16[[#This Row],[Pagado]]</f>
        <v>0</v>
      </c>
      <c r="H2596" s="38" t="s">
        <v>10</v>
      </c>
    </row>
    <row r="2597" spans="1:8" x14ac:dyDescent="0.25">
      <c r="A2597" s="31">
        <v>44704</v>
      </c>
      <c r="B2597" s="38" t="s">
        <v>16784</v>
      </c>
      <c r="C2597" s="38" t="s">
        <v>1265</v>
      </c>
      <c r="D2597" s="34">
        <v>448.8</v>
      </c>
      <c r="E2597" s="35">
        <v>44704</v>
      </c>
      <c r="F2597" s="34">
        <v>448.8</v>
      </c>
      <c r="G2597" s="36">
        <f>Tabla16[[#This Row],[Importe]]-Tabla16[[#This Row],[Pagado]]</f>
        <v>0</v>
      </c>
      <c r="H2597" s="38" t="s">
        <v>10</v>
      </c>
    </row>
    <row r="2598" spans="1:8" x14ac:dyDescent="0.25">
      <c r="A2598" s="31">
        <v>44704</v>
      </c>
      <c r="B2598" s="38" t="s">
        <v>16785</v>
      </c>
      <c r="C2598" s="38" t="s">
        <v>175</v>
      </c>
      <c r="D2598" s="34">
        <v>22761.599999999999</v>
      </c>
      <c r="E2598" s="35">
        <v>44705</v>
      </c>
      <c r="F2598" s="34">
        <v>22761.599999999999</v>
      </c>
      <c r="G2598" s="36">
        <f>Tabla16[[#This Row],[Importe]]-Tabla16[[#This Row],[Pagado]]</f>
        <v>0</v>
      </c>
      <c r="H2598" s="38" t="s">
        <v>10</v>
      </c>
    </row>
    <row r="2599" spans="1:8" x14ac:dyDescent="0.25">
      <c r="A2599" s="31">
        <v>44704</v>
      </c>
      <c r="B2599" s="38" t="s">
        <v>16786</v>
      </c>
      <c r="C2599" s="38" t="s">
        <v>1008</v>
      </c>
      <c r="D2599" s="34">
        <v>486.4</v>
      </c>
      <c r="E2599" s="35">
        <v>44704</v>
      </c>
      <c r="F2599" s="34">
        <v>486.4</v>
      </c>
      <c r="G2599" s="36">
        <f>Tabla16[[#This Row],[Importe]]-Tabla16[[#This Row],[Pagado]]</f>
        <v>0</v>
      </c>
      <c r="H2599" s="38" t="s">
        <v>10</v>
      </c>
    </row>
    <row r="2600" spans="1:8" x14ac:dyDescent="0.25">
      <c r="A2600" s="31">
        <v>44704</v>
      </c>
      <c r="B2600" s="38" t="s">
        <v>16787</v>
      </c>
      <c r="C2600" s="38" t="s">
        <v>107</v>
      </c>
      <c r="D2600" s="34">
        <v>12818.4</v>
      </c>
      <c r="E2600" s="35">
        <v>44705</v>
      </c>
      <c r="F2600" s="34">
        <v>12818.4</v>
      </c>
      <c r="G2600" s="36">
        <f>Tabla16[[#This Row],[Importe]]-Tabla16[[#This Row],[Pagado]]</f>
        <v>0</v>
      </c>
      <c r="H2600" s="38" t="s">
        <v>10</v>
      </c>
    </row>
    <row r="2601" spans="1:8" x14ac:dyDescent="0.25">
      <c r="A2601" s="31">
        <v>44704</v>
      </c>
      <c r="B2601" s="38" t="s">
        <v>16788</v>
      </c>
      <c r="C2601" s="38" t="s">
        <v>291</v>
      </c>
      <c r="D2601" s="34">
        <v>3468</v>
      </c>
      <c r="E2601" s="35">
        <v>44705</v>
      </c>
      <c r="F2601" s="34">
        <v>3468</v>
      </c>
      <c r="G2601" s="36">
        <f>Tabla16[[#This Row],[Importe]]-Tabla16[[#This Row],[Pagado]]</f>
        <v>0</v>
      </c>
      <c r="H2601" s="38" t="s">
        <v>10</v>
      </c>
    </row>
    <row r="2602" spans="1:8" x14ac:dyDescent="0.25">
      <c r="A2602" s="31">
        <v>44704</v>
      </c>
      <c r="B2602" s="38" t="s">
        <v>16789</v>
      </c>
      <c r="C2602" s="38" t="s">
        <v>175</v>
      </c>
      <c r="D2602" s="34">
        <v>7895.8</v>
      </c>
      <c r="E2602" s="35">
        <v>44705</v>
      </c>
      <c r="F2602" s="34">
        <v>7895.8</v>
      </c>
      <c r="G2602" s="36">
        <f>Tabla16[[#This Row],[Importe]]-Tabla16[[#This Row],[Pagado]]</f>
        <v>0</v>
      </c>
      <c r="H2602" s="38" t="s">
        <v>10</v>
      </c>
    </row>
    <row r="2603" spans="1:8" x14ac:dyDescent="0.25">
      <c r="A2603" s="31">
        <v>44704</v>
      </c>
      <c r="B2603" s="38" t="s">
        <v>16790</v>
      </c>
      <c r="C2603" s="38" t="s">
        <v>284</v>
      </c>
      <c r="D2603" s="34">
        <v>1944</v>
      </c>
      <c r="E2603" s="35">
        <v>44705</v>
      </c>
      <c r="F2603" s="34">
        <v>1944</v>
      </c>
      <c r="G2603" s="36">
        <f>Tabla16[[#This Row],[Importe]]-Tabla16[[#This Row],[Pagado]]</f>
        <v>0</v>
      </c>
      <c r="H2603" s="38" t="s">
        <v>10</v>
      </c>
    </row>
    <row r="2604" spans="1:8" x14ac:dyDescent="0.25">
      <c r="A2604" s="31">
        <v>44704</v>
      </c>
      <c r="B2604" s="38" t="s">
        <v>16791</v>
      </c>
      <c r="C2604" s="38" t="s">
        <v>284</v>
      </c>
      <c r="D2604" s="34">
        <v>7332</v>
      </c>
      <c r="E2604" s="35">
        <v>44705</v>
      </c>
      <c r="F2604" s="34">
        <v>7332</v>
      </c>
      <c r="G2604" s="36">
        <f>Tabla16[[#This Row],[Importe]]-Tabla16[[#This Row],[Pagado]]</f>
        <v>0</v>
      </c>
      <c r="H2604" s="38" t="s">
        <v>10</v>
      </c>
    </row>
    <row r="2605" spans="1:8" x14ac:dyDescent="0.25">
      <c r="A2605" s="31">
        <v>44704</v>
      </c>
      <c r="B2605" s="38" t="s">
        <v>16792</v>
      </c>
      <c r="C2605" s="38" t="s">
        <v>583</v>
      </c>
      <c r="D2605" s="34">
        <v>3540</v>
      </c>
      <c r="E2605" s="35">
        <v>44704</v>
      </c>
      <c r="F2605" s="34">
        <v>3540</v>
      </c>
      <c r="G2605" s="36">
        <f>Tabla16[[#This Row],[Importe]]-Tabla16[[#This Row],[Pagado]]</f>
        <v>0</v>
      </c>
      <c r="H2605" s="38" t="s">
        <v>10</v>
      </c>
    </row>
    <row r="2606" spans="1:8" x14ac:dyDescent="0.25">
      <c r="A2606" s="31">
        <v>44704</v>
      </c>
      <c r="B2606" s="38" t="s">
        <v>16793</v>
      </c>
      <c r="C2606" s="38" t="s">
        <v>2961</v>
      </c>
      <c r="D2606" s="34">
        <v>68560.800000000003</v>
      </c>
      <c r="E2606" s="35">
        <v>44706</v>
      </c>
      <c r="F2606" s="34">
        <v>68560.800000000003</v>
      </c>
      <c r="G2606" s="36">
        <f>Tabla16[[#This Row],[Importe]]-Tabla16[[#This Row],[Pagado]]</f>
        <v>0</v>
      </c>
      <c r="H2606" s="38" t="s">
        <v>10</v>
      </c>
    </row>
    <row r="2607" spans="1:8" x14ac:dyDescent="0.25">
      <c r="A2607" s="31">
        <v>44704</v>
      </c>
      <c r="B2607" s="38" t="s">
        <v>16794</v>
      </c>
      <c r="C2607" s="38" t="s">
        <v>10678</v>
      </c>
      <c r="D2607" s="34">
        <v>2739.4</v>
      </c>
      <c r="E2607" s="35">
        <v>44704</v>
      </c>
      <c r="F2607" s="34">
        <v>2739.4</v>
      </c>
      <c r="G2607" s="36">
        <f>Tabla16[[#This Row],[Importe]]-Tabla16[[#This Row],[Pagado]]</f>
        <v>0</v>
      </c>
      <c r="H2607" s="38" t="s">
        <v>10</v>
      </c>
    </row>
    <row r="2608" spans="1:8" x14ac:dyDescent="0.25">
      <c r="A2608" s="31">
        <v>44704</v>
      </c>
      <c r="B2608" s="38" t="s">
        <v>16795</v>
      </c>
      <c r="C2608" s="38" t="s">
        <v>296</v>
      </c>
      <c r="D2608" s="34">
        <v>2884.3</v>
      </c>
      <c r="E2608" s="35">
        <v>44704</v>
      </c>
      <c r="F2608" s="34">
        <v>2884.3</v>
      </c>
      <c r="G2608" s="36">
        <f>Tabla16[[#This Row],[Importe]]-Tabla16[[#This Row],[Pagado]]</f>
        <v>0</v>
      </c>
      <c r="H2608" s="38" t="s">
        <v>10</v>
      </c>
    </row>
    <row r="2609" spans="1:8" x14ac:dyDescent="0.25">
      <c r="A2609" s="31">
        <v>44704</v>
      </c>
      <c r="B2609" s="38" t="s">
        <v>16796</v>
      </c>
      <c r="C2609" s="38" t="s">
        <v>16797</v>
      </c>
      <c r="D2609" s="34">
        <v>0</v>
      </c>
      <c r="E2609" s="39" t="s">
        <v>189</v>
      </c>
      <c r="F2609" s="34">
        <v>0</v>
      </c>
      <c r="G2609" s="36">
        <f>Tabla16[[#This Row],[Importe]]-Tabla16[[#This Row],[Pagado]]</f>
        <v>0</v>
      </c>
      <c r="H2609" s="38" t="s">
        <v>189</v>
      </c>
    </row>
    <row r="2610" spans="1:8" x14ac:dyDescent="0.25">
      <c r="A2610" s="31">
        <v>44704</v>
      </c>
      <c r="B2610" s="38" t="s">
        <v>16798</v>
      </c>
      <c r="C2610" s="38" t="s">
        <v>670</v>
      </c>
      <c r="D2610" s="34">
        <v>4550.6000000000004</v>
      </c>
      <c r="E2610" s="35">
        <v>44704</v>
      </c>
      <c r="F2610" s="34">
        <v>4550.6000000000004</v>
      </c>
      <c r="G2610" s="36">
        <f>Tabla16[[#This Row],[Importe]]-Tabla16[[#This Row],[Pagado]]</f>
        <v>0</v>
      </c>
      <c r="H2610" s="38" t="s">
        <v>10</v>
      </c>
    </row>
    <row r="2611" spans="1:8" x14ac:dyDescent="0.25">
      <c r="A2611" s="31">
        <v>44704</v>
      </c>
      <c r="B2611" s="38" t="s">
        <v>16799</v>
      </c>
      <c r="C2611" s="38" t="s">
        <v>1987</v>
      </c>
      <c r="D2611" s="34">
        <v>15393.4</v>
      </c>
      <c r="E2611" s="35">
        <v>44704</v>
      </c>
      <c r="F2611" s="34">
        <v>15393.4</v>
      </c>
      <c r="G2611" s="36">
        <f>Tabla16[[#This Row],[Importe]]-Tabla16[[#This Row],[Pagado]]</f>
        <v>0</v>
      </c>
      <c r="H2611" s="38" t="s">
        <v>10</v>
      </c>
    </row>
    <row r="2612" spans="1:8" x14ac:dyDescent="0.25">
      <c r="A2612" s="31">
        <v>44704</v>
      </c>
      <c r="B2612" s="38" t="s">
        <v>16800</v>
      </c>
      <c r="C2612" s="38" t="s">
        <v>10984</v>
      </c>
      <c r="D2612" s="34">
        <v>16064</v>
      </c>
      <c r="E2612" s="35">
        <v>44704</v>
      </c>
      <c r="F2612" s="34">
        <v>16064</v>
      </c>
      <c r="G2612" s="36">
        <f>Tabla16[[#This Row],[Importe]]-Tabla16[[#This Row],[Pagado]]</f>
        <v>0</v>
      </c>
      <c r="H2612" s="38" t="s">
        <v>10</v>
      </c>
    </row>
    <row r="2613" spans="1:8" x14ac:dyDescent="0.25">
      <c r="A2613" s="31">
        <v>44704</v>
      </c>
      <c r="B2613" s="38" t="s">
        <v>16801</v>
      </c>
      <c r="C2613" s="38" t="s">
        <v>365</v>
      </c>
      <c r="D2613" s="34">
        <v>841.8</v>
      </c>
      <c r="E2613" s="35">
        <v>44704</v>
      </c>
      <c r="F2613" s="34">
        <v>841.8</v>
      </c>
      <c r="G2613" s="36">
        <f>Tabla16[[#This Row],[Importe]]-Tabla16[[#This Row],[Pagado]]</f>
        <v>0</v>
      </c>
      <c r="H2613" s="38" t="s">
        <v>10</v>
      </c>
    </row>
    <row r="2614" spans="1:8" x14ac:dyDescent="0.25">
      <c r="A2614" s="31">
        <v>44704</v>
      </c>
      <c r="B2614" s="38" t="s">
        <v>16802</v>
      </c>
      <c r="C2614" s="38" t="s">
        <v>454</v>
      </c>
      <c r="D2614" s="34">
        <v>3960</v>
      </c>
      <c r="E2614" s="35">
        <v>44704</v>
      </c>
      <c r="F2614" s="34">
        <v>3960</v>
      </c>
      <c r="G2614" s="36">
        <f>Tabla16[[#This Row],[Importe]]-Tabla16[[#This Row],[Pagado]]</f>
        <v>0</v>
      </c>
      <c r="H2614" s="38" t="s">
        <v>10</v>
      </c>
    </row>
    <row r="2615" spans="1:8" x14ac:dyDescent="0.25">
      <c r="A2615" s="31">
        <v>44704</v>
      </c>
      <c r="B2615" s="38" t="s">
        <v>16803</v>
      </c>
      <c r="C2615" s="38" t="s">
        <v>53</v>
      </c>
      <c r="D2615" s="34">
        <v>3275.7</v>
      </c>
      <c r="E2615" s="35">
        <v>44704</v>
      </c>
      <c r="F2615" s="34">
        <v>3275.7</v>
      </c>
      <c r="G2615" s="36">
        <f>Tabla16[[#This Row],[Importe]]-Tabla16[[#This Row],[Pagado]]</f>
        <v>0</v>
      </c>
      <c r="H2615" s="38" t="s">
        <v>10</v>
      </c>
    </row>
    <row r="2616" spans="1:8" x14ac:dyDescent="0.25">
      <c r="A2616" s="31">
        <v>44704</v>
      </c>
      <c r="B2616" s="38" t="s">
        <v>16804</v>
      </c>
      <c r="C2616" s="38" t="s">
        <v>10840</v>
      </c>
      <c r="D2616" s="34">
        <v>13425</v>
      </c>
      <c r="E2616" s="35">
        <v>44711</v>
      </c>
      <c r="F2616" s="34">
        <v>13425</v>
      </c>
      <c r="G2616" s="36">
        <f>Tabla16[[#This Row],[Importe]]-Tabla16[[#This Row],[Pagado]]</f>
        <v>0</v>
      </c>
      <c r="H2616" s="38" t="s">
        <v>10</v>
      </c>
    </row>
    <row r="2617" spans="1:8" x14ac:dyDescent="0.25">
      <c r="A2617" s="31">
        <v>44705</v>
      </c>
      <c r="B2617" s="38" t="s">
        <v>16805</v>
      </c>
      <c r="C2617" s="38" t="s">
        <v>481</v>
      </c>
      <c r="D2617" s="34">
        <v>1331.7</v>
      </c>
      <c r="E2617" s="35">
        <v>44705</v>
      </c>
      <c r="F2617" s="34">
        <v>1331.7</v>
      </c>
      <c r="G2617" s="36">
        <f>Tabla16[[#This Row],[Importe]]-Tabla16[[#This Row],[Pagado]]</f>
        <v>0</v>
      </c>
      <c r="H2617" s="38" t="s">
        <v>10</v>
      </c>
    </row>
    <row r="2618" spans="1:8" x14ac:dyDescent="0.25">
      <c r="A2618" s="31">
        <v>44705</v>
      </c>
      <c r="B2618" s="38" t="s">
        <v>16806</v>
      </c>
      <c r="C2618" s="38" t="s">
        <v>348</v>
      </c>
      <c r="D2618" s="34">
        <v>1607.4</v>
      </c>
      <c r="E2618" s="35">
        <v>44705</v>
      </c>
      <c r="F2618" s="34">
        <v>1607.4</v>
      </c>
      <c r="G2618" s="36">
        <f>Tabla16[[#This Row],[Importe]]-Tabla16[[#This Row],[Pagado]]</f>
        <v>0</v>
      </c>
      <c r="H2618" s="38" t="s">
        <v>10</v>
      </c>
    </row>
    <row r="2619" spans="1:8" x14ac:dyDescent="0.25">
      <c r="A2619" s="31">
        <v>44705</v>
      </c>
      <c r="B2619" s="38" t="s">
        <v>16807</v>
      </c>
      <c r="C2619" s="38" t="s">
        <v>326</v>
      </c>
      <c r="D2619" s="34">
        <v>4404.3999999999996</v>
      </c>
      <c r="E2619" s="35">
        <v>44706</v>
      </c>
      <c r="F2619" s="34">
        <v>4404.3999999999996</v>
      </c>
      <c r="G2619" s="36">
        <f>Tabla16[[#This Row],[Importe]]-Tabla16[[#This Row],[Pagado]]</f>
        <v>0</v>
      </c>
      <c r="H2619" s="38" t="s">
        <v>10</v>
      </c>
    </row>
    <row r="2620" spans="1:8" x14ac:dyDescent="0.25">
      <c r="A2620" s="31">
        <v>44705</v>
      </c>
      <c r="B2620" s="38" t="s">
        <v>16808</v>
      </c>
      <c r="C2620" s="38" t="s">
        <v>89</v>
      </c>
      <c r="D2620" s="34">
        <v>7045.3</v>
      </c>
      <c r="E2620" s="35">
        <v>44707</v>
      </c>
      <c r="F2620" s="34">
        <v>7045.3</v>
      </c>
      <c r="G2620" s="36">
        <f>Tabla16[[#This Row],[Importe]]-Tabla16[[#This Row],[Pagado]]</f>
        <v>0</v>
      </c>
      <c r="H2620" s="38" t="s">
        <v>10</v>
      </c>
    </row>
    <row r="2621" spans="1:8" ht="31.5" x14ac:dyDescent="0.25">
      <c r="A2621" s="31">
        <v>44705</v>
      </c>
      <c r="B2621" s="38" t="s">
        <v>16809</v>
      </c>
      <c r="C2621" s="38" t="s">
        <v>99</v>
      </c>
      <c r="D2621" s="34">
        <v>7159.6</v>
      </c>
      <c r="E2621" s="35" t="s">
        <v>16701</v>
      </c>
      <c r="F2621" s="34">
        <f>4600+2559.6</f>
        <v>7159.6</v>
      </c>
      <c r="G2621" s="36">
        <f>Tabla16[[#This Row],[Importe]]-Tabla16[[#This Row],[Pagado]]</f>
        <v>0</v>
      </c>
      <c r="H2621" s="38" t="s">
        <v>10</v>
      </c>
    </row>
    <row r="2622" spans="1:8" x14ac:dyDescent="0.25">
      <c r="A2622" s="31">
        <v>44705</v>
      </c>
      <c r="B2622" s="38" t="s">
        <v>16810</v>
      </c>
      <c r="C2622" s="38" t="s">
        <v>116</v>
      </c>
      <c r="D2622" s="34">
        <v>4347</v>
      </c>
      <c r="E2622" s="35">
        <v>44707</v>
      </c>
      <c r="F2622" s="34">
        <v>4347</v>
      </c>
      <c r="G2622" s="36">
        <f>Tabla16[[#This Row],[Importe]]-Tabla16[[#This Row],[Pagado]]</f>
        <v>0</v>
      </c>
      <c r="H2622" s="38" t="s">
        <v>10</v>
      </c>
    </row>
    <row r="2623" spans="1:8" x14ac:dyDescent="0.25">
      <c r="A2623" s="31">
        <v>44705</v>
      </c>
      <c r="B2623" s="38" t="s">
        <v>16811</v>
      </c>
      <c r="C2623" s="38" t="s">
        <v>10586</v>
      </c>
      <c r="D2623" s="34">
        <v>5361.2</v>
      </c>
      <c r="E2623" s="35">
        <v>44706</v>
      </c>
      <c r="F2623" s="34">
        <v>5361.2</v>
      </c>
      <c r="G2623" s="36">
        <f>Tabla16[[#This Row],[Importe]]-Tabla16[[#This Row],[Pagado]]</f>
        <v>0</v>
      </c>
      <c r="H2623" s="38" t="s">
        <v>10</v>
      </c>
    </row>
    <row r="2624" spans="1:8" x14ac:dyDescent="0.25">
      <c r="A2624" s="31">
        <v>44705</v>
      </c>
      <c r="B2624" s="38" t="s">
        <v>16812</v>
      </c>
      <c r="C2624" s="38" t="s">
        <v>39</v>
      </c>
      <c r="D2624" s="34">
        <v>9463.2000000000007</v>
      </c>
      <c r="E2624" s="35">
        <v>44705</v>
      </c>
      <c r="F2624" s="34">
        <v>9463.2000000000007</v>
      </c>
      <c r="G2624" s="36">
        <f>Tabla16[[#This Row],[Importe]]-Tabla16[[#This Row],[Pagado]]</f>
        <v>0</v>
      </c>
      <c r="H2624" s="38" t="s">
        <v>10</v>
      </c>
    </row>
    <row r="2625" spans="1:8" x14ac:dyDescent="0.25">
      <c r="A2625" s="31">
        <v>44705</v>
      </c>
      <c r="B2625" s="38" t="s">
        <v>16813</v>
      </c>
      <c r="C2625" s="38" t="s">
        <v>64</v>
      </c>
      <c r="D2625" s="34">
        <v>4113.2</v>
      </c>
      <c r="E2625" s="35">
        <v>44706</v>
      </c>
      <c r="F2625" s="34">
        <v>4113.2</v>
      </c>
      <c r="G2625" s="36">
        <f>Tabla16[[#This Row],[Importe]]-Tabla16[[#This Row],[Pagado]]</f>
        <v>0</v>
      </c>
      <c r="H2625" s="38" t="s">
        <v>10</v>
      </c>
    </row>
    <row r="2626" spans="1:8" x14ac:dyDescent="0.25">
      <c r="A2626" s="31">
        <v>44705</v>
      </c>
      <c r="B2626" s="38" t="s">
        <v>16814</v>
      </c>
      <c r="C2626" s="38" t="s">
        <v>111</v>
      </c>
      <c r="D2626" s="34">
        <v>4238</v>
      </c>
      <c r="E2626" s="35">
        <v>44706</v>
      </c>
      <c r="F2626" s="34">
        <v>4238</v>
      </c>
      <c r="G2626" s="36">
        <f>Tabla16[[#This Row],[Importe]]-Tabla16[[#This Row],[Pagado]]</f>
        <v>0</v>
      </c>
      <c r="H2626" s="38" t="s">
        <v>10</v>
      </c>
    </row>
    <row r="2627" spans="1:8" x14ac:dyDescent="0.25">
      <c r="A2627" s="31">
        <v>44705</v>
      </c>
      <c r="B2627" s="38" t="s">
        <v>16815</v>
      </c>
      <c r="C2627" s="38" t="s">
        <v>105</v>
      </c>
      <c r="D2627" s="34">
        <v>4633.2</v>
      </c>
      <c r="E2627" s="35">
        <v>44706</v>
      </c>
      <c r="F2627" s="34">
        <v>4633.2</v>
      </c>
      <c r="G2627" s="36">
        <f>Tabla16[[#This Row],[Importe]]-Tabla16[[#This Row],[Pagado]]</f>
        <v>0</v>
      </c>
      <c r="H2627" s="38" t="s">
        <v>10</v>
      </c>
    </row>
    <row r="2628" spans="1:8" x14ac:dyDescent="0.25">
      <c r="A2628" s="31">
        <v>44705</v>
      </c>
      <c r="B2628" s="38" t="s">
        <v>16816</v>
      </c>
      <c r="C2628" s="38" t="s">
        <v>114</v>
      </c>
      <c r="D2628" s="34">
        <v>8554</v>
      </c>
      <c r="E2628" s="35">
        <v>44707</v>
      </c>
      <c r="F2628" s="34">
        <v>8554</v>
      </c>
      <c r="G2628" s="36">
        <f>Tabla16[[#This Row],[Importe]]-Tabla16[[#This Row],[Pagado]]</f>
        <v>0</v>
      </c>
      <c r="H2628" s="38" t="s">
        <v>10</v>
      </c>
    </row>
    <row r="2629" spans="1:8" x14ac:dyDescent="0.25">
      <c r="A2629" s="31">
        <v>44705</v>
      </c>
      <c r="B2629" s="38" t="s">
        <v>16817</v>
      </c>
      <c r="C2629" s="38" t="s">
        <v>93</v>
      </c>
      <c r="D2629" s="34">
        <v>1089.5999999999999</v>
      </c>
      <c r="E2629" s="35">
        <v>44706</v>
      </c>
      <c r="F2629" s="34">
        <v>1089.5999999999999</v>
      </c>
      <c r="G2629" s="36">
        <f>Tabla16[[#This Row],[Importe]]-Tabla16[[#This Row],[Pagado]]</f>
        <v>0</v>
      </c>
      <c r="H2629" s="38" t="s">
        <v>10</v>
      </c>
    </row>
    <row r="2630" spans="1:8" x14ac:dyDescent="0.25">
      <c r="A2630" s="31">
        <v>44705</v>
      </c>
      <c r="B2630" s="38" t="s">
        <v>16818</v>
      </c>
      <c r="C2630" s="38" t="s">
        <v>16819</v>
      </c>
      <c r="D2630" s="34">
        <v>4536.8</v>
      </c>
      <c r="E2630" s="35">
        <v>44705</v>
      </c>
      <c r="F2630" s="34">
        <v>4536.8</v>
      </c>
      <c r="G2630" s="36">
        <f>Tabla16[[#This Row],[Importe]]-Tabla16[[#This Row],[Pagado]]</f>
        <v>0</v>
      </c>
      <c r="H2630" s="38" t="s">
        <v>10</v>
      </c>
    </row>
    <row r="2631" spans="1:8" x14ac:dyDescent="0.25">
      <c r="A2631" s="31">
        <v>44705</v>
      </c>
      <c r="B2631" s="38" t="s">
        <v>16820</v>
      </c>
      <c r="C2631" s="38" t="s">
        <v>9</v>
      </c>
      <c r="D2631" s="34">
        <v>5772</v>
      </c>
      <c r="E2631" s="35">
        <v>44705</v>
      </c>
      <c r="F2631" s="34">
        <v>5772</v>
      </c>
      <c r="G2631" s="36">
        <f>Tabla16[[#This Row],[Importe]]-Tabla16[[#This Row],[Pagado]]</f>
        <v>0</v>
      </c>
      <c r="H2631" s="38" t="s">
        <v>10</v>
      </c>
    </row>
    <row r="2632" spans="1:8" x14ac:dyDescent="0.25">
      <c r="A2632" s="31">
        <v>44705</v>
      </c>
      <c r="B2632" s="38" t="s">
        <v>16821</v>
      </c>
      <c r="C2632" s="38" t="s">
        <v>83</v>
      </c>
      <c r="D2632" s="34">
        <v>7525</v>
      </c>
      <c r="E2632" s="35">
        <v>44705</v>
      </c>
      <c r="F2632" s="34">
        <v>7525</v>
      </c>
      <c r="G2632" s="36">
        <f>Tabla16[[#This Row],[Importe]]-Tabla16[[#This Row],[Pagado]]</f>
        <v>0</v>
      </c>
      <c r="H2632" s="38" t="s">
        <v>10</v>
      </c>
    </row>
    <row r="2633" spans="1:8" x14ac:dyDescent="0.25">
      <c r="A2633" s="31">
        <v>44705</v>
      </c>
      <c r="B2633" s="38" t="s">
        <v>16822</v>
      </c>
      <c r="C2633" s="38" t="s">
        <v>9</v>
      </c>
      <c r="D2633" s="34">
        <v>937.4</v>
      </c>
      <c r="E2633" s="35">
        <v>44705</v>
      </c>
      <c r="F2633" s="34">
        <v>937.4</v>
      </c>
      <c r="G2633" s="36">
        <f>Tabla16[[#This Row],[Importe]]-Tabla16[[#This Row],[Pagado]]</f>
        <v>0</v>
      </c>
      <c r="H2633" s="38" t="s">
        <v>10</v>
      </c>
    </row>
    <row r="2634" spans="1:8" x14ac:dyDescent="0.25">
      <c r="A2634" s="31">
        <v>44705</v>
      </c>
      <c r="B2634" s="38" t="s">
        <v>16823</v>
      </c>
      <c r="C2634" s="38" t="s">
        <v>2151</v>
      </c>
      <c r="D2634" s="34">
        <v>13779.8</v>
      </c>
      <c r="E2634" s="35">
        <v>44705</v>
      </c>
      <c r="F2634" s="34">
        <v>13779.8</v>
      </c>
      <c r="G2634" s="36">
        <f>Tabla16[[#This Row],[Importe]]-Tabla16[[#This Row],[Pagado]]</f>
        <v>0</v>
      </c>
      <c r="H2634" s="38" t="s">
        <v>10</v>
      </c>
    </row>
    <row r="2635" spans="1:8" x14ac:dyDescent="0.25">
      <c r="A2635" s="31">
        <v>44705</v>
      </c>
      <c r="B2635" s="38" t="s">
        <v>16824</v>
      </c>
      <c r="C2635" s="38" t="s">
        <v>31</v>
      </c>
      <c r="D2635" s="34">
        <v>3938</v>
      </c>
      <c r="E2635" s="35">
        <v>44705</v>
      </c>
      <c r="F2635" s="34">
        <v>3938</v>
      </c>
      <c r="G2635" s="36">
        <f>Tabla16[[#This Row],[Importe]]-Tabla16[[#This Row],[Pagado]]</f>
        <v>0</v>
      </c>
      <c r="H2635" s="38" t="s">
        <v>10</v>
      </c>
    </row>
    <row r="2636" spans="1:8" ht="31.5" x14ac:dyDescent="0.25">
      <c r="A2636" s="31">
        <v>44705</v>
      </c>
      <c r="B2636" s="38" t="s">
        <v>16825</v>
      </c>
      <c r="C2636" s="38" t="s">
        <v>22</v>
      </c>
      <c r="D2636" s="34">
        <v>43414.8</v>
      </c>
      <c r="E2636" s="35" t="s">
        <v>16826</v>
      </c>
      <c r="F2636" s="34">
        <f>32056+11358.8</f>
        <v>43414.8</v>
      </c>
      <c r="G2636" s="36">
        <f>Tabla16[[#This Row],[Importe]]-Tabla16[[#This Row],[Pagado]]</f>
        <v>0</v>
      </c>
      <c r="H2636" s="38" t="s">
        <v>10</v>
      </c>
    </row>
    <row r="2637" spans="1:8" x14ac:dyDescent="0.25">
      <c r="A2637" s="31">
        <v>44705</v>
      </c>
      <c r="B2637" s="38" t="s">
        <v>16827</v>
      </c>
      <c r="C2637" s="38" t="s">
        <v>31</v>
      </c>
      <c r="D2637" s="34">
        <v>3392.4</v>
      </c>
      <c r="E2637" s="35">
        <v>44705</v>
      </c>
      <c r="F2637" s="34">
        <v>3392.4</v>
      </c>
      <c r="G2637" s="36">
        <f>Tabla16[[#This Row],[Importe]]-Tabla16[[#This Row],[Pagado]]</f>
        <v>0</v>
      </c>
      <c r="H2637" s="38" t="s">
        <v>10</v>
      </c>
    </row>
    <row r="2638" spans="1:8" x14ac:dyDescent="0.25">
      <c r="A2638" s="31">
        <v>44705</v>
      </c>
      <c r="B2638" s="38" t="s">
        <v>16828</v>
      </c>
      <c r="C2638" s="38" t="s">
        <v>31</v>
      </c>
      <c r="D2638" s="34">
        <v>521</v>
      </c>
      <c r="E2638" s="35">
        <v>44705</v>
      </c>
      <c r="F2638" s="34">
        <v>521</v>
      </c>
      <c r="G2638" s="36">
        <f>Tabla16[[#This Row],[Importe]]-Tabla16[[#This Row],[Pagado]]</f>
        <v>0</v>
      </c>
      <c r="H2638" s="38" t="s">
        <v>10</v>
      </c>
    </row>
    <row r="2639" spans="1:8" x14ac:dyDescent="0.25">
      <c r="A2639" s="31">
        <v>44705</v>
      </c>
      <c r="B2639" s="38" t="s">
        <v>16829</v>
      </c>
      <c r="C2639" s="38" t="s">
        <v>47</v>
      </c>
      <c r="D2639" s="34">
        <v>41008.199999999997</v>
      </c>
      <c r="E2639" s="35">
        <v>44705</v>
      </c>
      <c r="F2639" s="34">
        <v>41008.199999999997</v>
      </c>
      <c r="G2639" s="36">
        <f>Tabla16[[#This Row],[Importe]]-Tabla16[[#This Row],[Pagado]]</f>
        <v>0</v>
      </c>
      <c r="H2639" s="38" t="s">
        <v>10</v>
      </c>
    </row>
    <row r="2640" spans="1:8" x14ac:dyDescent="0.25">
      <c r="A2640" s="31">
        <v>44705</v>
      </c>
      <c r="B2640" s="38" t="s">
        <v>16830</v>
      </c>
      <c r="C2640" s="38" t="s">
        <v>27</v>
      </c>
      <c r="D2640" s="34">
        <v>2271.8000000000002</v>
      </c>
      <c r="E2640" s="35">
        <v>44705</v>
      </c>
      <c r="F2640" s="34">
        <v>2271.8000000000002</v>
      </c>
      <c r="G2640" s="36">
        <f>Tabla16[[#This Row],[Importe]]-Tabla16[[#This Row],[Pagado]]</f>
        <v>0</v>
      </c>
      <c r="H2640" s="38" t="s">
        <v>10</v>
      </c>
    </row>
    <row r="2641" spans="1:8" x14ac:dyDescent="0.25">
      <c r="A2641" s="31">
        <v>44705</v>
      </c>
      <c r="B2641" s="38" t="s">
        <v>16831</v>
      </c>
      <c r="C2641" s="38" t="s">
        <v>16832</v>
      </c>
      <c r="D2641" s="34">
        <v>0</v>
      </c>
      <c r="E2641" s="39" t="s">
        <v>189</v>
      </c>
      <c r="F2641" s="34">
        <v>0</v>
      </c>
      <c r="G2641" s="36">
        <f>Tabla16[[#This Row],[Importe]]-Tabla16[[#This Row],[Pagado]]</f>
        <v>0</v>
      </c>
      <c r="H2641" s="38" t="s">
        <v>189</v>
      </c>
    </row>
    <row r="2642" spans="1:8" x14ac:dyDescent="0.25">
      <c r="A2642" s="31">
        <v>44705</v>
      </c>
      <c r="B2642" s="38" t="s">
        <v>16833</v>
      </c>
      <c r="C2642" s="38" t="s">
        <v>16</v>
      </c>
      <c r="D2642" s="34">
        <v>4737</v>
      </c>
      <c r="E2642" s="35">
        <v>44705</v>
      </c>
      <c r="F2642" s="34">
        <v>4737</v>
      </c>
      <c r="G2642" s="36">
        <f>Tabla16[[#This Row],[Importe]]-Tabla16[[#This Row],[Pagado]]</f>
        <v>0</v>
      </c>
      <c r="H2642" s="38" t="s">
        <v>10</v>
      </c>
    </row>
    <row r="2643" spans="1:8" x14ac:dyDescent="0.25">
      <c r="A2643" s="31">
        <v>44705</v>
      </c>
      <c r="B2643" s="38" t="s">
        <v>16834</v>
      </c>
      <c r="C2643" s="38" t="s">
        <v>146</v>
      </c>
      <c r="D2643" s="34">
        <v>2796</v>
      </c>
      <c r="E2643" s="35">
        <v>44705</v>
      </c>
      <c r="F2643" s="34">
        <v>2796</v>
      </c>
      <c r="G2643" s="36">
        <f>Tabla16[[#This Row],[Importe]]-Tabla16[[#This Row],[Pagado]]</f>
        <v>0</v>
      </c>
      <c r="H2643" s="38" t="s">
        <v>10</v>
      </c>
    </row>
    <row r="2644" spans="1:8" x14ac:dyDescent="0.25">
      <c r="A2644" s="31">
        <v>44705</v>
      </c>
      <c r="B2644" s="38" t="s">
        <v>16835</v>
      </c>
      <c r="C2644" s="38" t="s">
        <v>12202</v>
      </c>
      <c r="D2644" s="34">
        <v>2880</v>
      </c>
      <c r="E2644" s="35">
        <v>44705</v>
      </c>
      <c r="F2644" s="34">
        <v>2880</v>
      </c>
      <c r="G2644" s="36">
        <f>Tabla16[[#This Row],[Importe]]-Tabla16[[#This Row],[Pagado]]</f>
        <v>0</v>
      </c>
      <c r="H2644" s="38" t="s">
        <v>10</v>
      </c>
    </row>
    <row r="2645" spans="1:8" x14ac:dyDescent="0.25">
      <c r="A2645" s="31">
        <v>44705</v>
      </c>
      <c r="B2645" s="38" t="s">
        <v>16836</v>
      </c>
      <c r="C2645" s="38" t="s">
        <v>140</v>
      </c>
      <c r="D2645" s="34">
        <v>1166.0999999999999</v>
      </c>
      <c r="E2645" s="35">
        <v>44705</v>
      </c>
      <c r="F2645" s="34">
        <v>1166.0999999999999</v>
      </c>
      <c r="G2645" s="36">
        <f>Tabla16[[#This Row],[Importe]]-Tabla16[[#This Row],[Pagado]]</f>
        <v>0</v>
      </c>
      <c r="H2645" s="38" t="s">
        <v>10</v>
      </c>
    </row>
    <row r="2646" spans="1:8" x14ac:dyDescent="0.25">
      <c r="A2646" s="31">
        <v>44705</v>
      </c>
      <c r="B2646" s="38" t="s">
        <v>16837</v>
      </c>
      <c r="C2646" s="38" t="s">
        <v>357</v>
      </c>
      <c r="D2646" s="34">
        <v>3347.2</v>
      </c>
      <c r="E2646" s="35">
        <v>44705</v>
      </c>
      <c r="F2646" s="34">
        <v>3347.2</v>
      </c>
      <c r="G2646" s="36">
        <f>Tabla16[[#This Row],[Importe]]-Tabla16[[#This Row],[Pagado]]</f>
        <v>0</v>
      </c>
      <c r="H2646" s="38" t="s">
        <v>10</v>
      </c>
    </row>
    <row r="2647" spans="1:8" x14ac:dyDescent="0.25">
      <c r="A2647" s="31">
        <v>44705</v>
      </c>
      <c r="B2647" s="38" t="s">
        <v>16838</v>
      </c>
      <c r="C2647" s="38" t="s">
        <v>129</v>
      </c>
      <c r="D2647" s="34">
        <v>1745.7</v>
      </c>
      <c r="E2647" s="35">
        <v>44705</v>
      </c>
      <c r="F2647" s="34">
        <v>1745.7</v>
      </c>
      <c r="G2647" s="36">
        <f>Tabla16[[#This Row],[Importe]]-Tabla16[[#This Row],[Pagado]]</f>
        <v>0</v>
      </c>
      <c r="H2647" s="38" t="s">
        <v>10</v>
      </c>
    </row>
    <row r="2648" spans="1:8" x14ac:dyDescent="0.25">
      <c r="A2648" s="31">
        <v>44705</v>
      </c>
      <c r="B2648" s="38" t="s">
        <v>16839</v>
      </c>
      <c r="C2648" s="38" t="s">
        <v>466</v>
      </c>
      <c r="D2648" s="34">
        <v>19200</v>
      </c>
      <c r="E2648" s="35">
        <v>44705</v>
      </c>
      <c r="F2648" s="34">
        <v>19200</v>
      </c>
      <c r="G2648" s="36">
        <f>Tabla16[[#This Row],[Importe]]-Tabla16[[#This Row],[Pagado]]</f>
        <v>0</v>
      </c>
      <c r="H2648" s="38" t="s">
        <v>10</v>
      </c>
    </row>
    <row r="2649" spans="1:8" x14ac:dyDescent="0.25">
      <c r="A2649" s="31">
        <v>44705</v>
      </c>
      <c r="B2649" s="38" t="s">
        <v>16840</v>
      </c>
      <c r="C2649" s="38" t="s">
        <v>127</v>
      </c>
      <c r="D2649" s="34">
        <v>4564.8999999999996</v>
      </c>
      <c r="E2649" s="35">
        <v>44705</v>
      </c>
      <c r="F2649" s="34">
        <v>4564.8999999999996</v>
      </c>
      <c r="G2649" s="36">
        <f>Tabla16[[#This Row],[Importe]]-Tabla16[[#This Row],[Pagado]]</f>
        <v>0</v>
      </c>
      <c r="H2649" s="38" t="s">
        <v>10</v>
      </c>
    </row>
    <row r="2650" spans="1:8" x14ac:dyDescent="0.25">
      <c r="A2650" s="31">
        <v>44705</v>
      </c>
      <c r="B2650" s="38" t="s">
        <v>16841</v>
      </c>
      <c r="C2650" s="38" t="s">
        <v>339</v>
      </c>
      <c r="D2650" s="34">
        <v>1186.8</v>
      </c>
      <c r="E2650" s="35">
        <v>44705</v>
      </c>
      <c r="F2650" s="34">
        <v>1186.8</v>
      </c>
      <c r="G2650" s="36">
        <f>Tabla16[[#This Row],[Importe]]-Tabla16[[#This Row],[Pagado]]</f>
        <v>0</v>
      </c>
      <c r="H2650" s="38" t="s">
        <v>10</v>
      </c>
    </row>
    <row r="2651" spans="1:8" x14ac:dyDescent="0.25">
      <c r="A2651" s="31">
        <v>44705</v>
      </c>
      <c r="B2651" s="38" t="s">
        <v>16842</v>
      </c>
      <c r="C2651" s="38" t="s">
        <v>87</v>
      </c>
      <c r="D2651" s="34">
        <v>1980.9</v>
      </c>
      <c r="E2651" s="35">
        <v>44705</v>
      </c>
      <c r="F2651" s="34">
        <v>1980.9</v>
      </c>
      <c r="G2651" s="36">
        <f>Tabla16[[#This Row],[Importe]]-Tabla16[[#This Row],[Pagado]]</f>
        <v>0</v>
      </c>
      <c r="H2651" s="38" t="s">
        <v>10</v>
      </c>
    </row>
    <row r="2652" spans="1:8" x14ac:dyDescent="0.25">
      <c r="A2652" s="31">
        <v>44705</v>
      </c>
      <c r="B2652" s="38" t="s">
        <v>16843</v>
      </c>
      <c r="C2652" s="38" t="s">
        <v>314</v>
      </c>
      <c r="D2652" s="34">
        <v>2754</v>
      </c>
      <c r="E2652" s="35">
        <v>44705</v>
      </c>
      <c r="F2652" s="34">
        <v>2754</v>
      </c>
      <c r="G2652" s="36">
        <f>Tabla16[[#This Row],[Importe]]-Tabla16[[#This Row],[Pagado]]</f>
        <v>0</v>
      </c>
      <c r="H2652" s="38" t="s">
        <v>10</v>
      </c>
    </row>
    <row r="2653" spans="1:8" x14ac:dyDescent="0.25">
      <c r="A2653" s="31">
        <v>44705</v>
      </c>
      <c r="B2653" s="38" t="s">
        <v>16844</v>
      </c>
      <c r="C2653" s="38" t="s">
        <v>473</v>
      </c>
      <c r="D2653" s="34">
        <v>7637</v>
      </c>
      <c r="E2653" s="35">
        <v>44706</v>
      </c>
      <c r="F2653" s="34">
        <v>7637</v>
      </c>
      <c r="G2653" s="36">
        <f>Tabla16[[#This Row],[Importe]]-Tabla16[[#This Row],[Pagado]]</f>
        <v>0</v>
      </c>
      <c r="H2653" s="38" t="s">
        <v>10</v>
      </c>
    </row>
    <row r="2654" spans="1:8" x14ac:dyDescent="0.25">
      <c r="A2654" s="31">
        <v>44705</v>
      </c>
      <c r="B2654" s="38" t="s">
        <v>16845</v>
      </c>
      <c r="C2654" s="38" t="s">
        <v>75</v>
      </c>
      <c r="D2654" s="34">
        <v>6684</v>
      </c>
      <c r="E2654" s="35">
        <v>44706</v>
      </c>
      <c r="F2654" s="34">
        <v>6684</v>
      </c>
      <c r="G2654" s="36">
        <f>Tabla16[[#This Row],[Importe]]-Tabla16[[#This Row],[Pagado]]</f>
        <v>0</v>
      </c>
      <c r="H2654" s="38" t="s">
        <v>10</v>
      </c>
    </row>
    <row r="2655" spans="1:8" x14ac:dyDescent="0.25">
      <c r="A2655" s="31">
        <v>44705</v>
      </c>
      <c r="B2655" s="38" t="s">
        <v>16846</v>
      </c>
      <c r="C2655" s="38" t="s">
        <v>452</v>
      </c>
      <c r="D2655" s="34">
        <v>7372.8</v>
      </c>
      <c r="E2655" s="35">
        <v>44705</v>
      </c>
      <c r="F2655" s="34">
        <v>7372.8</v>
      </c>
      <c r="G2655" s="36">
        <f>Tabla16[[#This Row],[Importe]]-Tabla16[[#This Row],[Pagado]]</f>
        <v>0</v>
      </c>
      <c r="H2655" s="38" t="s">
        <v>10</v>
      </c>
    </row>
    <row r="2656" spans="1:8" ht="31.5" x14ac:dyDescent="0.25">
      <c r="A2656" s="31">
        <v>44705</v>
      </c>
      <c r="B2656" s="38" t="s">
        <v>16847</v>
      </c>
      <c r="C2656" s="38" t="s">
        <v>475</v>
      </c>
      <c r="D2656" s="34">
        <v>29429.4</v>
      </c>
      <c r="E2656" s="35" t="s">
        <v>16826</v>
      </c>
      <c r="F2656" s="34">
        <f>14000+15429.4</f>
        <v>29429.4</v>
      </c>
      <c r="G2656" s="36">
        <f>Tabla16[[#This Row],[Importe]]-Tabla16[[#This Row],[Pagado]]</f>
        <v>0</v>
      </c>
      <c r="H2656" s="38" t="s">
        <v>10</v>
      </c>
    </row>
    <row r="2657" spans="1:8" x14ac:dyDescent="0.25">
      <c r="A2657" s="31">
        <v>44705</v>
      </c>
      <c r="B2657" s="38" t="s">
        <v>16848</v>
      </c>
      <c r="C2657" s="38" t="s">
        <v>924</v>
      </c>
      <c r="D2657" s="34">
        <v>13639.7</v>
      </c>
      <c r="E2657" s="35">
        <v>44705</v>
      </c>
      <c r="F2657" s="34">
        <v>13639.7</v>
      </c>
      <c r="G2657" s="36">
        <f>Tabla16[[#This Row],[Importe]]-Tabla16[[#This Row],[Pagado]]</f>
        <v>0</v>
      </c>
      <c r="H2657" s="38" t="s">
        <v>10</v>
      </c>
    </row>
    <row r="2658" spans="1:8" x14ac:dyDescent="0.25">
      <c r="A2658" s="31">
        <v>44705</v>
      </c>
      <c r="B2658" s="38" t="s">
        <v>16849</v>
      </c>
      <c r="C2658" s="38" t="s">
        <v>312</v>
      </c>
      <c r="D2658" s="34">
        <v>3923.2</v>
      </c>
      <c r="E2658" s="35">
        <v>44706</v>
      </c>
      <c r="F2658" s="34">
        <v>3923.2</v>
      </c>
      <c r="G2658" s="36">
        <f>Tabla16[[#This Row],[Importe]]-Tabla16[[#This Row],[Pagado]]</f>
        <v>0</v>
      </c>
      <c r="H2658" s="38" t="s">
        <v>10</v>
      </c>
    </row>
    <row r="2659" spans="1:8" x14ac:dyDescent="0.25">
      <c r="A2659" s="31">
        <v>44705</v>
      </c>
      <c r="B2659" s="38" t="s">
        <v>16850</v>
      </c>
      <c r="C2659" s="38" t="s">
        <v>348</v>
      </c>
      <c r="D2659" s="34">
        <v>4092.4</v>
      </c>
      <c r="E2659" s="35">
        <v>44705</v>
      </c>
      <c r="F2659" s="34">
        <v>4092.4</v>
      </c>
      <c r="G2659" s="36">
        <f>Tabla16[[#This Row],[Importe]]-Tabla16[[#This Row],[Pagado]]</f>
        <v>0</v>
      </c>
      <c r="H2659" s="38" t="s">
        <v>10</v>
      </c>
    </row>
    <row r="2660" spans="1:8" x14ac:dyDescent="0.25">
      <c r="A2660" s="31">
        <v>44705</v>
      </c>
      <c r="B2660" s="38" t="s">
        <v>16851</v>
      </c>
      <c r="C2660" s="38" t="s">
        <v>426</v>
      </c>
      <c r="D2660" s="34">
        <v>6514.8</v>
      </c>
      <c r="E2660" s="35">
        <v>44706</v>
      </c>
      <c r="F2660" s="34">
        <v>6514.8</v>
      </c>
      <c r="G2660" s="36">
        <f>Tabla16[[#This Row],[Importe]]-Tabla16[[#This Row],[Pagado]]</f>
        <v>0</v>
      </c>
      <c r="H2660" s="38" t="s">
        <v>10</v>
      </c>
    </row>
    <row r="2661" spans="1:8" x14ac:dyDescent="0.25">
      <c r="A2661" s="31">
        <v>44705</v>
      </c>
      <c r="B2661" s="38" t="s">
        <v>16852</v>
      </c>
      <c r="C2661" s="38" t="s">
        <v>698</v>
      </c>
      <c r="D2661" s="34">
        <v>7262.26</v>
      </c>
      <c r="E2661" s="35">
        <v>44705</v>
      </c>
      <c r="F2661" s="34">
        <v>7262.26</v>
      </c>
      <c r="G2661" s="36">
        <f>Tabla16[[#This Row],[Importe]]-Tabla16[[#This Row],[Pagado]]</f>
        <v>0</v>
      </c>
      <c r="H2661" s="38" t="s">
        <v>10</v>
      </c>
    </row>
    <row r="2662" spans="1:8" x14ac:dyDescent="0.25">
      <c r="A2662" s="31">
        <v>44705</v>
      </c>
      <c r="B2662" s="38" t="s">
        <v>16853</v>
      </c>
      <c r="C2662" s="38" t="s">
        <v>161</v>
      </c>
      <c r="D2662" s="34">
        <v>4044.6</v>
      </c>
      <c r="E2662" s="35">
        <v>44705</v>
      </c>
      <c r="F2662" s="34">
        <v>4044.6</v>
      </c>
      <c r="G2662" s="36">
        <f>Tabla16[[#This Row],[Importe]]-Tabla16[[#This Row],[Pagado]]</f>
        <v>0</v>
      </c>
      <c r="H2662" s="38" t="s">
        <v>10</v>
      </c>
    </row>
    <row r="2663" spans="1:8" x14ac:dyDescent="0.25">
      <c r="A2663" s="31">
        <v>44705</v>
      </c>
      <c r="B2663" s="38" t="s">
        <v>16854</v>
      </c>
      <c r="C2663" s="38" t="s">
        <v>196</v>
      </c>
      <c r="D2663" s="34">
        <v>24879.42</v>
      </c>
      <c r="E2663" s="35">
        <v>44708</v>
      </c>
      <c r="F2663" s="34">
        <v>24879.42</v>
      </c>
      <c r="G2663" s="36">
        <f>Tabla16[[#This Row],[Importe]]-Tabla16[[#This Row],[Pagado]]</f>
        <v>0</v>
      </c>
      <c r="H2663" s="38" t="s">
        <v>10</v>
      </c>
    </row>
    <row r="2664" spans="1:8" x14ac:dyDescent="0.25">
      <c r="A2664" s="31">
        <v>44705</v>
      </c>
      <c r="B2664" s="38" t="s">
        <v>16855</v>
      </c>
      <c r="C2664" s="38" t="s">
        <v>200</v>
      </c>
      <c r="D2664" s="34">
        <v>888</v>
      </c>
      <c r="E2664" s="35">
        <v>44706</v>
      </c>
      <c r="F2664" s="34">
        <v>888</v>
      </c>
      <c r="G2664" s="36">
        <f>Tabla16[[#This Row],[Importe]]-Tabla16[[#This Row],[Pagado]]</f>
        <v>0</v>
      </c>
      <c r="H2664" s="38" t="s">
        <v>10</v>
      </c>
    </row>
    <row r="2665" spans="1:8" x14ac:dyDescent="0.25">
      <c r="A2665" s="31">
        <v>44705</v>
      </c>
      <c r="B2665" s="38" t="s">
        <v>16856</v>
      </c>
      <c r="C2665" s="38" t="s">
        <v>53</v>
      </c>
      <c r="D2665" s="34">
        <v>3015.3</v>
      </c>
      <c r="E2665" s="35">
        <v>44705</v>
      </c>
      <c r="F2665" s="34">
        <v>3015.3</v>
      </c>
      <c r="G2665" s="36">
        <f>Tabla16[[#This Row],[Importe]]-Tabla16[[#This Row],[Pagado]]</f>
        <v>0</v>
      </c>
      <c r="H2665" s="38" t="s">
        <v>10</v>
      </c>
    </row>
    <row r="2666" spans="1:8" x14ac:dyDescent="0.25">
      <c r="A2666" s="31">
        <v>44705</v>
      </c>
      <c r="B2666" s="38" t="s">
        <v>16857</v>
      </c>
      <c r="C2666" s="38" t="s">
        <v>56</v>
      </c>
      <c r="D2666" s="34">
        <v>4212.5</v>
      </c>
      <c r="E2666" s="35">
        <v>44705</v>
      </c>
      <c r="F2666" s="34">
        <v>4212.5</v>
      </c>
      <c r="G2666" s="36">
        <f>Tabla16[[#This Row],[Importe]]-Tabla16[[#This Row],[Pagado]]</f>
        <v>0</v>
      </c>
      <c r="H2666" s="38" t="s">
        <v>10</v>
      </c>
    </row>
    <row r="2667" spans="1:8" x14ac:dyDescent="0.25">
      <c r="A2667" s="31">
        <v>44705</v>
      </c>
      <c r="B2667" s="38" t="s">
        <v>16858</v>
      </c>
      <c r="C2667" s="38" t="s">
        <v>263</v>
      </c>
      <c r="D2667" s="34">
        <v>32383</v>
      </c>
      <c r="E2667" s="35">
        <v>44713</v>
      </c>
      <c r="F2667" s="34">
        <v>32383</v>
      </c>
      <c r="G2667" s="36">
        <f>Tabla16[[#This Row],[Importe]]-Tabla16[[#This Row],[Pagado]]</f>
        <v>0</v>
      </c>
      <c r="H2667" s="38" t="s">
        <v>10</v>
      </c>
    </row>
    <row r="2668" spans="1:8" x14ac:dyDescent="0.25">
      <c r="A2668" s="31">
        <v>44705</v>
      </c>
      <c r="B2668" s="38" t="s">
        <v>16859</v>
      </c>
      <c r="C2668" s="38" t="s">
        <v>45</v>
      </c>
      <c r="D2668" s="34">
        <v>11789.4</v>
      </c>
      <c r="E2668" s="35">
        <v>44705</v>
      </c>
      <c r="F2668" s="34">
        <v>11789.4</v>
      </c>
      <c r="G2668" s="36">
        <f>Tabla16[[#This Row],[Importe]]-Tabla16[[#This Row],[Pagado]]</f>
        <v>0</v>
      </c>
      <c r="H2668" s="38" t="s">
        <v>10</v>
      </c>
    </row>
    <row r="2669" spans="1:8" x14ac:dyDescent="0.25">
      <c r="A2669" s="31">
        <v>44705</v>
      </c>
      <c r="B2669" s="38" t="s">
        <v>16860</v>
      </c>
      <c r="C2669" s="38" t="s">
        <v>224</v>
      </c>
      <c r="D2669" s="34">
        <v>313.60000000000002</v>
      </c>
      <c r="E2669" s="35">
        <v>44705</v>
      </c>
      <c r="F2669" s="34">
        <v>313.60000000000002</v>
      </c>
      <c r="G2669" s="36">
        <f>Tabla16[[#This Row],[Importe]]-Tabla16[[#This Row],[Pagado]]</f>
        <v>0</v>
      </c>
      <c r="H2669" s="38" t="s">
        <v>10</v>
      </c>
    </row>
    <row r="2670" spans="1:8" x14ac:dyDescent="0.25">
      <c r="A2670" s="31">
        <v>44705</v>
      </c>
      <c r="B2670" s="38" t="s">
        <v>16861</v>
      </c>
      <c r="C2670" s="38" t="s">
        <v>216</v>
      </c>
      <c r="D2670" s="34">
        <v>1146</v>
      </c>
      <c r="E2670" s="35">
        <v>44705</v>
      </c>
      <c r="F2670" s="34">
        <v>1146</v>
      </c>
      <c r="G2670" s="36">
        <f>Tabla16[[#This Row],[Importe]]-Tabla16[[#This Row],[Pagado]]</f>
        <v>0</v>
      </c>
      <c r="H2670" s="38" t="s">
        <v>10</v>
      </c>
    </row>
    <row r="2671" spans="1:8" x14ac:dyDescent="0.25">
      <c r="A2671" s="31">
        <v>44705</v>
      </c>
      <c r="B2671" s="38" t="s">
        <v>16862</v>
      </c>
      <c r="C2671" s="38" t="s">
        <v>31</v>
      </c>
      <c r="D2671" s="34">
        <v>1200</v>
      </c>
      <c r="E2671" s="35">
        <v>44705</v>
      </c>
      <c r="F2671" s="34">
        <v>1200</v>
      </c>
      <c r="G2671" s="36">
        <f>Tabla16[[#This Row],[Importe]]-Tabla16[[#This Row],[Pagado]]</f>
        <v>0</v>
      </c>
      <c r="H2671" s="38" t="s">
        <v>10</v>
      </c>
    </row>
    <row r="2672" spans="1:8" x14ac:dyDescent="0.25">
      <c r="A2672" s="31">
        <v>44705</v>
      </c>
      <c r="B2672" s="38" t="s">
        <v>16863</v>
      </c>
      <c r="C2672" s="38" t="s">
        <v>31</v>
      </c>
      <c r="D2672" s="34">
        <v>12352</v>
      </c>
      <c r="E2672" s="35">
        <v>44705</v>
      </c>
      <c r="F2672" s="34">
        <v>12352</v>
      </c>
      <c r="G2672" s="36">
        <f>Tabla16[[#This Row],[Importe]]-Tabla16[[#This Row],[Pagado]]</f>
        <v>0</v>
      </c>
      <c r="H2672" s="38" t="s">
        <v>10</v>
      </c>
    </row>
    <row r="2673" spans="1:8" x14ac:dyDescent="0.25">
      <c r="A2673" s="31">
        <v>44705</v>
      </c>
      <c r="B2673" s="38" t="s">
        <v>16864</v>
      </c>
      <c r="C2673" s="38" t="s">
        <v>246</v>
      </c>
      <c r="D2673" s="34">
        <v>1856</v>
      </c>
      <c r="E2673" s="35">
        <v>44705</v>
      </c>
      <c r="F2673" s="34">
        <v>1856</v>
      </c>
      <c r="G2673" s="36">
        <f>Tabla16[[#This Row],[Importe]]-Tabla16[[#This Row],[Pagado]]</f>
        <v>0</v>
      </c>
      <c r="H2673" s="38" t="s">
        <v>10</v>
      </c>
    </row>
    <row r="2674" spans="1:8" x14ac:dyDescent="0.25">
      <c r="A2674" s="31">
        <v>44705</v>
      </c>
      <c r="B2674" s="38" t="s">
        <v>16865</v>
      </c>
      <c r="C2674" s="38" t="s">
        <v>191</v>
      </c>
      <c r="D2674" s="34">
        <v>1826.5</v>
      </c>
      <c r="E2674" s="35">
        <v>44705</v>
      </c>
      <c r="F2674" s="34">
        <v>1826.5</v>
      </c>
      <c r="G2674" s="36">
        <f>Tabla16[[#This Row],[Importe]]-Tabla16[[#This Row],[Pagado]]</f>
        <v>0</v>
      </c>
      <c r="H2674" s="38" t="s">
        <v>10</v>
      </c>
    </row>
    <row r="2675" spans="1:8" x14ac:dyDescent="0.25">
      <c r="A2675" s="31">
        <v>44705</v>
      </c>
      <c r="B2675" s="38" t="s">
        <v>16866</v>
      </c>
      <c r="C2675" s="38" t="s">
        <v>62</v>
      </c>
      <c r="D2675" s="34">
        <v>3735</v>
      </c>
      <c r="E2675" s="35">
        <v>44705</v>
      </c>
      <c r="F2675" s="34">
        <v>3735</v>
      </c>
      <c r="G2675" s="36">
        <f>Tabla16[[#This Row],[Importe]]-Tabla16[[#This Row],[Pagado]]</f>
        <v>0</v>
      </c>
      <c r="H2675" s="38" t="s">
        <v>10</v>
      </c>
    </row>
    <row r="2676" spans="1:8" x14ac:dyDescent="0.25">
      <c r="A2676" s="31">
        <v>44705</v>
      </c>
      <c r="B2676" s="38" t="s">
        <v>16867</v>
      </c>
      <c r="C2676" s="38" t="s">
        <v>157</v>
      </c>
      <c r="D2676" s="34">
        <v>5188.8</v>
      </c>
      <c r="E2676" s="35">
        <v>44706</v>
      </c>
      <c r="F2676" s="34">
        <v>5188.8</v>
      </c>
      <c r="G2676" s="36">
        <f>Tabla16[[#This Row],[Importe]]-Tabla16[[#This Row],[Pagado]]</f>
        <v>0</v>
      </c>
      <c r="H2676" s="38" t="s">
        <v>10</v>
      </c>
    </row>
    <row r="2677" spans="1:8" x14ac:dyDescent="0.25">
      <c r="A2677" s="31">
        <v>44705</v>
      </c>
      <c r="B2677" s="38" t="s">
        <v>16868</v>
      </c>
      <c r="C2677" s="38" t="s">
        <v>62</v>
      </c>
      <c r="D2677" s="34">
        <v>2829.4</v>
      </c>
      <c r="E2677" s="35">
        <v>44705</v>
      </c>
      <c r="F2677" s="34">
        <v>2829.4</v>
      </c>
      <c r="G2677" s="36">
        <f>Tabla16[[#This Row],[Importe]]-Tabla16[[#This Row],[Pagado]]</f>
        <v>0</v>
      </c>
      <c r="H2677" s="38" t="s">
        <v>10</v>
      </c>
    </row>
    <row r="2678" spans="1:8" x14ac:dyDescent="0.25">
      <c r="A2678" s="31">
        <v>44705</v>
      </c>
      <c r="B2678" s="38" t="s">
        <v>16869</v>
      </c>
      <c r="C2678" s="38" t="s">
        <v>319</v>
      </c>
      <c r="D2678" s="34">
        <v>6377.3</v>
      </c>
      <c r="E2678" s="35">
        <v>44706</v>
      </c>
      <c r="F2678" s="34">
        <v>6377.3</v>
      </c>
      <c r="G2678" s="36">
        <f>Tabla16[[#This Row],[Importe]]-Tabla16[[#This Row],[Pagado]]</f>
        <v>0</v>
      </c>
      <c r="H2678" s="38" t="s">
        <v>10</v>
      </c>
    </row>
    <row r="2679" spans="1:8" x14ac:dyDescent="0.25">
      <c r="A2679" s="31">
        <v>44705</v>
      </c>
      <c r="B2679" s="38" t="s">
        <v>16870</v>
      </c>
      <c r="C2679" s="38" t="s">
        <v>518</v>
      </c>
      <c r="D2679" s="34">
        <v>716.4</v>
      </c>
      <c r="E2679" s="35">
        <v>44706</v>
      </c>
      <c r="F2679" s="34">
        <v>716.4</v>
      </c>
      <c r="G2679" s="36">
        <f>Tabla16[[#This Row],[Importe]]-Tabla16[[#This Row],[Pagado]]</f>
        <v>0</v>
      </c>
      <c r="H2679" s="38" t="s">
        <v>10</v>
      </c>
    </row>
    <row r="2680" spans="1:8" x14ac:dyDescent="0.25">
      <c r="A2680" s="31">
        <v>44705</v>
      </c>
      <c r="B2680" s="38" t="s">
        <v>16871</v>
      </c>
      <c r="C2680" s="38" t="s">
        <v>525</v>
      </c>
      <c r="D2680" s="34">
        <v>468</v>
      </c>
      <c r="E2680" s="35">
        <v>44706</v>
      </c>
      <c r="F2680" s="34">
        <v>468</v>
      </c>
      <c r="G2680" s="36">
        <f>Tabla16[[#This Row],[Importe]]-Tabla16[[#This Row],[Pagado]]</f>
        <v>0</v>
      </c>
      <c r="H2680" s="38" t="s">
        <v>10</v>
      </c>
    </row>
    <row r="2681" spans="1:8" x14ac:dyDescent="0.25">
      <c r="A2681" s="31">
        <v>44705</v>
      </c>
      <c r="B2681" s="38" t="s">
        <v>16872</v>
      </c>
      <c r="C2681" s="38" t="s">
        <v>520</v>
      </c>
      <c r="D2681" s="34">
        <v>10891.6</v>
      </c>
      <c r="E2681" s="35">
        <v>44706</v>
      </c>
      <c r="F2681" s="34">
        <v>10891.6</v>
      </c>
      <c r="G2681" s="36">
        <f>Tabla16[[#This Row],[Importe]]-Tabla16[[#This Row],[Pagado]]</f>
        <v>0</v>
      </c>
      <c r="H2681" s="38" t="s">
        <v>10</v>
      </c>
    </row>
    <row r="2682" spans="1:8" x14ac:dyDescent="0.25">
      <c r="A2682" s="31">
        <v>44705</v>
      </c>
      <c r="B2682" s="38" t="s">
        <v>16873</v>
      </c>
      <c r="C2682" s="38" t="s">
        <v>151</v>
      </c>
      <c r="D2682" s="34">
        <v>6236.9</v>
      </c>
      <c r="E2682" s="35">
        <v>44706</v>
      </c>
      <c r="F2682" s="34">
        <v>6236.9</v>
      </c>
      <c r="G2682" s="36">
        <f>Tabla16[[#This Row],[Importe]]-Tabla16[[#This Row],[Pagado]]</f>
        <v>0</v>
      </c>
      <c r="H2682" s="38" t="s">
        <v>10</v>
      </c>
    </row>
    <row r="2683" spans="1:8" x14ac:dyDescent="0.25">
      <c r="A2683" s="31">
        <v>44705</v>
      </c>
      <c r="B2683" s="38" t="s">
        <v>16874</v>
      </c>
      <c r="C2683" s="38" t="s">
        <v>994</v>
      </c>
      <c r="D2683" s="34">
        <v>2224.1999999999998</v>
      </c>
      <c r="E2683" s="35">
        <v>44705</v>
      </c>
      <c r="F2683" s="34">
        <v>2224.1999999999998</v>
      </c>
      <c r="G2683" s="36">
        <f>Tabla16[[#This Row],[Importe]]-Tabla16[[#This Row],[Pagado]]</f>
        <v>0</v>
      </c>
      <c r="H2683" s="38" t="s">
        <v>10</v>
      </c>
    </row>
    <row r="2684" spans="1:8" x14ac:dyDescent="0.25">
      <c r="A2684" s="31">
        <v>44705</v>
      </c>
      <c r="B2684" s="38" t="s">
        <v>16875</v>
      </c>
      <c r="C2684" s="38" t="s">
        <v>371</v>
      </c>
      <c r="D2684" s="34">
        <v>5805.6</v>
      </c>
      <c r="E2684" s="35">
        <v>44706</v>
      </c>
      <c r="F2684" s="34">
        <v>5805.6</v>
      </c>
      <c r="G2684" s="36">
        <f>Tabla16[[#This Row],[Importe]]-Tabla16[[#This Row],[Pagado]]</f>
        <v>0</v>
      </c>
      <c r="H2684" s="38" t="s">
        <v>10</v>
      </c>
    </row>
    <row r="2685" spans="1:8" x14ac:dyDescent="0.25">
      <c r="A2685" s="31">
        <v>44705</v>
      </c>
      <c r="B2685" s="38" t="s">
        <v>16876</v>
      </c>
      <c r="C2685" s="38" t="s">
        <v>934</v>
      </c>
      <c r="D2685" s="34">
        <v>3268.8</v>
      </c>
      <c r="E2685" s="35">
        <v>44706</v>
      </c>
      <c r="F2685" s="34">
        <v>3268.8</v>
      </c>
      <c r="G2685" s="36">
        <f>Tabla16[[#This Row],[Importe]]-Tabla16[[#This Row],[Pagado]]</f>
        <v>0</v>
      </c>
      <c r="H2685" s="38" t="s">
        <v>10</v>
      </c>
    </row>
    <row r="2686" spans="1:8" x14ac:dyDescent="0.25">
      <c r="A2686" s="31">
        <v>44705</v>
      </c>
      <c r="B2686" s="38" t="s">
        <v>16877</v>
      </c>
      <c r="C2686" s="38" t="s">
        <v>4136</v>
      </c>
      <c r="D2686" s="34">
        <v>2024.5</v>
      </c>
      <c r="E2686" s="35">
        <v>44705</v>
      </c>
      <c r="F2686" s="34">
        <v>2024.5</v>
      </c>
      <c r="G2686" s="36">
        <f>Tabla16[[#This Row],[Importe]]-Tabla16[[#This Row],[Pagado]]</f>
        <v>0</v>
      </c>
      <c r="H2686" s="38" t="s">
        <v>10</v>
      </c>
    </row>
    <row r="2687" spans="1:8" x14ac:dyDescent="0.25">
      <c r="A2687" s="31">
        <v>44705</v>
      </c>
      <c r="B2687" s="38" t="s">
        <v>16878</v>
      </c>
      <c r="C2687" s="38" t="s">
        <v>233</v>
      </c>
      <c r="D2687" s="34">
        <v>4584</v>
      </c>
      <c r="E2687" s="35">
        <v>44705</v>
      </c>
      <c r="F2687" s="34">
        <v>4584</v>
      </c>
      <c r="G2687" s="36">
        <f>Tabla16[[#This Row],[Importe]]-Tabla16[[#This Row],[Pagado]]</f>
        <v>0</v>
      </c>
      <c r="H2687" s="38" t="s">
        <v>10</v>
      </c>
    </row>
    <row r="2688" spans="1:8" x14ac:dyDescent="0.25">
      <c r="A2688" s="31">
        <v>44705</v>
      </c>
      <c r="B2688" s="38" t="s">
        <v>16879</v>
      </c>
      <c r="C2688" s="38" t="s">
        <v>85</v>
      </c>
      <c r="D2688" s="34">
        <v>1638</v>
      </c>
      <c r="E2688" s="35">
        <v>44705</v>
      </c>
      <c r="F2688" s="34">
        <v>1638</v>
      </c>
      <c r="G2688" s="36">
        <f>Tabla16[[#This Row],[Importe]]-Tabla16[[#This Row],[Pagado]]</f>
        <v>0</v>
      </c>
      <c r="H2688" s="38" t="s">
        <v>10</v>
      </c>
    </row>
    <row r="2689" spans="1:8" x14ac:dyDescent="0.25">
      <c r="A2689" s="31">
        <v>44705</v>
      </c>
      <c r="B2689" s="38" t="s">
        <v>16880</v>
      </c>
      <c r="C2689" s="38" t="s">
        <v>79</v>
      </c>
      <c r="D2689" s="34">
        <v>18709.599999999999</v>
      </c>
      <c r="E2689" s="35">
        <v>44706</v>
      </c>
      <c r="F2689" s="34">
        <v>18709.599999999999</v>
      </c>
      <c r="G2689" s="36">
        <f>Tabla16[[#This Row],[Importe]]-Tabla16[[#This Row],[Pagado]]</f>
        <v>0</v>
      </c>
      <c r="H2689" s="38" t="s">
        <v>10</v>
      </c>
    </row>
    <row r="2690" spans="1:8" x14ac:dyDescent="0.25">
      <c r="A2690" s="31">
        <v>44705</v>
      </c>
      <c r="B2690" s="38" t="s">
        <v>16881</v>
      </c>
      <c r="C2690" s="38" t="s">
        <v>58</v>
      </c>
      <c r="D2690" s="34">
        <v>4274.3999999999996</v>
      </c>
      <c r="E2690" s="35">
        <v>44705</v>
      </c>
      <c r="F2690" s="34">
        <v>4274.3999999999996</v>
      </c>
      <c r="G2690" s="36">
        <f>Tabla16[[#This Row],[Importe]]-Tabla16[[#This Row],[Pagado]]</f>
        <v>0</v>
      </c>
      <c r="H2690" s="38" t="s">
        <v>10</v>
      </c>
    </row>
    <row r="2691" spans="1:8" x14ac:dyDescent="0.25">
      <c r="A2691" s="31">
        <v>44705</v>
      </c>
      <c r="B2691" s="38" t="s">
        <v>16882</v>
      </c>
      <c r="C2691" s="38" t="s">
        <v>419</v>
      </c>
      <c r="D2691" s="34">
        <v>6610.4</v>
      </c>
      <c r="E2691" s="35">
        <v>44705</v>
      </c>
      <c r="F2691" s="34">
        <v>6610.4</v>
      </c>
      <c r="G2691" s="36">
        <f>Tabla16[[#This Row],[Importe]]-Tabla16[[#This Row],[Pagado]]</f>
        <v>0</v>
      </c>
      <c r="H2691" s="38" t="s">
        <v>10</v>
      </c>
    </row>
    <row r="2692" spans="1:8" x14ac:dyDescent="0.25">
      <c r="A2692" s="31">
        <v>44705</v>
      </c>
      <c r="B2692" s="38" t="s">
        <v>16883</v>
      </c>
      <c r="C2692" s="38" t="s">
        <v>273</v>
      </c>
      <c r="D2692" s="34">
        <v>1634.4</v>
      </c>
      <c r="E2692" s="35">
        <v>44705</v>
      </c>
      <c r="F2692" s="34">
        <v>1634.4</v>
      </c>
      <c r="G2692" s="36">
        <f>Tabla16[[#This Row],[Importe]]-Tabla16[[#This Row],[Pagado]]</f>
        <v>0</v>
      </c>
      <c r="H2692" s="38" t="s">
        <v>10</v>
      </c>
    </row>
    <row r="2693" spans="1:8" x14ac:dyDescent="0.25">
      <c r="A2693" s="31">
        <v>44705</v>
      </c>
      <c r="B2693" s="38" t="s">
        <v>16884</v>
      </c>
      <c r="C2693" s="38" t="s">
        <v>296</v>
      </c>
      <c r="D2693" s="34">
        <v>2549.8000000000002</v>
      </c>
      <c r="E2693" s="35">
        <v>44705</v>
      </c>
      <c r="F2693" s="34">
        <v>2549.8000000000002</v>
      </c>
      <c r="G2693" s="36">
        <f>Tabla16[[#This Row],[Importe]]-Tabla16[[#This Row],[Pagado]]</f>
        <v>0</v>
      </c>
      <c r="H2693" s="38" t="s">
        <v>10</v>
      </c>
    </row>
    <row r="2694" spans="1:8" x14ac:dyDescent="0.25">
      <c r="A2694" s="31">
        <v>44705</v>
      </c>
      <c r="B2694" s="38" t="s">
        <v>16885</v>
      </c>
      <c r="C2694" s="38" t="s">
        <v>60</v>
      </c>
      <c r="D2694" s="34">
        <v>1851.8</v>
      </c>
      <c r="E2694" s="35">
        <v>44705</v>
      </c>
      <c r="F2694" s="34">
        <v>1851.8</v>
      </c>
      <c r="G2694" s="36">
        <f>Tabla16[[#This Row],[Importe]]-Tabla16[[#This Row],[Pagado]]</f>
        <v>0</v>
      </c>
      <c r="H2694" s="38" t="s">
        <v>10</v>
      </c>
    </row>
    <row r="2695" spans="1:8" x14ac:dyDescent="0.25">
      <c r="A2695" s="31">
        <v>44705</v>
      </c>
      <c r="B2695" s="38" t="s">
        <v>16886</v>
      </c>
      <c r="C2695" s="38" t="s">
        <v>273</v>
      </c>
      <c r="D2695" s="34">
        <v>1650</v>
      </c>
      <c r="E2695" s="35">
        <v>44705</v>
      </c>
      <c r="F2695" s="34">
        <v>1650</v>
      </c>
      <c r="G2695" s="36">
        <f>Tabla16[[#This Row],[Importe]]-Tabla16[[#This Row],[Pagado]]</f>
        <v>0</v>
      </c>
      <c r="H2695" s="38" t="s">
        <v>10</v>
      </c>
    </row>
    <row r="2696" spans="1:8" x14ac:dyDescent="0.25">
      <c r="A2696" s="31">
        <v>44705</v>
      </c>
      <c r="B2696" s="38" t="s">
        <v>16887</v>
      </c>
      <c r="C2696" s="38" t="s">
        <v>1003</v>
      </c>
      <c r="D2696" s="34">
        <v>1020</v>
      </c>
      <c r="E2696" s="35">
        <v>44705</v>
      </c>
      <c r="F2696" s="34">
        <v>1020</v>
      </c>
      <c r="G2696" s="36">
        <f>Tabla16[[#This Row],[Importe]]-Tabla16[[#This Row],[Pagado]]</f>
        <v>0</v>
      </c>
      <c r="H2696" s="38" t="s">
        <v>10</v>
      </c>
    </row>
    <row r="2697" spans="1:8" x14ac:dyDescent="0.25">
      <c r="A2697" s="31">
        <v>44705</v>
      </c>
      <c r="B2697" s="38" t="s">
        <v>16888</v>
      </c>
      <c r="C2697" s="38" t="s">
        <v>654</v>
      </c>
      <c r="D2697" s="34">
        <v>3192.1</v>
      </c>
      <c r="E2697" s="35">
        <v>44705</v>
      </c>
      <c r="F2697" s="34">
        <v>3192.1</v>
      </c>
      <c r="G2697" s="36">
        <f>Tabla16[[#This Row],[Importe]]-Tabla16[[#This Row],[Pagado]]</f>
        <v>0</v>
      </c>
      <c r="H2697" s="38" t="s">
        <v>10</v>
      </c>
    </row>
    <row r="2698" spans="1:8" x14ac:dyDescent="0.25">
      <c r="A2698" s="31">
        <v>44705</v>
      </c>
      <c r="B2698" s="38" t="s">
        <v>16889</v>
      </c>
      <c r="C2698" s="38" t="s">
        <v>1003</v>
      </c>
      <c r="D2698" s="34">
        <v>686.8</v>
      </c>
      <c r="E2698" s="35">
        <v>44705</v>
      </c>
      <c r="F2698" s="34">
        <v>686.8</v>
      </c>
      <c r="G2698" s="36">
        <f>Tabla16[[#This Row],[Importe]]-Tabla16[[#This Row],[Pagado]]</f>
        <v>0</v>
      </c>
      <c r="H2698" s="38" t="s">
        <v>10</v>
      </c>
    </row>
    <row r="2699" spans="1:8" x14ac:dyDescent="0.25">
      <c r="A2699" s="31">
        <v>44705</v>
      </c>
      <c r="B2699" s="38" t="s">
        <v>16890</v>
      </c>
      <c r="C2699" s="38" t="s">
        <v>450</v>
      </c>
      <c r="D2699" s="34">
        <v>10691.4</v>
      </c>
      <c r="E2699" s="35">
        <v>44705</v>
      </c>
      <c r="F2699" s="34">
        <v>10691.4</v>
      </c>
      <c r="G2699" s="36">
        <f>Tabla16[[#This Row],[Importe]]-Tabla16[[#This Row],[Pagado]]</f>
        <v>0</v>
      </c>
      <c r="H2699" s="38" t="s">
        <v>10</v>
      </c>
    </row>
    <row r="2700" spans="1:8" x14ac:dyDescent="0.25">
      <c r="A2700" s="31">
        <v>44705</v>
      </c>
      <c r="B2700" s="38" t="s">
        <v>16891</v>
      </c>
      <c r="C2700" s="38" t="s">
        <v>10190</v>
      </c>
      <c r="D2700" s="34">
        <v>18326.400000000001</v>
      </c>
      <c r="E2700" s="35">
        <v>44706</v>
      </c>
      <c r="F2700" s="34">
        <v>18326.400000000001</v>
      </c>
      <c r="G2700" s="36">
        <f>Tabla16[[#This Row],[Importe]]-Tabla16[[#This Row],[Pagado]]</f>
        <v>0</v>
      </c>
      <c r="H2700" s="38" t="s">
        <v>10</v>
      </c>
    </row>
    <row r="2701" spans="1:8" x14ac:dyDescent="0.25">
      <c r="A2701" s="31">
        <v>44705</v>
      </c>
      <c r="B2701" s="38" t="s">
        <v>16892</v>
      </c>
      <c r="C2701" s="38" t="s">
        <v>179</v>
      </c>
      <c r="D2701" s="34">
        <v>1313.4</v>
      </c>
      <c r="E2701" s="35">
        <v>44706</v>
      </c>
      <c r="F2701" s="34">
        <v>1313.4</v>
      </c>
      <c r="G2701" s="36">
        <f>Tabla16[[#This Row],[Importe]]-Tabla16[[#This Row],[Pagado]]</f>
        <v>0</v>
      </c>
      <c r="H2701" s="38" t="s">
        <v>10</v>
      </c>
    </row>
    <row r="2702" spans="1:8" x14ac:dyDescent="0.25">
      <c r="A2702" s="31">
        <v>44705</v>
      </c>
      <c r="B2702" s="38" t="s">
        <v>16893</v>
      </c>
      <c r="C2702" s="38" t="s">
        <v>5694</v>
      </c>
      <c r="D2702" s="34">
        <v>3264</v>
      </c>
      <c r="E2702" s="35">
        <v>44705</v>
      </c>
      <c r="F2702" s="34">
        <v>3264</v>
      </c>
      <c r="G2702" s="36">
        <f>Tabla16[[#This Row],[Importe]]-Tabla16[[#This Row],[Pagado]]</f>
        <v>0</v>
      </c>
      <c r="H2702" s="38" t="s">
        <v>10</v>
      </c>
    </row>
    <row r="2703" spans="1:8" x14ac:dyDescent="0.25">
      <c r="A2703" s="31">
        <v>44705</v>
      </c>
      <c r="B2703" s="38" t="s">
        <v>16894</v>
      </c>
      <c r="C2703" s="38" t="s">
        <v>214</v>
      </c>
      <c r="D2703" s="34">
        <v>6533.1</v>
      </c>
      <c r="E2703" s="35">
        <v>44706</v>
      </c>
      <c r="F2703" s="34">
        <v>6533.1</v>
      </c>
      <c r="G2703" s="36">
        <f>Tabla16[[#This Row],[Importe]]-Tabla16[[#This Row],[Pagado]]</f>
        <v>0</v>
      </c>
      <c r="H2703" s="38" t="s">
        <v>10</v>
      </c>
    </row>
    <row r="2704" spans="1:8" x14ac:dyDescent="0.25">
      <c r="A2704" s="31">
        <v>44705</v>
      </c>
      <c r="B2704" s="38" t="s">
        <v>16895</v>
      </c>
      <c r="C2704" s="38" t="s">
        <v>414</v>
      </c>
      <c r="D2704" s="34">
        <v>20148</v>
      </c>
      <c r="E2704" s="35">
        <v>44721</v>
      </c>
      <c r="F2704" s="34">
        <v>20148</v>
      </c>
      <c r="G2704" s="36">
        <f>Tabla16[[#This Row],[Importe]]-Tabla16[[#This Row],[Pagado]]</f>
        <v>0</v>
      </c>
      <c r="H2704" s="38" t="s">
        <v>10</v>
      </c>
    </row>
    <row r="2705" spans="1:8" x14ac:dyDescent="0.25">
      <c r="A2705" s="31">
        <v>44705</v>
      </c>
      <c r="B2705" s="38" t="s">
        <v>16896</v>
      </c>
      <c r="C2705" s="38" t="s">
        <v>8949</v>
      </c>
      <c r="D2705" s="34">
        <v>1160</v>
      </c>
      <c r="E2705" s="35">
        <v>44706</v>
      </c>
      <c r="F2705" s="34">
        <v>1160</v>
      </c>
      <c r="G2705" s="36">
        <f>Tabla16[[#This Row],[Importe]]-Tabla16[[#This Row],[Pagado]]</f>
        <v>0</v>
      </c>
      <c r="H2705" s="38" t="s">
        <v>10</v>
      </c>
    </row>
    <row r="2706" spans="1:8" x14ac:dyDescent="0.25">
      <c r="A2706" s="31">
        <v>44705</v>
      </c>
      <c r="B2706" s="38" t="s">
        <v>16897</v>
      </c>
      <c r="C2706" s="38" t="s">
        <v>275</v>
      </c>
      <c r="D2706" s="34">
        <v>38690.5</v>
      </c>
      <c r="E2706" s="35">
        <v>44715</v>
      </c>
      <c r="F2706" s="34">
        <v>38690.5</v>
      </c>
      <c r="G2706" s="36">
        <f>Tabla16[[#This Row],[Importe]]-Tabla16[[#This Row],[Pagado]]</f>
        <v>0</v>
      </c>
      <c r="H2706" s="38" t="s">
        <v>10</v>
      </c>
    </row>
    <row r="2707" spans="1:8" x14ac:dyDescent="0.25">
      <c r="A2707" s="31">
        <v>44705</v>
      </c>
      <c r="B2707" s="38" t="s">
        <v>16898</v>
      </c>
      <c r="C2707" s="38" t="s">
        <v>67</v>
      </c>
      <c r="D2707" s="34">
        <v>1452</v>
      </c>
      <c r="E2707" s="35">
        <v>44705</v>
      </c>
      <c r="F2707" s="34">
        <v>1452</v>
      </c>
      <c r="G2707" s="36">
        <f>Tabla16[[#This Row],[Importe]]-Tabla16[[#This Row],[Pagado]]</f>
        <v>0</v>
      </c>
      <c r="H2707" s="38" t="s">
        <v>10</v>
      </c>
    </row>
    <row r="2708" spans="1:8" x14ac:dyDescent="0.25">
      <c r="A2708" s="31">
        <v>44705</v>
      </c>
      <c r="B2708" s="38" t="s">
        <v>16899</v>
      </c>
      <c r="C2708" s="38" t="s">
        <v>107</v>
      </c>
      <c r="D2708" s="34">
        <v>9566.4</v>
      </c>
      <c r="E2708" s="35">
        <v>44705</v>
      </c>
      <c r="F2708" s="34">
        <v>9566.4</v>
      </c>
      <c r="G2708" s="36">
        <f>Tabla16[[#This Row],[Importe]]-Tabla16[[#This Row],[Pagado]]</f>
        <v>0</v>
      </c>
      <c r="H2708" s="38" t="s">
        <v>10</v>
      </c>
    </row>
    <row r="2709" spans="1:8" x14ac:dyDescent="0.25">
      <c r="A2709" s="31">
        <v>44705</v>
      </c>
      <c r="B2709" s="38" t="s">
        <v>16900</v>
      </c>
      <c r="C2709" s="38" t="s">
        <v>433</v>
      </c>
      <c r="D2709" s="34">
        <v>30000</v>
      </c>
      <c r="E2709" s="35">
        <v>44705</v>
      </c>
      <c r="F2709" s="34">
        <v>30000</v>
      </c>
      <c r="G2709" s="36">
        <f>Tabla16[[#This Row],[Importe]]-Tabla16[[#This Row],[Pagado]]</f>
        <v>0</v>
      </c>
      <c r="H2709" s="38" t="s">
        <v>10</v>
      </c>
    </row>
    <row r="2710" spans="1:8" x14ac:dyDescent="0.25">
      <c r="A2710" s="31">
        <v>44705</v>
      </c>
      <c r="B2710" s="38" t="s">
        <v>16901</v>
      </c>
      <c r="C2710" s="38" t="s">
        <v>373</v>
      </c>
      <c r="D2710" s="34">
        <v>537.20000000000005</v>
      </c>
      <c r="E2710" s="35">
        <v>44705</v>
      </c>
      <c r="F2710" s="34">
        <v>537.20000000000005</v>
      </c>
      <c r="G2710" s="36">
        <f>Tabla16[[#This Row],[Importe]]-Tabla16[[#This Row],[Pagado]]</f>
        <v>0</v>
      </c>
      <c r="H2710" s="38" t="s">
        <v>10</v>
      </c>
    </row>
    <row r="2711" spans="1:8" x14ac:dyDescent="0.25">
      <c r="A2711" s="31">
        <v>44705</v>
      </c>
      <c r="B2711" s="38" t="s">
        <v>16902</v>
      </c>
      <c r="C2711" s="38" t="s">
        <v>414</v>
      </c>
      <c r="D2711" s="34">
        <v>35.96</v>
      </c>
      <c r="E2711" s="35">
        <v>44707</v>
      </c>
      <c r="F2711" s="34">
        <v>35.96</v>
      </c>
      <c r="G2711" s="36">
        <f>Tabla16[[#This Row],[Importe]]-Tabla16[[#This Row],[Pagado]]</f>
        <v>0</v>
      </c>
      <c r="H2711" s="38" t="s">
        <v>10</v>
      </c>
    </row>
    <row r="2712" spans="1:8" x14ac:dyDescent="0.25">
      <c r="A2712" s="31">
        <v>44705</v>
      </c>
      <c r="B2712" s="38" t="s">
        <v>16903</v>
      </c>
      <c r="C2712" s="38" t="s">
        <v>440</v>
      </c>
      <c r="D2712" s="34">
        <v>16013.96</v>
      </c>
      <c r="E2712" s="35">
        <v>44716</v>
      </c>
      <c r="F2712" s="34">
        <v>16013.96</v>
      </c>
      <c r="G2712" s="36">
        <f>Tabla16[[#This Row],[Importe]]-Tabla16[[#This Row],[Pagado]]</f>
        <v>0</v>
      </c>
      <c r="H2712" s="38" t="s">
        <v>10</v>
      </c>
    </row>
    <row r="2713" spans="1:8" x14ac:dyDescent="0.25">
      <c r="A2713" s="31">
        <v>44705</v>
      </c>
      <c r="B2713" s="38" t="s">
        <v>16904</v>
      </c>
      <c r="C2713" s="38" t="s">
        <v>196</v>
      </c>
      <c r="D2713" s="34">
        <v>480</v>
      </c>
      <c r="E2713" s="35">
        <v>44708</v>
      </c>
      <c r="F2713" s="34">
        <v>480</v>
      </c>
      <c r="G2713" s="36">
        <f>Tabla16[[#This Row],[Importe]]-Tabla16[[#This Row],[Pagado]]</f>
        <v>0</v>
      </c>
      <c r="H2713" s="38" t="s">
        <v>10</v>
      </c>
    </row>
    <row r="2714" spans="1:8" x14ac:dyDescent="0.25">
      <c r="A2714" s="31">
        <v>44705</v>
      </c>
      <c r="B2714" s="38" t="s">
        <v>16905</v>
      </c>
      <c r="C2714" s="38" t="s">
        <v>284</v>
      </c>
      <c r="D2714" s="34">
        <v>7344</v>
      </c>
      <c r="E2714" s="35">
        <v>44706</v>
      </c>
      <c r="F2714" s="34">
        <v>7344</v>
      </c>
      <c r="G2714" s="36">
        <f>Tabla16[[#This Row],[Importe]]-Tabla16[[#This Row],[Pagado]]</f>
        <v>0</v>
      </c>
      <c r="H2714" s="38" t="s">
        <v>10</v>
      </c>
    </row>
    <row r="2715" spans="1:8" x14ac:dyDescent="0.25">
      <c r="A2715" s="31">
        <v>44705</v>
      </c>
      <c r="B2715" s="38" t="s">
        <v>16906</v>
      </c>
      <c r="C2715" s="38" t="s">
        <v>5345</v>
      </c>
      <c r="D2715" s="34">
        <v>2178</v>
      </c>
      <c r="E2715" s="35">
        <v>44706</v>
      </c>
      <c r="F2715" s="34">
        <v>2178</v>
      </c>
      <c r="G2715" s="36">
        <f>Tabla16[[#This Row],[Importe]]-Tabla16[[#This Row],[Pagado]]</f>
        <v>0</v>
      </c>
      <c r="H2715" s="38" t="s">
        <v>10</v>
      </c>
    </row>
    <row r="2716" spans="1:8" x14ac:dyDescent="0.25">
      <c r="A2716" s="31">
        <v>44705</v>
      </c>
      <c r="B2716" s="38" t="s">
        <v>16907</v>
      </c>
      <c r="C2716" s="38" t="s">
        <v>282</v>
      </c>
      <c r="D2716" s="34">
        <v>1806</v>
      </c>
      <c r="E2716" s="35">
        <v>44706</v>
      </c>
      <c r="F2716" s="34">
        <v>1806</v>
      </c>
      <c r="G2716" s="36">
        <f>Tabla16[[#This Row],[Importe]]-Tabla16[[#This Row],[Pagado]]</f>
        <v>0</v>
      </c>
      <c r="H2716" s="38" t="s">
        <v>10</v>
      </c>
    </row>
    <row r="2717" spans="1:8" x14ac:dyDescent="0.25">
      <c r="A2717" s="31">
        <v>44705</v>
      </c>
      <c r="B2717" s="38" t="s">
        <v>16908</v>
      </c>
      <c r="C2717" s="38" t="s">
        <v>431</v>
      </c>
      <c r="D2717" s="34">
        <v>492</v>
      </c>
      <c r="E2717" s="35">
        <v>44706</v>
      </c>
      <c r="F2717" s="34">
        <v>492</v>
      </c>
      <c r="G2717" s="36">
        <f>Tabla16[[#This Row],[Importe]]-Tabla16[[#This Row],[Pagado]]</f>
        <v>0</v>
      </c>
      <c r="H2717" s="38" t="s">
        <v>10</v>
      </c>
    </row>
    <row r="2718" spans="1:8" x14ac:dyDescent="0.25">
      <c r="A2718" s="31">
        <v>44705</v>
      </c>
      <c r="B2718" s="38" t="s">
        <v>16909</v>
      </c>
      <c r="C2718" s="38" t="s">
        <v>10819</v>
      </c>
      <c r="D2718" s="34">
        <v>540</v>
      </c>
      <c r="E2718" s="35">
        <v>44706</v>
      </c>
      <c r="F2718" s="34">
        <v>540</v>
      </c>
      <c r="G2718" s="36">
        <f>Tabla16[[#This Row],[Importe]]-Tabla16[[#This Row],[Pagado]]</f>
        <v>0</v>
      </c>
      <c r="H2718" s="38" t="s">
        <v>10</v>
      </c>
    </row>
    <row r="2719" spans="1:8" x14ac:dyDescent="0.25">
      <c r="A2719" s="31">
        <v>44705</v>
      </c>
      <c r="B2719" s="38" t="s">
        <v>16910</v>
      </c>
      <c r="C2719" s="38" t="s">
        <v>280</v>
      </c>
      <c r="D2719" s="34">
        <v>666</v>
      </c>
      <c r="E2719" s="35">
        <v>44706</v>
      </c>
      <c r="F2719" s="34">
        <v>666</v>
      </c>
      <c r="G2719" s="36">
        <f>Tabla16[[#This Row],[Importe]]-Tabla16[[#This Row],[Pagado]]</f>
        <v>0</v>
      </c>
      <c r="H2719" s="38" t="s">
        <v>10</v>
      </c>
    </row>
    <row r="2720" spans="1:8" x14ac:dyDescent="0.25">
      <c r="A2720" s="31">
        <v>44705</v>
      </c>
      <c r="B2720" s="38" t="s">
        <v>16911</v>
      </c>
      <c r="C2720" s="38" t="s">
        <v>142</v>
      </c>
      <c r="D2720" s="34">
        <v>72323.33</v>
      </c>
      <c r="E2720" s="35">
        <v>44707</v>
      </c>
      <c r="F2720" s="34">
        <v>72323.33</v>
      </c>
      <c r="G2720" s="36">
        <f>Tabla16[[#This Row],[Importe]]-Tabla16[[#This Row],[Pagado]]</f>
        <v>0</v>
      </c>
      <c r="H2720" s="38" t="s">
        <v>10</v>
      </c>
    </row>
    <row r="2721" spans="1:8" x14ac:dyDescent="0.25">
      <c r="A2721" s="31">
        <v>44705</v>
      </c>
      <c r="B2721" s="38" t="s">
        <v>16912</v>
      </c>
      <c r="C2721" s="38" t="s">
        <v>261</v>
      </c>
      <c r="D2721" s="34">
        <v>45926.2</v>
      </c>
      <c r="E2721" s="35">
        <v>44706</v>
      </c>
      <c r="F2721" s="34">
        <v>45926.2</v>
      </c>
      <c r="G2721" s="36">
        <f>Tabla16[[#This Row],[Importe]]-Tabla16[[#This Row],[Pagado]]</f>
        <v>0</v>
      </c>
      <c r="H2721" s="38" t="s">
        <v>10</v>
      </c>
    </row>
    <row r="2722" spans="1:8" x14ac:dyDescent="0.25">
      <c r="A2722" s="31">
        <v>44705</v>
      </c>
      <c r="B2722" s="38" t="s">
        <v>16913</v>
      </c>
      <c r="C2722" s="38" t="s">
        <v>442</v>
      </c>
      <c r="D2722" s="34">
        <v>1131.2</v>
      </c>
      <c r="E2722" s="35">
        <v>44705</v>
      </c>
      <c r="F2722" s="34">
        <v>1131.2</v>
      </c>
      <c r="G2722" s="36">
        <f>Tabla16[[#This Row],[Importe]]-Tabla16[[#This Row],[Pagado]]</f>
        <v>0</v>
      </c>
      <c r="H2722" s="38" t="s">
        <v>10</v>
      </c>
    </row>
    <row r="2723" spans="1:8" x14ac:dyDescent="0.25">
      <c r="A2723" s="31">
        <v>44705</v>
      </c>
      <c r="B2723" s="38" t="s">
        <v>16914</v>
      </c>
      <c r="C2723" s="38" t="s">
        <v>10678</v>
      </c>
      <c r="D2723" s="34">
        <v>2323.1999999999998</v>
      </c>
      <c r="E2723" s="35">
        <v>44705</v>
      </c>
      <c r="F2723" s="34">
        <v>2323.1999999999998</v>
      </c>
      <c r="G2723" s="36">
        <f>Tabla16[[#This Row],[Importe]]-Tabla16[[#This Row],[Pagado]]</f>
        <v>0</v>
      </c>
      <c r="H2723" s="38" t="s">
        <v>10</v>
      </c>
    </row>
    <row r="2724" spans="1:8" x14ac:dyDescent="0.25">
      <c r="A2724" s="31">
        <v>44705</v>
      </c>
      <c r="B2724" s="38" t="s">
        <v>16915</v>
      </c>
      <c r="C2724" s="38" t="s">
        <v>53</v>
      </c>
      <c r="D2724" s="34">
        <v>2781.7</v>
      </c>
      <c r="E2724" s="35">
        <v>44705</v>
      </c>
      <c r="F2724" s="34">
        <v>2781.7</v>
      </c>
      <c r="G2724" s="36">
        <f>Tabla16[[#This Row],[Importe]]-Tabla16[[#This Row],[Pagado]]</f>
        <v>0</v>
      </c>
      <c r="H2724" s="38" t="s">
        <v>10</v>
      </c>
    </row>
    <row r="2725" spans="1:8" x14ac:dyDescent="0.25">
      <c r="A2725" s="31">
        <v>44705</v>
      </c>
      <c r="B2725" s="38" t="s">
        <v>16916</v>
      </c>
      <c r="C2725" s="38" t="s">
        <v>9415</v>
      </c>
      <c r="D2725" s="34">
        <v>13855.4</v>
      </c>
      <c r="E2725" s="35">
        <v>44706</v>
      </c>
      <c r="F2725" s="34">
        <v>13855.4</v>
      </c>
      <c r="G2725" s="36">
        <f>Tabla16[[#This Row],[Importe]]-Tabla16[[#This Row],[Pagado]]</f>
        <v>0</v>
      </c>
      <c r="H2725" s="38" t="s">
        <v>10</v>
      </c>
    </row>
    <row r="2726" spans="1:8" x14ac:dyDescent="0.25">
      <c r="A2726" s="31">
        <v>44705</v>
      </c>
      <c r="B2726" s="38" t="s">
        <v>16917</v>
      </c>
      <c r="C2726" s="38" t="s">
        <v>461</v>
      </c>
      <c r="D2726" s="34">
        <v>300</v>
      </c>
      <c r="E2726" s="35">
        <v>44706</v>
      </c>
      <c r="F2726" s="34">
        <v>300</v>
      </c>
      <c r="G2726" s="36">
        <f>Tabla16[[#This Row],[Importe]]-Tabla16[[#This Row],[Pagado]]</f>
        <v>0</v>
      </c>
      <c r="H2726" s="38" t="s">
        <v>10</v>
      </c>
    </row>
    <row r="2727" spans="1:8" x14ac:dyDescent="0.25">
      <c r="A2727" s="31">
        <v>44706</v>
      </c>
      <c r="B2727" s="38" t="s">
        <v>16918</v>
      </c>
      <c r="C2727" s="38" t="s">
        <v>475</v>
      </c>
      <c r="D2727" s="34">
        <v>61471.5</v>
      </c>
      <c r="E2727" s="35">
        <v>44707</v>
      </c>
      <c r="F2727" s="34">
        <v>61471.5</v>
      </c>
      <c r="G2727" s="36">
        <f>Tabla16[[#This Row],[Importe]]-Tabla16[[#This Row],[Pagado]]</f>
        <v>0</v>
      </c>
      <c r="H2727" s="38" t="s">
        <v>10</v>
      </c>
    </row>
    <row r="2728" spans="1:8" x14ac:dyDescent="0.25">
      <c r="A2728" s="31">
        <v>44706</v>
      </c>
      <c r="B2728" s="38" t="s">
        <v>16919</v>
      </c>
      <c r="C2728" s="38" t="s">
        <v>109</v>
      </c>
      <c r="D2728" s="34">
        <v>4314.2</v>
      </c>
      <c r="E2728" s="35">
        <v>44707</v>
      </c>
      <c r="F2728" s="34">
        <v>4314.2</v>
      </c>
      <c r="G2728" s="36">
        <f>Tabla16[[#This Row],[Importe]]-Tabla16[[#This Row],[Pagado]]</f>
        <v>0</v>
      </c>
      <c r="H2728" s="38" t="s">
        <v>10</v>
      </c>
    </row>
    <row r="2729" spans="1:8" x14ac:dyDescent="0.25">
      <c r="A2729" s="31">
        <v>44706</v>
      </c>
      <c r="B2729" s="38" t="s">
        <v>16920</v>
      </c>
      <c r="C2729" s="38" t="s">
        <v>114</v>
      </c>
      <c r="D2729" s="34">
        <v>4171.1000000000004</v>
      </c>
      <c r="E2729" s="35">
        <v>44706</v>
      </c>
      <c r="F2729" s="34">
        <v>4171.1000000000004</v>
      </c>
      <c r="G2729" s="36">
        <f>Tabla16[[#This Row],[Importe]]-Tabla16[[#This Row],[Pagado]]</f>
        <v>0</v>
      </c>
      <c r="H2729" s="38" t="s">
        <v>10</v>
      </c>
    </row>
    <row r="2730" spans="1:8" x14ac:dyDescent="0.25">
      <c r="A2730" s="31">
        <v>44706</v>
      </c>
      <c r="B2730" s="38" t="s">
        <v>16921</v>
      </c>
      <c r="C2730" s="38" t="s">
        <v>120</v>
      </c>
      <c r="D2730" s="34">
        <v>3679.5</v>
      </c>
      <c r="E2730" s="35">
        <v>44708</v>
      </c>
      <c r="F2730" s="34">
        <v>3679.5</v>
      </c>
      <c r="G2730" s="36">
        <f>Tabla16[[#This Row],[Importe]]-Tabla16[[#This Row],[Pagado]]</f>
        <v>0</v>
      </c>
      <c r="H2730" s="38" t="s">
        <v>10</v>
      </c>
    </row>
    <row r="2731" spans="1:8" x14ac:dyDescent="0.25">
      <c r="A2731" s="31">
        <v>44706</v>
      </c>
      <c r="B2731" s="38" t="s">
        <v>16922</v>
      </c>
      <c r="C2731" s="38" t="s">
        <v>326</v>
      </c>
      <c r="D2731" s="34">
        <v>4107.5</v>
      </c>
      <c r="E2731" s="35">
        <v>44708</v>
      </c>
      <c r="F2731" s="34">
        <v>4107.5</v>
      </c>
      <c r="G2731" s="36">
        <f>Tabla16[[#This Row],[Importe]]-Tabla16[[#This Row],[Pagado]]</f>
        <v>0</v>
      </c>
      <c r="H2731" s="38" t="s">
        <v>10</v>
      </c>
    </row>
    <row r="2732" spans="1:8" ht="31.5" x14ac:dyDescent="0.25">
      <c r="A2732" s="31">
        <v>44706</v>
      </c>
      <c r="B2732" s="38" t="s">
        <v>16923</v>
      </c>
      <c r="C2732" s="38" t="s">
        <v>93</v>
      </c>
      <c r="D2732" s="34">
        <v>4059.8</v>
      </c>
      <c r="E2732" s="35" t="s">
        <v>16924</v>
      </c>
      <c r="F2732" s="34">
        <f>2500+1559.8</f>
        <v>4059.8</v>
      </c>
      <c r="G2732" s="36">
        <f>Tabla16[[#This Row],[Importe]]-Tabla16[[#This Row],[Pagado]]</f>
        <v>0</v>
      </c>
      <c r="H2732" s="38" t="s">
        <v>10</v>
      </c>
    </row>
    <row r="2733" spans="1:8" x14ac:dyDescent="0.25">
      <c r="A2733" s="31">
        <v>44706</v>
      </c>
      <c r="B2733" s="38" t="s">
        <v>16925</v>
      </c>
      <c r="C2733" s="38" t="s">
        <v>64</v>
      </c>
      <c r="D2733" s="34">
        <v>4020.5</v>
      </c>
      <c r="E2733" s="35">
        <v>44708</v>
      </c>
      <c r="F2733" s="34">
        <v>4020.5</v>
      </c>
      <c r="G2733" s="36">
        <f>Tabla16[[#This Row],[Importe]]-Tabla16[[#This Row],[Pagado]]</f>
        <v>0</v>
      </c>
      <c r="H2733" s="38" t="s">
        <v>10</v>
      </c>
    </row>
    <row r="2734" spans="1:8" x14ac:dyDescent="0.25">
      <c r="A2734" s="31">
        <v>44706</v>
      </c>
      <c r="B2734" s="38" t="s">
        <v>16926</v>
      </c>
      <c r="C2734" s="38" t="s">
        <v>5043</v>
      </c>
      <c r="D2734" s="34">
        <v>4433</v>
      </c>
      <c r="E2734" s="35">
        <v>44708</v>
      </c>
      <c r="F2734" s="34">
        <v>4433</v>
      </c>
      <c r="G2734" s="36">
        <f>Tabla16[[#This Row],[Importe]]-Tabla16[[#This Row],[Pagado]]</f>
        <v>0</v>
      </c>
      <c r="H2734" s="38" t="s">
        <v>10</v>
      </c>
    </row>
    <row r="2735" spans="1:8" x14ac:dyDescent="0.25">
      <c r="A2735" s="31">
        <v>44706</v>
      </c>
      <c r="B2735" s="38" t="s">
        <v>16927</v>
      </c>
      <c r="C2735" s="38" t="s">
        <v>60</v>
      </c>
      <c r="D2735" s="34">
        <v>4290</v>
      </c>
      <c r="E2735" s="35">
        <v>44708</v>
      </c>
      <c r="F2735" s="34">
        <v>4290</v>
      </c>
      <c r="G2735" s="36">
        <f>Tabla16[[#This Row],[Importe]]-Tabla16[[#This Row],[Pagado]]</f>
        <v>0</v>
      </c>
      <c r="H2735" s="38" t="s">
        <v>10</v>
      </c>
    </row>
    <row r="2736" spans="1:8" x14ac:dyDescent="0.25">
      <c r="A2736" s="31">
        <v>44706</v>
      </c>
      <c r="B2736" s="38" t="s">
        <v>16928</v>
      </c>
      <c r="C2736" s="38" t="s">
        <v>97</v>
      </c>
      <c r="D2736" s="34">
        <v>4489.1000000000004</v>
      </c>
      <c r="E2736" s="35">
        <v>44707</v>
      </c>
      <c r="F2736" s="34">
        <v>4489.1000000000004</v>
      </c>
      <c r="G2736" s="36">
        <f>Tabla16[[#This Row],[Importe]]-Tabla16[[#This Row],[Pagado]]</f>
        <v>0</v>
      </c>
      <c r="H2736" s="38" t="s">
        <v>10</v>
      </c>
    </row>
    <row r="2737" spans="1:8" x14ac:dyDescent="0.25">
      <c r="A2737" s="31">
        <v>44706</v>
      </c>
      <c r="B2737" s="38" t="s">
        <v>16929</v>
      </c>
      <c r="C2737" s="38" t="s">
        <v>89</v>
      </c>
      <c r="D2737" s="34">
        <v>9132.1</v>
      </c>
      <c r="E2737" s="35">
        <v>44706</v>
      </c>
      <c r="F2737" s="34">
        <v>9132.1</v>
      </c>
      <c r="G2737" s="36">
        <f>Tabla16[[#This Row],[Importe]]-Tabla16[[#This Row],[Pagado]]</f>
        <v>0</v>
      </c>
      <c r="H2737" s="38" t="s">
        <v>10</v>
      </c>
    </row>
    <row r="2738" spans="1:8" x14ac:dyDescent="0.25">
      <c r="A2738" s="31">
        <v>44706</v>
      </c>
      <c r="B2738" s="38" t="s">
        <v>16930</v>
      </c>
      <c r="C2738" s="38" t="s">
        <v>39</v>
      </c>
      <c r="D2738" s="34">
        <v>17594.5</v>
      </c>
      <c r="E2738" s="35">
        <v>44708</v>
      </c>
      <c r="F2738" s="34">
        <v>17594.5</v>
      </c>
      <c r="G2738" s="36">
        <f>Tabla16[[#This Row],[Importe]]-Tabla16[[#This Row],[Pagado]]</f>
        <v>0</v>
      </c>
      <c r="H2738" s="38" t="s">
        <v>10</v>
      </c>
    </row>
    <row r="2739" spans="1:8" x14ac:dyDescent="0.25">
      <c r="A2739" s="31">
        <v>44706</v>
      </c>
      <c r="B2739" s="38" t="s">
        <v>16931</v>
      </c>
      <c r="C2739" s="38" t="s">
        <v>2151</v>
      </c>
      <c r="D2739" s="34">
        <v>8612.5</v>
      </c>
      <c r="E2739" s="35">
        <v>44706</v>
      </c>
      <c r="F2739" s="34">
        <v>8612.5</v>
      </c>
      <c r="G2739" s="36">
        <f>Tabla16[[#This Row],[Importe]]-Tabla16[[#This Row],[Pagado]]</f>
        <v>0</v>
      </c>
      <c r="H2739" s="38" t="s">
        <v>10</v>
      </c>
    </row>
    <row r="2740" spans="1:8" x14ac:dyDescent="0.25">
      <c r="A2740" s="31">
        <v>44706</v>
      </c>
      <c r="B2740" s="38" t="s">
        <v>16932</v>
      </c>
      <c r="C2740" s="38" t="s">
        <v>348</v>
      </c>
      <c r="D2740" s="34">
        <v>5951.1</v>
      </c>
      <c r="E2740" s="35">
        <v>44706</v>
      </c>
      <c r="F2740" s="34">
        <v>5951.1</v>
      </c>
      <c r="G2740" s="36">
        <f>Tabla16[[#This Row],[Importe]]-Tabla16[[#This Row],[Pagado]]</f>
        <v>0</v>
      </c>
      <c r="H2740" s="38" t="s">
        <v>10</v>
      </c>
    </row>
    <row r="2741" spans="1:8" x14ac:dyDescent="0.25">
      <c r="A2741" s="31">
        <v>44706</v>
      </c>
      <c r="B2741" s="38" t="s">
        <v>16933</v>
      </c>
      <c r="C2741" s="38" t="s">
        <v>105</v>
      </c>
      <c r="D2741" s="34">
        <v>9858.7999999999993</v>
      </c>
      <c r="E2741" s="35">
        <v>44707</v>
      </c>
      <c r="F2741" s="34">
        <v>9858.7999999999993</v>
      </c>
      <c r="G2741" s="36">
        <f>Tabla16[[#This Row],[Importe]]-Tabla16[[#This Row],[Pagado]]</f>
        <v>0</v>
      </c>
      <c r="H2741" s="38" t="s">
        <v>10</v>
      </c>
    </row>
    <row r="2742" spans="1:8" x14ac:dyDescent="0.25">
      <c r="A2742" s="31">
        <v>44706</v>
      </c>
      <c r="B2742" s="38" t="s">
        <v>16934</v>
      </c>
      <c r="C2742" s="38" t="s">
        <v>83</v>
      </c>
      <c r="D2742" s="34">
        <v>8065.2</v>
      </c>
      <c r="E2742" s="35">
        <v>44706</v>
      </c>
      <c r="F2742" s="34">
        <v>8065.2</v>
      </c>
      <c r="G2742" s="36">
        <f>Tabla16[[#This Row],[Importe]]-Tabla16[[#This Row],[Pagado]]</f>
        <v>0</v>
      </c>
      <c r="H2742" s="38" t="s">
        <v>10</v>
      </c>
    </row>
    <row r="2743" spans="1:8" x14ac:dyDescent="0.25">
      <c r="A2743" s="31">
        <v>44706</v>
      </c>
      <c r="B2743" s="38" t="s">
        <v>16935</v>
      </c>
      <c r="C2743" s="38" t="s">
        <v>2151</v>
      </c>
      <c r="D2743" s="34">
        <v>851.2</v>
      </c>
      <c r="E2743" s="35">
        <v>44706</v>
      </c>
      <c r="F2743" s="34">
        <v>851.2</v>
      </c>
      <c r="G2743" s="36">
        <f>Tabla16[[#This Row],[Importe]]-Tabla16[[#This Row],[Pagado]]</f>
        <v>0</v>
      </c>
      <c r="H2743" s="38" t="s">
        <v>10</v>
      </c>
    </row>
    <row r="2744" spans="1:8" x14ac:dyDescent="0.25">
      <c r="A2744" s="31">
        <v>44706</v>
      </c>
      <c r="B2744" s="38" t="s">
        <v>16936</v>
      </c>
      <c r="C2744" s="38" t="s">
        <v>481</v>
      </c>
      <c r="D2744" s="34">
        <v>885.4</v>
      </c>
      <c r="E2744" s="35">
        <v>44706</v>
      </c>
      <c r="F2744" s="34">
        <v>885.4</v>
      </c>
      <c r="G2744" s="36">
        <f>Tabla16[[#This Row],[Importe]]-Tabla16[[#This Row],[Pagado]]</f>
        <v>0</v>
      </c>
      <c r="H2744" s="38" t="s">
        <v>10</v>
      </c>
    </row>
    <row r="2745" spans="1:8" x14ac:dyDescent="0.25">
      <c r="A2745" s="31">
        <v>44706</v>
      </c>
      <c r="B2745" s="38" t="s">
        <v>16937</v>
      </c>
      <c r="C2745" s="38" t="s">
        <v>87</v>
      </c>
      <c r="D2745" s="34">
        <v>1797.6</v>
      </c>
      <c r="E2745" s="35">
        <v>44706</v>
      </c>
      <c r="F2745" s="34">
        <v>1797.6</v>
      </c>
      <c r="G2745" s="36">
        <f>Tabla16[[#This Row],[Importe]]-Tabla16[[#This Row],[Pagado]]</f>
        <v>0</v>
      </c>
      <c r="H2745" s="38" t="s">
        <v>10</v>
      </c>
    </row>
    <row r="2746" spans="1:8" x14ac:dyDescent="0.25">
      <c r="A2746" s="31">
        <v>44706</v>
      </c>
      <c r="B2746" s="38" t="s">
        <v>16938</v>
      </c>
      <c r="C2746" s="38" t="s">
        <v>9</v>
      </c>
      <c r="D2746" s="34">
        <v>3541.7</v>
      </c>
      <c r="E2746" s="35">
        <v>44706</v>
      </c>
      <c r="F2746" s="34">
        <v>3541.7</v>
      </c>
      <c r="G2746" s="36">
        <f>Tabla16[[#This Row],[Importe]]-Tabla16[[#This Row],[Pagado]]</f>
        <v>0</v>
      </c>
      <c r="H2746" s="38" t="s">
        <v>10</v>
      </c>
    </row>
    <row r="2747" spans="1:8" x14ac:dyDescent="0.25">
      <c r="A2747" s="31">
        <v>44706</v>
      </c>
      <c r="B2747" s="38" t="s">
        <v>16939</v>
      </c>
      <c r="C2747" s="38" t="s">
        <v>484</v>
      </c>
      <c r="D2747" s="34">
        <v>4114</v>
      </c>
      <c r="E2747" s="35">
        <v>44706</v>
      </c>
      <c r="F2747" s="34">
        <v>4114</v>
      </c>
      <c r="G2747" s="36">
        <f>Tabla16[[#This Row],[Importe]]-Tabla16[[#This Row],[Pagado]]</f>
        <v>0</v>
      </c>
      <c r="H2747" s="38" t="s">
        <v>10</v>
      </c>
    </row>
    <row r="2748" spans="1:8" x14ac:dyDescent="0.25">
      <c r="A2748" s="31">
        <v>44706</v>
      </c>
      <c r="B2748" s="38" t="s">
        <v>16940</v>
      </c>
      <c r="C2748" s="38" t="s">
        <v>85</v>
      </c>
      <c r="D2748" s="34">
        <v>609</v>
      </c>
      <c r="E2748" s="35">
        <v>44706</v>
      </c>
      <c r="F2748" s="34">
        <v>609</v>
      </c>
      <c r="G2748" s="36">
        <f>Tabla16[[#This Row],[Importe]]-Tabla16[[#This Row],[Pagado]]</f>
        <v>0</v>
      </c>
      <c r="H2748" s="38" t="s">
        <v>10</v>
      </c>
    </row>
    <row r="2749" spans="1:8" x14ac:dyDescent="0.25">
      <c r="A2749" s="31">
        <v>44706</v>
      </c>
      <c r="B2749" s="38" t="s">
        <v>16941</v>
      </c>
      <c r="C2749" s="38" t="s">
        <v>146</v>
      </c>
      <c r="D2749" s="34">
        <v>2724</v>
      </c>
      <c r="E2749" s="35">
        <v>44706</v>
      </c>
      <c r="F2749" s="34">
        <v>2724</v>
      </c>
      <c r="G2749" s="36">
        <f>Tabla16[[#This Row],[Importe]]-Tabla16[[#This Row],[Pagado]]</f>
        <v>0</v>
      </c>
      <c r="H2749" s="38" t="s">
        <v>10</v>
      </c>
    </row>
    <row r="2750" spans="1:8" x14ac:dyDescent="0.25">
      <c r="A2750" s="31">
        <v>44706</v>
      </c>
      <c r="B2750" s="38" t="s">
        <v>16942</v>
      </c>
      <c r="C2750" s="38" t="s">
        <v>7444</v>
      </c>
      <c r="D2750" s="34">
        <v>767</v>
      </c>
      <c r="E2750" s="35">
        <v>44706</v>
      </c>
      <c r="F2750" s="34">
        <v>767</v>
      </c>
      <c r="G2750" s="36">
        <f>Tabla16[[#This Row],[Importe]]-Tabla16[[#This Row],[Pagado]]</f>
        <v>0</v>
      </c>
      <c r="H2750" s="38" t="s">
        <v>10</v>
      </c>
    </row>
    <row r="2751" spans="1:8" x14ac:dyDescent="0.25">
      <c r="A2751" s="31">
        <v>44706</v>
      </c>
      <c r="B2751" s="38" t="s">
        <v>16943</v>
      </c>
      <c r="C2751" s="38" t="s">
        <v>154</v>
      </c>
      <c r="D2751" s="34">
        <v>30703.200000000001</v>
      </c>
      <c r="E2751" s="35">
        <v>44709</v>
      </c>
      <c r="F2751" s="34">
        <v>30703.200000000001</v>
      </c>
      <c r="G2751" s="36">
        <f>Tabla16[[#This Row],[Importe]]-Tabla16[[#This Row],[Pagado]]</f>
        <v>0</v>
      </c>
      <c r="H2751" s="38" t="s">
        <v>10</v>
      </c>
    </row>
    <row r="2752" spans="1:8" x14ac:dyDescent="0.25">
      <c r="A2752" s="31">
        <v>44706</v>
      </c>
      <c r="B2752" s="38" t="s">
        <v>16944</v>
      </c>
      <c r="C2752" s="38" t="s">
        <v>212</v>
      </c>
      <c r="D2752" s="34">
        <v>47789.8</v>
      </c>
      <c r="E2752" s="35">
        <v>44709</v>
      </c>
      <c r="F2752" s="34">
        <v>47789.8</v>
      </c>
      <c r="G2752" s="36">
        <f>Tabla16[[#This Row],[Importe]]-Tabla16[[#This Row],[Pagado]]</f>
        <v>0</v>
      </c>
      <c r="H2752" s="38" t="s">
        <v>10</v>
      </c>
    </row>
    <row r="2753" spans="1:10" x14ac:dyDescent="0.25">
      <c r="A2753" s="31">
        <v>44706</v>
      </c>
      <c r="B2753" s="38" t="s">
        <v>16945</v>
      </c>
      <c r="C2753" s="38" t="s">
        <v>357</v>
      </c>
      <c r="D2753" s="34">
        <v>240</v>
      </c>
      <c r="E2753" s="35">
        <v>44706</v>
      </c>
      <c r="F2753" s="34">
        <v>240</v>
      </c>
      <c r="G2753" s="36">
        <f>Tabla16[[#This Row],[Importe]]-Tabla16[[#This Row],[Pagado]]</f>
        <v>0</v>
      </c>
      <c r="H2753" s="38" t="s">
        <v>10</v>
      </c>
    </row>
    <row r="2754" spans="1:10" x14ac:dyDescent="0.25">
      <c r="A2754" s="31">
        <v>44706</v>
      </c>
      <c r="B2754" s="38" t="s">
        <v>16946</v>
      </c>
      <c r="C2754" s="38" t="s">
        <v>140</v>
      </c>
      <c r="D2754" s="34">
        <v>4129.6000000000004</v>
      </c>
      <c r="E2754" s="35">
        <v>44706</v>
      </c>
      <c r="F2754" s="34">
        <v>4129.6000000000004</v>
      </c>
      <c r="G2754" s="36">
        <f>Tabla16[[#This Row],[Importe]]-Tabla16[[#This Row],[Pagado]]</f>
        <v>0</v>
      </c>
      <c r="H2754" s="38" t="s">
        <v>10</v>
      </c>
    </row>
    <row r="2755" spans="1:10" x14ac:dyDescent="0.25">
      <c r="A2755" s="31">
        <v>44706</v>
      </c>
      <c r="B2755" s="38" t="s">
        <v>16947</v>
      </c>
      <c r="C2755" s="38" t="s">
        <v>129</v>
      </c>
      <c r="D2755" s="34">
        <v>4073.6</v>
      </c>
      <c r="E2755" s="35">
        <v>44706</v>
      </c>
      <c r="F2755" s="34">
        <v>4073.6</v>
      </c>
      <c r="G2755" s="36">
        <f>Tabla16[[#This Row],[Importe]]-Tabla16[[#This Row],[Pagado]]</f>
        <v>0</v>
      </c>
      <c r="H2755" s="38" t="s">
        <v>10</v>
      </c>
    </row>
    <row r="2756" spans="1:10" x14ac:dyDescent="0.25">
      <c r="A2756" s="31">
        <v>44706</v>
      </c>
      <c r="B2756" s="38" t="s">
        <v>16948</v>
      </c>
      <c r="C2756" s="38" t="s">
        <v>33</v>
      </c>
      <c r="D2756" s="34">
        <v>12454</v>
      </c>
      <c r="E2756" s="35">
        <v>44706</v>
      </c>
      <c r="F2756" s="34">
        <v>12454</v>
      </c>
      <c r="G2756" s="36">
        <f>Tabla16[[#This Row],[Importe]]-Tabla16[[#This Row],[Pagado]]</f>
        <v>0</v>
      </c>
      <c r="H2756" s="38" t="s">
        <v>10</v>
      </c>
    </row>
    <row r="2757" spans="1:10" x14ac:dyDescent="0.25">
      <c r="A2757" s="31">
        <v>44706</v>
      </c>
      <c r="B2757" s="38" t="s">
        <v>16949</v>
      </c>
      <c r="C2757" s="38" t="s">
        <v>27</v>
      </c>
      <c r="D2757" s="34">
        <v>2821</v>
      </c>
      <c r="E2757" s="35">
        <v>44706</v>
      </c>
      <c r="F2757" s="34">
        <v>2821</v>
      </c>
      <c r="G2757" s="36">
        <f>Tabla16[[#This Row],[Importe]]-Tabla16[[#This Row],[Pagado]]</f>
        <v>0</v>
      </c>
      <c r="H2757" s="38" t="s">
        <v>10</v>
      </c>
    </row>
    <row r="2758" spans="1:10" x14ac:dyDescent="0.25">
      <c r="A2758" s="31">
        <v>44706</v>
      </c>
      <c r="B2758" s="38" t="s">
        <v>16950</v>
      </c>
      <c r="C2758" s="38" t="s">
        <v>16</v>
      </c>
      <c r="D2758" s="34">
        <v>3983</v>
      </c>
      <c r="E2758" s="35">
        <v>44706</v>
      </c>
      <c r="F2758" s="34">
        <v>3983</v>
      </c>
      <c r="G2758" s="36">
        <f>Tabla16[[#This Row],[Importe]]-Tabla16[[#This Row],[Pagado]]</f>
        <v>0</v>
      </c>
      <c r="H2758" s="38" t="s">
        <v>10</v>
      </c>
    </row>
    <row r="2759" spans="1:10" x14ac:dyDescent="0.25">
      <c r="A2759" s="31">
        <v>44706</v>
      </c>
      <c r="B2759" s="38" t="s">
        <v>16951</v>
      </c>
      <c r="C2759" s="38" t="s">
        <v>16952</v>
      </c>
      <c r="D2759" s="34">
        <v>0</v>
      </c>
      <c r="E2759" s="39" t="s">
        <v>189</v>
      </c>
      <c r="F2759" s="34">
        <v>0</v>
      </c>
      <c r="G2759" s="36">
        <f>Tabla16[[#This Row],[Importe]]-Tabla16[[#This Row],[Pagado]]</f>
        <v>0</v>
      </c>
      <c r="H2759" s="38" t="s">
        <v>189</v>
      </c>
    </row>
    <row r="2760" spans="1:10" x14ac:dyDescent="0.25">
      <c r="A2760" s="31">
        <v>44706</v>
      </c>
      <c r="B2760" s="38" t="s">
        <v>16953</v>
      </c>
      <c r="C2760" s="38" t="s">
        <v>11033</v>
      </c>
      <c r="D2760" s="34">
        <v>3042.6</v>
      </c>
      <c r="E2760" s="35">
        <v>44706</v>
      </c>
      <c r="F2760" s="34">
        <v>3042.6</v>
      </c>
      <c r="G2760" s="36">
        <f>Tabla16[[#This Row],[Importe]]-Tabla16[[#This Row],[Pagado]]</f>
        <v>0</v>
      </c>
      <c r="H2760" s="38" t="s">
        <v>10</v>
      </c>
    </row>
    <row r="2761" spans="1:10" x14ac:dyDescent="0.25">
      <c r="A2761" s="31">
        <v>44706</v>
      </c>
      <c r="B2761" s="38" t="s">
        <v>16954</v>
      </c>
      <c r="C2761" s="38" t="s">
        <v>47</v>
      </c>
      <c r="D2761" s="34">
        <v>34535.4</v>
      </c>
      <c r="E2761" s="35">
        <v>44706</v>
      </c>
      <c r="F2761" s="34">
        <v>34535.4</v>
      </c>
      <c r="G2761" s="36">
        <f>Tabla16[[#This Row],[Importe]]-Tabla16[[#This Row],[Pagado]]</f>
        <v>0</v>
      </c>
      <c r="H2761" s="38" t="s">
        <v>10</v>
      </c>
    </row>
    <row r="2762" spans="1:10" x14ac:dyDescent="0.25">
      <c r="A2762" s="31">
        <v>44706</v>
      </c>
      <c r="B2762" s="38" t="s">
        <v>16955</v>
      </c>
      <c r="C2762" s="38" t="s">
        <v>47</v>
      </c>
      <c r="D2762" s="34">
        <v>7056</v>
      </c>
      <c r="E2762" s="35">
        <v>44706</v>
      </c>
      <c r="F2762" s="34">
        <v>7056</v>
      </c>
      <c r="G2762" s="36">
        <f>Tabla16[[#This Row],[Importe]]-Tabla16[[#This Row],[Pagado]]</f>
        <v>0</v>
      </c>
      <c r="H2762" s="38" t="s">
        <v>10</v>
      </c>
    </row>
    <row r="2763" spans="1:10" x14ac:dyDescent="0.25">
      <c r="A2763" s="31">
        <v>44706</v>
      </c>
      <c r="B2763" s="38" t="s">
        <v>16956</v>
      </c>
      <c r="C2763" s="38" t="s">
        <v>12</v>
      </c>
      <c r="D2763" s="34">
        <v>7220.1</v>
      </c>
      <c r="E2763" s="35">
        <v>44706</v>
      </c>
      <c r="F2763" s="34">
        <v>7220.1</v>
      </c>
      <c r="G2763" s="36">
        <f>Tabla16[[#This Row],[Importe]]-Tabla16[[#This Row],[Pagado]]</f>
        <v>0</v>
      </c>
      <c r="H2763" s="38" t="s">
        <v>10</v>
      </c>
      <c r="J2763" s="33" t="s">
        <v>16957</v>
      </c>
    </row>
    <row r="2764" spans="1:10" x14ac:dyDescent="0.25">
      <c r="A2764" s="31">
        <v>44706</v>
      </c>
      <c r="B2764" s="38" t="s">
        <v>16958</v>
      </c>
      <c r="C2764" s="38" t="s">
        <v>12</v>
      </c>
      <c r="D2764" s="34">
        <v>7486</v>
      </c>
      <c r="E2764" s="35">
        <v>44706</v>
      </c>
      <c r="F2764" s="34">
        <v>7486</v>
      </c>
      <c r="G2764" s="36">
        <f>Tabla16[[#This Row],[Importe]]-Tabla16[[#This Row],[Pagado]]</f>
        <v>0</v>
      </c>
      <c r="H2764" s="38" t="s">
        <v>10</v>
      </c>
    </row>
    <row r="2765" spans="1:10" x14ac:dyDescent="0.25">
      <c r="A2765" s="31">
        <v>44706</v>
      </c>
      <c r="B2765" s="38" t="s">
        <v>16959</v>
      </c>
      <c r="C2765" s="38" t="s">
        <v>49</v>
      </c>
      <c r="D2765" s="34">
        <v>3298.8</v>
      </c>
      <c r="E2765" s="35">
        <v>44706</v>
      </c>
      <c r="F2765" s="34">
        <v>3298.8</v>
      </c>
      <c r="G2765" s="36">
        <f>Tabla16[[#This Row],[Importe]]-Tabla16[[#This Row],[Pagado]]</f>
        <v>0</v>
      </c>
      <c r="H2765" s="38" t="s">
        <v>10</v>
      </c>
    </row>
    <row r="2766" spans="1:10" x14ac:dyDescent="0.25">
      <c r="A2766" s="31">
        <v>44706</v>
      </c>
      <c r="B2766" s="38" t="s">
        <v>16960</v>
      </c>
      <c r="C2766" s="38" t="s">
        <v>127</v>
      </c>
      <c r="D2766" s="34">
        <v>5113.3999999999996</v>
      </c>
      <c r="E2766" s="35">
        <v>44706</v>
      </c>
      <c r="F2766" s="34">
        <v>5113.3999999999996</v>
      </c>
      <c r="G2766" s="36">
        <f>Tabla16[[#This Row],[Importe]]-Tabla16[[#This Row],[Pagado]]</f>
        <v>0</v>
      </c>
      <c r="H2766" s="38" t="s">
        <v>10</v>
      </c>
    </row>
    <row r="2767" spans="1:10" x14ac:dyDescent="0.25">
      <c r="A2767" s="31">
        <v>44706</v>
      </c>
      <c r="B2767" s="38" t="s">
        <v>16961</v>
      </c>
      <c r="C2767" s="38" t="s">
        <v>10157</v>
      </c>
      <c r="D2767" s="34">
        <v>6888.9</v>
      </c>
      <c r="E2767" s="35">
        <v>44709</v>
      </c>
      <c r="F2767" s="34">
        <v>6888.9</v>
      </c>
      <c r="G2767" s="36">
        <f>Tabla16[[#This Row],[Importe]]-Tabla16[[#This Row],[Pagado]]</f>
        <v>0</v>
      </c>
      <c r="H2767" s="38" t="s">
        <v>10</v>
      </c>
    </row>
    <row r="2768" spans="1:10" x14ac:dyDescent="0.25">
      <c r="A2768" s="31">
        <v>44706</v>
      </c>
      <c r="B2768" s="38" t="s">
        <v>16962</v>
      </c>
      <c r="C2768" s="38" t="s">
        <v>218</v>
      </c>
      <c r="D2768" s="34">
        <v>19114.8</v>
      </c>
      <c r="E2768" s="35">
        <v>44709</v>
      </c>
      <c r="F2768" s="34">
        <v>19114.8</v>
      </c>
      <c r="G2768" s="36">
        <f>Tabla16[[#This Row],[Importe]]-Tabla16[[#This Row],[Pagado]]</f>
        <v>0</v>
      </c>
      <c r="H2768" s="38" t="s">
        <v>10</v>
      </c>
    </row>
    <row r="2769" spans="1:8" x14ac:dyDescent="0.25">
      <c r="A2769" s="31">
        <v>44706</v>
      </c>
      <c r="B2769" s="38" t="s">
        <v>16963</v>
      </c>
      <c r="C2769" s="38" t="s">
        <v>12202</v>
      </c>
      <c r="D2769" s="34">
        <v>23760</v>
      </c>
      <c r="E2769" s="35">
        <v>44706</v>
      </c>
      <c r="F2769" s="34">
        <v>23760</v>
      </c>
      <c r="G2769" s="36">
        <f>Tabla16[[#This Row],[Importe]]-Tabla16[[#This Row],[Pagado]]</f>
        <v>0</v>
      </c>
      <c r="H2769" s="38" t="s">
        <v>10</v>
      </c>
    </row>
    <row r="2770" spans="1:8" x14ac:dyDescent="0.25">
      <c r="A2770" s="31">
        <v>44706</v>
      </c>
      <c r="B2770" s="38" t="s">
        <v>16964</v>
      </c>
      <c r="C2770" s="38" t="s">
        <v>206</v>
      </c>
      <c r="D2770" s="34">
        <v>23399.7</v>
      </c>
      <c r="E2770" s="35">
        <v>44709</v>
      </c>
      <c r="F2770" s="34">
        <v>23399.7</v>
      </c>
      <c r="G2770" s="36">
        <f>Tabla16[[#This Row],[Importe]]-Tabla16[[#This Row],[Pagado]]</f>
        <v>0</v>
      </c>
      <c r="H2770" s="38" t="s">
        <v>10</v>
      </c>
    </row>
    <row r="2771" spans="1:8" x14ac:dyDescent="0.25">
      <c r="A2771" s="31">
        <v>44706</v>
      </c>
      <c r="B2771" s="38" t="s">
        <v>16965</v>
      </c>
      <c r="C2771" s="38" t="s">
        <v>208</v>
      </c>
      <c r="D2771" s="34">
        <v>16033.9</v>
      </c>
      <c r="E2771" s="35">
        <v>44715</v>
      </c>
      <c r="F2771" s="34">
        <v>16033.9</v>
      </c>
      <c r="G2771" s="36">
        <f>Tabla16[[#This Row],[Importe]]-Tabla16[[#This Row],[Pagado]]</f>
        <v>0</v>
      </c>
      <c r="H2771" s="38" t="s">
        <v>10</v>
      </c>
    </row>
    <row r="2772" spans="1:8" x14ac:dyDescent="0.25">
      <c r="A2772" s="31">
        <v>44706</v>
      </c>
      <c r="B2772" s="38" t="s">
        <v>16966</v>
      </c>
      <c r="C2772" s="38" t="s">
        <v>173</v>
      </c>
      <c r="D2772" s="34">
        <v>8940</v>
      </c>
      <c r="E2772" s="35">
        <v>44707</v>
      </c>
      <c r="F2772" s="34">
        <v>8940</v>
      </c>
      <c r="G2772" s="36">
        <f>Tabla16[[#This Row],[Importe]]-Tabla16[[#This Row],[Pagado]]</f>
        <v>0</v>
      </c>
      <c r="H2772" s="38" t="s">
        <v>10</v>
      </c>
    </row>
    <row r="2773" spans="1:8" x14ac:dyDescent="0.25">
      <c r="A2773" s="31">
        <v>44706</v>
      </c>
      <c r="B2773" s="38" t="s">
        <v>16967</v>
      </c>
      <c r="C2773" s="38" t="s">
        <v>133</v>
      </c>
      <c r="D2773" s="34">
        <v>15060</v>
      </c>
      <c r="E2773" s="35">
        <v>44707</v>
      </c>
      <c r="F2773" s="34">
        <v>15060</v>
      </c>
      <c r="G2773" s="36">
        <f>Tabla16[[#This Row],[Importe]]-Tabla16[[#This Row],[Pagado]]</f>
        <v>0</v>
      </c>
      <c r="H2773" s="38" t="s">
        <v>10</v>
      </c>
    </row>
    <row r="2774" spans="1:8" x14ac:dyDescent="0.25">
      <c r="A2774" s="31">
        <v>44706</v>
      </c>
      <c r="B2774" s="38" t="s">
        <v>16968</v>
      </c>
      <c r="C2774" s="38" t="s">
        <v>22</v>
      </c>
      <c r="D2774" s="34">
        <v>45541</v>
      </c>
      <c r="E2774" s="35">
        <v>44707</v>
      </c>
      <c r="F2774" s="34">
        <v>45541</v>
      </c>
      <c r="G2774" s="36">
        <f>Tabla16[[#This Row],[Importe]]-Tabla16[[#This Row],[Pagado]]</f>
        <v>0</v>
      </c>
      <c r="H2774" s="38" t="s">
        <v>10</v>
      </c>
    </row>
    <row r="2775" spans="1:8" x14ac:dyDescent="0.25">
      <c r="A2775" s="31">
        <v>44706</v>
      </c>
      <c r="B2775" s="38" t="s">
        <v>16969</v>
      </c>
      <c r="C2775" s="38" t="s">
        <v>31</v>
      </c>
      <c r="D2775" s="34">
        <v>5441.2</v>
      </c>
      <c r="E2775" s="35">
        <v>44707</v>
      </c>
      <c r="F2775" s="34">
        <v>5441.2</v>
      </c>
      <c r="G2775" s="36">
        <f>Tabla16[[#This Row],[Importe]]-Tabla16[[#This Row],[Pagado]]</f>
        <v>0</v>
      </c>
      <c r="H2775" s="38" t="s">
        <v>10</v>
      </c>
    </row>
    <row r="2776" spans="1:8" x14ac:dyDescent="0.25">
      <c r="A2776" s="31">
        <v>44706</v>
      </c>
      <c r="B2776" s="38" t="s">
        <v>16970</v>
      </c>
      <c r="C2776" s="38" t="s">
        <v>135</v>
      </c>
      <c r="D2776" s="34">
        <v>1586</v>
      </c>
      <c r="E2776" s="35">
        <v>44706</v>
      </c>
      <c r="F2776" s="34">
        <v>1586</v>
      </c>
      <c r="G2776" s="36">
        <f>Tabla16[[#This Row],[Importe]]-Tabla16[[#This Row],[Pagado]]</f>
        <v>0</v>
      </c>
      <c r="H2776" s="38" t="s">
        <v>10</v>
      </c>
    </row>
    <row r="2777" spans="1:8" x14ac:dyDescent="0.25">
      <c r="A2777" s="31">
        <v>44706</v>
      </c>
      <c r="B2777" s="38" t="s">
        <v>16971</v>
      </c>
      <c r="C2777" s="38" t="s">
        <v>179</v>
      </c>
      <c r="D2777" s="34">
        <v>1110</v>
      </c>
      <c r="E2777" s="35">
        <v>44706</v>
      </c>
      <c r="F2777" s="34">
        <v>1110</v>
      </c>
      <c r="G2777" s="36">
        <f>Tabla16[[#This Row],[Importe]]-Tabla16[[#This Row],[Pagado]]</f>
        <v>0</v>
      </c>
      <c r="H2777" s="38" t="s">
        <v>10</v>
      </c>
    </row>
    <row r="2778" spans="1:8" x14ac:dyDescent="0.25">
      <c r="A2778" s="31">
        <v>44706</v>
      </c>
      <c r="B2778" s="38" t="s">
        <v>16972</v>
      </c>
      <c r="C2778" s="38" t="s">
        <v>5816</v>
      </c>
      <c r="D2778" s="34">
        <v>6307.4</v>
      </c>
      <c r="E2778" s="35">
        <v>44707</v>
      </c>
      <c r="F2778" s="34">
        <v>6307.4</v>
      </c>
      <c r="G2778" s="36">
        <f>Tabla16[[#This Row],[Importe]]-Tabla16[[#This Row],[Pagado]]</f>
        <v>0</v>
      </c>
      <c r="H2778" s="38" t="s">
        <v>10</v>
      </c>
    </row>
    <row r="2779" spans="1:8" x14ac:dyDescent="0.25">
      <c r="A2779" s="31">
        <v>44706</v>
      </c>
      <c r="B2779" s="38" t="s">
        <v>16973</v>
      </c>
      <c r="C2779" s="38" t="s">
        <v>541</v>
      </c>
      <c r="D2779" s="34">
        <v>10470</v>
      </c>
      <c r="E2779" s="35">
        <v>44707</v>
      </c>
      <c r="F2779" s="34">
        <v>10470</v>
      </c>
      <c r="G2779" s="36">
        <f>Tabla16[[#This Row],[Importe]]-Tabla16[[#This Row],[Pagado]]</f>
        <v>0</v>
      </c>
      <c r="H2779" s="38" t="s">
        <v>10</v>
      </c>
    </row>
    <row r="2780" spans="1:8" x14ac:dyDescent="0.25">
      <c r="A2780" s="31">
        <v>44706</v>
      </c>
      <c r="B2780" s="38" t="s">
        <v>16974</v>
      </c>
      <c r="C2780" s="38" t="s">
        <v>16975</v>
      </c>
      <c r="D2780" s="34">
        <v>0</v>
      </c>
      <c r="E2780" s="39" t="s">
        <v>189</v>
      </c>
      <c r="F2780" s="34">
        <v>0</v>
      </c>
      <c r="G2780" s="36">
        <f>Tabla16[[#This Row],[Importe]]-Tabla16[[#This Row],[Pagado]]</f>
        <v>0</v>
      </c>
      <c r="H2780" s="38" t="s">
        <v>189</v>
      </c>
    </row>
    <row r="2781" spans="1:8" x14ac:dyDescent="0.25">
      <c r="A2781" s="31">
        <v>44706</v>
      </c>
      <c r="B2781" s="38" t="s">
        <v>16976</v>
      </c>
      <c r="C2781" s="38" t="s">
        <v>37</v>
      </c>
      <c r="D2781" s="34">
        <v>4834.8999999999996</v>
      </c>
      <c r="E2781" s="35">
        <v>44706</v>
      </c>
      <c r="F2781" s="34">
        <v>4834.8999999999996</v>
      </c>
      <c r="G2781" s="36">
        <f>Tabla16[[#This Row],[Importe]]-Tabla16[[#This Row],[Pagado]]</f>
        <v>0</v>
      </c>
      <c r="H2781" s="38" t="s">
        <v>10</v>
      </c>
    </row>
    <row r="2782" spans="1:8" x14ac:dyDescent="0.25">
      <c r="A2782" s="31">
        <v>44706</v>
      </c>
      <c r="B2782" s="38" t="s">
        <v>16977</v>
      </c>
      <c r="C2782" s="38" t="s">
        <v>181</v>
      </c>
      <c r="D2782" s="34">
        <v>10541.5</v>
      </c>
      <c r="E2782" s="35">
        <v>44706</v>
      </c>
      <c r="F2782" s="34">
        <v>10541.5</v>
      </c>
      <c r="G2782" s="36">
        <f>Tabla16[[#This Row],[Importe]]-Tabla16[[#This Row],[Pagado]]</f>
        <v>0</v>
      </c>
      <c r="H2782" s="38" t="s">
        <v>10</v>
      </c>
    </row>
    <row r="2783" spans="1:8" x14ac:dyDescent="0.25">
      <c r="A2783" s="31">
        <v>44706</v>
      </c>
      <c r="B2783" s="38" t="s">
        <v>16978</v>
      </c>
      <c r="C2783" s="38" t="s">
        <v>31</v>
      </c>
      <c r="D2783" s="34">
        <v>690</v>
      </c>
      <c r="E2783" s="35">
        <v>44706</v>
      </c>
      <c r="F2783" s="34">
        <v>690</v>
      </c>
      <c r="G2783" s="36">
        <f>Tabla16[[#This Row],[Importe]]-Tabla16[[#This Row],[Pagado]]</f>
        <v>0</v>
      </c>
      <c r="H2783" s="38" t="s">
        <v>10</v>
      </c>
    </row>
    <row r="2784" spans="1:8" x14ac:dyDescent="0.25">
      <c r="A2784" s="31">
        <v>44706</v>
      </c>
      <c r="B2784" s="38" t="s">
        <v>16979</v>
      </c>
      <c r="C2784" s="38" t="s">
        <v>359</v>
      </c>
      <c r="D2784" s="34">
        <v>858.8</v>
      </c>
      <c r="E2784" s="35">
        <v>44706</v>
      </c>
      <c r="F2784" s="34">
        <v>858.8</v>
      </c>
      <c r="G2784" s="36">
        <f>Tabla16[[#This Row],[Importe]]-Tabla16[[#This Row],[Pagado]]</f>
        <v>0</v>
      </c>
      <c r="H2784" s="38" t="s">
        <v>10</v>
      </c>
    </row>
    <row r="2785" spans="1:8" x14ac:dyDescent="0.25">
      <c r="A2785" s="31">
        <v>44706</v>
      </c>
      <c r="B2785" s="38" t="s">
        <v>16980</v>
      </c>
      <c r="C2785" s="38" t="s">
        <v>359</v>
      </c>
      <c r="D2785" s="34">
        <v>968.8</v>
      </c>
      <c r="E2785" s="35">
        <v>44706</v>
      </c>
      <c r="F2785" s="34">
        <v>968.8</v>
      </c>
      <c r="G2785" s="36">
        <f>Tabla16[[#This Row],[Importe]]-Tabla16[[#This Row],[Pagado]]</f>
        <v>0</v>
      </c>
      <c r="H2785" s="38" t="s">
        <v>10</v>
      </c>
    </row>
    <row r="2786" spans="1:8" x14ac:dyDescent="0.25">
      <c r="A2786" s="31">
        <v>44706</v>
      </c>
      <c r="B2786" s="38" t="s">
        <v>16981</v>
      </c>
      <c r="C2786" s="38" t="s">
        <v>75</v>
      </c>
      <c r="D2786" s="34">
        <v>3246</v>
      </c>
      <c r="E2786" s="35">
        <v>44706</v>
      </c>
      <c r="F2786" s="34">
        <v>3246</v>
      </c>
      <c r="G2786" s="36">
        <f>Tabla16[[#This Row],[Importe]]-Tabla16[[#This Row],[Pagado]]</f>
        <v>0</v>
      </c>
      <c r="H2786" s="38" t="s">
        <v>10</v>
      </c>
    </row>
    <row r="2787" spans="1:8" x14ac:dyDescent="0.25">
      <c r="A2787" s="31">
        <v>44706</v>
      </c>
      <c r="B2787" s="38" t="s">
        <v>16982</v>
      </c>
      <c r="C2787" s="38" t="s">
        <v>214</v>
      </c>
      <c r="D2787" s="34">
        <v>1224</v>
      </c>
      <c r="E2787" s="35">
        <v>44706</v>
      </c>
      <c r="F2787" s="34">
        <v>1224</v>
      </c>
      <c r="G2787" s="36">
        <f>Tabla16[[#This Row],[Importe]]-Tabla16[[#This Row],[Pagado]]</f>
        <v>0</v>
      </c>
      <c r="H2787" s="38" t="s">
        <v>10</v>
      </c>
    </row>
    <row r="2788" spans="1:8" x14ac:dyDescent="0.25">
      <c r="A2788" s="31">
        <v>44706</v>
      </c>
      <c r="B2788" s="38" t="s">
        <v>16983</v>
      </c>
      <c r="C2788" s="38" t="s">
        <v>142</v>
      </c>
      <c r="D2788" s="34">
        <v>138449.44</v>
      </c>
      <c r="E2788" s="35">
        <v>44707</v>
      </c>
      <c r="F2788" s="34">
        <v>138449.44</v>
      </c>
      <c r="G2788" s="36">
        <f>Tabla16[[#This Row],[Importe]]-Tabla16[[#This Row],[Pagado]]</f>
        <v>0</v>
      </c>
      <c r="H2788" s="38" t="s">
        <v>10</v>
      </c>
    </row>
    <row r="2789" spans="1:8" x14ac:dyDescent="0.25">
      <c r="A2789" s="31">
        <v>44706</v>
      </c>
      <c r="B2789" s="38" t="s">
        <v>16984</v>
      </c>
      <c r="C2789" s="38" t="s">
        <v>16985</v>
      </c>
      <c r="D2789" s="34">
        <v>0</v>
      </c>
      <c r="E2789" s="39" t="s">
        <v>189</v>
      </c>
      <c r="F2789" s="34">
        <v>0</v>
      </c>
      <c r="G2789" s="36">
        <f>Tabla16[[#This Row],[Importe]]-Tabla16[[#This Row],[Pagado]]</f>
        <v>0</v>
      </c>
      <c r="H2789" s="38" t="s">
        <v>189</v>
      </c>
    </row>
    <row r="2790" spans="1:8" x14ac:dyDescent="0.25">
      <c r="A2790" s="31">
        <v>44706</v>
      </c>
      <c r="B2790" s="38" t="s">
        <v>16986</v>
      </c>
      <c r="C2790" s="38" t="s">
        <v>382</v>
      </c>
      <c r="D2790" s="34">
        <v>3702</v>
      </c>
      <c r="E2790" s="35">
        <v>44706</v>
      </c>
      <c r="F2790" s="34">
        <v>3702</v>
      </c>
      <c r="G2790" s="36">
        <f>Tabla16[[#This Row],[Importe]]-Tabla16[[#This Row],[Pagado]]</f>
        <v>0</v>
      </c>
      <c r="H2790" s="38" t="s">
        <v>10</v>
      </c>
    </row>
    <row r="2791" spans="1:8" x14ac:dyDescent="0.25">
      <c r="A2791" s="31">
        <v>44706</v>
      </c>
      <c r="B2791" s="38" t="s">
        <v>16987</v>
      </c>
      <c r="C2791" s="38" t="s">
        <v>198</v>
      </c>
      <c r="D2791" s="34">
        <v>3532.8</v>
      </c>
      <c r="E2791" s="35">
        <v>44706</v>
      </c>
      <c r="F2791" s="34">
        <v>3532.8</v>
      </c>
      <c r="G2791" s="36">
        <f>Tabla16[[#This Row],[Importe]]-Tabla16[[#This Row],[Pagado]]</f>
        <v>0</v>
      </c>
      <c r="H2791" s="38" t="s">
        <v>10</v>
      </c>
    </row>
    <row r="2792" spans="1:8" x14ac:dyDescent="0.25">
      <c r="A2792" s="31">
        <v>44706</v>
      </c>
      <c r="B2792" s="38" t="s">
        <v>16988</v>
      </c>
      <c r="C2792" s="38" t="s">
        <v>382</v>
      </c>
      <c r="D2792" s="34">
        <v>488.8</v>
      </c>
      <c r="E2792" s="35">
        <v>44706</v>
      </c>
      <c r="F2792" s="34">
        <v>488.8</v>
      </c>
      <c r="G2792" s="36">
        <f>Tabla16[[#This Row],[Importe]]-Tabla16[[#This Row],[Pagado]]</f>
        <v>0</v>
      </c>
      <c r="H2792" s="38" t="s">
        <v>10</v>
      </c>
    </row>
    <row r="2793" spans="1:8" x14ac:dyDescent="0.25">
      <c r="A2793" s="31">
        <v>44706</v>
      </c>
      <c r="B2793" s="38" t="s">
        <v>16989</v>
      </c>
      <c r="C2793" s="38" t="s">
        <v>407</v>
      </c>
      <c r="D2793" s="34">
        <v>2614.4</v>
      </c>
      <c r="E2793" s="35">
        <v>44706</v>
      </c>
      <c r="F2793" s="34">
        <v>2614.4</v>
      </c>
      <c r="G2793" s="36">
        <f>Tabla16[[#This Row],[Importe]]-Tabla16[[#This Row],[Pagado]]</f>
        <v>0</v>
      </c>
      <c r="H2793" s="38" t="s">
        <v>10</v>
      </c>
    </row>
    <row r="2794" spans="1:8" x14ac:dyDescent="0.25">
      <c r="A2794" s="31">
        <v>44706</v>
      </c>
      <c r="B2794" s="38" t="s">
        <v>16990</v>
      </c>
      <c r="C2794" s="38" t="s">
        <v>191</v>
      </c>
      <c r="D2794" s="34">
        <v>1514.5</v>
      </c>
      <c r="E2794" s="35">
        <v>44706</v>
      </c>
      <c r="F2794" s="34">
        <v>1514.5</v>
      </c>
      <c r="G2794" s="36">
        <f>Tabla16[[#This Row],[Importe]]-Tabla16[[#This Row],[Pagado]]</f>
        <v>0</v>
      </c>
      <c r="H2794" s="38" t="s">
        <v>10</v>
      </c>
    </row>
    <row r="2795" spans="1:8" x14ac:dyDescent="0.25">
      <c r="A2795" s="31">
        <v>44706</v>
      </c>
      <c r="B2795" s="38" t="s">
        <v>16991</v>
      </c>
      <c r="C2795" s="38" t="s">
        <v>216</v>
      </c>
      <c r="D2795" s="34">
        <v>1752</v>
      </c>
      <c r="E2795" s="35">
        <v>44706</v>
      </c>
      <c r="F2795" s="34">
        <v>1752</v>
      </c>
      <c r="G2795" s="36">
        <f>Tabla16[[#This Row],[Importe]]-Tabla16[[#This Row],[Pagado]]</f>
        <v>0</v>
      </c>
      <c r="H2795" s="38" t="s">
        <v>10</v>
      </c>
    </row>
    <row r="2796" spans="1:8" x14ac:dyDescent="0.25">
      <c r="A2796" s="31">
        <v>44706</v>
      </c>
      <c r="B2796" s="38" t="s">
        <v>16992</v>
      </c>
      <c r="C2796" s="38" t="s">
        <v>246</v>
      </c>
      <c r="D2796" s="34">
        <v>392</v>
      </c>
      <c r="E2796" s="35">
        <v>44706</v>
      </c>
      <c r="F2796" s="34">
        <v>392</v>
      </c>
      <c r="G2796" s="36">
        <f>Tabla16[[#This Row],[Importe]]-Tabla16[[#This Row],[Pagado]]</f>
        <v>0</v>
      </c>
      <c r="H2796" s="38" t="s">
        <v>10</v>
      </c>
    </row>
    <row r="2797" spans="1:8" x14ac:dyDescent="0.25">
      <c r="A2797" s="31">
        <v>44706</v>
      </c>
      <c r="B2797" s="38" t="s">
        <v>16993</v>
      </c>
      <c r="C2797" s="38" t="s">
        <v>14</v>
      </c>
      <c r="D2797" s="34">
        <v>21318.5</v>
      </c>
      <c r="E2797" s="35">
        <v>44706</v>
      </c>
      <c r="F2797" s="34">
        <v>21318.5</v>
      </c>
      <c r="G2797" s="36">
        <f>Tabla16[[#This Row],[Importe]]-Tabla16[[#This Row],[Pagado]]</f>
        <v>0</v>
      </c>
      <c r="H2797" s="38" t="s">
        <v>10</v>
      </c>
    </row>
    <row r="2798" spans="1:8" x14ac:dyDescent="0.25">
      <c r="A2798" s="31">
        <v>44706</v>
      </c>
      <c r="B2798" s="38" t="s">
        <v>16994</v>
      </c>
      <c r="C2798" s="38" t="s">
        <v>555</v>
      </c>
      <c r="D2798" s="34">
        <v>41023.550000000003</v>
      </c>
      <c r="E2798" s="35">
        <v>44706</v>
      </c>
      <c r="F2798" s="34">
        <v>41023.550000000003</v>
      </c>
      <c r="G2798" s="36">
        <f>Tabla16[[#This Row],[Importe]]-Tabla16[[#This Row],[Pagado]]</f>
        <v>0</v>
      </c>
      <c r="H2798" s="38" t="s">
        <v>10</v>
      </c>
    </row>
    <row r="2799" spans="1:8" x14ac:dyDescent="0.25">
      <c r="A2799" s="31">
        <v>44706</v>
      </c>
      <c r="B2799" s="38" t="s">
        <v>16995</v>
      </c>
      <c r="C2799" s="38" t="s">
        <v>3971</v>
      </c>
      <c r="D2799" s="34">
        <v>1400.7</v>
      </c>
      <c r="E2799" s="35">
        <v>44706</v>
      </c>
      <c r="F2799" s="34">
        <v>1400.7</v>
      </c>
      <c r="G2799" s="36">
        <f>Tabla16[[#This Row],[Importe]]-Tabla16[[#This Row],[Pagado]]</f>
        <v>0</v>
      </c>
      <c r="H2799" s="38" t="s">
        <v>10</v>
      </c>
    </row>
    <row r="2800" spans="1:8" x14ac:dyDescent="0.25">
      <c r="A2800" s="31">
        <v>44706</v>
      </c>
      <c r="B2800" s="38" t="s">
        <v>16996</v>
      </c>
      <c r="C2800" s="38" t="s">
        <v>670</v>
      </c>
      <c r="D2800" s="34">
        <v>4323.3999999999996</v>
      </c>
      <c r="E2800" s="35">
        <v>44706</v>
      </c>
      <c r="F2800" s="34">
        <v>4323.3999999999996</v>
      </c>
      <c r="G2800" s="36">
        <f>Tabla16[[#This Row],[Importe]]-Tabla16[[#This Row],[Pagado]]</f>
        <v>0</v>
      </c>
      <c r="H2800" s="38" t="s">
        <v>10</v>
      </c>
    </row>
    <row r="2801" spans="1:8" x14ac:dyDescent="0.25">
      <c r="A2801" s="31">
        <v>44706</v>
      </c>
      <c r="B2801" s="38" t="s">
        <v>16997</v>
      </c>
      <c r="C2801" s="38" t="s">
        <v>16998</v>
      </c>
      <c r="D2801" s="34">
        <v>0</v>
      </c>
      <c r="E2801" s="39" t="s">
        <v>189</v>
      </c>
      <c r="F2801" s="34">
        <v>0</v>
      </c>
      <c r="G2801" s="36">
        <f>Tabla16[[#This Row],[Importe]]-Tabla16[[#This Row],[Pagado]]</f>
        <v>0</v>
      </c>
      <c r="H2801" s="38" t="s">
        <v>189</v>
      </c>
    </row>
    <row r="2802" spans="1:8" x14ac:dyDescent="0.25">
      <c r="A2802" s="31">
        <v>44706</v>
      </c>
      <c r="B2802" s="38" t="s">
        <v>16999</v>
      </c>
      <c r="C2802" s="38" t="s">
        <v>16998</v>
      </c>
      <c r="D2802" s="34">
        <v>0</v>
      </c>
      <c r="E2802" s="39" t="s">
        <v>189</v>
      </c>
      <c r="F2802" s="34">
        <v>0</v>
      </c>
      <c r="G2802" s="36">
        <f>Tabla16[[#This Row],[Importe]]-Tabla16[[#This Row],[Pagado]]</f>
        <v>0</v>
      </c>
      <c r="H2802" s="38" t="s">
        <v>189</v>
      </c>
    </row>
    <row r="2803" spans="1:8" x14ac:dyDescent="0.25">
      <c r="A2803" s="31">
        <v>44706</v>
      </c>
      <c r="B2803" s="38" t="s">
        <v>17000</v>
      </c>
      <c r="C2803" s="38" t="s">
        <v>45</v>
      </c>
      <c r="D2803" s="34">
        <v>12667</v>
      </c>
      <c r="E2803" s="35">
        <v>44706</v>
      </c>
      <c r="F2803" s="34">
        <v>12667</v>
      </c>
      <c r="G2803" s="36">
        <f>Tabla16[[#This Row],[Importe]]-Tabla16[[#This Row],[Pagado]]</f>
        <v>0</v>
      </c>
      <c r="H2803" s="38" t="s">
        <v>10</v>
      </c>
    </row>
    <row r="2804" spans="1:8" x14ac:dyDescent="0.25">
      <c r="A2804" s="31">
        <v>44706</v>
      </c>
      <c r="B2804" s="38" t="s">
        <v>17001</v>
      </c>
      <c r="C2804" s="38" t="s">
        <v>230</v>
      </c>
      <c r="D2804" s="34">
        <v>5028.8</v>
      </c>
      <c r="E2804" s="35">
        <v>44706</v>
      </c>
      <c r="F2804" s="34">
        <v>5028.8</v>
      </c>
      <c r="G2804" s="36">
        <f>Tabla16[[#This Row],[Importe]]-Tabla16[[#This Row],[Pagado]]</f>
        <v>0</v>
      </c>
      <c r="H2804" s="38" t="s">
        <v>10</v>
      </c>
    </row>
    <row r="2805" spans="1:8" x14ac:dyDescent="0.25">
      <c r="A2805" s="31">
        <v>44706</v>
      </c>
      <c r="B2805" s="38" t="s">
        <v>17002</v>
      </c>
      <c r="C2805" s="38" t="s">
        <v>396</v>
      </c>
      <c r="D2805" s="34">
        <v>12976</v>
      </c>
      <c r="E2805" s="35">
        <v>44715</v>
      </c>
      <c r="F2805" s="34">
        <v>12976</v>
      </c>
      <c r="G2805" s="36">
        <f>Tabla16[[#This Row],[Importe]]-Tabla16[[#This Row],[Pagado]]</f>
        <v>0</v>
      </c>
      <c r="H2805" s="38" t="s">
        <v>10</v>
      </c>
    </row>
    <row r="2806" spans="1:8" x14ac:dyDescent="0.25">
      <c r="A2806" s="31">
        <v>44706</v>
      </c>
      <c r="B2806" s="38" t="s">
        <v>17003</v>
      </c>
      <c r="C2806" s="38" t="s">
        <v>69</v>
      </c>
      <c r="D2806" s="34">
        <v>2742</v>
      </c>
      <c r="E2806" s="35">
        <v>44706</v>
      </c>
      <c r="F2806" s="34">
        <v>2742</v>
      </c>
      <c r="G2806" s="36">
        <f>Tabla16[[#This Row],[Importe]]-Tabla16[[#This Row],[Pagado]]</f>
        <v>0</v>
      </c>
      <c r="H2806" s="38" t="s">
        <v>10</v>
      </c>
    </row>
    <row r="2807" spans="1:8" x14ac:dyDescent="0.25">
      <c r="A2807" s="31">
        <v>44706</v>
      </c>
      <c r="B2807" s="38" t="s">
        <v>17004</v>
      </c>
      <c r="C2807" s="38" t="s">
        <v>3823</v>
      </c>
      <c r="D2807" s="34">
        <v>0</v>
      </c>
      <c r="E2807" s="39" t="s">
        <v>189</v>
      </c>
      <c r="F2807" s="34">
        <v>0</v>
      </c>
      <c r="G2807" s="36">
        <f>Tabla16[[#This Row],[Importe]]-Tabla16[[#This Row],[Pagado]]</f>
        <v>0</v>
      </c>
      <c r="H2807" s="38" t="s">
        <v>189</v>
      </c>
    </row>
    <row r="2808" spans="1:8" x14ac:dyDescent="0.25">
      <c r="A2808" s="31">
        <v>44706</v>
      </c>
      <c r="B2808" s="38" t="s">
        <v>17005</v>
      </c>
      <c r="C2808" s="38" t="s">
        <v>31</v>
      </c>
      <c r="D2808" s="34">
        <v>3519</v>
      </c>
      <c r="E2808" s="35">
        <v>44706</v>
      </c>
      <c r="F2808" s="34">
        <v>3519</v>
      </c>
      <c r="G2808" s="36">
        <f>Tabla16[[#This Row],[Importe]]-Tabla16[[#This Row],[Pagado]]</f>
        <v>0</v>
      </c>
      <c r="H2808" s="38" t="s">
        <v>10</v>
      </c>
    </row>
    <row r="2809" spans="1:8" x14ac:dyDescent="0.25">
      <c r="A2809" s="31">
        <v>44706</v>
      </c>
      <c r="B2809" s="38" t="s">
        <v>17006</v>
      </c>
      <c r="C2809" s="38" t="s">
        <v>53</v>
      </c>
      <c r="D2809" s="34">
        <v>2752.4</v>
      </c>
      <c r="E2809" s="35">
        <v>44706</v>
      </c>
      <c r="F2809" s="34">
        <v>2752.4</v>
      </c>
      <c r="G2809" s="36">
        <f>Tabla16[[#This Row],[Importe]]-Tabla16[[#This Row],[Pagado]]</f>
        <v>0</v>
      </c>
      <c r="H2809" s="38" t="s">
        <v>10</v>
      </c>
    </row>
    <row r="2810" spans="1:8" x14ac:dyDescent="0.25">
      <c r="A2810" s="31">
        <v>44706</v>
      </c>
      <c r="B2810" s="38" t="s">
        <v>17007</v>
      </c>
      <c r="C2810" s="38" t="s">
        <v>6252</v>
      </c>
      <c r="D2810" s="34">
        <v>0</v>
      </c>
      <c r="E2810" s="39" t="s">
        <v>189</v>
      </c>
      <c r="F2810" s="34">
        <v>0</v>
      </c>
      <c r="G2810" s="36">
        <f>Tabla16[[#This Row],[Importe]]-Tabla16[[#This Row],[Pagado]]</f>
        <v>0</v>
      </c>
      <c r="H2810" s="38" t="s">
        <v>189</v>
      </c>
    </row>
    <row r="2811" spans="1:8" x14ac:dyDescent="0.25">
      <c r="A2811" s="31">
        <v>44706</v>
      </c>
      <c r="B2811" s="38" t="s">
        <v>17008</v>
      </c>
      <c r="C2811" s="38" t="s">
        <v>1003</v>
      </c>
      <c r="D2811" s="34">
        <v>4500.58</v>
      </c>
      <c r="E2811" s="35">
        <v>44706</v>
      </c>
      <c r="F2811" s="34">
        <v>4500.58</v>
      </c>
      <c r="G2811" s="36">
        <f>Tabla16[[#This Row],[Importe]]-Tabla16[[#This Row],[Pagado]]</f>
        <v>0</v>
      </c>
      <c r="H2811" s="38" t="s">
        <v>10</v>
      </c>
    </row>
    <row r="2812" spans="1:8" x14ac:dyDescent="0.25">
      <c r="A2812" s="31">
        <v>44706</v>
      </c>
      <c r="B2812" s="38" t="s">
        <v>17009</v>
      </c>
      <c r="C2812" s="38" t="s">
        <v>56</v>
      </c>
      <c r="D2812" s="34">
        <v>6733.4</v>
      </c>
      <c r="E2812" s="35">
        <v>44706</v>
      </c>
      <c r="F2812" s="34">
        <v>6733.4</v>
      </c>
      <c r="G2812" s="36">
        <f>Tabla16[[#This Row],[Importe]]-Tabla16[[#This Row],[Pagado]]</f>
        <v>0</v>
      </c>
      <c r="H2812" s="38" t="s">
        <v>10</v>
      </c>
    </row>
    <row r="2813" spans="1:8" x14ac:dyDescent="0.25">
      <c r="A2813" s="31">
        <v>44706</v>
      </c>
      <c r="B2813" s="38" t="s">
        <v>17010</v>
      </c>
      <c r="C2813" s="38" t="s">
        <v>224</v>
      </c>
      <c r="D2813" s="34">
        <v>927.2</v>
      </c>
      <c r="E2813" s="35">
        <v>44706</v>
      </c>
      <c r="F2813" s="34">
        <v>927.2</v>
      </c>
      <c r="G2813" s="36">
        <f>Tabla16[[#This Row],[Importe]]-Tabla16[[#This Row],[Pagado]]</f>
        <v>0</v>
      </c>
      <c r="H2813" s="38" t="s">
        <v>10</v>
      </c>
    </row>
    <row r="2814" spans="1:8" x14ac:dyDescent="0.25">
      <c r="A2814" s="31">
        <v>44706</v>
      </c>
      <c r="B2814" s="38" t="s">
        <v>17011</v>
      </c>
      <c r="C2814" s="38" t="s">
        <v>3402</v>
      </c>
      <c r="D2814" s="34">
        <v>486</v>
      </c>
      <c r="E2814" s="35">
        <v>44706</v>
      </c>
      <c r="F2814" s="34">
        <v>486</v>
      </c>
      <c r="G2814" s="36">
        <f>Tabla16[[#This Row],[Importe]]-Tabla16[[#This Row],[Pagado]]</f>
        <v>0</v>
      </c>
      <c r="H2814" s="38" t="s">
        <v>10</v>
      </c>
    </row>
    <row r="2815" spans="1:8" x14ac:dyDescent="0.25">
      <c r="A2815" s="31">
        <v>44706</v>
      </c>
      <c r="B2815" s="38" t="s">
        <v>17012</v>
      </c>
      <c r="C2815" s="38" t="s">
        <v>31</v>
      </c>
      <c r="D2815" s="34">
        <v>4919</v>
      </c>
      <c r="E2815" s="35">
        <v>44706</v>
      </c>
      <c r="F2815" s="34">
        <v>4919</v>
      </c>
      <c r="G2815" s="36">
        <f>Tabla16[[#This Row],[Importe]]-Tabla16[[#This Row],[Pagado]]</f>
        <v>0</v>
      </c>
      <c r="H2815" s="38" t="s">
        <v>10</v>
      </c>
    </row>
    <row r="2816" spans="1:8" x14ac:dyDescent="0.25">
      <c r="A2816" s="31">
        <v>44706</v>
      </c>
      <c r="B2816" s="38" t="s">
        <v>17013</v>
      </c>
      <c r="C2816" s="38" t="s">
        <v>840</v>
      </c>
      <c r="D2816" s="34">
        <v>25818.5</v>
      </c>
      <c r="E2816" s="35">
        <v>44706</v>
      </c>
      <c r="F2816" s="34">
        <v>25818.5</v>
      </c>
      <c r="G2816" s="36">
        <f>Tabla16[[#This Row],[Importe]]-Tabla16[[#This Row],[Pagado]]</f>
        <v>0</v>
      </c>
      <c r="H2816" s="38" t="s">
        <v>10</v>
      </c>
    </row>
    <row r="2817" spans="1:8" x14ac:dyDescent="0.25">
      <c r="A2817" s="31">
        <v>44706</v>
      </c>
      <c r="B2817" s="38" t="s">
        <v>17014</v>
      </c>
      <c r="C2817" s="38" t="s">
        <v>107</v>
      </c>
      <c r="D2817" s="34">
        <v>8404</v>
      </c>
      <c r="E2817" s="35">
        <v>44706</v>
      </c>
      <c r="F2817" s="34">
        <v>8404</v>
      </c>
      <c r="G2817" s="36">
        <f>Tabla16[[#This Row],[Importe]]-Tabla16[[#This Row],[Pagado]]</f>
        <v>0</v>
      </c>
      <c r="H2817" s="38" t="s">
        <v>10</v>
      </c>
    </row>
    <row r="2818" spans="1:8" x14ac:dyDescent="0.25">
      <c r="A2818" s="31">
        <v>44706</v>
      </c>
      <c r="B2818" s="38" t="s">
        <v>17015</v>
      </c>
      <c r="C2818" s="38" t="s">
        <v>698</v>
      </c>
      <c r="D2818" s="34">
        <v>7087.5</v>
      </c>
      <c r="E2818" s="35">
        <v>44706</v>
      </c>
      <c r="F2818" s="34">
        <v>7087.5</v>
      </c>
      <c r="G2818" s="36">
        <f>Tabla16[[#This Row],[Importe]]-Tabla16[[#This Row],[Pagado]]</f>
        <v>0</v>
      </c>
      <c r="H2818" s="38" t="s">
        <v>10</v>
      </c>
    </row>
    <row r="2819" spans="1:8" x14ac:dyDescent="0.25">
      <c r="A2819" s="31">
        <v>44706</v>
      </c>
      <c r="B2819" s="38" t="s">
        <v>17016</v>
      </c>
      <c r="C2819" s="38" t="s">
        <v>244</v>
      </c>
      <c r="D2819" s="34">
        <v>1335.6</v>
      </c>
      <c r="E2819" s="35">
        <v>44706</v>
      </c>
      <c r="F2819" s="34">
        <v>1335.6</v>
      </c>
      <c r="G2819" s="36">
        <f>Tabla16[[#This Row],[Importe]]-Tabla16[[#This Row],[Pagado]]</f>
        <v>0</v>
      </c>
      <c r="H2819" s="38" t="s">
        <v>10</v>
      </c>
    </row>
    <row r="2820" spans="1:8" x14ac:dyDescent="0.25">
      <c r="A2820" s="31">
        <v>44706</v>
      </c>
      <c r="B2820" s="38" t="s">
        <v>17017</v>
      </c>
      <c r="C2820" s="38" t="s">
        <v>9175</v>
      </c>
      <c r="D2820" s="34">
        <v>12184.5</v>
      </c>
      <c r="E2820" s="35">
        <v>44706</v>
      </c>
      <c r="F2820" s="34">
        <v>12184.5</v>
      </c>
      <c r="G2820" s="36">
        <f>Tabla16[[#This Row],[Importe]]-Tabla16[[#This Row],[Pagado]]</f>
        <v>0</v>
      </c>
      <c r="H2820" s="38" t="s">
        <v>10</v>
      </c>
    </row>
    <row r="2821" spans="1:8" x14ac:dyDescent="0.25">
      <c r="A2821" s="31">
        <v>44706</v>
      </c>
      <c r="B2821" s="38" t="s">
        <v>17018</v>
      </c>
      <c r="C2821" s="38" t="s">
        <v>2139</v>
      </c>
      <c r="D2821" s="34">
        <v>4230.3999999999996</v>
      </c>
      <c r="E2821" s="35">
        <v>44706</v>
      </c>
      <c r="F2821" s="34">
        <v>4230.3999999999996</v>
      </c>
      <c r="G2821" s="36">
        <f>Tabla16[[#This Row],[Importe]]-Tabla16[[#This Row],[Pagado]]</f>
        <v>0</v>
      </c>
      <c r="H2821" s="38" t="s">
        <v>10</v>
      </c>
    </row>
    <row r="2822" spans="1:8" x14ac:dyDescent="0.25">
      <c r="A2822" s="31">
        <v>44706</v>
      </c>
      <c r="B2822" s="38" t="s">
        <v>17019</v>
      </c>
      <c r="C2822" s="38" t="s">
        <v>67</v>
      </c>
      <c r="D2822" s="34">
        <v>1468.8</v>
      </c>
      <c r="E2822" s="35">
        <v>44706</v>
      </c>
      <c r="F2822" s="34">
        <v>1468.8</v>
      </c>
      <c r="G2822" s="36">
        <f>Tabla16[[#This Row],[Importe]]-Tabla16[[#This Row],[Pagado]]</f>
        <v>0</v>
      </c>
      <c r="H2822" s="38" t="s">
        <v>10</v>
      </c>
    </row>
    <row r="2823" spans="1:8" x14ac:dyDescent="0.25">
      <c r="A2823" s="31">
        <v>44706</v>
      </c>
      <c r="B2823" s="38" t="s">
        <v>17020</v>
      </c>
      <c r="C2823" s="38" t="s">
        <v>31</v>
      </c>
      <c r="D2823" s="34">
        <v>8471.4</v>
      </c>
      <c r="E2823" s="35">
        <v>44706</v>
      </c>
      <c r="F2823" s="34">
        <v>8471.4</v>
      </c>
      <c r="G2823" s="36">
        <f>Tabla16[[#This Row],[Importe]]-Tabla16[[#This Row],[Pagado]]</f>
        <v>0</v>
      </c>
      <c r="H2823" s="38" t="s">
        <v>10</v>
      </c>
    </row>
    <row r="2824" spans="1:8" x14ac:dyDescent="0.25">
      <c r="A2824" s="31">
        <v>44706</v>
      </c>
      <c r="B2824" s="38" t="s">
        <v>17021</v>
      </c>
      <c r="C2824" s="38" t="s">
        <v>95</v>
      </c>
      <c r="D2824" s="34">
        <v>28640</v>
      </c>
      <c r="E2824" s="35">
        <v>44706</v>
      </c>
      <c r="F2824" s="34">
        <v>28640</v>
      </c>
      <c r="G2824" s="36">
        <f>Tabla16[[#This Row],[Importe]]-Tabla16[[#This Row],[Pagado]]</f>
        <v>0</v>
      </c>
      <c r="H2824" s="38" t="s">
        <v>10</v>
      </c>
    </row>
    <row r="2825" spans="1:8" x14ac:dyDescent="0.25">
      <c r="A2825" s="31">
        <v>44706</v>
      </c>
      <c r="B2825" s="38" t="s">
        <v>17022</v>
      </c>
      <c r="C2825" s="38" t="s">
        <v>11383</v>
      </c>
      <c r="D2825" s="34">
        <v>13997.3</v>
      </c>
      <c r="E2825" s="35">
        <v>44706</v>
      </c>
      <c r="F2825" s="34">
        <v>13997.3</v>
      </c>
      <c r="G2825" s="36">
        <f>Tabla16[[#This Row],[Importe]]-Tabla16[[#This Row],[Pagado]]</f>
        <v>0</v>
      </c>
      <c r="H2825" s="38" t="s">
        <v>10</v>
      </c>
    </row>
    <row r="2826" spans="1:8" x14ac:dyDescent="0.25">
      <c r="A2826" s="31">
        <v>44706</v>
      </c>
      <c r="B2826" s="38" t="s">
        <v>17023</v>
      </c>
      <c r="C2826" s="38" t="s">
        <v>11383</v>
      </c>
      <c r="D2826" s="34">
        <v>518</v>
      </c>
      <c r="E2826" s="35">
        <v>44706</v>
      </c>
      <c r="F2826" s="34">
        <v>518</v>
      </c>
      <c r="G2826" s="36">
        <f>Tabla16[[#This Row],[Importe]]-Tabla16[[#This Row],[Pagado]]</f>
        <v>0</v>
      </c>
      <c r="H2826" s="38" t="s">
        <v>10</v>
      </c>
    </row>
    <row r="2827" spans="1:8" x14ac:dyDescent="0.25">
      <c r="A2827" s="31">
        <v>44706</v>
      </c>
      <c r="B2827" s="38" t="s">
        <v>17024</v>
      </c>
      <c r="C2827" s="38" t="s">
        <v>131</v>
      </c>
      <c r="D2827" s="34">
        <v>904.2</v>
      </c>
      <c r="E2827" s="35">
        <v>44706</v>
      </c>
      <c r="F2827" s="34">
        <v>904.2</v>
      </c>
      <c r="G2827" s="36">
        <f>Tabla16[[#This Row],[Importe]]-Tabla16[[#This Row],[Pagado]]</f>
        <v>0</v>
      </c>
      <c r="H2827" s="38" t="s">
        <v>10</v>
      </c>
    </row>
    <row r="2828" spans="1:8" ht="31.5" x14ac:dyDescent="0.25">
      <c r="A2828" s="31">
        <v>44706</v>
      </c>
      <c r="B2828" s="38" t="s">
        <v>17025</v>
      </c>
      <c r="C2828" s="38" t="s">
        <v>275</v>
      </c>
      <c r="D2828" s="34">
        <v>72866</v>
      </c>
      <c r="E2828" s="35" t="s">
        <v>17782</v>
      </c>
      <c r="F2828" s="34">
        <f>70272.44+2593.56</f>
        <v>72866</v>
      </c>
      <c r="G2828" s="36">
        <f>Tabla16[[#This Row],[Importe]]-Tabla16[[#This Row],[Pagado]]</f>
        <v>0</v>
      </c>
      <c r="H2828" s="38" t="s">
        <v>10</v>
      </c>
    </row>
    <row r="2829" spans="1:8" x14ac:dyDescent="0.25">
      <c r="A2829" s="31">
        <v>44706</v>
      </c>
      <c r="B2829" s="38" t="s">
        <v>17026</v>
      </c>
      <c r="C2829" s="38" t="s">
        <v>9577</v>
      </c>
      <c r="D2829" s="34">
        <v>22540.799999999999</v>
      </c>
      <c r="E2829" s="35">
        <v>44707</v>
      </c>
      <c r="F2829" s="34">
        <v>22540.799999999999</v>
      </c>
      <c r="G2829" s="36">
        <f>Tabla16[[#This Row],[Importe]]-Tabla16[[#This Row],[Pagado]]</f>
        <v>0</v>
      </c>
      <c r="H2829" s="38" t="s">
        <v>10</v>
      </c>
    </row>
    <row r="2830" spans="1:8" x14ac:dyDescent="0.25">
      <c r="A2830" s="31">
        <v>44706</v>
      </c>
      <c r="B2830" s="38" t="s">
        <v>17027</v>
      </c>
      <c r="C2830" s="38" t="s">
        <v>454</v>
      </c>
      <c r="D2830" s="34">
        <v>2400</v>
      </c>
      <c r="E2830" s="35">
        <v>44706</v>
      </c>
      <c r="F2830" s="34">
        <v>2400</v>
      </c>
      <c r="G2830" s="36">
        <f>Tabla16[[#This Row],[Importe]]-Tabla16[[#This Row],[Pagado]]</f>
        <v>0</v>
      </c>
      <c r="H2830" s="38" t="s">
        <v>10</v>
      </c>
    </row>
    <row r="2831" spans="1:8" x14ac:dyDescent="0.25">
      <c r="A2831" s="31">
        <v>44706</v>
      </c>
      <c r="B2831" s="38" t="s">
        <v>17028</v>
      </c>
      <c r="C2831" s="38" t="s">
        <v>51</v>
      </c>
      <c r="D2831" s="34">
        <v>585.6</v>
      </c>
      <c r="E2831" s="35">
        <v>44706</v>
      </c>
      <c r="F2831" s="34">
        <v>585.6</v>
      </c>
      <c r="G2831" s="36">
        <f>Tabla16[[#This Row],[Importe]]-Tabla16[[#This Row],[Pagado]]</f>
        <v>0</v>
      </c>
      <c r="H2831" s="38" t="s">
        <v>10</v>
      </c>
    </row>
    <row r="2832" spans="1:8" x14ac:dyDescent="0.25">
      <c r="A2832" s="31">
        <v>44706</v>
      </c>
      <c r="B2832" s="38" t="s">
        <v>17029</v>
      </c>
      <c r="C2832" s="38" t="s">
        <v>282</v>
      </c>
      <c r="D2832" s="34">
        <v>2949</v>
      </c>
      <c r="E2832" s="35">
        <v>44707</v>
      </c>
      <c r="F2832" s="34">
        <v>2949</v>
      </c>
      <c r="G2832" s="36">
        <f>Tabla16[[#This Row],[Importe]]-Tabla16[[#This Row],[Pagado]]</f>
        <v>0</v>
      </c>
      <c r="H2832" s="38" t="s">
        <v>10</v>
      </c>
    </row>
    <row r="2833" spans="1:8" x14ac:dyDescent="0.25">
      <c r="A2833" s="31">
        <v>44706</v>
      </c>
      <c r="B2833" s="38" t="s">
        <v>17030</v>
      </c>
      <c r="C2833" s="38" t="s">
        <v>605</v>
      </c>
      <c r="D2833" s="34">
        <v>43836.84</v>
      </c>
      <c r="E2833" s="35">
        <v>44707</v>
      </c>
      <c r="F2833" s="34">
        <v>43836.84</v>
      </c>
      <c r="G2833" s="36">
        <f>Tabla16[[#This Row],[Importe]]-Tabla16[[#This Row],[Pagado]]</f>
        <v>0</v>
      </c>
      <c r="H2833" s="38" t="s">
        <v>10</v>
      </c>
    </row>
    <row r="2834" spans="1:8" x14ac:dyDescent="0.25">
      <c r="A2834" s="31">
        <v>44706</v>
      </c>
      <c r="B2834" s="38" t="s">
        <v>17031</v>
      </c>
      <c r="C2834" s="38" t="s">
        <v>875</v>
      </c>
      <c r="D2834" s="34">
        <v>44493.4</v>
      </c>
      <c r="E2834" s="35">
        <v>44708</v>
      </c>
      <c r="F2834" s="34">
        <v>44493.4</v>
      </c>
      <c r="G2834" s="36">
        <f>Tabla16[[#This Row],[Importe]]-Tabla16[[#This Row],[Pagado]]</f>
        <v>0</v>
      </c>
      <c r="H2834" s="38" t="s">
        <v>10</v>
      </c>
    </row>
    <row r="2835" spans="1:8" x14ac:dyDescent="0.25">
      <c r="A2835" s="31">
        <v>44706</v>
      </c>
      <c r="B2835" s="38" t="s">
        <v>17032</v>
      </c>
      <c r="C2835" s="38" t="s">
        <v>10819</v>
      </c>
      <c r="D2835" s="34">
        <v>708</v>
      </c>
      <c r="E2835" s="35">
        <v>44707</v>
      </c>
      <c r="F2835" s="34">
        <v>708</v>
      </c>
      <c r="G2835" s="36">
        <f>Tabla16[[#This Row],[Importe]]-Tabla16[[#This Row],[Pagado]]</f>
        <v>0</v>
      </c>
      <c r="H2835" s="38" t="s">
        <v>10</v>
      </c>
    </row>
    <row r="2836" spans="1:8" x14ac:dyDescent="0.25">
      <c r="A2836" s="31">
        <v>44706</v>
      </c>
      <c r="B2836" s="38" t="s">
        <v>17033</v>
      </c>
      <c r="C2836" s="38" t="s">
        <v>280</v>
      </c>
      <c r="D2836" s="34">
        <v>594</v>
      </c>
      <c r="E2836" s="35">
        <v>44707</v>
      </c>
      <c r="F2836" s="34">
        <v>594</v>
      </c>
      <c r="G2836" s="36">
        <f>Tabla16[[#This Row],[Importe]]-Tabla16[[#This Row],[Pagado]]</f>
        <v>0</v>
      </c>
      <c r="H2836" s="38" t="s">
        <v>10</v>
      </c>
    </row>
    <row r="2837" spans="1:8" x14ac:dyDescent="0.25">
      <c r="A2837" s="31">
        <v>44706</v>
      </c>
      <c r="B2837" s="38" t="s">
        <v>17034</v>
      </c>
      <c r="C2837" s="38" t="s">
        <v>5345</v>
      </c>
      <c r="D2837" s="34">
        <v>1314</v>
      </c>
      <c r="E2837" s="35">
        <v>44707</v>
      </c>
      <c r="F2837" s="34">
        <v>1314</v>
      </c>
      <c r="G2837" s="36">
        <f>Tabla16[[#This Row],[Importe]]-Tabla16[[#This Row],[Pagado]]</f>
        <v>0</v>
      </c>
      <c r="H2837" s="38" t="s">
        <v>10</v>
      </c>
    </row>
    <row r="2838" spans="1:8" x14ac:dyDescent="0.25">
      <c r="A2838" s="31">
        <v>44706</v>
      </c>
      <c r="B2838" s="38" t="s">
        <v>17035</v>
      </c>
      <c r="C2838" s="38" t="s">
        <v>284</v>
      </c>
      <c r="D2838" s="34">
        <v>7386</v>
      </c>
      <c r="E2838" s="35">
        <v>44707</v>
      </c>
      <c r="F2838" s="34">
        <v>7386</v>
      </c>
      <c r="G2838" s="36">
        <f>Tabla16[[#This Row],[Importe]]-Tabla16[[#This Row],[Pagado]]</f>
        <v>0</v>
      </c>
      <c r="H2838" s="38" t="s">
        <v>10</v>
      </c>
    </row>
    <row r="2839" spans="1:8" x14ac:dyDescent="0.25">
      <c r="A2839" s="31">
        <v>44706</v>
      </c>
      <c r="B2839" s="38" t="s">
        <v>17036</v>
      </c>
      <c r="C2839" s="38" t="s">
        <v>291</v>
      </c>
      <c r="D2839" s="34">
        <v>448</v>
      </c>
      <c r="E2839" s="35">
        <v>44707</v>
      </c>
      <c r="F2839" s="34">
        <v>448</v>
      </c>
      <c r="G2839" s="36">
        <f>Tabla16[[#This Row],[Importe]]-Tabla16[[#This Row],[Pagado]]</f>
        <v>0</v>
      </c>
      <c r="H2839" s="38" t="s">
        <v>10</v>
      </c>
    </row>
    <row r="2840" spans="1:8" x14ac:dyDescent="0.25">
      <c r="A2840" s="31">
        <v>44706</v>
      </c>
      <c r="B2840" s="38" t="s">
        <v>17037</v>
      </c>
      <c r="C2840" s="38" t="s">
        <v>448</v>
      </c>
      <c r="D2840" s="34">
        <v>21672</v>
      </c>
      <c r="E2840" s="35">
        <v>44707</v>
      </c>
      <c r="F2840" s="34">
        <v>21672</v>
      </c>
      <c r="G2840" s="36">
        <f>Tabla16[[#This Row],[Importe]]-Tabla16[[#This Row],[Pagado]]</f>
        <v>0</v>
      </c>
      <c r="H2840" s="38" t="s">
        <v>10</v>
      </c>
    </row>
    <row r="2841" spans="1:8" x14ac:dyDescent="0.25">
      <c r="A2841" s="31">
        <v>44706</v>
      </c>
      <c r="B2841" s="38" t="s">
        <v>17038</v>
      </c>
      <c r="C2841" s="38" t="s">
        <v>175</v>
      </c>
      <c r="D2841" s="34">
        <v>16370</v>
      </c>
      <c r="E2841" s="35">
        <v>44707</v>
      </c>
      <c r="F2841" s="34">
        <v>16370</v>
      </c>
      <c r="G2841" s="36">
        <f>Tabla16[[#This Row],[Importe]]-Tabla16[[#This Row],[Pagado]]</f>
        <v>0</v>
      </c>
      <c r="H2841" s="38" t="s">
        <v>10</v>
      </c>
    </row>
    <row r="2842" spans="1:8" x14ac:dyDescent="0.25">
      <c r="A2842" s="31">
        <v>44706</v>
      </c>
      <c r="B2842" s="38" t="s">
        <v>17039</v>
      </c>
      <c r="C2842" s="38" t="s">
        <v>196</v>
      </c>
      <c r="D2842" s="34">
        <v>74281.539999999994</v>
      </c>
      <c r="E2842" s="35">
        <v>44708</v>
      </c>
      <c r="F2842" s="34">
        <v>74281.539999999994</v>
      </c>
      <c r="G2842" s="36">
        <f>Tabla16[[#This Row],[Importe]]-Tabla16[[#This Row],[Pagado]]</f>
        <v>0</v>
      </c>
      <c r="H2842" s="38" t="s">
        <v>10</v>
      </c>
    </row>
    <row r="2843" spans="1:8" x14ac:dyDescent="0.25">
      <c r="A2843" s="31">
        <v>44706</v>
      </c>
      <c r="B2843" s="38" t="s">
        <v>17040</v>
      </c>
      <c r="C2843" s="38" t="s">
        <v>610</v>
      </c>
      <c r="D2843" s="34">
        <v>16128</v>
      </c>
      <c r="E2843" s="35">
        <v>44706</v>
      </c>
      <c r="F2843" s="34">
        <v>16128</v>
      </c>
      <c r="G2843" s="36">
        <f>Tabla16[[#This Row],[Importe]]-Tabla16[[#This Row],[Pagado]]</f>
        <v>0</v>
      </c>
      <c r="H2843" s="38" t="s">
        <v>10</v>
      </c>
    </row>
    <row r="2844" spans="1:8" x14ac:dyDescent="0.25">
      <c r="A2844" s="31">
        <v>44706</v>
      </c>
      <c r="B2844" s="38" t="s">
        <v>17041</v>
      </c>
      <c r="C2844" s="38" t="s">
        <v>53</v>
      </c>
      <c r="D2844" s="34">
        <v>2824</v>
      </c>
      <c r="E2844" s="35">
        <v>44706</v>
      </c>
      <c r="F2844" s="34">
        <v>2824</v>
      </c>
      <c r="G2844" s="36">
        <f>Tabla16[[#This Row],[Importe]]-Tabla16[[#This Row],[Pagado]]</f>
        <v>0</v>
      </c>
      <c r="H2844" s="38" t="s">
        <v>10</v>
      </c>
    </row>
    <row r="2845" spans="1:8" x14ac:dyDescent="0.25">
      <c r="A2845" s="31">
        <v>44706</v>
      </c>
      <c r="B2845" s="38" t="s">
        <v>17042</v>
      </c>
      <c r="C2845" s="38" t="s">
        <v>289</v>
      </c>
      <c r="D2845" s="34">
        <v>7884</v>
      </c>
      <c r="E2845" s="35">
        <v>44706</v>
      </c>
      <c r="F2845" s="34">
        <v>7884</v>
      </c>
      <c r="G2845" s="36">
        <f>Tabla16[[#This Row],[Importe]]-Tabla16[[#This Row],[Pagado]]</f>
        <v>0</v>
      </c>
      <c r="H2845" s="38" t="s">
        <v>10</v>
      </c>
    </row>
    <row r="2846" spans="1:8" x14ac:dyDescent="0.25">
      <c r="A2846" s="31">
        <v>44706</v>
      </c>
      <c r="B2846" s="38" t="s">
        <v>17043</v>
      </c>
      <c r="C2846" s="38" t="s">
        <v>31</v>
      </c>
      <c r="D2846" s="34">
        <v>198.4</v>
      </c>
      <c r="E2846" s="35">
        <v>44707</v>
      </c>
      <c r="F2846" s="34">
        <v>198.4</v>
      </c>
      <c r="G2846" s="36">
        <f>Tabla16[[#This Row],[Importe]]-Tabla16[[#This Row],[Pagado]]</f>
        <v>0</v>
      </c>
      <c r="H2846" s="38" t="s">
        <v>10</v>
      </c>
    </row>
    <row r="2847" spans="1:8" x14ac:dyDescent="0.25">
      <c r="A2847" s="31">
        <v>44707</v>
      </c>
      <c r="B2847" s="38" t="s">
        <v>17044</v>
      </c>
      <c r="C2847" s="38" t="s">
        <v>20</v>
      </c>
      <c r="D2847" s="34">
        <v>679.8</v>
      </c>
      <c r="E2847" s="35">
        <v>44707</v>
      </c>
      <c r="F2847" s="34">
        <v>679.8</v>
      </c>
      <c r="G2847" s="36">
        <f>Tabla16[[#This Row],[Importe]]-Tabla16[[#This Row],[Pagado]]</f>
        <v>0</v>
      </c>
      <c r="H2847" s="38" t="s">
        <v>10</v>
      </c>
    </row>
    <row r="2848" spans="1:8" x14ac:dyDescent="0.25">
      <c r="A2848" s="31">
        <v>44707</v>
      </c>
      <c r="B2848" s="38" t="s">
        <v>17045</v>
      </c>
      <c r="C2848" s="38" t="s">
        <v>475</v>
      </c>
      <c r="D2848" s="34">
        <v>63240.9</v>
      </c>
      <c r="E2848" s="35">
        <v>44708</v>
      </c>
      <c r="F2848" s="34">
        <v>63240.9</v>
      </c>
      <c r="G2848" s="36">
        <f>Tabla16[[#This Row],[Importe]]-Tabla16[[#This Row],[Pagado]]</f>
        <v>0</v>
      </c>
      <c r="H2848" s="38" t="s">
        <v>10</v>
      </c>
    </row>
    <row r="2849" spans="1:8" x14ac:dyDescent="0.25">
      <c r="A2849" s="31">
        <v>44707</v>
      </c>
      <c r="B2849" s="38" t="s">
        <v>17046</v>
      </c>
      <c r="C2849" s="38" t="s">
        <v>475</v>
      </c>
      <c r="D2849" s="34">
        <v>4070</v>
      </c>
      <c r="E2849" s="35">
        <v>44708</v>
      </c>
      <c r="F2849" s="34">
        <v>4070</v>
      </c>
      <c r="G2849" s="36">
        <f>Tabla16[[#This Row],[Importe]]-Tabla16[[#This Row],[Pagado]]</f>
        <v>0</v>
      </c>
      <c r="H2849" s="38" t="s">
        <v>10</v>
      </c>
    </row>
    <row r="2850" spans="1:8" x14ac:dyDescent="0.25">
      <c r="A2850" s="31">
        <v>44707</v>
      </c>
      <c r="B2850" s="38" t="s">
        <v>17047</v>
      </c>
      <c r="C2850" s="38" t="s">
        <v>12</v>
      </c>
      <c r="D2850" s="34">
        <v>31768.35</v>
      </c>
      <c r="E2850" s="35">
        <v>44707</v>
      </c>
      <c r="F2850" s="34">
        <v>31768.35</v>
      </c>
      <c r="G2850" s="36">
        <f>Tabla16[[#This Row],[Importe]]-Tabla16[[#This Row],[Pagado]]</f>
        <v>0</v>
      </c>
      <c r="H2850" s="38" t="s">
        <v>10</v>
      </c>
    </row>
    <row r="2851" spans="1:8" x14ac:dyDescent="0.25">
      <c r="A2851" s="31">
        <v>44707</v>
      </c>
      <c r="B2851" s="38" t="s">
        <v>17048</v>
      </c>
      <c r="C2851" s="38" t="s">
        <v>114</v>
      </c>
      <c r="D2851" s="34">
        <v>8321.4</v>
      </c>
      <c r="E2851" s="35">
        <v>44708</v>
      </c>
      <c r="F2851" s="34">
        <v>8321.4</v>
      </c>
      <c r="G2851" s="36">
        <f>Tabla16[[#This Row],[Importe]]-Tabla16[[#This Row],[Pagado]]</f>
        <v>0</v>
      </c>
      <c r="H2851" s="38" t="s">
        <v>10</v>
      </c>
    </row>
    <row r="2852" spans="1:8" x14ac:dyDescent="0.25">
      <c r="A2852" s="31">
        <v>44707</v>
      </c>
      <c r="B2852" s="38" t="s">
        <v>17049</v>
      </c>
      <c r="C2852" s="38" t="s">
        <v>2151</v>
      </c>
      <c r="D2852" s="34">
        <v>13003.2</v>
      </c>
      <c r="E2852" s="35">
        <v>44707</v>
      </c>
      <c r="F2852" s="34">
        <v>13003.2</v>
      </c>
      <c r="G2852" s="36">
        <f>Tabla16[[#This Row],[Importe]]-Tabla16[[#This Row],[Pagado]]</f>
        <v>0</v>
      </c>
      <c r="H2852" s="38" t="s">
        <v>10</v>
      </c>
    </row>
    <row r="2853" spans="1:8" x14ac:dyDescent="0.25">
      <c r="A2853" s="31">
        <v>44707</v>
      </c>
      <c r="B2853" s="38" t="s">
        <v>17050</v>
      </c>
      <c r="C2853" s="38" t="s">
        <v>64</v>
      </c>
      <c r="D2853" s="34">
        <v>4216.8</v>
      </c>
      <c r="E2853" s="35">
        <v>44708</v>
      </c>
      <c r="F2853" s="34">
        <v>4216.8</v>
      </c>
      <c r="G2853" s="36">
        <f>Tabla16[[#This Row],[Importe]]-Tabla16[[#This Row],[Pagado]]</f>
        <v>0</v>
      </c>
      <c r="H2853" s="38" t="s">
        <v>10</v>
      </c>
    </row>
    <row r="2854" spans="1:8" x14ac:dyDescent="0.25">
      <c r="A2854" s="31">
        <v>44707</v>
      </c>
      <c r="B2854" s="38" t="s">
        <v>17051</v>
      </c>
      <c r="C2854" s="38" t="s">
        <v>105</v>
      </c>
      <c r="D2854" s="34">
        <v>7475.8</v>
      </c>
      <c r="E2854" s="35">
        <v>44709</v>
      </c>
      <c r="F2854" s="34">
        <v>7475.8</v>
      </c>
      <c r="G2854" s="36">
        <f>Tabla16[[#This Row],[Importe]]-Tabla16[[#This Row],[Pagado]]</f>
        <v>0</v>
      </c>
      <c r="H2854" s="38" t="s">
        <v>10</v>
      </c>
    </row>
    <row r="2855" spans="1:8" x14ac:dyDescent="0.25">
      <c r="A2855" s="31">
        <v>44707</v>
      </c>
      <c r="B2855" s="38" t="s">
        <v>17052</v>
      </c>
      <c r="C2855" s="38" t="s">
        <v>99</v>
      </c>
      <c r="D2855" s="34">
        <v>4549.6000000000004</v>
      </c>
      <c r="E2855" s="35">
        <v>44709</v>
      </c>
      <c r="F2855" s="34">
        <v>4549.6000000000004</v>
      </c>
      <c r="G2855" s="36">
        <f>Tabla16[[#This Row],[Importe]]-Tabla16[[#This Row],[Pagado]]</f>
        <v>0</v>
      </c>
      <c r="H2855" s="38" t="s">
        <v>10</v>
      </c>
    </row>
    <row r="2856" spans="1:8" x14ac:dyDescent="0.25">
      <c r="A2856" s="31">
        <v>44707</v>
      </c>
      <c r="B2856" s="38" t="s">
        <v>17053</v>
      </c>
      <c r="C2856" s="38" t="s">
        <v>10586</v>
      </c>
      <c r="D2856" s="34">
        <v>4422.6000000000004</v>
      </c>
      <c r="E2856" s="35">
        <v>44708</v>
      </c>
      <c r="F2856" s="34">
        <v>4422.6000000000004</v>
      </c>
      <c r="G2856" s="36">
        <f>Tabla16[[#This Row],[Importe]]-Tabla16[[#This Row],[Pagado]]</f>
        <v>0</v>
      </c>
      <c r="H2856" s="38" t="s">
        <v>10</v>
      </c>
    </row>
    <row r="2857" spans="1:8" x14ac:dyDescent="0.25">
      <c r="A2857" s="31">
        <v>44707</v>
      </c>
      <c r="B2857" s="38" t="s">
        <v>17054</v>
      </c>
      <c r="C2857" s="38" t="s">
        <v>89</v>
      </c>
      <c r="D2857" s="34">
        <v>8173.3</v>
      </c>
      <c r="E2857" s="35">
        <v>44708</v>
      </c>
      <c r="F2857" s="34">
        <v>8173.3</v>
      </c>
      <c r="G2857" s="36">
        <f>Tabla16[[#This Row],[Importe]]-Tabla16[[#This Row],[Pagado]]</f>
        <v>0</v>
      </c>
      <c r="H2857" s="38" t="s">
        <v>10</v>
      </c>
    </row>
    <row r="2858" spans="1:8" x14ac:dyDescent="0.25">
      <c r="A2858" s="31">
        <v>44707</v>
      </c>
      <c r="B2858" s="38" t="s">
        <v>17055</v>
      </c>
      <c r="C2858" s="38" t="s">
        <v>16819</v>
      </c>
      <c r="D2858" s="34">
        <v>4125.6000000000004</v>
      </c>
      <c r="E2858" s="35">
        <v>44707</v>
      </c>
      <c r="F2858" s="34">
        <v>4125.6000000000004</v>
      </c>
      <c r="G2858" s="36">
        <f>Tabla16[[#This Row],[Importe]]-Tabla16[[#This Row],[Pagado]]</f>
        <v>0</v>
      </c>
      <c r="H2858" s="38" t="s">
        <v>10</v>
      </c>
    </row>
    <row r="2859" spans="1:8" x14ac:dyDescent="0.25">
      <c r="A2859" s="31">
        <v>44707</v>
      </c>
      <c r="B2859" s="38" t="s">
        <v>17056</v>
      </c>
      <c r="C2859" s="38" t="s">
        <v>2563</v>
      </c>
      <c r="D2859" s="34">
        <v>4037.6</v>
      </c>
      <c r="E2859" s="35">
        <v>44707</v>
      </c>
      <c r="F2859" s="34">
        <v>4037.6</v>
      </c>
      <c r="G2859" s="36">
        <f>Tabla16[[#This Row],[Importe]]-Tabla16[[#This Row],[Pagado]]</f>
        <v>0</v>
      </c>
      <c r="H2859" s="38" t="s">
        <v>10</v>
      </c>
    </row>
    <row r="2860" spans="1:8" x14ac:dyDescent="0.25">
      <c r="A2860" s="31">
        <v>44707</v>
      </c>
      <c r="B2860" s="38" t="s">
        <v>17057</v>
      </c>
      <c r="C2860" s="38" t="s">
        <v>93</v>
      </c>
      <c r="D2860" s="34">
        <v>2857.8</v>
      </c>
      <c r="E2860" s="35">
        <v>44708</v>
      </c>
      <c r="F2860" s="34">
        <v>2857.8</v>
      </c>
      <c r="G2860" s="36">
        <f>Tabla16[[#This Row],[Importe]]-Tabla16[[#This Row],[Pagado]]</f>
        <v>0</v>
      </c>
      <c r="H2860" s="38" t="s">
        <v>10</v>
      </c>
    </row>
    <row r="2861" spans="1:8" x14ac:dyDescent="0.25">
      <c r="A2861" s="31">
        <v>44707</v>
      </c>
      <c r="B2861" s="38" t="s">
        <v>17058</v>
      </c>
      <c r="C2861" s="38" t="s">
        <v>111</v>
      </c>
      <c r="D2861" s="34">
        <v>4811.3999999999996</v>
      </c>
      <c r="E2861" s="35">
        <v>44708</v>
      </c>
      <c r="F2861" s="34">
        <v>4811.3999999999996</v>
      </c>
      <c r="G2861" s="36">
        <f>Tabla16[[#This Row],[Importe]]-Tabla16[[#This Row],[Pagado]]</f>
        <v>0</v>
      </c>
      <c r="H2861" s="38" t="s">
        <v>10</v>
      </c>
    </row>
    <row r="2862" spans="1:8" x14ac:dyDescent="0.25">
      <c r="A2862" s="31">
        <v>44707</v>
      </c>
      <c r="B2862" s="38" t="s">
        <v>17059</v>
      </c>
      <c r="C2862" s="38" t="s">
        <v>17060</v>
      </c>
      <c r="D2862" s="34">
        <v>0</v>
      </c>
      <c r="E2862" s="39" t="s">
        <v>189</v>
      </c>
      <c r="F2862" s="34">
        <v>0</v>
      </c>
      <c r="G2862" s="36">
        <f>Tabla16[[#This Row],[Importe]]-Tabla16[[#This Row],[Pagado]]</f>
        <v>0</v>
      </c>
      <c r="H2862" s="38" t="s">
        <v>189</v>
      </c>
    </row>
    <row r="2863" spans="1:8" x14ac:dyDescent="0.25">
      <c r="A2863" s="31">
        <v>44707</v>
      </c>
      <c r="B2863" s="38" t="s">
        <v>17061</v>
      </c>
      <c r="C2863" s="38" t="s">
        <v>114</v>
      </c>
      <c r="D2863" s="34">
        <v>1050</v>
      </c>
      <c r="E2863" s="35">
        <v>44708</v>
      </c>
      <c r="F2863" s="34">
        <v>1050</v>
      </c>
      <c r="G2863" s="36">
        <f>Tabla16[[#This Row],[Importe]]-Tabla16[[#This Row],[Pagado]]</f>
        <v>0</v>
      </c>
      <c r="H2863" s="38" t="s">
        <v>10</v>
      </c>
    </row>
    <row r="2864" spans="1:8" x14ac:dyDescent="0.25">
      <c r="A2864" s="31">
        <v>44707</v>
      </c>
      <c r="B2864" s="38" t="s">
        <v>17062</v>
      </c>
      <c r="C2864" s="38" t="s">
        <v>918</v>
      </c>
      <c r="D2864" s="34">
        <v>525</v>
      </c>
      <c r="E2864" s="35">
        <v>44708</v>
      </c>
      <c r="F2864" s="34">
        <v>525</v>
      </c>
      <c r="G2864" s="36">
        <f>Tabla16[[#This Row],[Importe]]-Tabla16[[#This Row],[Pagado]]</f>
        <v>0</v>
      </c>
      <c r="H2864" s="38" t="s">
        <v>10</v>
      </c>
    </row>
    <row r="2865" spans="1:8" x14ac:dyDescent="0.25">
      <c r="A2865" s="31">
        <v>44707</v>
      </c>
      <c r="B2865" s="38" t="s">
        <v>17063</v>
      </c>
      <c r="C2865" s="38" t="s">
        <v>97</v>
      </c>
      <c r="D2865" s="34">
        <v>11164.2</v>
      </c>
      <c r="E2865" s="35">
        <v>44708</v>
      </c>
      <c r="F2865" s="34">
        <v>11164.2</v>
      </c>
      <c r="G2865" s="36">
        <f>Tabla16[[#This Row],[Importe]]-Tabla16[[#This Row],[Pagado]]</f>
        <v>0</v>
      </c>
      <c r="H2865" s="38" t="s">
        <v>10</v>
      </c>
    </row>
    <row r="2866" spans="1:8" ht="31.5" x14ac:dyDescent="0.25">
      <c r="A2866" s="31">
        <v>44707</v>
      </c>
      <c r="B2866" s="38" t="s">
        <v>17064</v>
      </c>
      <c r="C2866" s="38" t="s">
        <v>39</v>
      </c>
      <c r="D2866" s="34">
        <v>10540.6</v>
      </c>
      <c r="E2866" s="35" t="s">
        <v>17065</v>
      </c>
      <c r="F2866" s="34">
        <f>3000+7540.6</f>
        <v>10540.6</v>
      </c>
      <c r="G2866" s="36">
        <f>Tabla16[[#This Row],[Importe]]-Tabla16[[#This Row],[Pagado]]</f>
        <v>0</v>
      </c>
      <c r="H2866" s="38" t="s">
        <v>10</v>
      </c>
    </row>
    <row r="2867" spans="1:8" x14ac:dyDescent="0.25">
      <c r="A2867" s="31">
        <v>44707</v>
      </c>
      <c r="B2867" s="38" t="s">
        <v>17066</v>
      </c>
      <c r="C2867" s="38" t="s">
        <v>348</v>
      </c>
      <c r="D2867" s="34">
        <v>4503.3999999999996</v>
      </c>
      <c r="E2867" s="35">
        <v>44707</v>
      </c>
      <c r="F2867" s="34">
        <v>4503.3999999999996</v>
      </c>
      <c r="G2867" s="36">
        <f>Tabla16[[#This Row],[Importe]]-Tabla16[[#This Row],[Pagado]]</f>
        <v>0</v>
      </c>
      <c r="H2867" s="38" t="s">
        <v>10</v>
      </c>
    </row>
    <row r="2868" spans="1:8" x14ac:dyDescent="0.25">
      <c r="A2868" s="31">
        <v>44707</v>
      </c>
      <c r="B2868" s="38" t="s">
        <v>17067</v>
      </c>
      <c r="C2868" s="38" t="s">
        <v>10586</v>
      </c>
      <c r="D2868" s="34">
        <v>660</v>
      </c>
      <c r="E2868" s="35">
        <v>44708</v>
      </c>
      <c r="F2868" s="34">
        <v>660</v>
      </c>
      <c r="G2868" s="36">
        <f>Tabla16[[#This Row],[Importe]]-Tabla16[[#This Row],[Pagado]]</f>
        <v>0</v>
      </c>
      <c r="H2868" s="38" t="s">
        <v>10</v>
      </c>
    </row>
    <row r="2869" spans="1:8" x14ac:dyDescent="0.25">
      <c r="A2869" s="31">
        <v>44707</v>
      </c>
      <c r="B2869" s="38" t="s">
        <v>17068</v>
      </c>
      <c r="C2869" s="38" t="s">
        <v>9</v>
      </c>
      <c r="D2869" s="34">
        <v>3846.7</v>
      </c>
      <c r="E2869" s="35">
        <v>44707</v>
      </c>
      <c r="F2869" s="34">
        <v>3846.7</v>
      </c>
      <c r="G2869" s="36">
        <f>Tabla16[[#This Row],[Importe]]-Tabla16[[#This Row],[Pagado]]</f>
        <v>0</v>
      </c>
      <c r="H2869" s="38" t="s">
        <v>10</v>
      </c>
    </row>
    <row r="2870" spans="1:8" x14ac:dyDescent="0.25">
      <c r="A2870" s="31">
        <v>44707</v>
      </c>
      <c r="B2870" s="38" t="s">
        <v>17069</v>
      </c>
      <c r="C2870" s="38" t="s">
        <v>484</v>
      </c>
      <c r="D2870" s="34">
        <v>3522.4</v>
      </c>
      <c r="E2870" s="35">
        <v>44707</v>
      </c>
      <c r="F2870" s="34">
        <v>3522.4</v>
      </c>
      <c r="G2870" s="36">
        <f>Tabla16[[#This Row],[Importe]]-Tabla16[[#This Row],[Pagado]]</f>
        <v>0</v>
      </c>
      <c r="H2870" s="38" t="s">
        <v>10</v>
      </c>
    </row>
    <row r="2871" spans="1:8" x14ac:dyDescent="0.25">
      <c r="A2871" s="31">
        <v>44707</v>
      </c>
      <c r="B2871" s="38" t="s">
        <v>17070</v>
      </c>
      <c r="C2871" s="38" t="s">
        <v>481</v>
      </c>
      <c r="D2871" s="34">
        <v>753.9</v>
      </c>
      <c r="E2871" s="35">
        <v>44707</v>
      </c>
      <c r="F2871" s="34">
        <v>753.9</v>
      </c>
      <c r="G2871" s="36">
        <f>Tabla16[[#This Row],[Importe]]-Tabla16[[#This Row],[Pagado]]</f>
        <v>0</v>
      </c>
      <c r="H2871" s="38" t="s">
        <v>10</v>
      </c>
    </row>
    <row r="2872" spans="1:8" x14ac:dyDescent="0.25">
      <c r="A2872" s="31">
        <v>44707</v>
      </c>
      <c r="B2872" s="38" t="s">
        <v>17071</v>
      </c>
      <c r="C2872" s="38" t="s">
        <v>49</v>
      </c>
      <c r="D2872" s="34">
        <v>3199.1</v>
      </c>
      <c r="E2872" s="35">
        <v>44707</v>
      </c>
      <c r="F2872" s="34">
        <v>3199.1</v>
      </c>
      <c r="G2872" s="36">
        <f>Tabla16[[#This Row],[Importe]]-Tabla16[[#This Row],[Pagado]]</f>
        <v>0</v>
      </c>
      <c r="H2872" s="38" t="s">
        <v>10</v>
      </c>
    </row>
    <row r="2873" spans="1:8" x14ac:dyDescent="0.25">
      <c r="A2873" s="31">
        <v>44707</v>
      </c>
      <c r="B2873" s="38" t="s">
        <v>17072</v>
      </c>
      <c r="C2873" s="38" t="s">
        <v>12202</v>
      </c>
      <c r="D2873" s="34">
        <v>2880</v>
      </c>
      <c r="E2873" s="35">
        <v>44707</v>
      </c>
      <c r="F2873" s="34">
        <v>2880</v>
      </c>
      <c r="G2873" s="36">
        <f>Tabla16[[#This Row],[Importe]]-Tabla16[[#This Row],[Pagado]]</f>
        <v>0</v>
      </c>
      <c r="H2873" s="38" t="s">
        <v>10</v>
      </c>
    </row>
    <row r="2874" spans="1:8" x14ac:dyDescent="0.25">
      <c r="A2874" s="31">
        <v>44707</v>
      </c>
      <c r="B2874" s="38" t="s">
        <v>17073</v>
      </c>
      <c r="C2874" s="38" t="s">
        <v>146</v>
      </c>
      <c r="D2874" s="34">
        <v>2598</v>
      </c>
      <c r="E2874" s="35">
        <v>44707</v>
      </c>
      <c r="F2874" s="34">
        <v>2598</v>
      </c>
      <c r="G2874" s="36">
        <f>Tabla16[[#This Row],[Importe]]-Tabla16[[#This Row],[Pagado]]</f>
        <v>0</v>
      </c>
      <c r="H2874" s="38" t="s">
        <v>10</v>
      </c>
    </row>
    <row r="2875" spans="1:8" x14ac:dyDescent="0.25">
      <c r="A2875" s="31">
        <v>44707</v>
      </c>
      <c r="B2875" s="38" t="s">
        <v>17074</v>
      </c>
      <c r="C2875" s="38" t="s">
        <v>22</v>
      </c>
      <c r="D2875" s="34">
        <v>49246.7</v>
      </c>
      <c r="E2875" s="35">
        <v>44709</v>
      </c>
      <c r="F2875" s="34">
        <v>49246.7</v>
      </c>
      <c r="G2875" s="36">
        <f>Tabla16[[#This Row],[Importe]]-Tabla16[[#This Row],[Pagado]]</f>
        <v>0</v>
      </c>
      <c r="H2875" s="38" t="s">
        <v>10</v>
      </c>
    </row>
    <row r="2876" spans="1:8" x14ac:dyDescent="0.25">
      <c r="A2876" s="31">
        <v>44707</v>
      </c>
      <c r="B2876" s="38" t="s">
        <v>17075</v>
      </c>
      <c r="C2876" s="38" t="s">
        <v>1302</v>
      </c>
      <c r="D2876" s="34">
        <v>8577.6</v>
      </c>
      <c r="E2876" s="35">
        <v>44707</v>
      </c>
      <c r="F2876" s="34">
        <v>8577.6</v>
      </c>
      <c r="G2876" s="36">
        <f>Tabla16[[#This Row],[Importe]]-Tabla16[[#This Row],[Pagado]]</f>
        <v>0</v>
      </c>
      <c r="H2876" s="38" t="s">
        <v>10</v>
      </c>
    </row>
    <row r="2877" spans="1:8" x14ac:dyDescent="0.25">
      <c r="A2877" s="31">
        <v>44707</v>
      </c>
      <c r="B2877" s="38" t="s">
        <v>17076</v>
      </c>
      <c r="C2877" s="38" t="s">
        <v>31</v>
      </c>
      <c r="D2877" s="34">
        <v>2251.5</v>
      </c>
      <c r="E2877" s="35">
        <v>44707</v>
      </c>
      <c r="F2877" s="34">
        <v>2251.5</v>
      </c>
      <c r="G2877" s="36">
        <f>Tabla16[[#This Row],[Importe]]-Tabla16[[#This Row],[Pagado]]</f>
        <v>0</v>
      </c>
      <c r="H2877" s="38" t="s">
        <v>10</v>
      </c>
    </row>
    <row r="2878" spans="1:8" x14ac:dyDescent="0.25">
      <c r="A2878" s="31">
        <v>44707</v>
      </c>
      <c r="B2878" s="38" t="s">
        <v>17077</v>
      </c>
      <c r="C2878" s="38" t="s">
        <v>17078</v>
      </c>
      <c r="D2878" s="34">
        <v>0</v>
      </c>
      <c r="E2878" s="39" t="s">
        <v>189</v>
      </c>
      <c r="F2878" s="34">
        <v>0</v>
      </c>
      <c r="G2878" s="36">
        <f>Tabla16[[#This Row],[Importe]]-Tabla16[[#This Row],[Pagado]]</f>
        <v>0</v>
      </c>
      <c r="H2878" s="38" t="s">
        <v>189</v>
      </c>
    </row>
    <row r="2879" spans="1:8" x14ac:dyDescent="0.25">
      <c r="A2879" s="31">
        <v>44707</v>
      </c>
      <c r="B2879" s="38" t="s">
        <v>17079</v>
      </c>
      <c r="C2879" s="38" t="s">
        <v>95</v>
      </c>
      <c r="D2879" s="34">
        <v>3978</v>
      </c>
      <c r="E2879" s="35">
        <v>44707</v>
      </c>
      <c r="F2879" s="34">
        <v>3978</v>
      </c>
      <c r="G2879" s="36">
        <f>Tabla16[[#This Row],[Importe]]-Tabla16[[#This Row],[Pagado]]</f>
        <v>0</v>
      </c>
      <c r="H2879" s="38" t="s">
        <v>10</v>
      </c>
    </row>
    <row r="2880" spans="1:8" x14ac:dyDescent="0.25">
      <c r="A2880" s="31">
        <v>44707</v>
      </c>
      <c r="B2880" s="38" t="s">
        <v>17080</v>
      </c>
      <c r="C2880" s="38" t="s">
        <v>1239</v>
      </c>
      <c r="D2880" s="34">
        <v>9207</v>
      </c>
      <c r="E2880" s="35">
        <v>44707</v>
      </c>
      <c r="F2880" s="34">
        <v>9207</v>
      </c>
      <c r="G2880" s="36">
        <f>Tabla16[[#This Row],[Importe]]-Tabla16[[#This Row],[Pagado]]</f>
        <v>0</v>
      </c>
      <c r="H2880" s="38" t="s">
        <v>10</v>
      </c>
    </row>
    <row r="2881" spans="1:8" x14ac:dyDescent="0.25">
      <c r="A2881" s="31">
        <v>44707</v>
      </c>
      <c r="B2881" s="38" t="s">
        <v>17081</v>
      </c>
      <c r="C2881" s="38" t="s">
        <v>9577</v>
      </c>
      <c r="D2881" s="34">
        <v>844.8</v>
      </c>
      <c r="E2881" s="35">
        <v>44707</v>
      </c>
      <c r="F2881" s="34">
        <v>844.8</v>
      </c>
      <c r="G2881" s="36">
        <f>Tabla16[[#This Row],[Importe]]-Tabla16[[#This Row],[Pagado]]</f>
        <v>0</v>
      </c>
      <c r="H2881" s="38" t="s">
        <v>10</v>
      </c>
    </row>
    <row r="2882" spans="1:8" x14ac:dyDescent="0.25">
      <c r="A2882" s="31">
        <v>44707</v>
      </c>
      <c r="B2882" s="38" t="s">
        <v>17082</v>
      </c>
      <c r="C2882" s="38" t="s">
        <v>357</v>
      </c>
      <c r="D2882" s="34">
        <v>2003.1</v>
      </c>
      <c r="E2882" s="35">
        <v>44707</v>
      </c>
      <c r="F2882" s="34">
        <v>2003.1</v>
      </c>
      <c r="G2882" s="36">
        <f>Tabla16[[#This Row],[Importe]]-Tabla16[[#This Row],[Pagado]]</f>
        <v>0</v>
      </c>
      <c r="H2882" s="38" t="s">
        <v>10</v>
      </c>
    </row>
    <row r="2883" spans="1:8" ht="31.5" x14ac:dyDescent="0.25">
      <c r="A2883" s="31">
        <v>44707</v>
      </c>
      <c r="B2883" s="38" t="s">
        <v>17083</v>
      </c>
      <c r="C2883" s="38" t="s">
        <v>7444</v>
      </c>
      <c r="D2883" s="34">
        <v>33484.699999999997</v>
      </c>
      <c r="E2883" s="35" t="s">
        <v>17777</v>
      </c>
      <c r="F2883" s="34">
        <f>13484.7+20000</f>
        <v>33484.699999999997</v>
      </c>
      <c r="G2883" s="36">
        <f>Tabla16[[#This Row],[Importe]]-Tabla16[[#This Row],[Pagado]]</f>
        <v>0</v>
      </c>
      <c r="H2883" s="38" t="s">
        <v>10</v>
      </c>
    </row>
    <row r="2884" spans="1:8" x14ac:dyDescent="0.25">
      <c r="A2884" s="31">
        <v>44707</v>
      </c>
      <c r="B2884" s="38" t="s">
        <v>17084</v>
      </c>
      <c r="C2884" s="38" t="s">
        <v>27</v>
      </c>
      <c r="D2884" s="34">
        <v>2580.1999999999998</v>
      </c>
      <c r="E2884" s="35">
        <v>44707</v>
      </c>
      <c r="F2884" s="34">
        <v>2580.1999999999998</v>
      </c>
      <c r="G2884" s="36">
        <f>Tabla16[[#This Row],[Importe]]-Tabla16[[#This Row],[Pagado]]</f>
        <v>0</v>
      </c>
      <c r="H2884" s="38" t="s">
        <v>10</v>
      </c>
    </row>
    <row r="2885" spans="1:8" x14ac:dyDescent="0.25">
      <c r="A2885" s="31">
        <v>44707</v>
      </c>
      <c r="B2885" s="38" t="s">
        <v>17085</v>
      </c>
      <c r="C2885" s="38" t="s">
        <v>2780</v>
      </c>
      <c r="D2885" s="34">
        <v>14189.2</v>
      </c>
      <c r="E2885" s="35">
        <v>44707</v>
      </c>
      <c r="F2885" s="34">
        <v>14189.2</v>
      </c>
      <c r="G2885" s="36">
        <f>Tabla16[[#This Row],[Importe]]-Tabla16[[#This Row],[Pagado]]</f>
        <v>0</v>
      </c>
      <c r="H2885" s="38" t="s">
        <v>10</v>
      </c>
    </row>
    <row r="2886" spans="1:8" x14ac:dyDescent="0.25">
      <c r="A2886" s="31">
        <v>44707</v>
      </c>
      <c r="B2886" s="38" t="s">
        <v>17086</v>
      </c>
      <c r="C2886" s="38" t="s">
        <v>605</v>
      </c>
      <c r="D2886" s="34">
        <v>42314.48</v>
      </c>
      <c r="E2886" s="35">
        <v>44707</v>
      </c>
      <c r="F2886" s="34">
        <v>42314.48</v>
      </c>
      <c r="G2886" s="36">
        <f>Tabla16[[#This Row],[Importe]]-Tabla16[[#This Row],[Pagado]]</f>
        <v>0</v>
      </c>
      <c r="H2886" s="38" t="s">
        <v>10</v>
      </c>
    </row>
    <row r="2887" spans="1:8" x14ac:dyDescent="0.25">
      <c r="A2887" s="31">
        <v>44707</v>
      </c>
      <c r="B2887" s="38" t="s">
        <v>17087</v>
      </c>
      <c r="C2887" s="38" t="s">
        <v>140</v>
      </c>
      <c r="D2887" s="34">
        <v>1822.8</v>
      </c>
      <c r="E2887" s="35">
        <v>44707</v>
      </c>
      <c r="F2887" s="34">
        <v>1822.8</v>
      </c>
      <c r="G2887" s="36">
        <f>Tabla16[[#This Row],[Importe]]-Tabla16[[#This Row],[Pagado]]</f>
        <v>0</v>
      </c>
      <c r="H2887" s="38" t="s">
        <v>10</v>
      </c>
    </row>
    <row r="2888" spans="1:8" x14ac:dyDescent="0.25">
      <c r="A2888" s="31">
        <v>44707</v>
      </c>
      <c r="B2888" s="38" t="s">
        <v>17088</v>
      </c>
      <c r="C2888" s="38" t="s">
        <v>2780</v>
      </c>
      <c r="D2888" s="34">
        <v>3438</v>
      </c>
      <c r="E2888" s="35">
        <v>44707</v>
      </c>
      <c r="F2888" s="34">
        <v>3438</v>
      </c>
      <c r="G2888" s="36">
        <f>Tabla16[[#This Row],[Importe]]-Tabla16[[#This Row],[Pagado]]</f>
        <v>0</v>
      </c>
      <c r="H2888" s="38" t="s">
        <v>10</v>
      </c>
    </row>
    <row r="2889" spans="1:8" x14ac:dyDescent="0.25">
      <c r="A2889" s="31">
        <v>44707</v>
      </c>
      <c r="B2889" s="38" t="s">
        <v>17089</v>
      </c>
      <c r="C2889" s="38" t="s">
        <v>17090</v>
      </c>
      <c r="D2889" s="34">
        <v>0</v>
      </c>
      <c r="E2889" s="39" t="s">
        <v>189</v>
      </c>
      <c r="F2889" s="34">
        <v>0</v>
      </c>
      <c r="G2889" s="36">
        <f>Tabla16[[#This Row],[Importe]]-Tabla16[[#This Row],[Pagado]]</f>
        <v>0</v>
      </c>
      <c r="H2889" s="38" t="s">
        <v>189</v>
      </c>
    </row>
    <row r="2890" spans="1:8" x14ac:dyDescent="0.25">
      <c r="A2890" s="31">
        <v>44707</v>
      </c>
      <c r="B2890" s="38" t="s">
        <v>17091</v>
      </c>
      <c r="C2890" s="38" t="s">
        <v>129</v>
      </c>
      <c r="D2890" s="34">
        <v>2097</v>
      </c>
      <c r="E2890" s="35">
        <v>44707</v>
      </c>
      <c r="F2890" s="34">
        <v>2097</v>
      </c>
      <c r="G2890" s="36">
        <f>Tabla16[[#This Row],[Importe]]-Tabla16[[#This Row],[Pagado]]</f>
        <v>0</v>
      </c>
      <c r="H2890" s="38" t="s">
        <v>10</v>
      </c>
    </row>
    <row r="2891" spans="1:8" x14ac:dyDescent="0.25">
      <c r="A2891" s="31">
        <v>44707</v>
      </c>
      <c r="B2891" s="38" t="s">
        <v>17092</v>
      </c>
      <c r="C2891" s="38" t="s">
        <v>339</v>
      </c>
      <c r="D2891" s="34">
        <v>465</v>
      </c>
      <c r="E2891" s="35">
        <v>44707</v>
      </c>
      <c r="F2891" s="34">
        <v>465</v>
      </c>
      <c r="G2891" s="36">
        <f>Tabla16[[#This Row],[Importe]]-Tabla16[[#This Row],[Pagado]]</f>
        <v>0</v>
      </c>
      <c r="H2891" s="38" t="s">
        <v>10</v>
      </c>
    </row>
    <row r="2892" spans="1:8" x14ac:dyDescent="0.25">
      <c r="A2892" s="31">
        <v>44707</v>
      </c>
      <c r="B2892" s="38" t="s">
        <v>17093</v>
      </c>
      <c r="C2892" s="38" t="s">
        <v>87</v>
      </c>
      <c r="D2892" s="34">
        <v>2372.4</v>
      </c>
      <c r="E2892" s="35">
        <v>44707</v>
      </c>
      <c r="F2892" s="34">
        <v>2372.4</v>
      </c>
      <c r="G2892" s="36">
        <f>Tabla16[[#This Row],[Importe]]-Tabla16[[#This Row],[Pagado]]</f>
        <v>0</v>
      </c>
      <c r="H2892" s="38" t="s">
        <v>10</v>
      </c>
    </row>
    <row r="2893" spans="1:8" x14ac:dyDescent="0.25">
      <c r="A2893" s="31">
        <v>44707</v>
      </c>
      <c r="B2893" s="38" t="s">
        <v>17094</v>
      </c>
      <c r="C2893" s="38" t="s">
        <v>230</v>
      </c>
      <c r="D2893" s="34">
        <v>6936.6</v>
      </c>
      <c r="E2893" s="35">
        <v>44707</v>
      </c>
      <c r="F2893" s="34">
        <v>6936.6</v>
      </c>
      <c r="G2893" s="36">
        <f>Tabla16[[#This Row],[Importe]]-Tabla16[[#This Row],[Pagado]]</f>
        <v>0</v>
      </c>
      <c r="H2893" s="38" t="s">
        <v>10</v>
      </c>
    </row>
    <row r="2894" spans="1:8" x14ac:dyDescent="0.25">
      <c r="A2894" s="31">
        <v>44707</v>
      </c>
      <c r="B2894" s="38" t="s">
        <v>17095</v>
      </c>
      <c r="C2894" s="38" t="s">
        <v>414</v>
      </c>
      <c r="D2894" s="34">
        <v>2870</v>
      </c>
      <c r="E2894" s="35">
        <v>44707</v>
      </c>
      <c r="F2894" s="34">
        <v>2870</v>
      </c>
      <c r="G2894" s="36">
        <f>Tabla16[[#This Row],[Importe]]-Tabla16[[#This Row],[Pagado]]</f>
        <v>0</v>
      </c>
      <c r="H2894" s="38" t="s">
        <v>10</v>
      </c>
    </row>
    <row r="2895" spans="1:8" x14ac:dyDescent="0.25">
      <c r="A2895" s="31">
        <v>44707</v>
      </c>
      <c r="B2895" s="38" t="s">
        <v>17096</v>
      </c>
      <c r="C2895" s="38" t="s">
        <v>4136</v>
      </c>
      <c r="D2895" s="34">
        <v>904.8</v>
      </c>
      <c r="E2895" s="35">
        <v>44707</v>
      </c>
      <c r="F2895" s="34">
        <v>904.8</v>
      </c>
      <c r="G2895" s="36">
        <f>Tabla16[[#This Row],[Importe]]-Tabla16[[#This Row],[Pagado]]</f>
        <v>0</v>
      </c>
      <c r="H2895" s="38" t="s">
        <v>10</v>
      </c>
    </row>
    <row r="2896" spans="1:8" x14ac:dyDescent="0.25">
      <c r="A2896" s="31">
        <v>44707</v>
      </c>
      <c r="B2896" s="38" t="s">
        <v>17097</v>
      </c>
      <c r="C2896" s="38" t="s">
        <v>647</v>
      </c>
      <c r="D2896" s="34">
        <v>6814.6</v>
      </c>
      <c r="E2896" s="35">
        <v>44707</v>
      </c>
      <c r="F2896" s="34">
        <v>6814.6</v>
      </c>
      <c r="G2896" s="36">
        <f>Tabla16[[#This Row],[Importe]]-Tabla16[[#This Row],[Pagado]]</f>
        <v>0</v>
      </c>
      <c r="H2896" s="38" t="s">
        <v>10</v>
      </c>
    </row>
    <row r="2897" spans="1:8" x14ac:dyDescent="0.25">
      <c r="A2897" s="31">
        <v>44707</v>
      </c>
      <c r="B2897" s="38" t="s">
        <v>17098</v>
      </c>
      <c r="C2897" s="38" t="s">
        <v>804</v>
      </c>
      <c r="D2897" s="34">
        <v>16990.849999999999</v>
      </c>
      <c r="E2897" s="35">
        <v>44707</v>
      </c>
      <c r="F2897" s="34">
        <v>16990.849999999999</v>
      </c>
      <c r="G2897" s="36">
        <f>Tabla16[[#This Row],[Importe]]-Tabla16[[#This Row],[Pagado]]</f>
        <v>0</v>
      </c>
      <c r="H2897" s="38" t="s">
        <v>10</v>
      </c>
    </row>
    <row r="2898" spans="1:8" x14ac:dyDescent="0.25">
      <c r="A2898" s="31">
        <v>44707</v>
      </c>
      <c r="B2898" s="38" t="s">
        <v>17099</v>
      </c>
      <c r="C2898" s="38" t="s">
        <v>4136</v>
      </c>
      <c r="D2898" s="34">
        <v>408.8</v>
      </c>
      <c r="E2898" s="35">
        <v>44707</v>
      </c>
      <c r="F2898" s="34">
        <v>408.8</v>
      </c>
      <c r="G2898" s="36">
        <f>Tabla16[[#This Row],[Importe]]-Tabla16[[#This Row],[Pagado]]</f>
        <v>0</v>
      </c>
      <c r="H2898" s="38" t="s">
        <v>10</v>
      </c>
    </row>
    <row r="2899" spans="1:8" x14ac:dyDescent="0.25">
      <c r="A2899" s="31">
        <v>44707</v>
      </c>
      <c r="B2899" s="38" t="s">
        <v>17100</v>
      </c>
      <c r="C2899" s="38" t="s">
        <v>75</v>
      </c>
      <c r="D2899" s="34">
        <v>5610</v>
      </c>
      <c r="E2899" s="35">
        <v>44707</v>
      </c>
      <c r="F2899" s="34">
        <v>5610</v>
      </c>
      <c r="G2899" s="36">
        <f>Tabla16[[#This Row],[Importe]]-Tabla16[[#This Row],[Pagado]]</f>
        <v>0</v>
      </c>
      <c r="H2899" s="38" t="s">
        <v>10</v>
      </c>
    </row>
    <row r="2900" spans="1:8" x14ac:dyDescent="0.25">
      <c r="A2900" s="31">
        <v>44707</v>
      </c>
      <c r="B2900" s="38" t="s">
        <v>17101</v>
      </c>
      <c r="C2900" s="38" t="s">
        <v>698</v>
      </c>
      <c r="D2900" s="34">
        <v>4580.6000000000004</v>
      </c>
      <c r="E2900" s="35">
        <v>44707</v>
      </c>
      <c r="F2900" s="34">
        <v>4580.6000000000004</v>
      </c>
      <c r="G2900" s="36">
        <f>Tabla16[[#This Row],[Importe]]-Tabla16[[#This Row],[Pagado]]</f>
        <v>0</v>
      </c>
      <c r="H2900" s="38" t="s">
        <v>10</v>
      </c>
    </row>
    <row r="2901" spans="1:8" x14ac:dyDescent="0.25">
      <c r="A2901" s="31">
        <v>44707</v>
      </c>
      <c r="B2901" s="38" t="s">
        <v>17102</v>
      </c>
      <c r="C2901" s="38" t="s">
        <v>31</v>
      </c>
      <c r="D2901" s="34">
        <v>3542</v>
      </c>
      <c r="E2901" s="35">
        <v>44707</v>
      </c>
      <c r="F2901" s="34">
        <v>3542</v>
      </c>
      <c r="G2901" s="36">
        <f>Tabla16[[#This Row],[Importe]]-Tabla16[[#This Row],[Pagado]]</f>
        <v>0</v>
      </c>
      <c r="H2901" s="38" t="s">
        <v>10</v>
      </c>
    </row>
    <row r="2902" spans="1:8" x14ac:dyDescent="0.25">
      <c r="A2902" s="31">
        <v>44707</v>
      </c>
      <c r="B2902" s="38" t="s">
        <v>17103</v>
      </c>
      <c r="C2902" s="38" t="s">
        <v>56</v>
      </c>
      <c r="D2902" s="34">
        <v>6359.4</v>
      </c>
      <c r="E2902" s="35">
        <v>44707</v>
      </c>
      <c r="F2902" s="34">
        <v>6359.4</v>
      </c>
      <c r="G2902" s="36">
        <f>Tabla16[[#This Row],[Importe]]-Tabla16[[#This Row],[Pagado]]</f>
        <v>0</v>
      </c>
      <c r="H2902" s="38" t="s">
        <v>10</v>
      </c>
    </row>
    <row r="2903" spans="1:8" x14ac:dyDescent="0.25">
      <c r="A2903" s="31">
        <v>44707</v>
      </c>
      <c r="B2903" s="38" t="s">
        <v>17104</v>
      </c>
      <c r="C2903" s="38" t="s">
        <v>5906</v>
      </c>
      <c r="D2903" s="34">
        <v>5940.8</v>
      </c>
      <c r="E2903" s="35">
        <v>44708</v>
      </c>
      <c r="F2903" s="34">
        <v>5940.8</v>
      </c>
      <c r="G2903" s="36">
        <f>Tabla16[[#This Row],[Importe]]-Tabla16[[#This Row],[Pagado]]</f>
        <v>0</v>
      </c>
      <c r="H2903" s="38" t="s">
        <v>10</v>
      </c>
    </row>
    <row r="2904" spans="1:8" x14ac:dyDescent="0.25">
      <c r="A2904" s="31">
        <v>44707</v>
      </c>
      <c r="B2904" s="38" t="s">
        <v>17105</v>
      </c>
      <c r="C2904" s="38" t="s">
        <v>157</v>
      </c>
      <c r="D2904" s="34">
        <v>4952.8</v>
      </c>
      <c r="E2904" s="35">
        <v>44708</v>
      </c>
      <c r="F2904" s="34">
        <v>4952.8</v>
      </c>
      <c r="G2904" s="36">
        <f>Tabla16[[#This Row],[Importe]]-Tabla16[[#This Row],[Pagado]]</f>
        <v>0</v>
      </c>
      <c r="H2904" s="38" t="s">
        <v>10</v>
      </c>
    </row>
    <row r="2905" spans="1:8" x14ac:dyDescent="0.25">
      <c r="A2905" s="31">
        <v>44707</v>
      </c>
      <c r="B2905" s="38" t="s">
        <v>17106</v>
      </c>
      <c r="C2905" s="38" t="s">
        <v>380</v>
      </c>
      <c r="D2905" s="34">
        <v>8237.2000000000007</v>
      </c>
      <c r="E2905" s="35">
        <v>44708</v>
      </c>
      <c r="F2905" s="34">
        <v>8237.2000000000007</v>
      </c>
      <c r="G2905" s="36">
        <f>Tabla16[[#This Row],[Importe]]-Tabla16[[#This Row],[Pagado]]</f>
        <v>0</v>
      </c>
      <c r="H2905" s="38" t="s">
        <v>10</v>
      </c>
    </row>
    <row r="2906" spans="1:8" x14ac:dyDescent="0.25">
      <c r="A2906" s="31">
        <v>44707</v>
      </c>
      <c r="B2906" s="38" t="s">
        <v>17107</v>
      </c>
      <c r="C2906" s="38" t="s">
        <v>8721</v>
      </c>
      <c r="D2906" s="34">
        <v>0</v>
      </c>
      <c r="E2906" s="39" t="s">
        <v>189</v>
      </c>
      <c r="F2906" s="34">
        <v>0</v>
      </c>
      <c r="G2906" s="36">
        <f>Tabla16[[#This Row],[Importe]]-Tabla16[[#This Row],[Pagado]]</f>
        <v>0</v>
      </c>
      <c r="H2906" s="38" t="s">
        <v>189</v>
      </c>
    </row>
    <row r="2907" spans="1:8" x14ac:dyDescent="0.25">
      <c r="A2907" s="31">
        <v>44707</v>
      </c>
      <c r="B2907" s="38" t="s">
        <v>17108</v>
      </c>
      <c r="C2907" s="38" t="s">
        <v>53</v>
      </c>
      <c r="D2907" s="34">
        <v>1640.9</v>
      </c>
      <c r="E2907" s="35">
        <v>44707</v>
      </c>
      <c r="F2907" s="34">
        <v>1640.9</v>
      </c>
      <c r="G2907" s="36">
        <f>Tabla16[[#This Row],[Importe]]-Tabla16[[#This Row],[Pagado]]</f>
        <v>0</v>
      </c>
      <c r="H2907" s="38" t="s">
        <v>10</v>
      </c>
    </row>
    <row r="2908" spans="1:8" x14ac:dyDescent="0.25">
      <c r="A2908" s="31">
        <v>44707</v>
      </c>
      <c r="B2908" s="38" t="s">
        <v>17109</v>
      </c>
      <c r="C2908" s="38" t="s">
        <v>518</v>
      </c>
      <c r="D2908" s="34">
        <v>990</v>
      </c>
      <c r="E2908" s="35">
        <v>44708</v>
      </c>
      <c r="F2908" s="34">
        <v>990</v>
      </c>
      <c r="G2908" s="36">
        <f>Tabla16[[#This Row],[Importe]]-Tabla16[[#This Row],[Pagado]]</f>
        <v>0</v>
      </c>
      <c r="H2908" s="38" t="s">
        <v>10</v>
      </c>
    </row>
    <row r="2909" spans="1:8" x14ac:dyDescent="0.25">
      <c r="A2909" s="31">
        <v>44707</v>
      </c>
      <c r="B2909" s="38" t="s">
        <v>17110</v>
      </c>
      <c r="C2909" s="38" t="s">
        <v>214</v>
      </c>
      <c r="D2909" s="34">
        <v>1188</v>
      </c>
      <c r="E2909" s="35">
        <v>44707</v>
      </c>
      <c r="F2909" s="34">
        <v>1188</v>
      </c>
      <c r="G2909" s="36">
        <f>Tabla16[[#This Row],[Importe]]-Tabla16[[#This Row],[Pagado]]</f>
        <v>0</v>
      </c>
      <c r="H2909" s="38" t="s">
        <v>10</v>
      </c>
    </row>
    <row r="2910" spans="1:8" x14ac:dyDescent="0.25">
      <c r="A2910" s="31">
        <v>44707</v>
      </c>
      <c r="B2910" s="38" t="s">
        <v>17111</v>
      </c>
      <c r="C2910" s="38" t="s">
        <v>191</v>
      </c>
      <c r="D2910" s="34">
        <v>3135.6</v>
      </c>
      <c r="E2910" s="35">
        <v>44707</v>
      </c>
      <c r="F2910" s="34">
        <v>3135.6</v>
      </c>
      <c r="G2910" s="36">
        <f>Tabla16[[#This Row],[Importe]]-Tabla16[[#This Row],[Pagado]]</f>
        <v>0</v>
      </c>
      <c r="H2910" s="38" t="s">
        <v>10</v>
      </c>
    </row>
    <row r="2911" spans="1:8" x14ac:dyDescent="0.25">
      <c r="A2911" s="31">
        <v>44707</v>
      </c>
      <c r="B2911" s="38" t="s">
        <v>17112</v>
      </c>
      <c r="C2911" s="38" t="s">
        <v>473</v>
      </c>
      <c r="D2911" s="34">
        <v>5260.8</v>
      </c>
      <c r="E2911" s="35">
        <v>44707</v>
      </c>
      <c r="F2911" s="34">
        <v>5260.8</v>
      </c>
      <c r="G2911" s="36">
        <f>Tabla16[[#This Row],[Importe]]-Tabla16[[#This Row],[Pagado]]</f>
        <v>0</v>
      </c>
      <c r="H2911" s="38" t="s">
        <v>10</v>
      </c>
    </row>
    <row r="2912" spans="1:8" x14ac:dyDescent="0.25">
      <c r="A2912" s="31">
        <v>44707</v>
      </c>
      <c r="B2912" s="38" t="s">
        <v>17113</v>
      </c>
      <c r="C2912" s="38" t="s">
        <v>17114</v>
      </c>
      <c r="D2912" s="34">
        <v>0</v>
      </c>
      <c r="E2912" s="39" t="s">
        <v>189</v>
      </c>
      <c r="F2912" s="34">
        <v>0</v>
      </c>
      <c r="G2912" s="36">
        <f>Tabla16[[#This Row],[Importe]]-Tabla16[[#This Row],[Pagado]]</f>
        <v>0</v>
      </c>
      <c r="H2912" s="38" t="s">
        <v>189</v>
      </c>
    </row>
    <row r="2913" spans="1:8" x14ac:dyDescent="0.25">
      <c r="A2913" s="31">
        <v>44707</v>
      </c>
      <c r="B2913" s="38" t="s">
        <v>17115</v>
      </c>
      <c r="C2913" s="38" t="s">
        <v>175</v>
      </c>
      <c r="D2913" s="34">
        <v>30715.599999999999</v>
      </c>
      <c r="E2913" s="35">
        <v>44707</v>
      </c>
      <c r="F2913" s="34">
        <v>30715.599999999999</v>
      </c>
      <c r="G2913" s="36">
        <f>Tabla16[[#This Row],[Importe]]-Tabla16[[#This Row],[Pagado]]</f>
        <v>0</v>
      </c>
      <c r="H2913" s="38" t="s">
        <v>10</v>
      </c>
    </row>
    <row r="2914" spans="1:8" x14ac:dyDescent="0.25">
      <c r="A2914" s="31">
        <v>44707</v>
      </c>
      <c r="B2914" s="38" t="s">
        <v>17116</v>
      </c>
      <c r="C2914" s="38" t="s">
        <v>681</v>
      </c>
      <c r="D2914" s="34">
        <v>4.0599999999999996</v>
      </c>
      <c r="E2914" s="35">
        <v>44711</v>
      </c>
      <c r="F2914" s="34">
        <v>4.0599999999999996</v>
      </c>
      <c r="G2914" s="36">
        <f>Tabla16[[#This Row],[Importe]]-Tabla16[[#This Row],[Pagado]]</f>
        <v>0</v>
      </c>
      <c r="H2914" s="38" t="s">
        <v>10</v>
      </c>
    </row>
    <row r="2915" spans="1:8" x14ac:dyDescent="0.25">
      <c r="A2915" s="31">
        <v>44707</v>
      </c>
      <c r="B2915" s="38" t="s">
        <v>17117</v>
      </c>
      <c r="C2915" s="38" t="s">
        <v>85</v>
      </c>
      <c r="D2915" s="34">
        <v>2568.1999999999998</v>
      </c>
      <c r="E2915" s="35">
        <v>44707</v>
      </c>
      <c r="F2915" s="34">
        <v>2568.1999999999998</v>
      </c>
      <c r="G2915" s="36">
        <f>Tabla16[[#This Row],[Importe]]-Tabla16[[#This Row],[Pagado]]</f>
        <v>0</v>
      </c>
      <c r="H2915" s="38" t="s">
        <v>10</v>
      </c>
    </row>
    <row r="2916" spans="1:8" x14ac:dyDescent="0.25">
      <c r="A2916" s="31">
        <v>44707</v>
      </c>
      <c r="B2916" s="38" t="s">
        <v>17118</v>
      </c>
      <c r="C2916" s="38" t="s">
        <v>1505</v>
      </c>
      <c r="D2916" s="34">
        <v>4509.3999999999996</v>
      </c>
      <c r="E2916" s="35">
        <v>44707</v>
      </c>
      <c r="F2916" s="34">
        <v>4509.3999999999996</v>
      </c>
      <c r="G2916" s="36">
        <f>Tabla16[[#This Row],[Importe]]-Tabla16[[#This Row],[Pagado]]</f>
        <v>0</v>
      </c>
      <c r="H2916" s="38" t="s">
        <v>10</v>
      </c>
    </row>
    <row r="2917" spans="1:8" x14ac:dyDescent="0.25">
      <c r="A2917" s="31">
        <v>44707</v>
      </c>
      <c r="B2917" s="38" t="s">
        <v>17119</v>
      </c>
      <c r="C2917" s="38" t="s">
        <v>222</v>
      </c>
      <c r="D2917" s="34">
        <v>8168.7</v>
      </c>
      <c r="E2917" s="35">
        <v>44707</v>
      </c>
      <c r="F2917" s="34">
        <v>8168.7</v>
      </c>
      <c r="G2917" s="36">
        <f>Tabla16[[#This Row],[Importe]]-Tabla16[[#This Row],[Pagado]]</f>
        <v>0</v>
      </c>
      <c r="H2917" s="38" t="s">
        <v>10</v>
      </c>
    </row>
    <row r="2918" spans="1:8" x14ac:dyDescent="0.25">
      <c r="A2918" s="31">
        <v>44707</v>
      </c>
      <c r="B2918" s="38" t="s">
        <v>17120</v>
      </c>
      <c r="C2918" s="38" t="s">
        <v>151</v>
      </c>
      <c r="D2918" s="34">
        <v>17808.3</v>
      </c>
      <c r="E2918" s="35">
        <v>44708</v>
      </c>
      <c r="F2918" s="34">
        <v>17808.3</v>
      </c>
      <c r="G2918" s="36">
        <f>Tabla16[[#This Row],[Importe]]-Tabla16[[#This Row],[Pagado]]</f>
        <v>0</v>
      </c>
      <c r="H2918" s="38" t="s">
        <v>10</v>
      </c>
    </row>
    <row r="2919" spans="1:8" x14ac:dyDescent="0.25">
      <c r="A2919" s="31">
        <v>44707</v>
      </c>
      <c r="B2919" s="38" t="s">
        <v>17121</v>
      </c>
      <c r="C2919" s="38" t="s">
        <v>520</v>
      </c>
      <c r="D2919" s="34">
        <v>20049.2</v>
      </c>
      <c r="E2919" s="35">
        <v>44708</v>
      </c>
      <c r="F2919" s="34">
        <v>20049.2</v>
      </c>
      <c r="G2919" s="36">
        <f>Tabla16[[#This Row],[Importe]]-Tabla16[[#This Row],[Pagado]]</f>
        <v>0</v>
      </c>
      <c r="H2919" s="38" t="s">
        <v>10</v>
      </c>
    </row>
    <row r="2920" spans="1:8" x14ac:dyDescent="0.25">
      <c r="A2920" s="31">
        <v>44707</v>
      </c>
      <c r="B2920" s="38" t="s">
        <v>17122</v>
      </c>
      <c r="C2920" s="38" t="s">
        <v>45</v>
      </c>
      <c r="D2920" s="34">
        <v>13299.4</v>
      </c>
      <c r="E2920" s="35">
        <v>44707</v>
      </c>
      <c r="F2920" s="34">
        <v>13299.4</v>
      </c>
      <c r="G2920" s="36">
        <f>Tabla16[[#This Row],[Importe]]-Tabla16[[#This Row],[Pagado]]</f>
        <v>0</v>
      </c>
      <c r="H2920" s="38" t="s">
        <v>10</v>
      </c>
    </row>
    <row r="2921" spans="1:8" x14ac:dyDescent="0.25">
      <c r="A2921" s="31">
        <v>44707</v>
      </c>
      <c r="B2921" s="38" t="s">
        <v>17123</v>
      </c>
      <c r="C2921" s="38" t="s">
        <v>312</v>
      </c>
      <c r="D2921" s="34">
        <v>5994.2</v>
      </c>
      <c r="E2921" s="35">
        <v>44707</v>
      </c>
      <c r="F2921" s="34">
        <v>5994.2</v>
      </c>
      <c r="G2921" s="36">
        <f>Tabla16[[#This Row],[Importe]]-Tabla16[[#This Row],[Pagado]]</f>
        <v>0</v>
      </c>
      <c r="H2921" s="38" t="s">
        <v>10</v>
      </c>
    </row>
    <row r="2922" spans="1:8" x14ac:dyDescent="0.25">
      <c r="A2922" s="31">
        <v>44707</v>
      </c>
      <c r="B2922" s="38" t="s">
        <v>17124</v>
      </c>
      <c r="C2922" s="38" t="s">
        <v>79</v>
      </c>
      <c r="D2922" s="34">
        <v>6138</v>
      </c>
      <c r="E2922" s="35">
        <v>44708</v>
      </c>
      <c r="F2922" s="34">
        <v>6138</v>
      </c>
      <c r="G2922" s="36">
        <f>Tabla16[[#This Row],[Importe]]-Tabla16[[#This Row],[Pagado]]</f>
        <v>0</v>
      </c>
      <c r="H2922" s="38" t="s">
        <v>10</v>
      </c>
    </row>
    <row r="2923" spans="1:8" x14ac:dyDescent="0.25">
      <c r="A2923" s="31">
        <v>44707</v>
      </c>
      <c r="B2923" s="38" t="s">
        <v>17125</v>
      </c>
      <c r="C2923" s="38" t="s">
        <v>426</v>
      </c>
      <c r="D2923" s="34">
        <v>2537.6</v>
      </c>
      <c r="E2923" s="35">
        <v>44707</v>
      </c>
      <c r="F2923" s="34">
        <v>2537.6</v>
      </c>
      <c r="G2923" s="36">
        <f>Tabla16[[#This Row],[Importe]]-Tabla16[[#This Row],[Pagado]]</f>
        <v>0</v>
      </c>
      <c r="H2923" s="38" t="s">
        <v>10</v>
      </c>
    </row>
    <row r="2924" spans="1:8" x14ac:dyDescent="0.25">
      <c r="A2924" s="31">
        <v>44707</v>
      </c>
      <c r="B2924" s="38" t="s">
        <v>17126</v>
      </c>
      <c r="C2924" s="38" t="s">
        <v>319</v>
      </c>
      <c r="D2924" s="34">
        <v>1307.2</v>
      </c>
      <c r="E2924" s="35">
        <v>44708</v>
      </c>
      <c r="F2924" s="34">
        <v>1307.2</v>
      </c>
      <c r="G2924" s="36">
        <f>Tabla16[[#This Row],[Importe]]-Tabla16[[#This Row],[Pagado]]</f>
        <v>0</v>
      </c>
      <c r="H2924" s="38" t="s">
        <v>10</v>
      </c>
    </row>
    <row r="2925" spans="1:8" x14ac:dyDescent="0.25">
      <c r="A2925" s="31">
        <v>44707</v>
      </c>
      <c r="B2925" s="38" t="s">
        <v>17127</v>
      </c>
      <c r="C2925" s="38" t="s">
        <v>359</v>
      </c>
      <c r="D2925" s="34">
        <v>1805.3</v>
      </c>
      <c r="E2925" s="35">
        <v>44707</v>
      </c>
      <c r="F2925" s="34">
        <v>1805.3</v>
      </c>
      <c r="G2925" s="36">
        <f>Tabla16[[#This Row],[Importe]]-Tabla16[[#This Row],[Pagado]]</f>
        <v>0</v>
      </c>
      <c r="H2925" s="38" t="s">
        <v>10</v>
      </c>
    </row>
    <row r="2926" spans="1:8" x14ac:dyDescent="0.25">
      <c r="A2926" s="31">
        <v>44707</v>
      </c>
      <c r="B2926" s="38" t="s">
        <v>17128</v>
      </c>
      <c r="C2926" s="38" t="s">
        <v>618</v>
      </c>
      <c r="D2926" s="34">
        <v>12859</v>
      </c>
      <c r="E2926" s="35">
        <v>44707</v>
      </c>
      <c r="F2926" s="34">
        <v>12859</v>
      </c>
      <c r="G2926" s="36">
        <f>Tabla16[[#This Row],[Importe]]-Tabla16[[#This Row],[Pagado]]</f>
        <v>0</v>
      </c>
      <c r="H2926" s="38" t="s">
        <v>10</v>
      </c>
    </row>
    <row r="2927" spans="1:8" x14ac:dyDescent="0.25">
      <c r="A2927" s="31">
        <v>44707</v>
      </c>
      <c r="B2927" s="38" t="s">
        <v>17129</v>
      </c>
      <c r="C2927" s="38" t="s">
        <v>857</v>
      </c>
      <c r="D2927" s="34">
        <v>603.6</v>
      </c>
      <c r="E2927" s="35">
        <v>44707</v>
      </c>
      <c r="F2927" s="34">
        <v>603.6</v>
      </c>
      <c r="G2927" s="36">
        <f>Tabla16[[#This Row],[Importe]]-Tabla16[[#This Row],[Pagado]]</f>
        <v>0</v>
      </c>
      <c r="H2927" s="38" t="s">
        <v>10</v>
      </c>
    </row>
    <row r="2928" spans="1:8" x14ac:dyDescent="0.25">
      <c r="A2928" s="31">
        <v>44707</v>
      </c>
      <c r="B2928" s="38" t="s">
        <v>17130</v>
      </c>
      <c r="C2928" s="38" t="s">
        <v>224</v>
      </c>
      <c r="D2928" s="34">
        <v>1191.2</v>
      </c>
      <c r="E2928" s="35">
        <v>44707</v>
      </c>
      <c r="F2928" s="34">
        <v>1191.2</v>
      </c>
      <c r="G2928" s="36">
        <f>Tabla16[[#This Row],[Importe]]-Tabla16[[#This Row],[Pagado]]</f>
        <v>0</v>
      </c>
      <c r="H2928" s="38" t="s">
        <v>10</v>
      </c>
    </row>
    <row r="2929" spans="1:8" x14ac:dyDescent="0.25">
      <c r="A2929" s="31">
        <v>44707</v>
      </c>
      <c r="B2929" s="38" t="s">
        <v>17131</v>
      </c>
      <c r="C2929" s="38" t="s">
        <v>392</v>
      </c>
      <c r="D2929" s="34">
        <v>18143.2</v>
      </c>
      <c r="E2929" s="35">
        <v>44714</v>
      </c>
      <c r="F2929" s="34">
        <v>18143.2</v>
      </c>
      <c r="G2929" s="36">
        <f>Tabla16[[#This Row],[Importe]]-Tabla16[[#This Row],[Pagado]]</f>
        <v>0</v>
      </c>
      <c r="H2929" s="38" t="s">
        <v>10</v>
      </c>
    </row>
    <row r="2930" spans="1:8" x14ac:dyDescent="0.25">
      <c r="A2930" s="31">
        <v>44707</v>
      </c>
      <c r="B2930" s="38" t="s">
        <v>17132</v>
      </c>
      <c r="C2930" s="38" t="s">
        <v>15039</v>
      </c>
      <c r="D2930" s="34">
        <v>4316</v>
      </c>
      <c r="E2930" s="35">
        <v>44707</v>
      </c>
      <c r="F2930" s="34">
        <v>4316</v>
      </c>
      <c r="G2930" s="36">
        <f>Tabla16[[#This Row],[Importe]]-Tabla16[[#This Row],[Pagado]]</f>
        <v>0</v>
      </c>
      <c r="H2930" s="38" t="s">
        <v>10</v>
      </c>
    </row>
    <row r="2931" spans="1:8" x14ac:dyDescent="0.25">
      <c r="A2931" s="31">
        <v>44707</v>
      </c>
      <c r="B2931" s="38" t="s">
        <v>17133</v>
      </c>
      <c r="C2931" s="38" t="s">
        <v>10678</v>
      </c>
      <c r="D2931" s="34">
        <v>3974.4</v>
      </c>
      <c r="E2931" s="35">
        <v>44707</v>
      </c>
      <c r="F2931" s="34">
        <v>3974.4</v>
      </c>
      <c r="G2931" s="36">
        <f>Tabla16[[#This Row],[Importe]]-Tabla16[[#This Row],[Pagado]]</f>
        <v>0</v>
      </c>
      <c r="H2931" s="38" t="s">
        <v>10</v>
      </c>
    </row>
    <row r="2932" spans="1:8" x14ac:dyDescent="0.25">
      <c r="A2932" s="31">
        <v>44707</v>
      </c>
      <c r="B2932" s="38" t="s">
        <v>17134</v>
      </c>
      <c r="C2932" s="38" t="s">
        <v>43</v>
      </c>
      <c r="D2932" s="34">
        <v>86485.98</v>
      </c>
      <c r="E2932" s="35">
        <v>44723</v>
      </c>
      <c r="F2932" s="34">
        <v>86485.98</v>
      </c>
      <c r="G2932" s="36">
        <f>Tabla16[[#This Row],[Importe]]-Tabla16[[#This Row],[Pagado]]</f>
        <v>0</v>
      </c>
      <c r="H2932" s="38" t="s">
        <v>10</v>
      </c>
    </row>
    <row r="2933" spans="1:8" x14ac:dyDescent="0.25">
      <c r="A2933" s="31">
        <v>44707</v>
      </c>
      <c r="B2933" s="38" t="s">
        <v>17135</v>
      </c>
      <c r="C2933" s="38" t="s">
        <v>1558</v>
      </c>
      <c r="D2933" s="34">
        <v>811.8</v>
      </c>
      <c r="E2933" s="35">
        <v>44707</v>
      </c>
      <c r="F2933" s="34">
        <v>811.8</v>
      </c>
      <c r="G2933" s="36">
        <f>Tabla16[[#This Row],[Importe]]-Tabla16[[#This Row],[Pagado]]</f>
        <v>0</v>
      </c>
      <c r="H2933" s="38" t="s">
        <v>10</v>
      </c>
    </row>
    <row r="2934" spans="1:8" x14ac:dyDescent="0.25">
      <c r="A2934" s="31">
        <v>44707</v>
      </c>
      <c r="B2934" s="38" t="s">
        <v>17136</v>
      </c>
      <c r="C2934" s="38" t="s">
        <v>419</v>
      </c>
      <c r="D2934" s="34">
        <v>5567.1</v>
      </c>
      <c r="E2934" s="35">
        <v>44707</v>
      </c>
      <c r="F2934" s="34">
        <v>5567.1</v>
      </c>
      <c r="G2934" s="36">
        <f>Tabla16[[#This Row],[Importe]]-Tabla16[[#This Row],[Pagado]]</f>
        <v>0</v>
      </c>
      <c r="H2934" s="38" t="s">
        <v>10</v>
      </c>
    </row>
    <row r="2935" spans="1:8" x14ac:dyDescent="0.25">
      <c r="A2935" s="31">
        <v>44707</v>
      </c>
      <c r="B2935" s="38" t="s">
        <v>17137</v>
      </c>
      <c r="C2935" s="38" t="s">
        <v>31</v>
      </c>
      <c r="D2935" s="34">
        <v>600</v>
      </c>
      <c r="E2935" s="35">
        <v>44707</v>
      </c>
      <c r="F2935" s="34">
        <v>600</v>
      </c>
      <c r="G2935" s="36">
        <f>Tabla16[[#This Row],[Importe]]-Tabla16[[#This Row],[Pagado]]</f>
        <v>0</v>
      </c>
      <c r="H2935" s="38" t="s">
        <v>10</v>
      </c>
    </row>
    <row r="2936" spans="1:8" x14ac:dyDescent="0.25">
      <c r="A2936" s="31">
        <v>44707</v>
      </c>
      <c r="B2936" s="38" t="s">
        <v>17138</v>
      </c>
      <c r="C2936" s="38" t="s">
        <v>670</v>
      </c>
      <c r="D2936" s="34">
        <v>4179.2</v>
      </c>
      <c r="E2936" s="35">
        <v>44707</v>
      </c>
      <c r="F2936" s="34">
        <v>4179.2</v>
      </c>
      <c r="G2936" s="36">
        <f>Tabla16[[#This Row],[Importe]]-Tabla16[[#This Row],[Pagado]]</f>
        <v>0</v>
      </c>
      <c r="H2936" s="38" t="s">
        <v>10</v>
      </c>
    </row>
    <row r="2937" spans="1:8" x14ac:dyDescent="0.25">
      <c r="A2937" s="31">
        <v>44707</v>
      </c>
      <c r="B2937" s="38" t="s">
        <v>17139</v>
      </c>
      <c r="C2937" s="38" t="s">
        <v>9827</v>
      </c>
      <c r="D2937" s="34">
        <v>3012</v>
      </c>
      <c r="E2937" s="35">
        <v>44707</v>
      </c>
      <c r="F2937" s="34">
        <v>3012</v>
      </c>
      <c r="G2937" s="36">
        <f>Tabla16[[#This Row],[Importe]]-Tabla16[[#This Row],[Pagado]]</f>
        <v>0</v>
      </c>
      <c r="H2937" s="38" t="s">
        <v>10</v>
      </c>
    </row>
    <row r="2938" spans="1:8" x14ac:dyDescent="0.25">
      <c r="A2938" s="31">
        <v>44707</v>
      </c>
      <c r="B2938" s="38" t="s">
        <v>17140</v>
      </c>
      <c r="C2938" s="38" t="s">
        <v>58</v>
      </c>
      <c r="D2938" s="34">
        <v>4783.3</v>
      </c>
      <c r="E2938" s="35">
        <v>44707</v>
      </c>
      <c r="F2938" s="34">
        <v>4783.3</v>
      </c>
      <c r="G2938" s="36">
        <f>Tabla16[[#This Row],[Importe]]-Tabla16[[#This Row],[Pagado]]</f>
        <v>0</v>
      </c>
      <c r="H2938" s="38" t="s">
        <v>10</v>
      </c>
    </row>
    <row r="2939" spans="1:8" x14ac:dyDescent="0.25">
      <c r="A2939" s="31">
        <v>44707</v>
      </c>
      <c r="B2939" s="38" t="s">
        <v>17141</v>
      </c>
      <c r="C2939" s="38" t="s">
        <v>60</v>
      </c>
      <c r="D2939" s="34">
        <v>1264.3</v>
      </c>
      <c r="E2939" s="35">
        <v>44707</v>
      </c>
      <c r="F2939" s="34">
        <v>1264.3</v>
      </c>
      <c r="G2939" s="36">
        <f>Tabla16[[#This Row],[Importe]]-Tabla16[[#This Row],[Pagado]]</f>
        <v>0</v>
      </c>
      <c r="H2939" s="38" t="s">
        <v>10</v>
      </c>
    </row>
    <row r="2940" spans="1:8" x14ac:dyDescent="0.25">
      <c r="A2940" s="31">
        <v>44707</v>
      </c>
      <c r="B2940" s="38" t="s">
        <v>17142</v>
      </c>
      <c r="C2940" s="38" t="s">
        <v>16</v>
      </c>
      <c r="D2940" s="34">
        <v>2225.4</v>
      </c>
      <c r="E2940" s="35">
        <v>44707</v>
      </c>
      <c r="F2940" s="34">
        <v>2225.4</v>
      </c>
      <c r="G2940" s="36">
        <f>Tabla16[[#This Row],[Importe]]-Tabla16[[#This Row],[Pagado]]</f>
        <v>0</v>
      </c>
      <c r="H2940" s="38" t="s">
        <v>10</v>
      </c>
    </row>
    <row r="2941" spans="1:8" x14ac:dyDescent="0.25">
      <c r="A2941" s="31">
        <v>44707</v>
      </c>
      <c r="B2941" s="38" t="s">
        <v>17143</v>
      </c>
      <c r="C2941" s="38" t="s">
        <v>31</v>
      </c>
      <c r="D2941" s="34">
        <v>1238.5</v>
      </c>
      <c r="E2941" s="35">
        <v>44707</v>
      </c>
      <c r="F2941" s="34">
        <v>1238.5</v>
      </c>
      <c r="G2941" s="36">
        <f>Tabla16[[#This Row],[Importe]]-Tabla16[[#This Row],[Pagado]]</f>
        <v>0</v>
      </c>
      <c r="H2941" s="38" t="s">
        <v>10</v>
      </c>
    </row>
    <row r="2942" spans="1:8" x14ac:dyDescent="0.25">
      <c r="A2942" s="31">
        <v>44707</v>
      </c>
      <c r="B2942" s="38" t="s">
        <v>17144</v>
      </c>
      <c r="C2942" s="38" t="s">
        <v>31</v>
      </c>
      <c r="D2942" s="34">
        <v>417</v>
      </c>
      <c r="E2942" s="35">
        <v>44707</v>
      </c>
      <c r="F2942" s="34">
        <v>417</v>
      </c>
      <c r="G2942" s="36">
        <f>Tabla16[[#This Row],[Importe]]-Tabla16[[#This Row],[Pagado]]</f>
        <v>0</v>
      </c>
      <c r="H2942" s="38" t="s">
        <v>10</v>
      </c>
    </row>
    <row r="2943" spans="1:8" x14ac:dyDescent="0.25">
      <c r="A2943" s="31">
        <v>44707</v>
      </c>
      <c r="B2943" s="38" t="s">
        <v>17145</v>
      </c>
      <c r="C2943" s="38" t="s">
        <v>216</v>
      </c>
      <c r="D2943" s="34">
        <v>1620</v>
      </c>
      <c r="E2943" s="35">
        <v>44707</v>
      </c>
      <c r="F2943" s="34">
        <v>1620</v>
      </c>
      <c r="G2943" s="36">
        <f>Tabla16[[#This Row],[Importe]]-Tabla16[[#This Row],[Pagado]]</f>
        <v>0</v>
      </c>
      <c r="H2943" s="38" t="s">
        <v>10</v>
      </c>
    </row>
    <row r="2944" spans="1:8" x14ac:dyDescent="0.25">
      <c r="A2944" s="31">
        <v>44707</v>
      </c>
      <c r="B2944" s="38" t="s">
        <v>17146</v>
      </c>
      <c r="C2944" s="38" t="s">
        <v>261</v>
      </c>
      <c r="D2944" s="34">
        <v>43524.74</v>
      </c>
      <c r="E2944" s="35">
        <v>44707</v>
      </c>
      <c r="F2944" s="34">
        <v>43524.74</v>
      </c>
      <c r="G2944" s="36">
        <f>Tabla16[[#This Row],[Importe]]-Tabla16[[#This Row],[Pagado]]</f>
        <v>0</v>
      </c>
      <c r="H2944" s="38" t="s">
        <v>10</v>
      </c>
    </row>
    <row r="2945" spans="1:8" x14ac:dyDescent="0.25">
      <c r="A2945" s="31">
        <v>44707</v>
      </c>
      <c r="B2945" s="38" t="s">
        <v>17147</v>
      </c>
      <c r="C2945" s="38" t="s">
        <v>31</v>
      </c>
      <c r="D2945" s="34">
        <v>4107</v>
      </c>
      <c r="E2945" s="35">
        <v>44707</v>
      </c>
      <c r="F2945" s="34">
        <v>4107</v>
      </c>
      <c r="G2945" s="36">
        <f>Tabla16[[#This Row],[Importe]]-Tabla16[[#This Row],[Pagado]]</f>
        <v>0</v>
      </c>
      <c r="H2945" s="38" t="s">
        <v>10</v>
      </c>
    </row>
    <row r="2946" spans="1:8" x14ac:dyDescent="0.25">
      <c r="A2946" s="31">
        <v>44707</v>
      </c>
      <c r="B2946" s="38" t="s">
        <v>17148</v>
      </c>
      <c r="C2946" s="38" t="s">
        <v>31</v>
      </c>
      <c r="D2946" s="34">
        <v>460.8</v>
      </c>
      <c r="E2946" s="35">
        <v>44707</v>
      </c>
      <c r="F2946" s="34">
        <v>460.8</v>
      </c>
      <c r="G2946" s="36">
        <f>Tabla16[[#This Row],[Importe]]-Tabla16[[#This Row],[Pagado]]</f>
        <v>0</v>
      </c>
      <c r="H2946" s="38" t="s">
        <v>10</v>
      </c>
    </row>
    <row r="2947" spans="1:8" x14ac:dyDescent="0.25">
      <c r="A2947" s="31">
        <v>44707</v>
      </c>
      <c r="B2947" s="38" t="s">
        <v>17149</v>
      </c>
      <c r="C2947" s="38" t="s">
        <v>414</v>
      </c>
      <c r="D2947" s="34">
        <v>18240</v>
      </c>
      <c r="E2947" s="35">
        <v>44721</v>
      </c>
      <c r="F2947" s="34">
        <v>18240</v>
      </c>
      <c r="G2947" s="36">
        <f>Tabla16[[#This Row],[Importe]]-Tabla16[[#This Row],[Pagado]]</f>
        <v>0</v>
      </c>
      <c r="H2947" s="38" t="s">
        <v>10</v>
      </c>
    </row>
    <row r="2948" spans="1:8" x14ac:dyDescent="0.25">
      <c r="A2948" s="31">
        <v>44707</v>
      </c>
      <c r="B2948" s="38" t="s">
        <v>17150</v>
      </c>
      <c r="C2948" s="38" t="s">
        <v>414</v>
      </c>
      <c r="D2948" s="34">
        <v>38.72</v>
      </c>
      <c r="E2948" s="35">
        <v>44707</v>
      </c>
      <c r="F2948" s="34">
        <v>38.72</v>
      </c>
      <c r="G2948" s="36">
        <f>Tabla16[[#This Row],[Importe]]-Tabla16[[#This Row],[Pagado]]</f>
        <v>0</v>
      </c>
      <c r="H2948" s="38" t="s">
        <v>10</v>
      </c>
    </row>
    <row r="2949" spans="1:8" x14ac:dyDescent="0.25">
      <c r="A2949" s="31">
        <v>44707</v>
      </c>
      <c r="B2949" s="38" t="s">
        <v>17151</v>
      </c>
      <c r="C2949" s="38" t="s">
        <v>1275</v>
      </c>
      <c r="D2949" s="34">
        <v>7436.7</v>
      </c>
      <c r="E2949" s="35">
        <v>44707</v>
      </c>
      <c r="F2949" s="34">
        <v>7436.7</v>
      </c>
      <c r="G2949" s="36">
        <f>Tabla16[[#This Row],[Importe]]-Tabla16[[#This Row],[Pagado]]</f>
        <v>0</v>
      </c>
      <c r="H2949" s="38" t="s">
        <v>10</v>
      </c>
    </row>
    <row r="2950" spans="1:8" x14ac:dyDescent="0.25">
      <c r="A2950" s="31">
        <v>44707</v>
      </c>
      <c r="B2950" s="38" t="s">
        <v>17152</v>
      </c>
      <c r="C2950" s="38" t="s">
        <v>127</v>
      </c>
      <c r="D2950" s="34">
        <v>1570.83</v>
      </c>
      <c r="E2950" s="35">
        <v>44707</v>
      </c>
      <c r="F2950" s="34">
        <v>1570.83</v>
      </c>
      <c r="G2950" s="36">
        <f>Tabla16[[#This Row],[Importe]]-Tabla16[[#This Row],[Pagado]]</f>
        <v>0</v>
      </c>
      <c r="H2950" s="38" t="s">
        <v>10</v>
      </c>
    </row>
    <row r="2951" spans="1:8" x14ac:dyDescent="0.25">
      <c r="A2951" s="31">
        <v>44707</v>
      </c>
      <c r="B2951" s="38" t="s">
        <v>17153</v>
      </c>
      <c r="C2951" s="38" t="s">
        <v>373</v>
      </c>
      <c r="D2951" s="34">
        <v>1550.4</v>
      </c>
      <c r="E2951" s="35">
        <v>44707</v>
      </c>
      <c r="F2951" s="34">
        <v>1550.4</v>
      </c>
      <c r="G2951" s="36">
        <f>Tabla16[[#This Row],[Importe]]-Tabla16[[#This Row],[Pagado]]</f>
        <v>0</v>
      </c>
      <c r="H2951" s="38" t="s">
        <v>10</v>
      </c>
    </row>
    <row r="2952" spans="1:8" x14ac:dyDescent="0.25">
      <c r="A2952" s="31">
        <v>44707</v>
      </c>
      <c r="B2952" s="38" t="s">
        <v>17154</v>
      </c>
      <c r="C2952" s="38" t="s">
        <v>426</v>
      </c>
      <c r="D2952" s="34">
        <v>4048.4</v>
      </c>
      <c r="E2952" s="35">
        <v>44708</v>
      </c>
      <c r="F2952" s="34">
        <v>4048.4</v>
      </c>
      <c r="G2952" s="36">
        <f>Tabla16[[#This Row],[Importe]]-Tabla16[[#This Row],[Pagado]]</f>
        <v>0</v>
      </c>
      <c r="H2952" s="38" t="s">
        <v>10</v>
      </c>
    </row>
    <row r="2953" spans="1:8" x14ac:dyDescent="0.25">
      <c r="A2953" s="31">
        <v>44707</v>
      </c>
      <c r="B2953" s="38" t="s">
        <v>17155</v>
      </c>
      <c r="C2953" s="38" t="s">
        <v>843</v>
      </c>
      <c r="D2953" s="34">
        <v>11777.6</v>
      </c>
      <c r="E2953" s="35">
        <v>44707</v>
      </c>
      <c r="F2953" s="34">
        <v>11777.6</v>
      </c>
      <c r="G2953" s="36">
        <f>Tabla16[[#This Row],[Importe]]-Tabla16[[#This Row],[Pagado]]</f>
        <v>0</v>
      </c>
      <c r="H2953" s="38" t="s">
        <v>10</v>
      </c>
    </row>
    <row r="2954" spans="1:8" x14ac:dyDescent="0.25">
      <c r="A2954" s="31">
        <v>44707</v>
      </c>
      <c r="B2954" s="38" t="s">
        <v>17156</v>
      </c>
      <c r="C2954" s="38" t="s">
        <v>31</v>
      </c>
      <c r="D2954" s="34">
        <v>82</v>
      </c>
      <c r="E2954" s="35">
        <v>44707</v>
      </c>
      <c r="F2954" s="34">
        <v>82</v>
      </c>
      <c r="G2954" s="36">
        <f>Tabla16[[#This Row],[Importe]]-Tabla16[[#This Row],[Pagado]]</f>
        <v>0</v>
      </c>
      <c r="H2954" s="38" t="s">
        <v>10</v>
      </c>
    </row>
    <row r="2955" spans="1:8" x14ac:dyDescent="0.25">
      <c r="A2955" s="31">
        <v>44707</v>
      </c>
      <c r="B2955" s="38" t="s">
        <v>17157</v>
      </c>
      <c r="C2955" s="38" t="s">
        <v>142</v>
      </c>
      <c r="D2955" s="34">
        <v>2520</v>
      </c>
      <c r="E2955" s="35">
        <v>44760</v>
      </c>
      <c r="F2955" s="34">
        <v>2520</v>
      </c>
      <c r="G2955" s="36">
        <f>Tabla16[[#This Row],[Importe]]-Tabla16[[#This Row],[Pagado]]</f>
        <v>0</v>
      </c>
      <c r="H2955" s="38" t="s">
        <v>10</v>
      </c>
    </row>
    <row r="2956" spans="1:8" x14ac:dyDescent="0.25">
      <c r="A2956" s="31">
        <v>44707</v>
      </c>
      <c r="B2956" s="38" t="s">
        <v>17158</v>
      </c>
      <c r="C2956" s="38" t="s">
        <v>296</v>
      </c>
      <c r="D2956" s="34">
        <v>2208.1999999999998</v>
      </c>
      <c r="E2956" s="35">
        <v>44707</v>
      </c>
      <c r="F2956" s="34">
        <v>2208.1999999999998</v>
      </c>
      <c r="G2956" s="36">
        <f>Tabla16[[#This Row],[Importe]]-Tabla16[[#This Row],[Pagado]]</f>
        <v>0</v>
      </c>
      <c r="H2956" s="38" t="s">
        <v>10</v>
      </c>
    </row>
    <row r="2957" spans="1:8" x14ac:dyDescent="0.25">
      <c r="A2957" s="31">
        <v>44707</v>
      </c>
      <c r="B2957" s="38" t="s">
        <v>17159</v>
      </c>
      <c r="C2957" s="38" t="s">
        <v>135</v>
      </c>
      <c r="D2957" s="34">
        <v>1893.6</v>
      </c>
      <c r="E2957" s="35">
        <v>44707</v>
      </c>
      <c r="F2957" s="34">
        <v>1893.6</v>
      </c>
      <c r="G2957" s="36">
        <f>Tabla16[[#This Row],[Importe]]-Tabla16[[#This Row],[Pagado]]</f>
        <v>0</v>
      </c>
      <c r="H2957" s="38" t="s">
        <v>10</v>
      </c>
    </row>
    <row r="2958" spans="1:8" x14ac:dyDescent="0.25">
      <c r="A2958" s="31">
        <v>44707</v>
      </c>
      <c r="B2958" s="38" t="s">
        <v>17160</v>
      </c>
      <c r="C2958" s="38" t="s">
        <v>31</v>
      </c>
      <c r="D2958" s="34">
        <v>524.20000000000005</v>
      </c>
      <c r="E2958" s="35">
        <v>44707</v>
      </c>
      <c r="F2958" s="34">
        <v>524.20000000000005</v>
      </c>
      <c r="G2958" s="36">
        <f>Tabla16[[#This Row],[Importe]]-Tabla16[[#This Row],[Pagado]]</f>
        <v>0</v>
      </c>
      <c r="H2958" s="38" t="s">
        <v>10</v>
      </c>
    </row>
    <row r="2959" spans="1:8" x14ac:dyDescent="0.25">
      <c r="A2959" s="31">
        <v>44707</v>
      </c>
      <c r="B2959" s="38" t="s">
        <v>17161</v>
      </c>
      <c r="C2959" s="38" t="s">
        <v>5694</v>
      </c>
      <c r="D2959" s="34">
        <v>3156</v>
      </c>
      <c r="E2959" s="35">
        <v>44707</v>
      </c>
      <c r="F2959" s="34">
        <v>3156</v>
      </c>
      <c r="G2959" s="36">
        <f>Tabla16[[#This Row],[Importe]]-Tabla16[[#This Row],[Pagado]]</f>
        <v>0</v>
      </c>
      <c r="H2959" s="38" t="s">
        <v>10</v>
      </c>
    </row>
    <row r="2960" spans="1:8" x14ac:dyDescent="0.25">
      <c r="A2960" s="31">
        <v>44707</v>
      </c>
      <c r="B2960" s="38" t="s">
        <v>17162</v>
      </c>
      <c r="C2960" s="38" t="s">
        <v>31</v>
      </c>
      <c r="D2960" s="34">
        <v>400.4</v>
      </c>
      <c r="E2960" s="35">
        <v>44707</v>
      </c>
      <c r="F2960" s="34">
        <v>400.4</v>
      </c>
      <c r="G2960" s="36">
        <f>Tabla16[[#This Row],[Importe]]-Tabla16[[#This Row],[Pagado]]</f>
        <v>0</v>
      </c>
      <c r="H2960" s="38" t="s">
        <v>10</v>
      </c>
    </row>
    <row r="2961" spans="1:8" x14ac:dyDescent="0.25">
      <c r="A2961" s="31">
        <v>44707</v>
      </c>
      <c r="B2961" s="38" t="s">
        <v>17163</v>
      </c>
      <c r="C2961" s="38" t="s">
        <v>275</v>
      </c>
      <c r="D2961" s="34">
        <v>100915.76</v>
      </c>
      <c r="E2961" s="35">
        <v>44722</v>
      </c>
      <c r="F2961" s="34">
        <v>100915.76</v>
      </c>
      <c r="G2961" s="36">
        <f>Tabla16[[#This Row],[Importe]]-Tabla16[[#This Row],[Pagado]]</f>
        <v>0</v>
      </c>
      <c r="H2961" s="38" t="s">
        <v>10</v>
      </c>
    </row>
    <row r="2962" spans="1:8" x14ac:dyDescent="0.25">
      <c r="A2962" s="31">
        <v>44707</v>
      </c>
      <c r="B2962" s="38" t="s">
        <v>17164</v>
      </c>
      <c r="C2962" s="38" t="s">
        <v>107</v>
      </c>
      <c r="D2962" s="34">
        <v>4425.3999999999996</v>
      </c>
      <c r="E2962" s="35">
        <v>44708</v>
      </c>
      <c r="F2962" s="34">
        <v>4425.3999999999996</v>
      </c>
      <c r="G2962" s="36">
        <f>Tabla16[[#This Row],[Importe]]-Tabla16[[#This Row],[Pagado]]</f>
        <v>0</v>
      </c>
      <c r="H2962" s="38" t="s">
        <v>10</v>
      </c>
    </row>
    <row r="2963" spans="1:8" x14ac:dyDescent="0.25">
      <c r="A2963" s="31">
        <v>44707</v>
      </c>
      <c r="B2963" s="38" t="s">
        <v>17165</v>
      </c>
      <c r="C2963" s="38" t="s">
        <v>214</v>
      </c>
      <c r="D2963" s="34">
        <v>6331.8</v>
      </c>
      <c r="E2963" s="35">
        <v>44708</v>
      </c>
      <c r="F2963" s="34">
        <v>6331.8</v>
      </c>
      <c r="G2963" s="36">
        <f>Tabla16[[#This Row],[Importe]]-Tabla16[[#This Row],[Pagado]]</f>
        <v>0</v>
      </c>
      <c r="H2963" s="38" t="s">
        <v>10</v>
      </c>
    </row>
    <row r="2964" spans="1:8" x14ac:dyDescent="0.25">
      <c r="A2964" s="31">
        <v>44707</v>
      </c>
      <c r="B2964" s="38" t="s">
        <v>17166</v>
      </c>
      <c r="C2964" s="38" t="s">
        <v>175</v>
      </c>
      <c r="D2964" s="34">
        <v>10908.8</v>
      </c>
      <c r="E2964" s="35">
        <v>44708</v>
      </c>
      <c r="F2964" s="34">
        <v>10908.8</v>
      </c>
      <c r="G2964" s="36">
        <f>Tabla16[[#This Row],[Importe]]-Tabla16[[#This Row],[Pagado]]</f>
        <v>0</v>
      </c>
      <c r="H2964" s="38" t="s">
        <v>10</v>
      </c>
    </row>
    <row r="2965" spans="1:8" x14ac:dyDescent="0.25">
      <c r="A2965" s="31">
        <v>44707</v>
      </c>
      <c r="B2965" s="38" t="s">
        <v>17167</v>
      </c>
      <c r="C2965" s="38" t="s">
        <v>22</v>
      </c>
      <c r="D2965" s="34">
        <v>191.4</v>
      </c>
      <c r="E2965" s="35">
        <v>44707</v>
      </c>
      <c r="F2965" s="34">
        <v>191.4</v>
      </c>
      <c r="G2965" s="36">
        <f>Tabla16[[#This Row],[Importe]]-Tabla16[[#This Row],[Pagado]]</f>
        <v>0</v>
      </c>
      <c r="H2965" s="38" t="s">
        <v>10</v>
      </c>
    </row>
    <row r="2966" spans="1:8" x14ac:dyDescent="0.25">
      <c r="A2966" s="31">
        <v>44707</v>
      </c>
      <c r="B2966" s="38" t="s">
        <v>17168</v>
      </c>
      <c r="C2966" s="38" t="s">
        <v>10819</v>
      </c>
      <c r="D2966" s="34">
        <v>648</v>
      </c>
      <c r="E2966" s="35">
        <v>44708</v>
      </c>
      <c r="F2966" s="34">
        <v>648</v>
      </c>
      <c r="G2966" s="36">
        <f>Tabla16[[#This Row],[Importe]]-Tabla16[[#This Row],[Pagado]]</f>
        <v>0</v>
      </c>
      <c r="H2966" s="38" t="s">
        <v>10</v>
      </c>
    </row>
    <row r="2967" spans="1:8" x14ac:dyDescent="0.25">
      <c r="A2967" s="31">
        <v>44707</v>
      </c>
      <c r="B2967" s="38" t="s">
        <v>17169</v>
      </c>
      <c r="C2967" s="38" t="s">
        <v>280</v>
      </c>
      <c r="D2967" s="34">
        <v>1122</v>
      </c>
      <c r="E2967" s="35">
        <v>44708</v>
      </c>
      <c r="F2967" s="34">
        <v>1122</v>
      </c>
      <c r="G2967" s="36">
        <f>Tabla16[[#This Row],[Importe]]-Tabla16[[#This Row],[Pagado]]</f>
        <v>0</v>
      </c>
      <c r="H2967" s="38" t="s">
        <v>10</v>
      </c>
    </row>
    <row r="2968" spans="1:8" x14ac:dyDescent="0.25">
      <c r="A2968" s="31">
        <v>44707</v>
      </c>
      <c r="B2968" s="38" t="s">
        <v>17170</v>
      </c>
      <c r="C2968" s="38" t="s">
        <v>284</v>
      </c>
      <c r="D2968" s="34">
        <v>7470</v>
      </c>
      <c r="E2968" s="35">
        <v>44708</v>
      </c>
      <c r="F2968" s="34">
        <v>7470</v>
      </c>
      <c r="G2968" s="36">
        <f>Tabla16[[#This Row],[Importe]]-Tabla16[[#This Row],[Pagado]]</f>
        <v>0</v>
      </c>
      <c r="H2968" s="38" t="s">
        <v>10</v>
      </c>
    </row>
    <row r="2969" spans="1:8" x14ac:dyDescent="0.25">
      <c r="A2969" s="31">
        <v>44707</v>
      </c>
      <c r="B2969" s="38" t="s">
        <v>17171</v>
      </c>
      <c r="C2969" s="38" t="s">
        <v>200</v>
      </c>
      <c r="D2969" s="34">
        <v>1092</v>
      </c>
      <c r="E2969" s="35">
        <v>44708</v>
      </c>
      <c r="F2969" s="34">
        <v>1092</v>
      </c>
      <c r="G2969" s="36">
        <f>Tabla16[[#This Row],[Importe]]-Tabla16[[#This Row],[Pagado]]</f>
        <v>0</v>
      </c>
      <c r="H2969" s="38" t="s">
        <v>10</v>
      </c>
    </row>
    <row r="2970" spans="1:8" x14ac:dyDescent="0.25">
      <c r="A2970" s="31">
        <v>44707</v>
      </c>
      <c r="B2970" s="38" t="s">
        <v>17172</v>
      </c>
      <c r="C2970" s="38" t="s">
        <v>729</v>
      </c>
      <c r="D2970" s="34">
        <v>22062.9</v>
      </c>
      <c r="E2970" s="35">
        <v>44708</v>
      </c>
      <c r="F2970" s="34">
        <v>22062.9</v>
      </c>
      <c r="G2970" s="36">
        <f>Tabla16[[#This Row],[Importe]]-Tabla16[[#This Row],[Pagado]]</f>
        <v>0</v>
      </c>
      <c r="H2970" s="38" t="s">
        <v>10</v>
      </c>
    </row>
    <row r="2971" spans="1:8" x14ac:dyDescent="0.25">
      <c r="A2971" s="31">
        <v>44707</v>
      </c>
      <c r="B2971" s="38" t="s">
        <v>17173</v>
      </c>
      <c r="C2971" s="38" t="s">
        <v>470</v>
      </c>
      <c r="D2971" s="34">
        <v>23592</v>
      </c>
      <c r="E2971" s="35">
        <v>44708</v>
      </c>
      <c r="F2971" s="34">
        <v>23592</v>
      </c>
      <c r="G2971" s="36">
        <f>Tabla16[[#This Row],[Importe]]-Tabla16[[#This Row],[Pagado]]</f>
        <v>0</v>
      </c>
      <c r="H2971" s="38" t="s">
        <v>10</v>
      </c>
    </row>
    <row r="2972" spans="1:8" x14ac:dyDescent="0.25">
      <c r="A2972" s="31">
        <v>44707</v>
      </c>
      <c r="B2972" s="38" t="s">
        <v>17174</v>
      </c>
      <c r="C2972" s="38" t="s">
        <v>214</v>
      </c>
      <c r="D2972" s="34">
        <v>1240</v>
      </c>
      <c r="E2972" s="35">
        <v>44707</v>
      </c>
      <c r="F2972" s="34">
        <v>1240</v>
      </c>
      <c r="G2972" s="36">
        <f>Tabla16[[#This Row],[Importe]]-Tabla16[[#This Row],[Pagado]]</f>
        <v>0</v>
      </c>
      <c r="H2972" s="38" t="s">
        <v>10</v>
      </c>
    </row>
    <row r="2973" spans="1:8" x14ac:dyDescent="0.25">
      <c r="A2973" s="31">
        <v>44707</v>
      </c>
      <c r="B2973" s="38" t="s">
        <v>17175</v>
      </c>
      <c r="C2973" s="38" t="s">
        <v>605</v>
      </c>
      <c r="D2973" s="34">
        <v>42585.88</v>
      </c>
      <c r="E2973" s="35">
        <v>44708</v>
      </c>
      <c r="F2973" s="34">
        <v>42585.88</v>
      </c>
      <c r="G2973" s="36">
        <f>Tabla16[[#This Row],[Importe]]-Tabla16[[#This Row],[Pagado]]</f>
        <v>0</v>
      </c>
      <c r="H2973" s="38" t="s">
        <v>10</v>
      </c>
    </row>
    <row r="2974" spans="1:8" x14ac:dyDescent="0.25">
      <c r="A2974" s="31">
        <v>44707</v>
      </c>
      <c r="B2974" s="38" t="s">
        <v>17176</v>
      </c>
      <c r="C2974" s="38" t="s">
        <v>450</v>
      </c>
      <c r="D2974" s="34">
        <v>3458</v>
      </c>
      <c r="E2974" s="35">
        <v>44707</v>
      </c>
      <c r="F2974" s="34">
        <v>3458</v>
      </c>
      <c r="G2974" s="36">
        <f>Tabla16[[#This Row],[Importe]]-Tabla16[[#This Row],[Pagado]]</f>
        <v>0</v>
      </c>
      <c r="H2974" s="38" t="s">
        <v>10</v>
      </c>
    </row>
    <row r="2975" spans="1:8" x14ac:dyDescent="0.25">
      <c r="A2975" s="31">
        <v>44707</v>
      </c>
      <c r="B2975" s="38" t="s">
        <v>17177</v>
      </c>
      <c r="C2975" s="38" t="s">
        <v>69</v>
      </c>
      <c r="D2975" s="34">
        <v>5946</v>
      </c>
      <c r="E2975" s="35">
        <v>44707</v>
      </c>
      <c r="F2975" s="34">
        <v>5946</v>
      </c>
      <c r="G2975" s="36">
        <f>Tabla16[[#This Row],[Importe]]-Tabla16[[#This Row],[Pagado]]</f>
        <v>0</v>
      </c>
      <c r="H2975" s="38" t="s">
        <v>10</v>
      </c>
    </row>
    <row r="2976" spans="1:8" x14ac:dyDescent="0.25">
      <c r="A2976" s="31">
        <v>44707</v>
      </c>
      <c r="B2976" s="38" t="s">
        <v>17178</v>
      </c>
      <c r="C2976" s="38" t="s">
        <v>196</v>
      </c>
      <c r="D2976" s="34">
        <v>152351.15</v>
      </c>
      <c r="E2976" s="35">
        <v>44708</v>
      </c>
      <c r="F2976" s="34">
        <v>152351.15</v>
      </c>
      <c r="G2976" s="36">
        <f>Tabla16[[#This Row],[Importe]]-Tabla16[[#This Row],[Pagado]]</f>
        <v>0</v>
      </c>
      <c r="H2976" s="38" t="s">
        <v>10</v>
      </c>
    </row>
    <row r="2977" spans="1:8" x14ac:dyDescent="0.25">
      <c r="A2977" s="31">
        <v>44707</v>
      </c>
      <c r="B2977" s="38" t="s">
        <v>17179</v>
      </c>
      <c r="C2977" s="38" t="s">
        <v>10190</v>
      </c>
      <c r="D2977" s="34">
        <v>19209.599999999999</v>
      </c>
      <c r="E2977" s="35">
        <v>44708</v>
      </c>
      <c r="F2977" s="34">
        <v>19209.599999999999</v>
      </c>
      <c r="G2977" s="36">
        <f>Tabla16[[#This Row],[Importe]]-Tabla16[[#This Row],[Pagado]]</f>
        <v>0</v>
      </c>
      <c r="H2977" s="38" t="s">
        <v>10</v>
      </c>
    </row>
    <row r="2978" spans="1:8" x14ac:dyDescent="0.25">
      <c r="A2978" s="31">
        <v>44707</v>
      </c>
      <c r="B2978" s="38" t="s">
        <v>17180</v>
      </c>
      <c r="C2978" s="38" t="s">
        <v>9993</v>
      </c>
      <c r="D2978" s="34">
        <v>56000.4</v>
      </c>
      <c r="E2978" s="35">
        <v>44708</v>
      </c>
      <c r="F2978" s="34">
        <v>56000.4</v>
      </c>
      <c r="G2978" s="36">
        <f>Tabla16[[#This Row],[Importe]]-Tabla16[[#This Row],[Pagado]]</f>
        <v>0</v>
      </c>
      <c r="H2978" s="38" t="s">
        <v>10</v>
      </c>
    </row>
    <row r="2979" spans="1:8" x14ac:dyDescent="0.25">
      <c r="A2979" s="31">
        <v>44708</v>
      </c>
      <c r="B2979" s="38" t="s">
        <v>17181</v>
      </c>
      <c r="C2979" s="38" t="s">
        <v>475</v>
      </c>
      <c r="D2979" s="34">
        <v>70837.2</v>
      </c>
      <c r="E2979" s="35">
        <v>44709</v>
      </c>
      <c r="F2979" s="34">
        <v>70837.2</v>
      </c>
      <c r="G2979" s="36">
        <f>Tabla16[[#This Row],[Importe]]-Tabla16[[#This Row],[Pagado]]</f>
        <v>0</v>
      </c>
      <c r="H2979" s="38" t="s">
        <v>10</v>
      </c>
    </row>
    <row r="2980" spans="1:8" x14ac:dyDescent="0.25">
      <c r="A2980" s="31">
        <v>44708</v>
      </c>
      <c r="B2980" s="38" t="s">
        <v>17182</v>
      </c>
      <c r="C2980" s="38" t="s">
        <v>348</v>
      </c>
      <c r="D2980" s="34">
        <v>3076.8</v>
      </c>
      <c r="E2980" s="35">
        <v>44708</v>
      </c>
      <c r="F2980" s="34">
        <v>3076.8</v>
      </c>
      <c r="G2980" s="36">
        <f>Tabla16[[#This Row],[Importe]]-Tabla16[[#This Row],[Pagado]]</f>
        <v>0</v>
      </c>
      <c r="H2980" s="38" t="s">
        <v>10</v>
      </c>
    </row>
    <row r="2981" spans="1:8" x14ac:dyDescent="0.25">
      <c r="A2981" s="31">
        <v>44708</v>
      </c>
      <c r="B2981" s="38" t="s">
        <v>17183</v>
      </c>
      <c r="C2981" s="38" t="s">
        <v>89</v>
      </c>
      <c r="D2981" s="34">
        <v>9062.4</v>
      </c>
      <c r="E2981" s="35">
        <v>44709</v>
      </c>
      <c r="F2981" s="34">
        <v>9062.4</v>
      </c>
      <c r="G2981" s="36">
        <f>Tabla16[[#This Row],[Importe]]-Tabla16[[#This Row],[Pagado]]</f>
        <v>0</v>
      </c>
      <c r="H2981" s="38" t="s">
        <v>10</v>
      </c>
    </row>
    <row r="2982" spans="1:8" x14ac:dyDescent="0.25">
      <c r="A2982" s="31">
        <v>44708</v>
      </c>
      <c r="B2982" s="38" t="s">
        <v>17184</v>
      </c>
      <c r="C2982" s="38" t="s">
        <v>109</v>
      </c>
      <c r="D2982" s="34">
        <v>4325.3999999999996</v>
      </c>
      <c r="E2982" s="35">
        <v>44709</v>
      </c>
      <c r="F2982" s="34">
        <v>4325.3999999999996</v>
      </c>
      <c r="G2982" s="36">
        <f>Tabla16[[#This Row],[Importe]]-Tabla16[[#This Row],[Pagado]]</f>
        <v>0</v>
      </c>
      <c r="H2982" s="38" t="s">
        <v>10</v>
      </c>
    </row>
    <row r="2983" spans="1:8" x14ac:dyDescent="0.25">
      <c r="A2983" s="31">
        <v>44708</v>
      </c>
      <c r="B2983" s="38" t="s">
        <v>17185</v>
      </c>
      <c r="C2983" s="38" t="s">
        <v>99</v>
      </c>
      <c r="D2983" s="34">
        <v>2438.4</v>
      </c>
      <c r="E2983" s="35">
        <v>44711</v>
      </c>
      <c r="F2983" s="34">
        <v>2438.4</v>
      </c>
      <c r="G2983" s="36">
        <f>Tabla16[[#This Row],[Importe]]-Tabla16[[#This Row],[Pagado]]</f>
        <v>0</v>
      </c>
      <c r="H2983" s="38" t="s">
        <v>10</v>
      </c>
    </row>
    <row r="2984" spans="1:8" x14ac:dyDescent="0.25">
      <c r="A2984" s="31">
        <v>44708</v>
      </c>
      <c r="B2984" s="38" t="s">
        <v>17186</v>
      </c>
      <c r="C2984" s="38" t="s">
        <v>60</v>
      </c>
      <c r="D2984" s="34">
        <v>4424</v>
      </c>
      <c r="E2984" s="35">
        <v>44710</v>
      </c>
      <c r="F2984" s="34">
        <v>4424</v>
      </c>
      <c r="G2984" s="36">
        <f>Tabla16[[#This Row],[Importe]]-Tabla16[[#This Row],[Pagado]]</f>
        <v>0</v>
      </c>
      <c r="H2984" s="38" t="s">
        <v>10</v>
      </c>
    </row>
    <row r="2985" spans="1:8" x14ac:dyDescent="0.25">
      <c r="A2985" s="31">
        <v>44708</v>
      </c>
      <c r="B2985" s="38" t="s">
        <v>17187</v>
      </c>
      <c r="C2985" s="38" t="s">
        <v>114</v>
      </c>
      <c r="D2985" s="34">
        <v>4449.6000000000004</v>
      </c>
      <c r="E2985" s="35">
        <v>44709</v>
      </c>
      <c r="F2985" s="34">
        <v>4449.6000000000004</v>
      </c>
      <c r="G2985" s="36">
        <f>Tabla16[[#This Row],[Importe]]-Tabla16[[#This Row],[Pagado]]</f>
        <v>0</v>
      </c>
      <c r="H2985" s="38" t="s">
        <v>10</v>
      </c>
    </row>
    <row r="2986" spans="1:8" x14ac:dyDescent="0.25">
      <c r="A2986" s="31">
        <v>44708</v>
      </c>
      <c r="B2986" s="38" t="s">
        <v>17188</v>
      </c>
      <c r="C2986" s="38" t="s">
        <v>60</v>
      </c>
      <c r="D2986" s="34">
        <v>970.2</v>
      </c>
      <c r="E2986" s="35">
        <v>44710</v>
      </c>
      <c r="F2986" s="34">
        <v>970.2</v>
      </c>
      <c r="G2986" s="36">
        <f>Tabla16[[#This Row],[Importe]]-Tabla16[[#This Row],[Pagado]]</f>
        <v>0</v>
      </c>
      <c r="H2986" s="38" t="s">
        <v>10</v>
      </c>
    </row>
    <row r="2987" spans="1:8" x14ac:dyDescent="0.25">
      <c r="A2987" s="31">
        <v>44708</v>
      </c>
      <c r="B2987" s="38" t="s">
        <v>17189</v>
      </c>
      <c r="C2987" s="38" t="s">
        <v>326</v>
      </c>
      <c r="D2987" s="34">
        <v>4659.2</v>
      </c>
      <c r="E2987" s="35">
        <v>44709</v>
      </c>
      <c r="F2987" s="34">
        <v>4659.2</v>
      </c>
      <c r="G2987" s="36">
        <f>Tabla16[[#This Row],[Importe]]-Tabla16[[#This Row],[Pagado]]</f>
        <v>0</v>
      </c>
      <c r="H2987" s="38" t="s">
        <v>10</v>
      </c>
    </row>
    <row r="2988" spans="1:8" ht="47.25" x14ac:dyDescent="0.25">
      <c r="A2988" s="31">
        <v>44708</v>
      </c>
      <c r="B2988" s="38" t="s">
        <v>17190</v>
      </c>
      <c r="C2988" s="38" t="s">
        <v>39</v>
      </c>
      <c r="D2988" s="34">
        <v>23471.7</v>
      </c>
      <c r="E2988" s="35" t="s">
        <v>17191</v>
      </c>
      <c r="F2988" s="34">
        <f>5000+14000+4471.7</f>
        <v>23471.7</v>
      </c>
      <c r="G2988" s="36">
        <f>Tabla16[[#This Row],[Importe]]-Tabla16[[#This Row],[Pagado]]</f>
        <v>0</v>
      </c>
      <c r="H2988" s="38" t="s">
        <v>10</v>
      </c>
    </row>
    <row r="2989" spans="1:8" x14ac:dyDescent="0.25">
      <c r="A2989" s="31">
        <v>44708</v>
      </c>
      <c r="B2989" s="38" t="s">
        <v>17192</v>
      </c>
      <c r="C2989" s="38" t="s">
        <v>111</v>
      </c>
      <c r="D2989" s="34">
        <v>4330.8</v>
      </c>
      <c r="E2989" s="35">
        <v>44709</v>
      </c>
      <c r="F2989" s="34">
        <v>4330.8</v>
      </c>
      <c r="G2989" s="36">
        <f>Tabla16[[#This Row],[Importe]]-Tabla16[[#This Row],[Pagado]]</f>
        <v>0</v>
      </c>
      <c r="H2989" s="38" t="s">
        <v>10</v>
      </c>
    </row>
    <row r="2990" spans="1:8" x14ac:dyDescent="0.25">
      <c r="A2990" s="31">
        <v>44708</v>
      </c>
      <c r="B2990" s="38" t="s">
        <v>17193</v>
      </c>
      <c r="C2990" s="38" t="s">
        <v>97</v>
      </c>
      <c r="D2990" s="34">
        <v>4255.2</v>
      </c>
      <c r="E2990" s="35">
        <v>44709</v>
      </c>
      <c r="F2990" s="34">
        <v>4255.2</v>
      </c>
      <c r="G2990" s="36">
        <f>Tabla16[[#This Row],[Importe]]-Tabla16[[#This Row],[Pagado]]</f>
        <v>0</v>
      </c>
      <c r="H2990" s="38" t="s">
        <v>10</v>
      </c>
    </row>
    <row r="2991" spans="1:8" x14ac:dyDescent="0.25">
      <c r="A2991" s="31">
        <v>44708</v>
      </c>
      <c r="B2991" s="38" t="s">
        <v>17194</v>
      </c>
      <c r="C2991" s="38" t="s">
        <v>2151</v>
      </c>
      <c r="D2991" s="34">
        <v>18225</v>
      </c>
      <c r="E2991" s="35">
        <v>44708</v>
      </c>
      <c r="F2991" s="34">
        <v>18225</v>
      </c>
      <c r="G2991" s="36">
        <f>Tabla16[[#This Row],[Importe]]-Tabla16[[#This Row],[Pagado]]</f>
        <v>0</v>
      </c>
      <c r="H2991" s="38" t="s">
        <v>10</v>
      </c>
    </row>
    <row r="2992" spans="1:8" x14ac:dyDescent="0.25">
      <c r="A2992" s="31">
        <v>44708</v>
      </c>
      <c r="B2992" s="38" t="s">
        <v>17195</v>
      </c>
      <c r="C2992" s="38" t="s">
        <v>116</v>
      </c>
      <c r="D2992" s="34">
        <v>4233.6000000000004</v>
      </c>
      <c r="E2992" s="35">
        <v>44709</v>
      </c>
      <c r="F2992" s="34">
        <v>4233.6000000000004</v>
      </c>
      <c r="G2992" s="36">
        <f>Tabla16[[#This Row],[Importe]]-Tabla16[[#This Row],[Pagado]]</f>
        <v>0</v>
      </c>
      <c r="H2992" s="38" t="s">
        <v>10</v>
      </c>
    </row>
    <row r="2993" spans="1:8" x14ac:dyDescent="0.25">
      <c r="A2993" s="31">
        <v>44708</v>
      </c>
      <c r="B2993" s="38" t="s">
        <v>17196</v>
      </c>
      <c r="C2993" s="38" t="s">
        <v>64</v>
      </c>
      <c r="D2993" s="34">
        <v>12588.8</v>
      </c>
      <c r="E2993" s="35">
        <v>44709</v>
      </c>
      <c r="F2993" s="34">
        <v>12588.8</v>
      </c>
      <c r="G2993" s="36">
        <f>Tabla16[[#This Row],[Importe]]-Tabla16[[#This Row],[Pagado]]</f>
        <v>0</v>
      </c>
      <c r="H2993" s="38" t="s">
        <v>10</v>
      </c>
    </row>
    <row r="2994" spans="1:8" x14ac:dyDescent="0.25">
      <c r="A2994" s="31">
        <v>44708</v>
      </c>
      <c r="B2994" s="38" t="s">
        <v>17197</v>
      </c>
      <c r="C2994" s="38" t="s">
        <v>15482</v>
      </c>
      <c r="D2994" s="34">
        <v>0</v>
      </c>
      <c r="E2994" s="39" t="s">
        <v>189</v>
      </c>
      <c r="F2994" s="34">
        <v>0</v>
      </c>
      <c r="G2994" s="36">
        <f>Tabla16[[#This Row],[Importe]]-Tabla16[[#This Row],[Pagado]]</f>
        <v>0</v>
      </c>
      <c r="H2994" s="38" t="s">
        <v>189</v>
      </c>
    </row>
    <row r="2995" spans="1:8" x14ac:dyDescent="0.25">
      <c r="A2995" s="31">
        <v>44708</v>
      </c>
      <c r="B2995" s="38" t="s">
        <v>17198</v>
      </c>
      <c r="C2995" s="38" t="s">
        <v>20</v>
      </c>
      <c r="D2995" s="34">
        <v>1630.2</v>
      </c>
      <c r="E2995" s="35">
        <v>44708</v>
      </c>
      <c r="F2995" s="34">
        <v>1630.2</v>
      </c>
      <c r="G2995" s="36">
        <f>Tabla16[[#This Row],[Importe]]-Tabla16[[#This Row],[Pagado]]</f>
        <v>0</v>
      </c>
      <c r="H2995" s="38" t="s">
        <v>10</v>
      </c>
    </row>
    <row r="2996" spans="1:8" x14ac:dyDescent="0.25">
      <c r="A2996" s="31">
        <v>44708</v>
      </c>
      <c r="B2996" s="38" t="s">
        <v>17199</v>
      </c>
      <c r="C2996" s="38" t="s">
        <v>918</v>
      </c>
      <c r="D2996" s="34">
        <v>1556.2</v>
      </c>
      <c r="E2996" s="35">
        <v>44708</v>
      </c>
      <c r="F2996" s="34">
        <v>1556.2</v>
      </c>
      <c r="G2996" s="36">
        <f>Tabla16[[#This Row],[Importe]]-Tabla16[[#This Row],[Pagado]]</f>
        <v>0</v>
      </c>
      <c r="H2996" s="38" t="s">
        <v>10</v>
      </c>
    </row>
    <row r="2997" spans="1:8" x14ac:dyDescent="0.25">
      <c r="A2997" s="31">
        <v>44708</v>
      </c>
      <c r="B2997" s="38" t="s">
        <v>17200</v>
      </c>
      <c r="C2997" s="38" t="s">
        <v>484</v>
      </c>
      <c r="D2997" s="34">
        <v>6120</v>
      </c>
      <c r="E2997" s="35">
        <v>44708</v>
      </c>
      <c r="F2997" s="34">
        <v>6120</v>
      </c>
      <c r="G2997" s="36">
        <f>Tabla16[[#This Row],[Importe]]-Tabla16[[#This Row],[Pagado]]</f>
        <v>0</v>
      </c>
      <c r="H2997" s="38" t="s">
        <v>10</v>
      </c>
    </row>
    <row r="2998" spans="1:8" x14ac:dyDescent="0.25">
      <c r="A2998" s="31">
        <v>44708</v>
      </c>
      <c r="B2998" s="38" t="s">
        <v>17201</v>
      </c>
      <c r="C2998" s="38" t="s">
        <v>12202</v>
      </c>
      <c r="D2998" s="34">
        <v>4320</v>
      </c>
      <c r="E2998" s="35">
        <v>44708</v>
      </c>
      <c r="F2998" s="34">
        <v>4320</v>
      </c>
      <c r="G2998" s="36">
        <f>Tabla16[[#This Row],[Importe]]-Tabla16[[#This Row],[Pagado]]</f>
        <v>0</v>
      </c>
      <c r="H2998" s="38" t="s">
        <v>10</v>
      </c>
    </row>
    <row r="2999" spans="1:8" x14ac:dyDescent="0.25">
      <c r="A2999" s="31">
        <v>44708</v>
      </c>
      <c r="B2999" s="38" t="s">
        <v>17202</v>
      </c>
      <c r="C2999" s="38" t="s">
        <v>9</v>
      </c>
      <c r="D2999" s="34">
        <v>6223.6</v>
      </c>
      <c r="E2999" s="35">
        <v>44708</v>
      </c>
      <c r="F2999" s="34">
        <v>6223.6</v>
      </c>
      <c r="G2999" s="36">
        <f>Tabla16[[#This Row],[Importe]]-Tabla16[[#This Row],[Pagado]]</f>
        <v>0</v>
      </c>
      <c r="H2999" s="38" t="s">
        <v>10</v>
      </c>
    </row>
    <row r="3000" spans="1:8" x14ac:dyDescent="0.25">
      <c r="A3000" s="31">
        <v>44708</v>
      </c>
      <c r="B3000" s="38" t="s">
        <v>17203</v>
      </c>
      <c r="C3000" s="38" t="s">
        <v>93</v>
      </c>
      <c r="D3000" s="34">
        <v>8134.5</v>
      </c>
      <c r="E3000" s="35">
        <v>44709</v>
      </c>
      <c r="F3000" s="34">
        <v>8134.5</v>
      </c>
      <c r="G3000" s="36">
        <f>Tabla16[[#This Row],[Importe]]-Tabla16[[#This Row],[Pagado]]</f>
        <v>0</v>
      </c>
      <c r="H3000" s="38" t="s">
        <v>10</v>
      </c>
    </row>
    <row r="3001" spans="1:8" x14ac:dyDescent="0.25">
      <c r="A3001" s="31">
        <v>44708</v>
      </c>
      <c r="B3001" s="38" t="s">
        <v>17204</v>
      </c>
      <c r="C3001" s="38" t="s">
        <v>22</v>
      </c>
      <c r="D3001" s="34">
        <v>32127.200000000001</v>
      </c>
      <c r="E3001" s="35">
        <v>44709</v>
      </c>
      <c r="F3001" s="34">
        <v>32127.200000000001</v>
      </c>
      <c r="G3001" s="36">
        <f>Tabla16[[#This Row],[Importe]]-Tabla16[[#This Row],[Pagado]]</f>
        <v>0</v>
      </c>
      <c r="H3001" s="38" t="s">
        <v>10</v>
      </c>
    </row>
    <row r="3002" spans="1:8" x14ac:dyDescent="0.25">
      <c r="A3002" s="31">
        <v>44708</v>
      </c>
      <c r="B3002" s="38" t="s">
        <v>17205</v>
      </c>
      <c r="C3002" s="38" t="s">
        <v>314</v>
      </c>
      <c r="D3002" s="34">
        <v>4684.8</v>
      </c>
      <c r="E3002" s="35">
        <v>44708</v>
      </c>
      <c r="F3002" s="34">
        <v>4684.8</v>
      </c>
      <c r="G3002" s="36">
        <f>Tabla16[[#This Row],[Importe]]-Tabla16[[#This Row],[Pagado]]</f>
        <v>0</v>
      </c>
      <c r="H3002" s="38" t="s">
        <v>10</v>
      </c>
    </row>
    <row r="3003" spans="1:8" x14ac:dyDescent="0.25">
      <c r="A3003" s="31">
        <v>44708</v>
      </c>
      <c r="B3003" s="38" t="s">
        <v>17206</v>
      </c>
      <c r="C3003" s="38" t="s">
        <v>154</v>
      </c>
      <c r="D3003" s="34">
        <v>57625</v>
      </c>
      <c r="E3003" s="35">
        <v>44713</v>
      </c>
      <c r="F3003" s="34">
        <v>57625</v>
      </c>
      <c r="G3003" s="36">
        <f>Tabla16[[#This Row],[Importe]]-Tabla16[[#This Row],[Pagado]]</f>
        <v>0</v>
      </c>
      <c r="H3003" s="38" t="s">
        <v>10</v>
      </c>
    </row>
    <row r="3004" spans="1:8" x14ac:dyDescent="0.25">
      <c r="A3004" s="31">
        <v>44708</v>
      </c>
      <c r="B3004" s="38" t="s">
        <v>17207</v>
      </c>
      <c r="C3004" s="38" t="s">
        <v>218</v>
      </c>
      <c r="D3004" s="34">
        <v>25220.799999999999</v>
      </c>
      <c r="E3004" s="35">
        <v>44713</v>
      </c>
      <c r="F3004" s="34">
        <v>25220.799999999999</v>
      </c>
      <c r="G3004" s="36">
        <f>Tabla16[[#This Row],[Importe]]-Tabla16[[#This Row],[Pagado]]</f>
        <v>0</v>
      </c>
      <c r="H3004" s="38" t="s">
        <v>10</v>
      </c>
    </row>
    <row r="3005" spans="1:8" x14ac:dyDescent="0.25">
      <c r="A3005" s="31">
        <v>44708</v>
      </c>
      <c r="B3005" s="38" t="s">
        <v>17208</v>
      </c>
      <c r="C3005" s="38" t="s">
        <v>83</v>
      </c>
      <c r="D3005" s="34">
        <v>1737.4</v>
      </c>
      <c r="E3005" s="35">
        <v>44708</v>
      </c>
      <c r="F3005" s="34">
        <v>1737.4</v>
      </c>
      <c r="G3005" s="36">
        <f>Tabla16[[#This Row],[Importe]]-Tabla16[[#This Row],[Pagado]]</f>
        <v>0</v>
      </c>
      <c r="H3005" s="38" t="s">
        <v>10</v>
      </c>
    </row>
    <row r="3006" spans="1:8" x14ac:dyDescent="0.25">
      <c r="A3006" s="31">
        <v>44708</v>
      </c>
      <c r="B3006" s="38" t="s">
        <v>17209</v>
      </c>
      <c r="C3006" s="38" t="s">
        <v>87</v>
      </c>
      <c r="D3006" s="34">
        <v>2568.4</v>
      </c>
      <c r="E3006" s="35">
        <v>44708</v>
      </c>
      <c r="F3006" s="34">
        <v>2568.4</v>
      </c>
      <c r="G3006" s="36">
        <f>Tabla16[[#This Row],[Importe]]-Tabla16[[#This Row],[Pagado]]</f>
        <v>0</v>
      </c>
      <c r="H3006" s="38" t="s">
        <v>10</v>
      </c>
    </row>
    <row r="3007" spans="1:8" x14ac:dyDescent="0.25">
      <c r="A3007" s="31">
        <v>44708</v>
      </c>
      <c r="B3007" s="38" t="s">
        <v>17210</v>
      </c>
      <c r="C3007" s="38" t="s">
        <v>11033</v>
      </c>
      <c r="D3007" s="34">
        <v>2994.9</v>
      </c>
      <c r="E3007" s="35">
        <v>44708</v>
      </c>
      <c r="F3007" s="34">
        <v>2994.9</v>
      </c>
      <c r="G3007" s="36">
        <f>Tabla16[[#This Row],[Importe]]-Tabla16[[#This Row],[Pagado]]</f>
        <v>0</v>
      </c>
      <c r="H3007" s="38" t="s">
        <v>10</v>
      </c>
    </row>
    <row r="3008" spans="1:8" x14ac:dyDescent="0.25">
      <c r="A3008" s="31">
        <v>44708</v>
      </c>
      <c r="B3008" s="38" t="s">
        <v>17211</v>
      </c>
      <c r="C3008" s="38" t="s">
        <v>144</v>
      </c>
      <c r="D3008" s="34">
        <v>4416.5</v>
      </c>
      <c r="E3008" s="35">
        <v>44708</v>
      </c>
      <c r="F3008" s="34">
        <v>4416.5</v>
      </c>
      <c r="G3008" s="36">
        <f>Tabla16[[#This Row],[Importe]]-Tabla16[[#This Row],[Pagado]]</f>
        <v>0</v>
      </c>
      <c r="H3008" s="38" t="s">
        <v>10</v>
      </c>
    </row>
    <row r="3009" spans="1:8" x14ac:dyDescent="0.25">
      <c r="A3009" s="31">
        <v>44708</v>
      </c>
      <c r="B3009" s="38" t="s">
        <v>17212</v>
      </c>
      <c r="C3009" s="38" t="s">
        <v>333</v>
      </c>
      <c r="D3009" s="34">
        <v>1090.2</v>
      </c>
      <c r="E3009" s="35">
        <v>44708</v>
      </c>
      <c r="F3009" s="34">
        <v>1090.2</v>
      </c>
      <c r="G3009" s="36">
        <f>Tabla16[[#This Row],[Importe]]-Tabla16[[#This Row],[Pagado]]</f>
        <v>0</v>
      </c>
      <c r="H3009" s="38" t="s">
        <v>10</v>
      </c>
    </row>
    <row r="3010" spans="1:8" x14ac:dyDescent="0.25">
      <c r="A3010" s="31">
        <v>44708</v>
      </c>
      <c r="B3010" s="38" t="s">
        <v>17213</v>
      </c>
      <c r="C3010" s="38" t="s">
        <v>924</v>
      </c>
      <c r="D3010" s="34">
        <v>14164.4</v>
      </c>
      <c r="E3010" s="35">
        <v>44708</v>
      </c>
      <c r="F3010" s="34">
        <v>14164.4</v>
      </c>
      <c r="G3010" s="36">
        <f>Tabla16[[#This Row],[Importe]]-Tabla16[[#This Row],[Pagado]]</f>
        <v>0</v>
      </c>
      <c r="H3010" s="38" t="s">
        <v>10</v>
      </c>
    </row>
    <row r="3011" spans="1:8" x14ac:dyDescent="0.25">
      <c r="A3011" s="31">
        <v>44708</v>
      </c>
      <c r="B3011" s="38" t="s">
        <v>17214</v>
      </c>
      <c r="C3011" s="38" t="s">
        <v>357</v>
      </c>
      <c r="D3011" s="34">
        <v>1248.9000000000001</v>
      </c>
      <c r="E3011" s="35">
        <v>44708</v>
      </c>
      <c r="F3011" s="34">
        <v>1248.9000000000001</v>
      </c>
      <c r="G3011" s="36">
        <f>Tabla16[[#This Row],[Importe]]-Tabla16[[#This Row],[Pagado]]</f>
        <v>0</v>
      </c>
      <c r="H3011" s="38" t="s">
        <v>10</v>
      </c>
    </row>
    <row r="3012" spans="1:8" x14ac:dyDescent="0.25">
      <c r="A3012" s="31">
        <v>44708</v>
      </c>
      <c r="B3012" s="38" t="s">
        <v>17215</v>
      </c>
      <c r="C3012" s="38" t="s">
        <v>127</v>
      </c>
      <c r="D3012" s="34">
        <v>803.1</v>
      </c>
      <c r="E3012" s="35">
        <v>44708</v>
      </c>
      <c r="F3012" s="34">
        <v>803.1</v>
      </c>
      <c r="G3012" s="36">
        <f>Tabla16[[#This Row],[Importe]]-Tabla16[[#This Row],[Pagado]]</f>
        <v>0</v>
      </c>
      <c r="H3012" s="38" t="s">
        <v>10</v>
      </c>
    </row>
    <row r="3013" spans="1:8" x14ac:dyDescent="0.25">
      <c r="A3013" s="31">
        <v>44708</v>
      </c>
      <c r="B3013" s="38" t="s">
        <v>17216</v>
      </c>
      <c r="C3013" s="38" t="s">
        <v>14168</v>
      </c>
      <c r="D3013" s="34">
        <v>0</v>
      </c>
      <c r="E3013" s="39" t="s">
        <v>189</v>
      </c>
      <c r="F3013" s="34">
        <v>0</v>
      </c>
      <c r="G3013" s="36">
        <f>Tabla16[[#This Row],[Importe]]-Tabla16[[#This Row],[Pagado]]</f>
        <v>0</v>
      </c>
      <c r="H3013" s="40" t="s">
        <v>17217</v>
      </c>
    </row>
    <row r="3014" spans="1:8" x14ac:dyDescent="0.25">
      <c r="A3014" s="31">
        <v>44708</v>
      </c>
      <c r="B3014" s="38" t="s">
        <v>17218</v>
      </c>
      <c r="C3014" s="38" t="s">
        <v>212</v>
      </c>
      <c r="D3014" s="34">
        <v>54413.5</v>
      </c>
      <c r="E3014" s="35">
        <v>44713</v>
      </c>
      <c r="F3014" s="34">
        <v>54413.5</v>
      </c>
      <c r="G3014" s="36">
        <f>Tabla16[[#This Row],[Importe]]-Tabla16[[#This Row],[Pagado]]</f>
        <v>0</v>
      </c>
      <c r="H3014" s="38" t="s">
        <v>10</v>
      </c>
    </row>
    <row r="3015" spans="1:8" x14ac:dyDescent="0.25">
      <c r="A3015" s="31">
        <v>44708</v>
      </c>
      <c r="B3015" s="38" t="s">
        <v>17219</v>
      </c>
      <c r="C3015" s="38" t="s">
        <v>206</v>
      </c>
      <c r="D3015" s="34">
        <v>42417.5</v>
      </c>
      <c r="E3015" s="35">
        <v>44713</v>
      </c>
      <c r="F3015" s="34">
        <v>42417.5</v>
      </c>
      <c r="G3015" s="36">
        <f>Tabla16[[#This Row],[Importe]]-Tabla16[[#This Row],[Pagado]]</f>
        <v>0</v>
      </c>
      <c r="H3015" s="38" t="s">
        <v>10</v>
      </c>
    </row>
    <row r="3016" spans="1:8" x14ac:dyDescent="0.25">
      <c r="A3016" s="31">
        <v>44708</v>
      </c>
      <c r="B3016" s="38" t="s">
        <v>17220</v>
      </c>
      <c r="C3016" s="38" t="s">
        <v>67</v>
      </c>
      <c r="D3016" s="34">
        <v>10248</v>
      </c>
      <c r="E3016" s="35">
        <v>44708</v>
      </c>
      <c r="F3016" s="34">
        <v>10248</v>
      </c>
      <c r="G3016" s="36">
        <f>Tabla16[[#This Row],[Importe]]-Tabla16[[#This Row],[Pagado]]</f>
        <v>0</v>
      </c>
      <c r="H3016" s="38" t="s">
        <v>10</v>
      </c>
    </row>
    <row r="3017" spans="1:8" x14ac:dyDescent="0.25">
      <c r="A3017" s="31">
        <v>44708</v>
      </c>
      <c r="B3017" s="38" t="s">
        <v>17221</v>
      </c>
      <c r="C3017" s="38" t="s">
        <v>49</v>
      </c>
      <c r="D3017" s="34">
        <v>4511.3</v>
      </c>
      <c r="E3017" s="35">
        <v>44708</v>
      </c>
      <c r="F3017" s="34">
        <v>4511.3</v>
      </c>
      <c r="G3017" s="36">
        <f>Tabla16[[#This Row],[Importe]]-Tabla16[[#This Row],[Pagado]]</f>
        <v>0</v>
      </c>
      <c r="H3017" s="38" t="s">
        <v>10</v>
      </c>
    </row>
    <row r="3018" spans="1:8" x14ac:dyDescent="0.25">
      <c r="A3018" s="31">
        <v>44708</v>
      </c>
      <c r="B3018" s="38" t="s">
        <v>17222</v>
      </c>
      <c r="C3018" s="38" t="s">
        <v>85</v>
      </c>
      <c r="D3018" s="34">
        <v>3663.2</v>
      </c>
      <c r="E3018" s="35">
        <v>44708</v>
      </c>
      <c r="F3018" s="34">
        <v>3663.2</v>
      </c>
      <c r="G3018" s="36">
        <f>Tabla16[[#This Row],[Importe]]-Tabla16[[#This Row],[Pagado]]</f>
        <v>0</v>
      </c>
      <c r="H3018" s="38" t="s">
        <v>10</v>
      </c>
    </row>
    <row r="3019" spans="1:8" x14ac:dyDescent="0.25">
      <c r="A3019" s="31">
        <v>44708</v>
      </c>
      <c r="B3019" s="38" t="s">
        <v>17223</v>
      </c>
      <c r="C3019" s="38" t="s">
        <v>75</v>
      </c>
      <c r="D3019" s="34">
        <v>5435.1</v>
      </c>
      <c r="E3019" s="35">
        <v>44708</v>
      </c>
      <c r="F3019" s="34">
        <v>5435.1</v>
      </c>
      <c r="G3019" s="36">
        <f>Tabla16[[#This Row],[Importe]]-Tabla16[[#This Row],[Pagado]]</f>
        <v>0</v>
      </c>
      <c r="H3019" s="38" t="s">
        <v>10</v>
      </c>
    </row>
    <row r="3020" spans="1:8" x14ac:dyDescent="0.25">
      <c r="A3020" s="31">
        <v>44708</v>
      </c>
      <c r="B3020" s="38" t="s">
        <v>17224</v>
      </c>
      <c r="C3020" s="38" t="s">
        <v>200</v>
      </c>
      <c r="D3020" s="34">
        <v>1110.2</v>
      </c>
      <c r="E3020" s="35">
        <v>44708</v>
      </c>
      <c r="F3020" s="34">
        <v>1110.2</v>
      </c>
      <c r="G3020" s="36">
        <f>Tabla16[[#This Row],[Importe]]-Tabla16[[#This Row],[Pagado]]</f>
        <v>0</v>
      </c>
      <c r="H3020" s="38" t="s">
        <v>10</v>
      </c>
    </row>
    <row r="3021" spans="1:8" x14ac:dyDescent="0.25">
      <c r="A3021" s="31">
        <v>44708</v>
      </c>
      <c r="B3021" s="38" t="s">
        <v>17225</v>
      </c>
      <c r="C3021" s="38" t="s">
        <v>140</v>
      </c>
      <c r="D3021" s="34">
        <v>4187.1000000000004</v>
      </c>
      <c r="E3021" s="35">
        <v>44708</v>
      </c>
      <c r="F3021" s="34">
        <v>4187.1000000000004</v>
      </c>
      <c r="G3021" s="36">
        <f>Tabla16[[#This Row],[Importe]]-Tabla16[[#This Row],[Pagado]]</f>
        <v>0</v>
      </c>
      <c r="H3021" s="38" t="s">
        <v>10</v>
      </c>
    </row>
    <row r="3022" spans="1:8" x14ac:dyDescent="0.25">
      <c r="A3022" s="31">
        <v>44708</v>
      </c>
      <c r="B3022" s="38" t="s">
        <v>17226</v>
      </c>
      <c r="C3022" s="38" t="s">
        <v>129</v>
      </c>
      <c r="D3022" s="34">
        <v>3932.5</v>
      </c>
      <c r="E3022" s="35">
        <v>44708</v>
      </c>
      <c r="F3022" s="34">
        <v>3932.5</v>
      </c>
      <c r="G3022" s="36">
        <f>Tabla16[[#This Row],[Importe]]-Tabla16[[#This Row],[Pagado]]</f>
        <v>0</v>
      </c>
      <c r="H3022" s="38" t="s">
        <v>10</v>
      </c>
    </row>
    <row r="3023" spans="1:8" x14ac:dyDescent="0.25">
      <c r="A3023" s="31">
        <v>44708</v>
      </c>
      <c r="B3023" s="38" t="s">
        <v>17227</v>
      </c>
      <c r="C3023" s="38" t="s">
        <v>339</v>
      </c>
      <c r="D3023" s="34">
        <v>558.9</v>
      </c>
      <c r="E3023" s="35">
        <v>44708</v>
      </c>
      <c r="F3023" s="34">
        <v>558.9</v>
      </c>
      <c r="G3023" s="36">
        <f>Tabla16[[#This Row],[Importe]]-Tabla16[[#This Row],[Pagado]]</f>
        <v>0</v>
      </c>
      <c r="H3023" s="38" t="s">
        <v>10</v>
      </c>
    </row>
    <row r="3024" spans="1:8" x14ac:dyDescent="0.25">
      <c r="A3024" s="31">
        <v>44708</v>
      </c>
      <c r="B3024" s="38" t="s">
        <v>17228</v>
      </c>
      <c r="C3024" s="38" t="s">
        <v>208</v>
      </c>
      <c r="D3024" s="34">
        <v>7999.4</v>
      </c>
      <c r="E3024" s="35">
        <v>44709</v>
      </c>
      <c r="F3024" s="34">
        <v>7999.4</v>
      </c>
      <c r="G3024" s="36">
        <f>Tabla16[[#This Row],[Importe]]-Tabla16[[#This Row],[Pagado]]</f>
        <v>0</v>
      </c>
      <c r="H3024" s="38" t="s">
        <v>10</v>
      </c>
    </row>
    <row r="3025" spans="1:8" x14ac:dyDescent="0.25">
      <c r="A3025" s="31">
        <v>44708</v>
      </c>
      <c r="B3025" s="38" t="s">
        <v>17229</v>
      </c>
      <c r="C3025" s="38" t="s">
        <v>481</v>
      </c>
      <c r="D3025" s="34">
        <v>1487.4</v>
      </c>
      <c r="E3025" s="35">
        <v>44708</v>
      </c>
      <c r="F3025" s="34">
        <v>1487.4</v>
      </c>
      <c r="G3025" s="36">
        <f>Tabla16[[#This Row],[Importe]]-Tabla16[[#This Row],[Pagado]]</f>
        <v>0</v>
      </c>
      <c r="H3025" s="38" t="s">
        <v>10</v>
      </c>
    </row>
    <row r="3026" spans="1:8" x14ac:dyDescent="0.25">
      <c r="A3026" s="31">
        <v>44708</v>
      </c>
      <c r="B3026" s="38" t="s">
        <v>17230</v>
      </c>
      <c r="C3026" s="38" t="s">
        <v>878</v>
      </c>
      <c r="D3026" s="34">
        <v>2976</v>
      </c>
      <c r="E3026" s="35">
        <v>44708</v>
      </c>
      <c r="F3026" s="34">
        <v>2976</v>
      </c>
      <c r="G3026" s="36">
        <f>Tabla16[[#This Row],[Importe]]-Tabla16[[#This Row],[Pagado]]</f>
        <v>0</v>
      </c>
      <c r="H3026" s="38" t="s">
        <v>10</v>
      </c>
    </row>
    <row r="3027" spans="1:8" x14ac:dyDescent="0.25">
      <c r="A3027" s="31">
        <v>44708</v>
      </c>
      <c r="B3027" s="38" t="s">
        <v>17231</v>
      </c>
      <c r="C3027" s="38" t="s">
        <v>703</v>
      </c>
      <c r="D3027" s="34">
        <v>4200.8</v>
      </c>
      <c r="E3027" s="35">
        <v>44708</v>
      </c>
      <c r="F3027" s="34">
        <v>4200.8</v>
      </c>
      <c r="G3027" s="36">
        <f>Tabla16[[#This Row],[Importe]]-Tabla16[[#This Row],[Pagado]]</f>
        <v>0</v>
      </c>
      <c r="H3027" s="38" t="s">
        <v>10</v>
      </c>
    </row>
    <row r="3028" spans="1:8" x14ac:dyDescent="0.25">
      <c r="A3028" s="31">
        <v>44708</v>
      </c>
      <c r="B3028" s="38" t="s">
        <v>17232</v>
      </c>
      <c r="C3028" s="38" t="s">
        <v>35</v>
      </c>
      <c r="D3028" s="34">
        <v>2707.4</v>
      </c>
      <c r="E3028" s="35">
        <v>44708</v>
      </c>
      <c r="F3028" s="34">
        <v>2707.4</v>
      </c>
      <c r="G3028" s="36">
        <f>Tabla16[[#This Row],[Importe]]-Tabla16[[#This Row],[Pagado]]</f>
        <v>0</v>
      </c>
      <c r="H3028" s="38" t="s">
        <v>10</v>
      </c>
    </row>
    <row r="3029" spans="1:8" x14ac:dyDescent="0.25">
      <c r="A3029" s="31">
        <v>44708</v>
      </c>
      <c r="B3029" s="38" t="s">
        <v>17233</v>
      </c>
      <c r="C3029" s="38" t="s">
        <v>777</v>
      </c>
      <c r="D3029" s="34">
        <v>408</v>
      </c>
      <c r="E3029" s="35">
        <v>44708</v>
      </c>
      <c r="F3029" s="34">
        <v>408</v>
      </c>
      <c r="G3029" s="36">
        <f>Tabla16[[#This Row],[Importe]]-Tabla16[[#This Row],[Pagado]]</f>
        <v>0</v>
      </c>
      <c r="H3029" s="38" t="s">
        <v>10</v>
      </c>
    </row>
    <row r="3030" spans="1:8" x14ac:dyDescent="0.25">
      <c r="A3030" s="31">
        <v>44708</v>
      </c>
      <c r="B3030" s="38" t="s">
        <v>17234</v>
      </c>
      <c r="C3030" s="38" t="s">
        <v>161</v>
      </c>
      <c r="D3030" s="34">
        <v>3852.8</v>
      </c>
      <c r="E3030" s="35">
        <v>44708</v>
      </c>
      <c r="F3030" s="34">
        <v>3852.8</v>
      </c>
      <c r="G3030" s="36">
        <f>Tabla16[[#This Row],[Importe]]-Tabla16[[#This Row],[Pagado]]</f>
        <v>0</v>
      </c>
      <c r="H3030" s="38" t="s">
        <v>10</v>
      </c>
    </row>
    <row r="3031" spans="1:8" x14ac:dyDescent="0.25">
      <c r="A3031" s="31">
        <v>44708</v>
      </c>
      <c r="B3031" s="38" t="s">
        <v>17235</v>
      </c>
      <c r="C3031" s="38" t="s">
        <v>647</v>
      </c>
      <c r="D3031" s="34">
        <v>2742.2</v>
      </c>
      <c r="E3031" s="35">
        <v>44708</v>
      </c>
      <c r="F3031" s="34">
        <v>2742.2</v>
      </c>
      <c r="G3031" s="36">
        <f>Tabla16[[#This Row],[Importe]]-Tabla16[[#This Row],[Pagado]]</f>
        <v>0</v>
      </c>
      <c r="H3031" s="38" t="s">
        <v>10</v>
      </c>
    </row>
    <row r="3032" spans="1:8" x14ac:dyDescent="0.25">
      <c r="A3032" s="31">
        <v>44708</v>
      </c>
      <c r="B3032" s="38" t="s">
        <v>17236</v>
      </c>
      <c r="C3032" s="38" t="s">
        <v>146</v>
      </c>
      <c r="D3032" s="34">
        <v>2482.6999999999998</v>
      </c>
      <c r="E3032" s="35">
        <v>44708</v>
      </c>
      <c r="F3032" s="34">
        <v>2482.6999999999998</v>
      </c>
      <c r="G3032" s="36">
        <f>Tabla16[[#This Row],[Importe]]-Tabla16[[#This Row],[Pagado]]</f>
        <v>0</v>
      </c>
      <c r="H3032" s="38" t="s">
        <v>10</v>
      </c>
    </row>
    <row r="3033" spans="1:8" x14ac:dyDescent="0.25">
      <c r="A3033" s="31">
        <v>44708</v>
      </c>
      <c r="B3033" s="38" t="s">
        <v>17237</v>
      </c>
      <c r="C3033" s="38" t="s">
        <v>333</v>
      </c>
      <c r="D3033" s="34">
        <v>313.26</v>
      </c>
      <c r="E3033" s="35">
        <v>44708</v>
      </c>
      <c r="F3033" s="34">
        <v>313.26</v>
      </c>
      <c r="G3033" s="36">
        <f>Tabla16[[#This Row],[Importe]]-Tabla16[[#This Row],[Pagado]]</f>
        <v>0</v>
      </c>
      <c r="H3033" s="38" t="s">
        <v>10</v>
      </c>
    </row>
    <row r="3034" spans="1:8" x14ac:dyDescent="0.25">
      <c r="A3034" s="31">
        <v>44708</v>
      </c>
      <c r="B3034" s="38" t="s">
        <v>17238</v>
      </c>
      <c r="C3034" s="38" t="s">
        <v>275</v>
      </c>
      <c r="D3034" s="34">
        <v>70738.720000000001</v>
      </c>
      <c r="E3034" s="35">
        <v>44722</v>
      </c>
      <c r="F3034" s="34">
        <v>70738.720000000001</v>
      </c>
      <c r="G3034" s="36">
        <f>Tabla16[[#This Row],[Importe]]-Tabla16[[#This Row],[Pagado]]</f>
        <v>0</v>
      </c>
      <c r="H3034" s="38" t="s">
        <v>10</v>
      </c>
    </row>
    <row r="3035" spans="1:8" x14ac:dyDescent="0.25">
      <c r="A3035" s="31">
        <v>44708</v>
      </c>
      <c r="B3035" s="38" t="s">
        <v>17239</v>
      </c>
      <c r="C3035" s="38" t="s">
        <v>1265</v>
      </c>
      <c r="D3035" s="34">
        <v>563.5</v>
      </c>
      <c r="E3035" s="35">
        <v>44708</v>
      </c>
      <c r="F3035" s="34">
        <v>563.5</v>
      </c>
      <c r="G3035" s="36">
        <f>Tabla16[[#This Row],[Importe]]-Tabla16[[#This Row],[Pagado]]</f>
        <v>0</v>
      </c>
      <c r="H3035" s="38" t="s">
        <v>10</v>
      </c>
    </row>
    <row r="3036" spans="1:8" x14ac:dyDescent="0.25">
      <c r="A3036" s="31">
        <v>44708</v>
      </c>
      <c r="B3036" s="38" t="s">
        <v>17240</v>
      </c>
      <c r="C3036" s="38" t="s">
        <v>200</v>
      </c>
      <c r="D3036" s="34">
        <v>2671.8</v>
      </c>
      <c r="E3036" s="35">
        <v>44708</v>
      </c>
      <c r="F3036" s="34">
        <v>2671.8</v>
      </c>
      <c r="G3036" s="36">
        <f>Tabla16[[#This Row],[Importe]]-Tabla16[[#This Row],[Pagado]]</f>
        <v>0</v>
      </c>
      <c r="H3036" s="38" t="s">
        <v>10</v>
      </c>
    </row>
    <row r="3037" spans="1:8" x14ac:dyDescent="0.25">
      <c r="A3037" s="31">
        <v>44708</v>
      </c>
      <c r="B3037" s="38" t="s">
        <v>17241</v>
      </c>
      <c r="C3037" s="38" t="s">
        <v>484</v>
      </c>
      <c r="D3037" s="34">
        <v>3876</v>
      </c>
      <c r="E3037" s="35">
        <v>44708</v>
      </c>
      <c r="F3037" s="34">
        <v>3876</v>
      </c>
      <c r="G3037" s="36">
        <f>Tabla16[[#This Row],[Importe]]-Tabla16[[#This Row],[Pagado]]</f>
        <v>0</v>
      </c>
      <c r="H3037" s="38" t="s">
        <v>10</v>
      </c>
    </row>
    <row r="3038" spans="1:8" x14ac:dyDescent="0.25">
      <c r="A3038" s="31">
        <v>44708</v>
      </c>
      <c r="B3038" s="38" t="s">
        <v>17242</v>
      </c>
      <c r="C3038" s="38" t="s">
        <v>200</v>
      </c>
      <c r="D3038" s="34">
        <v>1151.5</v>
      </c>
      <c r="E3038" s="35">
        <v>44708</v>
      </c>
      <c r="F3038" s="34">
        <v>1151.5</v>
      </c>
      <c r="G3038" s="36">
        <f>Tabla16[[#This Row],[Importe]]-Tabla16[[#This Row],[Pagado]]</f>
        <v>0</v>
      </c>
      <c r="H3038" s="38" t="s">
        <v>10</v>
      </c>
    </row>
    <row r="3039" spans="1:8" x14ac:dyDescent="0.25">
      <c r="A3039" s="31">
        <v>44708</v>
      </c>
      <c r="B3039" s="38" t="s">
        <v>17243</v>
      </c>
      <c r="C3039" s="38" t="s">
        <v>179</v>
      </c>
      <c r="D3039" s="34">
        <v>1311.5</v>
      </c>
      <c r="E3039" s="35">
        <v>44708</v>
      </c>
      <c r="F3039" s="34">
        <v>1311.5</v>
      </c>
      <c r="G3039" s="36">
        <f>Tabla16[[#This Row],[Importe]]-Tabla16[[#This Row],[Pagado]]</f>
        <v>0</v>
      </c>
      <c r="H3039" s="38" t="s">
        <v>10</v>
      </c>
    </row>
    <row r="3040" spans="1:8" x14ac:dyDescent="0.25">
      <c r="A3040" s="31">
        <v>44708</v>
      </c>
      <c r="B3040" s="38" t="s">
        <v>17244</v>
      </c>
      <c r="C3040" s="38" t="s">
        <v>592</v>
      </c>
      <c r="D3040" s="34">
        <v>32093.8</v>
      </c>
      <c r="E3040" s="35">
        <v>44716</v>
      </c>
      <c r="F3040" s="34">
        <v>32093.8</v>
      </c>
      <c r="G3040" s="36">
        <f>Tabla16[[#This Row],[Importe]]-Tabla16[[#This Row],[Pagado]]</f>
        <v>0</v>
      </c>
      <c r="H3040" s="38" t="s">
        <v>10</v>
      </c>
    </row>
    <row r="3041" spans="1:8" x14ac:dyDescent="0.25">
      <c r="A3041" s="31">
        <v>44708</v>
      </c>
      <c r="B3041" s="38" t="s">
        <v>17245</v>
      </c>
      <c r="C3041" s="38" t="s">
        <v>53</v>
      </c>
      <c r="D3041" s="34">
        <v>1524.6</v>
      </c>
      <c r="E3041" s="35">
        <v>44708</v>
      </c>
      <c r="F3041" s="34">
        <v>1524.6</v>
      </c>
      <c r="G3041" s="36">
        <f>Tabla16[[#This Row],[Importe]]-Tabla16[[#This Row],[Pagado]]</f>
        <v>0</v>
      </c>
      <c r="H3041" s="38" t="s">
        <v>10</v>
      </c>
    </row>
    <row r="3042" spans="1:8" x14ac:dyDescent="0.25">
      <c r="A3042" s="31">
        <v>44708</v>
      </c>
      <c r="B3042" s="38" t="s">
        <v>17246</v>
      </c>
      <c r="C3042" s="38" t="s">
        <v>142</v>
      </c>
      <c r="D3042" s="34">
        <v>8158.8</v>
      </c>
      <c r="E3042" s="35">
        <v>44760</v>
      </c>
      <c r="F3042" s="34">
        <v>8158.8</v>
      </c>
      <c r="G3042" s="36">
        <f>Tabla16[[#This Row],[Importe]]-Tabla16[[#This Row],[Pagado]]</f>
        <v>0</v>
      </c>
      <c r="H3042" s="38" t="s">
        <v>10</v>
      </c>
    </row>
    <row r="3043" spans="1:8" x14ac:dyDescent="0.25">
      <c r="A3043" s="31">
        <v>44708</v>
      </c>
      <c r="B3043" s="38" t="s">
        <v>17247</v>
      </c>
      <c r="C3043" s="38" t="s">
        <v>191</v>
      </c>
      <c r="D3043" s="34">
        <v>3370.1</v>
      </c>
      <c r="E3043" s="35">
        <v>44708</v>
      </c>
      <c r="F3043" s="34">
        <v>3370.1</v>
      </c>
      <c r="G3043" s="36">
        <f>Tabla16[[#This Row],[Importe]]-Tabla16[[#This Row],[Pagado]]</f>
        <v>0</v>
      </c>
      <c r="H3043" s="38" t="s">
        <v>10</v>
      </c>
    </row>
    <row r="3044" spans="1:8" x14ac:dyDescent="0.25">
      <c r="A3044" s="31">
        <v>44708</v>
      </c>
      <c r="B3044" s="38" t="s">
        <v>17248</v>
      </c>
      <c r="C3044" s="38" t="s">
        <v>5816</v>
      </c>
      <c r="D3044" s="34">
        <v>7154</v>
      </c>
      <c r="E3044" s="35">
        <v>44709</v>
      </c>
      <c r="F3044" s="34">
        <v>7154</v>
      </c>
      <c r="G3044" s="36">
        <f>Tabla16[[#This Row],[Importe]]-Tabla16[[#This Row],[Pagado]]</f>
        <v>0</v>
      </c>
      <c r="H3044" s="38" t="s">
        <v>10</v>
      </c>
    </row>
    <row r="3045" spans="1:8" x14ac:dyDescent="0.25">
      <c r="A3045" s="31">
        <v>44708</v>
      </c>
      <c r="B3045" s="38" t="s">
        <v>17249</v>
      </c>
      <c r="C3045" s="38" t="s">
        <v>173</v>
      </c>
      <c r="D3045" s="34">
        <v>15323.2</v>
      </c>
      <c r="E3045" s="35">
        <v>44709</v>
      </c>
      <c r="F3045" s="34">
        <v>15323.2</v>
      </c>
      <c r="G3045" s="36">
        <f>Tabla16[[#This Row],[Importe]]-Tabla16[[#This Row],[Pagado]]</f>
        <v>0</v>
      </c>
      <c r="H3045" s="38" t="s">
        <v>10</v>
      </c>
    </row>
    <row r="3046" spans="1:8" x14ac:dyDescent="0.25">
      <c r="A3046" s="31">
        <v>44708</v>
      </c>
      <c r="B3046" s="38" t="s">
        <v>17250</v>
      </c>
      <c r="C3046" s="38" t="s">
        <v>27</v>
      </c>
      <c r="D3046" s="34">
        <v>1615.8</v>
      </c>
      <c r="E3046" s="35">
        <v>44708</v>
      </c>
      <c r="F3046" s="34">
        <v>1615.8</v>
      </c>
      <c r="G3046" s="36">
        <f>Tabla16[[#This Row],[Importe]]-Tabla16[[#This Row],[Pagado]]</f>
        <v>0</v>
      </c>
      <c r="H3046" s="38" t="s">
        <v>10</v>
      </c>
    </row>
    <row r="3047" spans="1:8" x14ac:dyDescent="0.25">
      <c r="A3047" s="31">
        <v>44708</v>
      </c>
      <c r="B3047" s="38" t="s">
        <v>17251</v>
      </c>
      <c r="C3047" s="38" t="s">
        <v>289</v>
      </c>
      <c r="D3047" s="34">
        <v>6801.2</v>
      </c>
      <c r="E3047" s="35">
        <v>44708</v>
      </c>
      <c r="F3047" s="34">
        <v>6801.2</v>
      </c>
      <c r="G3047" s="36">
        <f>Tabla16[[#This Row],[Importe]]-Tabla16[[#This Row],[Pagado]]</f>
        <v>0</v>
      </c>
      <c r="H3047" s="38" t="s">
        <v>10</v>
      </c>
    </row>
    <row r="3048" spans="1:8" x14ac:dyDescent="0.25">
      <c r="A3048" s="31">
        <v>44708</v>
      </c>
      <c r="B3048" s="38" t="s">
        <v>17252</v>
      </c>
      <c r="C3048" s="38" t="s">
        <v>1003</v>
      </c>
      <c r="D3048" s="34">
        <v>5041.3</v>
      </c>
      <c r="E3048" s="35">
        <v>44710</v>
      </c>
      <c r="F3048" s="34">
        <v>5041.3</v>
      </c>
      <c r="G3048" s="36">
        <f>Tabla16[[#This Row],[Importe]]-Tabla16[[#This Row],[Pagado]]</f>
        <v>0</v>
      </c>
      <c r="H3048" s="38" t="s">
        <v>10</v>
      </c>
    </row>
    <row r="3049" spans="1:8" x14ac:dyDescent="0.25">
      <c r="A3049" s="31">
        <v>44708</v>
      </c>
      <c r="B3049" s="38" t="s">
        <v>17253</v>
      </c>
      <c r="C3049" s="38" t="s">
        <v>56</v>
      </c>
      <c r="D3049" s="34">
        <v>8339.4</v>
      </c>
      <c r="E3049" s="35">
        <v>44708</v>
      </c>
      <c r="F3049" s="34">
        <v>8339.4</v>
      </c>
      <c r="G3049" s="36">
        <f>Tabla16[[#This Row],[Importe]]-Tabla16[[#This Row],[Pagado]]</f>
        <v>0</v>
      </c>
      <c r="H3049" s="38" t="s">
        <v>10</v>
      </c>
    </row>
    <row r="3050" spans="1:8" x14ac:dyDescent="0.25">
      <c r="A3050" s="31">
        <v>44708</v>
      </c>
      <c r="B3050" s="38" t="s">
        <v>17254</v>
      </c>
      <c r="C3050" s="38" t="s">
        <v>9827</v>
      </c>
      <c r="D3050" s="34">
        <v>2379</v>
      </c>
      <c r="E3050" s="35">
        <v>44708</v>
      </c>
      <c r="F3050" s="34">
        <v>2379</v>
      </c>
      <c r="G3050" s="36">
        <f>Tabla16[[#This Row],[Importe]]-Tabla16[[#This Row],[Pagado]]</f>
        <v>0</v>
      </c>
      <c r="H3050" s="38" t="s">
        <v>10</v>
      </c>
    </row>
    <row r="3051" spans="1:8" x14ac:dyDescent="0.25">
      <c r="A3051" s="31">
        <v>44708</v>
      </c>
      <c r="B3051" s="38" t="s">
        <v>17255</v>
      </c>
      <c r="C3051" s="38" t="s">
        <v>226</v>
      </c>
      <c r="D3051" s="34">
        <v>7899.5</v>
      </c>
      <c r="E3051" s="35">
        <v>44708</v>
      </c>
      <c r="F3051" s="34">
        <v>7899.5</v>
      </c>
      <c r="G3051" s="36">
        <f>Tabla16[[#This Row],[Importe]]-Tabla16[[#This Row],[Pagado]]</f>
        <v>0</v>
      </c>
      <c r="H3051" s="38" t="s">
        <v>10</v>
      </c>
    </row>
    <row r="3052" spans="1:8" x14ac:dyDescent="0.25">
      <c r="A3052" s="31">
        <v>44708</v>
      </c>
      <c r="B3052" s="38" t="s">
        <v>17256</v>
      </c>
      <c r="C3052" s="38" t="s">
        <v>1003</v>
      </c>
      <c r="D3052" s="34">
        <v>756</v>
      </c>
      <c r="E3052" s="35">
        <v>44710</v>
      </c>
      <c r="F3052" s="34">
        <v>756</v>
      </c>
      <c r="G3052" s="36">
        <f>Tabla16[[#This Row],[Importe]]-Tabla16[[#This Row],[Pagado]]</f>
        <v>0</v>
      </c>
      <c r="H3052" s="38" t="s">
        <v>10</v>
      </c>
    </row>
    <row r="3053" spans="1:8" x14ac:dyDescent="0.25">
      <c r="A3053" s="31">
        <v>44708</v>
      </c>
      <c r="B3053" s="38" t="s">
        <v>17257</v>
      </c>
      <c r="C3053" s="38" t="s">
        <v>872</v>
      </c>
      <c r="D3053" s="34">
        <v>4323</v>
      </c>
      <c r="E3053" s="35">
        <v>44708</v>
      </c>
      <c r="F3053" s="34">
        <v>4323</v>
      </c>
      <c r="G3053" s="36">
        <f>Tabla16[[#This Row],[Importe]]-Tabla16[[#This Row],[Pagado]]</f>
        <v>0</v>
      </c>
      <c r="H3053" s="38" t="s">
        <v>10</v>
      </c>
    </row>
    <row r="3054" spans="1:8" x14ac:dyDescent="0.25">
      <c r="A3054" s="31">
        <v>44708</v>
      </c>
      <c r="B3054" s="38" t="s">
        <v>17258</v>
      </c>
      <c r="C3054" s="38" t="s">
        <v>31</v>
      </c>
      <c r="D3054" s="34">
        <v>3405.6</v>
      </c>
      <c r="E3054" s="35">
        <v>44708</v>
      </c>
      <c r="F3054" s="34">
        <v>3405.6</v>
      </c>
      <c r="G3054" s="36">
        <f>Tabla16[[#This Row],[Importe]]-Tabla16[[#This Row],[Pagado]]</f>
        <v>0</v>
      </c>
      <c r="H3054" s="38" t="s">
        <v>10</v>
      </c>
    </row>
    <row r="3055" spans="1:8" x14ac:dyDescent="0.25">
      <c r="A3055" s="31">
        <v>44708</v>
      </c>
      <c r="B3055" s="38" t="s">
        <v>17259</v>
      </c>
      <c r="C3055" s="38" t="s">
        <v>45</v>
      </c>
      <c r="D3055" s="34">
        <v>11466</v>
      </c>
      <c r="E3055" s="35">
        <v>44708</v>
      </c>
      <c r="F3055" s="34">
        <v>11466</v>
      </c>
      <c r="G3055" s="36">
        <f>Tabla16[[#This Row],[Importe]]-Tabla16[[#This Row],[Pagado]]</f>
        <v>0</v>
      </c>
      <c r="H3055" s="38" t="s">
        <v>10</v>
      </c>
    </row>
    <row r="3056" spans="1:8" x14ac:dyDescent="0.25">
      <c r="A3056" s="31">
        <v>44708</v>
      </c>
      <c r="B3056" s="38" t="s">
        <v>17260</v>
      </c>
      <c r="C3056" s="38" t="s">
        <v>10157</v>
      </c>
      <c r="D3056" s="34">
        <v>25409.9</v>
      </c>
      <c r="E3056" s="35">
        <v>44713</v>
      </c>
      <c r="F3056" s="34">
        <v>25409.9</v>
      </c>
      <c r="G3056" s="36">
        <f>Tabla16[[#This Row],[Importe]]-Tabla16[[#This Row],[Pagado]]</f>
        <v>0</v>
      </c>
      <c r="H3056" s="38" t="s">
        <v>10</v>
      </c>
    </row>
    <row r="3057" spans="1:8" ht="31.5" x14ac:dyDescent="0.25">
      <c r="A3057" s="31">
        <v>44708</v>
      </c>
      <c r="B3057" s="38" t="s">
        <v>17261</v>
      </c>
      <c r="C3057" s="38" t="s">
        <v>133</v>
      </c>
      <c r="D3057" s="34">
        <v>32012.799999999999</v>
      </c>
      <c r="E3057" s="35" t="s">
        <v>17783</v>
      </c>
      <c r="F3057" s="34">
        <f>1800+30212.8</f>
        <v>32012.799999999999</v>
      </c>
      <c r="G3057" s="36">
        <f>Tabla16[[#This Row],[Importe]]-Tabla16[[#This Row],[Pagado]]</f>
        <v>0</v>
      </c>
      <c r="H3057" s="38" t="s">
        <v>1695</v>
      </c>
    </row>
    <row r="3058" spans="1:8" x14ac:dyDescent="0.25">
      <c r="A3058" s="31">
        <v>44708</v>
      </c>
      <c r="B3058" s="38" t="s">
        <v>17262</v>
      </c>
      <c r="C3058" s="38" t="s">
        <v>224</v>
      </c>
      <c r="D3058" s="34">
        <v>13529.3</v>
      </c>
      <c r="E3058" s="35">
        <v>44718</v>
      </c>
      <c r="F3058" s="34">
        <v>13529.3</v>
      </c>
      <c r="G3058" s="36">
        <f>Tabla16[[#This Row],[Importe]]-Tabla16[[#This Row],[Pagado]]</f>
        <v>0</v>
      </c>
      <c r="H3058" s="38" t="s">
        <v>10</v>
      </c>
    </row>
    <row r="3059" spans="1:8" x14ac:dyDescent="0.25">
      <c r="A3059" s="31">
        <v>44708</v>
      </c>
      <c r="B3059" s="38" t="s">
        <v>17263</v>
      </c>
      <c r="C3059" s="38" t="s">
        <v>473</v>
      </c>
      <c r="D3059" s="34">
        <v>5115</v>
      </c>
      <c r="E3059" s="35">
        <v>44708</v>
      </c>
      <c r="F3059" s="34">
        <v>5115</v>
      </c>
      <c r="G3059" s="36">
        <f>Tabla16[[#This Row],[Importe]]-Tabla16[[#This Row],[Pagado]]</f>
        <v>0</v>
      </c>
      <c r="H3059" s="38" t="s">
        <v>10</v>
      </c>
    </row>
    <row r="3060" spans="1:8" x14ac:dyDescent="0.25">
      <c r="A3060" s="31">
        <v>44708</v>
      </c>
      <c r="B3060" s="38" t="s">
        <v>17264</v>
      </c>
      <c r="C3060" s="38" t="s">
        <v>230</v>
      </c>
      <c r="D3060" s="34">
        <v>2508.6</v>
      </c>
      <c r="E3060" s="35">
        <v>44708</v>
      </c>
      <c r="F3060" s="34">
        <v>2508.6</v>
      </c>
      <c r="G3060" s="36">
        <f>Tabla16[[#This Row],[Importe]]-Tabla16[[#This Row],[Pagado]]</f>
        <v>0</v>
      </c>
      <c r="H3060" s="38" t="s">
        <v>10</v>
      </c>
    </row>
    <row r="3061" spans="1:8" x14ac:dyDescent="0.25">
      <c r="A3061" s="31">
        <v>44708</v>
      </c>
      <c r="B3061" s="38" t="s">
        <v>17265</v>
      </c>
      <c r="C3061" s="38" t="s">
        <v>31</v>
      </c>
      <c r="D3061" s="34">
        <v>640.5</v>
      </c>
      <c r="E3061" s="35">
        <v>44708</v>
      </c>
      <c r="F3061" s="34">
        <v>640.5</v>
      </c>
      <c r="G3061" s="36">
        <f>Tabla16[[#This Row],[Importe]]-Tabla16[[#This Row],[Pagado]]</f>
        <v>0</v>
      </c>
      <c r="H3061" s="38" t="s">
        <v>10</v>
      </c>
    </row>
    <row r="3062" spans="1:8" x14ac:dyDescent="0.25">
      <c r="A3062" s="31">
        <v>44708</v>
      </c>
      <c r="B3062" s="38" t="s">
        <v>17266</v>
      </c>
      <c r="C3062" s="38" t="s">
        <v>31</v>
      </c>
      <c r="D3062" s="34">
        <v>932.7</v>
      </c>
      <c r="E3062" s="35">
        <v>44708</v>
      </c>
      <c r="F3062" s="34">
        <v>932.7</v>
      </c>
      <c r="G3062" s="36">
        <f>Tabla16[[#This Row],[Importe]]-Tabla16[[#This Row],[Pagado]]</f>
        <v>0</v>
      </c>
      <c r="H3062" s="38" t="s">
        <v>10</v>
      </c>
    </row>
    <row r="3063" spans="1:8" x14ac:dyDescent="0.25">
      <c r="A3063" s="31">
        <v>44708</v>
      </c>
      <c r="B3063" s="38" t="s">
        <v>17267</v>
      </c>
      <c r="C3063" s="38" t="s">
        <v>14</v>
      </c>
      <c r="D3063" s="34">
        <v>28722.6</v>
      </c>
      <c r="E3063" s="35">
        <v>44708</v>
      </c>
      <c r="F3063" s="34">
        <v>28722.6</v>
      </c>
      <c r="G3063" s="36">
        <f>Tabla16[[#This Row],[Importe]]-Tabla16[[#This Row],[Pagado]]</f>
        <v>0</v>
      </c>
      <c r="H3063" s="38" t="s">
        <v>10</v>
      </c>
    </row>
    <row r="3064" spans="1:8" x14ac:dyDescent="0.25">
      <c r="A3064" s="31">
        <v>44708</v>
      </c>
      <c r="B3064" s="38" t="s">
        <v>17268</v>
      </c>
      <c r="C3064" s="38" t="s">
        <v>51</v>
      </c>
      <c r="D3064" s="34">
        <v>3446</v>
      </c>
      <c r="E3064" s="35">
        <v>44708</v>
      </c>
      <c r="F3064" s="34">
        <v>3446</v>
      </c>
      <c r="G3064" s="36">
        <f>Tabla16[[#This Row],[Importe]]-Tabla16[[#This Row],[Pagado]]</f>
        <v>0</v>
      </c>
      <c r="H3064" s="38" t="s">
        <v>10</v>
      </c>
    </row>
    <row r="3065" spans="1:8" x14ac:dyDescent="0.25">
      <c r="A3065" s="31">
        <v>44708</v>
      </c>
      <c r="B3065" s="38" t="s">
        <v>17269</v>
      </c>
      <c r="C3065" s="38" t="s">
        <v>9827</v>
      </c>
      <c r="D3065" s="34">
        <v>3178.1</v>
      </c>
      <c r="E3065" s="35">
        <v>44708</v>
      </c>
      <c r="F3065" s="34">
        <v>3178.1</v>
      </c>
      <c r="G3065" s="36">
        <f>Tabla16[[#This Row],[Importe]]-Tabla16[[#This Row],[Pagado]]</f>
        <v>0</v>
      </c>
      <c r="H3065" s="38" t="s">
        <v>10</v>
      </c>
    </row>
    <row r="3066" spans="1:8" x14ac:dyDescent="0.25">
      <c r="A3066" s="31">
        <v>44708</v>
      </c>
      <c r="B3066" s="38" t="s">
        <v>17270</v>
      </c>
      <c r="C3066" s="38" t="s">
        <v>414</v>
      </c>
      <c r="D3066" s="34">
        <v>25272.5</v>
      </c>
      <c r="E3066" s="35">
        <v>44708</v>
      </c>
      <c r="F3066" s="34">
        <v>25272.5</v>
      </c>
      <c r="G3066" s="36">
        <f>Tabla16[[#This Row],[Importe]]-Tabla16[[#This Row],[Pagado]]</f>
        <v>0</v>
      </c>
      <c r="H3066" s="38" t="s">
        <v>10</v>
      </c>
    </row>
    <row r="3067" spans="1:8" x14ac:dyDescent="0.25">
      <c r="A3067" s="31">
        <v>44708</v>
      </c>
      <c r="B3067" s="38" t="s">
        <v>17271</v>
      </c>
      <c r="C3067" s="38" t="s">
        <v>64</v>
      </c>
      <c r="D3067" s="34">
        <v>2356.8000000000002</v>
      </c>
      <c r="E3067" s="35">
        <v>44708</v>
      </c>
      <c r="F3067" s="34">
        <v>2356.8000000000002</v>
      </c>
      <c r="G3067" s="36">
        <f>Tabla16[[#This Row],[Importe]]-Tabla16[[#This Row],[Pagado]]</f>
        <v>0</v>
      </c>
      <c r="H3067" s="38" t="s">
        <v>10</v>
      </c>
    </row>
    <row r="3068" spans="1:8" x14ac:dyDescent="0.25">
      <c r="A3068" s="31">
        <v>44708</v>
      </c>
      <c r="B3068" s="38" t="s">
        <v>17272</v>
      </c>
      <c r="C3068" s="38" t="s">
        <v>849</v>
      </c>
      <c r="D3068" s="34">
        <v>4247.6000000000004</v>
      </c>
      <c r="E3068" s="35">
        <v>44708</v>
      </c>
      <c r="F3068" s="34">
        <v>4247.6000000000004</v>
      </c>
      <c r="G3068" s="36">
        <f>Tabla16[[#This Row],[Importe]]-Tabla16[[#This Row],[Pagado]]</f>
        <v>0</v>
      </c>
      <c r="H3068" s="38" t="s">
        <v>10</v>
      </c>
    </row>
    <row r="3069" spans="1:8" x14ac:dyDescent="0.25">
      <c r="A3069" s="31">
        <v>44708</v>
      </c>
      <c r="B3069" s="38" t="s">
        <v>17273</v>
      </c>
      <c r="C3069" s="38" t="s">
        <v>67</v>
      </c>
      <c r="D3069" s="34">
        <v>12331.4</v>
      </c>
      <c r="E3069" s="35">
        <v>44708</v>
      </c>
      <c r="F3069" s="34">
        <v>12331.4</v>
      </c>
      <c r="G3069" s="36">
        <f>Tabla16[[#This Row],[Importe]]-Tabla16[[#This Row],[Pagado]]</f>
        <v>0</v>
      </c>
      <c r="H3069" s="38" t="s">
        <v>10</v>
      </c>
    </row>
    <row r="3070" spans="1:8" x14ac:dyDescent="0.25">
      <c r="A3070" s="31">
        <v>44708</v>
      </c>
      <c r="B3070" s="38" t="s">
        <v>17274</v>
      </c>
      <c r="C3070" s="38" t="s">
        <v>419</v>
      </c>
      <c r="D3070" s="34">
        <v>5083.8999999999996</v>
      </c>
      <c r="E3070" s="35">
        <v>44708</v>
      </c>
      <c r="F3070" s="34">
        <v>5083.8999999999996</v>
      </c>
      <c r="G3070" s="36">
        <f>Tabla16[[#This Row],[Importe]]-Tabla16[[#This Row],[Pagado]]</f>
        <v>0</v>
      </c>
      <c r="H3070" s="38" t="s">
        <v>10</v>
      </c>
    </row>
    <row r="3071" spans="1:8" x14ac:dyDescent="0.25">
      <c r="A3071" s="31">
        <v>44708</v>
      </c>
      <c r="B3071" s="38" t="s">
        <v>17275</v>
      </c>
      <c r="C3071" s="38" t="s">
        <v>698</v>
      </c>
      <c r="D3071" s="34">
        <v>5775</v>
      </c>
      <c r="E3071" s="35">
        <v>44708</v>
      </c>
      <c r="F3071" s="34">
        <v>5775</v>
      </c>
      <c r="G3071" s="36">
        <f>Tabla16[[#This Row],[Importe]]-Tabla16[[#This Row],[Pagado]]</f>
        <v>0</v>
      </c>
      <c r="H3071" s="38" t="s">
        <v>10</v>
      </c>
    </row>
    <row r="3072" spans="1:8" x14ac:dyDescent="0.25">
      <c r="A3072" s="31">
        <v>44708</v>
      </c>
      <c r="B3072" s="38" t="s">
        <v>17276</v>
      </c>
      <c r="C3072" s="38" t="s">
        <v>31</v>
      </c>
      <c r="D3072" s="34">
        <v>4990.5</v>
      </c>
      <c r="E3072" s="35">
        <v>44708</v>
      </c>
      <c r="F3072" s="34">
        <v>4990.5</v>
      </c>
      <c r="G3072" s="36">
        <f>Tabla16[[#This Row],[Importe]]-Tabla16[[#This Row],[Pagado]]</f>
        <v>0</v>
      </c>
      <c r="H3072" s="38" t="s">
        <v>10</v>
      </c>
    </row>
    <row r="3073" spans="1:8" x14ac:dyDescent="0.25">
      <c r="A3073" s="31">
        <v>44708</v>
      </c>
      <c r="B3073" s="38" t="s">
        <v>17277</v>
      </c>
      <c r="C3073" s="38" t="s">
        <v>58</v>
      </c>
      <c r="D3073" s="34">
        <v>4385.6000000000004</v>
      </c>
      <c r="E3073" s="35">
        <v>44708</v>
      </c>
      <c r="F3073" s="34">
        <v>4385.6000000000004</v>
      </c>
      <c r="G3073" s="36">
        <f>Tabla16[[#This Row],[Importe]]-Tabla16[[#This Row],[Pagado]]</f>
        <v>0</v>
      </c>
      <c r="H3073" s="38" t="s">
        <v>10</v>
      </c>
    </row>
    <row r="3074" spans="1:8" x14ac:dyDescent="0.25">
      <c r="A3074" s="31">
        <v>44708</v>
      </c>
      <c r="B3074" s="38" t="s">
        <v>17278</v>
      </c>
      <c r="C3074" s="38" t="s">
        <v>31</v>
      </c>
      <c r="D3074" s="34">
        <v>294</v>
      </c>
      <c r="E3074" s="35">
        <v>44708</v>
      </c>
      <c r="F3074" s="34">
        <v>294</v>
      </c>
      <c r="G3074" s="36">
        <f>Tabla16[[#This Row],[Importe]]-Tabla16[[#This Row],[Pagado]]</f>
        <v>0</v>
      </c>
      <c r="H3074" s="38" t="s">
        <v>10</v>
      </c>
    </row>
    <row r="3075" spans="1:8" x14ac:dyDescent="0.25">
      <c r="A3075" s="31">
        <v>44708</v>
      </c>
      <c r="B3075" s="38" t="s">
        <v>17279</v>
      </c>
      <c r="C3075" s="38" t="s">
        <v>33</v>
      </c>
      <c r="D3075" s="34">
        <v>10513.2</v>
      </c>
      <c r="E3075" s="35">
        <v>44708</v>
      </c>
      <c r="F3075" s="34">
        <v>10513.2</v>
      </c>
      <c r="G3075" s="36">
        <f>Tabla16[[#This Row],[Importe]]-Tabla16[[#This Row],[Pagado]]</f>
        <v>0</v>
      </c>
      <c r="H3075" s="38" t="s">
        <v>10</v>
      </c>
    </row>
    <row r="3076" spans="1:8" x14ac:dyDescent="0.25">
      <c r="A3076" s="31">
        <v>44708</v>
      </c>
      <c r="B3076" s="38" t="s">
        <v>17280</v>
      </c>
      <c r="C3076" s="38" t="s">
        <v>284</v>
      </c>
      <c r="D3076" s="34">
        <v>8371.9</v>
      </c>
      <c r="E3076" s="35">
        <v>44709</v>
      </c>
      <c r="F3076" s="34">
        <v>8371.9</v>
      </c>
      <c r="G3076" s="36">
        <f>Tabla16[[#This Row],[Importe]]-Tabla16[[#This Row],[Pagado]]</f>
        <v>0</v>
      </c>
      <c r="H3076" s="38" t="s">
        <v>10</v>
      </c>
    </row>
    <row r="3077" spans="1:8" x14ac:dyDescent="0.25">
      <c r="A3077" s="31">
        <v>44708</v>
      </c>
      <c r="B3077" s="38" t="s">
        <v>17281</v>
      </c>
      <c r="C3077" s="38" t="s">
        <v>282</v>
      </c>
      <c r="D3077" s="34">
        <v>5111.8</v>
      </c>
      <c r="E3077" s="35">
        <v>44709</v>
      </c>
      <c r="F3077" s="34">
        <v>5111.8</v>
      </c>
      <c r="G3077" s="36">
        <f>Tabla16[[#This Row],[Importe]]-Tabla16[[#This Row],[Pagado]]</f>
        <v>0</v>
      </c>
      <c r="H3077" s="38" t="s">
        <v>10</v>
      </c>
    </row>
    <row r="3078" spans="1:8" x14ac:dyDescent="0.25">
      <c r="A3078" s="31">
        <v>44708</v>
      </c>
      <c r="B3078" s="38" t="s">
        <v>17282</v>
      </c>
      <c r="C3078" s="38" t="s">
        <v>10819</v>
      </c>
      <c r="D3078" s="34">
        <v>603.9</v>
      </c>
      <c r="E3078" s="35">
        <v>44709</v>
      </c>
      <c r="F3078" s="34">
        <v>603.9</v>
      </c>
      <c r="G3078" s="36">
        <f>Tabla16[[#This Row],[Importe]]-Tabla16[[#This Row],[Pagado]]</f>
        <v>0</v>
      </c>
      <c r="H3078" s="38" t="s">
        <v>10</v>
      </c>
    </row>
    <row r="3079" spans="1:8" x14ac:dyDescent="0.25">
      <c r="A3079" s="31">
        <v>44708</v>
      </c>
      <c r="B3079" s="38" t="s">
        <v>17283</v>
      </c>
      <c r="C3079" s="38" t="s">
        <v>280</v>
      </c>
      <c r="D3079" s="34">
        <v>994.3</v>
      </c>
      <c r="E3079" s="35">
        <v>44709</v>
      </c>
      <c r="F3079" s="34">
        <v>994.3</v>
      </c>
      <c r="G3079" s="36">
        <f>Tabla16[[#This Row],[Importe]]-Tabla16[[#This Row],[Pagado]]</f>
        <v>0</v>
      </c>
      <c r="H3079" s="38" t="s">
        <v>10</v>
      </c>
    </row>
    <row r="3080" spans="1:8" x14ac:dyDescent="0.25">
      <c r="A3080" s="31">
        <v>44708</v>
      </c>
      <c r="B3080" s="38" t="s">
        <v>17284</v>
      </c>
      <c r="C3080" s="38" t="s">
        <v>175</v>
      </c>
      <c r="D3080" s="34">
        <v>32382.400000000001</v>
      </c>
      <c r="E3080" s="35">
        <v>44709</v>
      </c>
      <c r="F3080" s="34">
        <v>32382.400000000001</v>
      </c>
      <c r="G3080" s="36">
        <f>Tabla16[[#This Row],[Importe]]-Tabla16[[#This Row],[Pagado]]</f>
        <v>0</v>
      </c>
      <c r="H3080" s="38" t="s">
        <v>10</v>
      </c>
    </row>
    <row r="3081" spans="1:8" x14ac:dyDescent="0.25">
      <c r="A3081" s="31">
        <v>44708</v>
      </c>
      <c r="B3081" s="38" t="s">
        <v>17285</v>
      </c>
      <c r="C3081" s="38" t="s">
        <v>142</v>
      </c>
      <c r="D3081" s="34">
        <v>9299</v>
      </c>
      <c r="E3081" s="35">
        <v>44760</v>
      </c>
      <c r="F3081" s="34">
        <v>9299</v>
      </c>
      <c r="G3081" s="36">
        <f>Tabla16[[#This Row],[Importe]]-Tabla16[[#This Row],[Pagado]]</f>
        <v>0</v>
      </c>
      <c r="H3081" s="38" t="s">
        <v>10</v>
      </c>
    </row>
    <row r="3082" spans="1:8" x14ac:dyDescent="0.25">
      <c r="A3082" s="31">
        <v>44708</v>
      </c>
      <c r="B3082" s="38" t="s">
        <v>17286</v>
      </c>
      <c r="C3082" s="38" t="s">
        <v>47</v>
      </c>
      <c r="D3082" s="34">
        <v>62842.7</v>
      </c>
      <c r="E3082" s="35">
        <v>44708</v>
      </c>
      <c r="F3082" s="34">
        <v>62842.7</v>
      </c>
      <c r="G3082" s="36">
        <f>Tabla16[[#This Row],[Importe]]-Tabla16[[#This Row],[Pagado]]</f>
        <v>0</v>
      </c>
      <c r="H3082" s="38" t="s">
        <v>10</v>
      </c>
    </row>
    <row r="3083" spans="1:8" x14ac:dyDescent="0.25">
      <c r="A3083" s="31">
        <v>44708</v>
      </c>
      <c r="B3083" s="38" t="s">
        <v>17287</v>
      </c>
      <c r="C3083" s="38" t="s">
        <v>31</v>
      </c>
      <c r="D3083" s="34">
        <v>2070</v>
      </c>
      <c r="E3083" s="35">
        <v>44708</v>
      </c>
      <c r="F3083" s="34">
        <v>2070</v>
      </c>
      <c r="G3083" s="36">
        <f>Tabla16[[#This Row],[Importe]]-Tabla16[[#This Row],[Pagado]]</f>
        <v>0</v>
      </c>
      <c r="H3083" s="38" t="s">
        <v>10</v>
      </c>
    </row>
    <row r="3084" spans="1:8" x14ac:dyDescent="0.25">
      <c r="A3084" s="31">
        <v>44708</v>
      </c>
      <c r="B3084" s="38" t="s">
        <v>17288</v>
      </c>
      <c r="C3084" s="38" t="s">
        <v>204</v>
      </c>
      <c r="D3084" s="34">
        <v>2368</v>
      </c>
      <c r="E3084" s="35">
        <v>44708</v>
      </c>
      <c r="F3084" s="34">
        <v>2368</v>
      </c>
      <c r="G3084" s="36">
        <f>Tabla16[[#This Row],[Importe]]-Tabla16[[#This Row],[Pagado]]</f>
        <v>0</v>
      </c>
      <c r="H3084" s="38" t="s">
        <v>10</v>
      </c>
    </row>
    <row r="3085" spans="1:8" x14ac:dyDescent="0.25">
      <c r="A3085" s="31">
        <v>44708</v>
      </c>
      <c r="B3085" s="38" t="s">
        <v>17289</v>
      </c>
      <c r="C3085" s="38" t="s">
        <v>33</v>
      </c>
      <c r="D3085" s="34">
        <v>396</v>
      </c>
      <c r="E3085" s="35">
        <v>44708</v>
      </c>
      <c r="F3085" s="34">
        <v>396</v>
      </c>
      <c r="G3085" s="36">
        <f>Tabla16[[#This Row],[Importe]]-Tabla16[[#This Row],[Pagado]]</f>
        <v>0</v>
      </c>
      <c r="H3085" s="38" t="s">
        <v>10</v>
      </c>
    </row>
    <row r="3086" spans="1:8" x14ac:dyDescent="0.25">
      <c r="A3086" s="31">
        <v>44708</v>
      </c>
      <c r="B3086" s="38" t="s">
        <v>17290</v>
      </c>
      <c r="C3086" s="38" t="s">
        <v>3900</v>
      </c>
      <c r="D3086" s="34">
        <v>1033.5999999999999</v>
      </c>
      <c r="E3086" s="35">
        <v>44708</v>
      </c>
      <c r="F3086" s="34">
        <v>1033.5999999999999</v>
      </c>
      <c r="G3086" s="36">
        <f>Tabla16[[#This Row],[Importe]]-Tabla16[[#This Row],[Pagado]]</f>
        <v>0</v>
      </c>
      <c r="H3086" s="38" t="s">
        <v>10</v>
      </c>
    </row>
    <row r="3087" spans="1:8" x14ac:dyDescent="0.25">
      <c r="A3087" s="31">
        <v>44708</v>
      </c>
      <c r="B3087" s="38" t="s">
        <v>17291</v>
      </c>
      <c r="C3087" s="38" t="s">
        <v>732</v>
      </c>
      <c r="D3087" s="34">
        <v>7656</v>
      </c>
      <c r="E3087" s="35">
        <v>44708</v>
      </c>
      <c r="F3087" s="34">
        <v>7656</v>
      </c>
      <c r="G3087" s="36">
        <f>Tabla16[[#This Row],[Importe]]-Tabla16[[#This Row],[Pagado]]</f>
        <v>0</v>
      </c>
      <c r="H3087" s="38" t="s">
        <v>10</v>
      </c>
    </row>
    <row r="3088" spans="1:8" x14ac:dyDescent="0.25">
      <c r="A3088" s="31">
        <v>44708</v>
      </c>
      <c r="B3088" s="38" t="s">
        <v>17292</v>
      </c>
      <c r="C3088" s="38" t="s">
        <v>2139</v>
      </c>
      <c r="D3088" s="34">
        <v>2713.3</v>
      </c>
      <c r="E3088" s="35">
        <v>44708</v>
      </c>
      <c r="F3088" s="34">
        <v>2713.3</v>
      </c>
      <c r="G3088" s="36">
        <f>Tabla16[[#This Row],[Importe]]-Tabla16[[#This Row],[Pagado]]</f>
        <v>0</v>
      </c>
      <c r="H3088" s="38" t="s">
        <v>10</v>
      </c>
    </row>
    <row r="3089" spans="1:8" x14ac:dyDescent="0.25">
      <c r="A3089" s="31">
        <v>44708</v>
      </c>
      <c r="B3089" s="38" t="s">
        <v>17293</v>
      </c>
      <c r="C3089" s="38" t="s">
        <v>365</v>
      </c>
      <c r="D3089" s="34">
        <v>823.4</v>
      </c>
      <c r="E3089" s="35">
        <v>44708</v>
      </c>
      <c r="F3089" s="34">
        <v>823.4</v>
      </c>
      <c r="G3089" s="36">
        <f>Tabla16[[#This Row],[Importe]]-Tabla16[[#This Row],[Pagado]]</f>
        <v>0</v>
      </c>
      <c r="H3089" s="38" t="s">
        <v>10</v>
      </c>
    </row>
    <row r="3090" spans="1:8" x14ac:dyDescent="0.25">
      <c r="A3090" s="31">
        <v>44708</v>
      </c>
      <c r="B3090" s="38" t="s">
        <v>17294</v>
      </c>
      <c r="C3090" s="38" t="s">
        <v>191</v>
      </c>
      <c r="D3090" s="34">
        <v>480</v>
      </c>
      <c r="E3090" s="35">
        <v>44708</v>
      </c>
      <c r="F3090" s="34">
        <v>480</v>
      </c>
      <c r="G3090" s="36">
        <f>Tabla16[[#This Row],[Importe]]-Tabla16[[#This Row],[Pagado]]</f>
        <v>0</v>
      </c>
      <c r="H3090" s="38" t="s">
        <v>10</v>
      </c>
    </row>
    <row r="3091" spans="1:8" x14ac:dyDescent="0.25">
      <c r="A3091" s="31">
        <v>44708</v>
      </c>
      <c r="B3091" s="38" t="s">
        <v>17295</v>
      </c>
      <c r="C3091" s="38" t="s">
        <v>994</v>
      </c>
      <c r="D3091" s="34">
        <v>1773</v>
      </c>
      <c r="E3091" s="35">
        <v>44708</v>
      </c>
      <c r="F3091" s="34">
        <v>1773</v>
      </c>
      <c r="G3091" s="36">
        <f>Tabla16[[#This Row],[Importe]]-Tabla16[[#This Row],[Pagado]]</f>
        <v>0</v>
      </c>
      <c r="H3091" s="38" t="s">
        <v>10</v>
      </c>
    </row>
    <row r="3092" spans="1:8" x14ac:dyDescent="0.25">
      <c r="A3092" s="31">
        <v>44708</v>
      </c>
      <c r="B3092" s="38" t="s">
        <v>17296</v>
      </c>
      <c r="C3092" s="38" t="s">
        <v>261</v>
      </c>
      <c r="D3092" s="34">
        <v>47964.05</v>
      </c>
      <c r="E3092" s="35">
        <v>44708</v>
      </c>
      <c r="F3092" s="34">
        <v>47964.05</v>
      </c>
      <c r="G3092" s="36">
        <f>Tabla16[[#This Row],[Importe]]-Tabla16[[#This Row],[Pagado]]</f>
        <v>0</v>
      </c>
      <c r="H3092" s="38" t="s">
        <v>10</v>
      </c>
    </row>
    <row r="3093" spans="1:8" x14ac:dyDescent="0.25">
      <c r="A3093" s="31">
        <v>44708</v>
      </c>
      <c r="B3093" s="38" t="s">
        <v>17297</v>
      </c>
      <c r="C3093" s="38" t="s">
        <v>555</v>
      </c>
      <c r="D3093" s="34">
        <v>24795</v>
      </c>
      <c r="E3093" s="35">
        <v>44708</v>
      </c>
      <c r="F3093" s="34">
        <v>24795</v>
      </c>
      <c r="G3093" s="36">
        <f>Tabla16[[#This Row],[Importe]]-Tabla16[[#This Row],[Pagado]]</f>
        <v>0</v>
      </c>
      <c r="H3093" s="38" t="s">
        <v>10</v>
      </c>
    </row>
    <row r="3094" spans="1:8" x14ac:dyDescent="0.25">
      <c r="A3094" s="31">
        <v>44708</v>
      </c>
      <c r="B3094" s="38" t="s">
        <v>17298</v>
      </c>
      <c r="C3094" s="38" t="s">
        <v>298</v>
      </c>
      <c r="D3094" s="34">
        <v>1664.4</v>
      </c>
      <c r="E3094" s="35">
        <v>44708</v>
      </c>
      <c r="F3094" s="34">
        <v>1664.4</v>
      </c>
      <c r="G3094" s="36">
        <f>Tabla16[[#This Row],[Importe]]-Tabla16[[#This Row],[Pagado]]</f>
        <v>0</v>
      </c>
      <c r="H3094" s="38" t="s">
        <v>10</v>
      </c>
    </row>
    <row r="3095" spans="1:8" x14ac:dyDescent="0.25">
      <c r="A3095" s="31">
        <v>44708</v>
      </c>
      <c r="B3095" s="38" t="s">
        <v>17299</v>
      </c>
      <c r="C3095" s="38" t="s">
        <v>647</v>
      </c>
      <c r="D3095" s="34">
        <v>612.5</v>
      </c>
      <c r="E3095" s="35">
        <v>44708</v>
      </c>
      <c r="F3095" s="34">
        <v>612.5</v>
      </c>
      <c r="G3095" s="36">
        <f>Tabla16[[#This Row],[Importe]]-Tabla16[[#This Row],[Pagado]]</f>
        <v>0</v>
      </c>
      <c r="H3095" s="38" t="s">
        <v>10</v>
      </c>
    </row>
    <row r="3096" spans="1:8" x14ac:dyDescent="0.25">
      <c r="A3096" s="31">
        <v>44708</v>
      </c>
      <c r="B3096" s="38" t="s">
        <v>17300</v>
      </c>
      <c r="C3096" s="38" t="s">
        <v>296</v>
      </c>
      <c r="D3096" s="34">
        <v>2340.1999999999998</v>
      </c>
      <c r="E3096" s="35">
        <v>44708</v>
      </c>
      <c r="F3096" s="34">
        <v>2340.1999999999998</v>
      </c>
      <c r="G3096" s="36">
        <f>Tabla16[[#This Row],[Importe]]-Tabla16[[#This Row],[Pagado]]</f>
        <v>0</v>
      </c>
      <c r="H3096" s="38" t="s">
        <v>10</v>
      </c>
    </row>
    <row r="3097" spans="1:8" x14ac:dyDescent="0.25">
      <c r="A3097" s="31">
        <v>44708</v>
      </c>
      <c r="B3097" s="38" t="s">
        <v>17301</v>
      </c>
      <c r="C3097" s="38" t="s">
        <v>24</v>
      </c>
      <c r="D3097" s="34">
        <v>545.6</v>
      </c>
      <c r="E3097" s="35">
        <v>44708</v>
      </c>
      <c r="F3097" s="34">
        <v>545.6</v>
      </c>
      <c r="G3097" s="36">
        <f>Tabla16[[#This Row],[Importe]]-Tabla16[[#This Row],[Pagado]]</f>
        <v>0</v>
      </c>
      <c r="H3097" s="38" t="s">
        <v>10</v>
      </c>
    </row>
    <row r="3098" spans="1:8" x14ac:dyDescent="0.25">
      <c r="A3098" s="31">
        <v>44708</v>
      </c>
      <c r="B3098" s="38" t="s">
        <v>17302</v>
      </c>
      <c r="C3098" s="38" t="s">
        <v>857</v>
      </c>
      <c r="D3098" s="34">
        <v>1045.8</v>
      </c>
      <c r="E3098" s="35">
        <v>44708</v>
      </c>
      <c r="F3098" s="34">
        <v>1045.8</v>
      </c>
      <c r="G3098" s="36">
        <f>Tabla16[[#This Row],[Importe]]-Tabla16[[#This Row],[Pagado]]</f>
        <v>0</v>
      </c>
      <c r="H3098" s="38" t="s">
        <v>10</v>
      </c>
    </row>
    <row r="3099" spans="1:8" x14ac:dyDescent="0.25">
      <c r="A3099" s="31">
        <v>44708</v>
      </c>
      <c r="B3099" s="38" t="s">
        <v>17303</v>
      </c>
      <c r="C3099" s="38" t="s">
        <v>9415</v>
      </c>
      <c r="D3099" s="34">
        <v>13292.8</v>
      </c>
      <c r="E3099" s="35">
        <v>44720</v>
      </c>
      <c r="F3099" s="34">
        <v>13292.8</v>
      </c>
      <c r="G3099" s="36">
        <f>Tabla16[[#This Row],[Importe]]-Tabla16[[#This Row],[Pagado]]</f>
        <v>0</v>
      </c>
      <c r="H3099" s="38" t="s">
        <v>10</v>
      </c>
    </row>
    <row r="3100" spans="1:8" x14ac:dyDescent="0.25">
      <c r="A3100" s="31">
        <v>44708</v>
      </c>
      <c r="B3100" s="38" t="s">
        <v>17304</v>
      </c>
      <c r="C3100" s="38" t="s">
        <v>107</v>
      </c>
      <c r="D3100" s="34">
        <v>12749.9</v>
      </c>
      <c r="E3100" s="35">
        <v>44708</v>
      </c>
      <c r="F3100" s="34">
        <v>12749.9</v>
      </c>
      <c r="G3100" s="36">
        <f>Tabla16[[#This Row],[Importe]]-Tabla16[[#This Row],[Pagado]]</f>
        <v>0</v>
      </c>
      <c r="H3100" s="38" t="s">
        <v>10</v>
      </c>
    </row>
    <row r="3101" spans="1:8" x14ac:dyDescent="0.25">
      <c r="A3101" s="31">
        <v>44708</v>
      </c>
      <c r="B3101" s="38" t="s">
        <v>17305</v>
      </c>
      <c r="C3101" s="38" t="s">
        <v>275</v>
      </c>
      <c r="D3101" s="34">
        <v>85296.42</v>
      </c>
      <c r="E3101" s="35">
        <v>44722</v>
      </c>
      <c r="F3101" s="34">
        <v>85296.42</v>
      </c>
      <c r="G3101" s="36">
        <f>Tabla16[[#This Row],[Importe]]-Tabla16[[#This Row],[Pagado]]</f>
        <v>0</v>
      </c>
      <c r="H3101" s="38" t="s">
        <v>10</v>
      </c>
    </row>
    <row r="3102" spans="1:8" x14ac:dyDescent="0.25">
      <c r="A3102" s="31">
        <v>44708</v>
      </c>
      <c r="B3102" s="38" t="s">
        <v>17306</v>
      </c>
      <c r="C3102" s="38" t="s">
        <v>246</v>
      </c>
      <c r="D3102" s="34">
        <v>52594</v>
      </c>
      <c r="E3102" s="35">
        <v>44708</v>
      </c>
      <c r="F3102" s="34">
        <v>52594</v>
      </c>
      <c r="G3102" s="36">
        <f>Tabla16[[#This Row],[Importe]]-Tabla16[[#This Row],[Pagado]]</f>
        <v>0</v>
      </c>
      <c r="H3102" s="38" t="s">
        <v>10</v>
      </c>
    </row>
    <row r="3103" spans="1:8" x14ac:dyDescent="0.25">
      <c r="A3103" s="31">
        <v>44708</v>
      </c>
      <c r="B3103" s="38" t="s">
        <v>17307</v>
      </c>
      <c r="C3103" s="38" t="s">
        <v>31</v>
      </c>
      <c r="D3103" s="34">
        <v>105</v>
      </c>
      <c r="E3103" s="35">
        <v>44710</v>
      </c>
      <c r="F3103" s="34">
        <v>105</v>
      </c>
      <c r="G3103" s="36">
        <f>Tabla16[[#This Row],[Importe]]-Tabla16[[#This Row],[Pagado]]</f>
        <v>0</v>
      </c>
      <c r="H3103" s="38" t="s">
        <v>10</v>
      </c>
    </row>
    <row r="3104" spans="1:8" x14ac:dyDescent="0.25">
      <c r="A3104" s="31">
        <v>44708</v>
      </c>
      <c r="B3104" s="38" t="s">
        <v>17308</v>
      </c>
      <c r="C3104" s="38" t="s">
        <v>16</v>
      </c>
      <c r="D3104" s="34">
        <v>539</v>
      </c>
      <c r="E3104" s="35">
        <v>44708</v>
      </c>
      <c r="F3104" s="34">
        <v>539</v>
      </c>
      <c r="G3104" s="36">
        <f>Tabla16[[#This Row],[Importe]]-Tabla16[[#This Row],[Pagado]]</f>
        <v>0</v>
      </c>
      <c r="H3104" s="38" t="s">
        <v>10</v>
      </c>
    </row>
    <row r="3105" spans="1:8" x14ac:dyDescent="0.25">
      <c r="A3105" s="31">
        <v>44708</v>
      </c>
      <c r="B3105" s="38" t="s">
        <v>17309</v>
      </c>
      <c r="C3105" s="38" t="s">
        <v>53</v>
      </c>
      <c r="D3105" s="34">
        <v>238</v>
      </c>
      <c r="E3105" s="35">
        <v>44708</v>
      </c>
      <c r="F3105" s="34">
        <v>238</v>
      </c>
      <c r="G3105" s="36">
        <f>Tabla16[[#This Row],[Importe]]-Tabla16[[#This Row],[Pagado]]</f>
        <v>0</v>
      </c>
      <c r="H3105" s="38" t="s">
        <v>10</v>
      </c>
    </row>
    <row r="3106" spans="1:8" x14ac:dyDescent="0.25">
      <c r="A3106" s="31">
        <v>44708</v>
      </c>
      <c r="B3106" s="38" t="s">
        <v>17310</v>
      </c>
      <c r="C3106" s="38" t="s">
        <v>11383</v>
      </c>
      <c r="D3106" s="34">
        <v>31563</v>
      </c>
      <c r="E3106" s="35">
        <v>44708</v>
      </c>
      <c r="F3106" s="34">
        <v>31563</v>
      </c>
      <c r="G3106" s="36">
        <f>Tabla16[[#This Row],[Importe]]-Tabla16[[#This Row],[Pagado]]</f>
        <v>0</v>
      </c>
      <c r="H3106" s="38" t="s">
        <v>10</v>
      </c>
    </row>
    <row r="3107" spans="1:8" x14ac:dyDescent="0.25">
      <c r="A3107" s="31">
        <v>44708</v>
      </c>
      <c r="B3107" s="38" t="s">
        <v>17311</v>
      </c>
      <c r="C3107" s="38" t="s">
        <v>10678</v>
      </c>
      <c r="D3107" s="34">
        <v>3181</v>
      </c>
      <c r="E3107" s="35">
        <v>44708</v>
      </c>
      <c r="F3107" s="34">
        <v>3181</v>
      </c>
      <c r="G3107" s="36">
        <f>Tabla16[[#This Row],[Importe]]-Tabla16[[#This Row],[Pagado]]</f>
        <v>0</v>
      </c>
      <c r="H3107" s="38" t="s">
        <v>10</v>
      </c>
    </row>
    <row r="3108" spans="1:8" x14ac:dyDescent="0.25">
      <c r="A3108" s="31">
        <v>44708</v>
      </c>
      <c r="B3108" s="38" t="s">
        <v>17312</v>
      </c>
      <c r="C3108" s="38" t="s">
        <v>11383</v>
      </c>
      <c r="D3108" s="34">
        <v>2629.2</v>
      </c>
      <c r="E3108" s="35">
        <v>44708</v>
      </c>
      <c r="F3108" s="34">
        <v>2629.2</v>
      </c>
      <c r="G3108" s="36">
        <f>Tabla16[[#This Row],[Importe]]-Tabla16[[#This Row],[Pagado]]</f>
        <v>0</v>
      </c>
      <c r="H3108" s="38" t="s">
        <v>10</v>
      </c>
    </row>
    <row r="3109" spans="1:8" x14ac:dyDescent="0.25">
      <c r="A3109" s="31">
        <v>44708</v>
      </c>
      <c r="B3109" s="38" t="s">
        <v>17313</v>
      </c>
      <c r="C3109" s="38" t="s">
        <v>31</v>
      </c>
      <c r="D3109" s="34">
        <v>5429.6</v>
      </c>
      <c r="E3109" s="35">
        <v>44708</v>
      </c>
      <c r="F3109" s="34">
        <v>5429.6</v>
      </c>
      <c r="G3109" s="36">
        <f>Tabla16[[#This Row],[Importe]]-Tabla16[[#This Row],[Pagado]]</f>
        <v>0</v>
      </c>
      <c r="H3109" s="38" t="s">
        <v>10</v>
      </c>
    </row>
    <row r="3110" spans="1:8" x14ac:dyDescent="0.25">
      <c r="A3110" s="31">
        <v>44708</v>
      </c>
      <c r="B3110" s="38" t="s">
        <v>17314</v>
      </c>
      <c r="C3110" s="38" t="s">
        <v>452</v>
      </c>
      <c r="D3110" s="34">
        <v>3797.8</v>
      </c>
      <c r="E3110" s="35">
        <v>44708</v>
      </c>
      <c r="F3110" s="34">
        <v>3797.8</v>
      </c>
      <c r="G3110" s="36">
        <f>Tabla16[[#This Row],[Importe]]-Tabla16[[#This Row],[Pagado]]</f>
        <v>0</v>
      </c>
      <c r="H3110" s="38" t="s">
        <v>10</v>
      </c>
    </row>
    <row r="3111" spans="1:8" x14ac:dyDescent="0.25">
      <c r="A3111" s="31">
        <v>44708</v>
      </c>
      <c r="B3111" s="38" t="s">
        <v>17315</v>
      </c>
      <c r="C3111" s="38" t="s">
        <v>31</v>
      </c>
      <c r="D3111" s="34">
        <v>390.4</v>
      </c>
      <c r="E3111" s="35">
        <v>44708</v>
      </c>
      <c r="F3111" s="34">
        <v>390.4</v>
      </c>
      <c r="G3111" s="36">
        <f>Tabla16[[#This Row],[Importe]]-Tabla16[[#This Row],[Pagado]]</f>
        <v>0</v>
      </c>
      <c r="H3111" s="38" t="s">
        <v>10</v>
      </c>
    </row>
    <row r="3112" spans="1:8" x14ac:dyDescent="0.25">
      <c r="A3112" s="31">
        <v>44708</v>
      </c>
      <c r="B3112" s="38" t="s">
        <v>17316</v>
      </c>
      <c r="C3112" s="38" t="s">
        <v>31</v>
      </c>
      <c r="D3112" s="34">
        <v>8060</v>
      </c>
      <c r="E3112" s="35">
        <v>44708</v>
      </c>
      <c r="F3112" s="34">
        <v>8060</v>
      </c>
      <c r="G3112" s="36">
        <f>Tabla16[[#This Row],[Importe]]-Tabla16[[#This Row],[Pagado]]</f>
        <v>0</v>
      </c>
      <c r="H3112" s="38" t="s">
        <v>10</v>
      </c>
    </row>
    <row r="3113" spans="1:8" x14ac:dyDescent="0.25">
      <c r="A3113" s="31">
        <v>44708</v>
      </c>
      <c r="B3113" s="38" t="s">
        <v>17317</v>
      </c>
      <c r="C3113" s="38" t="s">
        <v>31</v>
      </c>
      <c r="D3113" s="34">
        <v>296</v>
      </c>
      <c r="E3113" s="35">
        <v>44708</v>
      </c>
      <c r="F3113" s="34">
        <v>296</v>
      </c>
      <c r="G3113" s="36">
        <f>Tabla16[[#This Row],[Importe]]-Tabla16[[#This Row],[Pagado]]</f>
        <v>0</v>
      </c>
      <c r="H3113" s="38" t="s">
        <v>10</v>
      </c>
    </row>
    <row r="3114" spans="1:8" x14ac:dyDescent="0.25">
      <c r="A3114" s="31">
        <v>44708</v>
      </c>
      <c r="B3114" s="38" t="s">
        <v>17318</v>
      </c>
      <c r="C3114" s="38" t="s">
        <v>6273</v>
      </c>
      <c r="D3114" s="34">
        <v>817.5</v>
      </c>
      <c r="E3114" s="35">
        <v>44709</v>
      </c>
      <c r="F3114" s="34">
        <v>817.5</v>
      </c>
      <c r="G3114" s="36">
        <f>Tabla16[[#This Row],[Importe]]-Tabla16[[#This Row],[Pagado]]</f>
        <v>0</v>
      </c>
      <c r="H3114" s="38" t="s">
        <v>10</v>
      </c>
    </row>
    <row r="3115" spans="1:8" x14ac:dyDescent="0.25">
      <c r="A3115" s="31">
        <v>44708</v>
      </c>
      <c r="B3115" s="38" t="s">
        <v>17319</v>
      </c>
      <c r="C3115" s="38" t="s">
        <v>7444</v>
      </c>
      <c r="D3115" s="34">
        <v>2087.6</v>
      </c>
      <c r="E3115" s="35">
        <v>44708</v>
      </c>
      <c r="F3115" s="34">
        <v>2087.6</v>
      </c>
      <c r="G3115" s="36">
        <f>Tabla16[[#This Row],[Importe]]-Tabla16[[#This Row],[Pagado]]</f>
        <v>0</v>
      </c>
      <c r="H3115" s="38" t="s">
        <v>10</v>
      </c>
    </row>
    <row r="3116" spans="1:8" x14ac:dyDescent="0.25">
      <c r="A3116" s="31">
        <v>44708</v>
      </c>
      <c r="B3116" s="38" t="s">
        <v>17320</v>
      </c>
      <c r="C3116" s="38" t="s">
        <v>11685</v>
      </c>
      <c r="D3116" s="34">
        <v>6280</v>
      </c>
      <c r="E3116" s="35">
        <v>44708</v>
      </c>
      <c r="F3116" s="34">
        <v>6280</v>
      </c>
      <c r="G3116" s="36">
        <f>Tabla16[[#This Row],[Importe]]-Tabla16[[#This Row],[Pagado]]</f>
        <v>0</v>
      </c>
      <c r="H3116" s="38" t="s">
        <v>10</v>
      </c>
    </row>
    <row r="3117" spans="1:8" x14ac:dyDescent="0.25">
      <c r="A3117" s="31">
        <v>44708</v>
      </c>
      <c r="B3117" s="38" t="s">
        <v>17321</v>
      </c>
      <c r="C3117" s="38" t="s">
        <v>5694</v>
      </c>
      <c r="D3117" s="34">
        <v>2763.3</v>
      </c>
      <c r="E3117" s="35">
        <v>44708</v>
      </c>
      <c r="F3117" s="34">
        <v>2763.3</v>
      </c>
      <c r="G3117" s="36">
        <f>Tabla16[[#This Row],[Importe]]-Tabla16[[#This Row],[Pagado]]</f>
        <v>0</v>
      </c>
      <c r="H3117" s="38" t="s">
        <v>10</v>
      </c>
    </row>
    <row r="3118" spans="1:8" x14ac:dyDescent="0.25">
      <c r="A3118" s="31">
        <v>44708</v>
      </c>
      <c r="B3118" s="38" t="s">
        <v>17322</v>
      </c>
      <c r="C3118" s="38" t="s">
        <v>843</v>
      </c>
      <c r="D3118" s="34">
        <v>16088.8</v>
      </c>
      <c r="E3118" s="35">
        <v>44713</v>
      </c>
      <c r="F3118" s="34">
        <v>16088.8</v>
      </c>
      <c r="G3118" s="36">
        <f>Tabla16[[#This Row],[Importe]]-Tabla16[[#This Row],[Pagado]]</f>
        <v>0</v>
      </c>
      <c r="H3118" s="38" t="s">
        <v>10</v>
      </c>
    </row>
    <row r="3119" spans="1:8" x14ac:dyDescent="0.25">
      <c r="A3119" s="31">
        <v>44708</v>
      </c>
      <c r="B3119" s="38" t="s">
        <v>17323</v>
      </c>
      <c r="C3119" s="38" t="s">
        <v>56</v>
      </c>
      <c r="D3119" s="34">
        <v>4025.6</v>
      </c>
      <c r="E3119" s="35">
        <v>44708</v>
      </c>
      <c r="F3119" s="34">
        <v>4025.6</v>
      </c>
      <c r="G3119" s="36">
        <f>Tabla16[[#This Row],[Importe]]-Tabla16[[#This Row],[Pagado]]</f>
        <v>0</v>
      </c>
      <c r="H3119" s="38" t="s">
        <v>10</v>
      </c>
    </row>
    <row r="3120" spans="1:8" x14ac:dyDescent="0.25">
      <c r="A3120" s="31">
        <v>44708</v>
      </c>
      <c r="B3120" s="38" t="s">
        <v>17324</v>
      </c>
      <c r="C3120" s="38" t="s">
        <v>17325</v>
      </c>
      <c r="D3120" s="34">
        <v>854.4</v>
      </c>
      <c r="E3120" s="35">
        <v>44708</v>
      </c>
      <c r="F3120" s="34">
        <v>854.4</v>
      </c>
      <c r="G3120" s="36">
        <f>Tabla16[[#This Row],[Importe]]-Tabla16[[#This Row],[Pagado]]</f>
        <v>0</v>
      </c>
      <c r="H3120" s="38" t="s">
        <v>10</v>
      </c>
    </row>
    <row r="3121" spans="1:8" x14ac:dyDescent="0.25">
      <c r="A3121" s="31">
        <v>44708</v>
      </c>
      <c r="B3121" s="38" t="s">
        <v>17326</v>
      </c>
      <c r="C3121" s="38" t="s">
        <v>31</v>
      </c>
      <c r="D3121" s="34">
        <v>589.6</v>
      </c>
      <c r="E3121" s="35">
        <v>44708</v>
      </c>
      <c r="F3121" s="34">
        <v>589.6</v>
      </c>
      <c r="G3121" s="36">
        <f>Tabla16[[#This Row],[Importe]]-Tabla16[[#This Row],[Pagado]]</f>
        <v>0</v>
      </c>
      <c r="H3121" s="38" t="s">
        <v>10</v>
      </c>
    </row>
    <row r="3122" spans="1:8" x14ac:dyDescent="0.25">
      <c r="A3122" s="31">
        <v>44708</v>
      </c>
      <c r="B3122" s="38" t="s">
        <v>17327</v>
      </c>
      <c r="C3122" s="38" t="s">
        <v>31</v>
      </c>
      <c r="D3122" s="34">
        <v>414</v>
      </c>
      <c r="E3122" s="35">
        <v>44708</v>
      </c>
      <c r="F3122" s="34">
        <v>414</v>
      </c>
      <c r="G3122" s="36">
        <f>Tabla16[[#This Row],[Importe]]-Tabla16[[#This Row],[Pagado]]</f>
        <v>0</v>
      </c>
      <c r="H3122" s="38" t="s">
        <v>10</v>
      </c>
    </row>
    <row r="3123" spans="1:8" x14ac:dyDescent="0.25">
      <c r="A3123" s="31">
        <v>44708</v>
      </c>
      <c r="B3123" s="38" t="s">
        <v>17328</v>
      </c>
      <c r="C3123" s="38" t="s">
        <v>31</v>
      </c>
      <c r="D3123" s="34">
        <v>174</v>
      </c>
      <c r="E3123" s="35">
        <v>44708</v>
      </c>
      <c r="F3123" s="34">
        <v>174</v>
      </c>
      <c r="G3123" s="36">
        <f>Tabla16[[#This Row],[Importe]]-Tabla16[[#This Row],[Pagado]]</f>
        <v>0</v>
      </c>
      <c r="H3123" s="38" t="s">
        <v>10</v>
      </c>
    </row>
    <row r="3124" spans="1:8" x14ac:dyDescent="0.25">
      <c r="A3124" s="31">
        <v>44708</v>
      </c>
      <c r="B3124" s="38" t="s">
        <v>17329</v>
      </c>
      <c r="C3124" s="38" t="s">
        <v>31</v>
      </c>
      <c r="D3124" s="34">
        <v>74</v>
      </c>
      <c r="E3124" s="35">
        <v>44708</v>
      </c>
      <c r="F3124" s="34">
        <v>74</v>
      </c>
      <c r="G3124" s="36">
        <f>Tabla16[[#This Row],[Importe]]-Tabla16[[#This Row],[Pagado]]</f>
        <v>0</v>
      </c>
      <c r="H3124" s="38" t="s">
        <v>10</v>
      </c>
    </row>
    <row r="3125" spans="1:8" x14ac:dyDescent="0.25">
      <c r="A3125" s="31">
        <v>44708</v>
      </c>
      <c r="B3125" s="38" t="s">
        <v>17330</v>
      </c>
      <c r="C3125" s="38" t="s">
        <v>31</v>
      </c>
      <c r="D3125" s="34">
        <v>788</v>
      </c>
      <c r="E3125" s="35">
        <v>44708</v>
      </c>
      <c r="F3125" s="34">
        <v>788</v>
      </c>
      <c r="G3125" s="36">
        <f>Tabla16[[#This Row],[Importe]]-Tabla16[[#This Row],[Pagado]]</f>
        <v>0</v>
      </c>
      <c r="H3125" s="38" t="s">
        <v>10</v>
      </c>
    </row>
    <row r="3126" spans="1:8" x14ac:dyDescent="0.25">
      <c r="A3126" s="31">
        <v>44708</v>
      </c>
      <c r="B3126" s="38" t="s">
        <v>17331</v>
      </c>
      <c r="C3126" s="38" t="s">
        <v>142</v>
      </c>
      <c r="D3126" s="34">
        <v>10924.4</v>
      </c>
      <c r="E3126" s="35">
        <v>44760</v>
      </c>
      <c r="F3126" s="34">
        <v>10924.4</v>
      </c>
      <c r="G3126" s="36">
        <f>Tabla16[[#This Row],[Importe]]-Tabla16[[#This Row],[Pagado]]</f>
        <v>0</v>
      </c>
      <c r="H3126" s="38" t="s">
        <v>10</v>
      </c>
    </row>
    <row r="3127" spans="1:8" x14ac:dyDescent="0.25">
      <c r="A3127" s="31">
        <v>44709</v>
      </c>
      <c r="B3127" s="38" t="s">
        <v>17332</v>
      </c>
      <c r="C3127" s="38" t="s">
        <v>31</v>
      </c>
      <c r="D3127" s="34">
        <v>5443.2</v>
      </c>
      <c r="E3127" s="35">
        <v>44709</v>
      </c>
      <c r="F3127" s="34">
        <v>5443.2</v>
      </c>
      <c r="G3127" s="36">
        <f>Tabla16[[#This Row],[Importe]]-Tabla16[[#This Row],[Pagado]]</f>
        <v>0</v>
      </c>
      <c r="H3127" s="38" t="s">
        <v>10</v>
      </c>
    </row>
    <row r="3128" spans="1:8" x14ac:dyDescent="0.25">
      <c r="A3128" s="31">
        <v>44709</v>
      </c>
      <c r="B3128" s="38" t="s">
        <v>17333</v>
      </c>
      <c r="C3128" s="38" t="s">
        <v>31</v>
      </c>
      <c r="D3128" s="34">
        <v>5068.8</v>
      </c>
      <c r="E3128" s="35">
        <v>44709</v>
      </c>
      <c r="F3128" s="34">
        <v>5068.8</v>
      </c>
      <c r="G3128" s="36">
        <f>Tabla16[[#This Row],[Importe]]-Tabla16[[#This Row],[Pagado]]</f>
        <v>0</v>
      </c>
      <c r="H3128" s="38" t="s">
        <v>10</v>
      </c>
    </row>
    <row r="3129" spans="1:8" ht="31.5" x14ac:dyDescent="0.25">
      <c r="A3129" s="31">
        <v>44709</v>
      </c>
      <c r="B3129" s="38" t="s">
        <v>17334</v>
      </c>
      <c r="C3129" s="38" t="s">
        <v>475</v>
      </c>
      <c r="D3129" s="34">
        <v>101308.5</v>
      </c>
      <c r="E3129" s="35" t="s">
        <v>17335</v>
      </c>
      <c r="F3129" s="34">
        <f>85500+15808.5</f>
        <v>101308.5</v>
      </c>
      <c r="G3129" s="36">
        <f>Tabla16[[#This Row],[Importe]]-Tabla16[[#This Row],[Pagado]]</f>
        <v>0</v>
      </c>
      <c r="H3129" s="38" t="s">
        <v>10</v>
      </c>
    </row>
    <row r="3130" spans="1:8" x14ac:dyDescent="0.25">
      <c r="A3130" s="31">
        <v>44709</v>
      </c>
      <c r="B3130" s="38" t="s">
        <v>17336</v>
      </c>
      <c r="C3130" s="38" t="s">
        <v>9</v>
      </c>
      <c r="D3130" s="34">
        <v>13140.8</v>
      </c>
      <c r="E3130" s="35">
        <v>44709</v>
      </c>
      <c r="F3130" s="34">
        <v>13140.8</v>
      </c>
      <c r="G3130" s="36">
        <f>Tabla16[[#This Row],[Importe]]-Tabla16[[#This Row],[Pagado]]</f>
        <v>0</v>
      </c>
      <c r="H3130" s="38" t="s">
        <v>10</v>
      </c>
    </row>
    <row r="3131" spans="1:8" x14ac:dyDescent="0.25">
      <c r="A3131" s="31">
        <v>44709</v>
      </c>
      <c r="B3131" s="38" t="s">
        <v>17337</v>
      </c>
      <c r="C3131" s="38" t="s">
        <v>9</v>
      </c>
      <c r="D3131" s="34">
        <v>1392</v>
      </c>
      <c r="E3131" s="35">
        <v>44709</v>
      </c>
      <c r="F3131" s="34">
        <v>1392</v>
      </c>
      <c r="G3131" s="36">
        <f>Tabla16[[#This Row],[Importe]]-Tabla16[[#This Row],[Pagado]]</f>
        <v>0</v>
      </c>
      <c r="H3131" s="38" t="s">
        <v>10</v>
      </c>
    </row>
    <row r="3132" spans="1:8" x14ac:dyDescent="0.25">
      <c r="A3132" s="31">
        <v>44709</v>
      </c>
      <c r="B3132" s="38" t="s">
        <v>17338</v>
      </c>
      <c r="C3132" s="38" t="s">
        <v>31</v>
      </c>
      <c r="D3132" s="34">
        <v>4053.5</v>
      </c>
      <c r="E3132" s="35">
        <v>44709</v>
      </c>
      <c r="F3132" s="34">
        <v>4053.5</v>
      </c>
      <c r="G3132" s="36">
        <f>Tabla16[[#This Row],[Importe]]-Tabla16[[#This Row],[Pagado]]</f>
        <v>0</v>
      </c>
      <c r="H3132" s="38" t="s">
        <v>10</v>
      </c>
    </row>
    <row r="3133" spans="1:8" x14ac:dyDescent="0.25">
      <c r="A3133" s="31">
        <v>44709</v>
      </c>
      <c r="B3133" s="38" t="s">
        <v>17339</v>
      </c>
      <c r="C3133" s="38" t="s">
        <v>24</v>
      </c>
      <c r="D3133" s="34">
        <v>1883.2</v>
      </c>
      <c r="E3133" s="35">
        <v>44709</v>
      </c>
      <c r="F3133" s="34">
        <v>1883.2</v>
      </c>
      <c r="G3133" s="36">
        <f>Tabla16[[#This Row],[Importe]]-Tabla16[[#This Row],[Pagado]]</f>
        <v>0</v>
      </c>
      <c r="H3133" s="38" t="s">
        <v>10</v>
      </c>
    </row>
    <row r="3134" spans="1:8" ht="31.5" x14ac:dyDescent="0.25">
      <c r="A3134" s="31">
        <v>44709</v>
      </c>
      <c r="B3134" s="38" t="s">
        <v>17340</v>
      </c>
      <c r="C3134" s="38" t="s">
        <v>22</v>
      </c>
      <c r="D3134" s="34">
        <v>71810</v>
      </c>
      <c r="E3134" s="35" t="s">
        <v>17335</v>
      </c>
      <c r="F3134" s="34">
        <f>50000+21810</f>
        <v>71810</v>
      </c>
      <c r="G3134" s="36">
        <f>Tabla16[[#This Row],[Importe]]-Tabla16[[#This Row],[Pagado]]</f>
        <v>0</v>
      </c>
      <c r="H3134" s="38" t="s">
        <v>10</v>
      </c>
    </row>
    <row r="3135" spans="1:8" ht="31.5" x14ac:dyDescent="0.25">
      <c r="A3135" s="31">
        <v>44709</v>
      </c>
      <c r="B3135" s="38" t="s">
        <v>17341</v>
      </c>
      <c r="C3135" s="38" t="s">
        <v>93</v>
      </c>
      <c r="D3135" s="34">
        <v>18694.900000000001</v>
      </c>
      <c r="E3135" s="35" t="s">
        <v>17342</v>
      </c>
      <c r="F3135" s="34">
        <f>15000+3694.9</f>
        <v>18694.900000000001</v>
      </c>
      <c r="G3135" s="36">
        <f>Tabla16[[#This Row],[Importe]]-Tabla16[[#This Row],[Pagado]]</f>
        <v>0</v>
      </c>
      <c r="H3135" s="38" t="s">
        <v>10</v>
      </c>
    </row>
    <row r="3136" spans="1:8" ht="31.5" x14ac:dyDescent="0.25">
      <c r="A3136" s="31">
        <v>44709</v>
      </c>
      <c r="B3136" s="38" t="s">
        <v>17343</v>
      </c>
      <c r="C3136" s="38" t="s">
        <v>99</v>
      </c>
      <c r="D3136" s="34">
        <v>12788.2</v>
      </c>
      <c r="E3136" s="35" t="s">
        <v>17342</v>
      </c>
      <c r="F3136" s="34">
        <f>11000+1788.2</f>
        <v>12788.2</v>
      </c>
      <c r="G3136" s="36">
        <f>Tabla16[[#This Row],[Importe]]-Tabla16[[#This Row],[Pagado]]</f>
        <v>0</v>
      </c>
      <c r="H3136" s="38" t="s">
        <v>10</v>
      </c>
    </row>
    <row r="3137" spans="1:8" x14ac:dyDescent="0.25">
      <c r="A3137" s="31">
        <v>44709</v>
      </c>
      <c r="B3137" s="38" t="s">
        <v>17344</v>
      </c>
      <c r="C3137" s="38" t="s">
        <v>118</v>
      </c>
      <c r="D3137" s="34">
        <v>2332.4</v>
      </c>
      <c r="E3137" s="35">
        <v>44709</v>
      </c>
      <c r="F3137" s="34">
        <v>2332.4</v>
      </c>
      <c r="G3137" s="36">
        <f>Tabla16[[#This Row],[Importe]]-Tabla16[[#This Row],[Pagado]]</f>
        <v>0</v>
      </c>
      <c r="H3137" s="38" t="s">
        <v>10</v>
      </c>
    </row>
    <row r="3138" spans="1:8" x14ac:dyDescent="0.25">
      <c r="A3138" s="31">
        <v>44709</v>
      </c>
      <c r="B3138" s="38" t="s">
        <v>17345</v>
      </c>
      <c r="C3138" s="38" t="s">
        <v>31</v>
      </c>
      <c r="D3138" s="34">
        <v>2454</v>
      </c>
      <c r="E3138" s="35">
        <v>44709</v>
      </c>
      <c r="F3138" s="34">
        <v>2454</v>
      </c>
      <c r="G3138" s="36">
        <f>Tabla16[[#This Row],[Importe]]-Tabla16[[#This Row],[Pagado]]</f>
        <v>0</v>
      </c>
      <c r="H3138" s="38" t="s">
        <v>10</v>
      </c>
    </row>
    <row r="3139" spans="1:8" x14ac:dyDescent="0.25">
      <c r="A3139" s="31">
        <v>44709</v>
      </c>
      <c r="B3139" s="38" t="s">
        <v>17346</v>
      </c>
      <c r="C3139" s="38" t="s">
        <v>60</v>
      </c>
      <c r="D3139" s="34">
        <v>9009.2999999999993</v>
      </c>
      <c r="E3139" s="35">
        <v>44713</v>
      </c>
      <c r="F3139" s="34">
        <v>9009.2999999999993</v>
      </c>
      <c r="G3139" s="36">
        <f>Tabla16[[#This Row],[Importe]]-Tabla16[[#This Row],[Pagado]]</f>
        <v>0</v>
      </c>
      <c r="H3139" s="38" t="s">
        <v>10</v>
      </c>
    </row>
    <row r="3140" spans="1:8" x14ac:dyDescent="0.25">
      <c r="A3140" s="31">
        <v>44709</v>
      </c>
      <c r="B3140" s="38" t="s">
        <v>17347</v>
      </c>
      <c r="C3140" s="38" t="s">
        <v>97</v>
      </c>
      <c r="D3140" s="34">
        <v>19779.2</v>
      </c>
      <c r="E3140" s="35">
        <v>44711</v>
      </c>
      <c r="F3140" s="34">
        <v>19779.2</v>
      </c>
      <c r="G3140" s="36">
        <f>Tabla16[[#This Row],[Importe]]-Tabla16[[#This Row],[Pagado]]</f>
        <v>0</v>
      </c>
      <c r="H3140" s="38" t="s">
        <v>10</v>
      </c>
    </row>
    <row r="3141" spans="1:8" x14ac:dyDescent="0.25">
      <c r="A3141" s="31">
        <v>44709</v>
      </c>
      <c r="B3141" s="38" t="s">
        <v>17348</v>
      </c>
      <c r="C3141" s="38" t="s">
        <v>1239</v>
      </c>
      <c r="D3141" s="34">
        <v>8857.2000000000007</v>
      </c>
      <c r="E3141" s="35">
        <v>44709</v>
      </c>
      <c r="F3141" s="34">
        <v>8857.2000000000007</v>
      </c>
      <c r="G3141" s="36">
        <f>Tabla16[[#This Row],[Importe]]-Tabla16[[#This Row],[Pagado]]</f>
        <v>0</v>
      </c>
      <c r="H3141" s="38" t="s">
        <v>10</v>
      </c>
    </row>
    <row r="3142" spans="1:8" x14ac:dyDescent="0.25">
      <c r="A3142" s="31">
        <v>44709</v>
      </c>
      <c r="B3142" s="38" t="s">
        <v>17349</v>
      </c>
      <c r="C3142" s="38" t="s">
        <v>326</v>
      </c>
      <c r="D3142" s="34">
        <v>15086.6</v>
      </c>
      <c r="E3142" s="35">
        <v>44711</v>
      </c>
      <c r="F3142" s="34">
        <v>15086.6</v>
      </c>
      <c r="G3142" s="36">
        <f>Tabla16[[#This Row],[Importe]]-Tabla16[[#This Row],[Pagado]]</f>
        <v>0</v>
      </c>
      <c r="H3142" s="38" t="s">
        <v>10</v>
      </c>
    </row>
    <row r="3143" spans="1:8" x14ac:dyDescent="0.25">
      <c r="A3143" s="31">
        <v>44709</v>
      </c>
      <c r="B3143" s="38" t="s">
        <v>17350</v>
      </c>
      <c r="C3143" s="38" t="s">
        <v>89</v>
      </c>
      <c r="D3143" s="34">
        <v>12038.4</v>
      </c>
      <c r="E3143" s="35">
        <v>44711</v>
      </c>
      <c r="F3143" s="34">
        <v>12038.4</v>
      </c>
      <c r="G3143" s="36">
        <f>Tabla16[[#This Row],[Importe]]-Tabla16[[#This Row],[Pagado]]</f>
        <v>0</v>
      </c>
      <c r="H3143" s="38" t="s">
        <v>10</v>
      </c>
    </row>
    <row r="3144" spans="1:8" x14ac:dyDescent="0.25">
      <c r="A3144" s="31">
        <v>44709</v>
      </c>
      <c r="B3144" s="38" t="s">
        <v>17351</v>
      </c>
      <c r="C3144" s="38" t="s">
        <v>1239</v>
      </c>
      <c r="D3144" s="34">
        <v>728.2</v>
      </c>
      <c r="E3144" s="35">
        <v>44709</v>
      </c>
      <c r="F3144" s="34">
        <v>728.2</v>
      </c>
      <c r="G3144" s="36">
        <f>Tabla16[[#This Row],[Importe]]-Tabla16[[#This Row],[Pagado]]</f>
        <v>0</v>
      </c>
      <c r="H3144" s="38" t="s">
        <v>10</v>
      </c>
    </row>
    <row r="3145" spans="1:8" x14ac:dyDescent="0.25">
      <c r="A3145" s="31">
        <v>44709</v>
      </c>
      <c r="B3145" s="38" t="s">
        <v>17352</v>
      </c>
      <c r="C3145" s="38" t="s">
        <v>114</v>
      </c>
      <c r="D3145" s="34">
        <v>15416.5</v>
      </c>
      <c r="E3145" s="35">
        <v>44711</v>
      </c>
      <c r="F3145" s="34">
        <v>15416.5</v>
      </c>
      <c r="G3145" s="36">
        <f>Tabla16[[#This Row],[Importe]]-Tabla16[[#This Row],[Pagado]]</f>
        <v>0</v>
      </c>
      <c r="H3145" s="38" t="s">
        <v>10</v>
      </c>
    </row>
    <row r="3146" spans="1:8" x14ac:dyDescent="0.25">
      <c r="A3146" s="31">
        <v>44709</v>
      </c>
      <c r="B3146" s="38" t="s">
        <v>17353</v>
      </c>
      <c r="C3146" s="38" t="s">
        <v>114</v>
      </c>
      <c r="D3146" s="34">
        <v>1811.6</v>
      </c>
      <c r="E3146" s="35">
        <v>44711</v>
      </c>
      <c r="F3146" s="34">
        <v>1811.6</v>
      </c>
      <c r="G3146" s="36">
        <f>Tabla16[[#This Row],[Importe]]-Tabla16[[#This Row],[Pagado]]</f>
        <v>0</v>
      </c>
      <c r="H3146" s="38" t="s">
        <v>10</v>
      </c>
    </row>
    <row r="3147" spans="1:8" x14ac:dyDescent="0.25">
      <c r="A3147" s="31">
        <v>44709</v>
      </c>
      <c r="B3147" s="38" t="s">
        <v>17354</v>
      </c>
      <c r="C3147" s="38" t="s">
        <v>10586</v>
      </c>
      <c r="D3147" s="34">
        <v>4428.8999999999996</v>
      </c>
      <c r="E3147" s="35">
        <v>44711</v>
      </c>
      <c r="F3147" s="34">
        <v>4428.8999999999996</v>
      </c>
      <c r="G3147" s="36">
        <f>Tabla16[[#This Row],[Importe]]-Tabla16[[#This Row],[Pagado]]</f>
        <v>0</v>
      </c>
      <c r="H3147" s="38" t="s">
        <v>10</v>
      </c>
    </row>
    <row r="3148" spans="1:8" x14ac:dyDescent="0.25">
      <c r="A3148" s="31">
        <v>44709</v>
      </c>
      <c r="B3148" s="38" t="s">
        <v>17355</v>
      </c>
      <c r="C3148" s="38" t="s">
        <v>16819</v>
      </c>
      <c r="D3148" s="34">
        <v>5196.8</v>
      </c>
      <c r="E3148" s="35">
        <v>44709</v>
      </c>
      <c r="F3148" s="34">
        <v>5196.8</v>
      </c>
      <c r="G3148" s="36">
        <f>Tabla16[[#This Row],[Importe]]-Tabla16[[#This Row],[Pagado]]</f>
        <v>0</v>
      </c>
      <c r="H3148" s="38" t="s">
        <v>10</v>
      </c>
    </row>
    <row r="3149" spans="1:8" x14ac:dyDescent="0.25">
      <c r="A3149" s="31">
        <v>44709</v>
      </c>
      <c r="B3149" s="38" t="s">
        <v>17356</v>
      </c>
      <c r="C3149" s="38" t="s">
        <v>17357</v>
      </c>
      <c r="D3149" s="34">
        <v>0</v>
      </c>
      <c r="E3149" s="39" t="s">
        <v>189</v>
      </c>
      <c r="F3149" s="34">
        <v>0</v>
      </c>
      <c r="G3149" s="36">
        <f>Tabla16[[#This Row],[Importe]]-Tabla16[[#This Row],[Pagado]]</f>
        <v>0</v>
      </c>
      <c r="H3149" s="38" t="s">
        <v>189</v>
      </c>
    </row>
    <row r="3150" spans="1:8" x14ac:dyDescent="0.25">
      <c r="A3150" s="31">
        <v>44709</v>
      </c>
      <c r="B3150" s="38" t="s">
        <v>17358</v>
      </c>
      <c r="C3150" s="38" t="s">
        <v>64</v>
      </c>
      <c r="D3150" s="34">
        <v>13030.2</v>
      </c>
      <c r="E3150" s="35">
        <v>44711</v>
      </c>
      <c r="F3150" s="34">
        <v>13030.2</v>
      </c>
      <c r="G3150" s="36">
        <f>Tabla16[[#This Row],[Importe]]-Tabla16[[#This Row],[Pagado]]</f>
        <v>0</v>
      </c>
      <c r="H3150" s="38" t="s">
        <v>10</v>
      </c>
    </row>
    <row r="3151" spans="1:8" x14ac:dyDescent="0.25">
      <c r="A3151" s="31">
        <v>44709</v>
      </c>
      <c r="B3151" s="38" t="s">
        <v>17359</v>
      </c>
      <c r="C3151" s="38" t="s">
        <v>120</v>
      </c>
      <c r="D3151" s="34">
        <v>4702.5</v>
      </c>
      <c r="E3151" s="35">
        <v>44711</v>
      </c>
      <c r="F3151" s="34">
        <v>4702.5</v>
      </c>
      <c r="G3151" s="36">
        <f>Tabla16[[#This Row],[Importe]]-Tabla16[[#This Row],[Pagado]]</f>
        <v>0</v>
      </c>
      <c r="H3151" s="38" t="s">
        <v>10</v>
      </c>
    </row>
    <row r="3152" spans="1:8" x14ac:dyDescent="0.25">
      <c r="A3152" s="31">
        <v>44709</v>
      </c>
      <c r="B3152" s="38" t="s">
        <v>17360</v>
      </c>
      <c r="C3152" s="38" t="s">
        <v>116</v>
      </c>
      <c r="D3152" s="34">
        <v>4446</v>
      </c>
      <c r="E3152" s="35">
        <v>44711</v>
      </c>
      <c r="F3152" s="34">
        <v>4446</v>
      </c>
      <c r="G3152" s="36">
        <f>Tabla16[[#This Row],[Importe]]-Tabla16[[#This Row],[Pagado]]</f>
        <v>0</v>
      </c>
      <c r="H3152" s="38" t="s">
        <v>10</v>
      </c>
    </row>
    <row r="3153" spans="1:8" x14ac:dyDescent="0.25">
      <c r="A3153" s="31">
        <v>44709</v>
      </c>
      <c r="B3153" s="38" t="s">
        <v>17361</v>
      </c>
      <c r="C3153" s="38" t="s">
        <v>109</v>
      </c>
      <c r="D3153" s="34">
        <v>4598</v>
      </c>
      <c r="E3153" s="35">
        <v>44711</v>
      </c>
      <c r="F3153" s="34">
        <v>4598</v>
      </c>
      <c r="G3153" s="36">
        <f>Tabla16[[#This Row],[Importe]]-Tabla16[[#This Row],[Pagado]]</f>
        <v>0</v>
      </c>
      <c r="H3153" s="38" t="s">
        <v>10</v>
      </c>
    </row>
    <row r="3154" spans="1:8" ht="31.5" x14ac:dyDescent="0.25">
      <c r="A3154" s="31">
        <v>44709</v>
      </c>
      <c r="B3154" s="38" t="s">
        <v>17362</v>
      </c>
      <c r="C3154" s="38" t="s">
        <v>39</v>
      </c>
      <c r="D3154" s="34">
        <v>35236.5</v>
      </c>
      <c r="E3154" s="35" t="s">
        <v>17774</v>
      </c>
      <c r="F3154" s="34">
        <f>12500+22736.5</f>
        <v>35236.5</v>
      </c>
      <c r="G3154" s="36">
        <f>Tabla16[[#This Row],[Importe]]-Tabla16[[#This Row],[Pagado]]</f>
        <v>0</v>
      </c>
      <c r="H3154" s="38" t="s">
        <v>10</v>
      </c>
    </row>
    <row r="3155" spans="1:8" x14ac:dyDescent="0.25">
      <c r="A3155" s="31">
        <v>44709</v>
      </c>
      <c r="B3155" s="38" t="s">
        <v>17363</v>
      </c>
      <c r="C3155" s="38" t="s">
        <v>111</v>
      </c>
      <c r="D3155" s="34">
        <v>9443.5</v>
      </c>
      <c r="E3155" s="35">
        <v>44711</v>
      </c>
      <c r="F3155" s="34">
        <v>9443.5</v>
      </c>
      <c r="G3155" s="36">
        <f>Tabla16[[#This Row],[Importe]]-Tabla16[[#This Row],[Pagado]]</f>
        <v>0</v>
      </c>
      <c r="H3155" s="38" t="s">
        <v>10</v>
      </c>
    </row>
    <row r="3156" spans="1:8" x14ac:dyDescent="0.25">
      <c r="A3156" s="31">
        <v>44709</v>
      </c>
      <c r="B3156" s="38" t="s">
        <v>17364</v>
      </c>
      <c r="C3156" s="38" t="s">
        <v>105</v>
      </c>
      <c r="D3156" s="34">
        <v>6236.1</v>
      </c>
      <c r="E3156" s="35">
        <v>44711</v>
      </c>
      <c r="F3156" s="34">
        <v>6236.1</v>
      </c>
      <c r="G3156" s="36">
        <f>Tabla16[[#This Row],[Importe]]-Tabla16[[#This Row],[Pagado]]</f>
        <v>0</v>
      </c>
      <c r="H3156" s="38" t="s">
        <v>10</v>
      </c>
    </row>
    <row r="3157" spans="1:8" x14ac:dyDescent="0.25">
      <c r="A3157" s="31">
        <v>44709</v>
      </c>
      <c r="B3157" s="38" t="s">
        <v>17365</v>
      </c>
      <c r="C3157" s="38" t="s">
        <v>43</v>
      </c>
      <c r="D3157" s="34">
        <v>83786.899999999994</v>
      </c>
      <c r="E3157" s="35">
        <v>44714</v>
      </c>
      <c r="F3157" s="34">
        <v>83786.899999999994</v>
      </c>
      <c r="G3157" s="36">
        <f>Tabla16[[#This Row],[Importe]]-Tabla16[[#This Row],[Pagado]]</f>
        <v>0</v>
      </c>
      <c r="H3157" s="38" t="s">
        <v>10</v>
      </c>
    </row>
    <row r="3158" spans="1:8" x14ac:dyDescent="0.25">
      <c r="A3158" s="31">
        <v>44709</v>
      </c>
      <c r="B3158" s="38" t="s">
        <v>17366</v>
      </c>
      <c r="C3158" s="38" t="s">
        <v>2151</v>
      </c>
      <c r="D3158" s="34">
        <v>22902</v>
      </c>
      <c r="E3158" s="35">
        <v>44709</v>
      </c>
      <c r="F3158" s="34">
        <v>22902</v>
      </c>
      <c r="G3158" s="36">
        <f>Tabla16[[#This Row],[Importe]]-Tabla16[[#This Row],[Pagado]]</f>
        <v>0</v>
      </c>
      <c r="H3158" s="38" t="s">
        <v>10</v>
      </c>
    </row>
    <row r="3159" spans="1:8" x14ac:dyDescent="0.25">
      <c r="A3159" s="31">
        <v>44709</v>
      </c>
      <c r="B3159" s="38" t="s">
        <v>17367</v>
      </c>
      <c r="C3159" s="38" t="s">
        <v>11033</v>
      </c>
      <c r="D3159" s="34">
        <v>1673</v>
      </c>
      <c r="E3159" s="35">
        <v>44709</v>
      </c>
      <c r="F3159" s="34">
        <v>1673</v>
      </c>
      <c r="G3159" s="36">
        <f>Tabla16[[#This Row],[Importe]]-Tabla16[[#This Row],[Pagado]]</f>
        <v>0</v>
      </c>
      <c r="H3159" s="38" t="s">
        <v>10</v>
      </c>
    </row>
    <row r="3160" spans="1:8" ht="31.5" x14ac:dyDescent="0.25">
      <c r="A3160" s="31">
        <v>44709</v>
      </c>
      <c r="B3160" s="38" t="s">
        <v>17368</v>
      </c>
      <c r="C3160" s="38" t="s">
        <v>75</v>
      </c>
      <c r="D3160" s="34">
        <v>21546</v>
      </c>
      <c r="E3160" s="35" t="s">
        <v>17369</v>
      </c>
      <c r="F3160" s="34">
        <f>10275.3+11270.7</f>
        <v>21546</v>
      </c>
      <c r="G3160" s="36">
        <f>Tabla16[[#This Row],[Importe]]-Tabla16[[#This Row],[Pagado]]</f>
        <v>0</v>
      </c>
      <c r="H3160" s="38" t="s">
        <v>10</v>
      </c>
    </row>
    <row r="3161" spans="1:8" x14ac:dyDescent="0.25">
      <c r="A3161" s="31">
        <v>44709</v>
      </c>
      <c r="B3161" s="38" t="s">
        <v>17370</v>
      </c>
      <c r="C3161" s="38" t="s">
        <v>16</v>
      </c>
      <c r="D3161" s="34">
        <v>5439.6</v>
      </c>
      <c r="E3161" s="35">
        <v>44709</v>
      </c>
      <c r="F3161" s="34">
        <v>5439.6</v>
      </c>
      <c r="G3161" s="36">
        <f>Tabla16[[#This Row],[Importe]]-Tabla16[[#This Row],[Pagado]]</f>
        <v>0</v>
      </c>
      <c r="H3161" s="38" t="s">
        <v>10</v>
      </c>
    </row>
    <row r="3162" spans="1:8" x14ac:dyDescent="0.25">
      <c r="A3162" s="31">
        <v>44709</v>
      </c>
      <c r="B3162" s="38" t="s">
        <v>17371</v>
      </c>
      <c r="C3162" s="38" t="s">
        <v>129</v>
      </c>
      <c r="D3162" s="34">
        <v>2643.3</v>
      </c>
      <c r="E3162" s="35">
        <v>44709</v>
      </c>
      <c r="F3162" s="34">
        <v>2643.3</v>
      </c>
      <c r="G3162" s="36">
        <f>Tabla16[[#This Row],[Importe]]-Tabla16[[#This Row],[Pagado]]</f>
        <v>0</v>
      </c>
      <c r="H3162" s="38" t="s">
        <v>10</v>
      </c>
    </row>
    <row r="3163" spans="1:8" x14ac:dyDescent="0.25">
      <c r="A3163" s="31">
        <v>44709</v>
      </c>
      <c r="B3163" s="38" t="s">
        <v>17372</v>
      </c>
      <c r="C3163" s="38" t="s">
        <v>670</v>
      </c>
      <c r="D3163" s="34">
        <v>7110.2</v>
      </c>
      <c r="E3163" s="35">
        <v>44709</v>
      </c>
      <c r="F3163" s="34">
        <v>7110.2</v>
      </c>
      <c r="G3163" s="36">
        <f>Tabla16[[#This Row],[Importe]]-Tabla16[[#This Row],[Pagado]]</f>
        <v>0</v>
      </c>
      <c r="H3163" s="38" t="s">
        <v>10</v>
      </c>
    </row>
    <row r="3164" spans="1:8" x14ac:dyDescent="0.25">
      <c r="A3164" s="31">
        <v>44709</v>
      </c>
      <c r="B3164" s="38" t="s">
        <v>17373</v>
      </c>
      <c r="C3164" s="38" t="s">
        <v>140</v>
      </c>
      <c r="D3164" s="34">
        <v>1901.4</v>
      </c>
      <c r="E3164" s="35">
        <v>44709</v>
      </c>
      <c r="F3164" s="34">
        <v>1901.4</v>
      </c>
      <c r="G3164" s="36">
        <f>Tabla16[[#This Row],[Importe]]-Tabla16[[#This Row],[Pagado]]</f>
        <v>0</v>
      </c>
      <c r="H3164" s="38" t="s">
        <v>10</v>
      </c>
    </row>
    <row r="3165" spans="1:8" x14ac:dyDescent="0.25">
      <c r="A3165" s="31">
        <v>44709</v>
      </c>
      <c r="B3165" s="38" t="s">
        <v>17374</v>
      </c>
      <c r="C3165" s="38" t="s">
        <v>481</v>
      </c>
      <c r="D3165" s="34">
        <v>843.6</v>
      </c>
      <c r="E3165" s="35">
        <v>44709</v>
      </c>
      <c r="F3165" s="34">
        <v>843.6</v>
      </c>
      <c r="G3165" s="36">
        <f>Tabla16[[#This Row],[Importe]]-Tabla16[[#This Row],[Pagado]]</f>
        <v>0</v>
      </c>
      <c r="H3165" s="38" t="s">
        <v>10</v>
      </c>
    </row>
    <row r="3166" spans="1:8" x14ac:dyDescent="0.25">
      <c r="A3166" s="31">
        <v>44709</v>
      </c>
      <c r="B3166" s="38" t="s">
        <v>17375</v>
      </c>
      <c r="C3166" s="38" t="s">
        <v>670</v>
      </c>
      <c r="D3166" s="34">
        <v>585.20000000000005</v>
      </c>
      <c r="E3166" s="35">
        <v>44709</v>
      </c>
      <c r="F3166" s="34">
        <v>585.20000000000005</v>
      </c>
      <c r="G3166" s="36">
        <f>Tabla16[[#This Row],[Importe]]-Tabla16[[#This Row],[Pagado]]</f>
        <v>0</v>
      </c>
      <c r="H3166" s="38" t="s">
        <v>10</v>
      </c>
    </row>
    <row r="3167" spans="1:8" x14ac:dyDescent="0.25">
      <c r="A3167" s="31">
        <v>44709</v>
      </c>
      <c r="B3167" s="38" t="s">
        <v>17376</v>
      </c>
      <c r="C3167" s="38" t="s">
        <v>127</v>
      </c>
      <c r="D3167" s="34">
        <v>5617.7</v>
      </c>
      <c r="E3167" s="35">
        <v>44709</v>
      </c>
      <c r="F3167" s="34">
        <v>5617.7</v>
      </c>
      <c r="G3167" s="36">
        <f>Tabla16[[#This Row],[Importe]]-Tabla16[[#This Row],[Pagado]]</f>
        <v>0</v>
      </c>
      <c r="H3167" s="38" t="s">
        <v>10</v>
      </c>
    </row>
    <row r="3168" spans="1:8" x14ac:dyDescent="0.25">
      <c r="A3168" s="31">
        <v>44709</v>
      </c>
      <c r="B3168" s="38" t="s">
        <v>17377</v>
      </c>
      <c r="C3168" s="38" t="s">
        <v>12202</v>
      </c>
      <c r="D3168" s="34">
        <v>5054.3999999999996</v>
      </c>
      <c r="E3168" s="35">
        <v>44709</v>
      </c>
      <c r="F3168" s="34">
        <v>5054.3999999999996</v>
      </c>
      <c r="G3168" s="36">
        <f>Tabla16[[#This Row],[Importe]]-Tabla16[[#This Row],[Pagado]]</f>
        <v>0</v>
      </c>
      <c r="H3168" s="38" t="s">
        <v>10</v>
      </c>
    </row>
    <row r="3169" spans="1:8" x14ac:dyDescent="0.25">
      <c r="A3169" s="31">
        <v>44709</v>
      </c>
      <c r="B3169" s="38" t="s">
        <v>17378</v>
      </c>
      <c r="C3169" s="38" t="s">
        <v>357</v>
      </c>
      <c r="D3169" s="34">
        <v>3611.3</v>
      </c>
      <c r="E3169" s="35">
        <v>44709</v>
      </c>
      <c r="F3169" s="34">
        <v>3611.3</v>
      </c>
      <c r="G3169" s="36">
        <f>Tabla16[[#This Row],[Importe]]-Tabla16[[#This Row],[Pagado]]</f>
        <v>0</v>
      </c>
      <c r="H3169" s="38" t="s">
        <v>10</v>
      </c>
    </row>
    <row r="3170" spans="1:8" x14ac:dyDescent="0.25">
      <c r="A3170" s="31">
        <v>44709</v>
      </c>
      <c r="B3170" s="38" t="s">
        <v>17379</v>
      </c>
      <c r="C3170" s="38" t="s">
        <v>146</v>
      </c>
      <c r="D3170" s="34">
        <v>14844.4</v>
      </c>
      <c r="E3170" s="35">
        <v>44709</v>
      </c>
      <c r="F3170" s="34">
        <v>14844.4</v>
      </c>
      <c r="G3170" s="36">
        <f>Tabla16[[#This Row],[Importe]]-Tabla16[[#This Row],[Pagado]]</f>
        <v>0</v>
      </c>
      <c r="H3170" s="38" t="s">
        <v>10</v>
      </c>
    </row>
    <row r="3171" spans="1:8" x14ac:dyDescent="0.25">
      <c r="A3171" s="31">
        <v>44709</v>
      </c>
      <c r="B3171" s="38" t="s">
        <v>17380</v>
      </c>
      <c r="C3171" s="38" t="s">
        <v>16</v>
      </c>
      <c r="D3171" s="34">
        <v>663</v>
      </c>
      <c r="E3171" s="35">
        <v>44709</v>
      </c>
      <c r="F3171" s="34">
        <v>663</v>
      </c>
      <c r="G3171" s="36">
        <f>Tabla16[[#This Row],[Importe]]-Tabla16[[#This Row],[Pagado]]</f>
        <v>0</v>
      </c>
      <c r="H3171" s="38" t="s">
        <v>10</v>
      </c>
    </row>
    <row r="3172" spans="1:8" x14ac:dyDescent="0.25">
      <c r="A3172" s="31">
        <v>44709</v>
      </c>
      <c r="B3172" s="38" t="s">
        <v>17381</v>
      </c>
      <c r="C3172" s="38" t="s">
        <v>85</v>
      </c>
      <c r="D3172" s="34">
        <v>6932.8</v>
      </c>
      <c r="E3172" s="35">
        <v>44709</v>
      </c>
      <c r="F3172" s="34">
        <v>6932.8</v>
      </c>
      <c r="G3172" s="36">
        <f>Tabla16[[#This Row],[Importe]]-Tabla16[[#This Row],[Pagado]]</f>
        <v>0</v>
      </c>
      <c r="H3172" s="38" t="s">
        <v>10</v>
      </c>
    </row>
    <row r="3173" spans="1:8" x14ac:dyDescent="0.25">
      <c r="A3173" s="31">
        <v>44709</v>
      </c>
      <c r="B3173" s="38" t="s">
        <v>17382</v>
      </c>
      <c r="C3173" s="38" t="s">
        <v>196</v>
      </c>
      <c r="D3173" s="34">
        <v>133819.06</v>
      </c>
      <c r="E3173" s="35">
        <v>44715</v>
      </c>
      <c r="F3173" s="34">
        <v>133819.06</v>
      </c>
      <c r="G3173" s="36">
        <f>Tabla16[[#This Row],[Importe]]-Tabla16[[#This Row],[Pagado]]</f>
        <v>0</v>
      </c>
      <c r="H3173" s="38" t="s">
        <v>10</v>
      </c>
    </row>
    <row r="3174" spans="1:8" x14ac:dyDescent="0.25">
      <c r="A3174" s="31">
        <v>44709</v>
      </c>
      <c r="B3174" s="38" t="s">
        <v>17383</v>
      </c>
      <c r="C3174" s="38" t="s">
        <v>16</v>
      </c>
      <c r="D3174" s="34">
        <v>1336.2</v>
      </c>
      <c r="E3174" s="35">
        <v>44709</v>
      </c>
      <c r="F3174" s="34">
        <v>1336.2</v>
      </c>
      <c r="G3174" s="36">
        <f>Tabla16[[#This Row],[Importe]]-Tabla16[[#This Row],[Pagado]]</f>
        <v>0</v>
      </c>
      <c r="H3174" s="38" t="s">
        <v>10</v>
      </c>
    </row>
    <row r="3175" spans="1:8" x14ac:dyDescent="0.25">
      <c r="A3175" s="31">
        <v>44709</v>
      </c>
      <c r="B3175" s="38" t="s">
        <v>17384</v>
      </c>
      <c r="C3175" s="38" t="s">
        <v>15039</v>
      </c>
      <c r="D3175" s="34">
        <v>4256.8999999999996</v>
      </c>
      <c r="E3175" s="35">
        <v>44709</v>
      </c>
      <c r="F3175" s="34">
        <v>4256.8999999999996</v>
      </c>
      <c r="G3175" s="36">
        <f>Tabla16[[#This Row],[Importe]]-Tabla16[[#This Row],[Pagado]]</f>
        <v>0</v>
      </c>
      <c r="H3175" s="38" t="s">
        <v>10</v>
      </c>
    </row>
    <row r="3176" spans="1:8" x14ac:dyDescent="0.25">
      <c r="A3176" s="31">
        <v>44709</v>
      </c>
      <c r="B3176" s="38" t="s">
        <v>17385</v>
      </c>
      <c r="C3176" s="38" t="s">
        <v>179</v>
      </c>
      <c r="D3176" s="34">
        <v>1335.6</v>
      </c>
      <c r="E3176" s="35">
        <v>44709</v>
      </c>
      <c r="F3176" s="34">
        <v>1335.6</v>
      </c>
      <c r="G3176" s="36">
        <f>Tabla16[[#This Row],[Importe]]-Tabla16[[#This Row],[Pagado]]</f>
        <v>0</v>
      </c>
      <c r="H3176" s="38" t="s">
        <v>10</v>
      </c>
    </row>
    <row r="3177" spans="1:8" x14ac:dyDescent="0.25">
      <c r="A3177" s="31">
        <v>44709</v>
      </c>
      <c r="B3177" s="38" t="s">
        <v>17386</v>
      </c>
      <c r="C3177" s="38" t="s">
        <v>135</v>
      </c>
      <c r="D3177" s="34">
        <v>979.2</v>
      </c>
      <c r="E3177" s="35">
        <v>44709</v>
      </c>
      <c r="F3177" s="34">
        <v>979.2</v>
      </c>
      <c r="G3177" s="36">
        <f>Tabla16[[#This Row],[Importe]]-Tabla16[[#This Row],[Pagado]]</f>
        <v>0</v>
      </c>
      <c r="H3177" s="38" t="s">
        <v>10</v>
      </c>
    </row>
    <row r="3178" spans="1:8" x14ac:dyDescent="0.25">
      <c r="A3178" s="31">
        <v>44709</v>
      </c>
      <c r="B3178" s="38" t="s">
        <v>17387</v>
      </c>
      <c r="C3178" s="38" t="s">
        <v>804</v>
      </c>
      <c r="D3178" s="34">
        <v>18344</v>
      </c>
      <c r="E3178" s="35">
        <v>44709</v>
      </c>
      <c r="F3178" s="34">
        <v>18344</v>
      </c>
      <c r="G3178" s="36">
        <f>Tabla16[[#This Row],[Importe]]-Tabla16[[#This Row],[Pagado]]</f>
        <v>0</v>
      </c>
      <c r="H3178" s="38" t="s">
        <v>10</v>
      </c>
    </row>
    <row r="3179" spans="1:8" x14ac:dyDescent="0.25">
      <c r="A3179" s="31">
        <v>44709</v>
      </c>
      <c r="B3179" s="38" t="s">
        <v>17388</v>
      </c>
      <c r="C3179" s="38" t="s">
        <v>31</v>
      </c>
      <c r="D3179" s="34">
        <v>7566</v>
      </c>
      <c r="E3179" s="35">
        <v>44709</v>
      </c>
      <c r="F3179" s="34">
        <v>7566</v>
      </c>
      <c r="G3179" s="36">
        <f>Tabla16[[#This Row],[Importe]]-Tabla16[[#This Row],[Pagado]]</f>
        <v>0</v>
      </c>
      <c r="H3179" s="38" t="s">
        <v>10</v>
      </c>
    </row>
    <row r="3180" spans="1:8" x14ac:dyDescent="0.25">
      <c r="A3180" s="31">
        <v>44709</v>
      </c>
      <c r="B3180" s="38" t="s">
        <v>17389</v>
      </c>
      <c r="C3180" s="38" t="s">
        <v>314</v>
      </c>
      <c r="D3180" s="34">
        <v>2721.6</v>
      </c>
      <c r="E3180" s="35">
        <v>44709</v>
      </c>
      <c r="F3180" s="34">
        <v>2721.6</v>
      </c>
      <c r="G3180" s="36">
        <f>Tabla16[[#This Row],[Importe]]-Tabla16[[#This Row],[Pagado]]</f>
        <v>0</v>
      </c>
      <c r="H3180" s="38" t="s">
        <v>10</v>
      </c>
    </row>
    <row r="3181" spans="1:8" x14ac:dyDescent="0.25">
      <c r="A3181" s="31">
        <v>44709</v>
      </c>
      <c r="B3181" s="38" t="s">
        <v>17390</v>
      </c>
      <c r="C3181" s="38" t="s">
        <v>224</v>
      </c>
      <c r="D3181" s="34">
        <v>795.8</v>
      </c>
      <c r="E3181" s="35">
        <v>44709</v>
      </c>
      <c r="F3181" s="34">
        <v>795.8</v>
      </c>
      <c r="G3181" s="36">
        <f>Tabla16[[#This Row],[Importe]]-Tabla16[[#This Row],[Pagado]]</f>
        <v>0</v>
      </c>
      <c r="H3181" s="38" t="s">
        <v>10</v>
      </c>
    </row>
    <row r="3182" spans="1:8" x14ac:dyDescent="0.25">
      <c r="A3182" s="31">
        <v>44709</v>
      </c>
      <c r="B3182" s="38" t="s">
        <v>17391</v>
      </c>
      <c r="C3182" s="38" t="s">
        <v>87</v>
      </c>
      <c r="D3182" s="34">
        <v>3673.8</v>
      </c>
      <c r="E3182" s="35">
        <v>44709</v>
      </c>
      <c r="F3182" s="34">
        <v>3673.8</v>
      </c>
      <c r="G3182" s="36">
        <f>Tabla16[[#This Row],[Importe]]-Tabla16[[#This Row],[Pagado]]</f>
        <v>0</v>
      </c>
      <c r="H3182" s="38" t="s">
        <v>10</v>
      </c>
    </row>
    <row r="3183" spans="1:8" x14ac:dyDescent="0.25">
      <c r="A3183" s="31">
        <v>44709</v>
      </c>
      <c r="B3183" s="38" t="s">
        <v>17392</v>
      </c>
      <c r="C3183" s="38" t="s">
        <v>15039</v>
      </c>
      <c r="D3183" s="34">
        <v>3967.5</v>
      </c>
      <c r="E3183" s="35">
        <v>44709</v>
      </c>
      <c r="F3183" s="34">
        <v>3967.5</v>
      </c>
      <c r="G3183" s="36">
        <f>Tabla16[[#This Row],[Importe]]-Tabla16[[#This Row],[Pagado]]</f>
        <v>0</v>
      </c>
      <c r="H3183" s="38" t="s">
        <v>10</v>
      </c>
    </row>
    <row r="3184" spans="1:8" x14ac:dyDescent="0.25">
      <c r="A3184" s="31">
        <v>44709</v>
      </c>
      <c r="B3184" s="38" t="s">
        <v>17393</v>
      </c>
      <c r="C3184" s="38" t="s">
        <v>27</v>
      </c>
      <c r="D3184" s="34">
        <v>2850.1</v>
      </c>
      <c r="E3184" s="35">
        <v>44709</v>
      </c>
      <c r="F3184" s="34">
        <v>2850.1</v>
      </c>
      <c r="G3184" s="36">
        <f>Tabla16[[#This Row],[Importe]]-Tabla16[[#This Row],[Pagado]]</f>
        <v>0</v>
      </c>
      <c r="H3184" s="38" t="s">
        <v>10</v>
      </c>
    </row>
    <row r="3185" spans="1:8" ht="31.5" x14ac:dyDescent="0.25">
      <c r="A3185" s="31">
        <v>44709</v>
      </c>
      <c r="B3185" s="38" t="s">
        <v>17394</v>
      </c>
      <c r="C3185" s="41" t="s">
        <v>6106</v>
      </c>
      <c r="D3185" s="34">
        <v>0</v>
      </c>
      <c r="E3185" s="39" t="s">
        <v>189</v>
      </c>
      <c r="F3185" s="34">
        <v>0</v>
      </c>
      <c r="G3185" s="36">
        <f>Tabla16[[#This Row],[Importe]]-Tabla16[[#This Row],[Pagado]]</f>
        <v>0</v>
      </c>
      <c r="H3185" s="40" t="s">
        <v>17395</v>
      </c>
    </row>
    <row r="3186" spans="1:8" x14ac:dyDescent="0.25">
      <c r="A3186" s="31">
        <v>44709</v>
      </c>
      <c r="B3186" s="38" t="s">
        <v>17396</v>
      </c>
      <c r="C3186" s="38" t="s">
        <v>4136</v>
      </c>
      <c r="D3186" s="34">
        <v>3416.5</v>
      </c>
      <c r="E3186" s="35">
        <v>44709</v>
      </c>
      <c r="F3186" s="34">
        <v>3416.5</v>
      </c>
      <c r="G3186" s="36">
        <f>Tabla16[[#This Row],[Importe]]-Tabla16[[#This Row],[Pagado]]</f>
        <v>0</v>
      </c>
      <c r="H3186" s="38" t="s">
        <v>10</v>
      </c>
    </row>
    <row r="3187" spans="1:8" x14ac:dyDescent="0.25">
      <c r="A3187" s="31">
        <v>44709</v>
      </c>
      <c r="B3187" s="38" t="s">
        <v>17397</v>
      </c>
      <c r="C3187" s="38" t="s">
        <v>31</v>
      </c>
      <c r="D3187" s="34">
        <v>499.2</v>
      </c>
      <c r="E3187" s="35">
        <v>44709</v>
      </c>
      <c r="F3187" s="34">
        <v>499.2</v>
      </c>
      <c r="G3187" s="36">
        <f>Tabla16[[#This Row],[Importe]]-Tabla16[[#This Row],[Pagado]]</f>
        <v>0</v>
      </c>
      <c r="H3187" s="38" t="s">
        <v>10</v>
      </c>
    </row>
    <row r="3188" spans="1:8" x14ac:dyDescent="0.25">
      <c r="A3188" s="31">
        <v>44709</v>
      </c>
      <c r="B3188" s="38" t="s">
        <v>17398</v>
      </c>
      <c r="C3188" s="38" t="s">
        <v>49</v>
      </c>
      <c r="D3188" s="34">
        <v>3206.2</v>
      </c>
      <c r="E3188" s="35">
        <v>44709</v>
      </c>
      <c r="F3188" s="34">
        <v>3206.2</v>
      </c>
      <c r="G3188" s="36">
        <f>Tabla16[[#This Row],[Importe]]-Tabla16[[#This Row],[Pagado]]</f>
        <v>0</v>
      </c>
      <c r="H3188" s="38" t="s">
        <v>10</v>
      </c>
    </row>
    <row r="3189" spans="1:8" x14ac:dyDescent="0.25">
      <c r="A3189" s="31">
        <v>44709</v>
      </c>
      <c r="B3189" s="38" t="s">
        <v>17399</v>
      </c>
      <c r="C3189" s="38" t="s">
        <v>275</v>
      </c>
      <c r="D3189" s="34">
        <v>209008.98</v>
      </c>
      <c r="E3189" s="35">
        <v>44722</v>
      </c>
      <c r="F3189" s="34">
        <v>209008.98</v>
      </c>
      <c r="G3189" s="36">
        <f>Tabla16[[#This Row],[Importe]]-Tabla16[[#This Row],[Pagado]]</f>
        <v>0</v>
      </c>
      <c r="H3189" s="38" t="s">
        <v>10</v>
      </c>
    </row>
    <row r="3190" spans="1:8" x14ac:dyDescent="0.25">
      <c r="A3190" s="31">
        <v>44709</v>
      </c>
      <c r="B3190" s="38" t="s">
        <v>17400</v>
      </c>
      <c r="C3190" s="38" t="s">
        <v>230</v>
      </c>
      <c r="D3190" s="34">
        <v>6891.9</v>
      </c>
      <c r="E3190" s="35">
        <v>44709</v>
      </c>
      <c r="F3190" s="34">
        <v>6891.9</v>
      </c>
      <c r="G3190" s="36">
        <f>Tabla16[[#This Row],[Importe]]-Tabla16[[#This Row],[Pagado]]</f>
        <v>0</v>
      </c>
      <c r="H3190" s="38" t="s">
        <v>10</v>
      </c>
    </row>
    <row r="3191" spans="1:8" x14ac:dyDescent="0.25">
      <c r="A3191" s="31">
        <v>44709</v>
      </c>
      <c r="B3191" s="38" t="s">
        <v>17401</v>
      </c>
      <c r="C3191" s="38" t="s">
        <v>2114</v>
      </c>
      <c r="D3191" s="34">
        <v>1386</v>
      </c>
      <c r="E3191" s="35">
        <v>44709</v>
      </c>
      <c r="F3191" s="34">
        <v>1386</v>
      </c>
      <c r="G3191" s="36">
        <f>Tabla16[[#This Row],[Importe]]-Tabla16[[#This Row],[Pagado]]</f>
        <v>0</v>
      </c>
      <c r="H3191" s="38" t="s">
        <v>10</v>
      </c>
    </row>
    <row r="3192" spans="1:8" x14ac:dyDescent="0.25">
      <c r="A3192" s="31">
        <v>44709</v>
      </c>
      <c r="B3192" s="38" t="s">
        <v>17402</v>
      </c>
      <c r="C3192" s="38" t="s">
        <v>2114</v>
      </c>
      <c r="D3192" s="34">
        <v>260</v>
      </c>
      <c r="E3192" s="35">
        <v>44709</v>
      </c>
      <c r="F3192" s="34">
        <v>260</v>
      </c>
      <c r="G3192" s="36">
        <f>Tabla16[[#This Row],[Importe]]-Tabla16[[#This Row],[Pagado]]</f>
        <v>0</v>
      </c>
      <c r="H3192" s="38" t="s">
        <v>10</v>
      </c>
    </row>
    <row r="3193" spans="1:8" x14ac:dyDescent="0.25">
      <c r="A3193" s="31">
        <v>44709</v>
      </c>
      <c r="B3193" s="38" t="s">
        <v>17403</v>
      </c>
      <c r="C3193" s="38" t="s">
        <v>31</v>
      </c>
      <c r="D3193" s="34">
        <v>1029.5999999999999</v>
      </c>
      <c r="E3193" s="35">
        <v>44709</v>
      </c>
      <c r="F3193" s="34">
        <v>1029.5999999999999</v>
      </c>
      <c r="G3193" s="36">
        <f>Tabla16[[#This Row],[Importe]]-Tabla16[[#This Row],[Pagado]]</f>
        <v>0</v>
      </c>
      <c r="H3193" s="38" t="s">
        <v>10</v>
      </c>
    </row>
    <row r="3194" spans="1:8" x14ac:dyDescent="0.25">
      <c r="A3194" s="31">
        <v>44709</v>
      </c>
      <c r="B3194" s="38" t="s">
        <v>17404</v>
      </c>
      <c r="C3194" s="38" t="s">
        <v>191</v>
      </c>
      <c r="D3194" s="34">
        <v>1992</v>
      </c>
      <c r="E3194" s="35">
        <v>44709</v>
      </c>
      <c r="F3194" s="34">
        <v>1992</v>
      </c>
      <c r="G3194" s="36">
        <f>Tabla16[[#This Row],[Importe]]-Tabla16[[#This Row],[Pagado]]</f>
        <v>0</v>
      </c>
      <c r="H3194" s="38" t="s">
        <v>10</v>
      </c>
    </row>
    <row r="3195" spans="1:8" x14ac:dyDescent="0.25">
      <c r="A3195" s="31">
        <v>44709</v>
      </c>
      <c r="B3195" s="38" t="s">
        <v>17405</v>
      </c>
      <c r="C3195" s="38" t="s">
        <v>9587</v>
      </c>
      <c r="D3195" s="34">
        <v>1320.2</v>
      </c>
      <c r="E3195" s="35">
        <v>44709</v>
      </c>
      <c r="F3195" s="34">
        <v>1320.2</v>
      </c>
      <c r="G3195" s="36">
        <f>Tabla16[[#This Row],[Importe]]-Tabla16[[#This Row],[Pagado]]</f>
        <v>0</v>
      </c>
      <c r="H3195" s="38" t="s">
        <v>10</v>
      </c>
    </row>
    <row r="3196" spans="1:8" x14ac:dyDescent="0.25">
      <c r="A3196" s="31">
        <v>44709</v>
      </c>
      <c r="B3196" s="38" t="s">
        <v>17406</v>
      </c>
      <c r="C3196" s="38" t="s">
        <v>216</v>
      </c>
      <c r="D3196" s="34">
        <v>2973.6</v>
      </c>
      <c r="E3196" s="35">
        <v>44709</v>
      </c>
      <c r="F3196" s="34">
        <v>2973.6</v>
      </c>
      <c r="G3196" s="36">
        <f>Tabla16[[#This Row],[Importe]]-Tabla16[[#This Row],[Pagado]]</f>
        <v>0</v>
      </c>
      <c r="H3196" s="38" t="s">
        <v>10</v>
      </c>
    </row>
    <row r="3197" spans="1:8" x14ac:dyDescent="0.25">
      <c r="A3197" s="31">
        <v>44709</v>
      </c>
      <c r="B3197" s="38" t="s">
        <v>17407</v>
      </c>
      <c r="C3197" s="38" t="s">
        <v>382</v>
      </c>
      <c r="D3197" s="34">
        <v>8857.7999999999993</v>
      </c>
      <c r="E3197" s="35">
        <v>44709</v>
      </c>
      <c r="F3197" s="34">
        <v>8857.7999999999993</v>
      </c>
      <c r="G3197" s="36">
        <f>Tabla16[[#This Row],[Importe]]-Tabla16[[#This Row],[Pagado]]</f>
        <v>0</v>
      </c>
      <c r="H3197" s="38" t="s">
        <v>10</v>
      </c>
    </row>
    <row r="3198" spans="1:8" x14ac:dyDescent="0.25">
      <c r="A3198" s="31">
        <v>44709</v>
      </c>
      <c r="B3198" s="38" t="s">
        <v>17408</v>
      </c>
      <c r="C3198" s="38" t="s">
        <v>8628</v>
      </c>
      <c r="D3198" s="34">
        <v>0</v>
      </c>
      <c r="E3198" s="39" t="s">
        <v>189</v>
      </c>
      <c r="F3198" s="34">
        <v>0</v>
      </c>
      <c r="G3198" s="36">
        <f>Tabla16[[#This Row],[Importe]]-Tabla16[[#This Row],[Pagado]]</f>
        <v>0</v>
      </c>
      <c r="H3198" s="38" t="s">
        <v>189</v>
      </c>
    </row>
    <row r="3199" spans="1:8" x14ac:dyDescent="0.25">
      <c r="A3199" s="31">
        <v>44709</v>
      </c>
      <c r="B3199" s="38" t="s">
        <v>17409</v>
      </c>
      <c r="C3199" s="38" t="s">
        <v>698</v>
      </c>
      <c r="D3199" s="34">
        <v>4706.8</v>
      </c>
      <c r="E3199" s="35">
        <v>44709</v>
      </c>
      <c r="F3199" s="34">
        <v>4706.8</v>
      </c>
      <c r="G3199" s="36">
        <f>Tabla16[[#This Row],[Importe]]-Tabla16[[#This Row],[Pagado]]</f>
        <v>0</v>
      </c>
      <c r="H3199" s="38" t="s">
        <v>10</v>
      </c>
    </row>
    <row r="3200" spans="1:8" x14ac:dyDescent="0.25">
      <c r="A3200" s="31">
        <v>44709</v>
      </c>
      <c r="B3200" s="38" t="s">
        <v>17410</v>
      </c>
      <c r="C3200" s="38" t="s">
        <v>45</v>
      </c>
      <c r="D3200" s="34">
        <v>7950.6</v>
      </c>
      <c r="E3200" s="35">
        <v>44709</v>
      </c>
      <c r="F3200" s="34">
        <v>7950.6</v>
      </c>
      <c r="G3200" s="36">
        <f>Tabla16[[#This Row],[Importe]]-Tabla16[[#This Row],[Pagado]]</f>
        <v>0</v>
      </c>
      <c r="H3200" s="38" t="s">
        <v>10</v>
      </c>
    </row>
    <row r="3201" spans="1:8" x14ac:dyDescent="0.25">
      <c r="A3201" s="31">
        <v>44709</v>
      </c>
      <c r="B3201" s="38" t="s">
        <v>17411</v>
      </c>
      <c r="C3201" s="38" t="s">
        <v>214</v>
      </c>
      <c r="D3201" s="34">
        <v>448</v>
      </c>
      <c r="E3201" s="35">
        <v>44709</v>
      </c>
      <c r="F3201" s="34">
        <v>448</v>
      </c>
      <c r="G3201" s="36">
        <f>Tabla16[[#This Row],[Importe]]-Tabla16[[#This Row],[Pagado]]</f>
        <v>0</v>
      </c>
      <c r="H3201" s="38" t="s">
        <v>10</v>
      </c>
    </row>
    <row r="3202" spans="1:8" x14ac:dyDescent="0.25">
      <c r="A3202" s="31">
        <v>44709</v>
      </c>
      <c r="B3202" s="38" t="s">
        <v>17412</v>
      </c>
      <c r="C3202" s="38" t="s">
        <v>2114</v>
      </c>
      <c r="D3202" s="34">
        <v>860</v>
      </c>
      <c r="E3202" s="35">
        <v>44709</v>
      </c>
      <c r="F3202" s="34">
        <v>860</v>
      </c>
      <c r="G3202" s="36">
        <f>Tabla16[[#This Row],[Importe]]-Tabla16[[#This Row],[Pagado]]</f>
        <v>0</v>
      </c>
      <c r="H3202" s="38" t="s">
        <v>10</v>
      </c>
    </row>
    <row r="3203" spans="1:8" x14ac:dyDescent="0.25">
      <c r="A3203" s="31">
        <v>44709</v>
      </c>
      <c r="B3203" s="38" t="s">
        <v>17413</v>
      </c>
      <c r="C3203" s="38" t="s">
        <v>520</v>
      </c>
      <c r="D3203" s="34">
        <v>14341</v>
      </c>
      <c r="E3203" s="35">
        <v>44710</v>
      </c>
      <c r="F3203" s="34">
        <v>14341</v>
      </c>
      <c r="G3203" s="36">
        <f>Tabla16[[#This Row],[Importe]]-Tabla16[[#This Row],[Pagado]]</f>
        <v>0</v>
      </c>
      <c r="H3203" s="38" t="s">
        <v>10</v>
      </c>
    </row>
    <row r="3204" spans="1:8" x14ac:dyDescent="0.25">
      <c r="A3204" s="31">
        <v>44709</v>
      </c>
      <c r="B3204" s="38" t="s">
        <v>17414</v>
      </c>
      <c r="C3204" s="38" t="s">
        <v>380</v>
      </c>
      <c r="D3204" s="34">
        <v>22684</v>
      </c>
      <c r="E3204" s="35">
        <v>44710</v>
      </c>
      <c r="F3204" s="34">
        <v>22684</v>
      </c>
      <c r="G3204" s="36">
        <f>Tabla16[[#This Row],[Importe]]-Tabla16[[#This Row],[Pagado]]</f>
        <v>0</v>
      </c>
      <c r="H3204" s="38" t="s">
        <v>10</v>
      </c>
    </row>
    <row r="3205" spans="1:8" x14ac:dyDescent="0.25">
      <c r="A3205" s="31">
        <v>44709</v>
      </c>
      <c r="B3205" s="38" t="s">
        <v>17415</v>
      </c>
      <c r="C3205" s="38" t="s">
        <v>966</v>
      </c>
      <c r="D3205" s="34">
        <v>1625</v>
      </c>
      <c r="E3205" s="35">
        <v>44710</v>
      </c>
      <c r="F3205" s="34">
        <v>1625</v>
      </c>
      <c r="G3205" s="36">
        <f>Tabla16[[#This Row],[Importe]]-Tabla16[[#This Row],[Pagado]]</f>
        <v>0</v>
      </c>
      <c r="H3205" s="38" t="s">
        <v>10</v>
      </c>
    </row>
    <row r="3206" spans="1:8" x14ac:dyDescent="0.25">
      <c r="A3206" s="31">
        <v>44709</v>
      </c>
      <c r="B3206" s="38" t="s">
        <v>17416</v>
      </c>
      <c r="C3206" s="38" t="s">
        <v>525</v>
      </c>
      <c r="D3206" s="34">
        <v>4685</v>
      </c>
      <c r="E3206" s="35">
        <v>44710</v>
      </c>
      <c r="F3206" s="34">
        <v>4685</v>
      </c>
      <c r="G3206" s="36">
        <f>Tabla16[[#This Row],[Importe]]-Tabla16[[#This Row],[Pagado]]</f>
        <v>0</v>
      </c>
      <c r="H3206" s="38" t="s">
        <v>10</v>
      </c>
    </row>
    <row r="3207" spans="1:8" x14ac:dyDescent="0.25">
      <c r="A3207" s="31">
        <v>44709</v>
      </c>
      <c r="B3207" s="38" t="s">
        <v>17417</v>
      </c>
      <c r="C3207" s="38" t="s">
        <v>151</v>
      </c>
      <c r="D3207" s="34">
        <v>7476.4</v>
      </c>
      <c r="E3207" s="35">
        <v>44710</v>
      </c>
      <c r="F3207" s="34">
        <v>7476.4</v>
      </c>
      <c r="G3207" s="36">
        <f>Tabla16[[#This Row],[Importe]]-Tabla16[[#This Row],[Pagado]]</f>
        <v>0</v>
      </c>
      <c r="H3207" s="38" t="s">
        <v>10</v>
      </c>
    </row>
    <row r="3208" spans="1:8" x14ac:dyDescent="0.25">
      <c r="A3208" s="31">
        <v>44709</v>
      </c>
      <c r="B3208" s="38" t="s">
        <v>17418</v>
      </c>
      <c r="C3208" s="38" t="s">
        <v>157</v>
      </c>
      <c r="D3208" s="34">
        <v>7075.4</v>
      </c>
      <c r="E3208" s="35">
        <v>44710</v>
      </c>
      <c r="F3208" s="34">
        <v>7075.4</v>
      </c>
      <c r="G3208" s="36">
        <f>Tabla16[[#This Row],[Importe]]-Tabla16[[#This Row],[Pagado]]</f>
        <v>0</v>
      </c>
      <c r="H3208" s="38" t="s">
        <v>10</v>
      </c>
    </row>
    <row r="3209" spans="1:8" x14ac:dyDescent="0.25">
      <c r="A3209" s="31">
        <v>44709</v>
      </c>
      <c r="B3209" s="38" t="s">
        <v>17419</v>
      </c>
      <c r="C3209" s="38" t="s">
        <v>12609</v>
      </c>
      <c r="D3209" s="34">
        <v>3175</v>
      </c>
      <c r="E3209" s="35">
        <v>44709</v>
      </c>
      <c r="F3209" s="34">
        <v>3175</v>
      </c>
      <c r="G3209" s="36">
        <f>Tabla16[[#This Row],[Importe]]-Tabla16[[#This Row],[Pagado]]</f>
        <v>0</v>
      </c>
      <c r="H3209" s="38" t="s">
        <v>10</v>
      </c>
    </row>
    <row r="3210" spans="1:8" x14ac:dyDescent="0.25">
      <c r="A3210" s="31">
        <v>44709</v>
      </c>
      <c r="B3210" s="38" t="s">
        <v>17420</v>
      </c>
      <c r="C3210" s="38" t="s">
        <v>159</v>
      </c>
      <c r="D3210" s="34">
        <v>6847.6</v>
      </c>
      <c r="E3210" s="35">
        <v>44710</v>
      </c>
      <c r="F3210" s="34">
        <v>6847.6</v>
      </c>
      <c r="G3210" s="36">
        <f>Tabla16[[#This Row],[Importe]]-Tabla16[[#This Row],[Pagado]]</f>
        <v>0</v>
      </c>
      <c r="H3210" s="38" t="s">
        <v>10</v>
      </c>
    </row>
    <row r="3211" spans="1:8" x14ac:dyDescent="0.25">
      <c r="A3211" s="31">
        <v>44709</v>
      </c>
      <c r="B3211" s="38" t="s">
        <v>17421</v>
      </c>
      <c r="C3211" s="38" t="s">
        <v>518</v>
      </c>
      <c r="D3211" s="34">
        <v>3268.8</v>
      </c>
      <c r="E3211" s="35">
        <v>44710</v>
      </c>
      <c r="F3211" s="34">
        <v>3268.8</v>
      </c>
      <c r="G3211" s="36">
        <f>Tabla16[[#This Row],[Importe]]-Tabla16[[#This Row],[Pagado]]</f>
        <v>0</v>
      </c>
      <c r="H3211" s="38" t="s">
        <v>10</v>
      </c>
    </row>
    <row r="3212" spans="1:8" x14ac:dyDescent="0.25">
      <c r="A3212" s="31">
        <v>44709</v>
      </c>
      <c r="B3212" s="38" t="s">
        <v>17422</v>
      </c>
      <c r="C3212" s="38" t="s">
        <v>518</v>
      </c>
      <c r="D3212" s="34">
        <v>1799.4</v>
      </c>
      <c r="E3212" s="35">
        <v>44710</v>
      </c>
      <c r="F3212" s="34">
        <v>1799.4</v>
      </c>
      <c r="G3212" s="36">
        <f>Tabla16[[#This Row],[Importe]]-Tabla16[[#This Row],[Pagado]]</f>
        <v>0</v>
      </c>
      <c r="H3212" s="38" t="s">
        <v>10</v>
      </c>
    </row>
    <row r="3213" spans="1:8" x14ac:dyDescent="0.25">
      <c r="A3213" s="31">
        <v>44709</v>
      </c>
      <c r="B3213" s="38" t="s">
        <v>17423</v>
      </c>
      <c r="C3213" s="38" t="s">
        <v>62</v>
      </c>
      <c r="D3213" s="34">
        <v>5587.2</v>
      </c>
      <c r="E3213" s="35">
        <v>44709</v>
      </c>
      <c r="F3213" s="34">
        <v>5587.2</v>
      </c>
      <c r="G3213" s="36">
        <f>Tabla16[[#This Row],[Importe]]-Tabla16[[#This Row],[Pagado]]</f>
        <v>0</v>
      </c>
      <c r="H3213" s="38" t="s">
        <v>10</v>
      </c>
    </row>
    <row r="3214" spans="1:8" x14ac:dyDescent="0.25">
      <c r="A3214" s="31">
        <v>44709</v>
      </c>
      <c r="B3214" s="38" t="s">
        <v>17424</v>
      </c>
      <c r="C3214" s="38" t="s">
        <v>62</v>
      </c>
      <c r="D3214" s="34">
        <v>1537</v>
      </c>
      <c r="E3214" s="35">
        <v>44709</v>
      </c>
      <c r="F3214" s="34">
        <v>1537</v>
      </c>
      <c r="G3214" s="36">
        <f>Tabla16[[#This Row],[Importe]]-Tabla16[[#This Row],[Pagado]]</f>
        <v>0</v>
      </c>
      <c r="H3214" s="38" t="s">
        <v>10</v>
      </c>
    </row>
    <row r="3215" spans="1:8" x14ac:dyDescent="0.25">
      <c r="A3215" s="31">
        <v>44709</v>
      </c>
      <c r="B3215" s="38" t="s">
        <v>17425</v>
      </c>
      <c r="C3215" s="38" t="s">
        <v>319</v>
      </c>
      <c r="D3215" s="34">
        <v>2942.1</v>
      </c>
      <c r="E3215" s="35">
        <v>44710</v>
      </c>
      <c r="F3215" s="34">
        <v>2942.1</v>
      </c>
      <c r="G3215" s="36">
        <f>Tabla16[[#This Row],[Importe]]-Tabla16[[#This Row],[Pagado]]</f>
        <v>0</v>
      </c>
      <c r="H3215" s="38" t="s">
        <v>10</v>
      </c>
    </row>
    <row r="3216" spans="1:8" x14ac:dyDescent="0.25">
      <c r="A3216" s="31">
        <v>44709</v>
      </c>
      <c r="B3216" s="38" t="s">
        <v>17426</v>
      </c>
      <c r="C3216" s="38" t="s">
        <v>79</v>
      </c>
      <c r="D3216" s="34">
        <v>23396.2</v>
      </c>
      <c r="E3216" s="35">
        <v>44710</v>
      </c>
      <c r="F3216" s="34">
        <v>23396.2</v>
      </c>
      <c r="G3216" s="36">
        <f>Tabla16[[#This Row],[Importe]]-Tabla16[[#This Row],[Pagado]]</f>
        <v>0</v>
      </c>
      <c r="H3216" s="38" t="s">
        <v>10</v>
      </c>
    </row>
    <row r="3217" spans="1:8" x14ac:dyDescent="0.25">
      <c r="A3217" s="31">
        <v>44709</v>
      </c>
      <c r="B3217" s="38" t="s">
        <v>17427</v>
      </c>
      <c r="C3217" s="38" t="s">
        <v>233</v>
      </c>
      <c r="D3217" s="34">
        <v>5625.9</v>
      </c>
      <c r="E3217" s="35">
        <v>44709</v>
      </c>
      <c r="F3217" s="34">
        <v>5625.9</v>
      </c>
      <c r="G3217" s="36">
        <f>Tabla16[[#This Row],[Importe]]-Tabla16[[#This Row],[Pagado]]</f>
        <v>0</v>
      </c>
      <c r="H3217" s="38" t="s">
        <v>10</v>
      </c>
    </row>
    <row r="3218" spans="1:8" x14ac:dyDescent="0.25">
      <c r="A3218" s="31">
        <v>44709</v>
      </c>
      <c r="B3218" s="38" t="s">
        <v>17428</v>
      </c>
      <c r="C3218" s="38" t="s">
        <v>244</v>
      </c>
      <c r="D3218" s="34">
        <v>2139.3000000000002</v>
      </c>
      <c r="E3218" s="35">
        <v>44709</v>
      </c>
      <c r="F3218" s="34">
        <v>2139.3000000000002</v>
      </c>
      <c r="G3218" s="36">
        <f>Tabla16[[#This Row],[Importe]]-Tabla16[[#This Row],[Pagado]]</f>
        <v>0</v>
      </c>
      <c r="H3218" s="38" t="s">
        <v>10</v>
      </c>
    </row>
    <row r="3219" spans="1:8" x14ac:dyDescent="0.25">
      <c r="A3219" s="31">
        <v>44709</v>
      </c>
      <c r="B3219" s="38" t="s">
        <v>17429</v>
      </c>
      <c r="C3219" s="38" t="s">
        <v>31</v>
      </c>
      <c r="D3219" s="34">
        <v>1215.9000000000001</v>
      </c>
      <c r="E3219" s="35">
        <v>44709</v>
      </c>
      <c r="F3219" s="34">
        <v>1215.9000000000001</v>
      </c>
      <c r="G3219" s="36">
        <f>Tabla16[[#This Row],[Importe]]-Tabla16[[#This Row],[Pagado]]</f>
        <v>0</v>
      </c>
      <c r="H3219" s="38" t="s">
        <v>10</v>
      </c>
    </row>
    <row r="3220" spans="1:8" x14ac:dyDescent="0.25">
      <c r="A3220" s="31">
        <v>44709</v>
      </c>
      <c r="B3220" s="38" t="s">
        <v>17430</v>
      </c>
      <c r="C3220" s="38" t="s">
        <v>17431</v>
      </c>
      <c r="D3220" s="34">
        <v>0</v>
      </c>
      <c r="E3220" s="39" t="s">
        <v>189</v>
      </c>
      <c r="F3220" s="34">
        <v>0</v>
      </c>
      <c r="G3220" s="36">
        <f>Tabla16[[#This Row],[Importe]]-Tabla16[[#This Row],[Pagado]]</f>
        <v>0</v>
      </c>
      <c r="H3220" s="38" t="s">
        <v>189</v>
      </c>
    </row>
    <row r="3221" spans="1:8" x14ac:dyDescent="0.25">
      <c r="A3221" s="31">
        <v>44709</v>
      </c>
      <c r="B3221" s="38" t="s">
        <v>17432</v>
      </c>
      <c r="C3221" s="38" t="s">
        <v>9827</v>
      </c>
      <c r="D3221" s="34">
        <v>6640.9</v>
      </c>
      <c r="E3221" s="35">
        <v>44709</v>
      </c>
      <c r="F3221" s="34">
        <v>6640.9</v>
      </c>
      <c r="G3221" s="36">
        <f>Tabla16[[#This Row],[Importe]]-Tabla16[[#This Row],[Pagado]]</f>
        <v>0</v>
      </c>
      <c r="H3221" s="38" t="s">
        <v>10</v>
      </c>
    </row>
    <row r="3222" spans="1:8" x14ac:dyDescent="0.25">
      <c r="A3222" s="31">
        <v>44709</v>
      </c>
      <c r="B3222" s="38" t="s">
        <v>17433</v>
      </c>
      <c r="C3222" s="38" t="s">
        <v>142</v>
      </c>
      <c r="D3222" s="34">
        <v>48105.599999999999</v>
      </c>
      <c r="E3222" s="35">
        <v>44760</v>
      </c>
      <c r="F3222" s="34">
        <v>48105.599999999999</v>
      </c>
      <c r="G3222" s="36">
        <f>Tabla16[[#This Row],[Importe]]-Tabla16[[#This Row],[Pagado]]</f>
        <v>0</v>
      </c>
      <c r="H3222" s="38" t="s">
        <v>10</v>
      </c>
    </row>
    <row r="3223" spans="1:8" x14ac:dyDescent="0.25">
      <c r="A3223" s="31">
        <v>44709</v>
      </c>
      <c r="B3223" s="38" t="s">
        <v>17434</v>
      </c>
      <c r="C3223" s="38" t="s">
        <v>17435</v>
      </c>
      <c r="D3223" s="34">
        <v>0</v>
      </c>
      <c r="E3223" s="39" t="s">
        <v>189</v>
      </c>
      <c r="F3223" s="34">
        <v>0</v>
      </c>
      <c r="G3223" s="36">
        <f>Tabla16[[#This Row],[Importe]]-Tabla16[[#This Row],[Pagado]]</f>
        <v>0</v>
      </c>
      <c r="H3223" s="38" t="s">
        <v>189</v>
      </c>
    </row>
    <row r="3224" spans="1:8" x14ac:dyDescent="0.25">
      <c r="A3224" s="31">
        <v>44709</v>
      </c>
      <c r="B3224" s="38" t="s">
        <v>17436</v>
      </c>
      <c r="C3224" s="38" t="s">
        <v>282</v>
      </c>
      <c r="D3224" s="34">
        <v>7597.8</v>
      </c>
      <c r="E3224" s="35">
        <v>44710</v>
      </c>
      <c r="F3224" s="34">
        <v>7597.8</v>
      </c>
      <c r="G3224" s="36">
        <f>Tabla16[[#This Row],[Importe]]-Tabla16[[#This Row],[Pagado]]</f>
        <v>0</v>
      </c>
      <c r="H3224" s="38" t="s">
        <v>10</v>
      </c>
    </row>
    <row r="3225" spans="1:8" x14ac:dyDescent="0.25">
      <c r="A3225" s="31">
        <v>44709</v>
      </c>
      <c r="B3225" s="38" t="s">
        <v>17437</v>
      </c>
      <c r="C3225" s="38" t="s">
        <v>280</v>
      </c>
      <c r="D3225" s="34">
        <v>2375.1</v>
      </c>
      <c r="E3225" s="35">
        <v>44710</v>
      </c>
      <c r="F3225" s="34">
        <v>2375.1</v>
      </c>
      <c r="G3225" s="36">
        <f>Tabla16[[#This Row],[Importe]]-Tabla16[[#This Row],[Pagado]]</f>
        <v>0</v>
      </c>
      <c r="H3225" s="38" t="s">
        <v>10</v>
      </c>
    </row>
    <row r="3226" spans="1:8" x14ac:dyDescent="0.25">
      <c r="A3226" s="31">
        <v>44709</v>
      </c>
      <c r="B3226" s="38" t="s">
        <v>17438</v>
      </c>
      <c r="C3226" s="38" t="s">
        <v>284</v>
      </c>
      <c r="D3226" s="34">
        <v>9632.7000000000007</v>
      </c>
      <c r="E3226" s="35">
        <v>44710</v>
      </c>
      <c r="F3226" s="34">
        <v>9632.7000000000007</v>
      </c>
      <c r="G3226" s="36">
        <f>Tabla16[[#This Row],[Importe]]-Tabla16[[#This Row],[Pagado]]</f>
        <v>0</v>
      </c>
      <c r="H3226" s="38" t="s">
        <v>10</v>
      </c>
    </row>
    <row r="3227" spans="1:8" x14ac:dyDescent="0.25">
      <c r="A3227" s="31">
        <v>44709</v>
      </c>
      <c r="B3227" s="38" t="s">
        <v>17439</v>
      </c>
      <c r="C3227" s="38" t="s">
        <v>53</v>
      </c>
      <c r="D3227" s="34">
        <v>2937.6</v>
      </c>
      <c r="E3227" s="35">
        <v>44709</v>
      </c>
      <c r="F3227" s="34">
        <v>2937.6</v>
      </c>
      <c r="G3227" s="36">
        <f>Tabla16[[#This Row],[Importe]]-Tabla16[[#This Row],[Pagado]]</f>
        <v>0</v>
      </c>
      <c r="H3227" s="38" t="s">
        <v>10</v>
      </c>
    </row>
    <row r="3228" spans="1:8" x14ac:dyDescent="0.25">
      <c r="A3228" s="31">
        <v>44709</v>
      </c>
      <c r="B3228" s="38" t="s">
        <v>17440</v>
      </c>
      <c r="C3228" s="38" t="s">
        <v>64</v>
      </c>
      <c r="D3228" s="34">
        <v>6890</v>
      </c>
      <c r="E3228" s="35">
        <v>44709</v>
      </c>
      <c r="F3228" s="34">
        <v>6890</v>
      </c>
      <c r="G3228" s="36">
        <f>Tabla16[[#This Row],[Importe]]-Tabla16[[#This Row],[Pagado]]</f>
        <v>0</v>
      </c>
      <c r="H3228" s="38" t="s">
        <v>10</v>
      </c>
    </row>
    <row r="3229" spans="1:8" x14ac:dyDescent="0.25">
      <c r="A3229" s="31">
        <v>44709</v>
      </c>
      <c r="B3229" s="38" t="s">
        <v>17441</v>
      </c>
      <c r="C3229" s="38" t="s">
        <v>58</v>
      </c>
      <c r="D3229" s="34">
        <v>5886.9</v>
      </c>
      <c r="E3229" s="35">
        <v>44709</v>
      </c>
      <c r="F3229" s="34">
        <v>5886.9</v>
      </c>
      <c r="G3229" s="36">
        <f>Tabla16[[#This Row],[Importe]]-Tabla16[[#This Row],[Pagado]]</f>
        <v>0</v>
      </c>
      <c r="H3229" s="38" t="s">
        <v>10</v>
      </c>
    </row>
    <row r="3230" spans="1:8" x14ac:dyDescent="0.25">
      <c r="A3230" s="31">
        <v>44709</v>
      </c>
      <c r="B3230" s="38" t="s">
        <v>17442</v>
      </c>
      <c r="C3230" s="38" t="s">
        <v>214</v>
      </c>
      <c r="D3230" s="34">
        <v>1593.9</v>
      </c>
      <c r="E3230" s="35">
        <v>44709</v>
      </c>
      <c r="F3230" s="34">
        <v>1593.9</v>
      </c>
      <c r="G3230" s="36">
        <f>Tabla16[[#This Row],[Importe]]-Tabla16[[#This Row],[Pagado]]</f>
        <v>0</v>
      </c>
      <c r="H3230" s="38" t="s">
        <v>10</v>
      </c>
    </row>
    <row r="3231" spans="1:8" x14ac:dyDescent="0.25">
      <c r="A3231" s="31">
        <v>44709</v>
      </c>
      <c r="B3231" s="38" t="s">
        <v>17443</v>
      </c>
      <c r="C3231" s="38" t="s">
        <v>10819</v>
      </c>
      <c r="D3231" s="34">
        <v>1404.9</v>
      </c>
      <c r="E3231" s="35">
        <v>44710</v>
      </c>
      <c r="F3231" s="34">
        <v>1404.9</v>
      </c>
      <c r="G3231" s="36">
        <f>Tabla16[[#This Row],[Importe]]-Tabla16[[#This Row],[Pagado]]</f>
        <v>0</v>
      </c>
      <c r="H3231" s="38" t="s">
        <v>10</v>
      </c>
    </row>
    <row r="3232" spans="1:8" x14ac:dyDescent="0.25">
      <c r="A3232" s="31">
        <v>44709</v>
      </c>
      <c r="B3232" s="38" t="s">
        <v>17444</v>
      </c>
      <c r="C3232" s="38" t="s">
        <v>67</v>
      </c>
      <c r="D3232" s="34">
        <v>3210.9</v>
      </c>
      <c r="E3232" s="35">
        <v>44709</v>
      </c>
      <c r="F3232" s="34">
        <v>3210.9</v>
      </c>
      <c r="G3232" s="36">
        <f>Tabla16[[#This Row],[Importe]]-Tabla16[[#This Row],[Pagado]]</f>
        <v>0</v>
      </c>
      <c r="H3232" s="38" t="s">
        <v>10</v>
      </c>
    </row>
    <row r="3233" spans="1:8" x14ac:dyDescent="0.25">
      <c r="A3233" s="31">
        <v>44709</v>
      </c>
      <c r="B3233" s="38" t="s">
        <v>17445</v>
      </c>
      <c r="C3233" s="38" t="s">
        <v>994</v>
      </c>
      <c r="D3233" s="34">
        <v>1807.8</v>
      </c>
      <c r="E3233" s="35">
        <v>44709</v>
      </c>
      <c r="F3233" s="34">
        <v>1807.8</v>
      </c>
      <c r="G3233" s="36">
        <f>Tabla16[[#This Row],[Importe]]-Tabla16[[#This Row],[Pagado]]</f>
        <v>0</v>
      </c>
      <c r="H3233" s="38" t="s">
        <v>10</v>
      </c>
    </row>
    <row r="3234" spans="1:8" x14ac:dyDescent="0.25">
      <c r="A3234" s="31">
        <v>44709</v>
      </c>
      <c r="B3234" s="38" t="s">
        <v>17446</v>
      </c>
      <c r="C3234" s="38" t="s">
        <v>431</v>
      </c>
      <c r="D3234" s="34">
        <v>636.29999999999995</v>
      </c>
      <c r="E3234" s="35">
        <v>44710</v>
      </c>
      <c r="F3234" s="34">
        <v>636.29999999999995</v>
      </c>
      <c r="G3234" s="36">
        <f>Tabla16[[#This Row],[Importe]]-Tabla16[[#This Row],[Pagado]]</f>
        <v>0</v>
      </c>
      <c r="H3234" s="38" t="s">
        <v>10</v>
      </c>
    </row>
    <row r="3235" spans="1:8" x14ac:dyDescent="0.25">
      <c r="A3235" s="31">
        <v>44709</v>
      </c>
      <c r="B3235" s="38" t="s">
        <v>17447</v>
      </c>
      <c r="C3235" s="38" t="s">
        <v>24</v>
      </c>
      <c r="D3235" s="34">
        <v>3329.9</v>
      </c>
      <c r="E3235" s="35">
        <v>44709</v>
      </c>
      <c r="F3235" s="34">
        <v>3329.9</v>
      </c>
      <c r="G3235" s="36">
        <f>Tabla16[[#This Row],[Importe]]-Tabla16[[#This Row],[Pagado]]</f>
        <v>0</v>
      </c>
      <c r="H3235" s="38" t="s">
        <v>10</v>
      </c>
    </row>
    <row r="3236" spans="1:8" x14ac:dyDescent="0.25">
      <c r="A3236" s="31">
        <v>44709</v>
      </c>
      <c r="B3236" s="38" t="s">
        <v>17448</v>
      </c>
      <c r="C3236" s="38" t="s">
        <v>5345</v>
      </c>
      <c r="D3236" s="34">
        <v>3956.4</v>
      </c>
      <c r="E3236" s="35">
        <v>44707</v>
      </c>
      <c r="F3236" s="34">
        <v>3956.4</v>
      </c>
      <c r="G3236" s="36">
        <f>Tabla16[[#This Row],[Importe]]-Tabla16[[#This Row],[Pagado]]</f>
        <v>0</v>
      </c>
      <c r="H3236" s="38" t="s">
        <v>10</v>
      </c>
    </row>
    <row r="3237" spans="1:8" x14ac:dyDescent="0.25">
      <c r="A3237" s="31">
        <v>44709</v>
      </c>
      <c r="B3237" s="38" t="s">
        <v>17449</v>
      </c>
      <c r="C3237" s="38" t="s">
        <v>10190</v>
      </c>
      <c r="D3237" s="34">
        <v>19554.599999999999</v>
      </c>
      <c r="E3237" s="35">
        <v>44710</v>
      </c>
      <c r="F3237" s="34">
        <v>19554.599999999999</v>
      </c>
      <c r="G3237" s="36">
        <f>Tabla16[[#This Row],[Importe]]-Tabla16[[#This Row],[Pagado]]</f>
        <v>0</v>
      </c>
      <c r="H3237" s="38" t="s">
        <v>10</v>
      </c>
    </row>
    <row r="3238" spans="1:8" x14ac:dyDescent="0.25">
      <c r="A3238" s="31">
        <v>44709</v>
      </c>
      <c r="B3238" s="38" t="s">
        <v>17450</v>
      </c>
      <c r="C3238" s="38" t="s">
        <v>142</v>
      </c>
      <c r="D3238" s="34">
        <v>8408.4</v>
      </c>
      <c r="E3238" s="35">
        <v>44760</v>
      </c>
      <c r="F3238" s="34">
        <v>8408.4</v>
      </c>
      <c r="G3238" s="36">
        <f>Tabla16[[#This Row],[Importe]]-Tabla16[[#This Row],[Pagado]]</f>
        <v>0</v>
      </c>
      <c r="H3238" s="38" t="s">
        <v>10</v>
      </c>
    </row>
    <row r="3239" spans="1:8" x14ac:dyDescent="0.25">
      <c r="A3239" s="31">
        <v>44709</v>
      </c>
      <c r="B3239" s="38" t="s">
        <v>17451</v>
      </c>
      <c r="C3239" s="38" t="s">
        <v>175</v>
      </c>
      <c r="D3239" s="34">
        <v>38158.5</v>
      </c>
      <c r="E3239" s="35">
        <v>44710</v>
      </c>
      <c r="F3239" s="34">
        <v>38158.5</v>
      </c>
      <c r="G3239" s="36">
        <f>Tabla16[[#This Row],[Importe]]-Tabla16[[#This Row],[Pagado]]</f>
        <v>0</v>
      </c>
      <c r="H3239" s="38" t="s">
        <v>10</v>
      </c>
    </row>
    <row r="3240" spans="1:8" x14ac:dyDescent="0.25">
      <c r="A3240" s="31">
        <v>44709</v>
      </c>
      <c r="B3240" s="38" t="s">
        <v>17452</v>
      </c>
      <c r="C3240" s="38" t="s">
        <v>426</v>
      </c>
      <c r="D3240" s="34">
        <v>5043.7</v>
      </c>
      <c r="E3240" s="35">
        <v>44710</v>
      </c>
      <c r="F3240" s="34">
        <v>5043.7</v>
      </c>
      <c r="G3240" s="36">
        <f>Tabla16[[#This Row],[Importe]]-Tabla16[[#This Row],[Pagado]]</f>
        <v>0</v>
      </c>
      <c r="H3240" s="38" t="s">
        <v>10</v>
      </c>
    </row>
    <row r="3241" spans="1:8" x14ac:dyDescent="0.25">
      <c r="A3241" s="31">
        <v>44709</v>
      </c>
      <c r="B3241" s="38" t="s">
        <v>17453</v>
      </c>
      <c r="C3241" s="38" t="s">
        <v>359</v>
      </c>
      <c r="D3241" s="34">
        <v>1274.5999999999999</v>
      </c>
      <c r="E3241" s="35">
        <v>44710</v>
      </c>
      <c r="F3241" s="34">
        <v>1274.5999999999999</v>
      </c>
      <c r="G3241" s="36">
        <f>Tabla16[[#This Row],[Importe]]-Tabla16[[#This Row],[Pagado]]</f>
        <v>0</v>
      </c>
      <c r="H3241" s="38" t="s">
        <v>10</v>
      </c>
    </row>
    <row r="3242" spans="1:8" x14ac:dyDescent="0.25">
      <c r="A3242" s="31">
        <v>44709</v>
      </c>
      <c r="B3242" s="38" t="s">
        <v>17454</v>
      </c>
      <c r="C3242" s="38" t="s">
        <v>200</v>
      </c>
      <c r="D3242" s="34">
        <v>1089.9000000000001</v>
      </c>
      <c r="E3242" s="35">
        <v>44710</v>
      </c>
      <c r="F3242" s="34">
        <v>1089.9000000000001</v>
      </c>
      <c r="G3242" s="36">
        <f>Tabla16[[#This Row],[Importe]]-Tabla16[[#This Row],[Pagado]]</f>
        <v>0</v>
      </c>
      <c r="H3242" s="38" t="s">
        <v>10</v>
      </c>
    </row>
    <row r="3243" spans="1:8" x14ac:dyDescent="0.25">
      <c r="A3243" s="31">
        <v>44709</v>
      </c>
      <c r="B3243" s="38" t="s">
        <v>17455</v>
      </c>
      <c r="C3243" s="38" t="s">
        <v>181</v>
      </c>
      <c r="D3243" s="34">
        <v>21208.2</v>
      </c>
      <c r="E3243" s="35">
        <v>44710</v>
      </c>
      <c r="F3243" s="34">
        <v>21208.2</v>
      </c>
      <c r="G3243" s="36">
        <f>Tabla16[[#This Row],[Importe]]-Tabla16[[#This Row],[Pagado]]</f>
        <v>0</v>
      </c>
      <c r="H3243" s="38" t="s">
        <v>10</v>
      </c>
    </row>
    <row r="3244" spans="1:8" x14ac:dyDescent="0.25">
      <c r="A3244" s="31">
        <v>44709</v>
      </c>
      <c r="B3244" s="38" t="s">
        <v>17456</v>
      </c>
      <c r="C3244" s="38" t="s">
        <v>31</v>
      </c>
      <c r="D3244" s="34">
        <v>9365</v>
      </c>
      <c r="E3244" s="35">
        <v>44709</v>
      </c>
      <c r="F3244" s="34">
        <v>9365</v>
      </c>
      <c r="G3244" s="36">
        <f>Tabla16[[#This Row],[Importe]]-Tabla16[[#This Row],[Pagado]]</f>
        <v>0</v>
      </c>
      <c r="H3244" s="38" t="s">
        <v>10</v>
      </c>
    </row>
    <row r="3245" spans="1:8" x14ac:dyDescent="0.25">
      <c r="A3245" s="31">
        <v>44709</v>
      </c>
      <c r="B3245" s="38" t="s">
        <v>17457</v>
      </c>
      <c r="C3245" s="38" t="s">
        <v>8949</v>
      </c>
      <c r="D3245" s="34">
        <v>2706.6</v>
      </c>
      <c r="E3245" s="35">
        <v>44710</v>
      </c>
      <c r="F3245" s="34">
        <v>2706.6</v>
      </c>
      <c r="G3245" s="36">
        <f>Tabla16[[#This Row],[Importe]]-Tabla16[[#This Row],[Pagado]]</f>
        <v>0</v>
      </c>
      <c r="H3245" s="38" t="s">
        <v>10</v>
      </c>
    </row>
    <row r="3246" spans="1:8" x14ac:dyDescent="0.25">
      <c r="A3246" s="31">
        <v>44709</v>
      </c>
      <c r="B3246" s="38" t="s">
        <v>17458</v>
      </c>
      <c r="C3246" s="38" t="s">
        <v>107</v>
      </c>
      <c r="D3246" s="34">
        <v>29578.9</v>
      </c>
      <c r="E3246" s="35">
        <v>44710</v>
      </c>
      <c r="F3246" s="34">
        <v>29578.9</v>
      </c>
      <c r="G3246" s="36">
        <f>Tabla16[[#This Row],[Importe]]-Tabla16[[#This Row],[Pagado]]</f>
        <v>0</v>
      </c>
      <c r="H3246" s="38" t="s">
        <v>10</v>
      </c>
    </row>
    <row r="3247" spans="1:8" x14ac:dyDescent="0.25">
      <c r="A3247" s="31">
        <v>44709</v>
      </c>
      <c r="B3247" s="38" t="s">
        <v>17459</v>
      </c>
      <c r="C3247" s="38" t="s">
        <v>849</v>
      </c>
      <c r="D3247" s="34">
        <v>1026.8</v>
      </c>
      <c r="E3247" s="35">
        <v>44709</v>
      </c>
      <c r="F3247" s="34">
        <v>1026.8</v>
      </c>
      <c r="G3247" s="36">
        <f>Tabla16[[#This Row],[Importe]]-Tabla16[[#This Row],[Pagado]]</f>
        <v>0</v>
      </c>
      <c r="H3247" s="38" t="s">
        <v>10</v>
      </c>
    </row>
    <row r="3248" spans="1:8" x14ac:dyDescent="0.25">
      <c r="A3248" s="31">
        <v>44709</v>
      </c>
      <c r="B3248" s="38" t="s">
        <v>17460</v>
      </c>
      <c r="C3248" s="38" t="s">
        <v>291</v>
      </c>
      <c r="D3248" s="34">
        <v>6037.7</v>
      </c>
      <c r="E3248" s="35">
        <v>44710</v>
      </c>
      <c r="F3248" s="34">
        <v>6037.7</v>
      </c>
      <c r="G3248" s="36">
        <f>Tabla16[[#This Row],[Importe]]-Tabla16[[#This Row],[Pagado]]</f>
        <v>0</v>
      </c>
      <c r="H3248" s="38" t="s">
        <v>10</v>
      </c>
    </row>
    <row r="3249" spans="1:8" x14ac:dyDescent="0.25">
      <c r="A3249" s="31">
        <v>44709</v>
      </c>
      <c r="B3249" s="38" t="s">
        <v>17461</v>
      </c>
      <c r="C3249" s="38" t="s">
        <v>51</v>
      </c>
      <c r="D3249" s="34">
        <v>4715.8</v>
      </c>
      <c r="E3249" s="35">
        <v>44709</v>
      </c>
      <c r="F3249" s="34">
        <v>4715.8</v>
      </c>
      <c r="G3249" s="36">
        <f>Tabla16[[#This Row],[Importe]]-Tabla16[[#This Row],[Pagado]]</f>
        <v>0</v>
      </c>
      <c r="H3249" s="38" t="s">
        <v>10</v>
      </c>
    </row>
    <row r="3250" spans="1:8" x14ac:dyDescent="0.25">
      <c r="A3250" s="31">
        <v>44709</v>
      </c>
      <c r="B3250" s="38" t="s">
        <v>17462</v>
      </c>
      <c r="C3250" s="38" t="s">
        <v>31</v>
      </c>
      <c r="D3250" s="34">
        <v>864.6</v>
      </c>
      <c r="E3250" s="35">
        <v>44709</v>
      </c>
      <c r="F3250" s="34">
        <v>864.6</v>
      </c>
      <c r="G3250" s="36">
        <f>Tabla16[[#This Row],[Importe]]-Tabla16[[#This Row],[Pagado]]</f>
        <v>0</v>
      </c>
      <c r="H3250" s="38" t="s">
        <v>10</v>
      </c>
    </row>
    <row r="3251" spans="1:8" x14ac:dyDescent="0.25">
      <c r="A3251" s="31">
        <v>44709</v>
      </c>
      <c r="B3251" s="38" t="s">
        <v>17463</v>
      </c>
      <c r="C3251" s="38" t="s">
        <v>53</v>
      </c>
      <c r="D3251" s="34">
        <v>1587.2</v>
      </c>
      <c r="E3251" s="35">
        <v>44709</v>
      </c>
      <c r="F3251" s="34">
        <v>1587.2</v>
      </c>
      <c r="G3251" s="36">
        <f>Tabla16[[#This Row],[Importe]]-Tabla16[[#This Row],[Pagado]]</f>
        <v>0</v>
      </c>
      <c r="H3251" s="38" t="s">
        <v>10</v>
      </c>
    </row>
    <row r="3252" spans="1:8" x14ac:dyDescent="0.25">
      <c r="A3252" s="31">
        <v>44709</v>
      </c>
      <c r="B3252" s="38" t="s">
        <v>17464</v>
      </c>
      <c r="C3252" s="38" t="s">
        <v>296</v>
      </c>
      <c r="D3252" s="34">
        <v>2873.6</v>
      </c>
      <c r="E3252" s="35">
        <v>44709</v>
      </c>
      <c r="F3252" s="34">
        <v>2873.6</v>
      </c>
      <c r="G3252" s="36">
        <f>Tabla16[[#This Row],[Importe]]-Tabla16[[#This Row],[Pagado]]</f>
        <v>0</v>
      </c>
      <c r="H3252" s="38" t="s">
        <v>10</v>
      </c>
    </row>
    <row r="3253" spans="1:8" x14ac:dyDescent="0.25">
      <c r="A3253" s="31">
        <v>44709</v>
      </c>
      <c r="B3253" s="38" t="s">
        <v>17465</v>
      </c>
      <c r="C3253" s="38" t="s">
        <v>31</v>
      </c>
      <c r="D3253" s="34">
        <v>50</v>
      </c>
      <c r="E3253" s="35">
        <v>44709</v>
      </c>
      <c r="F3253" s="34">
        <v>50</v>
      </c>
      <c r="G3253" s="36">
        <f>Tabla16[[#This Row],[Importe]]-Tabla16[[#This Row],[Pagado]]</f>
        <v>0</v>
      </c>
      <c r="H3253" s="38" t="s">
        <v>10</v>
      </c>
    </row>
    <row r="3254" spans="1:8" x14ac:dyDescent="0.25">
      <c r="A3254" s="31">
        <v>44709</v>
      </c>
      <c r="B3254" s="38" t="s">
        <v>17466</v>
      </c>
      <c r="C3254" s="38" t="s">
        <v>555</v>
      </c>
      <c r="D3254" s="34">
        <v>27819</v>
      </c>
      <c r="E3254" s="35">
        <v>44710</v>
      </c>
      <c r="F3254" s="34">
        <v>27819</v>
      </c>
      <c r="G3254" s="36">
        <f>Tabla16[[#This Row],[Importe]]-Tabla16[[#This Row],[Pagado]]</f>
        <v>0</v>
      </c>
      <c r="H3254" s="38" t="s">
        <v>10</v>
      </c>
    </row>
    <row r="3255" spans="1:8" x14ac:dyDescent="0.25">
      <c r="A3255" s="31">
        <v>44709</v>
      </c>
      <c r="B3255" s="38" t="s">
        <v>17467</v>
      </c>
      <c r="C3255" s="38" t="s">
        <v>5906</v>
      </c>
      <c r="D3255" s="34">
        <v>1200</v>
      </c>
      <c r="E3255" s="35">
        <v>44710</v>
      </c>
      <c r="F3255" s="34">
        <v>1200</v>
      </c>
      <c r="G3255" s="36">
        <f>Tabla16[[#This Row],[Importe]]-Tabla16[[#This Row],[Pagado]]</f>
        <v>0</v>
      </c>
      <c r="H3255" s="38" t="s">
        <v>10</v>
      </c>
    </row>
    <row r="3256" spans="1:8" x14ac:dyDescent="0.25">
      <c r="A3256" s="31">
        <v>44709</v>
      </c>
      <c r="B3256" s="38" t="s">
        <v>17468</v>
      </c>
      <c r="C3256" s="38" t="s">
        <v>373</v>
      </c>
      <c r="D3256" s="34">
        <v>52</v>
      </c>
      <c r="E3256" s="35">
        <v>44709</v>
      </c>
      <c r="F3256" s="34">
        <v>52</v>
      </c>
      <c r="G3256" s="36">
        <f>Tabla16[[#This Row],[Importe]]-Tabla16[[#This Row],[Pagado]]</f>
        <v>0</v>
      </c>
      <c r="H3256" s="38" t="s">
        <v>10</v>
      </c>
    </row>
    <row r="3257" spans="1:8" x14ac:dyDescent="0.25">
      <c r="A3257" s="31">
        <v>44709</v>
      </c>
      <c r="B3257" s="38" t="s">
        <v>17469</v>
      </c>
      <c r="C3257" s="38" t="s">
        <v>414</v>
      </c>
      <c r="D3257" s="34">
        <v>162807.85</v>
      </c>
      <c r="E3257" s="35">
        <v>44740</v>
      </c>
      <c r="F3257" s="34">
        <v>162807.85</v>
      </c>
      <c r="G3257" s="36">
        <f>Tabla16[[#This Row],[Importe]]-Tabla16[[#This Row],[Pagado]]</f>
        <v>0</v>
      </c>
      <c r="H3257" s="38" t="s">
        <v>10</v>
      </c>
    </row>
    <row r="3258" spans="1:8" x14ac:dyDescent="0.25">
      <c r="A3258" s="31">
        <v>44709</v>
      </c>
      <c r="B3258" s="38" t="s">
        <v>17470</v>
      </c>
      <c r="C3258" s="38" t="s">
        <v>31</v>
      </c>
      <c r="D3258" s="34">
        <v>431.2</v>
      </c>
      <c r="E3258" s="35">
        <v>44709</v>
      </c>
      <c r="F3258" s="34">
        <v>431.2</v>
      </c>
      <c r="G3258" s="36">
        <f>Tabla16[[#This Row],[Importe]]-Tabla16[[#This Row],[Pagado]]</f>
        <v>0</v>
      </c>
      <c r="H3258" s="38" t="s">
        <v>10</v>
      </c>
    </row>
    <row r="3259" spans="1:8" x14ac:dyDescent="0.25">
      <c r="A3259" s="31">
        <v>44709</v>
      </c>
      <c r="B3259" s="38" t="s">
        <v>17471</v>
      </c>
      <c r="C3259" s="38" t="s">
        <v>2139</v>
      </c>
      <c r="D3259" s="34">
        <v>714</v>
      </c>
      <c r="E3259" s="35">
        <v>44709</v>
      </c>
      <c r="F3259" s="34">
        <v>714</v>
      </c>
      <c r="G3259" s="36">
        <f>Tabla16[[#This Row],[Importe]]-Tabla16[[#This Row],[Pagado]]</f>
        <v>0</v>
      </c>
      <c r="H3259" s="38" t="s">
        <v>10</v>
      </c>
    </row>
    <row r="3260" spans="1:8" x14ac:dyDescent="0.25">
      <c r="A3260" s="31">
        <v>44709</v>
      </c>
      <c r="B3260" s="38" t="s">
        <v>17472</v>
      </c>
      <c r="C3260" s="38" t="s">
        <v>2139</v>
      </c>
      <c r="D3260" s="34">
        <v>1815.6</v>
      </c>
      <c r="E3260" s="35">
        <v>44709</v>
      </c>
      <c r="F3260" s="34">
        <v>1815.6</v>
      </c>
      <c r="G3260" s="36">
        <f>Tabla16[[#This Row],[Importe]]-Tabla16[[#This Row],[Pagado]]</f>
        <v>0</v>
      </c>
      <c r="H3260" s="38" t="s">
        <v>10</v>
      </c>
    </row>
    <row r="3261" spans="1:8" x14ac:dyDescent="0.25">
      <c r="A3261" s="31">
        <v>44709</v>
      </c>
      <c r="B3261" s="38" t="s">
        <v>17473</v>
      </c>
      <c r="C3261" s="38" t="s">
        <v>35</v>
      </c>
      <c r="D3261" s="34">
        <v>2565.3000000000002</v>
      </c>
      <c r="E3261" s="35">
        <v>44709</v>
      </c>
      <c r="F3261" s="34">
        <v>2565.3000000000002</v>
      </c>
      <c r="G3261" s="36">
        <f>Tabla16[[#This Row],[Importe]]-Tabla16[[#This Row],[Pagado]]</f>
        <v>0</v>
      </c>
      <c r="H3261" s="38" t="s">
        <v>10</v>
      </c>
    </row>
    <row r="3262" spans="1:8" x14ac:dyDescent="0.25">
      <c r="A3262" s="31">
        <v>44709</v>
      </c>
      <c r="B3262" s="38" t="s">
        <v>17474</v>
      </c>
      <c r="C3262" s="38" t="s">
        <v>31</v>
      </c>
      <c r="D3262" s="34">
        <v>3575.4</v>
      </c>
      <c r="E3262" s="35">
        <v>44709</v>
      </c>
      <c r="F3262" s="34">
        <v>3575.4</v>
      </c>
      <c r="G3262" s="36">
        <f>Tabla16[[#This Row],[Importe]]-Tabla16[[#This Row],[Pagado]]</f>
        <v>0</v>
      </c>
      <c r="H3262" s="38" t="s">
        <v>10</v>
      </c>
    </row>
    <row r="3263" spans="1:8" x14ac:dyDescent="0.25">
      <c r="A3263" s="31">
        <v>44709</v>
      </c>
      <c r="B3263" s="38" t="s">
        <v>17475</v>
      </c>
      <c r="C3263" s="38" t="s">
        <v>857</v>
      </c>
      <c r="D3263" s="34">
        <v>1595.4</v>
      </c>
      <c r="E3263" s="35">
        <v>44709</v>
      </c>
      <c r="F3263" s="34">
        <v>1595.4</v>
      </c>
      <c r="G3263" s="36">
        <f>Tabla16[[#This Row],[Importe]]-Tabla16[[#This Row],[Pagado]]</f>
        <v>0</v>
      </c>
      <c r="H3263" s="38" t="s">
        <v>10</v>
      </c>
    </row>
    <row r="3264" spans="1:8" x14ac:dyDescent="0.25">
      <c r="A3264" s="31">
        <v>44709</v>
      </c>
      <c r="B3264" s="38" t="s">
        <v>17476</v>
      </c>
      <c r="C3264" s="38" t="s">
        <v>31</v>
      </c>
      <c r="D3264" s="34">
        <v>25</v>
      </c>
      <c r="E3264" s="35">
        <v>44709</v>
      </c>
      <c r="F3264" s="34">
        <v>25</v>
      </c>
      <c r="G3264" s="36">
        <f>Tabla16[[#This Row],[Importe]]-Tabla16[[#This Row],[Pagado]]</f>
        <v>0</v>
      </c>
      <c r="H3264" s="38" t="s">
        <v>10</v>
      </c>
    </row>
    <row r="3265" spans="1:8" x14ac:dyDescent="0.25">
      <c r="A3265" s="31">
        <v>44709</v>
      </c>
      <c r="B3265" s="38" t="s">
        <v>17477</v>
      </c>
      <c r="C3265" s="38" t="s">
        <v>461</v>
      </c>
      <c r="D3265" s="34">
        <v>394</v>
      </c>
      <c r="E3265" s="35">
        <v>44709</v>
      </c>
      <c r="F3265" s="34">
        <v>394</v>
      </c>
      <c r="G3265" s="36">
        <f>Tabla16[[#This Row],[Importe]]-Tabla16[[#This Row],[Pagado]]</f>
        <v>0</v>
      </c>
      <c r="H3265" s="38" t="s">
        <v>10</v>
      </c>
    </row>
    <row r="3266" spans="1:8" x14ac:dyDescent="0.25">
      <c r="A3266" s="31">
        <v>44709</v>
      </c>
      <c r="B3266" s="38" t="s">
        <v>17478</v>
      </c>
      <c r="C3266" s="38" t="s">
        <v>1362</v>
      </c>
      <c r="D3266" s="34">
        <v>5782.2</v>
      </c>
      <c r="E3266" s="35">
        <v>44711</v>
      </c>
      <c r="F3266" s="34">
        <v>5782.2</v>
      </c>
      <c r="G3266" s="36">
        <f>Tabla16[[#This Row],[Importe]]-Tabla16[[#This Row],[Pagado]]</f>
        <v>0</v>
      </c>
      <c r="H3266" s="38" t="s">
        <v>10</v>
      </c>
    </row>
    <row r="3267" spans="1:8" x14ac:dyDescent="0.25">
      <c r="A3267" s="31">
        <v>44709</v>
      </c>
      <c r="B3267" s="38" t="s">
        <v>17479</v>
      </c>
      <c r="C3267" s="38" t="s">
        <v>31</v>
      </c>
      <c r="D3267" s="34">
        <v>1202.5</v>
      </c>
      <c r="E3267" s="35">
        <v>44709</v>
      </c>
      <c r="F3267" s="34">
        <v>1202.5</v>
      </c>
      <c r="G3267" s="36">
        <f>Tabla16[[#This Row],[Importe]]-Tabla16[[#This Row],[Pagado]]</f>
        <v>0</v>
      </c>
      <c r="H3267" s="38" t="s">
        <v>10</v>
      </c>
    </row>
    <row r="3268" spans="1:8" x14ac:dyDescent="0.25">
      <c r="A3268" s="31">
        <v>44709</v>
      </c>
      <c r="B3268" s="38" t="s">
        <v>17480</v>
      </c>
      <c r="C3268" s="38" t="s">
        <v>14</v>
      </c>
      <c r="D3268" s="34">
        <v>29980.5</v>
      </c>
      <c r="E3268" s="35">
        <v>44709</v>
      </c>
      <c r="F3268" s="34">
        <v>29980.5</v>
      </c>
      <c r="G3268" s="36">
        <f>Tabla16[[#This Row],[Importe]]-Tabla16[[#This Row],[Pagado]]</f>
        <v>0</v>
      </c>
      <c r="H3268" s="38" t="s">
        <v>10</v>
      </c>
    </row>
    <row r="3269" spans="1:8" x14ac:dyDescent="0.25">
      <c r="A3269" s="31">
        <v>44709</v>
      </c>
      <c r="B3269" s="38" t="s">
        <v>17481</v>
      </c>
      <c r="C3269" s="38" t="s">
        <v>8496</v>
      </c>
      <c r="D3269" s="34">
        <v>0</v>
      </c>
      <c r="E3269" s="39" t="s">
        <v>189</v>
      </c>
      <c r="F3269" s="34">
        <v>0</v>
      </c>
      <c r="G3269" s="36">
        <f>Tabla16[[#This Row],[Importe]]-Tabla16[[#This Row],[Pagado]]</f>
        <v>0</v>
      </c>
      <c r="H3269" s="38" t="s">
        <v>189</v>
      </c>
    </row>
    <row r="3270" spans="1:8" x14ac:dyDescent="0.25">
      <c r="A3270" s="31">
        <v>44709</v>
      </c>
      <c r="B3270" s="38" t="s">
        <v>17482</v>
      </c>
      <c r="C3270" s="38" t="s">
        <v>414</v>
      </c>
      <c r="D3270" s="34">
        <v>25240</v>
      </c>
      <c r="E3270" s="35">
        <v>44721</v>
      </c>
      <c r="F3270" s="34">
        <v>25240</v>
      </c>
      <c r="G3270" s="36">
        <f>Tabla16[[#This Row],[Importe]]-Tabla16[[#This Row],[Pagado]]</f>
        <v>0</v>
      </c>
      <c r="H3270" s="38" t="s">
        <v>10</v>
      </c>
    </row>
    <row r="3271" spans="1:8" x14ac:dyDescent="0.25">
      <c r="A3271" s="31">
        <v>44709</v>
      </c>
      <c r="B3271" s="38" t="s">
        <v>17483</v>
      </c>
      <c r="C3271" s="38" t="s">
        <v>200</v>
      </c>
      <c r="D3271" s="34">
        <v>522.9</v>
      </c>
      <c r="E3271" s="35">
        <v>44711</v>
      </c>
      <c r="F3271" s="34">
        <v>522.9</v>
      </c>
      <c r="G3271" s="36">
        <f>Tabla16[[#This Row],[Importe]]-Tabla16[[#This Row],[Pagado]]</f>
        <v>0</v>
      </c>
      <c r="H3271" s="38" t="s">
        <v>10</v>
      </c>
    </row>
    <row r="3272" spans="1:8" x14ac:dyDescent="0.25">
      <c r="A3272" s="31">
        <v>44710</v>
      </c>
      <c r="B3272" s="38" t="s">
        <v>17484</v>
      </c>
      <c r="C3272" s="38" t="s">
        <v>31</v>
      </c>
      <c r="D3272" s="34">
        <v>1139.2</v>
      </c>
      <c r="E3272" s="35">
        <v>44710</v>
      </c>
      <c r="F3272" s="34">
        <v>1139.2</v>
      </c>
      <c r="G3272" s="36">
        <f>Tabla16[[#This Row],[Importe]]-Tabla16[[#This Row],[Pagado]]</f>
        <v>0</v>
      </c>
      <c r="H3272" s="38" t="s">
        <v>10</v>
      </c>
    </row>
    <row r="3273" spans="1:8" x14ac:dyDescent="0.25">
      <c r="A3273" s="31">
        <v>44710</v>
      </c>
      <c r="B3273" s="38" t="s">
        <v>17485</v>
      </c>
      <c r="C3273" s="38" t="s">
        <v>31</v>
      </c>
      <c r="D3273" s="34">
        <v>2274</v>
      </c>
      <c r="E3273" s="35">
        <v>44710</v>
      </c>
      <c r="F3273" s="34">
        <v>2274</v>
      </c>
      <c r="G3273" s="36">
        <f>Tabla16[[#This Row],[Importe]]-Tabla16[[#This Row],[Pagado]]</f>
        <v>0</v>
      </c>
      <c r="H3273" s="38" t="s">
        <v>10</v>
      </c>
    </row>
    <row r="3274" spans="1:8" x14ac:dyDescent="0.25">
      <c r="A3274" s="31">
        <v>44710</v>
      </c>
      <c r="B3274" s="38" t="s">
        <v>17486</v>
      </c>
      <c r="C3274" s="38" t="s">
        <v>9</v>
      </c>
      <c r="D3274" s="34">
        <v>6731</v>
      </c>
      <c r="E3274" s="35">
        <v>44710</v>
      </c>
      <c r="F3274" s="34">
        <v>6731</v>
      </c>
      <c r="G3274" s="36">
        <f>Tabla16[[#This Row],[Importe]]-Tabla16[[#This Row],[Pagado]]</f>
        <v>0</v>
      </c>
      <c r="H3274" s="38" t="s">
        <v>10</v>
      </c>
    </row>
    <row r="3275" spans="1:8" x14ac:dyDescent="0.25">
      <c r="A3275" s="31">
        <v>44710</v>
      </c>
      <c r="B3275" s="38" t="s">
        <v>17487</v>
      </c>
      <c r="C3275" s="38" t="s">
        <v>12</v>
      </c>
      <c r="D3275" s="34">
        <v>6784</v>
      </c>
      <c r="E3275" s="35">
        <v>44710</v>
      </c>
      <c r="F3275" s="34">
        <v>6784</v>
      </c>
      <c r="G3275" s="36">
        <f>Tabla16[[#This Row],[Importe]]-Tabla16[[#This Row],[Pagado]]</f>
        <v>0</v>
      </c>
      <c r="H3275" s="38" t="s">
        <v>10</v>
      </c>
    </row>
    <row r="3276" spans="1:8" x14ac:dyDescent="0.25">
      <c r="A3276" s="31">
        <v>44710</v>
      </c>
      <c r="B3276" s="38" t="s">
        <v>17488</v>
      </c>
      <c r="C3276" s="38" t="s">
        <v>1187</v>
      </c>
      <c r="D3276" s="34">
        <v>2562</v>
      </c>
      <c r="E3276" s="35">
        <v>44710</v>
      </c>
      <c r="F3276" s="34">
        <v>2562</v>
      </c>
      <c r="G3276" s="36">
        <f>Tabla16[[#This Row],[Importe]]-Tabla16[[#This Row],[Pagado]]</f>
        <v>0</v>
      </c>
      <c r="H3276" s="38" t="s">
        <v>10</v>
      </c>
    </row>
    <row r="3277" spans="1:8" x14ac:dyDescent="0.25">
      <c r="A3277" s="31">
        <v>44710</v>
      </c>
      <c r="B3277" s="38" t="s">
        <v>17489</v>
      </c>
      <c r="C3277" s="38" t="s">
        <v>167</v>
      </c>
      <c r="D3277" s="34">
        <v>7961.7</v>
      </c>
      <c r="E3277" s="35">
        <v>44710</v>
      </c>
      <c r="F3277" s="34">
        <v>7961.7</v>
      </c>
      <c r="G3277" s="36">
        <f>Tabla16[[#This Row],[Importe]]-Tabla16[[#This Row],[Pagado]]</f>
        <v>0</v>
      </c>
      <c r="H3277" s="38" t="s">
        <v>10</v>
      </c>
    </row>
    <row r="3278" spans="1:8" x14ac:dyDescent="0.25">
      <c r="A3278" s="31">
        <v>44710</v>
      </c>
      <c r="B3278" s="38" t="s">
        <v>17490</v>
      </c>
      <c r="C3278" s="38" t="s">
        <v>16</v>
      </c>
      <c r="D3278" s="34">
        <v>9139.9</v>
      </c>
      <c r="E3278" s="35">
        <v>44710</v>
      </c>
      <c r="F3278" s="34">
        <v>9139.9</v>
      </c>
      <c r="G3278" s="36">
        <f>Tabla16[[#This Row],[Importe]]-Tabla16[[#This Row],[Pagado]]</f>
        <v>0</v>
      </c>
      <c r="H3278" s="38" t="s">
        <v>10</v>
      </c>
    </row>
    <row r="3279" spans="1:8" ht="31.5" x14ac:dyDescent="0.25">
      <c r="A3279" s="31">
        <v>44710</v>
      </c>
      <c r="B3279" s="38" t="s">
        <v>17491</v>
      </c>
      <c r="C3279" s="38" t="s">
        <v>475</v>
      </c>
      <c r="D3279" s="34">
        <v>71776.5</v>
      </c>
      <c r="E3279" s="35" t="s">
        <v>17775</v>
      </c>
      <c r="F3279" s="34">
        <f>37600+34176.5</f>
        <v>71776.5</v>
      </c>
      <c r="G3279" s="36">
        <f>Tabla16[[#This Row],[Importe]]-Tabla16[[#This Row],[Pagado]]</f>
        <v>0</v>
      </c>
      <c r="H3279" s="38" t="s">
        <v>10</v>
      </c>
    </row>
    <row r="3280" spans="1:8" x14ac:dyDescent="0.25">
      <c r="A3280" s="31">
        <v>44710</v>
      </c>
      <c r="B3280" s="38" t="s">
        <v>17492</v>
      </c>
      <c r="C3280" s="38" t="s">
        <v>167</v>
      </c>
      <c r="D3280" s="34">
        <v>10068.799999999999</v>
      </c>
      <c r="E3280" s="35">
        <v>44710</v>
      </c>
      <c r="F3280" s="34">
        <v>10068.799999999999</v>
      </c>
      <c r="G3280" s="36">
        <f>Tabla16[[#This Row],[Importe]]-Tabla16[[#This Row],[Pagado]]</f>
        <v>0</v>
      </c>
      <c r="H3280" s="38" t="s">
        <v>10</v>
      </c>
    </row>
    <row r="3281" spans="1:8" x14ac:dyDescent="0.25">
      <c r="A3281" s="31">
        <v>44710</v>
      </c>
      <c r="B3281" s="38" t="s">
        <v>17493</v>
      </c>
      <c r="C3281" s="38" t="s">
        <v>2780</v>
      </c>
      <c r="D3281" s="34">
        <v>8844.4</v>
      </c>
      <c r="E3281" s="35">
        <v>44710</v>
      </c>
      <c r="F3281" s="34">
        <v>8844.4</v>
      </c>
      <c r="G3281" s="36">
        <f>Tabla16[[#This Row],[Importe]]-Tabla16[[#This Row],[Pagado]]</f>
        <v>0</v>
      </c>
      <c r="H3281" s="38" t="s">
        <v>10</v>
      </c>
    </row>
    <row r="3282" spans="1:8" ht="31.5" x14ac:dyDescent="0.25">
      <c r="A3282" s="31">
        <v>44710</v>
      </c>
      <c r="B3282" s="38" t="s">
        <v>17494</v>
      </c>
      <c r="C3282" s="38" t="s">
        <v>22</v>
      </c>
      <c r="D3282" s="34">
        <v>47057.7</v>
      </c>
      <c r="E3282" s="35" t="s">
        <v>17342</v>
      </c>
      <c r="F3282" s="34">
        <f>32000+15057.7</f>
        <v>47057.7</v>
      </c>
      <c r="G3282" s="36">
        <f>Tabla16[[#This Row],[Importe]]-Tabla16[[#This Row],[Pagado]]</f>
        <v>0</v>
      </c>
      <c r="H3282" s="38" t="s">
        <v>10</v>
      </c>
    </row>
    <row r="3283" spans="1:8" x14ac:dyDescent="0.25">
      <c r="A3283" s="31">
        <v>44710</v>
      </c>
      <c r="B3283" s="38" t="s">
        <v>17495</v>
      </c>
      <c r="C3283" s="38" t="s">
        <v>29</v>
      </c>
      <c r="D3283" s="34">
        <v>10294.200000000001</v>
      </c>
      <c r="E3283" s="35">
        <v>44710</v>
      </c>
      <c r="F3283" s="34">
        <v>10294.200000000001</v>
      </c>
      <c r="G3283" s="36">
        <f>Tabla16[[#This Row],[Importe]]-Tabla16[[#This Row],[Pagado]]</f>
        <v>0</v>
      </c>
      <c r="H3283" s="38" t="s">
        <v>10</v>
      </c>
    </row>
    <row r="3284" spans="1:8" x14ac:dyDescent="0.25">
      <c r="A3284" s="31">
        <v>44710</v>
      </c>
      <c r="B3284" s="38" t="s">
        <v>17496</v>
      </c>
      <c r="C3284" s="38" t="s">
        <v>22</v>
      </c>
      <c r="D3284" s="34">
        <v>2405</v>
      </c>
      <c r="E3284" s="35">
        <v>44711</v>
      </c>
      <c r="F3284" s="34">
        <v>2405</v>
      </c>
      <c r="G3284" s="36">
        <f>Tabla16[[#This Row],[Importe]]-Tabla16[[#This Row],[Pagado]]</f>
        <v>0</v>
      </c>
      <c r="H3284" s="38" t="s">
        <v>10</v>
      </c>
    </row>
    <row r="3285" spans="1:8" x14ac:dyDescent="0.25">
      <c r="A3285" s="31">
        <v>44710</v>
      </c>
      <c r="B3285" s="38" t="s">
        <v>17497</v>
      </c>
      <c r="C3285" s="38" t="s">
        <v>51</v>
      </c>
      <c r="D3285" s="34">
        <v>2606.4</v>
      </c>
      <c r="E3285" s="35">
        <v>44710</v>
      </c>
      <c r="F3285" s="34">
        <v>2606.4</v>
      </c>
      <c r="G3285" s="36">
        <f>Tabla16[[#This Row],[Importe]]-Tabla16[[#This Row],[Pagado]]</f>
        <v>0</v>
      </c>
      <c r="H3285" s="38" t="s">
        <v>10</v>
      </c>
    </row>
    <row r="3286" spans="1:8" x14ac:dyDescent="0.25">
      <c r="A3286" s="31">
        <v>44710</v>
      </c>
      <c r="B3286" s="38" t="s">
        <v>17498</v>
      </c>
      <c r="C3286" s="38" t="s">
        <v>7894</v>
      </c>
      <c r="D3286" s="34">
        <v>3357.9</v>
      </c>
      <c r="E3286" s="35">
        <v>44710</v>
      </c>
      <c r="F3286" s="34">
        <v>3357.9</v>
      </c>
      <c r="G3286" s="36">
        <f>Tabla16[[#This Row],[Importe]]-Tabla16[[#This Row],[Pagado]]</f>
        <v>0</v>
      </c>
      <c r="H3286" s="38" t="s">
        <v>10</v>
      </c>
    </row>
    <row r="3287" spans="1:8" x14ac:dyDescent="0.25">
      <c r="A3287" s="31">
        <v>44710</v>
      </c>
      <c r="B3287" s="38" t="s">
        <v>17499</v>
      </c>
      <c r="C3287" s="38" t="s">
        <v>224</v>
      </c>
      <c r="D3287" s="34">
        <v>2097.8000000000002</v>
      </c>
      <c r="E3287" s="35">
        <v>44710</v>
      </c>
      <c r="F3287" s="34">
        <v>2097.8000000000002</v>
      </c>
      <c r="G3287" s="36">
        <f>Tabla16[[#This Row],[Importe]]-Tabla16[[#This Row],[Pagado]]</f>
        <v>0</v>
      </c>
      <c r="H3287" s="38" t="s">
        <v>10</v>
      </c>
    </row>
    <row r="3288" spans="1:8" x14ac:dyDescent="0.25">
      <c r="A3288" s="31">
        <v>44710</v>
      </c>
      <c r="B3288" s="38" t="s">
        <v>17500</v>
      </c>
      <c r="C3288" s="38" t="s">
        <v>670</v>
      </c>
      <c r="D3288" s="34">
        <v>1784.6</v>
      </c>
      <c r="E3288" s="35">
        <v>44710</v>
      </c>
      <c r="F3288" s="34">
        <v>1784.6</v>
      </c>
      <c r="G3288" s="36">
        <f>Tabla16[[#This Row],[Importe]]-Tabla16[[#This Row],[Pagado]]</f>
        <v>0</v>
      </c>
      <c r="H3288" s="38" t="s">
        <v>10</v>
      </c>
    </row>
    <row r="3289" spans="1:8" x14ac:dyDescent="0.25">
      <c r="A3289" s="31">
        <v>44710</v>
      </c>
      <c r="B3289" s="38" t="s">
        <v>17501</v>
      </c>
      <c r="C3289" s="38" t="s">
        <v>37</v>
      </c>
      <c r="D3289" s="34">
        <v>4226</v>
      </c>
      <c r="E3289" s="35">
        <v>44710</v>
      </c>
      <c r="F3289" s="34">
        <v>4226</v>
      </c>
      <c r="G3289" s="36">
        <f>Tabla16[[#This Row],[Importe]]-Tabla16[[#This Row],[Pagado]]</f>
        <v>0</v>
      </c>
      <c r="H3289" s="38" t="s">
        <v>10</v>
      </c>
    </row>
    <row r="3290" spans="1:8" x14ac:dyDescent="0.25">
      <c r="A3290" s="31">
        <v>44710</v>
      </c>
      <c r="B3290" s="38" t="s">
        <v>17502</v>
      </c>
      <c r="C3290" s="38" t="s">
        <v>191</v>
      </c>
      <c r="D3290" s="34">
        <v>3146.4</v>
      </c>
      <c r="E3290" s="35">
        <v>44710</v>
      </c>
      <c r="F3290" s="34">
        <v>3146.4</v>
      </c>
      <c r="G3290" s="36">
        <f>Tabla16[[#This Row],[Importe]]-Tabla16[[#This Row],[Pagado]]</f>
        <v>0</v>
      </c>
      <c r="H3290" s="38" t="s">
        <v>10</v>
      </c>
    </row>
    <row r="3291" spans="1:8" x14ac:dyDescent="0.25">
      <c r="A3291" s="31">
        <v>44710</v>
      </c>
      <c r="B3291" s="38" t="s">
        <v>17503</v>
      </c>
      <c r="C3291" s="38" t="s">
        <v>20</v>
      </c>
      <c r="D3291" s="34">
        <v>9100.2000000000007</v>
      </c>
      <c r="E3291" s="35">
        <v>44710</v>
      </c>
      <c r="F3291" s="34">
        <v>9100.2000000000007</v>
      </c>
      <c r="G3291" s="36">
        <f>Tabla16[[#This Row],[Importe]]-Tabla16[[#This Row],[Pagado]]</f>
        <v>0</v>
      </c>
      <c r="H3291" s="38" t="s">
        <v>10</v>
      </c>
    </row>
    <row r="3292" spans="1:8" x14ac:dyDescent="0.25">
      <c r="A3292" s="31">
        <v>44710</v>
      </c>
      <c r="B3292" s="38" t="s">
        <v>17504</v>
      </c>
      <c r="C3292" s="38" t="s">
        <v>15039</v>
      </c>
      <c r="D3292" s="34">
        <v>3726</v>
      </c>
      <c r="E3292" s="35">
        <v>44710</v>
      </c>
      <c r="F3292" s="34">
        <v>3726</v>
      </c>
      <c r="G3292" s="36">
        <f>Tabla16[[#This Row],[Importe]]-Tabla16[[#This Row],[Pagado]]</f>
        <v>0</v>
      </c>
      <c r="H3292" s="38" t="s">
        <v>10</v>
      </c>
    </row>
    <row r="3293" spans="1:8" x14ac:dyDescent="0.25">
      <c r="A3293" s="31">
        <v>44710</v>
      </c>
      <c r="B3293" s="38" t="s">
        <v>17505</v>
      </c>
      <c r="C3293" s="38" t="s">
        <v>49</v>
      </c>
      <c r="D3293" s="34">
        <v>3214.6</v>
      </c>
      <c r="E3293" s="35">
        <v>44710</v>
      </c>
      <c r="F3293" s="34">
        <v>3214.6</v>
      </c>
      <c r="G3293" s="36">
        <f>Tabla16[[#This Row],[Importe]]-Tabla16[[#This Row],[Pagado]]</f>
        <v>0</v>
      </c>
      <c r="H3293" s="38" t="s">
        <v>10</v>
      </c>
    </row>
    <row r="3294" spans="1:8" x14ac:dyDescent="0.25">
      <c r="A3294" s="31">
        <v>44710</v>
      </c>
      <c r="B3294" s="38" t="s">
        <v>17506</v>
      </c>
      <c r="C3294" s="38" t="s">
        <v>56</v>
      </c>
      <c r="D3294" s="34">
        <v>9839</v>
      </c>
      <c r="E3294" s="35">
        <v>44710</v>
      </c>
      <c r="F3294" s="34">
        <v>9839</v>
      </c>
      <c r="G3294" s="36">
        <f>Tabla16[[#This Row],[Importe]]-Tabla16[[#This Row],[Pagado]]</f>
        <v>0</v>
      </c>
      <c r="H3294" s="38" t="s">
        <v>10</v>
      </c>
    </row>
    <row r="3295" spans="1:8" x14ac:dyDescent="0.25">
      <c r="A3295" s="31">
        <v>44710</v>
      </c>
      <c r="B3295" s="38" t="s">
        <v>17507</v>
      </c>
      <c r="C3295" s="38" t="s">
        <v>1003</v>
      </c>
      <c r="D3295" s="34">
        <v>8730.4</v>
      </c>
      <c r="E3295" s="35">
        <v>44711</v>
      </c>
      <c r="F3295" s="34">
        <v>8730.4</v>
      </c>
      <c r="G3295" s="36">
        <f>Tabla16[[#This Row],[Importe]]-Tabla16[[#This Row],[Pagado]]</f>
        <v>0</v>
      </c>
      <c r="H3295" s="38" t="s">
        <v>10</v>
      </c>
    </row>
    <row r="3296" spans="1:8" x14ac:dyDescent="0.25">
      <c r="A3296" s="31">
        <v>44710</v>
      </c>
      <c r="B3296" s="38" t="s">
        <v>17508</v>
      </c>
      <c r="C3296" s="38" t="s">
        <v>45</v>
      </c>
      <c r="D3296" s="34">
        <v>7073.4</v>
      </c>
      <c r="E3296" s="35">
        <v>44710</v>
      </c>
      <c r="F3296" s="34">
        <v>7073.4</v>
      </c>
      <c r="G3296" s="36">
        <f>Tabla16[[#This Row],[Importe]]-Tabla16[[#This Row],[Pagado]]</f>
        <v>0</v>
      </c>
      <c r="H3296" s="38" t="s">
        <v>10</v>
      </c>
    </row>
    <row r="3297" spans="1:8" x14ac:dyDescent="0.25">
      <c r="A3297" s="31">
        <v>44710</v>
      </c>
      <c r="B3297" s="38" t="s">
        <v>17509</v>
      </c>
      <c r="C3297" s="38" t="s">
        <v>216</v>
      </c>
      <c r="D3297" s="34">
        <v>3168.9</v>
      </c>
      <c r="E3297" s="35">
        <v>44710</v>
      </c>
      <c r="F3297" s="34">
        <v>3168.9</v>
      </c>
      <c r="G3297" s="36">
        <f>Tabla16[[#This Row],[Importe]]-Tabla16[[#This Row],[Pagado]]</f>
        <v>0</v>
      </c>
      <c r="H3297" s="38" t="s">
        <v>10</v>
      </c>
    </row>
    <row r="3298" spans="1:8" x14ac:dyDescent="0.25">
      <c r="A3298" s="31">
        <v>44710</v>
      </c>
      <c r="B3298" s="38" t="s">
        <v>17510</v>
      </c>
      <c r="C3298" s="38" t="s">
        <v>15449</v>
      </c>
      <c r="D3298" s="34">
        <v>1291.5</v>
      </c>
      <c r="E3298" s="35">
        <v>44710</v>
      </c>
      <c r="F3298" s="34">
        <v>1291.5</v>
      </c>
      <c r="G3298" s="36">
        <f>Tabla16[[#This Row],[Importe]]-Tabla16[[#This Row],[Pagado]]</f>
        <v>0</v>
      </c>
      <c r="H3298" s="38" t="s">
        <v>10</v>
      </c>
    </row>
    <row r="3299" spans="1:8" x14ac:dyDescent="0.25">
      <c r="A3299" s="31">
        <v>44710</v>
      </c>
      <c r="B3299" s="38" t="s">
        <v>17511</v>
      </c>
      <c r="C3299" s="38" t="s">
        <v>373</v>
      </c>
      <c r="D3299" s="34">
        <v>1773.3</v>
      </c>
      <c r="E3299" s="35">
        <v>44710</v>
      </c>
      <c r="F3299" s="34">
        <v>1773.3</v>
      </c>
      <c r="G3299" s="36">
        <f>Tabla16[[#This Row],[Importe]]-Tabla16[[#This Row],[Pagado]]</f>
        <v>0</v>
      </c>
      <c r="H3299" s="38" t="s">
        <v>10</v>
      </c>
    </row>
    <row r="3300" spans="1:8" x14ac:dyDescent="0.25">
      <c r="A3300" s="31">
        <v>44710</v>
      </c>
      <c r="B3300" s="38" t="s">
        <v>17512</v>
      </c>
      <c r="C3300" s="38" t="s">
        <v>47</v>
      </c>
      <c r="D3300" s="34">
        <v>55714.6</v>
      </c>
      <c r="E3300" s="35">
        <v>44710</v>
      </c>
      <c r="F3300" s="34">
        <v>55714.6</v>
      </c>
      <c r="G3300" s="36">
        <f>Tabla16[[#This Row],[Importe]]-Tabla16[[#This Row],[Pagado]]</f>
        <v>0</v>
      </c>
      <c r="H3300" s="38" t="s">
        <v>10</v>
      </c>
    </row>
    <row r="3301" spans="1:8" x14ac:dyDescent="0.25">
      <c r="A3301" s="31">
        <v>44710</v>
      </c>
      <c r="B3301" s="38" t="s">
        <v>17513</v>
      </c>
      <c r="C3301" s="38" t="s">
        <v>31</v>
      </c>
      <c r="D3301" s="34">
        <v>1606.5</v>
      </c>
      <c r="E3301" s="35">
        <v>44710</v>
      </c>
      <c r="F3301" s="34">
        <v>1606.5</v>
      </c>
      <c r="G3301" s="36">
        <f>Tabla16[[#This Row],[Importe]]-Tabla16[[#This Row],[Pagado]]</f>
        <v>0</v>
      </c>
      <c r="H3301" s="38" t="s">
        <v>10</v>
      </c>
    </row>
    <row r="3302" spans="1:8" x14ac:dyDescent="0.25">
      <c r="A3302" s="31">
        <v>44710</v>
      </c>
      <c r="B3302" s="38" t="s">
        <v>17514</v>
      </c>
      <c r="C3302" s="38" t="s">
        <v>2139</v>
      </c>
      <c r="D3302" s="34">
        <v>4415.3</v>
      </c>
      <c r="E3302" s="35">
        <v>44710</v>
      </c>
      <c r="F3302" s="34">
        <v>4415.3</v>
      </c>
      <c r="G3302" s="36">
        <f>Tabla16[[#This Row],[Importe]]-Tabla16[[#This Row],[Pagado]]</f>
        <v>0</v>
      </c>
      <c r="H3302" s="38" t="s">
        <v>10</v>
      </c>
    </row>
    <row r="3303" spans="1:8" x14ac:dyDescent="0.25">
      <c r="A3303" s="31">
        <v>44710</v>
      </c>
      <c r="B3303" s="38" t="s">
        <v>17515</v>
      </c>
      <c r="C3303" s="38" t="s">
        <v>654</v>
      </c>
      <c r="D3303" s="34">
        <v>4107.2</v>
      </c>
      <c r="E3303" s="35">
        <v>44710</v>
      </c>
      <c r="F3303" s="34">
        <v>4107.2</v>
      </c>
      <c r="G3303" s="36">
        <f>Tabla16[[#This Row],[Importe]]-Tabla16[[#This Row],[Pagado]]</f>
        <v>0</v>
      </c>
      <c r="H3303" s="38" t="s">
        <v>10</v>
      </c>
    </row>
    <row r="3304" spans="1:8" x14ac:dyDescent="0.25">
      <c r="A3304" s="31">
        <v>44710</v>
      </c>
      <c r="B3304" s="38" t="s">
        <v>17516</v>
      </c>
      <c r="C3304" s="38" t="s">
        <v>654</v>
      </c>
      <c r="D3304" s="34">
        <v>960.4</v>
      </c>
      <c r="E3304" s="35">
        <v>44710</v>
      </c>
      <c r="F3304" s="34">
        <v>960.4</v>
      </c>
      <c r="G3304" s="36">
        <f>Tabla16[[#This Row],[Importe]]-Tabla16[[#This Row],[Pagado]]</f>
        <v>0</v>
      </c>
      <c r="H3304" s="38" t="s">
        <v>10</v>
      </c>
    </row>
    <row r="3305" spans="1:8" x14ac:dyDescent="0.25">
      <c r="A3305" s="31">
        <v>44710</v>
      </c>
      <c r="B3305" s="38" t="s">
        <v>17517</v>
      </c>
      <c r="C3305" s="38" t="s">
        <v>214</v>
      </c>
      <c r="D3305" s="34">
        <v>1795.5</v>
      </c>
      <c r="E3305" s="35">
        <v>44710</v>
      </c>
      <c r="F3305" s="34">
        <v>1795.5</v>
      </c>
      <c r="G3305" s="36">
        <f>Tabla16[[#This Row],[Importe]]-Tabla16[[#This Row],[Pagado]]</f>
        <v>0</v>
      </c>
      <c r="H3305" s="38" t="s">
        <v>10</v>
      </c>
    </row>
    <row r="3306" spans="1:8" x14ac:dyDescent="0.25">
      <c r="A3306" s="31">
        <v>44710</v>
      </c>
      <c r="B3306" s="38" t="s">
        <v>17518</v>
      </c>
      <c r="C3306" s="38" t="s">
        <v>1265</v>
      </c>
      <c r="D3306" s="34">
        <v>598.4</v>
      </c>
      <c r="E3306" s="35">
        <v>44710</v>
      </c>
      <c r="F3306" s="34">
        <v>598.4</v>
      </c>
      <c r="G3306" s="36">
        <f>Tabla16[[#This Row],[Importe]]-Tabla16[[#This Row],[Pagado]]</f>
        <v>0</v>
      </c>
      <c r="H3306" s="38" t="s">
        <v>10</v>
      </c>
    </row>
    <row r="3307" spans="1:8" x14ac:dyDescent="0.25">
      <c r="A3307" s="31">
        <v>44710</v>
      </c>
      <c r="B3307" s="38" t="s">
        <v>17519</v>
      </c>
      <c r="C3307" s="38" t="s">
        <v>67</v>
      </c>
      <c r="D3307" s="34">
        <v>3366</v>
      </c>
      <c r="E3307" s="35">
        <v>44710</v>
      </c>
      <c r="F3307" s="34">
        <v>3366</v>
      </c>
      <c r="G3307" s="36">
        <f>Tabla16[[#This Row],[Importe]]-Tabla16[[#This Row],[Pagado]]</f>
        <v>0</v>
      </c>
      <c r="H3307" s="38" t="s">
        <v>10</v>
      </c>
    </row>
    <row r="3308" spans="1:8" x14ac:dyDescent="0.25">
      <c r="A3308" s="31">
        <v>44710</v>
      </c>
      <c r="B3308" s="38" t="s">
        <v>17520</v>
      </c>
      <c r="C3308" s="38" t="s">
        <v>289</v>
      </c>
      <c r="D3308" s="34">
        <v>8167.4</v>
      </c>
      <c r="E3308" s="35">
        <v>44710</v>
      </c>
      <c r="F3308" s="34">
        <v>8167.4</v>
      </c>
      <c r="G3308" s="36">
        <f>Tabla16[[#This Row],[Importe]]-Tabla16[[#This Row],[Pagado]]</f>
        <v>0</v>
      </c>
      <c r="H3308" s="38" t="s">
        <v>10</v>
      </c>
    </row>
    <row r="3309" spans="1:8" x14ac:dyDescent="0.25">
      <c r="A3309" s="31">
        <v>44710</v>
      </c>
      <c r="B3309" s="38" t="s">
        <v>17521</v>
      </c>
      <c r="C3309" s="38" t="s">
        <v>71</v>
      </c>
      <c r="D3309" s="34">
        <v>1973.7</v>
      </c>
      <c r="E3309" s="35">
        <v>44710</v>
      </c>
      <c r="F3309" s="34">
        <v>1973.7</v>
      </c>
      <c r="G3309" s="36">
        <f>Tabla16[[#This Row],[Importe]]-Tabla16[[#This Row],[Pagado]]</f>
        <v>0</v>
      </c>
      <c r="H3309" s="38" t="s">
        <v>10</v>
      </c>
    </row>
    <row r="3310" spans="1:8" x14ac:dyDescent="0.25">
      <c r="A3310" s="31">
        <v>44710</v>
      </c>
      <c r="B3310" s="38" t="s">
        <v>17522</v>
      </c>
      <c r="C3310" s="38" t="s">
        <v>53</v>
      </c>
      <c r="D3310" s="34">
        <v>1062.4000000000001</v>
      </c>
      <c r="E3310" s="35">
        <v>44710</v>
      </c>
      <c r="F3310" s="34">
        <v>1062.4000000000001</v>
      </c>
      <c r="G3310" s="36">
        <f>Tabla16[[#This Row],[Importe]]-Tabla16[[#This Row],[Pagado]]</f>
        <v>0</v>
      </c>
      <c r="H3310" s="38" t="s">
        <v>10</v>
      </c>
    </row>
    <row r="3311" spans="1:8" x14ac:dyDescent="0.25">
      <c r="A3311" s="31">
        <v>44710</v>
      </c>
      <c r="B3311" s="38" t="s">
        <v>17523</v>
      </c>
      <c r="C3311" s="38" t="s">
        <v>16</v>
      </c>
      <c r="D3311" s="34">
        <v>2580.6</v>
      </c>
      <c r="E3311" s="35">
        <v>44710</v>
      </c>
      <c r="F3311" s="34">
        <v>2580.6</v>
      </c>
      <c r="G3311" s="36">
        <f>Tabla16[[#This Row],[Importe]]-Tabla16[[#This Row],[Pagado]]</f>
        <v>0</v>
      </c>
      <c r="H3311" s="38" t="s">
        <v>10</v>
      </c>
    </row>
    <row r="3312" spans="1:8" x14ac:dyDescent="0.25">
      <c r="A3312" s="31">
        <v>44710</v>
      </c>
      <c r="B3312" s="38" t="s">
        <v>17524</v>
      </c>
      <c r="C3312" s="38" t="s">
        <v>191</v>
      </c>
      <c r="D3312" s="34">
        <v>1680</v>
      </c>
      <c r="E3312" s="35">
        <v>44710</v>
      </c>
      <c r="F3312" s="34">
        <v>1680</v>
      </c>
      <c r="G3312" s="36">
        <f>Tabla16[[#This Row],[Importe]]-Tabla16[[#This Row],[Pagado]]</f>
        <v>0</v>
      </c>
      <c r="H3312" s="38" t="s">
        <v>10</v>
      </c>
    </row>
    <row r="3313" spans="1:8" x14ac:dyDescent="0.25">
      <c r="A3313" s="31">
        <v>44710</v>
      </c>
      <c r="B3313" s="38" t="s">
        <v>17525</v>
      </c>
      <c r="C3313" s="38" t="s">
        <v>296</v>
      </c>
      <c r="D3313" s="34">
        <v>3110.4</v>
      </c>
      <c r="E3313" s="35">
        <v>44710</v>
      </c>
      <c r="F3313" s="34">
        <v>3110.4</v>
      </c>
      <c r="G3313" s="36">
        <f>Tabla16[[#This Row],[Importe]]-Tabla16[[#This Row],[Pagado]]</f>
        <v>0</v>
      </c>
      <c r="H3313" s="38" t="s">
        <v>10</v>
      </c>
    </row>
    <row r="3314" spans="1:8" x14ac:dyDescent="0.25">
      <c r="A3314" s="31">
        <v>44710</v>
      </c>
      <c r="B3314" s="38" t="s">
        <v>17526</v>
      </c>
      <c r="C3314" s="38" t="s">
        <v>58</v>
      </c>
      <c r="D3314" s="34">
        <v>1815</v>
      </c>
      <c r="E3314" s="35">
        <v>44710</v>
      </c>
      <c r="F3314" s="34">
        <v>1815</v>
      </c>
      <c r="G3314" s="36">
        <f>Tabla16[[#This Row],[Importe]]-Tabla16[[#This Row],[Pagado]]</f>
        <v>0</v>
      </c>
      <c r="H3314" s="38" t="s">
        <v>10</v>
      </c>
    </row>
    <row r="3315" spans="1:8" x14ac:dyDescent="0.25">
      <c r="A3315" s="31">
        <v>44710</v>
      </c>
      <c r="B3315" s="38" t="s">
        <v>17527</v>
      </c>
      <c r="C3315" s="38" t="s">
        <v>31</v>
      </c>
      <c r="D3315" s="34">
        <v>1165.5999999999999</v>
      </c>
      <c r="E3315" s="35">
        <v>44710</v>
      </c>
      <c r="F3315" s="34">
        <v>1165.5999999999999</v>
      </c>
      <c r="G3315" s="36">
        <f>Tabla16[[#This Row],[Importe]]-Tabla16[[#This Row],[Pagado]]</f>
        <v>0</v>
      </c>
      <c r="H3315" s="38" t="s">
        <v>10</v>
      </c>
    </row>
    <row r="3316" spans="1:8" x14ac:dyDescent="0.25">
      <c r="A3316" s="31">
        <v>44710</v>
      </c>
      <c r="B3316" s="38" t="s">
        <v>17528</v>
      </c>
      <c r="C3316" s="38" t="s">
        <v>31</v>
      </c>
      <c r="D3316" s="34">
        <v>30</v>
      </c>
      <c r="E3316" s="35">
        <v>44710</v>
      </c>
      <c r="F3316" s="34">
        <v>30</v>
      </c>
      <c r="G3316" s="36">
        <f>Tabla16[[#This Row],[Importe]]-Tabla16[[#This Row],[Pagado]]</f>
        <v>0</v>
      </c>
      <c r="H3316" s="38" t="s">
        <v>10</v>
      </c>
    </row>
    <row r="3317" spans="1:8" ht="31.5" x14ac:dyDescent="0.25">
      <c r="A3317" s="31">
        <v>44711</v>
      </c>
      <c r="B3317" s="38" t="s">
        <v>17529</v>
      </c>
      <c r="C3317" s="38" t="s">
        <v>475</v>
      </c>
      <c r="D3317" s="34">
        <v>94773.9</v>
      </c>
      <c r="E3317" s="35" t="s">
        <v>17778</v>
      </c>
      <c r="F3317" s="34">
        <f>38000+56773.9</f>
        <v>94773.9</v>
      </c>
      <c r="G3317" s="36">
        <f>Tabla16[[#This Row],[Importe]]-Tabla16[[#This Row],[Pagado]]</f>
        <v>0</v>
      </c>
      <c r="H3317" s="38" t="s">
        <v>10</v>
      </c>
    </row>
    <row r="3318" spans="1:8" x14ac:dyDescent="0.25">
      <c r="A3318" s="31">
        <v>44711</v>
      </c>
      <c r="B3318" s="38" t="s">
        <v>17530</v>
      </c>
      <c r="C3318" s="38" t="s">
        <v>60</v>
      </c>
      <c r="D3318" s="34">
        <v>4098.3</v>
      </c>
      <c r="E3318" s="35">
        <v>44715</v>
      </c>
      <c r="F3318" s="34">
        <v>4098.3</v>
      </c>
      <c r="G3318" s="36">
        <f>Tabla16[[#This Row],[Importe]]-Tabla16[[#This Row],[Pagado]]</f>
        <v>0</v>
      </c>
      <c r="H3318" s="38" t="s">
        <v>10</v>
      </c>
    </row>
    <row r="3319" spans="1:8" x14ac:dyDescent="0.25">
      <c r="A3319" s="31">
        <v>44711</v>
      </c>
      <c r="B3319" s="38" t="s">
        <v>17531</v>
      </c>
      <c r="C3319" s="38" t="s">
        <v>39</v>
      </c>
      <c r="D3319" s="34">
        <v>23504</v>
      </c>
      <c r="E3319" s="35">
        <v>44712</v>
      </c>
      <c r="F3319" s="34">
        <f>12000+11504</f>
        <v>23504</v>
      </c>
      <c r="G3319" s="36">
        <f>Tabla16[[#This Row],[Importe]]-Tabla16[[#This Row],[Pagado]]</f>
        <v>0</v>
      </c>
      <c r="H3319" s="38" t="s">
        <v>10</v>
      </c>
    </row>
    <row r="3320" spans="1:8" x14ac:dyDescent="0.25">
      <c r="A3320" s="31">
        <v>44711</v>
      </c>
      <c r="B3320" s="38" t="s">
        <v>17532</v>
      </c>
      <c r="C3320" s="38" t="s">
        <v>345</v>
      </c>
      <c r="D3320" s="34">
        <v>384.2</v>
      </c>
      <c r="E3320" s="35">
        <v>44711</v>
      </c>
      <c r="F3320" s="34">
        <v>384.2</v>
      </c>
      <c r="G3320" s="36">
        <f>Tabla16[[#This Row],[Importe]]-Tabla16[[#This Row],[Pagado]]</f>
        <v>0</v>
      </c>
      <c r="H3320" s="38" t="s">
        <v>10</v>
      </c>
    </row>
    <row r="3321" spans="1:8" x14ac:dyDescent="0.25">
      <c r="A3321" s="31">
        <v>44711</v>
      </c>
      <c r="B3321" s="38" t="s">
        <v>17533</v>
      </c>
      <c r="C3321" s="38" t="s">
        <v>16819</v>
      </c>
      <c r="D3321" s="34">
        <v>4548.5</v>
      </c>
      <c r="E3321" s="35">
        <v>44711</v>
      </c>
      <c r="F3321" s="34">
        <v>4548.5</v>
      </c>
      <c r="G3321" s="36">
        <f>Tabla16[[#This Row],[Importe]]-Tabla16[[#This Row],[Pagado]]</f>
        <v>0</v>
      </c>
      <c r="H3321" s="38" t="s">
        <v>10</v>
      </c>
    </row>
    <row r="3322" spans="1:8" x14ac:dyDescent="0.25">
      <c r="A3322" s="31">
        <v>44711</v>
      </c>
      <c r="B3322" s="38" t="s">
        <v>17534</v>
      </c>
      <c r="C3322" s="38" t="s">
        <v>105</v>
      </c>
      <c r="D3322" s="34">
        <v>4977.5</v>
      </c>
      <c r="E3322" s="35">
        <v>44712</v>
      </c>
      <c r="F3322" s="34">
        <v>4977.5</v>
      </c>
      <c r="G3322" s="36">
        <f>Tabla16[[#This Row],[Importe]]-Tabla16[[#This Row],[Pagado]]</f>
        <v>0</v>
      </c>
      <c r="H3322" s="38" t="s">
        <v>10</v>
      </c>
    </row>
    <row r="3323" spans="1:8" x14ac:dyDescent="0.25">
      <c r="A3323" s="31">
        <v>44711</v>
      </c>
      <c r="B3323" s="38" t="s">
        <v>17535</v>
      </c>
      <c r="C3323" s="38" t="s">
        <v>64</v>
      </c>
      <c r="D3323" s="34">
        <v>4108.5</v>
      </c>
      <c r="E3323" s="35">
        <v>44712</v>
      </c>
      <c r="F3323" s="34">
        <v>4108.5</v>
      </c>
      <c r="G3323" s="36">
        <f>Tabla16[[#This Row],[Importe]]-Tabla16[[#This Row],[Pagado]]</f>
        <v>0</v>
      </c>
      <c r="H3323" s="38" t="s">
        <v>10</v>
      </c>
    </row>
    <row r="3324" spans="1:8" x14ac:dyDescent="0.25">
      <c r="A3324" s="31">
        <v>44711</v>
      </c>
      <c r="B3324" s="38" t="s">
        <v>17536</v>
      </c>
      <c r="C3324" s="38" t="s">
        <v>114</v>
      </c>
      <c r="D3324" s="34">
        <v>4086.5</v>
      </c>
      <c r="E3324" s="35">
        <v>44712</v>
      </c>
      <c r="F3324" s="34">
        <v>4086.5</v>
      </c>
      <c r="G3324" s="36">
        <f>Tabla16[[#This Row],[Importe]]-Tabla16[[#This Row],[Pagado]]</f>
        <v>0</v>
      </c>
      <c r="H3324" s="38" t="s">
        <v>10</v>
      </c>
    </row>
    <row r="3325" spans="1:8" ht="31.5" x14ac:dyDescent="0.25">
      <c r="A3325" s="31">
        <v>44711</v>
      </c>
      <c r="B3325" s="38" t="s">
        <v>17537</v>
      </c>
      <c r="C3325" s="38" t="s">
        <v>97</v>
      </c>
      <c r="D3325" s="34">
        <v>9042</v>
      </c>
      <c r="E3325" s="35" t="s">
        <v>17774</v>
      </c>
      <c r="F3325" s="34">
        <f>8942+100</f>
        <v>9042</v>
      </c>
      <c r="G3325" s="36">
        <f>Tabla16[[#This Row],[Importe]]-Tabla16[[#This Row],[Pagado]]</f>
        <v>0</v>
      </c>
      <c r="H3325" s="38" t="s">
        <v>10</v>
      </c>
    </row>
    <row r="3326" spans="1:8" x14ac:dyDescent="0.25">
      <c r="A3326" s="31">
        <v>44711</v>
      </c>
      <c r="B3326" s="38" t="s">
        <v>17538</v>
      </c>
      <c r="C3326" s="38" t="s">
        <v>326</v>
      </c>
      <c r="D3326" s="34">
        <v>4246.5</v>
      </c>
      <c r="E3326" s="35">
        <v>44713</v>
      </c>
      <c r="F3326" s="34">
        <v>4246.5</v>
      </c>
      <c r="G3326" s="36">
        <f>Tabla16[[#This Row],[Importe]]-Tabla16[[#This Row],[Pagado]]</f>
        <v>0</v>
      </c>
      <c r="H3326" s="38" t="s">
        <v>10</v>
      </c>
    </row>
    <row r="3327" spans="1:8" x14ac:dyDescent="0.25">
      <c r="A3327" s="31">
        <v>44711</v>
      </c>
      <c r="B3327" s="38" t="s">
        <v>17539</v>
      </c>
      <c r="C3327" s="38" t="s">
        <v>2151</v>
      </c>
      <c r="D3327" s="34">
        <v>9472.5</v>
      </c>
      <c r="E3327" s="35">
        <v>44711</v>
      </c>
      <c r="F3327" s="34">
        <v>9472.5</v>
      </c>
      <c r="G3327" s="36">
        <f>Tabla16[[#This Row],[Importe]]-Tabla16[[#This Row],[Pagado]]</f>
        <v>0</v>
      </c>
      <c r="H3327" s="38" t="s">
        <v>10</v>
      </c>
    </row>
    <row r="3328" spans="1:8" x14ac:dyDescent="0.25">
      <c r="A3328" s="31">
        <v>44711</v>
      </c>
      <c r="B3328" s="38" t="s">
        <v>17540</v>
      </c>
      <c r="C3328" s="38" t="s">
        <v>109</v>
      </c>
      <c r="D3328" s="34">
        <v>5016</v>
      </c>
      <c r="E3328" s="35">
        <v>44712</v>
      </c>
      <c r="F3328" s="34">
        <v>5016</v>
      </c>
      <c r="G3328" s="36">
        <f>Tabla16[[#This Row],[Importe]]-Tabla16[[#This Row],[Pagado]]</f>
        <v>0</v>
      </c>
      <c r="H3328" s="38" t="s">
        <v>10</v>
      </c>
    </row>
    <row r="3329" spans="1:8" x14ac:dyDescent="0.25">
      <c r="A3329" s="31">
        <v>44711</v>
      </c>
      <c r="B3329" s="38" t="s">
        <v>17541</v>
      </c>
      <c r="C3329" s="38" t="s">
        <v>481</v>
      </c>
      <c r="D3329" s="34">
        <v>2299.8000000000002</v>
      </c>
      <c r="E3329" s="35">
        <v>44711</v>
      </c>
      <c r="F3329" s="34">
        <v>2299.8000000000002</v>
      </c>
      <c r="G3329" s="36">
        <f>Tabla16[[#This Row],[Importe]]-Tabla16[[#This Row],[Pagado]]</f>
        <v>0</v>
      </c>
      <c r="H3329" s="38" t="s">
        <v>10</v>
      </c>
    </row>
    <row r="3330" spans="1:8" x14ac:dyDescent="0.25">
      <c r="A3330" s="31">
        <v>44711</v>
      </c>
      <c r="B3330" s="38" t="s">
        <v>17542</v>
      </c>
      <c r="C3330" s="38" t="s">
        <v>89</v>
      </c>
      <c r="D3330" s="34">
        <v>7175</v>
      </c>
      <c r="E3330" s="35">
        <v>44712</v>
      </c>
      <c r="F3330" s="34">
        <v>7175</v>
      </c>
      <c r="G3330" s="36">
        <f>Tabla16[[#This Row],[Importe]]-Tabla16[[#This Row],[Pagado]]</f>
        <v>0</v>
      </c>
      <c r="H3330" s="38" t="s">
        <v>10</v>
      </c>
    </row>
    <row r="3331" spans="1:8" x14ac:dyDescent="0.25">
      <c r="A3331" s="31">
        <v>44711</v>
      </c>
      <c r="B3331" s="38" t="s">
        <v>17543</v>
      </c>
      <c r="C3331" s="38" t="s">
        <v>348</v>
      </c>
      <c r="D3331" s="34">
        <v>2410</v>
      </c>
      <c r="E3331" s="35">
        <v>44711</v>
      </c>
      <c r="F3331" s="34">
        <v>2410</v>
      </c>
      <c r="G3331" s="36">
        <f>Tabla16[[#This Row],[Importe]]-Tabla16[[#This Row],[Pagado]]</f>
        <v>0</v>
      </c>
      <c r="H3331" s="38" t="s">
        <v>10</v>
      </c>
    </row>
    <row r="3332" spans="1:8" x14ac:dyDescent="0.25">
      <c r="A3332" s="31">
        <v>44711</v>
      </c>
      <c r="B3332" s="38" t="s">
        <v>17544</v>
      </c>
      <c r="C3332" s="38" t="s">
        <v>99</v>
      </c>
      <c r="D3332" s="34">
        <v>1774.2</v>
      </c>
      <c r="E3332" s="35">
        <v>44713</v>
      </c>
      <c r="F3332" s="34">
        <v>1774.2</v>
      </c>
      <c r="G3332" s="36">
        <f>Tabla16[[#This Row],[Importe]]-Tabla16[[#This Row],[Pagado]]</f>
        <v>0</v>
      </c>
      <c r="H3332" s="38" t="s">
        <v>10</v>
      </c>
    </row>
    <row r="3333" spans="1:8" x14ac:dyDescent="0.25">
      <c r="A3333" s="31">
        <v>44711</v>
      </c>
      <c r="B3333" s="38" t="s">
        <v>17545</v>
      </c>
      <c r="C3333" s="38" t="s">
        <v>93</v>
      </c>
      <c r="D3333" s="34">
        <v>3249.9</v>
      </c>
      <c r="E3333" s="35">
        <v>44713</v>
      </c>
      <c r="F3333" s="34">
        <v>3249.9</v>
      </c>
      <c r="G3333" s="36">
        <f>Tabla16[[#This Row],[Importe]]-Tabla16[[#This Row],[Pagado]]</f>
        <v>0</v>
      </c>
      <c r="H3333" s="38" t="s">
        <v>10</v>
      </c>
    </row>
    <row r="3334" spans="1:8" x14ac:dyDescent="0.25">
      <c r="A3334" s="31">
        <v>44711</v>
      </c>
      <c r="B3334" s="38" t="s">
        <v>17546</v>
      </c>
      <c r="C3334" s="38" t="s">
        <v>22</v>
      </c>
      <c r="D3334" s="34">
        <v>62087.4</v>
      </c>
      <c r="E3334" s="35">
        <v>44712</v>
      </c>
      <c r="F3334" s="34">
        <v>62087.4</v>
      </c>
      <c r="G3334" s="36">
        <f>Tabla16[[#This Row],[Importe]]-Tabla16[[#This Row],[Pagado]]</f>
        <v>0</v>
      </c>
      <c r="H3334" s="38" t="s">
        <v>10</v>
      </c>
    </row>
    <row r="3335" spans="1:8" x14ac:dyDescent="0.25">
      <c r="A3335" s="31">
        <v>44711</v>
      </c>
      <c r="B3335" s="38" t="s">
        <v>17547</v>
      </c>
      <c r="C3335" s="38" t="s">
        <v>9</v>
      </c>
      <c r="D3335" s="34">
        <v>6771.4</v>
      </c>
      <c r="E3335" s="35">
        <v>44711</v>
      </c>
      <c r="F3335" s="34">
        <v>6771.4</v>
      </c>
      <c r="G3335" s="36">
        <f>Tabla16[[#This Row],[Importe]]-Tabla16[[#This Row],[Pagado]]</f>
        <v>0</v>
      </c>
      <c r="H3335" s="38" t="s">
        <v>10</v>
      </c>
    </row>
    <row r="3336" spans="1:8" x14ac:dyDescent="0.25">
      <c r="A3336" s="31">
        <v>44711</v>
      </c>
      <c r="B3336" s="38" t="s">
        <v>17548</v>
      </c>
      <c r="C3336" s="38" t="s">
        <v>314</v>
      </c>
      <c r="D3336" s="34">
        <v>1348.2</v>
      </c>
      <c r="E3336" s="35">
        <v>44711</v>
      </c>
      <c r="F3336" s="34">
        <v>1348.2</v>
      </c>
      <c r="G3336" s="36">
        <f>Tabla16[[#This Row],[Importe]]-Tabla16[[#This Row],[Pagado]]</f>
        <v>0</v>
      </c>
      <c r="H3336" s="38" t="s">
        <v>10</v>
      </c>
    </row>
    <row r="3337" spans="1:8" x14ac:dyDescent="0.25">
      <c r="A3337" s="31">
        <v>44711</v>
      </c>
      <c r="B3337" s="38" t="s">
        <v>17549</v>
      </c>
      <c r="C3337" s="38" t="s">
        <v>87</v>
      </c>
      <c r="D3337" s="34">
        <v>3201.6</v>
      </c>
      <c r="E3337" s="35">
        <v>44711</v>
      </c>
      <c r="F3337" s="34">
        <v>3201.6</v>
      </c>
      <c r="G3337" s="36">
        <f>Tabla16[[#This Row],[Importe]]-Tabla16[[#This Row],[Pagado]]</f>
        <v>0</v>
      </c>
      <c r="H3337" s="38" t="s">
        <v>10</v>
      </c>
    </row>
    <row r="3338" spans="1:8" x14ac:dyDescent="0.25">
      <c r="A3338" s="31">
        <v>44711</v>
      </c>
      <c r="B3338" s="38" t="s">
        <v>17550</v>
      </c>
      <c r="C3338" s="38" t="s">
        <v>12713</v>
      </c>
      <c r="D3338" s="34">
        <v>0</v>
      </c>
      <c r="E3338" s="39" t="s">
        <v>189</v>
      </c>
      <c r="F3338" s="34">
        <v>0</v>
      </c>
      <c r="G3338" s="36">
        <f>Tabla16[[#This Row],[Importe]]-Tabla16[[#This Row],[Pagado]]</f>
        <v>0</v>
      </c>
      <c r="H3338" s="38" t="s">
        <v>189</v>
      </c>
    </row>
    <row r="3339" spans="1:8" x14ac:dyDescent="0.25">
      <c r="A3339" s="31">
        <v>44711</v>
      </c>
      <c r="B3339" s="38" t="s">
        <v>17551</v>
      </c>
      <c r="C3339" s="38" t="s">
        <v>140</v>
      </c>
      <c r="D3339" s="34">
        <v>3691.7</v>
      </c>
      <c r="E3339" s="35">
        <v>44711</v>
      </c>
      <c r="F3339" s="34">
        <v>3691.7</v>
      </c>
      <c r="G3339" s="36">
        <f>Tabla16[[#This Row],[Importe]]-Tabla16[[#This Row],[Pagado]]</f>
        <v>0</v>
      </c>
      <c r="H3339" s="38" t="s">
        <v>10</v>
      </c>
    </row>
    <row r="3340" spans="1:8" x14ac:dyDescent="0.25">
      <c r="A3340" s="31">
        <v>44711</v>
      </c>
      <c r="B3340" s="38" t="s">
        <v>17552</v>
      </c>
      <c r="C3340" s="38" t="s">
        <v>129</v>
      </c>
      <c r="D3340" s="34">
        <v>4381.8</v>
      </c>
      <c r="E3340" s="35">
        <v>44711</v>
      </c>
      <c r="F3340" s="34">
        <v>4381.8</v>
      </c>
      <c r="G3340" s="36">
        <f>Tabla16[[#This Row],[Importe]]-Tabla16[[#This Row],[Pagado]]</f>
        <v>0</v>
      </c>
      <c r="H3340" s="38" t="s">
        <v>10</v>
      </c>
    </row>
    <row r="3341" spans="1:8" x14ac:dyDescent="0.25">
      <c r="A3341" s="31">
        <v>44711</v>
      </c>
      <c r="B3341" s="38" t="s">
        <v>17553</v>
      </c>
      <c r="C3341" s="38" t="s">
        <v>16</v>
      </c>
      <c r="D3341" s="34">
        <v>4484.8999999999996</v>
      </c>
      <c r="E3341" s="35">
        <v>44711</v>
      </c>
      <c r="F3341" s="34">
        <v>4484.8999999999996</v>
      </c>
      <c r="G3341" s="36">
        <f>Tabla16[[#This Row],[Importe]]-Tabla16[[#This Row],[Pagado]]</f>
        <v>0</v>
      </c>
      <c r="H3341" s="38" t="s">
        <v>10</v>
      </c>
    </row>
    <row r="3342" spans="1:8" x14ac:dyDescent="0.25">
      <c r="A3342" s="31">
        <v>44711</v>
      </c>
      <c r="B3342" s="38" t="s">
        <v>17554</v>
      </c>
      <c r="C3342" s="38" t="s">
        <v>127</v>
      </c>
      <c r="D3342" s="34">
        <v>5576.1</v>
      </c>
      <c r="E3342" s="35">
        <v>44711</v>
      </c>
      <c r="F3342" s="34">
        <v>5576.1</v>
      </c>
      <c r="G3342" s="36">
        <f>Tabla16[[#This Row],[Importe]]-Tabla16[[#This Row],[Pagado]]</f>
        <v>0</v>
      </c>
      <c r="H3342" s="38" t="s">
        <v>10</v>
      </c>
    </row>
    <row r="3343" spans="1:8" x14ac:dyDescent="0.25">
      <c r="A3343" s="31">
        <v>44711</v>
      </c>
      <c r="B3343" s="38" t="s">
        <v>17555</v>
      </c>
      <c r="C3343" s="38" t="s">
        <v>17556</v>
      </c>
      <c r="D3343" s="34">
        <v>3401.7</v>
      </c>
      <c r="E3343" s="35">
        <v>44711</v>
      </c>
      <c r="F3343" s="34">
        <v>3401.7</v>
      </c>
      <c r="G3343" s="36">
        <f>Tabla16[[#This Row],[Importe]]-Tabla16[[#This Row],[Pagado]]</f>
        <v>0</v>
      </c>
      <c r="H3343" s="38" t="s">
        <v>10</v>
      </c>
    </row>
    <row r="3344" spans="1:8" x14ac:dyDescent="0.25">
      <c r="A3344" s="31">
        <v>44711</v>
      </c>
      <c r="B3344" s="38" t="s">
        <v>17557</v>
      </c>
      <c r="C3344" s="38" t="s">
        <v>333</v>
      </c>
      <c r="D3344" s="34">
        <v>531.20000000000005</v>
      </c>
      <c r="E3344" s="35">
        <v>44711</v>
      </c>
      <c r="F3344" s="34">
        <v>531.20000000000005</v>
      </c>
      <c r="G3344" s="36">
        <f>Tabla16[[#This Row],[Importe]]-Tabla16[[#This Row],[Pagado]]</f>
        <v>0</v>
      </c>
      <c r="H3344" s="38" t="s">
        <v>10</v>
      </c>
    </row>
    <row r="3345" spans="1:8" x14ac:dyDescent="0.25">
      <c r="A3345" s="31">
        <v>44711</v>
      </c>
      <c r="B3345" s="38" t="s">
        <v>17558</v>
      </c>
      <c r="C3345" s="38" t="s">
        <v>27</v>
      </c>
      <c r="D3345" s="34">
        <v>4711.8</v>
      </c>
      <c r="E3345" s="35">
        <v>44711</v>
      </c>
      <c r="F3345" s="34">
        <v>4711.8</v>
      </c>
      <c r="G3345" s="36">
        <f>Tabla16[[#This Row],[Importe]]-Tabla16[[#This Row],[Pagado]]</f>
        <v>0</v>
      </c>
      <c r="H3345" s="38" t="s">
        <v>10</v>
      </c>
    </row>
    <row r="3346" spans="1:8" x14ac:dyDescent="0.25">
      <c r="A3346" s="31">
        <v>44711</v>
      </c>
      <c r="B3346" s="38" t="s">
        <v>17559</v>
      </c>
      <c r="C3346" s="38" t="s">
        <v>357</v>
      </c>
      <c r="D3346" s="34">
        <v>1100.8</v>
      </c>
      <c r="E3346" s="35">
        <v>44711</v>
      </c>
      <c r="F3346" s="34">
        <v>1100.8</v>
      </c>
      <c r="G3346" s="36">
        <f>Tabla16[[#This Row],[Importe]]-Tabla16[[#This Row],[Pagado]]</f>
        <v>0</v>
      </c>
      <c r="H3346" s="38" t="s">
        <v>10</v>
      </c>
    </row>
    <row r="3347" spans="1:8" x14ac:dyDescent="0.25">
      <c r="A3347" s="31">
        <v>44711</v>
      </c>
      <c r="B3347" s="38" t="s">
        <v>17560</v>
      </c>
      <c r="C3347" s="38" t="s">
        <v>11033</v>
      </c>
      <c r="D3347" s="34">
        <v>3146.4</v>
      </c>
      <c r="E3347" s="35">
        <v>44711</v>
      </c>
      <c r="F3347" s="34">
        <v>3146.4</v>
      </c>
      <c r="G3347" s="36">
        <f>Tabla16[[#This Row],[Importe]]-Tabla16[[#This Row],[Pagado]]</f>
        <v>0</v>
      </c>
      <c r="H3347" s="38" t="s">
        <v>10</v>
      </c>
    </row>
    <row r="3348" spans="1:8" x14ac:dyDescent="0.25">
      <c r="A3348" s="31">
        <v>44711</v>
      </c>
      <c r="B3348" s="38" t="s">
        <v>17561</v>
      </c>
      <c r="C3348" s="38" t="s">
        <v>2780</v>
      </c>
      <c r="D3348" s="34">
        <v>17897</v>
      </c>
      <c r="E3348" s="35">
        <v>44711</v>
      </c>
      <c r="F3348" s="34">
        <v>17897</v>
      </c>
      <c r="G3348" s="36">
        <f>Tabla16[[#This Row],[Importe]]-Tabla16[[#This Row],[Pagado]]</f>
        <v>0</v>
      </c>
      <c r="H3348" s="38" t="s">
        <v>10</v>
      </c>
    </row>
    <row r="3349" spans="1:8" x14ac:dyDescent="0.25">
      <c r="A3349" s="31">
        <v>44711</v>
      </c>
      <c r="B3349" s="38" t="s">
        <v>17562</v>
      </c>
      <c r="C3349" s="38" t="s">
        <v>146</v>
      </c>
      <c r="D3349" s="34">
        <v>2060.1</v>
      </c>
      <c r="E3349" s="35">
        <v>44711</v>
      </c>
      <c r="F3349" s="34">
        <v>2060.1</v>
      </c>
      <c r="G3349" s="36">
        <f>Tabla16[[#This Row],[Importe]]-Tabla16[[#This Row],[Pagado]]</f>
        <v>0</v>
      </c>
      <c r="H3349" s="38" t="s">
        <v>10</v>
      </c>
    </row>
    <row r="3350" spans="1:8" x14ac:dyDescent="0.25">
      <c r="A3350" s="31">
        <v>44711</v>
      </c>
      <c r="B3350" s="38" t="s">
        <v>17563</v>
      </c>
      <c r="C3350" s="38" t="s">
        <v>208</v>
      </c>
      <c r="D3350" s="34">
        <v>5191.2</v>
      </c>
      <c r="E3350" s="35">
        <v>44713</v>
      </c>
      <c r="F3350" s="34">
        <v>5191.2</v>
      </c>
      <c r="G3350" s="36">
        <f>Tabla16[[#This Row],[Importe]]-Tabla16[[#This Row],[Pagado]]</f>
        <v>0</v>
      </c>
      <c r="H3350" s="38" t="s">
        <v>10</v>
      </c>
    </row>
    <row r="3351" spans="1:8" x14ac:dyDescent="0.25">
      <c r="A3351" s="31">
        <v>44711</v>
      </c>
      <c r="B3351" s="38" t="s">
        <v>17564</v>
      </c>
      <c r="C3351" s="38" t="s">
        <v>339</v>
      </c>
      <c r="D3351" s="34">
        <v>600</v>
      </c>
      <c r="E3351" s="35">
        <v>44711</v>
      </c>
      <c r="F3351" s="34">
        <v>600</v>
      </c>
      <c r="G3351" s="36">
        <f>Tabla16[[#This Row],[Importe]]-Tabla16[[#This Row],[Pagado]]</f>
        <v>0</v>
      </c>
      <c r="H3351" s="38" t="s">
        <v>10</v>
      </c>
    </row>
    <row r="3352" spans="1:8" x14ac:dyDescent="0.25">
      <c r="A3352" s="31">
        <v>44711</v>
      </c>
      <c r="B3352" s="38" t="s">
        <v>17565</v>
      </c>
      <c r="C3352" s="38" t="s">
        <v>137</v>
      </c>
      <c r="D3352" s="34">
        <v>2100</v>
      </c>
      <c r="E3352" s="35">
        <v>44711</v>
      </c>
      <c r="F3352" s="34">
        <v>2100</v>
      </c>
      <c r="G3352" s="36">
        <f>Tabla16[[#This Row],[Importe]]-Tabla16[[#This Row],[Pagado]]</f>
        <v>0</v>
      </c>
      <c r="H3352" s="38" t="s">
        <v>10</v>
      </c>
    </row>
    <row r="3353" spans="1:8" x14ac:dyDescent="0.25">
      <c r="A3353" s="31">
        <v>44711</v>
      </c>
      <c r="B3353" s="38" t="s">
        <v>17566</v>
      </c>
      <c r="C3353" s="38" t="s">
        <v>53</v>
      </c>
      <c r="D3353" s="34">
        <v>2844.4</v>
      </c>
      <c r="E3353" s="35">
        <v>44711</v>
      </c>
      <c r="F3353" s="34">
        <v>2844.4</v>
      </c>
      <c r="G3353" s="36">
        <f>Tabla16[[#This Row],[Importe]]-Tabla16[[#This Row],[Pagado]]</f>
        <v>0</v>
      </c>
      <c r="H3353" s="38" t="s">
        <v>10</v>
      </c>
    </row>
    <row r="3354" spans="1:8" x14ac:dyDescent="0.25">
      <c r="A3354" s="31">
        <v>44711</v>
      </c>
      <c r="B3354" s="38" t="s">
        <v>17567</v>
      </c>
      <c r="C3354" s="38" t="s">
        <v>53</v>
      </c>
      <c r="D3354" s="34">
        <v>78.2</v>
      </c>
      <c r="E3354" s="35">
        <v>44711</v>
      </c>
      <c r="F3354" s="34">
        <v>78.2</v>
      </c>
      <c r="G3354" s="36">
        <f>Tabla16[[#This Row],[Importe]]-Tabla16[[#This Row],[Pagado]]</f>
        <v>0</v>
      </c>
      <c r="H3354" s="38" t="s">
        <v>10</v>
      </c>
    </row>
    <row r="3355" spans="1:8" x14ac:dyDescent="0.25">
      <c r="A3355" s="31">
        <v>44711</v>
      </c>
      <c r="B3355" s="38" t="s">
        <v>17568</v>
      </c>
      <c r="C3355" s="38" t="s">
        <v>33</v>
      </c>
      <c r="D3355" s="34">
        <v>13592</v>
      </c>
      <c r="E3355" s="35">
        <v>44711</v>
      </c>
      <c r="F3355" s="34">
        <v>13592</v>
      </c>
      <c r="G3355" s="36">
        <f>Tabla16[[#This Row],[Importe]]-Tabla16[[#This Row],[Pagado]]</f>
        <v>0</v>
      </c>
      <c r="H3355" s="38" t="s">
        <v>10</v>
      </c>
    </row>
    <row r="3356" spans="1:8" x14ac:dyDescent="0.25">
      <c r="A3356" s="31">
        <v>44711</v>
      </c>
      <c r="B3356" s="38" t="s">
        <v>17569</v>
      </c>
      <c r="C3356" s="38" t="s">
        <v>75</v>
      </c>
      <c r="D3356" s="34">
        <v>6237</v>
      </c>
      <c r="E3356" s="35">
        <v>44711</v>
      </c>
      <c r="F3356" s="34">
        <v>6237</v>
      </c>
      <c r="G3356" s="36">
        <f>Tabla16[[#This Row],[Importe]]-Tabla16[[#This Row],[Pagado]]</f>
        <v>0</v>
      </c>
      <c r="H3356" s="38" t="s">
        <v>10</v>
      </c>
    </row>
    <row r="3357" spans="1:8" x14ac:dyDescent="0.25">
      <c r="A3357" s="31">
        <v>44711</v>
      </c>
      <c r="B3357" s="38" t="s">
        <v>17570</v>
      </c>
      <c r="C3357" s="38" t="s">
        <v>85</v>
      </c>
      <c r="D3357" s="34">
        <v>1272.5999999999999</v>
      </c>
      <c r="E3357" s="35">
        <v>44711</v>
      </c>
      <c r="F3357" s="34">
        <v>1272.5999999999999</v>
      </c>
      <c r="G3357" s="36">
        <f>Tabla16[[#This Row],[Importe]]-Tabla16[[#This Row],[Pagado]]</f>
        <v>0</v>
      </c>
      <c r="H3357" s="38" t="s">
        <v>10</v>
      </c>
    </row>
    <row r="3358" spans="1:8" x14ac:dyDescent="0.25">
      <c r="A3358" s="31">
        <v>44711</v>
      </c>
      <c r="B3358" s="38" t="s">
        <v>17571</v>
      </c>
      <c r="C3358" s="38" t="s">
        <v>473</v>
      </c>
      <c r="D3358" s="34">
        <v>5710.6</v>
      </c>
      <c r="E3358" s="35">
        <v>44711</v>
      </c>
      <c r="F3358" s="34">
        <v>5710.6</v>
      </c>
      <c r="G3358" s="36">
        <f>Tabla16[[#This Row],[Importe]]-Tabla16[[#This Row],[Pagado]]</f>
        <v>0</v>
      </c>
      <c r="H3358" s="38" t="s">
        <v>10</v>
      </c>
    </row>
    <row r="3359" spans="1:8" x14ac:dyDescent="0.25">
      <c r="A3359" s="31">
        <v>44711</v>
      </c>
      <c r="B3359" s="38" t="s">
        <v>17572</v>
      </c>
      <c r="C3359" s="38" t="s">
        <v>56</v>
      </c>
      <c r="D3359" s="34">
        <v>7534.4</v>
      </c>
      <c r="E3359" s="35">
        <v>44711</v>
      </c>
      <c r="F3359" s="34">
        <v>7534.4</v>
      </c>
      <c r="G3359" s="36">
        <f>Tabla16[[#This Row],[Importe]]-Tabla16[[#This Row],[Pagado]]</f>
        <v>0</v>
      </c>
      <c r="H3359" s="38" t="s">
        <v>10</v>
      </c>
    </row>
    <row r="3360" spans="1:8" x14ac:dyDescent="0.25">
      <c r="A3360" s="31">
        <v>44711</v>
      </c>
      <c r="B3360" s="38" t="s">
        <v>17573</v>
      </c>
      <c r="C3360" s="38" t="s">
        <v>33</v>
      </c>
      <c r="D3360" s="34">
        <v>769.4</v>
      </c>
      <c r="E3360" s="35">
        <v>44711</v>
      </c>
      <c r="F3360" s="34">
        <v>769.4</v>
      </c>
      <c r="G3360" s="36">
        <f>Tabla16[[#This Row],[Importe]]-Tabla16[[#This Row],[Pagado]]</f>
        <v>0</v>
      </c>
      <c r="H3360" s="38" t="s">
        <v>10</v>
      </c>
    </row>
    <row r="3361" spans="1:8" x14ac:dyDescent="0.25">
      <c r="A3361" s="31">
        <v>44711</v>
      </c>
      <c r="B3361" s="38" t="s">
        <v>17574</v>
      </c>
      <c r="C3361" s="38" t="s">
        <v>206</v>
      </c>
      <c r="D3361" s="34">
        <v>30805.599999999999</v>
      </c>
      <c r="E3361" s="35">
        <v>44713</v>
      </c>
      <c r="F3361" s="34">
        <v>30805.599999999999</v>
      </c>
      <c r="G3361" s="36">
        <f>Tabla16[[#This Row],[Importe]]-Tabla16[[#This Row],[Pagado]]</f>
        <v>0</v>
      </c>
      <c r="H3361" s="38" t="s">
        <v>10</v>
      </c>
    </row>
    <row r="3362" spans="1:8" x14ac:dyDescent="0.25">
      <c r="A3362" s="31">
        <v>44711</v>
      </c>
      <c r="B3362" s="38" t="s">
        <v>17575</v>
      </c>
      <c r="C3362" s="38" t="s">
        <v>212</v>
      </c>
      <c r="D3362" s="34">
        <v>48230.400000000001</v>
      </c>
      <c r="E3362" s="35">
        <v>44713</v>
      </c>
      <c r="F3362" s="34">
        <v>48230.400000000001</v>
      </c>
      <c r="G3362" s="36">
        <f>Tabla16[[#This Row],[Importe]]-Tabla16[[#This Row],[Pagado]]</f>
        <v>0</v>
      </c>
      <c r="H3362" s="38" t="s">
        <v>10</v>
      </c>
    </row>
    <row r="3363" spans="1:8" x14ac:dyDescent="0.25">
      <c r="A3363" s="31">
        <v>44711</v>
      </c>
      <c r="B3363" s="38" t="s">
        <v>17576</v>
      </c>
      <c r="C3363" s="38" t="s">
        <v>218</v>
      </c>
      <c r="D3363" s="34">
        <v>11825.8</v>
      </c>
      <c r="E3363" s="35">
        <v>44715</v>
      </c>
      <c r="F3363" s="34">
        <v>11825.8</v>
      </c>
      <c r="G3363" s="36">
        <f>Tabla16[[#This Row],[Importe]]-Tabla16[[#This Row],[Pagado]]</f>
        <v>0</v>
      </c>
      <c r="H3363" s="38" t="s">
        <v>10</v>
      </c>
    </row>
    <row r="3364" spans="1:8" x14ac:dyDescent="0.25">
      <c r="A3364" s="31">
        <v>44711</v>
      </c>
      <c r="B3364" s="38" t="s">
        <v>17577</v>
      </c>
      <c r="C3364" s="38" t="s">
        <v>154</v>
      </c>
      <c r="D3364" s="34">
        <v>30093</v>
      </c>
      <c r="E3364" s="35">
        <v>44715</v>
      </c>
      <c r="F3364" s="34">
        <v>30093</v>
      </c>
      <c r="G3364" s="36">
        <f>Tabla16[[#This Row],[Importe]]-Tabla16[[#This Row],[Pagado]]</f>
        <v>0</v>
      </c>
      <c r="H3364" s="38" t="s">
        <v>10</v>
      </c>
    </row>
    <row r="3365" spans="1:8" x14ac:dyDescent="0.25">
      <c r="A3365" s="31">
        <v>44711</v>
      </c>
      <c r="B3365" s="38" t="s">
        <v>17578</v>
      </c>
      <c r="C3365" s="38" t="s">
        <v>5816</v>
      </c>
      <c r="D3365" s="34">
        <v>10173.799999999999</v>
      </c>
      <c r="E3365" s="35">
        <v>44714</v>
      </c>
      <c r="F3365" s="34">
        <v>10173.799999999999</v>
      </c>
      <c r="G3365" s="36">
        <f>Tabla16[[#This Row],[Importe]]-Tabla16[[#This Row],[Pagado]]</f>
        <v>0</v>
      </c>
      <c r="H3365" s="38" t="s">
        <v>10</v>
      </c>
    </row>
    <row r="3366" spans="1:8" x14ac:dyDescent="0.25">
      <c r="A3366" s="31">
        <v>44711</v>
      </c>
      <c r="B3366" s="38" t="s">
        <v>17579</v>
      </c>
      <c r="C3366" s="38" t="s">
        <v>198</v>
      </c>
      <c r="D3366" s="34">
        <v>4597.3999999999996</v>
      </c>
      <c r="E3366" s="35">
        <v>44712</v>
      </c>
      <c r="F3366" s="34">
        <v>4597.3999999999996</v>
      </c>
      <c r="G3366" s="36">
        <f>Tabla16[[#This Row],[Importe]]-Tabla16[[#This Row],[Pagado]]</f>
        <v>0</v>
      </c>
      <c r="H3366" s="38" t="s">
        <v>10</v>
      </c>
    </row>
    <row r="3367" spans="1:8" x14ac:dyDescent="0.25">
      <c r="A3367" s="31">
        <v>44711</v>
      </c>
      <c r="B3367" s="38" t="s">
        <v>17580</v>
      </c>
      <c r="C3367" s="38" t="s">
        <v>312</v>
      </c>
      <c r="D3367" s="34">
        <v>4133.8999999999996</v>
      </c>
      <c r="E3367" s="35">
        <v>44712</v>
      </c>
      <c r="F3367" s="34">
        <v>4133.8999999999996</v>
      </c>
      <c r="G3367" s="36">
        <f>Tabla16[[#This Row],[Importe]]-Tabla16[[#This Row],[Pagado]]</f>
        <v>0</v>
      </c>
      <c r="H3367" s="38" t="s">
        <v>10</v>
      </c>
    </row>
    <row r="3368" spans="1:8" x14ac:dyDescent="0.25">
      <c r="A3368" s="31">
        <v>44711</v>
      </c>
      <c r="B3368" s="38" t="s">
        <v>17581</v>
      </c>
      <c r="C3368" s="38" t="s">
        <v>142</v>
      </c>
      <c r="D3368" s="34">
        <v>66303.14</v>
      </c>
      <c r="E3368" s="35">
        <v>44760</v>
      </c>
      <c r="F3368" s="34">
        <v>66303.14</v>
      </c>
      <c r="G3368" s="36">
        <f>Tabla16[[#This Row],[Importe]]-Tabla16[[#This Row],[Pagado]]</f>
        <v>0</v>
      </c>
      <c r="H3368" s="38" t="s">
        <v>10</v>
      </c>
    </row>
    <row r="3369" spans="1:8" x14ac:dyDescent="0.25">
      <c r="A3369" s="31">
        <v>44711</v>
      </c>
      <c r="B3369" s="38" t="s">
        <v>17582</v>
      </c>
      <c r="C3369" s="38" t="s">
        <v>442</v>
      </c>
      <c r="D3369" s="34">
        <v>529.20000000000005</v>
      </c>
      <c r="E3369" s="35">
        <v>44711</v>
      </c>
      <c r="F3369" s="34">
        <v>529.20000000000005</v>
      </c>
      <c r="G3369" s="36">
        <f>Tabla16[[#This Row],[Importe]]-Tabla16[[#This Row],[Pagado]]</f>
        <v>0</v>
      </c>
      <c r="H3369" s="38" t="s">
        <v>10</v>
      </c>
    </row>
    <row r="3370" spans="1:8" x14ac:dyDescent="0.25">
      <c r="A3370" s="31">
        <v>44711</v>
      </c>
      <c r="B3370" s="38" t="s">
        <v>17583</v>
      </c>
      <c r="C3370" s="38" t="s">
        <v>698</v>
      </c>
      <c r="D3370" s="34">
        <v>7728.6</v>
      </c>
      <c r="E3370" s="35">
        <v>44711</v>
      </c>
      <c r="F3370" s="34">
        <v>7728.6</v>
      </c>
      <c r="G3370" s="36">
        <f>Tabla16[[#This Row],[Importe]]-Tabla16[[#This Row],[Pagado]]</f>
        <v>0</v>
      </c>
      <c r="H3370" s="38" t="s">
        <v>10</v>
      </c>
    </row>
    <row r="3371" spans="1:8" x14ac:dyDescent="0.25">
      <c r="A3371" s="31">
        <v>44711</v>
      </c>
      <c r="B3371" s="38" t="s">
        <v>17584</v>
      </c>
      <c r="C3371" s="38" t="s">
        <v>111</v>
      </c>
      <c r="D3371" s="34">
        <v>4614.5</v>
      </c>
      <c r="E3371" s="35">
        <v>44712</v>
      </c>
      <c r="F3371" s="34">
        <v>4614.5</v>
      </c>
      <c r="G3371" s="36">
        <f>Tabla16[[#This Row],[Importe]]-Tabla16[[#This Row],[Pagado]]</f>
        <v>0</v>
      </c>
      <c r="H3371" s="38" t="s">
        <v>10</v>
      </c>
    </row>
    <row r="3372" spans="1:8" x14ac:dyDescent="0.25">
      <c r="A3372" s="31">
        <v>44711</v>
      </c>
      <c r="B3372" s="38" t="s">
        <v>17585</v>
      </c>
      <c r="C3372" s="38" t="s">
        <v>49</v>
      </c>
      <c r="D3372" s="34">
        <v>1937.5</v>
      </c>
      <c r="E3372" s="35">
        <v>44711</v>
      </c>
      <c r="F3372" s="34">
        <v>1937.5</v>
      </c>
      <c r="G3372" s="36">
        <f>Tabla16[[#This Row],[Importe]]-Tabla16[[#This Row],[Pagado]]</f>
        <v>0</v>
      </c>
      <c r="H3372" s="38" t="s">
        <v>10</v>
      </c>
    </row>
    <row r="3373" spans="1:8" x14ac:dyDescent="0.25">
      <c r="A3373" s="31">
        <v>44711</v>
      </c>
      <c r="B3373" s="38" t="s">
        <v>17586</v>
      </c>
      <c r="C3373" s="38" t="s">
        <v>348</v>
      </c>
      <c r="D3373" s="34">
        <v>1185</v>
      </c>
      <c r="E3373" s="35">
        <v>44711</v>
      </c>
      <c r="F3373" s="34">
        <v>1185</v>
      </c>
      <c r="G3373" s="36">
        <f>Tabla16[[#This Row],[Importe]]-Tabla16[[#This Row],[Pagado]]</f>
        <v>0</v>
      </c>
      <c r="H3373" s="38" t="s">
        <v>10</v>
      </c>
    </row>
    <row r="3374" spans="1:8" x14ac:dyDescent="0.25">
      <c r="A3374" s="31">
        <v>44711</v>
      </c>
      <c r="B3374" s="38" t="s">
        <v>17587</v>
      </c>
      <c r="C3374" s="38" t="s">
        <v>3971</v>
      </c>
      <c r="D3374" s="34">
        <v>1258.0999999999999</v>
      </c>
      <c r="E3374" s="35">
        <v>44711</v>
      </c>
      <c r="F3374" s="34">
        <v>1258.0999999999999</v>
      </c>
      <c r="G3374" s="36">
        <f>Tabla16[[#This Row],[Importe]]-Tabla16[[#This Row],[Pagado]]</f>
        <v>0</v>
      </c>
      <c r="H3374" s="38" t="s">
        <v>10</v>
      </c>
    </row>
    <row r="3375" spans="1:8" x14ac:dyDescent="0.25">
      <c r="A3375" s="31">
        <v>44711</v>
      </c>
      <c r="B3375" s="38" t="s">
        <v>17588</v>
      </c>
      <c r="C3375" s="38" t="s">
        <v>218</v>
      </c>
      <c r="D3375" s="34">
        <v>2307.63</v>
      </c>
      <c r="E3375" s="35">
        <v>44715</v>
      </c>
      <c r="F3375" s="34">
        <v>2307.63</v>
      </c>
      <c r="G3375" s="36">
        <f>Tabla16[[#This Row],[Importe]]-Tabla16[[#This Row],[Pagado]]</f>
        <v>0</v>
      </c>
      <c r="H3375" s="38" t="s">
        <v>10</v>
      </c>
    </row>
    <row r="3376" spans="1:8" x14ac:dyDescent="0.25">
      <c r="A3376" s="31">
        <v>44711</v>
      </c>
      <c r="B3376" s="38" t="s">
        <v>17589</v>
      </c>
      <c r="C3376" s="38" t="s">
        <v>135</v>
      </c>
      <c r="D3376" s="34">
        <v>934.4</v>
      </c>
      <c r="E3376" s="35">
        <v>44711</v>
      </c>
      <c r="F3376" s="34">
        <v>934.4</v>
      </c>
      <c r="G3376" s="36">
        <f>Tabla16[[#This Row],[Importe]]-Tabla16[[#This Row],[Pagado]]</f>
        <v>0</v>
      </c>
      <c r="H3376" s="38" t="s">
        <v>10</v>
      </c>
    </row>
    <row r="3377" spans="1:8" x14ac:dyDescent="0.25">
      <c r="A3377" s="31">
        <v>44711</v>
      </c>
      <c r="B3377" s="38" t="s">
        <v>17590</v>
      </c>
      <c r="C3377" s="38" t="s">
        <v>179</v>
      </c>
      <c r="D3377" s="34">
        <v>1266.3</v>
      </c>
      <c r="E3377" s="35">
        <v>44711</v>
      </c>
      <c r="F3377" s="34">
        <v>1266.3</v>
      </c>
      <c r="G3377" s="36">
        <f>Tabla16[[#This Row],[Importe]]-Tabla16[[#This Row],[Pagado]]</f>
        <v>0</v>
      </c>
      <c r="H3377" s="38" t="s">
        <v>10</v>
      </c>
    </row>
    <row r="3378" spans="1:8" x14ac:dyDescent="0.25">
      <c r="A3378" s="31">
        <v>44711</v>
      </c>
      <c r="B3378" s="38" t="s">
        <v>17591</v>
      </c>
      <c r="C3378" s="38" t="s">
        <v>230</v>
      </c>
      <c r="D3378" s="34">
        <v>5088.3999999999996</v>
      </c>
      <c r="E3378" s="35">
        <v>44711</v>
      </c>
      <c r="F3378" s="34">
        <v>5088.3999999999996</v>
      </c>
      <c r="G3378" s="36">
        <f>Tabla16[[#This Row],[Importe]]-Tabla16[[#This Row],[Pagado]]</f>
        <v>0</v>
      </c>
      <c r="H3378" s="38" t="s">
        <v>10</v>
      </c>
    </row>
    <row r="3379" spans="1:8" x14ac:dyDescent="0.25">
      <c r="A3379" s="31">
        <v>44711</v>
      </c>
      <c r="B3379" s="38" t="s">
        <v>17592</v>
      </c>
      <c r="C3379" s="38" t="s">
        <v>414</v>
      </c>
      <c r="D3379" s="34">
        <v>19378.8</v>
      </c>
      <c r="E3379" s="35">
        <v>44721</v>
      </c>
      <c r="F3379" s="34">
        <v>19378.8</v>
      </c>
      <c r="G3379" s="36">
        <f>Tabla16[[#This Row],[Importe]]-Tabla16[[#This Row],[Pagado]]</f>
        <v>0</v>
      </c>
      <c r="H3379" s="38" t="s">
        <v>10</v>
      </c>
    </row>
    <row r="3380" spans="1:8" x14ac:dyDescent="0.25">
      <c r="A3380" s="31">
        <v>44711</v>
      </c>
      <c r="B3380" s="38" t="s">
        <v>17593</v>
      </c>
      <c r="C3380" s="38" t="s">
        <v>857</v>
      </c>
      <c r="D3380" s="34">
        <v>344</v>
      </c>
      <c r="E3380" s="35">
        <v>44711</v>
      </c>
      <c r="F3380" s="34">
        <v>344</v>
      </c>
      <c r="G3380" s="36">
        <f>Tabla16[[#This Row],[Importe]]-Tabla16[[#This Row],[Pagado]]</f>
        <v>0</v>
      </c>
      <c r="H3380" s="38" t="s">
        <v>10</v>
      </c>
    </row>
    <row r="3381" spans="1:8" x14ac:dyDescent="0.25">
      <c r="A3381" s="31">
        <v>44711</v>
      </c>
      <c r="B3381" s="38" t="s">
        <v>17594</v>
      </c>
      <c r="C3381" s="38" t="s">
        <v>24</v>
      </c>
      <c r="D3381" s="34">
        <v>3688.6</v>
      </c>
      <c r="E3381" s="35">
        <v>44711</v>
      </c>
      <c r="F3381" s="34">
        <v>3688.6</v>
      </c>
      <c r="G3381" s="36">
        <f>Tabla16[[#This Row],[Importe]]-Tabla16[[#This Row],[Pagado]]</f>
        <v>0</v>
      </c>
      <c r="H3381" s="38" t="s">
        <v>10</v>
      </c>
    </row>
    <row r="3382" spans="1:8" x14ac:dyDescent="0.25">
      <c r="A3382" s="31">
        <v>44711</v>
      </c>
      <c r="B3382" s="38" t="s">
        <v>17595</v>
      </c>
      <c r="C3382" s="38" t="s">
        <v>224</v>
      </c>
      <c r="D3382" s="34">
        <v>554.4</v>
      </c>
      <c r="E3382" s="35">
        <v>44711</v>
      </c>
      <c r="F3382" s="34">
        <v>554.4</v>
      </c>
      <c r="G3382" s="36">
        <f>Tabla16[[#This Row],[Importe]]-Tabla16[[#This Row],[Pagado]]</f>
        <v>0</v>
      </c>
      <c r="H3382" s="38" t="s">
        <v>10</v>
      </c>
    </row>
    <row r="3383" spans="1:8" x14ac:dyDescent="0.25">
      <c r="A3383" s="31">
        <v>44711</v>
      </c>
      <c r="B3383" s="38" t="s">
        <v>17596</v>
      </c>
      <c r="C3383" s="38" t="s">
        <v>31</v>
      </c>
      <c r="D3383" s="34">
        <v>2679.7</v>
      </c>
      <c r="E3383" s="35">
        <v>44711</v>
      </c>
      <c r="F3383" s="34">
        <v>2679.7</v>
      </c>
      <c r="G3383" s="36">
        <f>Tabla16[[#This Row],[Importe]]-Tabla16[[#This Row],[Pagado]]</f>
        <v>0</v>
      </c>
      <c r="H3383" s="38" t="s">
        <v>10</v>
      </c>
    </row>
    <row r="3384" spans="1:8" x14ac:dyDescent="0.25">
      <c r="A3384" s="31">
        <v>44711</v>
      </c>
      <c r="B3384" s="38" t="s">
        <v>17597</v>
      </c>
      <c r="C3384" s="38" t="s">
        <v>58</v>
      </c>
      <c r="D3384" s="34">
        <v>6533.4</v>
      </c>
      <c r="E3384" s="35">
        <v>44711</v>
      </c>
      <c r="F3384" s="34">
        <v>6533.4</v>
      </c>
      <c r="G3384" s="36">
        <f>Tabla16[[#This Row],[Importe]]-Tabla16[[#This Row],[Pagado]]</f>
        <v>0</v>
      </c>
      <c r="H3384" s="38" t="s">
        <v>10</v>
      </c>
    </row>
    <row r="3385" spans="1:8" x14ac:dyDescent="0.25">
      <c r="A3385" s="31">
        <v>44711</v>
      </c>
      <c r="B3385" s="38" t="s">
        <v>17598</v>
      </c>
      <c r="C3385" s="38" t="s">
        <v>1003</v>
      </c>
      <c r="D3385" s="34">
        <v>12005.1</v>
      </c>
      <c r="E3385" s="35">
        <v>44715</v>
      </c>
      <c r="F3385" s="34">
        <v>12005.1</v>
      </c>
      <c r="G3385" s="36">
        <f>Tabla16[[#This Row],[Importe]]-Tabla16[[#This Row],[Pagado]]</f>
        <v>0</v>
      </c>
      <c r="H3385" s="38" t="s">
        <v>10</v>
      </c>
    </row>
    <row r="3386" spans="1:8" x14ac:dyDescent="0.25">
      <c r="A3386" s="31">
        <v>44711</v>
      </c>
      <c r="B3386" s="38" t="s">
        <v>17599</v>
      </c>
      <c r="C3386" s="38" t="s">
        <v>45</v>
      </c>
      <c r="D3386" s="34">
        <v>9612.2000000000007</v>
      </c>
      <c r="E3386" s="35">
        <v>44711</v>
      </c>
      <c r="F3386" s="34">
        <v>9612.2000000000007</v>
      </c>
      <c r="G3386" s="36">
        <f>Tabla16[[#This Row],[Importe]]-Tabla16[[#This Row],[Pagado]]</f>
        <v>0</v>
      </c>
      <c r="H3386" s="38" t="s">
        <v>10</v>
      </c>
    </row>
    <row r="3387" spans="1:8" x14ac:dyDescent="0.25">
      <c r="A3387" s="31">
        <v>44711</v>
      </c>
      <c r="B3387" s="38" t="s">
        <v>17600</v>
      </c>
      <c r="C3387" s="38" t="s">
        <v>1987</v>
      </c>
      <c r="D3387" s="34">
        <v>15468.2</v>
      </c>
      <c r="E3387" s="35">
        <v>44711</v>
      </c>
      <c r="F3387" s="34">
        <v>15468.2</v>
      </c>
      <c r="G3387" s="36">
        <f>Tabla16[[#This Row],[Importe]]-Tabla16[[#This Row],[Pagado]]</f>
        <v>0</v>
      </c>
      <c r="H3387" s="38" t="s">
        <v>10</v>
      </c>
    </row>
    <row r="3388" spans="1:8" x14ac:dyDescent="0.25">
      <c r="A3388" s="31">
        <v>44711</v>
      </c>
      <c r="B3388" s="38" t="s">
        <v>17601</v>
      </c>
      <c r="C3388" s="38" t="s">
        <v>133</v>
      </c>
      <c r="D3388" s="34">
        <v>12978</v>
      </c>
      <c r="E3388" s="35">
        <v>44712</v>
      </c>
      <c r="F3388" s="34">
        <v>12978</v>
      </c>
      <c r="G3388" s="36">
        <f>Tabla16[[#This Row],[Importe]]-Tabla16[[#This Row],[Pagado]]</f>
        <v>0</v>
      </c>
      <c r="H3388" s="38" t="s">
        <v>10</v>
      </c>
    </row>
    <row r="3389" spans="1:8" x14ac:dyDescent="0.25">
      <c r="A3389" s="31">
        <v>44711</v>
      </c>
      <c r="B3389" s="38" t="s">
        <v>17602</v>
      </c>
      <c r="C3389" s="38" t="s">
        <v>173</v>
      </c>
      <c r="D3389" s="34">
        <v>12789</v>
      </c>
      <c r="E3389" s="35">
        <v>44712</v>
      </c>
      <c r="F3389" s="34">
        <v>12789</v>
      </c>
      <c r="G3389" s="36">
        <f>Tabla16[[#This Row],[Importe]]-Tabla16[[#This Row],[Pagado]]</f>
        <v>0</v>
      </c>
      <c r="H3389" s="38" t="s">
        <v>10</v>
      </c>
    </row>
    <row r="3390" spans="1:8" x14ac:dyDescent="0.25">
      <c r="A3390" s="31">
        <v>44711</v>
      </c>
      <c r="B3390" s="38" t="s">
        <v>17603</v>
      </c>
      <c r="C3390" s="38" t="s">
        <v>222</v>
      </c>
      <c r="D3390" s="34">
        <v>8417.4</v>
      </c>
      <c r="E3390" s="35">
        <v>44711</v>
      </c>
      <c r="F3390" s="34">
        <v>8417.4</v>
      </c>
      <c r="G3390" s="36">
        <f>Tabla16[[#This Row],[Importe]]-Tabla16[[#This Row],[Pagado]]</f>
        <v>0</v>
      </c>
      <c r="H3390" s="38" t="s">
        <v>10</v>
      </c>
    </row>
    <row r="3391" spans="1:8" x14ac:dyDescent="0.25">
      <c r="A3391" s="31">
        <v>44711</v>
      </c>
      <c r="B3391" s="38" t="s">
        <v>17604</v>
      </c>
      <c r="C3391" s="38" t="s">
        <v>240</v>
      </c>
      <c r="D3391" s="34">
        <v>10648.8</v>
      </c>
      <c r="E3391" s="35">
        <v>44711</v>
      </c>
      <c r="F3391" s="34">
        <v>10648.8</v>
      </c>
      <c r="G3391" s="36">
        <f>Tabla16[[#This Row],[Importe]]-Tabla16[[#This Row],[Pagado]]</f>
        <v>0</v>
      </c>
      <c r="H3391" s="38" t="s">
        <v>10</v>
      </c>
    </row>
    <row r="3392" spans="1:8" x14ac:dyDescent="0.25">
      <c r="A3392" s="31">
        <v>44711</v>
      </c>
      <c r="B3392" s="38" t="s">
        <v>17605</v>
      </c>
      <c r="C3392" s="38" t="s">
        <v>64</v>
      </c>
      <c r="D3392" s="34">
        <v>4468.2</v>
      </c>
      <c r="E3392" s="35">
        <v>44711</v>
      </c>
      <c r="F3392" s="34">
        <v>4468.2</v>
      </c>
      <c r="G3392" s="36">
        <f>Tabla16[[#This Row],[Importe]]-Tabla16[[#This Row],[Pagado]]</f>
        <v>0</v>
      </c>
      <c r="H3392" s="38" t="s">
        <v>10</v>
      </c>
    </row>
    <row r="3393" spans="1:8" x14ac:dyDescent="0.25">
      <c r="A3393" s="31">
        <v>44711</v>
      </c>
      <c r="B3393" s="38" t="s">
        <v>17606</v>
      </c>
      <c r="C3393" s="38" t="s">
        <v>419</v>
      </c>
      <c r="D3393" s="34">
        <v>7590</v>
      </c>
      <c r="E3393" s="35">
        <v>44711</v>
      </c>
      <c r="F3393" s="34">
        <v>7590</v>
      </c>
      <c r="G3393" s="36">
        <f>Tabla16[[#This Row],[Importe]]-Tabla16[[#This Row],[Pagado]]</f>
        <v>0</v>
      </c>
      <c r="H3393" s="38" t="s">
        <v>10</v>
      </c>
    </row>
    <row r="3394" spans="1:8" x14ac:dyDescent="0.25">
      <c r="A3394" s="31">
        <v>44711</v>
      </c>
      <c r="B3394" s="38" t="s">
        <v>17607</v>
      </c>
      <c r="C3394" s="38" t="s">
        <v>17608</v>
      </c>
      <c r="D3394" s="34">
        <v>0</v>
      </c>
      <c r="E3394" s="39" t="s">
        <v>189</v>
      </c>
      <c r="F3394" s="34">
        <v>0</v>
      </c>
      <c r="G3394" s="36">
        <f>Tabla16[[#This Row],[Importe]]-Tabla16[[#This Row],[Pagado]]</f>
        <v>0</v>
      </c>
      <c r="H3394" s="38" t="s">
        <v>189</v>
      </c>
    </row>
    <row r="3395" spans="1:8" x14ac:dyDescent="0.25">
      <c r="A3395" s="31">
        <v>44711</v>
      </c>
      <c r="B3395" s="38" t="s">
        <v>17609</v>
      </c>
      <c r="C3395" s="38" t="s">
        <v>528</v>
      </c>
      <c r="D3395" s="34">
        <v>38045.699999999997</v>
      </c>
      <c r="E3395" s="35">
        <v>44712</v>
      </c>
      <c r="F3395" s="34">
        <v>38045.699999999997</v>
      </c>
      <c r="G3395" s="36">
        <f>Tabla16[[#This Row],[Importe]]-Tabla16[[#This Row],[Pagado]]</f>
        <v>0</v>
      </c>
      <c r="H3395" s="38" t="s">
        <v>10</v>
      </c>
    </row>
    <row r="3396" spans="1:8" x14ac:dyDescent="0.25">
      <c r="A3396" s="31">
        <v>44711</v>
      </c>
      <c r="B3396" s="38" t="s">
        <v>17610</v>
      </c>
      <c r="C3396" s="38" t="s">
        <v>60</v>
      </c>
      <c r="D3396" s="34">
        <v>1845</v>
      </c>
      <c r="E3396" s="35">
        <v>44711</v>
      </c>
      <c r="F3396" s="34">
        <v>1845</v>
      </c>
      <c r="G3396" s="36">
        <f>Tabla16[[#This Row],[Importe]]-Tabla16[[#This Row],[Pagado]]</f>
        <v>0</v>
      </c>
      <c r="H3396" s="38" t="s">
        <v>10</v>
      </c>
    </row>
    <row r="3397" spans="1:8" x14ac:dyDescent="0.25">
      <c r="A3397" s="31">
        <v>44711</v>
      </c>
      <c r="B3397" s="38" t="s">
        <v>17611</v>
      </c>
      <c r="C3397" s="38" t="s">
        <v>1174</v>
      </c>
      <c r="D3397" s="34">
        <v>32076.799999999999</v>
      </c>
      <c r="E3397" s="35">
        <v>44711</v>
      </c>
      <c r="F3397" s="34">
        <v>32076.799999999999</v>
      </c>
      <c r="G3397" s="36">
        <f>Tabla16[[#This Row],[Importe]]-Tabla16[[#This Row],[Pagado]]</f>
        <v>0</v>
      </c>
      <c r="H3397" s="38" t="s">
        <v>10</v>
      </c>
    </row>
    <row r="3398" spans="1:8" x14ac:dyDescent="0.25">
      <c r="A3398" s="31">
        <v>44711</v>
      </c>
      <c r="B3398" s="38" t="s">
        <v>17612</v>
      </c>
      <c r="C3398" s="38" t="s">
        <v>392</v>
      </c>
      <c r="D3398" s="34">
        <v>1896.3</v>
      </c>
      <c r="E3398" s="35">
        <v>44711</v>
      </c>
      <c r="F3398" s="34">
        <v>1896.3</v>
      </c>
      <c r="G3398" s="36">
        <f>Tabla16[[#This Row],[Importe]]-Tabla16[[#This Row],[Pagado]]</f>
        <v>0</v>
      </c>
      <c r="H3398" s="38" t="s">
        <v>10</v>
      </c>
    </row>
    <row r="3399" spans="1:8" x14ac:dyDescent="0.25">
      <c r="A3399" s="31">
        <v>44711</v>
      </c>
      <c r="B3399" s="38" t="s">
        <v>17613</v>
      </c>
      <c r="C3399" s="38" t="s">
        <v>107</v>
      </c>
      <c r="D3399" s="34">
        <v>19266.599999999999</v>
      </c>
      <c r="E3399" s="35">
        <v>44711</v>
      </c>
      <c r="F3399" s="34">
        <v>19266.599999999999</v>
      </c>
      <c r="G3399" s="36">
        <f>Tabla16[[#This Row],[Importe]]-Tabla16[[#This Row],[Pagado]]</f>
        <v>0</v>
      </c>
      <c r="H3399" s="38" t="s">
        <v>10</v>
      </c>
    </row>
    <row r="3400" spans="1:8" x14ac:dyDescent="0.25">
      <c r="A3400" s="31">
        <v>44711</v>
      </c>
      <c r="B3400" s="38" t="s">
        <v>17614</v>
      </c>
      <c r="C3400" s="38" t="s">
        <v>5345</v>
      </c>
      <c r="D3400" s="34">
        <v>2318.4</v>
      </c>
      <c r="E3400" s="35">
        <v>44712</v>
      </c>
      <c r="F3400" s="34">
        <v>2318.4</v>
      </c>
      <c r="G3400" s="36">
        <f>Tabla16[[#This Row],[Importe]]-Tabla16[[#This Row],[Pagado]]</f>
        <v>0</v>
      </c>
      <c r="H3400" s="38" t="s">
        <v>10</v>
      </c>
    </row>
    <row r="3401" spans="1:8" x14ac:dyDescent="0.25">
      <c r="A3401" s="31">
        <v>44711</v>
      </c>
      <c r="B3401" s="38" t="s">
        <v>17615</v>
      </c>
      <c r="C3401" s="38" t="s">
        <v>282</v>
      </c>
      <c r="D3401" s="34">
        <v>2450.6999999999998</v>
      </c>
      <c r="E3401" s="35">
        <v>44712</v>
      </c>
      <c r="F3401" s="34">
        <v>2450.6999999999998</v>
      </c>
      <c r="G3401" s="36">
        <f>Tabla16[[#This Row],[Importe]]-Tabla16[[#This Row],[Pagado]]</f>
        <v>0</v>
      </c>
      <c r="H3401" s="38" t="s">
        <v>10</v>
      </c>
    </row>
    <row r="3402" spans="1:8" x14ac:dyDescent="0.25">
      <c r="A3402" s="31">
        <v>44711</v>
      </c>
      <c r="B3402" s="38" t="s">
        <v>17616</v>
      </c>
      <c r="C3402" s="38" t="s">
        <v>431</v>
      </c>
      <c r="D3402" s="34">
        <v>579.6</v>
      </c>
      <c r="E3402" s="35">
        <v>44712</v>
      </c>
      <c r="F3402" s="34">
        <v>579.6</v>
      </c>
      <c r="G3402" s="36">
        <f>Tabla16[[#This Row],[Importe]]-Tabla16[[#This Row],[Pagado]]</f>
        <v>0</v>
      </c>
      <c r="H3402" s="38" t="s">
        <v>10</v>
      </c>
    </row>
    <row r="3403" spans="1:8" x14ac:dyDescent="0.25">
      <c r="A3403" s="31">
        <v>44711</v>
      </c>
      <c r="B3403" s="38" t="s">
        <v>17617</v>
      </c>
      <c r="C3403" s="38" t="s">
        <v>284</v>
      </c>
      <c r="D3403" s="34">
        <v>7578.9</v>
      </c>
      <c r="E3403" s="35">
        <v>44712</v>
      </c>
      <c r="F3403" s="34">
        <v>7578.9</v>
      </c>
      <c r="G3403" s="36">
        <f>Tabla16[[#This Row],[Importe]]-Tabla16[[#This Row],[Pagado]]</f>
        <v>0</v>
      </c>
      <c r="H3403" s="38" t="s">
        <v>10</v>
      </c>
    </row>
    <row r="3404" spans="1:8" x14ac:dyDescent="0.25">
      <c r="A3404" s="31">
        <v>44711</v>
      </c>
      <c r="B3404" s="38" t="s">
        <v>17618</v>
      </c>
      <c r="C3404" s="38" t="s">
        <v>359</v>
      </c>
      <c r="D3404" s="34">
        <v>1302.2</v>
      </c>
      <c r="E3404" s="35">
        <v>44712</v>
      </c>
      <c r="F3404" s="34">
        <v>1302.2</v>
      </c>
      <c r="G3404" s="36">
        <f>Tabla16[[#This Row],[Importe]]-Tabla16[[#This Row],[Pagado]]</f>
        <v>0</v>
      </c>
      <c r="H3404" s="38" t="s">
        <v>10</v>
      </c>
    </row>
    <row r="3405" spans="1:8" x14ac:dyDescent="0.25">
      <c r="A3405" s="31">
        <v>44711</v>
      </c>
      <c r="B3405" s="38" t="s">
        <v>17619</v>
      </c>
      <c r="C3405" s="38" t="s">
        <v>296</v>
      </c>
      <c r="D3405" s="34">
        <v>2374.4</v>
      </c>
      <c r="E3405" s="35">
        <v>44711</v>
      </c>
      <c r="F3405" s="34">
        <v>2374.4</v>
      </c>
      <c r="G3405" s="36">
        <f>Tabla16[[#This Row],[Importe]]-Tabla16[[#This Row],[Pagado]]</f>
        <v>0</v>
      </c>
      <c r="H3405" s="38" t="s">
        <v>10</v>
      </c>
    </row>
    <row r="3406" spans="1:8" x14ac:dyDescent="0.25">
      <c r="A3406" s="31">
        <v>44711</v>
      </c>
      <c r="B3406" s="38" t="s">
        <v>17620</v>
      </c>
      <c r="C3406" s="38" t="s">
        <v>368</v>
      </c>
      <c r="D3406" s="34">
        <v>2091</v>
      </c>
      <c r="E3406" s="35">
        <v>44712</v>
      </c>
      <c r="F3406" s="34">
        <v>2091</v>
      </c>
      <c r="G3406" s="36">
        <f>Tabla16[[#This Row],[Importe]]-Tabla16[[#This Row],[Pagado]]</f>
        <v>0</v>
      </c>
      <c r="H3406" s="38" t="s">
        <v>10</v>
      </c>
    </row>
    <row r="3407" spans="1:8" x14ac:dyDescent="0.25">
      <c r="A3407" s="31">
        <v>44711</v>
      </c>
      <c r="B3407" s="38" t="s">
        <v>17621</v>
      </c>
      <c r="C3407" s="38" t="s">
        <v>368</v>
      </c>
      <c r="D3407" s="34">
        <v>404</v>
      </c>
      <c r="E3407" s="35">
        <v>44712</v>
      </c>
      <c r="F3407" s="34">
        <v>404</v>
      </c>
      <c r="G3407" s="36">
        <f>Tabla16[[#This Row],[Importe]]-Tabla16[[#This Row],[Pagado]]</f>
        <v>0</v>
      </c>
      <c r="H3407" s="38" t="s">
        <v>10</v>
      </c>
    </row>
    <row r="3408" spans="1:8" x14ac:dyDescent="0.25">
      <c r="A3408" s="31">
        <v>44711</v>
      </c>
      <c r="B3408" s="38" t="s">
        <v>17622</v>
      </c>
      <c r="C3408" s="38" t="s">
        <v>426</v>
      </c>
      <c r="D3408" s="34">
        <v>5712</v>
      </c>
      <c r="E3408" s="35">
        <v>44712</v>
      </c>
      <c r="F3408" s="34">
        <v>5712</v>
      </c>
      <c r="G3408" s="36">
        <f>Tabla16[[#This Row],[Importe]]-Tabla16[[#This Row],[Pagado]]</f>
        <v>0</v>
      </c>
      <c r="H3408" s="38" t="s">
        <v>10</v>
      </c>
    </row>
    <row r="3409" spans="1:8" x14ac:dyDescent="0.25">
      <c r="A3409" s="31">
        <v>44711</v>
      </c>
      <c r="B3409" s="38" t="s">
        <v>17623</v>
      </c>
      <c r="C3409" s="38" t="s">
        <v>181</v>
      </c>
      <c r="D3409" s="34">
        <v>10599.3</v>
      </c>
      <c r="E3409" s="35">
        <v>44712</v>
      </c>
      <c r="F3409" s="34">
        <v>10599.3</v>
      </c>
      <c r="G3409" s="36">
        <f>Tabla16[[#This Row],[Importe]]-Tabla16[[#This Row],[Pagado]]</f>
        <v>0</v>
      </c>
      <c r="H3409" s="38" t="s">
        <v>10</v>
      </c>
    </row>
    <row r="3410" spans="1:8" x14ac:dyDescent="0.25">
      <c r="A3410" s="31">
        <v>44711</v>
      </c>
      <c r="B3410" s="38" t="s">
        <v>17624</v>
      </c>
      <c r="C3410" s="38" t="s">
        <v>216</v>
      </c>
      <c r="D3410" s="34">
        <v>2431.8000000000002</v>
      </c>
      <c r="E3410" s="35">
        <v>44711</v>
      </c>
      <c r="F3410" s="34">
        <v>2431.8000000000002</v>
      </c>
      <c r="G3410" s="36">
        <f>Tabla16[[#This Row],[Importe]]-Tabla16[[#This Row],[Pagado]]</f>
        <v>0</v>
      </c>
      <c r="H3410" s="38" t="s">
        <v>10</v>
      </c>
    </row>
    <row r="3411" spans="1:8" x14ac:dyDescent="0.25">
      <c r="A3411" s="31">
        <v>44711</v>
      </c>
      <c r="B3411" s="38" t="s">
        <v>17625</v>
      </c>
      <c r="C3411" s="38" t="s">
        <v>31</v>
      </c>
      <c r="D3411" s="34">
        <v>699</v>
      </c>
      <c r="E3411" s="35">
        <v>44711</v>
      </c>
      <c r="F3411" s="34">
        <v>699</v>
      </c>
      <c r="G3411" s="36">
        <f>Tabla16[[#This Row],[Importe]]-Tabla16[[#This Row],[Pagado]]</f>
        <v>0</v>
      </c>
      <c r="H3411" s="38" t="s">
        <v>10</v>
      </c>
    </row>
    <row r="3412" spans="1:8" x14ac:dyDescent="0.25">
      <c r="A3412" s="31">
        <v>44711</v>
      </c>
      <c r="B3412" s="38" t="s">
        <v>17626</v>
      </c>
      <c r="C3412" s="38" t="s">
        <v>1481</v>
      </c>
      <c r="D3412" s="34">
        <v>2153.5</v>
      </c>
      <c r="E3412" s="35">
        <v>44712</v>
      </c>
      <c r="F3412" s="34">
        <v>2153.5</v>
      </c>
      <c r="G3412" s="36">
        <f>Tabla16[[#This Row],[Importe]]-Tabla16[[#This Row],[Pagado]]</f>
        <v>0</v>
      </c>
      <c r="H3412" s="38" t="s">
        <v>10</v>
      </c>
    </row>
    <row r="3413" spans="1:8" x14ac:dyDescent="0.25">
      <c r="A3413" s="31">
        <v>44711</v>
      </c>
      <c r="B3413" s="38" t="s">
        <v>17627</v>
      </c>
      <c r="C3413" s="38" t="s">
        <v>275</v>
      </c>
      <c r="D3413" s="34">
        <v>125988.92</v>
      </c>
      <c r="E3413" s="35">
        <v>44722</v>
      </c>
      <c r="F3413" s="34">
        <v>125988.92</v>
      </c>
      <c r="G3413" s="36">
        <f>Tabla16[[#This Row],[Importe]]-Tabla16[[#This Row],[Pagado]]</f>
        <v>0</v>
      </c>
      <c r="H3413" s="38" t="s">
        <v>10</v>
      </c>
    </row>
    <row r="3414" spans="1:8" x14ac:dyDescent="0.25">
      <c r="A3414" s="31">
        <v>44711</v>
      </c>
      <c r="B3414" s="38" t="s">
        <v>17628</v>
      </c>
      <c r="C3414" s="38" t="s">
        <v>12716</v>
      </c>
      <c r="D3414" s="34">
        <v>0</v>
      </c>
      <c r="E3414" s="39" t="s">
        <v>189</v>
      </c>
      <c r="F3414" s="34">
        <v>0</v>
      </c>
      <c r="G3414" s="36">
        <f>Tabla16[[#This Row],[Importe]]-Tabla16[[#This Row],[Pagado]]</f>
        <v>0</v>
      </c>
      <c r="H3414" s="38" t="s">
        <v>189</v>
      </c>
    </row>
    <row r="3415" spans="1:8" x14ac:dyDescent="0.25">
      <c r="A3415" s="31">
        <v>44711</v>
      </c>
      <c r="B3415" s="38" t="s">
        <v>17629</v>
      </c>
      <c r="C3415" s="38" t="s">
        <v>12202</v>
      </c>
      <c r="D3415" s="34">
        <v>4320</v>
      </c>
      <c r="E3415" s="35">
        <v>44711</v>
      </c>
      <c r="F3415" s="34">
        <v>4320</v>
      </c>
      <c r="G3415" s="36">
        <f>Tabla16[[#This Row],[Importe]]-Tabla16[[#This Row],[Pagado]]</f>
        <v>0</v>
      </c>
      <c r="H3415" s="38" t="s">
        <v>10</v>
      </c>
    </row>
    <row r="3416" spans="1:8" x14ac:dyDescent="0.25">
      <c r="A3416" s="31">
        <v>44711</v>
      </c>
      <c r="B3416" s="38" t="s">
        <v>17630</v>
      </c>
      <c r="C3416" s="38" t="s">
        <v>1362</v>
      </c>
      <c r="D3416" s="34">
        <v>5844.3</v>
      </c>
      <c r="E3416" s="35">
        <v>44712</v>
      </c>
      <c r="F3416" s="34">
        <v>5844.3</v>
      </c>
      <c r="G3416" s="36">
        <f>Tabla16[[#This Row],[Importe]]-Tabla16[[#This Row],[Pagado]]</f>
        <v>0</v>
      </c>
      <c r="H3416" s="38" t="s">
        <v>10</v>
      </c>
    </row>
    <row r="3417" spans="1:8" x14ac:dyDescent="0.25">
      <c r="A3417" s="31">
        <v>44711</v>
      </c>
      <c r="B3417" s="38" t="s">
        <v>17631</v>
      </c>
      <c r="C3417" s="38" t="s">
        <v>175</v>
      </c>
      <c r="D3417" s="34">
        <v>35722.699999999997</v>
      </c>
      <c r="E3417" s="35">
        <v>44712</v>
      </c>
      <c r="F3417" s="34">
        <v>35722.699999999997</v>
      </c>
      <c r="G3417" s="36">
        <f>Tabla16[[#This Row],[Importe]]-Tabla16[[#This Row],[Pagado]]</f>
        <v>0</v>
      </c>
      <c r="H3417" s="38" t="s">
        <v>10</v>
      </c>
    </row>
    <row r="3418" spans="1:8" x14ac:dyDescent="0.25">
      <c r="A3418" s="31">
        <v>44711</v>
      </c>
      <c r="B3418" s="38" t="s">
        <v>17632</v>
      </c>
      <c r="C3418" s="38" t="s">
        <v>214</v>
      </c>
      <c r="D3418" s="34">
        <v>4725</v>
      </c>
      <c r="E3418" s="35">
        <v>44712</v>
      </c>
      <c r="F3418" s="34">
        <v>4725</v>
      </c>
      <c r="G3418" s="36">
        <f>Tabla16[[#This Row],[Importe]]-Tabla16[[#This Row],[Pagado]]</f>
        <v>0</v>
      </c>
      <c r="H3418" s="38" t="s">
        <v>10</v>
      </c>
    </row>
    <row r="3419" spans="1:8" x14ac:dyDescent="0.25">
      <c r="A3419" s="31">
        <v>44711</v>
      </c>
      <c r="B3419" s="38" t="s">
        <v>17633</v>
      </c>
      <c r="C3419" s="38" t="s">
        <v>1008</v>
      </c>
      <c r="D3419" s="34">
        <v>4085.4</v>
      </c>
      <c r="E3419" s="35">
        <v>44711</v>
      </c>
      <c r="F3419" s="34">
        <v>4085.4</v>
      </c>
      <c r="G3419" s="36">
        <f>Tabla16[[#This Row],[Importe]]-Tabla16[[#This Row],[Pagado]]</f>
        <v>0</v>
      </c>
      <c r="H3419" s="38" t="s">
        <v>10</v>
      </c>
    </row>
    <row r="3420" spans="1:8" x14ac:dyDescent="0.25">
      <c r="A3420" s="31">
        <v>44711</v>
      </c>
      <c r="B3420" s="38" t="s">
        <v>17634</v>
      </c>
      <c r="C3420" s="38" t="s">
        <v>296</v>
      </c>
      <c r="D3420" s="34">
        <v>1094.4000000000001</v>
      </c>
      <c r="E3420" s="35">
        <v>44711</v>
      </c>
      <c r="F3420" s="34">
        <v>1094.4000000000001</v>
      </c>
      <c r="G3420" s="36">
        <f>Tabla16[[#This Row],[Importe]]-Tabla16[[#This Row],[Pagado]]</f>
        <v>0</v>
      </c>
      <c r="H3420" s="38" t="s">
        <v>10</v>
      </c>
    </row>
    <row r="3421" spans="1:8" x14ac:dyDescent="0.25">
      <c r="A3421" s="31">
        <v>44711</v>
      </c>
      <c r="B3421" s="38" t="s">
        <v>17635</v>
      </c>
      <c r="C3421" s="38" t="s">
        <v>1008</v>
      </c>
      <c r="D3421" s="34">
        <v>1622.8</v>
      </c>
      <c r="E3421" s="35">
        <v>44711</v>
      </c>
      <c r="F3421" s="34">
        <v>1622.8</v>
      </c>
      <c r="G3421" s="36">
        <f>Tabla16[[#This Row],[Importe]]-Tabla16[[#This Row],[Pagado]]</f>
        <v>0</v>
      </c>
      <c r="H3421" s="38" t="s">
        <v>10</v>
      </c>
    </row>
    <row r="3422" spans="1:8" x14ac:dyDescent="0.25">
      <c r="A3422" s="31">
        <v>44711</v>
      </c>
      <c r="B3422" s="38" t="s">
        <v>17636</v>
      </c>
      <c r="C3422" s="38" t="s">
        <v>459</v>
      </c>
      <c r="D3422" s="34">
        <v>213</v>
      </c>
      <c r="E3422" s="35">
        <v>44711</v>
      </c>
      <c r="F3422" s="34">
        <v>213</v>
      </c>
      <c r="G3422" s="36">
        <f>Tabla16[[#This Row],[Importe]]-Tabla16[[#This Row],[Pagado]]</f>
        <v>0</v>
      </c>
      <c r="H3422" s="38" t="s">
        <v>10</v>
      </c>
    </row>
    <row r="3423" spans="1:8" x14ac:dyDescent="0.25">
      <c r="A3423" s="31">
        <v>44711</v>
      </c>
      <c r="B3423" s="38" t="s">
        <v>17637</v>
      </c>
      <c r="C3423" s="38" t="s">
        <v>457</v>
      </c>
      <c r="D3423" s="34">
        <v>198</v>
      </c>
      <c r="E3423" s="35">
        <v>44711</v>
      </c>
      <c r="F3423" s="34">
        <v>198</v>
      </c>
      <c r="G3423" s="36">
        <f>Tabla16[[#This Row],[Importe]]-Tabla16[[#This Row],[Pagado]]</f>
        <v>0</v>
      </c>
      <c r="H3423" s="38" t="s">
        <v>10</v>
      </c>
    </row>
    <row r="3424" spans="1:8" x14ac:dyDescent="0.25">
      <c r="A3424" s="31">
        <v>44711</v>
      </c>
      <c r="B3424" s="38" t="s">
        <v>17638</v>
      </c>
      <c r="C3424" s="38" t="s">
        <v>31</v>
      </c>
      <c r="D3424" s="34">
        <v>704</v>
      </c>
      <c r="E3424" s="35">
        <v>44711</v>
      </c>
      <c r="F3424" s="34">
        <v>704</v>
      </c>
      <c r="G3424" s="36">
        <f>Tabla16[[#This Row],[Importe]]-Tabla16[[#This Row],[Pagado]]</f>
        <v>0</v>
      </c>
      <c r="H3424" s="38" t="s">
        <v>10</v>
      </c>
    </row>
    <row r="3425" spans="1:8" x14ac:dyDescent="0.25">
      <c r="A3425" s="31">
        <v>44711</v>
      </c>
      <c r="B3425" s="38" t="s">
        <v>17639</v>
      </c>
      <c r="C3425" s="38" t="s">
        <v>69</v>
      </c>
      <c r="D3425" s="34">
        <v>6583.5</v>
      </c>
      <c r="E3425" s="35">
        <v>44711</v>
      </c>
      <c r="F3425" s="34">
        <v>6583.5</v>
      </c>
      <c r="G3425" s="36">
        <f>Tabla16[[#This Row],[Importe]]-Tabla16[[#This Row],[Pagado]]</f>
        <v>0</v>
      </c>
      <c r="H3425" s="38" t="s">
        <v>10</v>
      </c>
    </row>
    <row r="3426" spans="1:8" x14ac:dyDescent="0.25">
      <c r="A3426" s="31">
        <v>44711</v>
      </c>
      <c r="B3426" s="38" t="s">
        <v>17640</v>
      </c>
      <c r="C3426" s="38" t="s">
        <v>520</v>
      </c>
      <c r="D3426" s="34">
        <v>15811.7</v>
      </c>
      <c r="E3426" s="35">
        <v>44711</v>
      </c>
      <c r="F3426" s="34">
        <v>15811.7</v>
      </c>
      <c r="G3426" s="36">
        <f>Tabla16[[#This Row],[Importe]]-Tabla16[[#This Row],[Pagado]]</f>
        <v>0</v>
      </c>
      <c r="H3426" s="38" t="s">
        <v>10</v>
      </c>
    </row>
    <row r="3427" spans="1:8" x14ac:dyDescent="0.25">
      <c r="A3427" s="31">
        <v>44711</v>
      </c>
      <c r="B3427" s="38" t="s">
        <v>17641</v>
      </c>
      <c r="C3427" s="38" t="s">
        <v>246</v>
      </c>
      <c r="D3427" s="34">
        <v>58253.8</v>
      </c>
      <c r="E3427" s="35">
        <v>44711</v>
      </c>
      <c r="F3427" s="34">
        <v>58253.8</v>
      </c>
      <c r="G3427" s="36">
        <f>Tabla16[[#This Row],[Importe]]-Tabla16[[#This Row],[Pagado]]</f>
        <v>0</v>
      </c>
      <c r="H3427" s="38" t="s">
        <v>10</v>
      </c>
    </row>
    <row r="3428" spans="1:8" x14ac:dyDescent="0.25">
      <c r="A3428" s="31">
        <v>44711</v>
      </c>
      <c r="B3428" s="38" t="s">
        <v>17642</v>
      </c>
      <c r="C3428" s="38" t="s">
        <v>10678</v>
      </c>
      <c r="D3428" s="34">
        <v>2610.6999999999998</v>
      </c>
      <c r="E3428" s="35">
        <v>44711</v>
      </c>
      <c r="F3428" s="34">
        <v>2610.6999999999998</v>
      </c>
      <c r="G3428" s="36">
        <f>Tabla16[[#This Row],[Importe]]-Tabla16[[#This Row],[Pagado]]</f>
        <v>0</v>
      </c>
      <c r="H3428" s="38" t="s">
        <v>10</v>
      </c>
    </row>
    <row r="3429" spans="1:8" x14ac:dyDescent="0.25">
      <c r="A3429" s="31">
        <v>44711</v>
      </c>
      <c r="B3429" s="38" t="s">
        <v>17643</v>
      </c>
      <c r="C3429" s="38" t="s">
        <v>196</v>
      </c>
      <c r="D3429" s="34">
        <v>180946.3</v>
      </c>
      <c r="E3429" s="35">
        <v>44715</v>
      </c>
      <c r="F3429" s="34">
        <v>180946.3</v>
      </c>
      <c r="G3429" s="36">
        <f>Tabla16[[#This Row],[Importe]]-Tabla16[[#This Row],[Pagado]]</f>
        <v>0</v>
      </c>
      <c r="H3429" s="38" t="s">
        <v>10</v>
      </c>
    </row>
    <row r="3430" spans="1:8" x14ac:dyDescent="0.25">
      <c r="A3430" s="31">
        <v>44711</v>
      </c>
      <c r="B3430" s="38" t="s">
        <v>17644</v>
      </c>
      <c r="C3430" s="38" t="s">
        <v>31</v>
      </c>
      <c r="D3430" s="34">
        <v>72</v>
      </c>
      <c r="E3430" s="35">
        <v>44711</v>
      </c>
      <c r="F3430" s="34">
        <v>72</v>
      </c>
      <c r="G3430" s="36">
        <f>Tabla16[[#This Row],[Importe]]-Tabla16[[#This Row],[Pagado]]</f>
        <v>0</v>
      </c>
      <c r="H3430" s="38" t="s">
        <v>10</v>
      </c>
    </row>
    <row r="3431" spans="1:8" x14ac:dyDescent="0.25">
      <c r="A3431" s="31">
        <v>44711</v>
      </c>
      <c r="B3431" s="38" t="s">
        <v>17645</v>
      </c>
      <c r="C3431" s="38" t="s">
        <v>17646</v>
      </c>
      <c r="D3431" s="34">
        <v>0</v>
      </c>
      <c r="E3431" s="39" t="s">
        <v>189</v>
      </c>
      <c r="F3431" s="34">
        <v>0</v>
      </c>
      <c r="G3431" s="36">
        <f>Tabla16[[#This Row],[Importe]]-Tabla16[[#This Row],[Pagado]]</f>
        <v>0</v>
      </c>
      <c r="H3431" s="38" t="s">
        <v>189</v>
      </c>
    </row>
    <row r="3432" spans="1:8" x14ac:dyDescent="0.25">
      <c r="A3432" s="31">
        <v>44711</v>
      </c>
      <c r="B3432" s="38" t="s">
        <v>17647</v>
      </c>
      <c r="C3432" s="38" t="s">
        <v>10984</v>
      </c>
      <c r="D3432" s="34">
        <v>21597.200000000001</v>
      </c>
      <c r="E3432" s="35">
        <v>44711</v>
      </c>
      <c r="F3432" s="34">
        <v>21597.200000000001</v>
      </c>
      <c r="G3432" s="36">
        <f>Tabla16[[#This Row],[Importe]]-Tabla16[[#This Row],[Pagado]]</f>
        <v>0</v>
      </c>
      <c r="H3432" s="38" t="s">
        <v>10</v>
      </c>
    </row>
    <row r="3433" spans="1:8" x14ac:dyDescent="0.25">
      <c r="A3433" s="31">
        <v>44711</v>
      </c>
      <c r="B3433" s="38" t="s">
        <v>17648</v>
      </c>
      <c r="C3433" s="38" t="s">
        <v>53</v>
      </c>
      <c r="D3433" s="34">
        <v>1632</v>
      </c>
      <c r="E3433" s="35">
        <v>44711</v>
      </c>
      <c r="F3433" s="34">
        <v>1632</v>
      </c>
      <c r="G3433" s="36">
        <f>Tabla16[[#This Row],[Importe]]-Tabla16[[#This Row],[Pagado]]</f>
        <v>0</v>
      </c>
      <c r="H3433" s="38" t="s">
        <v>10</v>
      </c>
    </row>
    <row r="3434" spans="1:8" x14ac:dyDescent="0.25">
      <c r="A3434" s="31">
        <v>44711</v>
      </c>
      <c r="B3434" s="38" t="s">
        <v>17649</v>
      </c>
      <c r="C3434" s="38" t="s">
        <v>681</v>
      </c>
      <c r="D3434" s="34">
        <v>9.9600000000000009</v>
      </c>
      <c r="E3434" s="35">
        <v>44719</v>
      </c>
      <c r="F3434" s="34">
        <v>9.9600000000000009</v>
      </c>
      <c r="G3434" s="36">
        <f>Tabla16[[#This Row],[Importe]]-Tabla16[[#This Row],[Pagado]]</f>
        <v>0</v>
      </c>
      <c r="H3434" s="38" t="s">
        <v>10</v>
      </c>
    </row>
    <row r="3435" spans="1:8" ht="31.5" x14ac:dyDescent="0.25">
      <c r="A3435" s="31">
        <v>44711</v>
      </c>
      <c r="B3435" s="38" t="s">
        <v>17651</v>
      </c>
      <c r="C3435" s="38" t="s">
        <v>10840</v>
      </c>
      <c r="D3435" s="34">
        <v>28825.4</v>
      </c>
      <c r="E3435" s="35" t="s">
        <v>17780</v>
      </c>
      <c r="F3435" s="34">
        <f>25900+2925.4</f>
        <v>28825.4</v>
      </c>
      <c r="G3435" s="36">
        <f>Tabla16[[#This Row],[Importe]]-Tabla16[[#This Row],[Pagado]]</f>
        <v>0</v>
      </c>
      <c r="H3435" s="38" t="s">
        <v>10</v>
      </c>
    </row>
    <row r="3436" spans="1:8" x14ac:dyDescent="0.25">
      <c r="A3436" s="31">
        <v>44711</v>
      </c>
      <c r="B3436" s="38" t="s">
        <v>17652</v>
      </c>
      <c r="C3436" s="38" t="s">
        <v>196</v>
      </c>
      <c r="D3436" s="34">
        <v>1893.9</v>
      </c>
      <c r="E3436" s="35">
        <v>44715</v>
      </c>
      <c r="F3436" s="34">
        <v>1893.9</v>
      </c>
      <c r="G3436" s="36">
        <f>Tabla16[[#This Row],[Importe]]-Tabla16[[#This Row],[Pagado]]</f>
        <v>0</v>
      </c>
      <c r="H3436" s="38" t="s">
        <v>10</v>
      </c>
    </row>
    <row r="3437" spans="1:8" x14ac:dyDescent="0.25">
      <c r="A3437" s="31">
        <v>44711</v>
      </c>
      <c r="B3437" s="38" t="s">
        <v>17653</v>
      </c>
      <c r="C3437" s="38" t="s">
        <v>53</v>
      </c>
      <c r="D3437" s="34">
        <v>992</v>
      </c>
      <c r="E3437" s="35">
        <v>44711</v>
      </c>
      <c r="F3437" s="34">
        <v>992</v>
      </c>
      <c r="G3437" s="36">
        <f>Tabla16[[#This Row],[Importe]]-Tabla16[[#This Row],[Pagado]]</f>
        <v>0</v>
      </c>
      <c r="H3437" s="38" t="s">
        <v>10</v>
      </c>
    </row>
    <row r="3438" spans="1:8" x14ac:dyDescent="0.25">
      <c r="A3438" s="31">
        <v>44711</v>
      </c>
      <c r="B3438" s="38" t="s">
        <v>17654</v>
      </c>
      <c r="C3438" s="38" t="s">
        <v>296</v>
      </c>
      <c r="D3438" s="34">
        <v>2142</v>
      </c>
      <c r="E3438" s="35">
        <v>44711</v>
      </c>
      <c r="F3438" s="34">
        <v>2142</v>
      </c>
      <c r="G3438" s="36">
        <f>Tabla16[[#This Row],[Importe]]-Tabla16[[#This Row],[Pagado]]</f>
        <v>0</v>
      </c>
      <c r="H3438" s="38" t="s">
        <v>10</v>
      </c>
    </row>
    <row r="3439" spans="1:8" x14ac:dyDescent="0.25">
      <c r="A3439" s="31">
        <v>44711</v>
      </c>
      <c r="B3439" s="38" t="s">
        <v>17655</v>
      </c>
      <c r="C3439" s="38" t="s">
        <v>452</v>
      </c>
      <c r="D3439" s="34">
        <v>4320</v>
      </c>
      <c r="E3439" s="35">
        <v>44712</v>
      </c>
      <c r="F3439" s="34">
        <v>4320</v>
      </c>
      <c r="G3439" s="36">
        <f>Tabla16[[#This Row],[Importe]]-Tabla16[[#This Row],[Pagado]]</f>
        <v>0</v>
      </c>
      <c r="H3439" s="38" t="s">
        <v>10</v>
      </c>
    </row>
    <row r="3440" spans="1:8" x14ac:dyDescent="0.25">
      <c r="A3440" s="31">
        <v>44712</v>
      </c>
      <c r="B3440" s="38" t="s">
        <v>17656</v>
      </c>
      <c r="C3440" s="38" t="s">
        <v>111</v>
      </c>
      <c r="D3440" s="34">
        <v>4532</v>
      </c>
      <c r="E3440" s="35">
        <v>44713</v>
      </c>
      <c r="F3440" s="34">
        <v>4532</v>
      </c>
      <c r="G3440" s="36">
        <f>Tabla16[[#This Row],[Importe]]-Tabla16[[#This Row],[Pagado]]</f>
        <v>0</v>
      </c>
      <c r="H3440" s="38" t="s">
        <v>10</v>
      </c>
    </row>
    <row r="3441" spans="1:8" ht="31.5" x14ac:dyDescent="0.25">
      <c r="A3441" s="31">
        <v>44712</v>
      </c>
      <c r="B3441" s="38" t="s">
        <v>17657</v>
      </c>
      <c r="C3441" s="38" t="s">
        <v>2151</v>
      </c>
      <c r="D3441" s="34">
        <v>14261.5</v>
      </c>
      <c r="E3441" s="35" t="s">
        <v>17774</v>
      </c>
      <c r="F3441" s="34">
        <f>9000+5261.5</f>
        <v>14261.5</v>
      </c>
      <c r="G3441" s="36">
        <f>Tabla16[[#This Row],[Importe]]-Tabla16[[#This Row],[Pagado]]</f>
        <v>0</v>
      </c>
      <c r="H3441" s="38" t="s">
        <v>10</v>
      </c>
    </row>
    <row r="3442" spans="1:8" x14ac:dyDescent="0.25">
      <c r="A3442" s="31">
        <v>44712</v>
      </c>
      <c r="B3442" s="38" t="s">
        <v>17658</v>
      </c>
      <c r="C3442" s="38" t="s">
        <v>60</v>
      </c>
      <c r="D3442" s="34">
        <v>425</v>
      </c>
      <c r="E3442" s="35">
        <v>44715</v>
      </c>
      <c r="F3442" s="34">
        <v>425</v>
      </c>
      <c r="G3442" s="36">
        <f>Tabla16[[#This Row],[Importe]]-Tabla16[[#This Row],[Pagado]]</f>
        <v>0</v>
      </c>
      <c r="H3442" s="38" t="s">
        <v>10</v>
      </c>
    </row>
    <row r="3443" spans="1:8" x14ac:dyDescent="0.25">
      <c r="A3443" s="31">
        <v>44712</v>
      </c>
      <c r="B3443" s="38" t="s">
        <v>17659</v>
      </c>
      <c r="C3443" s="38" t="s">
        <v>99</v>
      </c>
      <c r="D3443" s="34">
        <v>4851</v>
      </c>
      <c r="E3443" s="35">
        <v>44714</v>
      </c>
      <c r="F3443" s="34">
        <v>4851</v>
      </c>
      <c r="G3443" s="36">
        <f>Tabla16[[#This Row],[Importe]]-Tabla16[[#This Row],[Pagado]]</f>
        <v>0</v>
      </c>
      <c r="H3443" s="38" t="s">
        <v>10</v>
      </c>
    </row>
    <row r="3444" spans="1:8" x14ac:dyDescent="0.25">
      <c r="A3444" s="31">
        <v>44712</v>
      </c>
      <c r="B3444" s="38" t="s">
        <v>17660</v>
      </c>
      <c r="C3444" s="38" t="s">
        <v>326</v>
      </c>
      <c r="D3444" s="34">
        <v>4433</v>
      </c>
      <c r="E3444" s="35">
        <v>44713</v>
      </c>
      <c r="F3444" s="34">
        <v>4433</v>
      </c>
      <c r="G3444" s="36">
        <f>Tabla16[[#This Row],[Importe]]-Tabla16[[#This Row],[Pagado]]</f>
        <v>0</v>
      </c>
      <c r="H3444" s="38" t="s">
        <v>10</v>
      </c>
    </row>
    <row r="3445" spans="1:8" x14ac:dyDescent="0.25">
      <c r="A3445" s="31">
        <v>44712</v>
      </c>
      <c r="B3445" s="38" t="s">
        <v>17661</v>
      </c>
      <c r="C3445" s="38" t="s">
        <v>64</v>
      </c>
      <c r="D3445" s="34">
        <v>4674</v>
      </c>
      <c r="E3445" s="35">
        <v>44713</v>
      </c>
      <c r="F3445" s="34">
        <v>4674</v>
      </c>
      <c r="G3445" s="36">
        <f>Tabla16[[#This Row],[Importe]]-Tabla16[[#This Row],[Pagado]]</f>
        <v>0</v>
      </c>
      <c r="H3445" s="38" t="s">
        <v>10</v>
      </c>
    </row>
    <row r="3446" spans="1:8" ht="31.5" x14ac:dyDescent="0.25">
      <c r="A3446" s="31">
        <v>44712</v>
      </c>
      <c r="B3446" s="38" t="s">
        <v>17662</v>
      </c>
      <c r="C3446" s="38" t="s">
        <v>93</v>
      </c>
      <c r="D3446" s="34">
        <v>5479.4</v>
      </c>
      <c r="E3446" s="35" t="s">
        <v>17778</v>
      </c>
      <c r="F3446" s="34">
        <f>2000+3479.4</f>
        <v>5479.4</v>
      </c>
      <c r="G3446" s="36">
        <f>Tabla16[[#This Row],[Importe]]-Tabla16[[#This Row],[Pagado]]</f>
        <v>0</v>
      </c>
      <c r="H3446" s="38" t="s">
        <v>10</v>
      </c>
    </row>
    <row r="3447" spans="1:8" x14ac:dyDescent="0.25">
      <c r="A3447" s="31">
        <v>44712</v>
      </c>
      <c r="B3447" s="38" t="s">
        <v>17663</v>
      </c>
      <c r="C3447" s="38" t="s">
        <v>97</v>
      </c>
      <c r="D3447" s="34">
        <v>4268</v>
      </c>
      <c r="E3447" s="35">
        <v>44713</v>
      </c>
      <c r="F3447" s="34">
        <v>4268</v>
      </c>
      <c r="G3447" s="36">
        <f>Tabla16[[#This Row],[Importe]]-Tabla16[[#This Row],[Pagado]]</f>
        <v>0</v>
      </c>
      <c r="H3447" s="38" t="s">
        <v>10</v>
      </c>
    </row>
    <row r="3448" spans="1:8" x14ac:dyDescent="0.25">
      <c r="A3448" s="31">
        <v>44712</v>
      </c>
      <c r="B3448" s="38" t="s">
        <v>17664</v>
      </c>
      <c r="C3448" s="38" t="s">
        <v>89</v>
      </c>
      <c r="D3448" s="34">
        <v>8170</v>
      </c>
      <c r="E3448" s="35">
        <v>44714</v>
      </c>
      <c r="F3448" s="34">
        <v>8170</v>
      </c>
      <c r="G3448" s="36">
        <f>Tabla16[[#This Row],[Importe]]-Tabla16[[#This Row],[Pagado]]</f>
        <v>0</v>
      </c>
      <c r="H3448" s="38" t="s">
        <v>10</v>
      </c>
    </row>
    <row r="3449" spans="1:8" x14ac:dyDescent="0.25">
      <c r="A3449" s="31">
        <v>44712</v>
      </c>
      <c r="B3449" s="38" t="s">
        <v>17665</v>
      </c>
      <c r="C3449" s="38" t="s">
        <v>39</v>
      </c>
      <c r="D3449" s="34">
        <v>18695.8</v>
      </c>
      <c r="E3449" s="35">
        <v>44715</v>
      </c>
      <c r="F3449" s="34">
        <v>18695.8</v>
      </c>
      <c r="G3449" s="36">
        <f>Tabla16[[#This Row],[Importe]]-Tabla16[[#This Row],[Pagado]]</f>
        <v>0</v>
      </c>
      <c r="H3449" s="38" t="s">
        <v>10</v>
      </c>
    </row>
    <row r="3450" spans="1:8" x14ac:dyDescent="0.25">
      <c r="A3450" s="31">
        <v>44712</v>
      </c>
      <c r="B3450" s="38" t="s">
        <v>17666</v>
      </c>
      <c r="C3450" s="38" t="s">
        <v>348</v>
      </c>
      <c r="D3450" s="34">
        <v>1910</v>
      </c>
      <c r="E3450" s="35">
        <v>44712</v>
      </c>
      <c r="F3450" s="34">
        <v>1910</v>
      </c>
      <c r="G3450" s="36">
        <f>Tabla16[[#This Row],[Importe]]-Tabla16[[#This Row],[Pagado]]</f>
        <v>0</v>
      </c>
      <c r="H3450" s="38" t="s">
        <v>10</v>
      </c>
    </row>
    <row r="3451" spans="1:8" ht="31.5" x14ac:dyDescent="0.25">
      <c r="A3451" s="31">
        <v>44712</v>
      </c>
      <c r="B3451" s="38" t="s">
        <v>17667</v>
      </c>
      <c r="C3451" s="38" t="s">
        <v>114</v>
      </c>
      <c r="D3451" s="34">
        <v>11123.5</v>
      </c>
      <c r="E3451" s="35" t="s">
        <v>17778</v>
      </c>
      <c r="F3451" s="34">
        <f>10123+1000.5</f>
        <v>11123.5</v>
      </c>
      <c r="G3451" s="36">
        <f>Tabla16[[#This Row],[Importe]]-Tabla16[[#This Row],[Pagado]]</f>
        <v>0</v>
      </c>
      <c r="H3451" s="38" t="s">
        <v>10</v>
      </c>
    </row>
    <row r="3452" spans="1:8" x14ac:dyDescent="0.25">
      <c r="A3452" s="31">
        <v>44712</v>
      </c>
      <c r="B3452" s="38" t="s">
        <v>17668</v>
      </c>
      <c r="C3452" s="38" t="s">
        <v>75</v>
      </c>
      <c r="D3452" s="34">
        <v>6715.8</v>
      </c>
      <c r="E3452" s="35">
        <v>44712</v>
      </c>
      <c r="F3452" s="34">
        <v>6715.8</v>
      </c>
      <c r="G3452" s="36">
        <f>Tabla16[[#This Row],[Importe]]-Tabla16[[#This Row],[Pagado]]</f>
        <v>0</v>
      </c>
      <c r="H3452" s="38" t="s">
        <v>10</v>
      </c>
    </row>
    <row r="3453" spans="1:8" x14ac:dyDescent="0.25">
      <c r="A3453" s="31">
        <v>44712</v>
      </c>
      <c r="B3453" s="38" t="s">
        <v>17669</v>
      </c>
      <c r="C3453" s="38" t="s">
        <v>105</v>
      </c>
      <c r="D3453" s="34">
        <v>5552.5</v>
      </c>
      <c r="E3453" s="35">
        <v>44713</v>
      </c>
      <c r="F3453" s="34">
        <v>5552.5</v>
      </c>
      <c r="G3453" s="36">
        <f>Tabla16[[#This Row],[Importe]]-Tabla16[[#This Row],[Pagado]]</f>
        <v>0</v>
      </c>
      <c r="H3453" s="38" t="s">
        <v>10</v>
      </c>
    </row>
    <row r="3454" spans="1:8" x14ac:dyDescent="0.25">
      <c r="A3454" s="31">
        <v>44712</v>
      </c>
      <c r="B3454" s="38" t="s">
        <v>17670</v>
      </c>
      <c r="C3454" s="38" t="s">
        <v>85</v>
      </c>
      <c r="D3454" s="34">
        <v>1858.5</v>
      </c>
      <c r="E3454" s="35">
        <v>44712</v>
      </c>
      <c r="F3454" s="34">
        <v>1858.5</v>
      </c>
      <c r="G3454" s="36">
        <f>Tabla16[[#This Row],[Importe]]-Tabla16[[#This Row],[Pagado]]</f>
        <v>0</v>
      </c>
      <c r="H3454" s="38" t="s">
        <v>10</v>
      </c>
    </row>
    <row r="3455" spans="1:8" x14ac:dyDescent="0.25">
      <c r="A3455" s="31">
        <v>44712</v>
      </c>
      <c r="B3455" s="38" t="s">
        <v>17671</v>
      </c>
      <c r="C3455" s="38" t="s">
        <v>85</v>
      </c>
      <c r="D3455" s="34">
        <v>102</v>
      </c>
      <c r="E3455" s="35">
        <v>44712</v>
      </c>
      <c r="F3455" s="34">
        <v>102</v>
      </c>
      <c r="G3455" s="36">
        <f>Tabla16[[#This Row],[Importe]]-Tabla16[[#This Row],[Pagado]]</f>
        <v>0</v>
      </c>
      <c r="H3455" s="38" t="s">
        <v>10</v>
      </c>
    </row>
    <row r="3456" spans="1:8" x14ac:dyDescent="0.25">
      <c r="A3456" s="31">
        <v>44712</v>
      </c>
      <c r="B3456" s="38" t="s">
        <v>17672</v>
      </c>
      <c r="C3456" s="38" t="s">
        <v>481</v>
      </c>
      <c r="D3456" s="34">
        <v>1643.8</v>
      </c>
      <c r="E3456" s="35">
        <v>44712</v>
      </c>
      <c r="F3456" s="34">
        <v>1643.8</v>
      </c>
      <c r="G3456" s="36">
        <f>Tabla16[[#This Row],[Importe]]-Tabla16[[#This Row],[Pagado]]</f>
        <v>0</v>
      </c>
      <c r="H3456" s="38" t="s">
        <v>10</v>
      </c>
    </row>
    <row r="3457" spans="1:8" x14ac:dyDescent="0.25">
      <c r="A3457" s="31">
        <v>44712</v>
      </c>
      <c r="B3457" s="38" t="s">
        <v>17673</v>
      </c>
      <c r="C3457" s="38" t="s">
        <v>31</v>
      </c>
      <c r="D3457" s="34">
        <v>2419.1999999999998</v>
      </c>
      <c r="E3457" s="35">
        <v>44712</v>
      </c>
      <c r="F3457" s="34">
        <v>2419.1999999999998</v>
      </c>
      <c r="G3457" s="36">
        <f>Tabla16[[#This Row],[Importe]]-Tabla16[[#This Row],[Pagado]]</f>
        <v>0</v>
      </c>
      <c r="H3457" s="38" t="s">
        <v>10</v>
      </c>
    </row>
    <row r="3458" spans="1:8" x14ac:dyDescent="0.25">
      <c r="A3458" s="31">
        <v>44712</v>
      </c>
      <c r="B3458" s="38" t="s">
        <v>17674</v>
      </c>
      <c r="C3458" s="38" t="s">
        <v>9</v>
      </c>
      <c r="D3458" s="34">
        <v>5296.8</v>
      </c>
      <c r="E3458" s="35">
        <v>44712</v>
      </c>
      <c r="F3458" s="34">
        <v>5296.8</v>
      </c>
      <c r="G3458" s="36">
        <f>Tabla16[[#This Row],[Importe]]-Tabla16[[#This Row],[Pagado]]</f>
        <v>0</v>
      </c>
      <c r="H3458" s="38" t="s">
        <v>10</v>
      </c>
    </row>
    <row r="3459" spans="1:8" x14ac:dyDescent="0.25">
      <c r="A3459" s="31">
        <v>44712</v>
      </c>
      <c r="B3459" s="38" t="s">
        <v>17675</v>
      </c>
      <c r="C3459" s="38" t="s">
        <v>314</v>
      </c>
      <c r="D3459" s="34">
        <v>1530.9</v>
      </c>
      <c r="E3459" s="35">
        <v>44712</v>
      </c>
      <c r="F3459" s="34">
        <v>1530.9</v>
      </c>
      <c r="G3459" s="36">
        <f>Tabla16[[#This Row],[Importe]]-Tabla16[[#This Row],[Pagado]]</f>
        <v>0</v>
      </c>
      <c r="H3459" s="38" t="s">
        <v>10</v>
      </c>
    </row>
    <row r="3460" spans="1:8" x14ac:dyDescent="0.25">
      <c r="A3460" s="31">
        <v>44712</v>
      </c>
      <c r="B3460" s="38" t="s">
        <v>17676</v>
      </c>
      <c r="C3460" s="38" t="s">
        <v>87</v>
      </c>
      <c r="D3460" s="34">
        <v>2304.3000000000002</v>
      </c>
      <c r="E3460" s="35">
        <v>44712</v>
      </c>
      <c r="F3460" s="34">
        <v>2304.3000000000002</v>
      </c>
      <c r="G3460" s="36">
        <f>Tabla16[[#This Row],[Importe]]-Tabla16[[#This Row],[Pagado]]</f>
        <v>0</v>
      </c>
      <c r="H3460" s="38" t="s">
        <v>10</v>
      </c>
    </row>
    <row r="3461" spans="1:8" x14ac:dyDescent="0.25">
      <c r="A3461" s="31">
        <v>44712</v>
      </c>
      <c r="B3461" s="38" t="s">
        <v>17677</v>
      </c>
      <c r="C3461" s="38" t="s">
        <v>83</v>
      </c>
      <c r="D3461" s="34">
        <v>5408</v>
      </c>
      <c r="E3461" s="35">
        <v>44712</v>
      </c>
      <c r="F3461" s="34">
        <v>5408</v>
      </c>
      <c r="G3461" s="36">
        <f>Tabla16[[#This Row],[Importe]]-Tabla16[[#This Row],[Pagado]]</f>
        <v>0</v>
      </c>
      <c r="H3461" s="38" t="s">
        <v>10</v>
      </c>
    </row>
    <row r="3462" spans="1:8" x14ac:dyDescent="0.25">
      <c r="A3462" s="31">
        <v>44712</v>
      </c>
      <c r="B3462" s="38" t="s">
        <v>17678</v>
      </c>
      <c r="C3462" s="38" t="s">
        <v>79</v>
      </c>
      <c r="D3462" s="34">
        <v>12442.5</v>
      </c>
      <c r="E3462" s="35">
        <v>44712</v>
      </c>
      <c r="F3462" s="34">
        <v>12442.5</v>
      </c>
      <c r="G3462" s="36">
        <f>Tabla16[[#This Row],[Importe]]-Tabla16[[#This Row],[Pagado]]</f>
        <v>0</v>
      </c>
      <c r="H3462" s="38" t="s">
        <v>10</v>
      </c>
    </row>
    <row r="3463" spans="1:8" x14ac:dyDescent="0.25">
      <c r="A3463" s="31">
        <v>44712</v>
      </c>
      <c r="B3463" s="38" t="s">
        <v>17679</v>
      </c>
      <c r="C3463" s="38" t="s">
        <v>17680</v>
      </c>
      <c r="D3463" s="34">
        <v>0</v>
      </c>
      <c r="E3463" s="39" t="s">
        <v>189</v>
      </c>
      <c r="F3463" s="34">
        <v>0</v>
      </c>
      <c r="G3463" s="36">
        <f>Tabla16[[#This Row],[Importe]]-Tabla16[[#This Row],[Pagado]]</f>
        <v>0</v>
      </c>
      <c r="H3463" s="38" t="s">
        <v>189</v>
      </c>
    </row>
    <row r="3464" spans="1:8" x14ac:dyDescent="0.25">
      <c r="A3464" s="31">
        <v>44712</v>
      </c>
      <c r="B3464" s="38" t="s">
        <v>17681</v>
      </c>
      <c r="C3464" s="38" t="s">
        <v>107</v>
      </c>
      <c r="D3464" s="34">
        <v>17265.3</v>
      </c>
      <c r="E3464" s="35">
        <v>44712</v>
      </c>
      <c r="F3464" s="34">
        <v>17265.3</v>
      </c>
      <c r="G3464" s="36">
        <f>Tabla16[[#This Row],[Importe]]-Tabla16[[#This Row],[Pagado]]</f>
        <v>0</v>
      </c>
      <c r="H3464" s="38" t="s">
        <v>10</v>
      </c>
    </row>
    <row r="3465" spans="1:8" x14ac:dyDescent="0.25">
      <c r="A3465" s="31">
        <v>44712</v>
      </c>
      <c r="B3465" s="38" t="s">
        <v>17682</v>
      </c>
      <c r="C3465" s="38" t="s">
        <v>151</v>
      </c>
      <c r="D3465" s="34">
        <v>21113.599999999999</v>
      </c>
      <c r="E3465" s="35">
        <v>44712</v>
      </c>
      <c r="F3465" s="34">
        <v>21113.599999999999</v>
      </c>
      <c r="G3465" s="36">
        <f>Tabla16[[#This Row],[Importe]]-Tabla16[[#This Row],[Pagado]]</f>
        <v>0</v>
      </c>
      <c r="H3465" s="38" t="s">
        <v>10</v>
      </c>
    </row>
    <row r="3466" spans="1:8" x14ac:dyDescent="0.25">
      <c r="A3466" s="31">
        <v>44712</v>
      </c>
      <c r="B3466" s="38" t="s">
        <v>17683</v>
      </c>
      <c r="C3466" s="38" t="s">
        <v>157</v>
      </c>
      <c r="D3466" s="34">
        <v>5932.3</v>
      </c>
      <c r="E3466" s="35">
        <v>44712</v>
      </c>
      <c r="F3466" s="34">
        <v>5932.3</v>
      </c>
      <c r="G3466" s="36">
        <f>Tabla16[[#This Row],[Importe]]-Tabla16[[#This Row],[Pagado]]</f>
        <v>0</v>
      </c>
      <c r="H3466" s="38" t="s">
        <v>10</v>
      </c>
    </row>
    <row r="3467" spans="1:8" x14ac:dyDescent="0.25">
      <c r="A3467" s="31">
        <v>44712</v>
      </c>
      <c r="B3467" s="38" t="s">
        <v>17684</v>
      </c>
      <c r="C3467" s="38" t="s">
        <v>518</v>
      </c>
      <c r="D3467" s="34">
        <v>951.3</v>
      </c>
      <c r="E3467" s="35">
        <v>44712</v>
      </c>
      <c r="F3467" s="34">
        <v>951.3</v>
      </c>
      <c r="G3467" s="36">
        <f>Tabla16[[#This Row],[Importe]]-Tabla16[[#This Row],[Pagado]]</f>
        <v>0</v>
      </c>
      <c r="H3467" s="38" t="s">
        <v>10</v>
      </c>
    </row>
    <row r="3468" spans="1:8" x14ac:dyDescent="0.25">
      <c r="A3468" s="31">
        <v>44712</v>
      </c>
      <c r="B3468" s="38" t="s">
        <v>17685</v>
      </c>
      <c r="C3468" s="38" t="s">
        <v>520</v>
      </c>
      <c r="D3468" s="34">
        <v>8122</v>
      </c>
      <c r="E3468" s="35">
        <v>44712</v>
      </c>
      <c r="F3468" s="34">
        <v>8122</v>
      </c>
      <c r="G3468" s="36">
        <f>Tabla16[[#This Row],[Importe]]-Tabla16[[#This Row],[Pagado]]</f>
        <v>0</v>
      </c>
      <c r="H3468" s="38" t="s">
        <v>10</v>
      </c>
    </row>
    <row r="3469" spans="1:8" x14ac:dyDescent="0.25">
      <c r="A3469" s="31">
        <v>44712</v>
      </c>
      <c r="B3469" s="38" t="s">
        <v>17686</v>
      </c>
      <c r="C3469" s="38" t="s">
        <v>924</v>
      </c>
      <c r="D3469" s="34">
        <v>11927.3</v>
      </c>
      <c r="E3469" s="35">
        <v>44712</v>
      </c>
      <c r="F3469" s="34">
        <v>11927.3</v>
      </c>
      <c r="G3469" s="36">
        <f>Tabla16[[#This Row],[Importe]]-Tabla16[[#This Row],[Pagado]]</f>
        <v>0</v>
      </c>
      <c r="H3469" s="38" t="s">
        <v>10</v>
      </c>
    </row>
    <row r="3470" spans="1:8" x14ac:dyDescent="0.25">
      <c r="A3470" s="31">
        <v>44712</v>
      </c>
      <c r="B3470" s="38" t="s">
        <v>17687</v>
      </c>
      <c r="C3470" s="38" t="s">
        <v>105</v>
      </c>
      <c r="D3470" s="34">
        <v>4508.3999999999996</v>
      </c>
      <c r="E3470" s="35">
        <v>44713</v>
      </c>
      <c r="F3470" s="34">
        <v>4508.3999999999996</v>
      </c>
      <c r="G3470" s="36">
        <f>Tabla16[[#This Row],[Importe]]-Tabla16[[#This Row],[Pagado]]</f>
        <v>0</v>
      </c>
      <c r="H3470" s="38" t="s">
        <v>10</v>
      </c>
    </row>
    <row r="3471" spans="1:8" x14ac:dyDescent="0.25">
      <c r="A3471" s="31">
        <v>44712</v>
      </c>
      <c r="B3471" s="38" t="s">
        <v>17688</v>
      </c>
      <c r="C3471" s="38" t="s">
        <v>12202</v>
      </c>
      <c r="D3471" s="34">
        <v>2880</v>
      </c>
      <c r="E3471" s="35">
        <v>44712</v>
      </c>
      <c r="F3471" s="34">
        <v>2880</v>
      </c>
      <c r="G3471" s="36">
        <f>Tabla16[[#This Row],[Importe]]-Tabla16[[#This Row],[Pagado]]</f>
        <v>0</v>
      </c>
      <c r="H3471" s="38" t="s">
        <v>10</v>
      </c>
    </row>
    <row r="3472" spans="1:8" x14ac:dyDescent="0.25">
      <c r="A3472" s="31">
        <v>44712</v>
      </c>
      <c r="B3472" s="38" t="s">
        <v>17689</v>
      </c>
      <c r="C3472" s="38" t="s">
        <v>466</v>
      </c>
      <c r="D3472" s="34">
        <v>7680</v>
      </c>
      <c r="E3472" s="35">
        <v>44712</v>
      </c>
      <c r="F3472" s="34">
        <v>7680</v>
      </c>
      <c r="G3472" s="36">
        <f>Tabla16[[#This Row],[Importe]]-Tabla16[[#This Row],[Pagado]]</f>
        <v>0</v>
      </c>
      <c r="H3472" s="38" t="s">
        <v>10</v>
      </c>
    </row>
    <row r="3473" spans="1:8" x14ac:dyDescent="0.25">
      <c r="A3473" s="31">
        <v>44712</v>
      </c>
      <c r="B3473" s="38" t="s">
        <v>17690</v>
      </c>
      <c r="C3473" s="38" t="s">
        <v>518</v>
      </c>
      <c r="D3473" s="34">
        <v>1991.7</v>
      </c>
      <c r="E3473" s="35">
        <v>44712</v>
      </c>
      <c r="F3473" s="34">
        <v>1991.7</v>
      </c>
      <c r="G3473" s="36">
        <f>Tabla16[[#This Row],[Importe]]-Tabla16[[#This Row],[Pagado]]</f>
        <v>0</v>
      </c>
      <c r="H3473" s="38" t="s">
        <v>10</v>
      </c>
    </row>
    <row r="3474" spans="1:8" x14ac:dyDescent="0.25">
      <c r="A3474" s="31">
        <v>44712</v>
      </c>
      <c r="B3474" s="38" t="s">
        <v>17691</v>
      </c>
      <c r="C3474" s="38" t="s">
        <v>146</v>
      </c>
      <c r="D3474" s="34">
        <v>2142</v>
      </c>
      <c r="E3474" s="35">
        <v>44712</v>
      </c>
      <c r="F3474" s="34">
        <v>2142</v>
      </c>
      <c r="G3474" s="36">
        <f>Tabla16[[#This Row],[Importe]]-Tabla16[[#This Row],[Pagado]]</f>
        <v>0</v>
      </c>
      <c r="H3474" s="38" t="s">
        <v>10</v>
      </c>
    </row>
    <row r="3475" spans="1:8" x14ac:dyDescent="0.25">
      <c r="A3475" s="31">
        <v>44712</v>
      </c>
      <c r="B3475" s="38" t="s">
        <v>17692</v>
      </c>
      <c r="C3475" s="38" t="s">
        <v>16</v>
      </c>
      <c r="D3475" s="34">
        <v>5424</v>
      </c>
      <c r="E3475" s="35">
        <v>44712</v>
      </c>
      <c r="F3475" s="34">
        <v>5424</v>
      </c>
      <c r="G3475" s="36">
        <f>Tabla16[[#This Row],[Importe]]-Tabla16[[#This Row],[Pagado]]</f>
        <v>0</v>
      </c>
      <c r="H3475" s="38" t="s">
        <v>10</v>
      </c>
    </row>
    <row r="3476" spans="1:8" x14ac:dyDescent="0.25">
      <c r="A3476" s="31">
        <v>44712</v>
      </c>
      <c r="B3476" s="38" t="s">
        <v>17693</v>
      </c>
      <c r="C3476" s="38" t="s">
        <v>129</v>
      </c>
      <c r="D3476" s="34">
        <v>1478.4</v>
      </c>
      <c r="E3476" s="35">
        <v>44712</v>
      </c>
      <c r="F3476" s="34">
        <v>1478.4</v>
      </c>
      <c r="G3476" s="36">
        <f>Tabla16[[#This Row],[Importe]]-Tabla16[[#This Row],[Pagado]]</f>
        <v>0</v>
      </c>
      <c r="H3476" s="38" t="s">
        <v>10</v>
      </c>
    </row>
    <row r="3477" spans="1:8" x14ac:dyDescent="0.25">
      <c r="A3477" s="31">
        <v>44712</v>
      </c>
      <c r="B3477" s="38" t="s">
        <v>17694</v>
      </c>
      <c r="C3477" s="38" t="s">
        <v>17556</v>
      </c>
      <c r="D3477" s="34">
        <v>3691.5</v>
      </c>
      <c r="E3477" s="35">
        <v>44712</v>
      </c>
      <c r="F3477" s="34">
        <v>3691.5</v>
      </c>
      <c r="G3477" s="36">
        <f>Tabla16[[#This Row],[Importe]]-Tabla16[[#This Row],[Pagado]]</f>
        <v>0</v>
      </c>
      <c r="H3477" s="38" t="s">
        <v>10</v>
      </c>
    </row>
    <row r="3478" spans="1:8" x14ac:dyDescent="0.25">
      <c r="A3478" s="31">
        <v>44712</v>
      </c>
      <c r="B3478" s="38" t="s">
        <v>17695</v>
      </c>
      <c r="C3478" s="38" t="s">
        <v>140</v>
      </c>
      <c r="D3478" s="34">
        <v>1331.2</v>
      </c>
      <c r="E3478" s="35">
        <v>44712</v>
      </c>
      <c r="F3478" s="34">
        <v>1331.2</v>
      </c>
      <c r="G3478" s="36">
        <f>Tabla16[[#This Row],[Importe]]-Tabla16[[#This Row],[Pagado]]</f>
        <v>0</v>
      </c>
      <c r="H3478" s="38" t="s">
        <v>10</v>
      </c>
    </row>
    <row r="3479" spans="1:8" x14ac:dyDescent="0.25">
      <c r="A3479" s="31">
        <v>44712</v>
      </c>
      <c r="B3479" s="38" t="s">
        <v>17696</v>
      </c>
      <c r="C3479" s="38" t="s">
        <v>339</v>
      </c>
      <c r="D3479" s="34">
        <v>998.4</v>
      </c>
      <c r="E3479" s="35">
        <v>44712</v>
      </c>
      <c r="F3479" s="34">
        <v>998.4</v>
      </c>
      <c r="G3479" s="36">
        <f>Tabla16[[#This Row],[Importe]]-Tabla16[[#This Row],[Pagado]]</f>
        <v>0</v>
      </c>
      <c r="H3479" s="38" t="s">
        <v>10</v>
      </c>
    </row>
    <row r="3480" spans="1:8" x14ac:dyDescent="0.25">
      <c r="A3480" s="31">
        <v>44712</v>
      </c>
      <c r="B3480" s="38" t="s">
        <v>17697</v>
      </c>
      <c r="C3480" s="38" t="s">
        <v>357</v>
      </c>
      <c r="D3480" s="34">
        <v>3939.6</v>
      </c>
      <c r="E3480" s="35">
        <v>44712</v>
      </c>
      <c r="F3480" s="34">
        <v>3939.6</v>
      </c>
      <c r="G3480" s="36">
        <f>Tabla16[[#This Row],[Importe]]-Tabla16[[#This Row],[Pagado]]</f>
        <v>0</v>
      </c>
      <c r="H3480" s="38" t="s">
        <v>10</v>
      </c>
    </row>
    <row r="3481" spans="1:8" x14ac:dyDescent="0.25">
      <c r="A3481" s="31">
        <v>44712</v>
      </c>
      <c r="B3481" s="38" t="s">
        <v>17698</v>
      </c>
      <c r="C3481" s="38" t="s">
        <v>127</v>
      </c>
      <c r="D3481" s="34">
        <v>4549.3</v>
      </c>
      <c r="E3481" s="35">
        <v>44712</v>
      </c>
      <c r="F3481" s="34">
        <v>4549.3</v>
      </c>
      <c r="G3481" s="36">
        <f>Tabla16[[#This Row],[Importe]]-Tabla16[[#This Row],[Pagado]]</f>
        <v>0</v>
      </c>
      <c r="H3481" s="38" t="s">
        <v>10</v>
      </c>
    </row>
    <row r="3482" spans="1:8" x14ac:dyDescent="0.25">
      <c r="A3482" s="31">
        <v>44712</v>
      </c>
      <c r="B3482" s="38" t="s">
        <v>17699</v>
      </c>
      <c r="C3482" s="38" t="s">
        <v>275</v>
      </c>
      <c r="D3482" s="34">
        <v>65228.5</v>
      </c>
      <c r="E3482" s="35">
        <v>44722</v>
      </c>
      <c r="F3482" s="34">
        <v>65228.5</v>
      </c>
      <c r="G3482" s="36">
        <f>Tabla16[[#This Row],[Importe]]-Tabla16[[#This Row],[Pagado]]</f>
        <v>0</v>
      </c>
      <c r="H3482" s="38" t="s">
        <v>10</v>
      </c>
    </row>
    <row r="3483" spans="1:8" x14ac:dyDescent="0.25">
      <c r="A3483" s="31">
        <v>44712</v>
      </c>
      <c r="B3483" s="38" t="s">
        <v>17700</v>
      </c>
      <c r="C3483" s="38" t="s">
        <v>49</v>
      </c>
      <c r="D3483" s="34">
        <v>3960.8</v>
      </c>
      <c r="E3483" s="35">
        <v>44712</v>
      </c>
      <c r="F3483" s="34">
        <v>3960.8</v>
      </c>
      <c r="G3483" s="36">
        <f>Tabla16[[#This Row],[Importe]]-Tabla16[[#This Row],[Pagado]]</f>
        <v>0</v>
      </c>
      <c r="H3483" s="38" t="s">
        <v>10</v>
      </c>
    </row>
    <row r="3484" spans="1:8" x14ac:dyDescent="0.25">
      <c r="A3484" s="31">
        <v>44712</v>
      </c>
      <c r="B3484" s="38" t="s">
        <v>17701</v>
      </c>
      <c r="C3484" s="38" t="s">
        <v>79</v>
      </c>
      <c r="D3484" s="34">
        <v>5499.9</v>
      </c>
      <c r="E3484" s="35">
        <v>44712</v>
      </c>
      <c r="F3484" s="34">
        <v>5499.9</v>
      </c>
      <c r="G3484" s="36">
        <f>Tabla16[[#This Row],[Importe]]-Tabla16[[#This Row],[Pagado]]</f>
        <v>0</v>
      </c>
      <c r="H3484" s="38" t="s">
        <v>10</v>
      </c>
    </row>
    <row r="3485" spans="1:8" x14ac:dyDescent="0.25">
      <c r="A3485" s="31">
        <v>44712</v>
      </c>
      <c r="B3485" s="38" t="s">
        <v>17702</v>
      </c>
      <c r="C3485" s="38" t="s">
        <v>22</v>
      </c>
      <c r="D3485" s="34">
        <v>32073.9</v>
      </c>
      <c r="E3485" s="35">
        <v>44714</v>
      </c>
      <c r="F3485" s="34">
        <v>32073.9</v>
      </c>
      <c r="G3485" s="36">
        <f>Tabla16[[#This Row],[Importe]]-Tabla16[[#This Row],[Pagado]]</f>
        <v>0</v>
      </c>
      <c r="H3485" s="38" t="s">
        <v>10</v>
      </c>
    </row>
    <row r="3486" spans="1:8" x14ac:dyDescent="0.25">
      <c r="A3486" s="31">
        <v>44712</v>
      </c>
      <c r="B3486" s="38" t="s">
        <v>17703</v>
      </c>
      <c r="C3486" s="38" t="s">
        <v>31</v>
      </c>
      <c r="D3486" s="34">
        <v>2135.1999999999998</v>
      </c>
      <c r="E3486" s="35">
        <v>44712</v>
      </c>
      <c r="F3486" s="34">
        <v>2135.1999999999998</v>
      </c>
      <c r="G3486" s="36">
        <f>Tabla16[[#This Row],[Importe]]-Tabla16[[#This Row],[Pagado]]</f>
        <v>0</v>
      </c>
      <c r="H3486" s="38" t="s">
        <v>10</v>
      </c>
    </row>
    <row r="3487" spans="1:8" x14ac:dyDescent="0.25">
      <c r="A3487" s="31">
        <v>44712</v>
      </c>
      <c r="B3487" s="38" t="s">
        <v>17704</v>
      </c>
      <c r="C3487" s="38" t="s">
        <v>804</v>
      </c>
      <c r="D3487" s="34">
        <v>14954.7</v>
      </c>
      <c r="E3487" s="35">
        <v>44712</v>
      </c>
      <c r="F3487" s="34">
        <v>14954.7</v>
      </c>
      <c r="G3487" s="36">
        <f>Tabla16[[#This Row],[Importe]]-Tabla16[[#This Row],[Pagado]]</f>
        <v>0</v>
      </c>
      <c r="H3487" s="38" t="s">
        <v>10</v>
      </c>
    </row>
    <row r="3488" spans="1:8" x14ac:dyDescent="0.25">
      <c r="A3488" s="31">
        <v>44712</v>
      </c>
      <c r="B3488" s="38" t="s">
        <v>17705</v>
      </c>
      <c r="C3488" s="38" t="s">
        <v>230</v>
      </c>
      <c r="D3488" s="34">
        <v>4771</v>
      </c>
      <c r="E3488" s="35">
        <v>44712</v>
      </c>
      <c r="F3488" s="34">
        <v>4771</v>
      </c>
      <c r="G3488" s="36">
        <f>Tabla16[[#This Row],[Importe]]-Tabla16[[#This Row],[Pagado]]</f>
        <v>0</v>
      </c>
      <c r="H3488" s="38" t="s">
        <v>10</v>
      </c>
    </row>
    <row r="3489" spans="1:8" x14ac:dyDescent="0.25">
      <c r="A3489" s="31">
        <v>44712</v>
      </c>
      <c r="B3489" s="38" t="s">
        <v>17706</v>
      </c>
      <c r="C3489" s="38" t="s">
        <v>31</v>
      </c>
      <c r="D3489" s="34">
        <v>4719</v>
      </c>
      <c r="E3489" s="35">
        <v>44712</v>
      </c>
      <c r="F3489" s="34">
        <v>4719</v>
      </c>
      <c r="G3489" s="36">
        <f>Tabla16[[#This Row],[Importe]]-Tabla16[[#This Row],[Pagado]]</f>
        <v>0</v>
      </c>
      <c r="H3489" s="38" t="s">
        <v>10</v>
      </c>
    </row>
    <row r="3490" spans="1:8" x14ac:dyDescent="0.25">
      <c r="A3490" s="31">
        <v>44712</v>
      </c>
      <c r="B3490" s="38" t="s">
        <v>17707</v>
      </c>
      <c r="C3490" s="38" t="s">
        <v>49</v>
      </c>
      <c r="D3490" s="34">
        <v>220.8</v>
      </c>
      <c r="E3490" s="35">
        <v>44712</v>
      </c>
      <c r="F3490" s="34">
        <v>220.8</v>
      </c>
      <c r="G3490" s="36">
        <f>Tabla16[[#This Row],[Importe]]-Tabla16[[#This Row],[Pagado]]</f>
        <v>0</v>
      </c>
      <c r="H3490" s="38" t="s">
        <v>10</v>
      </c>
    </row>
    <row r="3491" spans="1:8" x14ac:dyDescent="0.25">
      <c r="A3491" s="31">
        <v>44712</v>
      </c>
      <c r="B3491" s="38" t="s">
        <v>17708</v>
      </c>
      <c r="C3491" s="38" t="s">
        <v>804</v>
      </c>
      <c r="D3491" s="34">
        <v>4767.1000000000004</v>
      </c>
      <c r="E3491" s="35">
        <v>44712</v>
      </c>
      <c r="F3491" s="34">
        <v>4767.1000000000004</v>
      </c>
      <c r="G3491" s="36">
        <f>Tabla16[[#This Row],[Importe]]-Tabla16[[#This Row],[Pagado]]</f>
        <v>0</v>
      </c>
      <c r="H3491" s="38" t="s">
        <v>10</v>
      </c>
    </row>
    <row r="3492" spans="1:8" x14ac:dyDescent="0.25">
      <c r="A3492" s="31">
        <v>44712</v>
      </c>
      <c r="B3492" s="38" t="s">
        <v>17709</v>
      </c>
      <c r="C3492" s="38" t="s">
        <v>149</v>
      </c>
      <c r="D3492" s="34">
        <v>720</v>
      </c>
      <c r="E3492" s="35">
        <v>44712</v>
      </c>
      <c r="F3492" s="34">
        <v>720</v>
      </c>
      <c r="G3492" s="36">
        <f>Tabla16[[#This Row],[Importe]]-Tabla16[[#This Row],[Pagado]]</f>
        <v>0</v>
      </c>
      <c r="H3492" s="38" t="s">
        <v>10</v>
      </c>
    </row>
    <row r="3493" spans="1:8" x14ac:dyDescent="0.25">
      <c r="A3493" s="31">
        <v>44712</v>
      </c>
      <c r="B3493" s="38" t="s">
        <v>17710</v>
      </c>
      <c r="C3493" s="38" t="s">
        <v>31</v>
      </c>
      <c r="D3493" s="34">
        <v>18</v>
      </c>
      <c r="E3493" s="35">
        <v>44712</v>
      </c>
      <c r="F3493" s="34">
        <v>18</v>
      </c>
      <c r="G3493" s="36">
        <f>Tabla16[[#This Row],[Importe]]-Tabla16[[#This Row],[Pagado]]</f>
        <v>0</v>
      </c>
      <c r="H3493" s="38" t="s">
        <v>10</v>
      </c>
    </row>
    <row r="3494" spans="1:8" x14ac:dyDescent="0.25">
      <c r="A3494" s="31">
        <v>44712</v>
      </c>
      <c r="B3494" s="38" t="s">
        <v>17711</v>
      </c>
      <c r="C3494" s="38" t="s">
        <v>214</v>
      </c>
      <c r="D3494" s="34">
        <v>1348.2</v>
      </c>
      <c r="E3494" s="35">
        <v>44712</v>
      </c>
      <c r="F3494" s="34">
        <v>1348.2</v>
      </c>
      <c r="G3494" s="36">
        <f>Tabla16[[#This Row],[Importe]]-Tabla16[[#This Row],[Pagado]]</f>
        <v>0</v>
      </c>
      <c r="H3494" s="38" t="s">
        <v>10</v>
      </c>
    </row>
    <row r="3495" spans="1:8" x14ac:dyDescent="0.25">
      <c r="A3495" s="31">
        <v>44712</v>
      </c>
      <c r="B3495" s="38" t="s">
        <v>17712</v>
      </c>
      <c r="C3495" s="38" t="s">
        <v>24</v>
      </c>
      <c r="D3495" s="34">
        <v>3305.1</v>
      </c>
      <c r="E3495" s="35">
        <v>44712</v>
      </c>
      <c r="F3495" s="34">
        <v>3305.1</v>
      </c>
      <c r="G3495" s="36">
        <f>Tabla16[[#This Row],[Importe]]-Tabla16[[#This Row],[Pagado]]</f>
        <v>0</v>
      </c>
      <c r="H3495" s="38" t="s">
        <v>10</v>
      </c>
    </row>
    <row r="3496" spans="1:8" x14ac:dyDescent="0.25">
      <c r="A3496" s="31">
        <v>44712</v>
      </c>
      <c r="B3496" s="38" t="s">
        <v>17713</v>
      </c>
      <c r="C3496" s="38" t="s">
        <v>45</v>
      </c>
      <c r="D3496" s="34">
        <v>11858.6</v>
      </c>
      <c r="E3496" s="35">
        <v>44712</v>
      </c>
      <c r="F3496" s="34">
        <v>11858.6</v>
      </c>
      <c r="G3496" s="36">
        <f>Tabla16[[#This Row],[Importe]]-Tabla16[[#This Row],[Pagado]]</f>
        <v>0</v>
      </c>
      <c r="H3496" s="38" t="s">
        <v>10</v>
      </c>
    </row>
    <row r="3497" spans="1:8" x14ac:dyDescent="0.25">
      <c r="A3497" s="31">
        <v>44712</v>
      </c>
      <c r="B3497" s="38" t="s">
        <v>17714</v>
      </c>
      <c r="C3497" s="38" t="s">
        <v>31</v>
      </c>
      <c r="D3497" s="34">
        <v>1625.4</v>
      </c>
      <c r="E3497" s="35">
        <v>44712</v>
      </c>
      <c r="F3497" s="34">
        <v>1625.4</v>
      </c>
      <c r="G3497" s="36">
        <f>Tabla16[[#This Row],[Importe]]-Tabla16[[#This Row],[Pagado]]</f>
        <v>0</v>
      </c>
      <c r="H3497" s="38" t="s">
        <v>10</v>
      </c>
    </row>
    <row r="3498" spans="1:8" x14ac:dyDescent="0.25">
      <c r="A3498" s="31">
        <v>44712</v>
      </c>
      <c r="B3498" s="38" t="s">
        <v>17715</v>
      </c>
      <c r="C3498" s="38" t="s">
        <v>224</v>
      </c>
      <c r="D3498" s="34">
        <v>805.6</v>
      </c>
      <c r="E3498" s="35">
        <v>44712</v>
      </c>
      <c r="F3498" s="34">
        <v>805.6</v>
      </c>
      <c r="G3498" s="36">
        <f>Tabla16[[#This Row],[Importe]]-Tabla16[[#This Row],[Pagado]]</f>
        <v>0</v>
      </c>
      <c r="H3498" s="38" t="s">
        <v>10</v>
      </c>
    </row>
    <row r="3499" spans="1:8" x14ac:dyDescent="0.25">
      <c r="A3499" s="31">
        <v>44712</v>
      </c>
      <c r="B3499" s="38" t="s">
        <v>17716</v>
      </c>
      <c r="C3499" s="38" t="s">
        <v>698</v>
      </c>
      <c r="D3499" s="34">
        <v>6691.3</v>
      </c>
      <c r="E3499" s="35">
        <v>44712</v>
      </c>
      <c r="F3499" s="34">
        <v>6691.3</v>
      </c>
      <c r="G3499" s="36">
        <f>Tabla16[[#This Row],[Importe]]-Tabla16[[#This Row],[Pagado]]</f>
        <v>0</v>
      </c>
      <c r="H3499" s="38" t="s">
        <v>10</v>
      </c>
    </row>
    <row r="3500" spans="1:8" x14ac:dyDescent="0.25">
      <c r="A3500" s="31">
        <v>44712</v>
      </c>
      <c r="B3500" s="38" t="s">
        <v>17717</v>
      </c>
      <c r="C3500" s="38" t="s">
        <v>698</v>
      </c>
      <c r="D3500" s="34">
        <v>924</v>
      </c>
      <c r="E3500" s="35">
        <v>44712</v>
      </c>
      <c r="F3500" s="34">
        <v>924</v>
      </c>
      <c r="G3500" s="36">
        <f>Tabla16[[#This Row],[Importe]]-Tabla16[[#This Row],[Pagado]]</f>
        <v>0</v>
      </c>
      <c r="H3500" s="38" t="s">
        <v>10</v>
      </c>
    </row>
    <row r="3501" spans="1:8" x14ac:dyDescent="0.25">
      <c r="A3501" s="31">
        <v>44712</v>
      </c>
      <c r="B3501" s="38" t="s">
        <v>17718</v>
      </c>
      <c r="C3501" s="38" t="s">
        <v>226</v>
      </c>
      <c r="D3501" s="34">
        <v>6178.3</v>
      </c>
      <c r="E3501" s="35">
        <v>44712</v>
      </c>
      <c r="F3501" s="34">
        <v>6178.3</v>
      </c>
      <c r="G3501" s="36">
        <f>Tabla16[[#This Row],[Importe]]-Tabla16[[#This Row],[Pagado]]</f>
        <v>0</v>
      </c>
      <c r="H3501" s="38" t="s">
        <v>10</v>
      </c>
    </row>
    <row r="3502" spans="1:8" x14ac:dyDescent="0.25">
      <c r="A3502" s="31">
        <v>44712</v>
      </c>
      <c r="B3502" s="38" t="s">
        <v>17719</v>
      </c>
      <c r="C3502" s="38" t="s">
        <v>179</v>
      </c>
      <c r="D3502" s="34">
        <v>1052.0999999999999</v>
      </c>
      <c r="E3502" s="35">
        <v>44712</v>
      </c>
      <c r="F3502" s="34">
        <v>1052.0999999999999</v>
      </c>
      <c r="G3502" s="36">
        <f>Tabla16[[#This Row],[Importe]]-Tabla16[[#This Row],[Pagado]]</f>
        <v>0</v>
      </c>
      <c r="H3502" s="38" t="s">
        <v>10</v>
      </c>
    </row>
    <row r="3503" spans="1:8" x14ac:dyDescent="0.25">
      <c r="A3503" s="31">
        <v>44712</v>
      </c>
      <c r="B3503" s="38" t="s">
        <v>17720</v>
      </c>
      <c r="C3503" s="38" t="s">
        <v>14613</v>
      </c>
      <c r="D3503" s="34">
        <v>8555.2000000000007</v>
      </c>
      <c r="E3503" s="35">
        <v>44712</v>
      </c>
      <c r="F3503" s="34">
        <v>8555.2000000000007</v>
      </c>
      <c r="G3503" s="36">
        <f>Tabla16[[#This Row],[Importe]]-Tabla16[[#This Row],[Pagado]]</f>
        <v>0</v>
      </c>
      <c r="H3503" s="38" t="s">
        <v>10</v>
      </c>
    </row>
    <row r="3504" spans="1:8" x14ac:dyDescent="0.25">
      <c r="A3504" s="31">
        <v>44712</v>
      </c>
      <c r="B3504" s="38" t="s">
        <v>17721</v>
      </c>
      <c r="C3504" s="38" t="s">
        <v>4136</v>
      </c>
      <c r="D3504" s="34">
        <v>2993.6</v>
      </c>
      <c r="E3504" s="35">
        <v>44712</v>
      </c>
      <c r="F3504" s="34">
        <v>2993.6</v>
      </c>
      <c r="G3504" s="36">
        <f>Tabla16[[#This Row],[Importe]]-Tabla16[[#This Row],[Pagado]]</f>
        <v>0</v>
      </c>
      <c r="H3504" s="38" t="s">
        <v>10</v>
      </c>
    </row>
    <row r="3505" spans="1:8" x14ac:dyDescent="0.25">
      <c r="A3505" s="31">
        <v>44712</v>
      </c>
      <c r="B3505" s="38" t="s">
        <v>17722</v>
      </c>
      <c r="C3505" s="38" t="s">
        <v>3747</v>
      </c>
      <c r="D3505" s="34">
        <v>30723</v>
      </c>
      <c r="E3505" s="35">
        <v>44712</v>
      </c>
      <c r="F3505" s="34">
        <v>30723</v>
      </c>
      <c r="G3505" s="36">
        <f>Tabla16[[#This Row],[Importe]]-Tabla16[[#This Row],[Pagado]]</f>
        <v>0</v>
      </c>
      <c r="H3505" s="38" t="s">
        <v>10</v>
      </c>
    </row>
    <row r="3506" spans="1:8" x14ac:dyDescent="0.25">
      <c r="A3506" s="31">
        <v>44712</v>
      </c>
      <c r="B3506" s="38" t="s">
        <v>17723</v>
      </c>
      <c r="C3506" s="38" t="s">
        <v>31</v>
      </c>
      <c r="D3506" s="34">
        <v>1140</v>
      </c>
      <c r="E3506" s="35">
        <v>44712</v>
      </c>
      <c r="F3506" s="34">
        <v>1140</v>
      </c>
      <c r="G3506" s="36">
        <f>Tabla16[[#This Row],[Importe]]-Tabla16[[#This Row],[Pagado]]</f>
        <v>0</v>
      </c>
      <c r="H3506" s="38" t="s">
        <v>10</v>
      </c>
    </row>
    <row r="3507" spans="1:8" x14ac:dyDescent="0.25">
      <c r="A3507" s="31">
        <v>44712</v>
      </c>
      <c r="B3507" s="38" t="s">
        <v>17724</v>
      </c>
      <c r="C3507" s="38" t="s">
        <v>53</v>
      </c>
      <c r="D3507" s="34">
        <v>2867.2</v>
      </c>
      <c r="E3507" s="35">
        <v>44712</v>
      </c>
      <c r="F3507" s="34">
        <v>2867.2</v>
      </c>
      <c r="G3507" s="36">
        <f>Tabla16[[#This Row],[Importe]]-Tabla16[[#This Row],[Pagado]]</f>
        <v>0</v>
      </c>
      <c r="H3507" s="38" t="s">
        <v>10</v>
      </c>
    </row>
    <row r="3508" spans="1:8" x14ac:dyDescent="0.25">
      <c r="A3508" s="31">
        <v>44712</v>
      </c>
      <c r="B3508" s="38" t="s">
        <v>17725</v>
      </c>
      <c r="C3508" s="38" t="s">
        <v>246</v>
      </c>
      <c r="D3508" s="34">
        <v>2301.1999999999998</v>
      </c>
      <c r="E3508" s="35">
        <v>44712</v>
      </c>
      <c r="F3508" s="34">
        <v>2301.1999999999998</v>
      </c>
      <c r="G3508" s="36">
        <f>Tabla16[[#This Row],[Importe]]-Tabla16[[#This Row],[Pagado]]</f>
        <v>0</v>
      </c>
      <c r="H3508" s="38" t="s">
        <v>10</v>
      </c>
    </row>
    <row r="3509" spans="1:8" x14ac:dyDescent="0.25">
      <c r="A3509" s="31">
        <v>44712</v>
      </c>
      <c r="B3509" s="38" t="s">
        <v>17726</v>
      </c>
      <c r="C3509" s="38" t="s">
        <v>9827</v>
      </c>
      <c r="D3509" s="34">
        <v>1745.1</v>
      </c>
      <c r="E3509" s="35">
        <v>44712</v>
      </c>
      <c r="F3509" s="34">
        <v>1745.1</v>
      </c>
      <c r="G3509" s="36">
        <f>Tabla16[[#This Row],[Importe]]-Tabla16[[#This Row],[Pagado]]</f>
        <v>0</v>
      </c>
      <c r="H3509" s="38" t="s">
        <v>10</v>
      </c>
    </row>
    <row r="3510" spans="1:8" x14ac:dyDescent="0.25">
      <c r="A3510" s="31">
        <v>44712</v>
      </c>
      <c r="B3510" s="38" t="s">
        <v>17727</v>
      </c>
      <c r="C3510" s="38" t="s">
        <v>142</v>
      </c>
      <c r="D3510" s="34">
        <v>111611.08</v>
      </c>
      <c r="E3510" s="35">
        <v>44760</v>
      </c>
      <c r="F3510" s="34">
        <v>111611.08</v>
      </c>
      <c r="G3510" s="36">
        <f>Tabla16[[#This Row],[Importe]]-Tabla16[[#This Row],[Pagado]]</f>
        <v>0</v>
      </c>
      <c r="H3510" s="38" t="s">
        <v>10</v>
      </c>
    </row>
    <row r="3511" spans="1:8" x14ac:dyDescent="0.25">
      <c r="A3511" s="31">
        <v>44712</v>
      </c>
      <c r="B3511" s="38" t="s">
        <v>17728</v>
      </c>
      <c r="C3511" s="38" t="s">
        <v>14</v>
      </c>
      <c r="D3511" s="34">
        <v>31156.7</v>
      </c>
      <c r="E3511" s="35">
        <v>44712</v>
      </c>
      <c r="F3511" s="34">
        <v>31156.7</v>
      </c>
      <c r="G3511" s="36">
        <f>Tabla16[[#This Row],[Importe]]-Tabla16[[#This Row],[Pagado]]</f>
        <v>0</v>
      </c>
      <c r="H3511" s="38" t="s">
        <v>10</v>
      </c>
    </row>
    <row r="3512" spans="1:8" x14ac:dyDescent="0.25">
      <c r="A3512" s="31">
        <v>44712</v>
      </c>
      <c r="B3512" s="38" t="s">
        <v>17729</v>
      </c>
      <c r="C3512" s="38" t="s">
        <v>64</v>
      </c>
      <c r="D3512" s="34">
        <v>5825</v>
      </c>
      <c r="E3512" s="35">
        <v>44712</v>
      </c>
      <c r="F3512" s="34">
        <v>5825</v>
      </c>
      <c r="G3512" s="36">
        <f>Tabla16[[#This Row],[Importe]]-Tabla16[[#This Row],[Pagado]]</f>
        <v>0</v>
      </c>
      <c r="H3512" s="38" t="s">
        <v>10</v>
      </c>
    </row>
    <row r="3513" spans="1:8" x14ac:dyDescent="0.25">
      <c r="A3513" s="31">
        <v>44712</v>
      </c>
      <c r="B3513" s="38" t="s">
        <v>17730</v>
      </c>
      <c r="C3513" s="38" t="s">
        <v>56</v>
      </c>
      <c r="D3513" s="34">
        <v>4596.8</v>
      </c>
      <c r="E3513" s="35">
        <v>44712</v>
      </c>
      <c r="F3513" s="34">
        <v>4596.8</v>
      </c>
      <c r="G3513" s="36">
        <f>Tabla16[[#This Row],[Importe]]-Tabla16[[#This Row],[Pagado]]</f>
        <v>0</v>
      </c>
      <c r="H3513" s="38" t="s">
        <v>10</v>
      </c>
    </row>
    <row r="3514" spans="1:8" x14ac:dyDescent="0.25">
      <c r="A3514" s="31">
        <v>44712</v>
      </c>
      <c r="B3514" s="38" t="s">
        <v>17731</v>
      </c>
      <c r="C3514" s="38" t="s">
        <v>7745</v>
      </c>
      <c r="D3514" s="34">
        <v>18973.68</v>
      </c>
      <c r="E3514" s="35">
        <v>44712</v>
      </c>
      <c r="F3514" s="34">
        <v>18973.68</v>
      </c>
      <c r="G3514" s="36">
        <f>Tabla16[[#This Row],[Importe]]-Tabla16[[#This Row],[Pagado]]</f>
        <v>0</v>
      </c>
      <c r="H3514" s="38" t="s">
        <v>10</v>
      </c>
    </row>
    <row r="3515" spans="1:8" x14ac:dyDescent="0.25">
      <c r="A3515" s="31">
        <v>44712</v>
      </c>
      <c r="B3515" s="38" t="s">
        <v>17732</v>
      </c>
      <c r="C3515" s="38" t="s">
        <v>31</v>
      </c>
      <c r="D3515" s="34">
        <v>128</v>
      </c>
      <c r="E3515" s="35">
        <v>44712</v>
      </c>
      <c r="F3515" s="34">
        <v>128</v>
      </c>
      <c r="G3515" s="36">
        <f>Tabla16[[#This Row],[Importe]]-Tabla16[[#This Row],[Pagado]]</f>
        <v>0</v>
      </c>
      <c r="H3515" s="38" t="s">
        <v>10</v>
      </c>
    </row>
    <row r="3516" spans="1:8" x14ac:dyDescent="0.25">
      <c r="A3516" s="31">
        <v>44712</v>
      </c>
      <c r="B3516" s="38" t="s">
        <v>17733</v>
      </c>
      <c r="C3516" s="38" t="s">
        <v>142</v>
      </c>
      <c r="D3516" s="34">
        <v>5816.4</v>
      </c>
      <c r="E3516" s="35">
        <v>44760</v>
      </c>
      <c r="F3516" s="34">
        <v>5816.4</v>
      </c>
      <c r="G3516" s="36">
        <f>Tabla16[[#This Row],[Importe]]-Tabla16[[#This Row],[Pagado]]</f>
        <v>0</v>
      </c>
      <c r="H3516" s="38" t="s">
        <v>10</v>
      </c>
    </row>
    <row r="3517" spans="1:8" x14ac:dyDescent="0.25">
      <c r="A3517" s="31">
        <v>44712</v>
      </c>
      <c r="B3517" s="38" t="s">
        <v>17734</v>
      </c>
      <c r="C3517" s="38" t="s">
        <v>419</v>
      </c>
      <c r="D3517" s="34">
        <v>8364.2000000000007</v>
      </c>
      <c r="E3517" s="35">
        <v>44712</v>
      </c>
      <c r="F3517" s="34">
        <v>8364.2000000000007</v>
      </c>
      <c r="G3517" s="36">
        <f>Tabla16[[#This Row],[Importe]]-Tabla16[[#This Row],[Pagado]]</f>
        <v>0</v>
      </c>
      <c r="H3517" s="38" t="s">
        <v>10</v>
      </c>
    </row>
    <row r="3518" spans="1:8" x14ac:dyDescent="0.25">
      <c r="A3518" s="31">
        <v>44712</v>
      </c>
      <c r="B3518" s="38" t="s">
        <v>17735</v>
      </c>
      <c r="C3518" s="38" t="s">
        <v>670</v>
      </c>
      <c r="D3518" s="34">
        <v>3993</v>
      </c>
      <c r="E3518" s="35">
        <v>44712</v>
      </c>
      <c r="F3518" s="34">
        <v>3993</v>
      </c>
      <c r="G3518" s="36">
        <f>Tabla16[[#This Row],[Importe]]-Tabla16[[#This Row],[Pagado]]</f>
        <v>0</v>
      </c>
      <c r="H3518" s="38" t="s">
        <v>10</v>
      </c>
    </row>
    <row r="3519" spans="1:8" x14ac:dyDescent="0.25">
      <c r="A3519" s="31">
        <v>44712</v>
      </c>
      <c r="B3519" s="38" t="s">
        <v>17736</v>
      </c>
      <c r="C3519" s="38" t="s">
        <v>421</v>
      </c>
      <c r="D3519" s="34">
        <v>12027.1</v>
      </c>
      <c r="E3519" s="35">
        <v>44732</v>
      </c>
      <c r="F3519" s="34">
        <v>12027.1</v>
      </c>
      <c r="G3519" s="36">
        <f>Tabla16[[#This Row],[Importe]]-Tabla16[[#This Row],[Pagado]]</f>
        <v>0</v>
      </c>
      <c r="H3519" s="38" t="s">
        <v>10</v>
      </c>
    </row>
    <row r="3520" spans="1:8" x14ac:dyDescent="0.25">
      <c r="A3520" s="31">
        <v>44712</v>
      </c>
      <c r="B3520" s="38" t="s">
        <v>17737</v>
      </c>
      <c r="C3520" s="38" t="s">
        <v>681</v>
      </c>
      <c r="D3520" s="34">
        <v>5.37</v>
      </c>
      <c r="E3520" s="35" t="s">
        <v>17650</v>
      </c>
      <c r="F3520" s="34">
        <v>5.37</v>
      </c>
      <c r="G3520" s="36">
        <f>Tabla16[[#This Row],[Importe]]-Tabla16[[#This Row],[Pagado]]</f>
        <v>0</v>
      </c>
      <c r="H3520" s="38" t="s">
        <v>10</v>
      </c>
    </row>
    <row r="3521" spans="1:8" x14ac:dyDescent="0.25">
      <c r="A3521" s="31">
        <v>44712</v>
      </c>
      <c r="B3521" s="38" t="s">
        <v>17738</v>
      </c>
      <c r="C3521" s="38" t="s">
        <v>450</v>
      </c>
      <c r="D3521" s="34">
        <v>11807</v>
      </c>
      <c r="E3521" s="35">
        <v>44712</v>
      </c>
      <c r="F3521" s="34">
        <v>11807</v>
      </c>
      <c r="G3521" s="36">
        <f>Tabla16[[#This Row],[Importe]]-Tabla16[[#This Row],[Pagado]]</f>
        <v>0</v>
      </c>
      <c r="H3521" s="38" t="s">
        <v>10</v>
      </c>
    </row>
    <row r="3522" spans="1:8" x14ac:dyDescent="0.25">
      <c r="A3522" s="31">
        <v>44712</v>
      </c>
      <c r="B3522" s="38" t="s">
        <v>17739</v>
      </c>
      <c r="C3522" s="38" t="s">
        <v>31</v>
      </c>
      <c r="D3522" s="34">
        <v>12902</v>
      </c>
      <c r="E3522" s="35">
        <v>44712</v>
      </c>
      <c r="F3522" s="34">
        <v>12902</v>
      </c>
      <c r="G3522" s="36">
        <f>Tabla16[[#This Row],[Importe]]-Tabla16[[#This Row],[Pagado]]</f>
        <v>0</v>
      </c>
      <c r="H3522" s="38" t="s">
        <v>10</v>
      </c>
    </row>
    <row r="3523" spans="1:8" x14ac:dyDescent="0.25">
      <c r="A3523" s="31">
        <v>44712</v>
      </c>
      <c r="B3523" s="38" t="s">
        <v>17740</v>
      </c>
      <c r="C3523" s="38" t="s">
        <v>67</v>
      </c>
      <c r="D3523" s="34">
        <v>832.5</v>
      </c>
      <c r="E3523" s="35">
        <v>44712</v>
      </c>
      <c r="F3523" s="34">
        <v>832.5</v>
      </c>
      <c r="G3523" s="36">
        <f>Tabla16[[#This Row],[Importe]]-Tabla16[[#This Row],[Pagado]]</f>
        <v>0</v>
      </c>
      <c r="H3523" s="38" t="s">
        <v>10</v>
      </c>
    </row>
    <row r="3524" spans="1:8" x14ac:dyDescent="0.25">
      <c r="A3524" s="31">
        <v>44712</v>
      </c>
      <c r="B3524" s="38" t="s">
        <v>17741</v>
      </c>
      <c r="C3524" s="38" t="s">
        <v>33</v>
      </c>
      <c r="D3524" s="34">
        <v>9380</v>
      </c>
      <c r="E3524" s="35">
        <v>44712</v>
      </c>
      <c r="F3524" s="34">
        <v>9380</v>
      </c>
      <c r="G3524" s="36">
        <f>Tabla16[[#This Row],[Importe]]-Tabla16[[#This Row],[Pagado]]</f>
        <v>0</v>
      </c>
      <c r="H3524" s="38" t="s">
        <v>10</v>
      </c>
    </row>
    <row r="3525" spans="1:8" x14ac:dyDescent="0.25">
      <c r="A3525" s="31">
        <v>44712</v>
      </c>
      <c r="B3525" s="38" t="s">
        <v>17742</v>
      </c>
      <c r="C3525" s="38" t="s">
        <v>12107</v>
      </c>
      <c r="D3525" s="34">
        <v>1680</v>
      </c>
      <c r="E3525" s="35">
        <v>44712</v>
      </c>
      <c r="F3525" s="34">
        <v>1680</v>
      </c>
      <c r="G3525" s="36">
        <f>Tabla16[[#This Row],[Importe]]-Tabla16[[#This Row],[Pagado]]</f>
        <v>0</v>
      </c>
      <c r="H3525" s="38" t="s">
        <v>10</v>
      </c>
    </row>
    <row r="3526" spans="1:8" x14ac:dyDescent="0.25">
      <c r="A3526" s="31">
        <v>44712</v>
      </c>
      <c r="B3526" s="38" t="s">
        <v>17743</v>
      </c>
      <c r="C3526" s="38" t="s">
        <v>433</v>
      </c>
      <c r="D3526" s="34">
        <v>31500</v>
      </c>
      <c r="E3526" s="35">
        <v>44712</v>
      </c>
      <c r="F3526" s="34">
        <v>31500</v>
      </c>
      <c r="G3526" s="36">
        <f>Tabla16[[#This Row],[Importe]]-Tabla16[[#This Row],[Pagado]]</f>
        <v>0</v>
      </c>
      <c r="H3526" s="38" t="s">
        <v>10</v>
      </c>
    </row>
    <row r="3527" spans="1:8" x14ac:dyDescent="0.25">
      <c r="A3527" s="31">
        <v>44712</v>
      </c>
      <c r="B3527" s="38" t="s">
        <v>17744</v>
      </c>
      <c r="C3527" s="38" t="s">
        <v>17745</v>
      </c>
      <c r="D3527" s="34">
        <v>3678.8</v>
      </c>
      <c r="E3527" s="35">
        <v>44712</v>
      </c>
      <c r="F3527" s="34">
        <v>3678.8</v>
      </c>
      <c r="G3527" s="36">
        <f>Tabla16[[#This Row],[Importe]]-Tabla16[[#This Row],[Pagado]]</f>
        <v>0</v>
      </c>
      <c r="H3527" s="38" t="s">
        <v>10</v>
      </c>
    </row>
    <row r="3528" spans="1:8" x14ac:dyDescent="0.25">
      <c r="A3528" s="31">
        <v>44712</v>
      </c>
      <c r="B3528" s="38" t="s">
        <v>17746</v>
      </c>
      <c r="C3528" s="38" t="s">
        <v>142</v>
      </c>
      <c r="D3528" s="34">
        <v>308.72000000000003</v>
      </c>
      <c r="E3528" s="35">
        <v>44760</v>
      </c>
      <c r="F3528" s="34">
        <v>308.72000000000003</v>
      </c>
      <c r="G3528" s="36">
        <f>Tabla16[[#This Row],[Importe]]-Tabla16[[#This Row],[Pagado]]</f>
        <v>0</v>
      </c>
      <c r="H3528" s="38" t="s">
        <v>10</v>
      </c>
    </row>
    <row r="3529" spans="1:8" x14ac:dyDescent="0.25">
      <c r="A3529" s="31">
        <v>44712</v>
      </c>
      <c r="B3529" s="38" t="s">
        <v>17747</v>
      </c>
      <c r="C3529" s="38" t="s">
        <v>440</v>
      </c>
      <c r="D3529" s="34">
        <v>23104</v>
      </c>
      <c r="E3529" s="35">
        <v>44736</v>
      </c>
      <c r="F3529" s="34">
        <v>23104</v>
      </c>
      <c r="G3529" s="36">
        <f>Tabla16[[#This Row],[Importe]]-Tabla16[[#This Row],[Pagado]]</f>
        <v>0</v>
      </c>
      <c r="H3529" s="38" t="s">
        <v>10</v>
      </c>
    </row>
    <row r="3530" spans="1:8" x14ac:dyDescent="0.25">
      <c r="A3530" s="31">
        <v>44712</v>
      </c>
      <c r="B3530" s="38" t="s">
        <v>17748</v>
      </c>
      <c r="C3530" s="38" t="s">
        <v>284</v>
      </c>
      <c r="D3530" s="34">
        <v>6230.7</v>
      </c>
      <c r="E3530" s="35">
        <v>44713</v>
      </c>
      <c r="F3530" s="34">
        <v>6230.7</v>
      </c>
      <c r="G3530" s="36">
        <f>Tabla16[[#This Row],[Importe]]-Tabla16[[#This Row],[Pagado]]</f>
        <v>0</v>
      </c>
      <c r="H3530" s="38" t="s">
        <v>10</v>
      </c>
    </row>
    <row r="3531" spans="1:8" x14ac:dyDescent="0.25">
      <c r="A3531" s="31">
        <v>44712</v>
      </c>
      <c r="B3531" s="38" t="s">
        <v>17749</v>
      </c>
      <c r="C3531" s="38" t="s">
        <v>282</v>
      </c>
      <c r="D3531" s="34">
        <v>1782.9</v>
      </c>
      <c r="E3531" s="35">
        <v>44713</v>
      </c>
      <c r="F3531" s="34">
        <v>1782.9</v>
      </c>
      <c r="G3531" s="36">
        <f>Tabla16[[#This Row],[Importe]]-Tabla16[[#This Row],[Pagado]]</f>
        <v>0</v>
      </c>
      <c r="H3531" s="38" t="s">
        <v>10</v>
      </c>
    </row>
    <row r="3532" spans="1:8" x14ac:dyDescent="0.25">
      <c r="A3532" s="31">
        <v>44712</v>
      </c>
      <c r="B3532" s="38" t="s">
        <v>17750</v>
      </c>
      <c r="C3532" s="38" t="s">
        <v>280</v>
      </c>
      <c r="D3532" s="34">
        <v>1083.5999999999999</v>
      </c>
      <c r="E3532" s="35">
        <v>44713</v>
      </c>
      <c r="F3532" s="34">
        <v>1083.5999999999999</v>
      </c>
      <c r="G3532" s="36">
        <f>Tabla16[[#This Row],[Importe]]-Tabla16[[#This Row],[Pagado]]</f>
        <v>0</v>
      </c>
      <c r="H3532" s="38" t="s">
        <v>10</v>
      </c>
    </row>
    <row r="3533" spans="1:8" x14ac:dyDescent="0.25">
      <c r="A3533" s="31">
        <v>44712</v>
      </c>
      <c r="B3533" s="38" t="s">
        <v>17751</v>
      </c>
      <c r="C3533" s="38" t="s">
        <v>5345</v>
      </c>
      <c r="D3533" s="34">
        <v>2375.1</v>
      </c>
      <c r="E3533" s="35">
        <v>44713</v>
      </c>
      <c r="F3533" s="34">
        <v>2375.1</v>
      </c>
      <c r="G3533" s="36">
        <f>Tabla16[[#This Row],[Importe]]-Tabla16[[#This Row],[Pagado]]</f>
        <v>0</v>
      </c>
      <c r="H3533" s="38" t="s">
        <v>10</v>
      </c>
    </row>
    <row r="3534" spans="1:8" x14ac:dyDescent="0.25">
      <c r="A3534" s="31">
        <v>44712</v>
      </c>
      <c r="B3534" s="38" t="s">
        <v>17752</v>
      </c>
      <c r="C3534" s="38" t="s">
        <v>10819</v>
      </c>
      <c r="D3534" s="34">
        <v>798.7</v>
      </c>
      <c r="E3534" s="35">
        <v>44713</v>
      </c>
      <c r="F3534" s="34">
        <v>798.7</v>
      </c>
      <c r="G3534" s="36">
        <f>Tabla16[[#This Row],[Importe]]-Tabla16[[#This Row],[Pagado]]</f>
        <v>0</v>
      </c>
      <c r="H3534" s="38" t="s">
        <v>10</v>
      </c>
    </row>
    <row r="3535" spans="1:8" x14ac:dyDescent="0.25">
      <c r="A3535" s="31">
        <v>44712</v>
      </c>
      <c r="B3535" s="38" t="s">
        <v>17753</v>
      </c>
      <c r="C3535" s="38" t="s">
        <v>200</v>
      </c>
      <c r="D3535" s="34">
        <v>579.6</v>
      </c>
      <c r="E3535" s="35">
        <v>44713</v>
      </c>
      <c r="F3535" s="34">
        <v>579.6</v>
      </c>
      <c r="G3535" s="36">
        <f>Tabla16[[#This Row],[Importe]]-Tabla16[[#This Row],[Pagado]]</f>
        <v>0</v>
      </c>
      <c r="H3535" s="38" t="s">
        <v>10</v>
      </c>
    </row>
    <row r="3536" spans="1:8" x14ac:dyDescent="0.25">
      <c r="A3536" s="31">
        <v>44712</v>
      </c>
      <c r="B3536" s="38" t="s">
        <v>17754</v>
      </c>
      <c r="C3536" s="38" t="s">
        <v>5694</v>
      </c>
      <c r="D3536" s="34">
        <v>913</v>
      </c>
      <c r="E3536" s="35">
        <v>44712</v>
      </c>
      <c r="F3536" s="34">
        <v>913</v>
      </c>
      <c r="G3536" s="36">
        <f>Tabla16[[#This Row],[Importe]]-Tabla16[[#This Row],[Pagado]]</f>
        <v>0</v>
      </c>
      <c r="H3536" s="38" t="s">
        <v>10</v>
      </c>
    </row>
    <row r="3537" spans="1:8" x14ac:dyDescent="0.25">
      <c r="A3537" s="31">
        <v>44712</v>
      </c>
      <c r="B3537" s="38" t="s">
        <v>17755</v>
      </c>
      <c r="C3537" s="38" t="s">
        <v>53</v>
      </c>
      <c r="D3537" s="34">
        <v>1120</v>
      </c>
      <c r="E3537" s="35">
        <v>44712</v>
      </c>
      <c r="F3537" s="34">
        <v>1120</v>
      </c>
      <c r="G3537" s="36">
        <f>Tabla16[[#This Row],[Importe]]-Tabla16[[#This Row],[Pagado]]</f>
        <v>0</v>
      </c>
      <c r="H3537" s="38" t="s">
        <v>10</v>
      </c>
    </row>
    <row r="3538" spans="1:8" x14ac:dyDescent="0.25">
      <c r="A3538" s="31">
        <v>44712</v>
      </c>
      <c r="B3538" s="38" t="s">
        <v>17756</v>
      </c>
      <c r="C3538" s="38" t="s">
        <v>426</v>
      </c>
      <c r="D3538" s="34">
        <v>3244.8</v>
      </c>
      <c r="E3538" s="35">
        <v>44713</v>
      </c>
      <c r="F3538" s="34">
        <v>3244.8</v>
      </c>
      <c r="G3538" s="36">
        <f>Tabla16[[#This Row],[Importe]]-Tabla16[[#This Row],[Pagado]]</f>
        <v>0</v>
      </c>
      <c r="H3538" s="38" t="s">
        <v>10</v>
      </c>
    </row>
    <row r="3539" spans="1:8" x14ac:dyDescent="0.25">
      <c r="A3539" s="31">
        <v>44712</v>
      </c>
      <c r="B3539" s="38" t="s">
        <v>17757</v>
      </c>
      <c r="C3539" s="38" t="s">
        <v>291</v>
      </c>
      <c r="D3539" s="34">
        <v>2783.7</v>
      </c>
      <c r="E3539" s="35">
        <v>44713</v>
      </c>
      <c r="F3539" s="34">
        <v>2783.7</v>
      </c>
      <c r="G3539" s="36">
        <f>Tabla16[[#This Row],[Importe]]-Tabla16[[#This Row],[Pagado]]</f>
        <v>0</v>
      </c>
      <c r="H3539" s="38" t="s">
        <v>10</v>
      </c>
    </row>
    <row r="3540" spans="1:8" x14ac:dyDescent="0.25">
      <c r="A3540" s="31">
        <v>44712</v>
      </c>
      <c r="B3540" s="38" t="s">
        <v>17758</v>
      </c>
      <c r="C3540" s="38" t="s">
        <v>31</v>
      </c>
      <c r="D3540" s="34">
        <v>1615.4</v>
      </c>
      <c r="E3540" s="35">
        <v>44712</v>
      </c>
      <c r="F3540" s="34">
        <v>1615.4</v>
      </c>
      <c r="G3540" s="36">
        <f>Tabla16[[#This Row],[Importe]]-Tabla16[[#This Row],[Pagado]]</f>
        <v>0</v>
      </c>
      <c r="H3540" s="38" t="s">
        <v>10</v>
      </c>
    </row>
    <row r="3541" spans="1:8" x14ac:dyDescent="0.25">
      <c r="A3541" s="31">
        <v>44712</v>
      </c>
      <c r="B3541" s="38" t="s">
        <v>17759</v>
      </c>
      <c r="C3541" s="38" t="s">
        <v>17760</v>
      </c>
      <c r="D3541" s="34">
        <v>0</v>
      </c>
      <c r="E3541" s="39" t="s">
        <v>189</v>
      </c>
      <c r="F3541" s="34">
        <v>0</v>
      </c>
      <c r="G3541" s="36">
        <f>Tabla16[[#This Row],[Importe]]-Tabla16[[#This Row],[Pagado]]</f>
        <v>0</v>
      </c>
      <c r="H3541" s="38" t="s">
        <v>189</v>
      </c>
    </row>
    <row r="3542" spans="1:8" x14ac:dyDescent="0.25">
      <c r="A3542" s="31">
        <v>44712</v>
      </c>
      <c r="B3542" s="38" t="s">
        <v>17761</v>
      </c>
      <c r="C3542" s="38" t="s">
        <v>179</v>
      </c>
      <c r="D3542" s="34">
        <v>1134</v>
      </c>
      <c r="E3542" s="35">
        <v>44712</v>
      </c>
      <c r="F3542" s="34">
        <v>1134</v>
      </c>
      <c r="G3542" s="36">
        <f>Tabla16[[#This Row],[Importe]]-Tabla16[[#This Row],[Pagado]]</f>
        <v>0</v>
      </c>
      <c r="H3542" s="38" t="s">
        <v>10</v>
      </c>
    </row>
    <row r="3543" spans="1:8" x14ac:dyDescent="0.25">
      <c r="A3543" s="31">
        <v>44712</v>
      </c>
      <c r="B3543" s="38" t="s">
        <v>17762</v>
      </c>
      <c r="C3543" s="38" t="s">
        <v>461</v>
      </c>
      <c r="D3543" s="34">
        <v>189</v>
      </c>
      <c r="E3543" s="35">
        <v>44712</v>
      </c>
      <c r="F3543" s="34">
        <v>189</v>
      </c>
      <c r="G3543" s="36">
        <f>Tabla16[[#This Row],[Importe]]-Tabla16[[#This Row],[Pagado]]</f>
        <v>0</v>
      </c>
      <c r="H3543" s="38" t="s">
        <v>10</v>
      </c>
    </row>
    <row r="3544" spans="1:8" x14ac:dyDescent="0.25">
      <c r="A3544" s="31">
        <v>44712</v>
      </c>
      <c r="B3544" s="38" t="s">
        <v>17763</v>
      </c>
      <c r="C3544" s="38" t="s">
        <v>31</v>
      </c>
      <c r="D3544" s="34">
        <v>832</v>
      </c>
      <c r="E3544" s="35">
        <v>44712</v>
      </c>
      <c r="F3544" s="34">
        <v>832</v>
      </c>
      <c r="G3544" s="36">
        <f>Tabla16[[#This Row],[Importe]]-Tabla16[[#This Row],[Pagado]]</f>
        <v>0</v>
      </c>
      <c r="H3544" s="38" t="s">
        <v>10</v>
      </c>
    </row>
    <row r="3545" spans="1:8" x14ac:dyDescent="0.25">
      <c r="A3545" s="31">
        <v>44712</v>
      </c>
      <c r="B3545" s="38" t="s">
        <v>17764</v>
      </c>
      <c r="C3545" s="38" t="s">
        <v>463</v>
      </c>
      <c r="D3545" s="34">
        <v>550</v>
      </c>
      <c r="E3545" s="35">
        <v>44716</v>
      </c>
      <c r="F3545" s="34">
        <v>550</v>
      </c>
      <c r="G3545" s="36">
        <f>Tabla16[[#This Row],[Importe]]-Tabla16[[#This Row],[Pagado]]</f>
        <v>0</v>
      </c>
      <c r="H3545" s="38" t="s">
        <v>10</v>
      </c>
    </row>
    <row r="3546" spans="1:8" x14ac:dyDescent="0.25">
      <c r="A3546" s="31">
        <v>44712</v>
      </c>
      <c r="B3546" s="38" t="s">
        <v>17765</v>
      </c>
      <c r="C3546" s="38" t="s">
        <v>5694</v>
      </c>
      <c r="D3546" s="34">
        <v>1339.8</v>
      </c>
      <c r="E3546" s="35">
        <v>44712</v>
      </c>
      <c r="F3546" s="34">
        <v>1339.8</v>
      </c>
      <c r="G3546" s="36">
        <f>Tabla16[[#This Row],[Importe]]-Tabla16[[#This Row],[Pagado]]</f>
        <v>0</v>
      </c>
      <c r="H3546" s="38" t="s">
        <v>10</v>
      </c>
    </row>
    <row r="3547" spans="1:8" x14ac:dyDescent="0.25">
      <c r="A3547" s="31">
        <v>44712</v>
      </c>
      <c r="B3547" s="38" t="s">
        <v>17766</v>
      </c>
      <c r="C3547" s="38" t="s">
        <v>470</v>
      </c>
      <c r="D3547" s="34">
        <v>2578.4</v>
      </c>
      <c r="E3547" s="35">
        <v>44713</v>
      </c>
      <c r="F3547" s="34">
        <v>2578.4</v>
      </c>
      <c r="G3547" s="36">
        <f>Tabla16[[#This Row],[Importe]]-Tabla16[[#This Row],[Pagado]]</f>
        <v>0</v>
      </c>
      <c r="H3547" s="38" t="s">
        <v>10</v>
      </c>
    </row>
    <row r="3548" spans="1:8" x14ac:dyDescent="0.25">
      <c r="A3548" s="31">
        <v>44712</v>
      </c>
      <c r="B3548" s="38" t="s">
        <v>17767</v>
      </c>
      <c r="C3548" s="38" t="s">
        <v>226</v>
      </c>
      <c r="D3548" s="34">
        <v>325</v>
      </c>
      <c r="E3548" s="35">
        <v>44712</v>
      </c>
      <c r="F3548" s="34">
        <v>325</v>
      </c>
      <c r="G3548" s="36">
        <f>Tabla16[[#This Row],[Importe]]-Tabla16[[#This Row],[Pagado]]</f>
        <v>0</v>
      </c>
      <c r="H3548" s="38" t="s">
        <v>10</v>
      </c>
    </row>
    <row r="3549" spans="1:8" x14ac:dyDescent="0.25">
      <c r="A3549" s="31">
        <v>44712</v>
      </c>
      <c r="B3549" s="38" t="s">
        <v>17768</v>
      </c>
      <c r="C3549" s="38" t="s">
        <v>196</v>
      </c>
      <c r="D3549" s="34">
        <v>19341.099999999999</v>
      </c>
      <c r="E3549" s="35">
        <v>44715</v>
      </c>
      <c r="F3549" s="34">
        <v>19341.099999999999</v>
      </c>
      <c r="G3549" s="36">
        <f>Tabla16[[#This Row],[Importe]]-Tabla16[[#This Row],[Pagado]]</f>
        <v>0</v>
      </c>
      <c r="H3549" s="38" t="s">
        <v>10</v>
      </c>
    </row>
    <row r="3550" spans="1:8" x14ac:dyDescent="0.25">
      <c r="A3550" s="31">
        <v>44712</v>
      </c>
      <c r="B3550" s="38" t="s">
        <v>17769</v>
      </c>
      <c r="C3550" s="38" t="s">
        <v>289</v>
      </c>
      <c r="D3550" s="34">
        <v>7950.6</v>
      </c>
      <c r="E3550" s="35">
        <v>44712</v>
      </c>
      <c r="F3550" s="34">
        <v>7950.6</v>
      </c>
      <c r="G3550" s="36">
        <f>Tabla16[[#This Row],[Importe]]-Tabla16[[#This Row],[Pagado]]</f>
        <v>0</v>
      </c>
      <c r="H3550" s="38" t="s">
        <v>10</v>
      </c>
    </row>
    <row r="3551" spans="1:8" x14ac:dyDescent="0.25">
      <c r="A3551" s="31">
        <v>44712</v>
      </c>
      <c r="B3551" s="38" t="s">
        <v>17770</v>
      </c>
      <c r="C3551" s="38" t="s">
        <v>214</v>
      </c>
      <c r="D3551" s="34">
        <v>6272</v>
      </c>
      <c r="E3551" s="35">
        <v>44713</v>
      </c>
      <c r="F3551" s="34">
        <v>6272</v>
      </c>
      <c r="G3551" s="36">
        <f>Tabla16[[#This Row],[Importe]]-Tabla16[[#This Row],[Pagado]]</f>
        <v>0</v>
      </c>
      <c r="H3551" s="38" t="s">
        <v>10</v>
      </c>
    </row>
    <row r="3552" spans="1:8" x14ac:dyDescent="0.25">
      <c r="A3552" s="31">
        <v>44712</v>
      </c>
      <c r="B3552" s="38" t="s">
        <v>17771</v>
      </c>
      <c r="C3552" s="38" t="s">
        <v>31</v>
      </c>
      <c r="D3552" s="34">
        <v>1156.5999999999999</v>
      </c>
      <c r="E3552" s="35">
        <v>44713</v>
      </c>
      <c r="F3552" s="34">
        <v>1156.5999999999999</v>
      </c>
      <c r="G3552" s="36">
        <f>Tabla16[[#This Row],[Importe]]-Tabla16[[#This Row],[Pagado]]</f>
        <v>0</v>
      </c>
      <c r="H3552" s="38" t="s">
        <v>10</v>
      </c>
    </row>
    <row r="3553" spans="1:8" x14ac:dyDescent="0.25">
      <c r="A3553" s="31">
        <v>44712</v>
      </c>
      <c r="B3553" s="38" t="s">
        <v>17772</v>
      </c>
      <c r="C3553" s="38" t="s">
        <v>31</v>
      </c>
      <c r="D3553" s="34">
        <v>79.2</v>
      </c>
      <c r="E3553" s="35">
        <v>44712</v>
      </c>
      <c r="F3553" s="34">
        <v>79.2</v>
      </c>
      <c r="G3553" s="36">
        <f>Tabla16[[#This Row],[Importe]]-Tabla16[[#This Row],[Pagado]]</f>
        <v>0</v>
      </c>
      <c r="H3553" s="38" t="s">
        <v>10</v>
      </c>
    </row>
    <row r="3554" spans="1:8" x14ac:dyDescent="0.25">
      <c r="A3554" s="31">
        <v>44712</v>
      </c>
      <c r="B3554" s="38" t="s">
        <v>17773</v>
      </c>
      <c r="C3554" s="38" t="s">
        <v>10273</v>
      </c>
      <c r="D3554" s="34">
        <v>61.6</v>
      </c>
      <c r="E3554" s="35">
        <v>44718</v>
      </c>
      <c r="F3554" s="34">
        <v>61.6</v>
      </c>
      <c r="G3554" s="36">
        <f>Tabla16[[#This Row],[Importe]]-Tabla16[[#This Row],[Pagado]]</f>
        <v>0</v>
      </c>
      <c r="H3554" s="38" t="s">
        <v>10</v>
      </c>
    </row>
    <row r="3555" spans="1:8" x14ac:dyDescent="0.25">
      <c r="A3555" s="106"/>
      <c r="B3555" s="107"/>
      <c r="C3555" s="107"/>
      <c r="D3555" s="108">
        <v>0</v>
      </c>
      <c r="E3555" s="109"/>
      <c r="F3555" s="108">
        <v>0</v>
      </c>
      <c r="G3555" s="110">
        <f>Tabla16[[#This Row],[Importe]]-Tabla16[[#This Row],[Pagado]]</f>
        <v>0</v>
      </c>
      <c r="H3555" s="107"/>
    </row>
    <row r="3556" spans="1:8" ht="28.5" customHeight="1" x14ac:dyDescent="0.3">
      <c r="A3556" s="106"/>
      <c r="B3556" s="107"/>
      <c r="C3556" s="107"/>
      <c r="D3556" s="111">
        <f>SUBTOTAL(109,Tabla16[Importe])</f>
        <v>35678176.499999963</v>
      </c>
      <c r="E3556" s="112"/>
      <c r="F3556" s="111">
        <f>SUBTOTAL(109,Tabla16[Pagado])</f>
        <v>35622176.49999997</v>
      </c>
      <c r="G3556" s="113">
        <f>SUBTOTAL(109,Tabla16[Saldo])</f>
        <v>56000</v>
      </c>
      <c r="H3556" s="107"/>
    </row>
    <row r="3561" spans="1:8" ht="16.5" thickBot="1" x14ac:dyDescent="0.3"/>
    <row r="3562" spans="1:8" x14ac:dyDescent="0.25">
      <c r="E3562" s="211">
        <f>Tabla16[[#Totals],[Importe]]-Tabla16[[#Totals],[Pagado]]</f>
        <v>55999.999999992549</v>
      </c>
      <c r="F3562" s="212"/>
      <c r="G3562" s="213"/>
    </row>
    <row r="3563" spans="1:8" x14ac:dyDescent="0.25">
      <c r="E3563" s="214"/>
      <c r="F3563" s="215"/>
      <c r="G3563" s="216"/>
    </row>
    <row r="3564" spans="1:8" ht="16.5" thickBot="1" x14ac:dyDescent="0.3">
      <c r="E3564" s="217"/>
      <c r="F3564" s="218"/>
      <c r="G3564" s="219"/>
    </row>
  </sheetData>
  <mergeCells count="1">
    <mergeCell ref="E3562:G3564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I3344"/>
  <sheetViews>
    <sheetView zoomScale="115" zoomScaleNormal="115" workbookViewId="0">
      <pane xSplit="2" ySplit="1" topLeftCell="E3327" activePane="bottomRight" state="frozen"/>
      <selection pane="topRight" activeCell="C1" sqref="C1"/>
      <selection pane="bottomLeft" activeCell="A2" sqref="A2"/>
      <selection pane="bottomRight" activeCell="A3340" sqref="A3340"/>
    </sheetView>
  </sheetViews>
  <sheetFormatPr baseColWidth="10" defaultRowHeight="15.75" x14ac:dyDescent="0.25"/>
  <cols>
    <col min="1" max="1" width="18.140625" style="122" customWidth="1"/>
    <col min="2" max="2" width="14.85546875" style="124" customWidth="1"/>
    <col min="3" max="3" width="56.140625" style="124" bestFit="1" customWidth="1"/>
    <col min="4" max="4" width="21.42578125" style="123" customWidth="1"/>
    <col min="5" max="5" width="17.5703125" style="146" customWidth="1"/>
    <col min="6" max="6" width="21.140625" style="124" customWidth="1"/>
    <col min="7" max="7" width="21.7109375" style="140" customWidth="1"/>
    <col min="8" max="8" width="31.140625" style="141" customWidth="1"/>
    <col min="9" max="9" width="18.7109375" style="123" customWidth="1"/>
    <col min="10" max="16384" width="11.42578125" style="123"/>
  </cols>
  <sheetData>
    <row r="1" spans="1:9" x14ac:dyDescent="0.25">
      <c r="A1" s="122" t="s">
        <v>0</v>
      </c>
      <c r="B1" s="123" t="s">
        <v>1</v>
      </c>
      <c r="C1" s="124" t="s">
        <v>2</v>
      </c>
      <c r="D1" s="125" t="s">
        <v>3</v>
      </c>
      <c r="E1" s="42" t="s">
        <v>4</v>
      </c>
      <c r="F1" s="125" t="s">
        <v>5</v>
      </c>
      <c r="G1" s="126" t="s">
        <v>6</v>
      </c>
      <c r="H1" s="123" t="s">
        <v>7</v>
      </c>
    </row>
    <row r="2" spans="1:9" ht="34.5" customHeight="1" x14ac:dyDescent="0.25">
      <c r="A2" s="127">
        <v>44713</v>
      </c>
      <c r="B2" s="128" t="s">
        <v>17785</v>
      </c>
      <c r="C2" s="129" t="s">
        <v>475</v>
      </c>
      <c r="D2" s="130">
        <v>79703.100000000006</v>
      </c>
      <c r="E2" s="131" t="s">
        <v>17786</v>
      </c>
      <c r="F2" s="132">
        <f>39500+40203.1</f>
        <v>79703.100000000006</v>
      </c>
      <c r="G2" s="133">
        <f>Tabla147[[#This Row],[Importe]]-Tabla147[[#This Row],[Pagado]]</f>
        <v>0</v>
      </c>
      <c r="H2" s="134" t="s">
        <v>10</v>
      </c>
      <c r="I2" s="135"/>
    </row>
    <row r="3" spans="1:9" ht="29.25" customHeight="1" x14ac:dyDescent="0.25">
      <c r="A3" s="127">
        <v>44713</v>
      </c>
      <c r="B3" s="128" t="s">
        <v>17787</v>
      </c>
      <c r="C3" s="129" t="s">
        <v>89</v>
      </c>
      <c r="D3" s="130">
        <v>4605</v>
      </c>
      <c r="E3" s="131">
        <v>44713</v>
      </c>
      <c r="F3" s="132">
        <v>4605</v>
      </c>
      <c r="G3" s="133">
        <f>Tabla147[[#This Row],[Importe]]-Tabla147[[#This Row],[Pagado]]</f>
        <v>0</v>
      </c>
      <c r="H3" s="134" t="s">
        <v>10</v>
      </c>
      <c r="I3" s="135"/>
    </row>
    <row r="4" spans="1:9" ht="21.75" customHeight="1" x14ac:dyDescent="0.25">
      <c r="A4" s="127">
        <v>44713</v>
      </c>
      <c r="B4" s="128" t="s">
        <v>17788</v>
      </c>
      <c r="C4" s="129" t="s">
        <v>105</v>
      </c>
      <c r="D4" s="130">
        <v>8819</v>
      </c>
      <c r="E4" s="131">
        <v>44714</v>
      </c>
      <c r="F4" s="132">
        <v>8819</v>
      </c>
      <c r="G4" s="133">
        <f>Tabla147[[#This Row],[Importe]]-Tabla147[[#This Row],[Pagado]]</f>
        <v>0</v>
      </c>
      <c r="H4" s="134" t="s">
        <v>10</v>
      </c>
      <c r="I4" s="135"/>
    </row>
    <row r="5" spans="1:9" ht="21.75" customHeight="1" x14ac:dyDescent="0.25">
      <c r="A5" s="127">
        <v>44713</v>
      </c>
      <c r="B5" s="128" t="s">
        <v>17789</v>
      </c>
      <c r="C5" s="129" t="s">
        <v>60</v>
      </c>
      <c r="D5" s="130">
        <v>4668.3</v>
      </c>
      <c r="E5" s="131">
        <v>44716</v>
      </c>
      <c r="F5" s="132">
        <v>4668.3</v>
      </c>
      <c r="G5" s="133">
        <f>Tabla147[[#This Row],[Importe]]-Tabla147[[#This Row],[Pagado]]</f>
        <v>0</v>
      </c>
      <c r="H5" s="134" t="s">
        <v>10</v>
      </c>
      <c r="I5" s="135"/>
    </row>
    <row r="6" spans="1:9" ht="21.75" customHeight="1" x14ac:dyDescent="0.25">
      <c r="A6" s="127">
        <v>44713</v>
      </c>
      <c r="B6" s="128" t="s">
        <v>17790</v>
      </c>
      <c r="C6" s="129" t="s">
        <v>348</v>
      </c>
      <c r="D6" s="130">
        <v>4895</v>
      </c>
      <c r="E6" s="131">
        <v>44713</v>
      </c>
      <c r="F6" s="132">
        <v>4895</v>
      </c>
      <c r="G6" s="133">
        <f>Tabla147[[#This Row],[Importe]]-Tabla147[[#This Row],[Pagado]]</f>
        <v>0</v>
      </c>
      <c r="H6" s="134" t="s">
        <v>10</v>
      </c>
      <c r="I6" s="135"/>
    </row>
    <row r="7" spans="1:9" ht="21.75" customHeight="1" x14ac:dyDescent="0.25">
      <c r="A7" s="127">
        <v>44713</v>
      </c>
      <c r="B7" s="128" t="s">
        <v>17791</v>
      </c>
      <c r="C7" s="129" t="s">
        <v>353</v>
      </c>
      <c r="D7" s="130">
        <v>1820</v>
      </c>
      <c r="E7" s="131">
        <v>44713</v>
      </c>
      <c r="F7" s="132">
        <v>1820</v>
      </c>
      <c r="G7" s="133">
        <f>Tabla147[[#This Row],[Importe]]-Tabla147[[#This Row],[Pagado]]</f>
        <v>0</v>
      </c>
      <c r="H7" s="134" t="s">
        <v>10</v>
      </c>
      <c r="I7" s="135"/>
    </row>
    <row r="8" spans="1:9" ht="21.75" customHeight="1" x14ac:dyDescent="0.25">
      <c r="A8" s="127">
        <v>44713</v>
      </c>
      <c r="B8" s="128" t="s">
        <v>17792</v>
      </c>
      <c r="C8" s="129" t="s">
        <v>64</v>
      </c>
      <c r="D8" s="130">
        <v>4457.3999999999996</v>
      </c>
      <c r="E8" s="131">
        <v>44715</v>
      </c>
      <c r="F8" s="132">
        <v>4457.3999999999996</v>
      </c>
      <c r="G8" s="133">
        <f>Tabla147[[#This Row],[Importe]]-Tabla147[[#This Row],[Pagado]]</f>
        <v>0</v>
      </c>
      <c r="H8" s="134" t="s">
        <v>10</v>
      </c>
      <c r="I8" s="135"/>
    </row>
    <row r="9" spans="1:9" ht="21.75" customHeight="1" x14ac:dyDescent="0.25">
      <c r="A9" s="127">
        <v>44713</v>
      </c>
      <c r="B9" s="128" t="s">
        <v>17793</v>
      </c>
      <c r="C9" s="129" t="s">
        <v>120</v>
      </c>
      <c r="D9" s="130">
        <v>4440.3</v>
      </c>
      <c r="E9" s="131">
        <v>44715</v>
      </c>
      <c r="F9" s="132">
        <v>4440.3</v>
      </c>
      <c r="G9" s="133">
        <f>Tabla147[[#This Row],[Importe]]-Tabla147[[#This Row],[Pagado]]</f>
        <v>0</v>
      </c>
      <c r="H9" s="134" t="s">
        <v>10</v>
      </c>
      <c r="I9" s="135"/>
    </row>
    <row r="10" spans="1:9" ht="21.75" customHeight="1" x14ac:dyDescent="0.25">
      <c r="A10" s="127">
        <v>44713</v>
      </c>
      <c r="B10" s="128" t="s">
        <v>17794</v>
      </c>
      <c r="C10" s="129" t="s">
        <v>93</v>
      </c>
      <c r="D10" s="130">
        <v>2149.3000000000002</v>
      </c>
      <c r="E10" s="131">
        <v>44714</v>
      </c>
      <c r="F10" s="132">
        <v>2149.3000000000002</v>
      </c>
      <c r="G10" s="133">
        <f>Tabla147[[#This Row],[Importe]]-Tabla147[[#This Row],[Pagado]]</f>
        <v>0</v>
      </c>
      <c r="H10" s="134" t="s">
        <v>10</v>
      </c>
      <c r="I10" s="135"/>
    </row>
    <row r="11" spans="1:9" ht="27" customHeight="1" x14ac:dyDescent="0.25">
      <c r="A11" s="127">
        <v>44713</v>
      </c>
      <c r="B11" s="128" t="s">
        <v>17795</v>
      </c>
      <c r="C11" s="129" t="s">
        <v>39</v>
      </c>
      <c r="D11" s="130">
        <v>18114.3</v>
      </c>
      <c r="E11" s="131" t="s">
        <v>17796</v>
      </c>
      <c r="F11" s="132">
        <f>4000+14114.3</f>
        <v>18114.3</v>
      </c>
      <c r="G11" s="133">
        <f>Tabla147[[#This Row],[Importe]]-Tabla147[[#This Row],[Pagado]]</f>
        <v>0</v>
      </c>
      <c r="H11" s="134" t="s">
        <v>10</v>
      </c>
      <c r="I11" s="135"/>
    </row>
    <row r="12" spans="1:9" ht="21.75" customHeight="1" x14ac:dyDescent="0.25">
      <c r="A12" s="127">
        <v>44713</v>
      </c>
      <c r="B12" s="128" t="s">
        <v>17797</v>
      </c>
      <c r="C12" s="129" t="s">
        <v>114</v>
      </c>
      <c r="D12" s="130">
        <v>4394.5</v>
      </c>
      <c r="E12" s="131">
        <v>44714</v>
      </c>
      <c r="F12" s="132">
        <v>4394.5</v>
      </c>
      <c r="G12" s="133">
        <f>Tabla147[[#This Row],[Importe]]-Tabla147[[#This Row],[Pagado]]</f>
        <v>0</v>
      </c>
      <c r="H12" s="134" t="s">
        <v>10</v>
      </c>
      <c r="I12" s="135"/>
    </row>
    <row r="13" spans="1:9" ht="21.75" customHeight="1" x14ac:dyDescent="0.25">
      <c r="A13" s="127">
        <v>44713</v>
      </c>
      <c r="B13" s="128" t="s">
        <v>17798</v>
      </c>
      <c r="C13" s="129" t="s">
        <v>111</v>
      </c>
      <c r="D13" s="130">
        <v>4757.5</v>
      </c>
      <c r="E13" s="131">
        <v>44714</v>
      </c>
      <c r="F13" s="132">
        <v>4757.5</v>
      </c>
      <c r="G13" s="133">
        <f>Tabla147[[#This Row],[Importe]]-Tabla147[[#This Row],[Pagado]]</f>
        <v>0</v>
      </c>
      <c r="H13" s="134" t="s">
        <v>10</v>
      </c>
      <c r="I13" s="135"/>
    </row>
    <row r="14" spans="1:9" ht="21.75" customHeight="1" x14ac:dyDescent="0.25">
      <c r="A14" s="127">
        <v>44713</v>
      </c>
      <c r="B14" s="128" t="s">
        <v>17799</v>
      </c>
      <c r="C14" s="129" t="s">
        <v>97</v>
      </c>
      <c r="D14" s="130">
        <v>4295.5</v>
      </c>
      <c r="E14" s="131">
        <v>44714</v>
      </c>
      <c r="F14" s="132">
        <v>4295.5</v>
      </c>
      <c r="G14" s="133">
        <f>Tabla147[[#This Row],[Importe]]-Tabla147[[#This Row],[Pagado]]</f>
        <v>0</v>
      </c>
      <c r="H14" s="134" t="s">
        <v>10</v>
      </c>
      <c r="I14" s="135"/>
    </row>
    <row r="15" spans="1:9" ht="21.75" customHeight="1" x14ac:dyDescent="0.25">
      <c r="A15" s="127">
        <v>44713</v>
      </c>
      <c r="B15" s="128" t="s">
        <v>17800</v>
      </c>
      <c r="C15" s="129" t="s">
        <v>2151</v>
      </c>
      <c r="D15" s="130">
        <v>15275.5</v>
      </c>
      <c r="E15" s="131">
        <v>44713</v>
      </c>
      <c r="F15" s="132">
        <v>15275.5</v>
      </c>
      <c r="G15" s="133">
        <f>Tabla147[[#This Row],[Importe]]-Tabla147[[#This Row],[Pagado]]</f>
        <v>0</v>
      </c>
      <c r="H15" s="134" t="s">
        <v>10</v>
      </c>
      <c r="I15" s="135"/>
    </row>
    <row r="16" spans="1:9" ht="21.75" customHeight="1" x14ac:dyDescent="0.25">
      <c r="A16" s="127">
        <v>44713</v>
      </c>
      <c r="B16" s="128" t="s">
        <v>17801</v>
      </c>
      <c r="C16" s="129" t="s">
        <v>83</v>
      </c>
      <c r="D16" s="130">
        <v>7374.4</v>
      </c>
      <c r="E16" s="131">
        <v>44713</v>
      </c>
      <c r="F16" s="132">
        <v>7374.4</v>
      </c>
      <c r="G16" s="133">
        <f>Tabla147[[#This Row],[Importe]]-Tabla147[[#This Row],[Pagado]]</f>
        <v>0</v>
      </c>
      <c r="H16" s="134" t="s">
        <v>10</v>
      </c>
      <c r="I16" s="135"/>
    </row>
    <row r="17" spans="1:9" ht="21.75" customHeight="1" x14ac:dyDescent="0.25">
      <c r="A17" s="127">
        <v>44713</v>
      </c>
      <c r="B17" s="128" t="s">
        <v>17802</v>
      </c>
      <c r="C17" s="129" t="s">
        <v>9</v>
      </c>
      <c r="D17" s="130">
        <v>6257.1</v>
      </c>
      <c r="E17" s="131">
        <v>44713</v>
      </c>
      <c r="F17" s="132">
        <v>6257.1</v>
      </c>
      <c r="G17" s="133">
        <f>Tabla147[[#This Row],[Importe]]-Tabla147[[#This Row],[Pagado]]</f>
        <v>0</v>
      </c>
      <c r="H17" s="134" t="s">
        <v>10</v>
      </c>
      <c r="I17" s="135"/>
    </row>
    <row r="18" spans="1:9" ht="21.75" customHeight="1" x14ac:dyDescent="0.25">
      <c r="A18" s="127">
        <v>44713</v>
      </c>
      <c r="B18" s="128" t="s">
        <v>17803</v>
      </c>
      <c r="C18" s="129" t="s">
        <v>85</v>
      </c>
      <c r="D18" s="130">
        <v>3530</v>
      </c>
      <c r="E18" s="131">
        <v>44713</v>
      </c>
      <c r="F18" s="132">
        <v>3530</v>
      </c>
      <c r="G18" s="133">
        <f>Tabla147[[#This Row],[Importe]]-Tabla147[[#This Row],[Pagado]]</f>
        <v>0</v>
      </c>
      <c r="H18" s="134" t="s">
        <v>10</v>
      </c>
      <c r="I18" s="135"/>
    </row>
    <row r="19" spans="1:9" ht="21.75" customHeight="1" x14ac:dyDescent="0.25">
      <c r="A19" s="127">
        <v>44713</v>
      </c>
      <c r="B19" s="128" t="s">
        <v>17804</v>
      </c>
      <c r="C19" s="129" t="s">
        <v>484</v>
      </c>
      <c r="D19" s="130">
        <v>3400</v>
      </c>
      <c r="E19" s="131">
        <v>44713</v>
      </c>
      <c r="F19" s="132">
        <v>3400</v>
      </c>
      <c r="G19" s="133">
        <f>Tabla147[[#This Row],[Importe]]-Tabla147[[#This Row],[Pagado]]</f>
        <v>0</v>
      </c>
      <c r="H19" s="134" t="s">
        <v>10</v>
      </c>
      <c r="I19" s="135"/>
    </row>
    <row r="20" spans="1:9" ht="21.75" customHeight="1" x14ac:dyDescent="0.25">
      <c r="A20" s="127">
        <v>44713</v>
      </c>
      <c r="B20" s="128" t="s">
        <v>17805</v>
      </c>
      <c r="C20" s="129" t="s">
        <v>206</v>
      </c>
      <c r="D20" s="130">
        <v>23809.4</v>
      </c>
      <c r="E20" s="131">
        <v>44716</v>
      </c>
      <c r="F20" s="132">
        <v>23809.4</v>
      </c>
      <c r="G20" s="133">
        <f>Tabla147[[#This Row],[Importe]]-Tabla147[[#This Row],[Pagado]]</f>
        <v>0</v>
      </c>
      <c r="H20" s="134" t="s">
        <v>10</v>
      </c>
      <c r="I20" s="135"/>
    </row>
    <row r="21" spans="1:9" ht="21.75" customHeight="1" x14ac:dyDescent="0.25">
      <c r="A21" s="127">
        <v>44713</v>
      </c>
      <c r="B21" s="128" t="s">
        <v>17806</v>
      </c>
      <c r="C21" s="129" t="s">
        <v>87</v>
      </c>
      <c r="D21" s="130">
        <v>3176.3</v>
      </c>
      <c r="E21" s="131">
        <v>44713</v>
      </c>
      <c r="F21" s="132">
        <v>3176.3</v>
      </c>
      <c r="G21" s="133">
        <f>Tabla147[[#This Row],[Importe]]-Tabla147[[#This Row],[Pagado]]</f>
        <v>0</v>
      </c>
      <c r="H21" s="134" t="s">
        <v>10</v>
      </c>
      <c r="I21" s="135"/>
    </row>
    <row r="22" spans="1:9" ht="21.75" customHeight="1" x14ac:dyDescent="0.25">
      <c r="A22" s="127">
        <v>44713</v>
      </c>
      <c r="B22" s="128" t="s">
        <v>17807</v>
      </c>
      <c r="C22" s="129" t="s">
        <v>16</v>
      </c>
      <c r="D22" s="130">
        <v>4967</v>
      </c>
      <c r="E22" s="131">
        <v>44713</v>
      </c>
      <c r="F22" s="132">
        <v>4967</v>
      </c>
      <c r="G22" s="133">
        <f>Tabla147[[#This Row],[Importe]]-Tabla147[[#This Row],[Pagado]]</f>
        <v>0</v>
      </c>
      <c r="H22" s="134" t="s">
        <v>10</v>
      </c>
      <c r="I22" s="135"/>
    </row>
    <row r="23" spans="1:9" ht="30" customHeight="1" x14ac:dyDescent="0.25">
      <c r="A23" s="127">
        <v>44713</v>
      </c>
      <c r="B23" s="128" t="s">
        <v>17808</v>
      </c>
      <c r="C23" s="129" t="s">
        <v>22</v>
      </c>
      <c r="D23" s="130">
        <v>33919.300000000003</v>
      </c>
      <c r="E23" s="131" t="s">
        <v>17786</v>
      </c>
      <c r="F23" s="132">
        <f>15500+18419.3</f>
        <v>33919.300000000003</v>
      </c>
      <c r="G23" s="133">
        <f>Tabla147[[#This Row],[Importe]]-Tabla147[[#This Row],[Pagado]]</f>
        <v>0</v>
      </c>
      <c r="H23" s="134" t="s">
        <v>10</v>
      </c>
      <c r="I23" s="135"/>
    </row>
    <row r="24" spans="1:9" ht="21.75" customHeight="1" x14ac:dyDescent="0.25">
      <c r="A24" s="127">
        <v>44713</v>
      </c>
      <c r="B24" s="128" t="s">
        <v>17809</v>
      </c>
      <c r="C24" s="129" t="s">
        <v>154</v>
      </c>
      <c r="D24" s="130">
        <v>33624.400000000001</v>
      </c>
      <c r="E24" s="131">
        <v>44719</v>
      </c>
      <c r="F24" s="132">
        <v>33624.400000000001</v>
      </c>
      <c r="G24" s="133">
        <f>Tabla147[[#This Row],[Importe]]-Tabla147[[#This Row],[Pagado]]</f>
        <v>0</v>
      </c>
      <c r="H24" s="134" t="s">
        <v>10</v>
      </c>
      <c r="I24" s="135"/>
    </row>
    <row r="25" spans="1:9" ht="21.75" customHeight="1" x14ac:dyDescent="0.25">
      <c r="A25" s="127">
        <v>44713</v>
      </c>
      <c r="B25" s="128" t="s">
        <v>17810</v>
      </c>
      <c r="C25" s="129" t="s">
        <v>218</v>
      </c>
      <c r="D25" s="130">
        <v>15352.2</v>
      </c>
      <c r="E25" s="131">
        <v>44716</v>
      </c>
      <c r="F25" s="132">
        <v>15352.2</v>
      </c>
      <c r="G25" s="133">
        <f>Tabla147[[#This Row],[Importe]]-Tabla147[[#This Row],[Pagado]]</f>
        <v>0</v>
      </c>
      <c r="H25" s="134" t="s">
        <v>10</v>
      </c>
      <c r="I25" s="135"/>
    </row>
    <row r="26" spans="1:9" ht="21.75" customHeight="1" x14ac:dyDescent="0.25">
      <c r="A26" s="127">
        <v>44713</v>
      </c>
      <c r="B26" s="128" t="s">
        <v>17811</v>
      </c>
      <c r="C26" s="129" t="s">
        <v>273</v>
      </c>
      <c r="D26" s="130">
        <v>1634.4</v>
      </c>
      <c r="E26" s="131">
        <v>44713</v>
      </c>
      <c r="F26" s="132">
        <v>1634.4</v>
      </c>
      <c r="G26" s="133">
        <f>Tabla147[[#This Row],[Importe]]-Tabla147[[#This Row],[Pagado]]</f>
        <v>0</v>
      </c>
      <c r="H26" s="134" t="s">
        <v>10</v>
      </c>
      <c r="I26" s="135"/>
    </row>
    <row r="27" spans="1:9" ht="21.75" customHeight="1" x14ac:dyDescent="0.25">
      <c r="A27" s="127">
        <v>44713</v>
      </c>
      <c r="B27" s="128" t="s">
        <v>17812</v>
      </c>
      <c r="C27" s="129" t="s">
        <v>212</v>
      </c>
      <c r="D27" s="130">
        <v>33255</v>
      </c>
      <c r="E27" s="131">
        <v>44721</v>
      </c>
      <c r="F27" s="132">
        <v>33255</v>
      </c>
      <c r="G27" s="133">
        <f>Tabla147[[#This Row],[Importe]]-Tabla147[[#This Row],[Pagado]]</f>
        <v>0</v>
      </c>
      <c r="H27" s="134" t="s">
        <v>10</v>
      </c>
      <c r="I27" s="135"/>
    </row>
    <row r="28" spans="1:9" ht="21.75" customHeight="1" x14ac:dyDescent="0.25">
      <c r="A28" s="127">
        <v>44713</v>
      </c>
      <c r="B28" s="128" t="s">
        <v>17813</v>
      </c>
      <c r="C28" s="129" t="s">
        <v>11033</v>
      </c>
      <c r="D28" s="130">
        <v>3094</v>
      </c>
      <c r="E28" s="131">
        <v>44713</v>
      </c>
      <c r="F28" s="132">
        <v>3094</v>
      </c>
      <c r="G28" s="133">
        <f>Tabla147[[#This Row],[Importe]]-Tabla147[[#This Row],[Pagado]]</f>
        <v>0</v>
      </c>
      <c r="H28" s="134" t="s">
        <v>10</v>
      </c>
      <c r="I28" s="135"/>
    </row>
    <row r="29" spans="1:9" ht="21.75" customHeight="1" x14ac:dyDescent="0.25">
      <c r="A29" s="127">
        <v>44713</v>
      </c>
      <c r="B29" s="128" t="s">
        <v>17814</v>
      </c>
      <c r="C29" s="129" t="s">
        <v>10157</v>
      </c>
      <c r="D29" s="130">
        <v>4105.2</v>
      </c>
      <c r="E29" s="131">
        <v>44715</v>
      </c>
      <c r="F29" s="132">
        <v>4105.2</v>
      </c>
      <c r="G29" s="133">
        <f>Tabla147[[#This Row],[Importe]]-Tabla147[[#This Row],[Pagado]]</f>
        <v>0</v>
      </c>
      <c r="H29" s="134" t="s">
        <v>10</v>
      </c>
      <c r="I29" s="135"/>
    </row>
    <row r="30" spans="1:9" ht="21.75" customHeight="1" x14ac:dyDescent="0.25">
      <c r="A30" s="127">
        <v>44713</v>
      </c>
      <c r="B30" s="128" t="s">
        <v>17815</v>
      </c>
      <c r="C30" s="129" t="s">
        <v>173</v>
      </c>
      <c r="D30" s="130">
        <v>16172.8</v>
      </c>
      <c r="E30" s="131">
        <v>44714</v>
      </c>
      <c r="F30" s="132">
        <v>16172.8</v>
      </c>
      <c r="G30" s="133">
        <f>Tabla147[[#This Row],[Importe]]-Tabla147[[#This Row],[Pagado]]</f>
        <v>0</v>
      </c>
      <c r="H30" s="134" t="s">
        <v>10</v>
      </c>
      <c r="I30" s="135"/>
    </row>
    <row r="31" spans="1:9" ht="21.75" customHeight="1" x14ac:dyDescent="0.25">
      <c r="A31" s="127">
        <v>44713</v>
      </c>
      <c r="B31" s="128" t="s">
        <v>17816</v>
      </c>
      <c r="C31" s="129" t="s">
        <v>56</v>
      </c>
      <c r="D31" s="130">
        <v>3507</v>
      </c>
      <c r="E31" s="131">
        <v>44713</v>
      </c>
      <c r="F31" s="132">
        <v>3507</v>
      </c>
      <c r="G31" s="133">
        <f>Tabla147[[#This Row],[Importe]]-Tabla147[[#This Row],[Pagado]]</f>
        <v>0</v>
      </c>
      <c r="H31" s="134" t="s">
        <v>10</v>
      </c>
      <c r="I31" s="135"/>
    </row>
    <row r="32" spans="1:9" ht="21.75" customHeight="1" x14ac:dyDescent="0.25">
      <c r="A32" s="127">
        <v>44713</v>
      </c>
      <c r="B32" s="128" t="s">
        <v>17817</v>
      </c>
      <c r="C32" s="129" t="s">
        <v>53</v>
      </c>
      <c r="D32" s="130">
        <v>2249</v>
      </c>
      <c r="E32" s="131">
        <v>44713</v>
      </c>
      <c r="F32" s="132">
        <v>2249</v>
      </c>
      <c r="G32" s="133">
        <f>Tabla147[[#This Row],[Importe]]-Tabla147[[#This Row],[Pagado]]</f>
        <v>0</v>
      </c>
      <c r="H32" s="134" t="s">
        <v>10</v>
      </c>
      <c r="I32" s="135"/>
    </row>
    <row r="33" spans="1:9" ht="21.75" customHeight="1" x14ac:dyDescent="0.25">
      <c r="A33" s="127">
        <v>44713</v>
      </c>
      <c r="B33" s="128" t="s">
        <v>17818</v>
      </c>
      <c r="C33" s="129" t="s">
        <v>133</v>
      </c>
      <c r="D33" s="130">
        <v>12928</v>
      </c>
      <c r="E33" s="131">
        <v>44714</v>
      </c>
      <c r="F33" s="132">
        <v>12928</v>
      </c>
      <c r="G33" s="133">
        <f>Tabla147[[#This Row],[Importe]]-Tabla147[[#This Row],[Pagado]]</f>
        <v>0</v>
      </c>
      <c r="H33" s="134" t="s">
        <v>10</v>
      </c>
      <c r="I33" s="135"/>
    </row>
    <row r="34" spans="1:9" ht="21.75" customHeight="1" x14ac:dyDescent="0.25">
      <c r="A34" s="127">
        <v>44713</v>
      </c>
      <c r="B34" s="128" t="s">
        <v>17819</v>
      </c>
      <c r="C34" s="129" t="s">
        <v>161</v>
      </c>
      <c r="D34" s="130">
        <v>4032.6</v>
      </c>
      <c r="E34" s="131">
        <v>44713</v>
      </c>
      <c r="F34" s="132">
        <v>4032.6</v>
      </c>
      <c r="G34" s="133">
        <f>Tabla147[[#This Row],[Importe]]-Tabla147[[#This Row],[Pagado]]</f>
        <v>0</v>
      </c>
      <c r="H34" s="134" t="s">
        <v>10</v>
      </c>
      <c r="I34" s="135"/>
    </row>
    <row r="35" spans="1:9" ht="21.75" customHeight="1" x14ac:dyDescent="0.25">
      <c r="A35" s="127">
        <v>44713</v>
      </c>
      <c r="B35" s="128" t="s">
        <v>17820</v>
      </c>
      <c r="C35" s="129" t="s">
        <v>27</v>
      </c>
      <c r="D35" s="130">
        <v>1710</v>
      </c>
      <c r="E35" s="131">
        <v>44713</v>
      </c>
      <c r="F35" s="132">
        <v>1710</v>
      </c>
      <c r="G35" s="133">
        <f>Tabla147[[#This Row],[Importe]]-Tabla147[[#This Row],[Pagado]]</f>
        <v>0</v>
      </c>
      <c r="H35" s="134" t="s">
        <v>10</v>
      </c>
      <c r="I35" s="135"/>
    </row>
    <row r="36" spans="1:9" ht="21.75" customHeight="1" x14ac:dyDescent="0.25">
      <c r="A36" s="127">
        <v>44713</v>
      </c>
      <c r="B36" s="128" t="s">
        <v>17821</v>
      </c>
      <c r="C36" s="129" t="s">
        <v>208</v>
      </c>
      <c r="D36" s="130">
        <v>6774.8</v>
      </c>
      <c r="E36" s="131">
        <v>44719</v>
      </c>
      <c r="F36" s="132">
        <v>6774.8</v>
      </c>
      <c r="G36" s="133">
        <f>Tabla147[[#This Row],[Importe]]-Tabla147[[#This Row],[Pagado]]</f>
        <v>0</v>
      </c>
      <c r="H36" s="134" t="s">
        <v>10</v>
      </c>
      <c r="I36" s="135"/>
    </row>
    <row r="37" spans="1:9" ht="21.75" customHeight="1" x14ac:dyDescent="0.25">
      <c r="A37" s="127">
        <v>44713</v>
      </c>
      <c r="B37" s="128" t="s">
        <v>17822</v>
      </c>
      <c r="C37" s="129" t="s">
        <v>442</v>
      </c>
      <c r="D37" s="130">
        <v>8854.65</v>
      </c>
      <c r="E37" s="131">
        <v>44713</v>
      </c>
      <c r="F37" s="132">
        <v>8854.65</v>
      </c>
      <c r="G37" s="133">
        <f>Tabla147[[#This Row],[Importe]]-Tabla147[[#This Row],[Pagado]]</f>
        <v>0</v>
      </c>
      <c r="H37" s="134" t="s">
        <v>10</v>
      </c>
      <c r="I37" s="135"/>
    </row>
    <row r="38" spans="1:9" ht="21.75" customHeight="1" x14ac:dyDescent="0.25">
      <c r="A38" s="127">
        <v>44713</v>
      </c>
      <c r="B38" s="128" t="s">
        <v>17823</v>
      </c>
      <c r="C38" s="129" t="s">
        <v>49</v>
      </c>
      <c r="D38" s="130">
        <v>3374.8</v>
      </c>
      <c r="E38" s="131">
        <v>44713</v>
      </c>
      <c r="F38" s="132">
        <v>3374.8</v>
      </c>
      <c r="G38" s="133">
        <f>Tabla147[[#This Row],[Importe]]-Tabla147[[#This Row],[Pagado]]</f>
        <v>0</v>
      </c>
      <c r="H38" s="134" t="s">
        <v>10</v>
      </c>
      <c r="I38" s="135"/>
    </row>
    <row r="39" spans="1:9" ht="21.75" customHeight="1" x14ac:dyDescent="0.25">
      <c r="A39" s="127">
        <v>44713</v>
      </c>
      <c r="B39" s="128" t="s">
        <v>17824</v>
      </c>
      <c r="C39" s="129" t="s">
        <v>37</v>
      </c>
      <c r="D39" s="130">
        <v>3344.8</v>
      </c>
      <c r="E39" s="131">
        <v>44713</v>
      </c>
      <c r="F39" s="132">
        <v>3344.8</v>
      </c>
      <c r="G39" s="133">
        <f>Tabla147[[#This Row],[Importe]]-Tabla147[[#This Row],[Pagado]]</f>
        <v>0</v>
      </c>
      <c r="H39" s="134" t="s">
        <v>10</v>
      </c>
      <c r="I39" s="135"/>
    </row>
    <row r="40" spans="1:9" ht="21.75" customHeight="1" x14ac:dyDescent="0.25">
      <c r="A40" s="127">
        <v>44713</v>
      </c>
      <c r="B40" s="128" t="s">
        <v>17825</v>
      </c>
      <c r="C40" s="129" t="s">
        <v>133</v>
      </c>
      <c r="D40" s="130">
        <v>408</v>
      </c>
      <c r="E40" s="131">
        <v>44714</v>
      </c>
      <c r="F40" s="132">
        <v>408</v>
      </c>
      <c r="G40" s="133">
        <f>Tabla147[[#This Row],[Importe]]-Tabla147[[#This Row],[Pagado]]</f>
        <v>0</v>
      </c>
      <c r="H40" s="134" t="s">
        <v>10</v>
      </c>
      <c r="I40" s="135"/>
    </row>
    <row r="41" spans="1:9" ht="21.75" customHeight="1" x14ac:dyDescent="0.25">
      <c r="A41" s="127">
        <v>44713</v>
      </c>
      <c r="B41" s="128" t="s">
        <v>17826</v>
      </c>
      <c r="C41" s="129" t="s">
        <v>12202</v>
      </c>
      <c r="D41" s="130">
        <v>23040</v>
      </c>
      <c r="E41" s="131">
        <v>44713</v>
      </c>
      <c r="F41" s="132">
        <v>23040</v>
      </c>
      <c r="G41" s="133">
        <f>Tabla147[[#This Row],[Importe]]-Tabla147[[#This Row],[Pagado]]</f>
        <v>0</v>
      </c>
      <c r="H41" s="134" t="s">
        <v>10</v>
      </c>
      <c r="I41" s="135"/>
    </row>
    <row r="42" spans="1:9" ht="21.75" customHeight="1" x14ac:dyDescent="0.25">
      <c r="A42" s="127">
        <v>44713</v>
      </c>
      <c r="B42" s="128" t="s">
        <v>17827</v>
      </c>
      <c r="C42" s="129" t="s">
        <v>541</v>
      </c>
      <c r="D42" s="130">
        <v>1548</v>
      </c>
      <c r="E42" s="131">
        <v>44714</v>
      </c>
      <c r="F42" s="132">
        <v>1548</v>
      </c>
      <c r="G42" s="133">
        <f>Tabla147[[#This Row],[Importe]]-Tabla147[[#This Row],[Pagado]]</f>
        <v>0</v>
      </c>
      <c r="H42" s="134" t="s">
        <v>10</v>
      </c>
      <c r="I42" s="135"/>
    </row>
    <row r="43" spans="1:9" ht="21.75" customHeight="1" x14ac:dyDescent="0.25">
      <c r="A43" s="127">
        <v>44713</v>
      </c>
      <c r="B43" s="128" t="s">
        <v>17828</v>
      </c>
      <c r="C43" s="129" t="s">
        <v>804</v>
      </c>
      <c r="D43" s="130">
        <v>9922.2000000000007</v>
      </c>
      <c r="E43" s="131">
        <v>44713</v>
      </c>
      <c r="F43" s="132">
        <v>9922.2000000000007</v>
      </c>
      <c r="G43" s="133">
        <f>Tabla147[[#This Row],[Importe]]-Tabla147[[#This Row],[Pagado]]</f>
        <v>0</v>
      </c>
      <c r="H43" s="134" t="s">
        <v>10</v>
      </c>
      <c r="I43" s="135"/>
    </row>
    <row r="44" spans="1:9" ht="21.75" customHeight="1" x14ac:dyDescent="0.25">
      <c r="A44" s="127">
        <v>44713</v>
      </c>
      <c r="B44" s="128" t="s">
        <v>17829</v>
      </c>
      <c r="C44" s="129" t="s">
        <v>226</v>
      </c>
      <c r="D44" s="130">
        <v>6501.6</v>
      </c>
      <c r="E44" s="131">
        <v>44713</v>
      </c>
      <c r="F44" s="132">
        <v>6501.6</v>
      </c>
      <c r="G44" s="133">
        <f>Tabla147[[#This Row],[Importe]]-Tabla147[[#This Row],[Pagado]]</f>
        <v>0</v>
      </c>
      <c r="H44" s="134" t="s">
        <v>10</v>
      </c>
      <c r="I44" s="135"/>
    </row>
    <row r="45" spans="1:9" ht="21.75" customHeight="1" x14ac:dyDescent="0.25">
      <c r="A45" s="127">
        <v>44713</v>
      </c>
      <c r="B45" s="128" t="s">
        <v>17830</v>
      </c>
      <c r="C45" s="129" t="s">
        <v>10157</v>
      </c>
      <c r="D45" s="130">
        <v>2204.1</v>
      </c>
      <c r="E45" s="131">
        <v>44715</v>
      </c>
      <c r="F45" s="132">
        <v>2204.1</v>
      </c>
      <c r="G45" s="133">
        <f>Tabla147[[#This Row],[Importe]]-Tabla147[[#This Row],[Pagado]]</f>
        <v>0</v>
      </c>
      <c r="H45" s="134" t="s">
        <v>10</v>
      </c>
      <c r="I45" s="135"/>
    </row>
    <row r="46" spans="1:9" ht="21.75" customHeight="1" x14ac:dyDescent="0.25">
      <c r="A46" s="127">
        <v>44713</v>
      </c>
      <c r="B46" s="128" t="s">
        <v>17831</v>
      </c>
      <c r="C46" s="129" t="s">
        <v>154</v>
      </c>
      <c r="D46" s="130">
        <v>8089.6</v>
      </c>
      <c r="E46" s="131">
        <v>44719</v>
      </c>
      <c r="F46" s="132">
        <v>8089.6</v>
      </c>
      <c r="G46" s="133">
        <f>Tabla147[[#This Row],[Importe]]-Tabla147[[#This Row],[Pagado]]</f>
        <v>0</v>
      </c>
      <c r="H46" s="134" t="s">
        <v>10</v>
      </c>
      <c r="I46" s="135"/>
    </row>
    <row r="47" spans="1:9" ht="21.75" customHeight="1" x14ac:dyDescent="0.25">
      <c r="A47" s="127">
        <v>44713</v>
      </c>
      <c r="B47" s="128" t="s">
        <v>17832</v>
      </c>
      <c r="C47" s="129" t="s">
        <v>140</v>
      </c>
      <c r="D47" s="130">
        <v>5830.8</v>
      </c>
      <c r="E47" s="131">
        <v>44713</v>
      </c>
      <c r="F47" s="132">
        <v>5830.8</v>
      </c>
      <c r="G47" s="133">
        <f>Tabla147[[#This Row],[Importe]]-Tabla147[[#This Row],[Pagado]]</f>
        <v>0</v>
      </c>
      <c r="H47" s="134" t="s">
        <v>10</v>
      </c>
      <c r="I47" s="135"/>
    </row>
    <row r="48" spans="1:9" ht="21.75" customHeight="1" x14ac:dyDescent="0.25">
      <c r="A48" s="127">
        <v>44713</v>
      </c>
      <c r="B48" s="128" t="s">
        <v>17833</v>
      </c>
      <c r="C48" s="129" t="s">
        <v>129</v>
      </c>
      <c r="D48" s="130">
        <v>5415.3</v>
      </c>
      <c r="E48" s="131">
        <v>44713</v>
      </c>
      <c r="F48" s="132">
        <v>5415.3</v>
      </c>
      <c r="G48" s="133">
        <f>Tabla147[[#This Row],[Importe]]-Tabla147[[#This Row],[Pagado]]</f>
        <v>0</v>
      </c>
      <c r="H48" s="134" t="s">
        <v>10</v>
      </c>
      <c r="I48" s="135"/>
    </row>
    <row r="49" spans="1:9" ht="21.75" customHeight="1" x14ac:dyDescent="0.25">
      <c r="A49" s="127">
        <v>44713</v>
      </c>
      <c r="B49" s="128" t="s">
        <v>17834</v>
      </c>
      <c r="C49" s="129" t="s">
        <v>127</v>
      </c>
      <c r="D49" s="130">
        <v>1592.5</v>
      </c>
      <c r="E49" s="131">
        <v>44713</v>
      </c>
      <c r="F49" s="132">
        <v>1592.5</v>
      </c>
      <c r="G49" s="133">
        <f>Tabla147[[#This Row],[Importe]]-Tabla147[[#This Row],[Pagado]]</f>
        <v>0</v>
      </c>
      <c r="H49" s="134" t="s">
        <v>10</v>
      </c>
      <c r="I49" s="135"/>
    </row>
    <row r="50" spans="1:9" ht="21.75" customHeight="1" x14ac:dyDescent="0.25">
      <c r="A50" s="127">
        <v>44713</v>
      </c>
      <c r="B50" s="128" t="s">
        <v>17835</v>
      </c>
      <c r="C50" s="129" t="s">
        <v>146</v>
      </c>
      <c r="D50" s="130">
        <v>1958.4</v>
      </c>
      <c r="E50" s="131">
        <v>44713</v>
      </c>
      <c r="F50" s="132">
        <v>1958.4</v>
      </c>
      <c r="G50" s="133">
        <f>Tabla147[[#This Row],[Importe]]-Tabla147[[#This Row],[Pagado]]</f>
        <v>0</v>
      </c>
      <c r="H50" s="134" t="s">
        <v>10</v>
      </c>
      <c r="I50" s="135"/>
    </row>
    <row r="51" spans="1:9" ht="21.75" customHeight="1" x14ac:dyDescent="0.25">
      <c r="A51" s="127">
        <v>44713</v>
      </c>
      <c r="B51" s="128" t="s">
        <v>17836</v>
      </c>
      <c r="C51" s="129" t="s">
        <v>107</v>
      </c>
      <c r="D51" s="130">
        <v>13088.3</v>
      </c>
      <c r="E51" s="131">
        <v>44713</v>
      </c>
      <c r="F51" s="132">
        <v>13088.3</v>
      </c>
      <c r="G51" s="133">
        <f>Tabla147[[#This Row],[Importe]]-Tabla147[[#This Row],[Pagado]]</f>
        <v>0</v>
      </c>
      <c r="H51" s="134" t="s">
        <v>10</v>
      </c>
      <c r="I51" s="135"/>
    </row>
    <row r="52" spans="1:9" ht="21.75" customHeight="1" x14ac:dyDescent="0.25">
      <c r="A52" s="127">
        <v>44713</v>
      </c>
      <c r="B52" s="128" t="s">
        <v>17837</v>
      </c>
      <c r="C52" s="129" t="s">
        <v>224</v>
      </c>
      <c r="D52" s="130">
        <v>519.20000000000005</v>
      </c>
      <c r="E52" s="131">
        <v>44713</v>
      </c>
      <c r="F52" s="132">
        <v>519.20000000000005</v>
      </c>
      <c r="G52" s="133">
        <f>Tabla147[[#This Row],[Importe]]-Tabla147[[#This Row],[Pagado]]</f>
        <v>0</v>
      </c>
      <c r="H52" s="134" t="s">
        <v>10</v>
      </c>
      <c r="I52" s="135"/>
    </row>
    <row r="53" spans="1:9" ht="21.75" customHeight="1" x14ac:dyDescent="0.25">
      <c r="A53" s="127">
        <v>44713</v>
      </c>
      <c r="B53" s="128" t="s">
        <v>17838</v>
      </c>
      <c r="C53" s="129" t="s">
        <v>230</v>
      </c>
      <c r="D53" s="130">
        <v>5288.4</v>
      </c>
      <c r="E53" s="131">
        <v>44713</v>
      </c>
      <c r="F53" s="132">
        <v>5288.4</v>
      </c>
      <c r="G53" s="133">
        <f>Tabla147[[#This Row],[Importe]]-Tabla147[[#This Row],[Pagado]]</f>
        <v>0</v>
      </c>
      <c r="H53" s="134" t="s">
        <v>10</v>
      </c>
      <c r="I53" s="135"/>
    </row>
    <row r="54" spans="1:9" ht="21.75" customHeight="1" x14ac:dyDescent="0.25">
      <c r="A54" s="127">
        <v>44713</v>
      </c>
      <c r="B54" s="128" t="s">
        <v>17839</v>
      </c>
      <c r="C54" s="129" t="s">
        <v>555</v>
      </c>
      <c r="D54" s="130">
        <v>44184.4</v>
      </c>
      <c r="E54" s="131">
        <v>44714</v>
      </c>
      <c r="F54" s="132">
        <v>44184.4</v>
      </c>
      <c r="G54" s="133">
        <f>Tabla147[[#This Row],[Importe]]-Tabla147[[#This Row],[Pagado]]</f>
        <v>0</v>
      </c>
      <c r="H54" s="134" t="s">
        <v>10</v>
      </c>
      <c r="I54" s="135"/>
    </row>
    <row r="55" spans="1:9" ht="21.75" customHeight="1" x14ac:dyDescent="0.25">
      <c r="A55" s="127">
        <v>44713</v>
      </c>
      <c r="B55" s="128" t="s">
        <v>17840</v>
      </c>
      <c r="C55" s="129" t="s">
        <v>333</v>
      </c>
      <c r="D55" s="130">
        <v>626.52</v>
      </c>
      <c r="E55" s="131">
        <v>44713</v>
      </c>
      <c r="F55" s="132">
        <v>626.52</v>
      </c>
      <c r="G55" s="133">
        <f>Tabla147[[#This Row],[Importe]]-Tabla147[[#This Row],[Pagado]]</f>
        <v>0</v>
      </c>
      <c r="H55" s="134" t="s">
        <v>10</v>
      </c>
      <c r="I55" s="135"/>
    </row>
    <row r="56" spans="1:9" ht="21.75" customHeight="1" x14ac:dyDescent="0.25">
      <c r="A56" s="127">
        <v>44713</v>
      </c>
      <c r="B56" s="128" t="s">
        <v>17841</v>
      </c>
      <c r="C56" s="129" t="s">
        <v>541</v>
      </c>
      <c r="D56" s="130">
        <v>65024</v>
      </c>
      <c r="E56" s="131">
        <v>44714</v>
      </c>
      <c r="F56" s="132">
        <v>65024</v>
      </c>
      <c r="G56" s="133">
        <f>Tabla147[[#This Row],[Importe]]-Tabla147[[#This Row],[Pagado]]</f>
        <v>0</v>
      </c>
      <c r="H56" s="134" t="s">
        <v>10</v>
      </c>
      <c r="I56" s="135"/>
    </row>
    <row r="57" spans="1:9" ht="21.75" customHeight="1" x14ac:dyDescent="0.25">
      <c r="A57" s="127">
        <v>44713</v>
      </c>
      <c r="B57" s="128" t="s">
        <v>17842</v>
      </c>
      <c r="C57" s="129" t="s">
        <v>45</v>
      </c>
      <c r="D57" s="130">
        <v>11680.7</v>
      </c>
      <c r="E57" s="131">
        <v>44713</v>
      </c>
      <c r="F57" s="132">
        <v>11680.7</v>
      </c>
      <c r="G57" s="133">
        <f>Tabla147[[#This Row],[Importe]]-Tabla147[[#This Row],[Pagado]]</f>
        <v>0</v>
      </c>
      <c r="H57" s="134" t="s">
        <v>10</v>
      </c>
      <c r="I57" s="135"/>
    </row>
    <row r="58" spans="1:9" ht="21.75" customHeight="1" x14ac:dyDescent="0.25">
      <c r="A58" s="127">
        <v>44713</v>
      </c>
      <c r="B58" s="128" t="s">
        <v>17843</v>
      </c>
      <c r="C58" s="129" t="s">
        <v>31</v>
      </c>
      <c r="D58" s="130">
        <v>1312</v>
      </c>
      <c r="E58" s="131">
        <v>44713</v>
      </c>
      <c r="F58" s="132">
        <v>1312</v>
      </c>
      <c r="G58" s="133">
        <f>Tabla147[[#This Row],[Importe]]-Tabla147[[#This Row],[Pagado]]</f>
        <v>0</v>
      </c>
      <c r="H58" s="134" t="s">
        <v>10</v>
      </c>
      <c r="I58" s="135"/>
    </row>
    <row r="59" spans="1:9" ht="31.5" x14ac:dyDescent="0.25">
      <c r="A59" s="127">
        <v>44713</v>
      </c>
      <c r="B59" s="128" t="s">
        <v>17844</v>
      </c>
      <c r="C59" s="129" t="s">
        <v>275</v>
      </c>
      <c r="D59" s="130">
        <v>66820.539999999994</v>
      </c>
      <c r="E59" s="131" t="s">
        <v>17845</v>
      </c>
      <c r="F59" s="132">
        <f>19347.14+47473.4</f>
        <v>66820.540000000008</v>
      </c>
      <c r="G59" s="133">
        <f>Tabla147[[#This Row],[Importe]]-Tabla147[[#This Row],[Pagado]]</f>
        <v>0</v>
      </c>
      <c r="H59" s="134" t="s">
        <v>10</v>
      </c>
      <c r="I59" s="135"/>
    </row>
    <row r="60" spans="1:9" ht="21.75" customHeight="1" x14ac:dyDescent="0.25">
      <c r="A60" s="127">
        <v>44713</v>
      </c>
      <c r="B60" s="128" t="s">
        <v>17846</v>
      </c>
      <c r="C60" s="129" t="s">
        <v>62</v>
      </c>
      <c r="D60" s="130">
        <v>5236</v>
      </c>
      <c r="E60" s="131">
        <v>44713</v>
      </c>
      <c r="F60" s="132">
        <v>5236</v>
      </c>
      <c r="G60" s="133">
        <f>Tabla147[[#This Row],[Importe]]-Tabla147[[#This Row],[Pagado]]</f>
        <v>0</v>
      </c>
      <c r="H60" s="134" t="s">
        <v>10</v>
      </c>
      <c r="I60" s="135"/>
    </row>
    <row r="61" spans="1:9" ht="21.75" customHeight="1" x14ac:dyDescent="0.25">
      <c r="A61" s="127">
        <v>44713</v>
      </c>
      <c r="B61" s="128" t="s">
        <v>17847</v>
      </c>
      <c r="C61" s="129" t="s">
        <v>216</v>
      </c>
      <c r="D61" s="130">
        <v>1689.6</v>
      </c>
      <c r="E61" s="131">
        <v>44713</v>
      </c>
      <c r="F61" s="132">
        <v>1689.6</v>
      </c>
      <c r="G61" s="133">
        <f>Tabla147[[#This Row],[Importe]]-Tabla147[[#This Row],[Pagado]]</f>
        <v>0</v>
      </c>
      <c r="H61" s="134" t="s">
        <v>10</v>
      </c>
      <c r="I61" s="135"/>
    </row>
    <row r="62" spans="1:9" ht="21.75" customHeight="1" x14ac:dyDescent="0.25">
      <c r="A62" s="127">
        <v>44713</v>
      </c>
      <c r="B62" s="128" t="s">
        <v>17848</v>
      </c>
      <c r="C62" s="129" t="s">
        <v>233</v>
      </c>
      <c r="D62" s="130">
        <v>4441.6000000000004</v>
      </c>
      <c r="E62" s="131">
        <v>44713</v>
      </c>
      <c r="F62" s="132">
        <v>4441.6000000000004</v>
      </c>
      <c r="G62" s="133">
        <f>Tabla147[[#This Row],[Importe]]-Tabla147[[#This Row],[Pagado]]</f>
        <v>0</v>
      </c>
      <c r="H62" s="134" t="s">
        <v>10</v>
      </c>
      <c r="I62" s="135"/>
    </row>
    <row r="63" spans="1:9" ht="21.75" customHeight="1" x14ac:dyDescent="0.25">
      <c r="A63" s="127">
        <v>44713</v>
      </c>
      <c r="B63" s="128" t="s">
        <v>17849</v>
      </c>
      <c r="C63" s="129" t="s">
        <v>587</v>
      </c>
      <c r="D63" s="130">
        <v>5857.22</v>
      </c>
      <c r="E63" s="131">
        <v>44713</v>
      </c>
      <c r="F63" s="132">
        <v>5857.22</v>
      </c>
      <c r="G63" s="133">
        <f>Tabla147[[#This Row],[Importe]]-Tabla147[[#This Row],[Pagado]]</f>
        <v>0</v>
      </c>
      <c r="H63" s="134" t="s">
        <v>10</v>
      </c>
      <c r="I63" s="135"/>
    </row>
    <row r="64" spans="1:9" ht="21.75" customHeight="1" x14ac:dyDescent="0.25">
      <c r="A64" s="127">
        <v>44713</v>
      </c>
      <c r="B64" s="128" t="s">
        <v>17850</v>
      </c>
      <c r="C64" s="129" t="s">
        <v>6112</v>
      </c>
      <c r="D64" s="130">
        <v>4296.8</v>
      </c>
      <c r="E64" s="131">
        <v>44713</v>
      </c>
      <c r="F64" s="132">
        <v>4296.8</v>
      </c>
      <c r="G64" s="133">
        <f>Tabla147[[#This Row],[Importe]]-Tabla147[[#This Row],[Pagado]]</f>
        <v>0</v>
      </c>
      <c r="H64" s="134" t="s">
        <v>10</v>
      </c>
      <c r="I64" s="135"/>
    </row>
    <row r="65" spans="1:9" ht="21.75" customHeight="1" x14ac:dyDescent="0.25">
      <c r="A65" s="127">
        <v>44713</v>
      </c>
      <c r="B65" s="128" t="s">
        <v>17851</v>
      </c>
      <c r="C65" s="129" t="s">
        <v>312</v>
      </c>
      <c r="D65" s="130">
        <v>4582.8</v>
      </c>
      <c r="E65" s="131">
        <v>44713</v>
      </c>
      <c r="F65" s="132">
        <v>4582.8</v>
      </c>
      <c r="G65" s="133">
        <f>Tabla147[[#This Row],[Importe]]-Tabla147[[#This Row],[Pagado]]</f>
        <v>0</v>
      </c>
      <c r="H65" s="134" t="s">
        <v>10</v>
      </c>
      <c r="I65" s="135"/>
    </row>
    <row r="66" spans="1:9" ht="21.75" customHeight="1" x14ac:dyDescent="0.25">
      <c r="A66" s="127">
        <v>44713</v>
      </c>
      <c r="B66" s="128" t="s">
        <v>17852</v>
      </c>
      <c r="C66" s="129" t="s">
        <v>198</v>
      </c>
      <c r="D66" s="130">
        <v>728</v>
      </c>
      <c r="E66" s="131">
        <v>44713</v>
      </c>
      <c r="F66" s="132">
        <v>728</v>
      </c>
      <c r="G66" s="133">
        <f>Tabla147[[#This Row],[Importe]]-Tabla147[[#This Row],[Pagado]]</f>
        <v>0</v>
      </c>
      <c r="H66" s="134" t="s">
        <v>10</v>
      </c>
      <c r="I66" s="135"/>
    </row>
    <row r="67" spans="1:9" ht="21.75" customHeight="1" x14ac:dyDescent="0.25">
      <c r="A67" s="127">
        <v>44713</v>
      </c>
      <c r="B67" s="128" t="s">
        <v>17853</v>
      </c>
      <c r="C67" s="129" t="s">
        <v>58</v>
      </c>
      <c r="D67" s="130">
        <v>6026.5</v>
      </c>
      <c r="E67" s="131">
        <v>44713</v>
      </c>
      <c r="F67" s="132">
        <v>6026.5</v>
      </c>
      <c r="G67" s="133">
        <f>Tabla147[[#This Row],[Importe]]-Tabla147[[#This Row],[Pagado]]</f>
        <v>0</v>
      </c>
      <c r="H67" s="134" t="s">
        <v>10</v>
      </c>
      <c r="I67" s="135"/>
    </row>
    <row r="68" spans="1:9" ht="21.75" customHeight="1" x14ac:dyDescent="0.25">
      <c r="A68" s="127">
        <v>44713</v>
      </c>
      <c r="B68" s="128" t="s">
        <v>17854</v>
      </c>
      <c r="C68" s="129" t="s">
        <v>698</v>
      </c>
      <c r="D68" s="130">
        <v>8513.5</v>
      </c>
      <c r="E68" s="131">
        <v>44713</v>
      </c>
      <c r="F68" s="132">
        <v>8513.5</v>
      </c>
      <c r="G68" s="133">
        <f>Tabla147[[#This Row],[Importe]]-Tabla147[[#This Row],[Pagado]]</f>
        <v>0</v>
      </c>
      <c r="H68" s="134" t="s">
        <v>10</v>
      </c>
      <c r="I68" s="135"/>
    </row>
    <row r="69" spans="1:9" ht="21.75" customHeight="1" x14ac:dyDescent="0.25">
      <c r="A69" s="127">
        <v>44713</v>
      </c>
      <c r="B69" s="128" t="s">
        <v>17855</v>
      </c>
      <c r="C69" s="129" t="s">
        <v>17856</v>
      </c>
      <c r="D69" s="130">
        <v>0</v>
      </c>
      <c r="E69" s="136" t="s">
        <v>189</v>
      </c>
      <c r="F69" s="132">
        <v>0</v>
      </c>
      <c r="G69" s="133">
        <f>Tabla147[[#This Row],[Importe]]-Tabla147[[#This Row],[Pagado]]</f>
        <v>0</v>
      </c>
      <c r="H69" s="134" t="s">
        <v>189</v>
      </c>
      <c r="I69" s="135"/>
    </row>
    <row r="70" spans="1:9" ht="21.75" customHeight="1" x14ac:dyDescent="0.25">
      <c r="A70" s="127">
        <v>44713</v>
      </c>
      <c r="B70" s="128" t="s">
        <v>17857</v>
      </c>
      <c r="C70" s="129" t="s">
        <v>9827</v>
      </c>
      <c r="D70" s="130">
        <v>6240</v>
      </c>
      <c r="E70" s="131">
        <v>44713</v>
      </c>
      <c r="F70" s="132">
        <v>6240</v>
      </c>
      <c r="G70" s="133">
        <f>Tabla147[[#This Row],[Importe]]-Tabla147[[#This Row],[Pagado]]</f>
        <v>0</v>
      </c>
      <c r="H70" s="134" t="s">
        <v>10</v>
      </c>
      <c r="I70" s="135"/>
    </row>
    <row r="71" spans="1:9" ht="21.75" customHeight="1" x14ac:dyDescent="0.25">
      <c r="A71" s="127">
        <v>44713</v>
      </c>
      <c r="B71" s="128" t="s">
        <v>17858</v>
      </c>
      <c r="C71" s="129" t="s">
        <v>857</v>
      </c>
      <c r="D71" s="130">
        <v>668.8</v>
      </c>
      <c r="E71" s="131">
        <v>44713</v>
      </c>
      <c r="F71" s="132">
        <v>668.8</v>
      </c>
      <c r="G71" s="133">
        <f>Tabla147[[#This Row],[Importe]]-Tabla147[[#This Row],[Pagado]]</f>
        <v>0</v>
      </c>
      <c r="H71" s="134" t="s">
        <v>10</v>
      </c>
      <c r="I71" s="135"/>
    </row>
    <row r="72" spans="1:9" ht="21.75" customHeight="1" x14ac:dyDescent="0.25">
      <c r="A72" s="127">
        <v>44713</v>
      </c>
      <c r="B72" s="128" t="s">
        <v>17859</v>
      </c>
      <c r="C72" s="129" t="s">
        <v>31</v>
      </c>
      <c r="D72" s="130">
        <v>1230.5</v>
      </c>
      <c r="E72" s="131">
        <v>44713</v>
      </c>
      <c r="F72" s="132">
        <v>1230.5</v>
      </c>
      <c r="G72" s="133">
        <f>Tabla147[[#This Row],[Importe]]-Tabla147[[#This Row],[Pagado]]</f>
        <v>0</v>
      </c>
      <c r="H72" s="134" t="s">
        <v>10</v>
      </c>
      <c r="I72" s="135"/>
    </row>
    <row r="73" spans="1:9" ht="21.75" customHeight="1" x14ac:dyDescent="0.25">
      <c r="A73" s="127">
        <v>44713</v>
      </c>
      <c r="B73" s="128" t="s">
        <v>17860</v>
      </c>
      <c r="C73" s="129" t="s">
        <v>142</v>
      </c>
      <c r="D73" s="130">
        <v>8698.7000000000007</v>
      </c>
      <c r="E73" s="131">
        <v>44760</v>
      </c>
      <c r="F73" s="132">
        <v>8698.7000000000007</v>
      </c>
      <c r="G73" s="133">
        <f>Tabla147[[#This Row],[Importe]]-Tabla147[[#This Row],[Pagado]]</f>
        <v>0</v>
      </c>
      <c r="H73" s="134" t="s">
        <v>10</v>
      </c>
      <c r="I73" s="135"/>
    </row>
    <row r="74" spans="1:9" ht="21.75" customHeight="1" x14ac:dyDescent="0.25">
      <c r="A74" s="127">
        <v>44713</v>
      </c>
      <c r="B74" s="128" t="s">
        <v>17861</v>
      </c>
      <c r="C74" s="129" t="s">
        <v>75</v>
      </c>
      <c r="D74" s="130">
        <v>3059.2</v>
      </c>
      <c r="E74" s="131">
        <v>44713</v>
      </c>
      <c r="F74" s="132">
        <v>3059.2</v>
      </c>
      <c r="G74" s="133">
        <f>Tabla147[[#This Row],[Importe]]-Tabla147[[#This Row],[Pagado]]</f>
        <v>0</v>
      </c>
      <c r="H74" s="134" t="s">
        <v>10</v>
      </c>
      <c r="I74" s="135"/>
    </row>
    <row r="75" spans="1:9" ht="21.75" customHeight="1" x14ac:dyDescent="0.25">
      <c r="A75" s="127">
        <v>44713</v>
      </c>
      <c r="B75" s="128" t="s">
        <v>17862</v>
      </c>
      <c r="C75" s="129" t="s">
        <v>426</v>
      </c>
      <c r="D75" s="130">
        <v>6915.2</v>
      </c>
      <c r="E75" s="131">
        <v>44713</v>
      </c>
      <c r="F75" s="132">
        <v>6915.2</v>
      </c>
      <c r="G75" s="133">
        <f>Tabla147[[#This Row],[Importe]]-Tabla147[[#This Row],[Pagado]]</f>
        <v>0</v>
      </c>
      <c r="H75" s="134" t="s">
        <v>10</v>
      </c>
      <c r="I75" s="135"/>
    </row>
    <row r="76" spans="1:9" ht="21.75" customHeight="1" x14ac:dyDescent="0.25">
      <c r="A76" s="127">
        <v>44713</v>
      </c>
      <c r="B76" s="128" t="s">
        <v>17863</v>
      </c>
      <c r="C76" s="129" t="s">
        <v>214</v>
      </c>
      <c r="D76" s="130">
        <v>1267.2</v>
      </c>
      <c r="E76" s="131">
        <v>44713</v>
      </c>
      <c r="F76" s="132">
        <v>1267.2</v>
      </c>
      <c r="G76" s="133">
        <f>Tabla147[[#This Row],[Importe]]-Tabla147[[#This Row],[Pagado]]</f>
        <v>0</v>
      </c>
      <c r="H76" s="134" t="s">
        <v>10</v>
      </c>
      <c r="I76" s="135"/>
    </row>
    <row r="77" spans="1:9" ht="21.75" customHeight="1" x14ac:dyDescent="0.25">
      <c r="A77" s="127">
        <v>44713</v>
      </c>
      <c r="B77" s="128" t="s">
        <v>17864</v>
      </c>
      <c r="C77" s="129" t="s">
        <v>181</v>
      </c>
      <c r="D77" s="130">
        <v>12315.3</v>
      </c>
      <c r="E77" s="131">
        <v>44713</v>
      </c>
      <c r="F77" s="132">
        <v>12315.3</v>
      </c>
      <c r="G77" s="133">
        <f>Tabla147[[#This Row],[Importe]]-Tabla147[[#This Row],[Pagado]]</f>
        <v>0</v>
      </c>
      <c r="H77" s="134" t="s">
        <v>10</v>
      </c>
      <c r="I77" s="135"/>
    </row>
    <row r="78" spans="1:9" ht="21.75" customHeight="1" x14ac:dyDescent="0.25">
      <c r="A78" s="127">
        <v>44713</v>
      </c>
      <c r="B78" s="128" t="s">
        <v>17865</v>
      </c>
      <c r="C78" s="129" t="s">
        <v>31</v>
      </c>
      <c r="D78" s="130">
        <v>2764.8</v>
      </c>
      <c r="E78" s="131">
        <v>44714</v>
      </c>
      <c r="F78" s="132">
        <v>2764.8</v>
      </c>
      <c r="G78" s="133">
        <f>Tabla147[[#This Row],[Importe]]-Tabla147[[#This Row],[Pagado]]</f>
        <v>0</v>
      </c>
      <c r="H78" s="134" t="s">
        <v>10</v>
      </c>
      <c r="I78" s="135"/>
    </row>
    <row r="79" spans="1:9" ht="21.75" customHeight="1" x14ac:dyDescent="0.25">
      <c r="A79" s="127">
        <v>44713</v>
      </c>
      <c r="B79" s="128" t="s">
        <v>17866</v>
      </c>
      <c r="C79" s="129" t="s">
        <v>179</v>
      </c>
      <c r="D79" s="130">
        <v>1088</v>
      </c>
      <c r="E79" s="131">
        <v>44714</v>
      </c>
      <c r="F79" s="132">
        <v>1088</v>
      </c>
      <c r="G79" s="133">
        <f>Tabla147[[#This Row],[Importe]]-Tabla147[[#This Row],[Pagado]]</f>
        <v>0</v>
      </c>
      <c r="H79" s="134" t="s">
        <v>10</v>
      </c>
      <c r="I79" s="135"/>
    </row>
    <row r="80" spans="1:9" ht="21.75" customHeight="1" x14ac:dyDescent="0.25">
      <c r="A80" s="127">
        <v>44713</v>
      </c>
      <c r="B80" s="128" t="s">
        <v>17867</v>
      </c>
      <c r="C80" s="129" t="s">
        <v>400</v>
      </c>
      <c r="D80" s="130">
        <v>8686.7999999999993</v>
      </c>
      <c r="E80" s="131">
        <v>44737</v>
      </c>
      <c r="F80" s="132">
        <v>8686.7999999999993</v>
      </c>
      <c r="G80" s="133">
        <f>Tabla147[[#This Row],[Importe]]-Tabla147[[#This Row],[Pagado]]</f>
        <v>0</v>
      </c>
      <c r="H80" s="134" t="s">
        <v>10</v>
      </c>
      <c r="I80" s="135"/>
    </row>
    <row r="81" spans="1:9" ht="21.75" customHeight="1" x14ac:dyDescent="0.25">
      <c r="A81" s="127">
        <v>44713</v>
      </c>
      <c r="B81" s="128" t="s">
        <v>17868</v>
      </c>
      <c r="C81" s="129" t="s">
        <v>402</v>
      </c>
      <c r="D81" s="130">
        <v>18059.400000000001</v>
      </c>
      <c r="E81" s="131">
        <v>44737</v>
      </c>
      <c r="F81" s="132">
        <v>18059.400000000001</v>
      </c>
      <c r="G81" s="133">
        <f>Tabla147[[#This Row],[Importe]]-Tabla147[[#This Row],[Pagado]]</f>
        <v>0</v>
      </c>
      <c r="H81" s="134" t="s">
        <v>10</v>
      </c>
      <c r="I81" s="135"/>
    </row>
    <row r="82" spans="1:9" ht="21.75" customHeight="1" x14ac:dyDescent="0.25">
      <c r="A82" s="127">
        <v>44713</v>
      </c>
      <c r="B82" s="128" t="s">
        <v>17869</v>
      </c>
      <c r="C82" s="129" t="s">
        <v>414</v>
      </c>
      <c r="D82" s="130">
        <v>19916.8</v>
      </c>
      <c r="E82" s="131">
        <v>44714</v>
      </c>
      <c r="F82" s="132">
        <v>19916.8</v>
      </c>
      <c r="G82" s="133">
        <f>Tabla147[[#This Row],[Importe]]-Tabla147[[#This Row],[Pagado]]</f>
        <v>0</v>
      </c>
      <c r="H82" s="134" t="s">
        <v>10</v>
      </c>
      <c r="I82" s="135"/>
    </row>
    <row r="83" spans="1:9" ht="21.75" customHeight="1" x14ac:dyDescent="0.25">
      <c r="A83" s="127">
        <v>44713</v>
      </c>
      <c r="B83" s="128" t="s">
        <v>17870</v>
      </c>
      <c r="C83" s="129" t="s">
        <v>16</v>
      </c>
      <c r="D83" s="130">
        <v>1176</v>
      </c>
      <c r="E83" s="131">
        <v>44713</v>
      </c>
      <c r="F83" s="132">
        <v>1176</v>
      </c>
      <c r="G83" s="133">
        <f>Tabla147[[#This Row],[Importe]]-Tabla147[[#This Row],[Pagado]]</f>
        <v>0</v>
      </c>
      <c r="H83" s="134" t="s">
        <v>10</v>
      </c>
      <c r="I83" s="135"/>
    </row>
    <row r="84" spans="1:9" ht="21.75" customHeight="1" x14ac:dyDescent="0.25">
      <c r="A84" s="127">
        <v>44713</v>
      </c>
      <c r="B84" s="128" t="s">
        <v>17871</v>
      </c>
      <c r="C84" s="129" t="s">
        <v>175</v>
      </c>
      <c r="D84" s="130">
        <v>38457.4</v>
      </c>
      <c r="E84" s="131">
        <v>44713</v>
      </c>
      <c r="F84" s="132">
        <v>38457.4</v>
      </c>
      <c r="G84" s="133">
        <f>Tabla147[[#This Row],[Importe]]-Tabla147[[#This Row],[Pagado]]</f>
        <v>0</v>
      </c>
      <c r="H84" s="134" t="s">
        <v>10</v>
      </c>
      <c r="I84" s="135"/>
    </row>
    <row r="85" spans="1:9" ht="21.75" customHeight="1" x14ac:dyDescent="0.25">
      <c r="A85" s="127">
        <v>44713</v>
      </c>
      <c r="B85" s="128" t="s">
        <v>17872</v>
      </c>
      <c r="C85" s="129" t="s">
        <v>214</v>
      </c>
      <c r="D85" s="130">
        <v>1005</v>
      </c>
      <c r="E85" s="131">
        <v>44714</v>
      </c>
      <c r="F85" s="132">
        <v>1005</v>
      </c>
      <c r="G85" s="133">
        <f>Tabla147[[#This Row],[Importe]]-Tabla147[[#This Row],[Pagado]]</f>
        <v>0</v>
      </c>
      <c r="H85" s="134" t="s">
        <v>10</v>
      </c>
      <c r="I85" s="135"/>
    </row>
    <row r="86" spans="1:9" ht="21.75" customHeight="1" x14ac:dyDescent="0.25">
      <c r="A86" s="127">
        <v>44713</v>
      </c>
      <c r="B86" s="128" t="s">
        <v>17873</v>
      </c>
      <c r="C86" s="129" t="s">
        <v>359</v>
      </c>
      <c r="D86" s="130">
        <v>1597.4</v>
      </c>
      <c r="E86" s="131">
        <v>44713</v>
      </c>
      <c r="F86" s="132">
        <v>1597.4</v>
      </c>
      <c r="G86" s="133">
        <f>Tabla147[[#This Row],[Importe]]-Tabla147[[#This Row],[Pagado]]</f>
        <v>0</v>
      </c>
      <c r="H86" s="134" t="s">
        <v>10</v>
      </c>
      <c r="I86" s="135"/>
    </row>
    <row r="87" spans="1:9" ht="21.75" customHeight="1" x14ac:dyDescent="0.25">
      <c r="A87" s="127">
        <v>44713</v>
      </c>
      <c r="B87" s="128" t="s">
        <v>17874</v>
      </c>
      <c r="C87" s="129" t="s">
        <v>214</v>
      </c>
      <c r="D87" s="130">
        <v>8151</v>
      </c>
      <c r="E87" s="131">
        <v>44714</v>
      </c>
      <c r="F87" s="132">
        <v>8151</v>
      </c>
      <c r="G87" s="133">
        <f>Tabla147[[#This Row],[Importe]]-Tabla147[[#This Row],[Pagado]]</f>
        <v>0</v>
      </c>
      <c r="H87" s="134" t="s">
        <v>10</v>
      </c>
      <c r="I87" s="135"/>
    </row>
    <row r="88" spans="1:9" ht="21.75" customHeight="1" x14ac:dyDescent="0.25">
      <c r="A88" s="127">
        <v>44713</v>
      </c>
      <c r="B88" s="128" t="s">
        <v>17875</v>
      </c>
      <c r="C88" s="129" t="s">
        <v>53</v>
      </c>
      <c r="D88" s="130">
        <v>1748.5</v>
      </c>
      <c r="E88" s="131">
        <v>44713</v>
      </c>
      <c r="F88" s="132">
        <v>1748.5</v>
      </c>
      <c r="G88" s="133">
        <f>Tabla147[[#This Row],[Importe]]-Tabla147[[#This Row],[Pagado]]</f>
        <v>0</v>
      </c>
      <c r="H88" s="134" t="s">
        <v>10</v>
      </c>
      <c r="I88" s="135"/>
    </row>
    <row r="89" spans="1:9" ht="21.75" customHeight="1" x14ac:dyDescent="0.25">
      <c r="A89" s="127">
        <v>44713</v>
      </c>
      <c r="B89" s="128" t="s">
        <v>17876</v>
      </c>
      <c r="C89" s="129" t="s">
        <v>135</v>
      </c>
      <c r="D89" s="130">
        <v>2067</v>
      </c>
      <c r="E89" s="131">
        <v>44714</v>
      </c>
      <c r="F89" s="132">
        <v>2067</v>
      </c>
      <c r="G89" s="133">
        <f>Tabla147[[#This Row],[Importe]]-Tabla147[[#This Row],[Pagado]]</f>
        <v>0</v>
      </c>
      <c r="H89" s="134" t="s">
        <v>10</v>
      </c>
      <c r="I89" s="135"/>
    </row>
    <row r="90" spans="1:9" ht="21.75" customHeight="1" x14ac:dyDescent="0.25">
      <c r="A90" s="127">
        <v>44713</v>
      </c>
      <c r="B90" s="128" t="s">
        <v>17877</v>
      </c>
      <c r="C90" s="129" t="s">
        <v>296</v>
      </c>
      <c r="D90" s="130">
        <v>120</v>
      </c>
      <c r="E90" s="131">
        <v>44713</v>
      </c>
      <c r="F90" s="132">
        <v>120</v>
      </c>
      <c r="G90" s="133">
        <f>Tabla147[[#This Row],[Importe]]-Tabla147[[#This Row],[Pagado]]</f>
        <v>0</v>
      </c>
      <c r="H90" s="134" t="s">
        <v>10</v>
      </c>
      <c r="I90" s="135"/>
    </row>
    <row r="91" spans="1:9" ht="21.75" customHeight="1" x14ac:dyDescent="0.25">
      <c r="A91" s="127">
        <v>44713</v>
      </c>
      <c r="B91" s="128" t="s">
        <v>17878</v>
      </c>
      <c r="C91" s="129" t="s">
        <v>15306</v>
      </c>
      <c r="D91" s="130">
        <v>11680</v>
      </c>
      <c r="E91" s="131">
        <v>44713</v>
      </c>
      <c r="F91" s="132">
        <v>11680</v>
      </c>
      <c r="G91" s="133">
        <f>Tabla147[[#This Row],[Importe]]-Tabla147[[#This Row],[Pagado]]</f>
        <v>0</v>
      </c>
      <c r="H91" s="134" t="s">
        <v>10</v>
      </c>
      <c r="I91" s="135"/>
    </row>
    <row r="92" spans="1:9" ht="21.75" customHeight="1" x14ac:dyDescent="0.25">
      <c r="A92" s="127">
        <v>44713</v>
      </c>
      <c r="B92" s="128" t="s">
        <v>17879</v>
      </c>
      <c r="C92" s="129" t="s">
        <v>196</v>
      </c>
      <c r="D92" s="130">
        <v>138862.93</v>
      </c>
      <c r="E92" s="131">
        <v>44715</v>
      </c>
      <c r="F92" s="132">
        <v>138862.93</v>
      </c>
      <c r="G92" s="133">
        <f>Tabla147[[#This Row],[Importe]]-Tabla147[[#This Row],[Pagado]]</f>
        <v>0</v>
      </c>
      <c r="H92" s="134" t="s">
        <v>10</v>
      </c>
      <c r="I92" s="135"/>
    </row>
    <row r="93" spans="1:9" ht="21.75" customHeight="1" x14ac:dyDescent="0.25">
      <c r="A93" s="127">
        <v>44713</v>
      </c>
      <c r="B93" s="128" t="s">
        <v>17880</v>
      </c>
      <c r="C93" s="129" t="s">
        <v>31</v>
      </c>
      <c r="D93" s="130">
        <v>1659</v>
      </c>
      <c r="E93" s="131">
        <v>44713</v>
      </c>
      <c r="F93" s="132">
        <v>1659</v>
      </c>
      <c r="G93" s="133">
        <f>Tabla147[[#This Row],[Importe]]-Tabla147[[#This Row],[Pagado]]</f>
        <v>0</v>
      </c>
      <c r="H93" s="134" t="s">
        <v>10</v>
      </c>
      <c r="I93" s="135"/>
    </row>
    <row r="94" spans="1:9" ht="21.75" customHeight="1" x14ac:dyDescent="0.25">
      <c r="A94" s="127">
        <v>44713</v>
      </c>
      <c r="B94" s="128" t="s">
        <v>17881</v>
      </c>
      <c r="C94" s="129" t="s">
        <v>670</v>
      </c>
      <c r="D94" s="130">
        <v>1241.5999999999999</v>
      </c>
      <c r="E94" s="131">
        <v>44713</v>
      </c>
      <c r="F94" s="132">
        <v>1241.5999999999999</v>
      </c>
      <c r="G94" s="133">
        <f>Tabla147[[#This Row],[Importe]]-Tabla147[[#This Row],[Pagado]]</f>
        <v>0</v>
      </c>
      <c r="H94" s="134" t="s">
        <v>10</v>
      </c>
      <c r="I94" s="135"/>
    </row>
    <row r="95" spans="1:9" ht="21.75" customHeight="1" x14ac:dyDescent="0.25">
      <c r="A95" s="127">
        <v>44713</v>
      </c>
      <c r="B95" s="128" t="s">
        <v>17882</v>
      </c>
      <c r="C95" s="129" t="s">
        <v>263</v>
      </c>
      <c r="D95" s="130">
        <v>24710.400000000001</v>
      </c>
      <c r="E95" s="131">
        <v>44720</v>
      </c>
      <c r="F95" s="132">
        <v>24710.400000000001</v>
      </c>
      <c r="G95" s="133">
        <f>Tabla147[[#This Row],[Importe]]-Tabla147[[#This Row],[Pagado]]</f>
        <v>0</v>
      </c>
      <c r="H95" s="134" t="s">
        <v>10</v>
      </c>
      <c r="I95" s="135"/>
    </row>
    <row r="96" spans="1:9" ht="21.75" customHeight="1" x14ac:dyDescent="0.25">
      <c r="A96" s="127">
        <v>44713</v>
      </c>
      <c r="B96" s="128" t="s">
        <v>17883</v>
      </c>
      <c r="C96" s="129" t="s">
        <v>53</v>
      </c>
      <c r="D96" s="130">
        <v>1472.5</v>
      </c>
      <c r="E96" s="131">
        <v>44713</v>
      </c>
      <c r="F96" s="132">
        <v>1472.5</v>
      </c>
      <c r="G96" s="133">
        <f>Tabla147[[#This Row],[Importe]]-Tabla147[[#This Row],[Pagado]]</f>
        <v>0</v>
      </c>
      <c r="H96" s="134" t="s">
        <v>10</v>
      </c>
      <c r="I96" s="135"/>
    </row>
    <row r="97" spans="1:9" ht="21.75" customHeight="1" x14ac:dyDescent="0.25">
      <c r="A97" s="127">
        <v>44713</v>
      </c>
      <c r="B97" s="128" t="s">
        <v>17884</v>
      </c>
      <c r="C97" s="129" t="s">
        <v>31</v>
      </c>
      <c r="D97" s="130">
        <v>44</v>
      </c>
      <c r="E97" s="131">
        <v>44713</v>
      </c>
      <c r="F97" s="132">
        <v>44</v>
      </c>
      <c r="G97" s="133">
        <f>Tabla147[[#This Row],[Importe]]-Tabla147[[#This Row],[Pagado]]</f>
        <v>0</v>
      </c>
      <c r="H97" s="134" t="s">
        <v>10</v>
      </c>
      <c r="I97" s="135"/>
    </row>
    <row r="98" spans="1:9" ht="21.75" customHeight="1" x14ac:dyDescent="0.25">
      <c r="A98" s="127">
        <v>44713</v>
      </c>
      <c r="B98" s="128" t="s">
        <v>17885</v>
      </c>
      <c r="C98" s="129" t="s">
        <v>31</v>
      </c>
      <c r="D98" s="130">
        <v>44</v>
      </c>
      <c r="E98" s="131">
        <v>44713</v>
      </c>
      <c r="F98" s="132">
        <v>44</v>
      </c>
      <c r="G98" s="133">
        <f>Tabla147[[#This Row],[Importe]]-Tabla147[[#This Row],[Pagado]]</f>
        <v>0</v>
      </c>
      <c r="H98" s="134" t="s">
        <v>10</v>
      </c>
      <c r="I98" s="135"/>
    </row>
    <row r="99" spans="1:9" ht="21.75" customHeight="1" x14ac:dyDescent="0.25">
      <c r="A99" s="127">
        <v>44713</v>
      </c>
      <c r="B99" s="128" t="s">
        <v>17886</v>
      </c>
      <c r="C99" s="129" t="s">
        <v>10273</v>
      </c>
      <c r="D99" s="130">
        <v>44</v>
      </c>
      <c r="E99" s="131">
        <v>44718</v>
      </c>
      <c r="F99" s="132">
        <v>44</v>
      </c>
      <c r="G99" s="133">
        <f>Tabla147[[#This Row],[Importe]]-Tabla147[[#This Row],[Pagado]]</f>
        <v>0</v>
      </c>
      <c r="H99" s="134" t="s">
        <v>10</v>
      </c>
      <c r="I99" s="135"/>
    </row>
    <row r="100" spans="1:9" ht="21.75" customHeight="1" x14ac:dyDescent="0.25">
      <c r="A100" s="127">
        <v>44713</v>
      </c>
      <c r="B100" s="128" t="s">
        <v>17887</v>
      </c>
      <c r="C100" s="129" t="s">
        <v>435</v>
      </c>
      <c r="D100" s="130">
        <v>1427.2</v>
      </c>
      <c r="E100" s="131">
        <v>44713</v>
      </c>
      <c r="F100" s="132">
        <v>1427.2</v>
      </c>
      <c r="G100" s="133">
        <f>Tabla147[[#This Row],[Importe]]-Tabla147[[#This Row],[Pagado]]</f>
        <v>0</v>
      </c>
      <c r="H100" s="134" t="s">
        <v>10</v>
      </c>
      <c r="I100" s="135"/>
    </row>
    <row r="101" spans="1:9" ht="21.75" customHeight="1" x14ac:dyDescent="0.25">
      <c r="A101" s="127">
        <v>44713</v>
      </c>
      <c r="B101" s="128" t="s">
        <v>17888</v>
      </c>
      <c r="C101" s="129" t="s">
        <v>14</v>
      </c>
      <c r="D101" s="130">
        <v>11938.7</v>
      </c>
      <c r="E101" s="131">
        <v>44713</v>
      </c>
      <c r="F101" s="132">
        <v>11938.7</v>
      </c>
      <c r="G101" s="133">
        <f>Tabla147[[#This Row],[Importe]]-Tabla147[[#This Row],[Pagado]]</f>
        <v>0</v>
      </c>
      <c r="H101" s="134" t="s">
        <v>10</v>
      </c>
      <c r="I101" s="135"/>
    </row>
    <row r="102" spans="1:9" ht="21.75" customHeight="1" x14ac:dyDescent="0.25">
      <c r="A102" s="127">
        <v>44713</v>
      </c>
      <c r="B102" s="128" t="s">
        <v>17889</v>
      </c>
      <c r="C102" s="129" t="s">
        <v>5345</v>
      </c>
      <c r="D102" s="130">
        <v>2214.4</v>
      </c>
      <c r="E102" s="131">
        <v>44714</v>
      </c>
      <c r="F102" s="132">
        <v>2214.4</v>
      </c>
      <c r="G102" s="133">
        <f>Tabla147[[#This Row],[Importe]]-Tabla147[[#This Row],[Pagado]]</f>
        <v>0</v>
      </c>
      <c r="H102" s="134" t="s">
        <v>10</v>
      </c>
      <c r="I102" s="135"/>
    </row>
    <row r="103" spans="1:9" ht="21.75" customHeight="1" x14ac:dyDescent="0.25">
      <c r="A103" s="127">
        <v>44713</v>
      </c>
      <c r="B103" s="128" t="s">
        <v>17890</v>
      </c>
      <c r="C103" s="129" t="s">
        <v>280</v>
      </c>
      <c r="D103" s="130">
        <v>896</v>
      </c>
      <c r="E103" s="131">
        <v>44714</v>
      </c>
      <c r="F103" s="132">
        <v>896</v>
      </c>
      <c r="G103" s="133">
        <f>Tabla147[[#This Row],[Importe]]-Tabla147[[#This Row],[Pagado]]</f>
        <v>0</v>
      </c>
      <c r="H103" s="134" t="s">
        <v>10</v>
      </c>
      <c r="I103" s="135"/>
    </row>
    <row r="104" spans="1:9" ht="21.75" customHeight="1" x14ac:dyDescent="0.25">
      <c r="A104" s="127">
        <v>44713</v>
      </c>
      <c r="B104" s="128" t="s">
        <v>17891</v>
      </c>
      <c r="C104" s="129" t="s">
        <v>10819</v>
      </c>
      <c r="D104" s="130">
        <v>640</v>
      </c>
      <c r="E104" s="131">
        <v>44714</v>
      </c>
      <c r="F104" s="132">
        <v>640</v>
      </c>
      <c r="G104" s="133">
        <f>Tabla147[[#This Row],[Importe]]-Tabla147[[#This Row],[Pagado]]</f>
        <v>0</v>
      </c>
      <c r="H104" s="134" t="s">
        <v>10</v>
      </c>
      <c r="I104" s="135"/>
    </row>
    <row r="105" spans="1:9" ht="21.75" customHeight="1" x14ac:dyDescent="0.25">
      <c r="A105" s="127">
        <v>44713</v>
      </c>
      <c r="B105" s="128" t="s">
        <v>17892</v>
      </c>
      <c r="C105" s="129" t="s">
        <v>282</v>
      </c>
      <c r="D105" s="130">
        <v>5356.8</v>
      </c>
      <c r="E105" s="131">
        <v>44714</v>
      </c>
      <c r="F105" s="132">
        <v>5356.8</v>
      </c>
      <c r="G105" s="133">
        <f>Tabla147[[#This Row],[Importe]]-Tabla147[[#This Row],[Pagado]]</f>
        <v>0</v>
      </c>
      <c r="H105" s="134" t="s">
        <v>10</v>
      </c>
      <c r="I105" s="135"/>
    </row>
    <row r="106" spans="1:9" ht="21.75" customHeight="1" x14ac:dyDescent="0.25">
      <c r="A106" s="127">
        <v>44713</v>
      </c>
      <c r="B106" s="128" t="s">
        <v>17893</v>
      </c>
      <c r="C106" s="129" t="s">
        <v>284</v>
      </c>
      <c r="D106" s="130">
        <v>7769.6</v>
      </c>
      <c r="E106" s="131">
        <v>44714</v>
      </c>
      <c r="F106" s="132">
        <v>7769.6</v>
      </c>
      <c r="G106" s="133">
        <f>Tabla147[[#This Row],[Importe]]-Tabla147[[#This Row],[Pagado]]</f>
        <v>0</v>
      </c>
      <c r="H106" s="134" t="s">
        <v>10</v>
      </c>
      <c r="I106" s="135"/>
    </row>
    <row r="107" spans="1:9" ht="21.75" customHeight="1" x14ac:dyDescent="0.25">
      <c r="A107" s="127">
        <v>44713</v>
      </c>
      <c r="B107" s="128" t="s">
        <v>17894</v>
      </c>
      <c r="C107" s="129" t="s">
        <v>10819</v>
      </c>
      <c r="D107" s="130">
        <v>175</v>
      </c>
      <c r="E107" s="131">
        <v>44714</v>
      </c>
      <c r="F107" s="132">
        <v>175</v>
      </c>
      <c r="G107" s="133">
        <f>Tabla147[[#This Row],[Importe]]-Tabla147[[#This Row],[Pagado]]</f>
        <v>0</v>
      </c>
      <c r="H107" s="134" t="s">
        <v>10</v>
      </c>
      <c r="I107" s="135"/>
    </row>
    <row r="108" spans="1:9" ht="21.75" customHeight="1" x14ac:dyDescent="0.25">
      <c r="A108" s="127">
        <v>44713</v>
      </c>
      <c r="B108" s="128" t="s">
        <v>17895</v>
      </c>
      <c r="C108" s="129" t="s">
        <v>365</v>
      </c>
      <c r="D108" s="130">
        <v>823.4</v>
      </c>
      <c r="E108" s="131">
        <v>44713</v>
      </c>
      <c r="F108" s="132">
        <v>823.4</v>
      </c>
      <c r="G108" s="133">
        <f>Tabla147[[#This Row],[Importe]]-Tabla147[[#This Row],[Pagado]]</f>
        <v>0</v>
      </c>
      <c r="H108" s="134" t="s">
        <v>10</v>
      </c>
      <c r="I108" s="135"/>
    </row>
    <row r="109" spans="1:9" ht="21.75" customHeight="1" x14ac:dyDescent="0.25">
      <c r="A109" s="127">
        <v>44713</v>
      </c>
      <c r="B109" s="128" t="s">
        <v>17896</v>
      </c>
      <c r="C109" s="129" t="s">
        <v>610</v>
      </c>
      <c r="D109" s="130">
        <v>19244.8</v>
      </c>
      <c r="E109" s="131">
        <v>44713</v>
      </c>
      <c r="F109" s="132">
        <v>19244.8</v>
      </c>
      <c r="G109" s="133">
        <f>Tabla147[[#This Row],[Importe]]-Tabla147[[#This Row],[Pagado]]</f>
        <v>0</v>
      </c>
      <c r="H109" s="134" t="s">
        <v>10</v>
      </c>
      <c r="I109" s="135"/>
    </row>
    <row r="110" spans="1:9" ht="21.75" customHeight="1" x14ac:dyDescent="0.25">
      <c r="A110" s="127">
        <v>44713</v>
      </c>
      <c r="B110" s="128" t="s">
        <v>17897</v>
      </c>
      <c r="C110" s="129" t="s">
        <v>31</v>
      </c>
      <c r="D110" s="130">
        <v>1261</v>
      </c>
      <c r="E110" s="131">
        <v>44713</v>
      </c>
      <c r="F110" s="132">
        <v>1261</v>
      </c>
      <c r="G110" s="133">
        <f>Tabla147[[#This Row],[Importe]]-Tabla147[[#This Row],[Pagado]]</f>
        <v>0</v>
      </c>
      <c r="H110" s="134" t="s">
        <v>10</v>
      </c>
      <c r="I110" s="135"/>
    </row>
    <row r="111" spans="1:9" ht="21.75" customHeight="1" x14ac:dyDescent="0.25">
      <c r="A111" s="127">
        <v>44713</v>
      </c>
      <c r="B111" s="128" t="s">
        <v>17898</v>
      </c>
      <c r="C111" s="129" t="s">
        <v>5694</v>
      </c>
      <c r="D111" s="130">
        <v>3776</v>
      </c>
      <c r="E111" s="131">
        <v>44714</v>
      </c>
      <c r="F111" s="132">
        <v>3776</v>
      </c>
      <c r="G111" s="133">
        <f>Tabla147[[#This Row],[Importe]]-Tabla147[[#This Row],[Pagado]]</f>
        <v>0</v>
      </c>
      <c r="H111" s="134" t="s">
        <v>10</v>
      </c>
      <c r="I111" s="135"/>
    </row>
    <row r="112" spans="1:9" ht="21.75" customHeight="1" x14ac:dyDescent="0.25">
      <c r="A112" s="127">
        <v>44713</v>
      </c>
      <c r="B112" s="128" t="s">
        <v>17899</v>
      </c>
      <c r="C112" s="129" t="s">
        <v>373</v>
      </c>
      <c r="D112" s="130">
        <v>1559.4</v>
      </c>
      <c r="E112" s="131">
        <v>44714</v>
      </c>
      <c r="F112" s="132">
        <v>1559.4</v>
      </c>
      <c r="G112" s="133">
        <f>Tabla147[[#This Row],[Importe]]-Tabla147[[#This Row],[Pagado]]</f>
        <v>0</v>
      </c>
      <c r="H112" s="134" t="s">
        <v>10</v>
      </c>
      <c r="I112" s="135"/>
    </row>
    <row r="113" spans="1:9" ht="21.75" customHeight="1" x14ac:dyDescent="0.25">
      <c r="A113" s="127">
        <v>44713</v>
      </c>
      <c r="B113" s="128" t="s">
        <v>17900</v>
      </c>
      <c r="C113" s="129" t="s">
        <v>31</v>
      </c>
      <c r="D113" s="130">
        <v>98</v>
      </c>
      <c r="E113" s="131">
        <v>44714</v>
      </c>
      <c r="F113" s="132">
        <v>98</v>
      </c>
      <c r="G113" s="133">
        <f>Tabla147[[#This Row],[Importe]]-Tabla147[[#This Row],[Pagado]]</f>
        <v>0</v>
      </c>
      <c r="H113" s="134" t="s">
        <v>10</v>
      </c>
      <c r="I113" s="135"/>
    </row>
    <row r="114" spans="1:9" ht="21.75" customHeight="1" x14ac:dyDescent="0.25">
      <c r="A114" s="127">
        <v>44713</v>
      </c>
      <c r="B114" s="128" t="s">
        <v>17901</v>
      </c>
      <c r="C114" s="129" t="s">
        <v>9577</v>
      </c>
      <c r="D114" s="130">
        <v>21440</v>
      </c>
      <c r="E114" s="131">
        <v>44714</v>
      </c>
      <c r="F114" s="132">
        <v>21440</v>
      </c>
      <c r="G114" s="133">
        <f>Tabla147[[#This Row],[Importe]]-Tabla147[[#This Row],[Pagado]]</f>
        <v>0</v>
      </c>
      <c r="H114" s="134" t="s">
        <v>10</v>
      </c>
      <c r="I114" s="135"/>
    </row>
    <row r="115" spans="1:9" ht="21.75" customHeight="1" x14ac:dyDescent="0.25">
      <c r="A115" s="127">
        <v>44714</v>
      </c>
      <c r="B115" s="128" t="s">
        <v>17902</v>
      </c>
      <c r="C115" s="129" t="s">
        <v>20</v>
      </c>
      <c r="D115" s="130">
        <v>2059.1999999999998</v>
      </c>
      <c r="E115" s="131">
        <v>44714</v>
      </c>
      <c r="F115" s="132">
        <v>2059.1999999999998</v>
      </c>
      <c r="G115" s="133">
        <f>Tabla147[[#This Row],[Importe]]-Tabla147[[#This Row],[Pagado]]</f>
        <v>0</v>
      </c>
      <c r="H115" s="134" t="s">
        <v>10</v>
      </c>
      <c r="I115" s="135"/>
    </row>
    <row r="116" spans="1:9" ht="21.75" customHeight="1" x14ac:dyDescent="0.25">
      <c r="A116" s="127">
        <v>44714</v>
      </c>
      <c r="B116" s="128" t="s">
        <v>17903</v>
      </c>
      <c r="C116" s="129" t="s">
        <v>95</v>
      </c>
      <c r="D116" s="130">
        <v>27980</v>
      </c>
      <c r="E116" s="131">
        <v>44714</v>
      </c>
      <c r="F116" s="132">
        <v>27980</v>
      </c>
      <c r="G116" s="133">
        <f>Tabla147[[#This Row],[Importe]]-Tabla147[[#This Row],[Pagado]]</f>
        <v>0</v>
      </c>
      <c r="H116" s="134" t="s">
        <v>10</v>
      </c>
      <c r="I116" s="135"/>
    </row>
    <row r="117" spans="1:9" ht="27.75" customHeight="1" x14ac:dyDescent="0.25">
      <c r="A117" s="127">
        <v>44714</v>
      </c>
      <c r="B117" s="128" t="s">
        <v>17904</v>
      </c>
      <c r="C117" s="129" t="s">
        <v>475</v>
      </c>
      <c r="D117" s="130">
        <v>63116.1</v>
      </c>
      <c r="E117" s="131" t="s">
        <v>17796</v>
      </c>
      <c r="F117" s="132">
        <f>50000+13116.1</f>
        <v>63116.1</v>
      </c>
      <c r="G117" s="133">
        <f>Tabla147[[#This Row],[Importe]]-Tabla147[[#This Row],[Pagado]]</f>
        <v>0</v>
      </c>
      <c r="H117" s="134" t="s">
        <v>10</v>
      </c>
      <c r="I117" s="135"/>
    </row>
    <row r="118" spans="1:9" ht="21.75" customHeight="1" x14ac:dyDescent="0.25">
      <c r="A118" s="127">
        <v>44714</v>
      </c>
      <c r="B118" s="128" t="s">
        <v>17905</v>
      </c>
      <c r="C118" s="129" t="s">
        <v>116</v>
      </c>
      <c r="D118" s="130">
        <v>4212.3</v>
      </c>
      <c r="E118" s="131">
        <v>44715</v>
      </c>
      <c r="F118" s="132">
        <v>4212.3</v>
      </c>
      <c r="G118" s="133">
        <f>Tabla147[[#This Row],[Importe]]-Tabla147[[#This Row],[Pagado]]</f>
        <v>0</v>
      </c>
      <c r="H118" s="134" t="s">
        <v>10</v>
      </c>
      <c r="I118" s="135"/>
    </row>
    <row r="119" spans="1:9" ht="21.75" customHeight="1" x14ac:dyDescent="0.25">
      <c r="A119" s="127">
        <v>44714</v>
      </c>
      <c r="B119" s="128" t="s">
        <v>17906</v>
      </c>
      <c r="C119" s="129" t="s">
        <v>2563</v>
      </c>
      <c r="D119" s="130">
        <v>4571.3999999999996</v>
      </c>
      <c r="E119" s="131">
        <v>44715</v>
      </c>
      <c r="F119" s="132">
        <v>4571.3999999999996</v>
      </c>
      <c r="G119" s="133">
        <f>Tabla147[[#This Row],[Importe]]-Tabla147[[#This Row],[Pagado]]</f>
        <v>0</v>
      </c>
      <c r="H119" s="134" t="s">
        <v>10</v>
      </c>
      <c r="I119" s="135"/>
    </row>
    <row r="120" spans="1:9" ht="21.75" customHeight="1" x14ac:dyDescent="0.25">
      <c r="A120" s="127">
        <v>44714</v>
      </c>
      <c r="B120" s="128" t="s">
        <v>17907</v>
      </c>
      <c r="C120" s="129" t="s">
        <v>109</v>
      </c>
      <c r="D120" s="130">
        <v>4680.5</v>
      </c>
      <c r="E120" s="131">
        <v>44715</v>
      </c>
      <c r="F120" s="132">
        <v>4680.5</v>
      </c>
      <c r="G120" s="133">
        <f>Tabla147[[#This Row],[Importe]]-Tabla147[[#This Row],[Pagado]]</f>
        <v>0</v>
      </c>
      <c r="H120" s="134" t="s">
        <v>10</v>
      </c>
      <c r="I120" s="135"/>
    </row>
    <row r="121" spans="1:9" ht="21.75" customHeight="1" x14ac:dyDescent="0.25">
      <c r="A121" s="127">
        <v>44714</v>
      </c>
      <c r="B121" s="128" t="s">
        <v>17908</v>
      </c>
      <c r="C121" s="129" t="s">
        <v>97</v>
      </c>
      <c r="D121" s="130">
        <v>9223.5</v>
      </c>
      <c r="E121" s="131">
        <v>44715</v>
      </c>
      <c r="F121" s="132">
        <v>9223.5</v>
      </c>
      <c r="G121" s="133">
        <f>Tabla147[[#This Row],[Importe]]-Tabla147[[#This Row],[Pagado]]</f>
        <v>0</v>
      </c>
      <c r="H121" s="134" t="s">
        <v>10</v>
      </c>
      <c r="I121" s="135"/>
    </row>
    <row r="122" spans="1:9" ht="21.75" customHeight="1" x14ac:dyDescent="0.25">
      <c r="A122" s="127">
        <v>44714</v>
      </c>
      <c r="B122" s="128" t="s">
        <v>17909</v>
      </c>
      <c r="C122" s="129" t="s">
        <v>114</v>
      </c>
      <c r="D122" s="130">
        <v>5346</v>
      </c>
      <c r="E122" s="131">
        <v>44715</v>
      </c>
      <c r="F122" s="132">
        <v>5346</v>
      </c>
      <c r="G122" s="133">
        <f>Tabla147[[#This Row],[Importe]]-Tabla147[[#This Row],[Pagado]]</f>
        <v>0</v>
      </c>
      <c r="H122" s="134" t="s">
        <v>10</v>
      </c>
      <c r="I122" s="135"/>
    </row>
    <row r="123" spans="1:9" ht="21.75" customHeight="1" x14ac:dyDescent="0.25">
      <c r="A123" s="127">
        <v>44714</v>
      </c>
      <c r="B123" s="128" t="s">
        <v>17910</v>
      </c>
      <c r="C123" s="129" t="s">
        <v>99</v>
      </c>
      <c r="D123" s="130">
        <v>4713.5</v>
      </c>
      <c r="E123" s="131">
        <v>44716</v>
      </c>
      <c r="F123" s="132">
        <v>4713.5</v>
      </c>
      <c r="G123" s="133">
        <f>Tabla147[[#This Row],[Importe]]-Tabla147[[#This Row],[Pagado]]</f>
        <v>0</v>
      </c>
      <c r="H123" s="134" t="s">
        <v>10</v>
      </c>
      <c r="I123" s="135"/>
    </row>
    <row r="124" spans="1:9" ht="21.75" customHeight="1" x14ac:dyDescent="0.25">
      <c r="A124" s="127">
        <v>44714</v>
      </c>
      <c r="B124" s="128" t="s">
        <v>17911</v>
      </c>
      <c r="C124" s="129" t="s">
        <v>16819</v>
      </c>
      <c r="D124" s="130">
        <v>5175.5</v>
      </c>
      <c r="E124" s="131">
        <v>44714</v>
      </c>
      <c r="F124" s="132">
        <v>5175.5</v>
      </c>
      <c r="G124" s="133">
        <f>Tabla147[[#This Row],[Importe]]-Tabla147[[#This Row],[Pagado]]</f>
        <v>0</v>
      </c>
      <c r="H124" s="134" t="s">
        <v>10</v>
      </c>
      <c r="I124" s="135"/>
    </row>
    <row r="125" spans="1:9" ht="21.75" customHeight="1" x14ac:dyDescent="0.25">
      <c r="A125" s="127">
        <v>44714</v>
      </c>
      <c r="B125" s="128" t="s">
        <v>17912</v>
      </c>
      <c r="C125" s="129" t="s">
        <v>89</v>
      </c>
      <c r="D125" s="130">
        <v>6798.3</v>
      </c>
      <c r="E125" s="131">
        <v>44715</v>
      </c>
      <c r="F125" s="132">
        <v>6798.3</v>
      </c>
      <c r="G125" s="133">
        <f>Tabla147[[#This Row],[Importe]]-Tabla147[[#This Row],[Pagado]]</f>
        <v>0</v>
      </c>
      <c r="H125" s="134" t="s">
        <v>10</v>
      </c>
      <c r="I125" s="135"/>
    </row>
    <row r="126" spans="1:9" ht="21.75" customHeight="1" x14ac:dyDescent="0.25">
      <c r="A126" s="127">
        <v>44714</v>
      </c>
      <c r="B126" s="128" t="s">
        <v>17913</v>
      </c>
      <c r="C126" s="129" t="s">
        <v>105</v>
      </c>
      <c r="D126" s="130">
        <v>7086.5</v>
      </c>
      <c r="E126" s="131">
        <v>44715</v>
      </c>
      <c r="F126" s="132">
        <v>7086.5</v>
      </c>
      <c r="G126" s="133">
        <f>Tabla147[[#This Row],[Importe]]-Tabla147[[#This Row],[Pagado]]</f>
        <v>0</v>
      </c>
      <c r="H126" s="134" t="s">
        <v>10</v>
      </c>
      <c r="I126" s="135"/>
    </row>
    <row r="127" spans="1:9" ht="21.75" customHeight="1" x14ac:dyDescent="0.25">
      <c r="A127" s="127">
        <v>44714</v>
      </c>
      <c r="B127" s="128" t="s">
        <v>17914</v>
      </c>
      <c r="C127" s="129" t="s">
        <v>93</v>
      </c>
      <c r="D127" s="130">
        <v>4757.5</v>
      </c>
      <c r="E127" s="131">
        <v>44715</v>
      </c>
      <c r="F127" s="132">
        <v>4757.5</v>
      </c>
      <c r="G127" s="133">
        <f>Tabla147[[#This Row],[Importe]]-Tabla147[[#This Row],[Pagado]]</f>
        <v>0</v>
      </c>
      <c r="H127" s="134" t="s">
        <v>10</v>
      </c>
      <c r="I127" s="135"/>
    </row>
    <row r="128" spans="1:9" ht="21.75" customHeight="1" x14ac:dyDescent="0.25">
      <c r="A128" s="127">
        <v>44714</v>
      </c>
      <c r="B128" s="128" t="s">
        <v>17915</v>
      </c>
      <c r="C128" s="129" t="s">
        <v>481</v>
      </c>
      <c r="D128" s="130">
        <v>1599.6</v>
      </c>
      <c r="E128" s="131">
        <v>44714</v>
      </c>
      <c r="F128" s="132">
        <v>1599.6</v>
      </c>
      <c r="G128" s="133">
        <f>Tabla147[[#This Row],[Importe]]-Tabla147[[#This Row],[Pagado]]</f>
        <v>0</v>
      </c>
      <c r="H128" s="134" t="s">
        <v>10</v>
      </c>
      <c r="I128" s="135"/>
    </row>
    <row r="129" spans="1:9" ht="21.75" customHeight="1" x14ac:dyDescent="0.25">
      <c r="A129" s="127">
        <v>44714</v>
      </c>
      <c r="B129" s="128" t="s">
        <v>17916</v>
      </c>
      <c r="C129" s="129" t="s">
        <v>93</v>
      </c>
      <c r="D129" s="130">
        <v>3036.4</v>
      </c>
      <c r="E129" s="131">
        <v>44716</v>
      </c>
      <c r="F129" s="132">
        <v>3036.4</v>
      </c>
      <c r="G129" s="133">
        <f>Tabla147[[#This Row],[Importe]]-Tabla147[[#This Row],[Pagado]]</f>
        <v>0</v>
      </c>
      <c r="H129" s="134" t="s">
        <v>10</v>
      </c>
      <c r="I129" s="135"/>
    </row>
    <row r="130" spans="1:9" ht="21.75" customHeight="1" x14ac:dyDescent="0.25">
      <c r="A130" s="127">
        <v>44714</v>
      </c>
      <c r="B130" s="128" t="s">
        <v>17917</v>
      </c>
      <c r="C130" s="129" t="s">
        <v>64</v>
      </c>
      <c r="D130" s="130">
        <v>9199.7999999999993</v>
      </c>
      <c r="E130" s="131">
        <v>44715</v>
      </c>
      <c r="F130" s="132">
        <v>9199.7999999999993</v>
      </c>
      <c r="G130" s="133">
        <f>Tabla147[[#This Row],[Importe]]-Tabla147[[#This Row],[Pagado]]</f>
        <v>0</v>
      </c>
      <c r="H130" s="134" t="s">
        <v>10</v>
      </c>
      <c r="I130" s="135"/>
    </row>
    <row r="131" spans="1:9" ht="21.75" customHeight="1" x14ac:dyDescent="0.25">
      <c r="A131" s="127">
        <v>44714</v>
      </c>
      <c r="B131" s="128" t="s">
        <v>17918</v>
      </c>
      <c r="C131" s="129" t="s">
        <v>12202</v>
      </c>
      <c r="D131" s="130">
        <v>3600</v>
      </c>
      <c r="E131" s="131">
        <v>44714</v>
      </c>
      <c r="F131" s="132">
        <v>3600</v>
      </c>
      <c r="G131" s="133">
        <f>Tabla147[[#This Row],[Importe]]-Tabla147[[#This Row],[Pagado]]</f>
        <v>0</v>
      </c>
      <c r="H131" s="134" t="s">
        <v>10</v>
      </c>
      <c r="I131" s="135"/>
    </row>
    <row r="132" spans="1:9" ht="21.75" customHeight="1" x14ac:dyDescent="0.25">
      <c r="A132" s="127">
        <v>44714</v>
      </c>
      <c r="B132" s="128" t="s">
        <v>17919</v>
      </c>
      <c r="C132" s="129" t="s">
        <v>39</v>
      </c>
      <c r="D132" s="130">
        <v>16470.7</v>
      </c>
      <c r="E132" s="131">
        <v>44714</v>
      </c>
      <c r="F132" s="132">
        <v>16470.7</v>
      </c>
      <c r="G132" s="133">
        <f>Tabla147[[#This Row],[Importe]]-Tabla147[[#This Row],[Pagado]]</f>
        <v>0</v>
      </c>
      <c r="H132" s="134" t="s">
        <v>10</v>
      </c>
      <c r="I132" s="135"/>
    </row>
    <row r="133" spans="1:9" ht="21.75" customHeight="1" x14ac:dyDescent="0.25">
      <c r="A133" s="127">
        <v>44714</v>
      </c>
      <c r="B133" s="128" t="s">
        <v>17920</v>
      </c>
      <c r="C133" s="129" t="s">
        <v>2151</v>
      </c>
      <c r="D133" s="130">
        <v>13755.5</v>
      </c>
      <c r="E133" s="131">
        <v>44714</v>
      </c>
      <c r="F133" s="132">
        <v>13755.5</v>
      </c>
      <c r="G133" s="133">
        <f>Tabla147[[#This Row],[Importe]]-Tabla147[[#This Row],[Pagado]]</f>
        <v>0</v>
      </c>
      <c r="H133" s="134" t="s">
        <v>10</v>
      </c>
      <c r="I133" s="135"/>
    </row>
    <row r="134" spans="1:9" ht="21.75" customHeight="1" x14ac:dyDescent="0.25">
      <c r="A134" s="127">
        <v>44714</v>
      </c>
      <c r="B134" s="128" t="s">
        <v>17921</v>
      </c>
      <c r="C134" s="129" t="s">
        <v>2151</v>
      </c>
      <c r="D134" s="130">
        <v>464</v>
      </c>
      <c r="E134" s="131">
        <v>44714</v>
      </c>
      <c r="F134" s="132">
        <v>464</v>
      </c>
      <c r="G134" s="133">
        <f>Tabla147[[#This Row],[Importe]]-Tabla147[[#This Row],[Pagado]]</f>
        <v>0</v>
      </c>
      <c r="H134" s="134" t="s">
        <v>10</v>
      </c>
      <c r="I134" s="135"/>
    </row>
    <row r="135" spans="1:9" ht="21.75" customHeight="1" x14ac:dyDescent="0.25">
      <c r="A135" s="127">
        <v>44714</v>
      </c>
      <c r="B135" s="128" t="s">
        <v>17922</v>
      </c>
      <c r="C135" s="129" t="s">
        <v>31</v>
      </c>
      <c r="D135" s="130">
        <v>2704</v>
      </c>
      <c r="E135" s="131">
        <v>44714</v>
      </c>
      <c r="F135" s="132">
        <v>2704</v>
      </c>
      <c r="G135" s="133">
        <f>Tabla147[[#This Row],[Importe]]-Tabla147[[#This Row],[Pagado]]</f>
        <v>0</v>
      </c>
      <c r="H135" s="134" t="s">
        <v>10</v>
      </c>
      <c r="I135" s="135"/>
    </row>
    <row r="136" spans="1:9" ht="21.75" customHeight="1" x14ac:dyDescent="0.25">
      <c r="A136" s="127">
        <v>44714</v>
      </c>
      <c r="B136" s="128" t="s">
        <v>17923</v>
      </c>
      <c r="C136" s="129" t="s">
        <v>87</v>
      </c>
      <c r="D136" s="130">
        <v>2213</v>
      </c>
      <c r="E136" s="131">
        <v>44714</v>
      </c>
      <c r="F136" s="132">
        <v>2213</v>
      </c>
      <c r="G136" s="133">
        <f>Tabla147[[#This Row],[Importe]]-Tabla147[[#This Row],[Pagado]]</f>
        <v>0</v>
      </c>
      <c r="H136" s="134" t="s">
        <v>10</v>
      </c>
      <c r="I136" s="135"/>
    </row>
    <row r="137" spans="1:9" ht="21.75" customHeight="1" x14ac:dyDescent="0.25">
      <c r="A137" s="127">
        <v>44714</v>
      </c>
      <c r="B137" s="128" t="s">
        <v>17924</v>
      </c>
      <c r="C137" s="129" t="s">
        <v>22</v>
      </c>
      <c r="D137" s="130">
        <v>48336.7</v>
      </c>
      <c r="E137" s="131">
        <v>44715</v>
      </c>
      <c r="F137" s="132">
        <v>48336.7</v>
      </c>
      <c r="G137" s="133">
        <f>Tabla147[[#This Row],[Importe]]-Tabla147[[#This Row],[Pagado]]</f>
        <v>0</v>
      </c>
      <c r="H137" s="134" t="s">
        <v>10</v>
      </c>
      <c r="I137" s="135"/>
    </row>
    <row r="138" spans="1:9" ht="21.75" customHeight="1" x14ac:dyDescent="0.25">
      <c r="A138" s="127">
        <v>44714</v>
      </c>
      <c r="B138" s="128" t="s">
        <v>17925</v>
      </c>
      <c r="C138" s="129" t="s">
        <v>9</v>
      </c>
      <c r="D138" s="130">
        <v>8558.1</v>
      </c>
      <c r="E138" s="131">
        <v>44714</v>
      </c>
      <c r="F138" s="132">
        <v>8558.1</v>
      </c>
      <c r="G138" s="133">
        <f>Tabla147[[#This Row],[Importe]]-Tabla147[[#This Row],[Pagado]]</f>
        <v>0</v>
      </c>
      <c r="H138" s="134" t="s">
        <v>10</v>
      </c>
      <c r="I138" s="135"/>
    </row>
    <row r="139" spans="1:9" ht="21.75" customHeight="1" x14ac:dyDescent="0.25">
      <c r="A139" s="127">
        <v>44714</v>
      </c>
      <c r="B139" s="128" t="s">
        <v>17926</v>
      </c>
      <c r="C139" s="129" t="s">
        <v>107</v>
      </c>
      <c r="D139" s="130">
        <v>10296.799999999999</v>
      </c>
      <c r="E139" s="131">
        <v>44714</v>
      </c>
      <c r="F139" s="132">
        <v>10296.799999999999</v>
      </c>
      <c r="G139" s="133">
        <f>Tabla147[[#This Row],[Importe]]-Tabla147[[#This Row],[Pagado]]</f>
        <v>0</v>
      </c>
      <c r="H139" s="134" t="s">
        <v>10</v>
      </c>
      <c r="I139" s="135"/>
    </row>
    <row r="140" spans="1:9" ht="21.75" customHeight="1" x14ac:dyDescent="0.25">
      <c r="A140" s="127">
        <v>44714</v>
      </c>
      <c r="B140" s="128" t="s">
        <v>17927</v>
      </c>
      <c r="C140" s="129" t="s">
        <v>131</v>
      </c>
      <c r="D140" s="130">
        <v>16707.599999999999</v>
      </c>
      <c r="E140" s="131">
        <v>44714</v>
      </c>
      <c r="F140" s="132">
        <v>16707.599999999999</v>
      </c>
      <c r="G140" s="133">
        <f>Tabla147[[#This Row],[Importe]]-Tabla147[[#This Row],[Pagado]]</f>
        <v>0</v>
      </c>
      <c r="H140" s="134" t="s">
        <v>10</v>
      </c>
      <c r="I140" s="135"/>
    </row>
    <row r="141" spans="1:9" ht="21.75" customHeight="1" x14ac:dyDescent="0.25">
      <c r="A141" s="127">
        <v>44714</v>
      </c>
      <c r="B141" s="128" t="s">
        <v>17928</v>
      </c>
      <c r="C141" s="129" t="s">
        <v>17929</v>
      </c>
      <c r="D141" s="130">
        <v>0</v>
      </c>
      <c r="E141" s="136" t="s">
        <v>189</v>
      </c>
      <c r="F141" s="132">
        <v>0</v>
      </c>
      <c r="G141" s="133">
        <f>Tabla147[[#This Row],[Importe]]-Tabla147[[#This Row],[Pagado]]</f>
        <v>0</v>
      </c>
      <c r="H141" s="134" t="s">
        <v>189</v>
      </c>
      <c r="I141" s="135"/>
    </row>
    <row r="142" spans="1:9" ht="21.75" customHeight="1" x14ac:dyDescent="0.25">
      <c r="A142" s="127">
        <v>44714</v>
      </c>
      <c r="B142" s="128" t="s">
        <v>17930</v>
      </c>
      <c r="C142" s="129" t="s">
        <v>17931</v>
      </c>
      <c r="D142" s="130">
        <v>0</v>
      </c>
      <c r="E142" s="136" t="s">
        <v>189</v>
      </c>
      <c r="F142" s="132">
        <v>0</v>
      </c>
      <c r="G142" s="133">
        <f>Tabla147[[#This Row],[Importe]]-Tabla147[[#This Row],[Pagado]]</f>
        <v>0</v>
      </c>
      <c r="H142" s="134" t="s">
        <v>189</v>
      </c>
      <c r="I142" s="135"/>
    </row>
    <row r="143" spans="1:9" ht="21.75" customHeight="1" x14ac:dyDescent="0.25">
      <c r="A143" s="127">
        <v>44714</v>
      </c>
      <c r="B143" s="128" t="s">
        <v>17932</v>
      </c>
      <c r="C143" s="129" t="s">
        <v>75</v>
      </c>
      <c r="D143" s="130">
        <v>6745.6</v>
      </c>
      <c r="E143" s="131">
        <v>44714</v>
      </c>
      <c r="F143" s="132">
        <v>6745.6</v>
      </c>
      <c r="G143" s="133">
        <f>Tabla147[[#This Row],[Importe]]-Tabla147[[#This Row],[Pagado]]</f>
        <v>0</v>
      </c>
      <c r="H143" s="134" t="s">
        <v>10</v>
      </c>
      <c r="I143" s="135"/>
    </row>
    <row r="144" spans="1:9" ht="21.75" customHeight="1" x14ac:dyDescent="0.25">
      <c r="A144" s="127">
        <v>44714</v>
      </c>
      <c r="B144" s="128" t="s">
        <v>17933</v>
      </c>
      <c r="C144" s="129" t="s">
        <v>196</v>
      </c>
      <c r="D144" s="130">
        <v>92111.02</v>
      </c>
      <c r="E144" s="131">
        <v>44715</v>
      </c>
      <c r="F144" s="132">
        <v>92111.02</v>
      </c>
      <c r="G144" s="133">
        <f>Tabla147[[#This Row],[Importe]]-Tabla147[[#This Row],[Pagado]]</f>
        <v>0</v>
      </c>
      <c r="H144" s="134" t="s">
        <v>10</v>
      </c>
      <c r="I144" s="135"/>
    </row>
    <row r="145" spans="1:9" ht="21.75" customHeight="1" x14ac:dyDescent="0.25">
      <c r="A145" s="127">
        <v>44714</v>
      </c>
      <c r="B145" s="128" t="s">
        <v>17934</v>
      </c>
      <c r="C145" s="129" t="s">
        <v>357</v>
      </c>
      <c r="D145" s="130">
        <v>793.5</v>
      </c>
      <c r="E145" s="131">
        <v>44714</v>
      </c>
      <c r="F145" s="132">
        <v>793.5</v>
      </c>
      <c r="G145" s="133">
        <f>Tabla147[[#This Row],[Importe]]-Tabla147[[#This Row],[Pagado]]</f>
        <v>0</v>
      </c>
      <c r="H145" s="134" t="s">
        <v>10</v>
      </c>
      <c r="I145" s="135"/>
    </row>
    <row r="146" spans="1:9" ht="21.75" customHeight="1" x14ac:dyDescent="0.25">
      <c r="A146" s="127">
        <v>44714</v>
      </c>
      <c r="B146" s="128" t="s">
        <v>17935</v>
      </c>
      <c r="C146" s="129" t="s">
        <v>484</v>
      </c>
      <c r="D146" s="130">
        <v>4426.8</v>
      </c>
      <c r="E146" s="131">
        <v>44714</v>
      </c>
      <c r="F146" s="132">
        <v>4426.8</v>
      </c>
      <c r="G146" s="133">
        <f>Tabla147[[#This Row],[Importe]]-Tabla147[[#This Row],[Pagado]]</f>
        <v>0</v>
      </c>
      <c r="H146" s="134" t="s">
        <v>10</v>
      </c>
      <c r="I146" s="135"/>
    </row>
    <row r="147" spans="1:9" ht="21.75" customHeight="1" x14ac:dyDescent="0.25">
      <c r="A147" s="127">
        <v>44714</v>
      </c>
      <c r="B147" s="128" t="s">
        <v>17936</v>
      </c>
      <c r="C147" s="129" t="s">
        <v>140</v>
      </c>
      <c r="D147" s="130">
        <v>641.70000000000005</v>
      </c>
      <c r="E147" s="131">
        <v>44714</v>
      </c>
      <c r="F147" s="132">
        <v>641.70000000000005</v>
      </c>
      <c r="G147" s="133">
        <f>Tabla147[[#This Row],[Importe]]-Tabla147[[#This Row],[Pagado]]</f>
        <v>0</v>
      </c>
      <c r="H147" s="134" t="s">
        <v>10</v>
      </c>
      <c r="I147" s="135"/>
    </row>
    <row r="148" spans="1:9" ht="21.75" customHeight="1" x14ac:dyDescent="0.25">
      <c r="A148" s="127">
        <v>44714</v>
      </c>
      <c r="B148" s="128" t="s">
        <v>17937</v>
      </c>
      <c r="C148" s="129" t="s">
        <v>129</v>
      </c>
      <c r="D148" s="130">
        <v>2166.6</v>
      </c>
      <c r="E148" s="131">
        <v>44714</v>
      </c>
      <c r="F148" s="132">
        <v>2166.6</v>
      </c>
      <c r="G148" s="133">
        <f>Tabla147[[#This Row],[Importe]]-Tabla147[[#This Row],[Pagado]]</f>
        <v>0</v>
      </c>
      <c r="H148" s="134" t="s">
        <v>10</v>
      </c>
      <c r="I148" s="135"/>
    </row>
    <row r="149" spans="1:9" ht="21.75" customHeight="1" x14ac:dyDescent="0.25">
      <c r="A149" s="127">
        <v>44714</v>
      </c>
      <c r="B149" s="128" t="s">
        <v>17938</v>
      </c>
      <c r="C149" s="129" t="s">
        <v>127</v>
      </c>
      <c r="D149" s="130">
        <v>4499.1000000000004</v>
      </c>
      <c r="E149" s="131">
        <v>44714</v>
      </c>
      <c r="F149" s="132">
        <v>4499.1000000000004</v>
      </c>
      <c r="G149" s="133">
        <f>Tabla147[[#This Row],[Importe]]-Tabla147[[#This Row],[Pagado]]</f>
        <v>0</v>
      </c>
      <c r="H149" s="134" t="s">
        <v>10</v>
      </c>
      <c r="I149" s="135"/>
    </row>
    <row r="150" spans="1:9" ht="21.75" customHeight="1" x14ac:dyDescent="0.25">
      <c r="A150" s="127">
        <v>44714</v>
      </c>
      <c r="B150" s="128" t="s">
        <v>17939</v>
      </c>
      <c r="C150" s="129" t="s">
        <v>450</v>
      </c>
      <c r="D150" s="130">
        <v>4143.8999999999996</v>
      </c>
      <c r="E150" s="131">
        <v>44714</v>
      </c>
      <c r="F150" s="132">
        <v>4143.8999999999996</v>
      </c>
      <c r="G150" s="133">
        <f>Tabla147[[#This Row],[Importe]]-Tabla147[[#This Row],[Pagado]]</f>
        <v>0</v>
      </c>
      <c r="H150" s="134" t="s">
        <v>10</v>
      </c>
      <c r="I150" s="135"/>
    </row>
    <row r="151" spans="1:9" ht="21.75" customHeight="1" x14ac:dyDescent="0.25">
      <c r="A151" s="127">
        <v>44714</v>
      </c>
      <c r="B151" s="128" t="s">
        <v>17940</v>
      </c>
      <c r="C151" s="129" t="s">
        <v>144</v>
      </c>
      <c r="D151" s="130">
        <v>4088</v>
      </c>
      <c r="E151" s="131">
        <v>44714</v>
      </c>
      <c r="F151" s="132">
        <v>4088</v>
      </c>
      <c r="G151" s="133">
        <f>Tabla147[[#This Row],[Importe]]-Tabla147[[#This Row],[Pagado]]</f>
        <v>0</v>
      </c>
      <c r="H151" s="134" t="s">
        <v>10</v>
      </c>
      <c r="I151" s="135"/>
    </row>
    <row r="152" spans="1:9" ht="21.75" customHeight="1" x14ac:dyDescent="0.25">
      <c r="A152" s="127">
        <v>44714</v>
      </c>
      <c r="B152" s="128" t="s">
        <v>17941</v>
      </c>
      <c r="C152" s="129" t="s">
        <v>31</v>
      </c>
      <c r="D152" s="130">
        <v>3677.7</v>
      </c>
      <c r="E152" s="131">
        <v>44714</v>
      </c>
      <c r="F152" s="132">
        <v>3677.7</v>
      </c>
      <c r="G152" s="133">
        <f>Tabla147[[#This Row],[Importe]]-Tabla147[[#This Row],[Pagado]]</f>
        <v>0</v>
      </c>
      <c r="H152" s="134" t="s">
        <v>10</v>
      </c>
      <c r="I152" s="135"/>
    </row>
    <row r="153" spans="1:9" ht="21.75" customHeight="1" x14ac:dyDescent="0.25">
      <c r="A153" s="127">
        <v>44714</v>
      </c>
      <c r="B153" s="128" t="s">
        <v>17942</v>
      </c>
      <c r="C153" s="129" t="s">
        <v>11033</v>
      </c>
      <c r="D153" s="130">
        <v>3139.5</v>
      </c>
      <c r="E153" s="131">
        <v>44714</v>
      </c>
      <c r="F153" s="132">
        <v>3139.5</v>
      </c>
      <c r="G153" s="133">
        <f>Tabla147[[#This Row],[Importe]]-Tabla147[[#This Row],[Pagado]]</f>
        <v>0</v>
      </c>
      <c r="H153" s="134" t="s">
        <v>10</v>
      </c>
      <c r="I153" s="135"/>
    </row>
    <row r="154" spans="1:9" ht="21.75" customHeight="1" x14ac:dyDescent="0.25">
      <c r="A154" s="127">
        <v>44714</v>
      </c>
      <c r="B154" s="128" t="s">
        <v>17943</v>
      </c>
      <c r="C154" s="129" t="s">
        <v>146</v>
      </c>
      <c r="D154" s="130">
        <v>3107.6</v>
      </c>
      <c r="E154" s="131">
        <v>44714</v>
      </c>
      <c r="F154" s="132">
        <v>3107.6</v>
      </c>
      <c r="G154" s="133">
        <f>Tabla147[[#This Row],[Importe]]-Tabla147[[#This Row],[Pagado]]</f>
        <v>0</v>
      </c>
      <c r="H154" s="134" t="s">
        <v>10</v>
      </c>
      <c r="I154" s="135"/>
    </row>
    <row r="155" spans="1:9" ht="21.75" customHeight="1" x14ac:dyDescent="0.25">
      <c r="A155" s="127">
        <v>44714</v>
      </c>
      <c r="B155" s="128" t="s">
        <v>17944</v>
      </c>
      <c r="C155" s="129" t="s">
        <v>664</v>
      </c>
      <c r="D155" s="130">
        <v>6779.6</v>
      </c>
      <c r="E155" s="131">
        <v>44714</v>
      </c>
      <c r="F155" s="132">
        <v>6779.6</v>
      </c>
      <c r="G155" s="133">
        <f>Tabla147[[#This Row],[Importe]]-Tabla147[[#This Row],[Pagado]]</f>
        <v>0</v>
      </c>
      <c r="H155" s="134" t="s">
        <v>10</v>
      </c>
      <c r="I155" s="135"/>
    </row>
    <row r="156" spans="1:9" ht="21.75" customHeight="1" x14ac:dyDescent="0.25">
      <c r="A156" s="127">
        <v>44714</v>
      </c>
      <c r="B156" s="128" t="s">
        <v>17945</v>
      </c>
      <c r="C156" s="129" t="s">
        <v>1302</v>
      </c>
      <c r="D156" s="130">
        <v>5884.8</v>
      </c>
      <c r="E156" s="131">
        <v>44714</v>
      </c>
      <c r="F156" s="132">
        <v>5884.8</v>
      </c>
      <c r="G156" s="133">
        <f>Tabla147[[#This Row],[Importe]]-Tabla147[[#This Row],[Pagado]]</f>
        <v>0</v>
      </c>
      <c r="H156" s="134" t="s">
        <v>10</v>
      </c>
      <c r="I156" s="135"/>
    </row>
    <row r="157" spans="1:9" x14ac:dyDescent="0.25">
      <c r="A157" s="127">
        <v>44714</v>
      </c>
      <c r="B157" s="128" t="s">
        <v>17946</v>
      </c>
      <c r="C157" s="129" t="s">
        <v>17947</v>
      </c>
      <c r="D157" s="130">
        <v>0</v>
      </c>
      <c r="E157" s="136" t="s">
        <v>189</v>
      </c>
      <c r="F157" s="132">
        <v>0</v>
      </c>
      <c r="G157" s="133">
        <f>Tabla147[[#This Row],[Importe]]-Tabla147[[#This Row],[Pagado]]</f>
        <v>0</v>
      </c>
      <c r="H157" s="137" t="s">
        <v>17948</v>
      </c>
      <c r="I157" s="135"/>
    </row>
    <row r="158" spans="1:9" ht="21.75" customHeight="1" x14ac:dyDescent="0.25">
      <c r="A158" s="127">
        <v>44714</v>
      </c>
      <c r="B158" s="128" t="s">
        <v>17949</v>
      </c>
      <c r="C158" s="129" t="s">
        <v>35</v>
      </c>
      <c r="D158" s="130">
        <v>3525.6</v>
      </c>
      <c r="E158" s="131">
        <v>44714</v>
      </c>
      <c r="F158" s="132">
        <v>3525.6</v>
      </c>
      <c r="G158" s="133">
        <f>Tabla147[[#This Row],[Importe]]-Tabla147[[#This Row],[Pagado]]</f>
        <v>0</v>
      </c>
      <c r="H158" s="134" t="s">
        <v>10</v>
      </c>
      <c r="I158" s="135"/>
    </row>
    <row r="159" spans="1:9" ht="21.75" customHeight="1" x14ac:dyDescent="0.25">
      <c r="A159" s="127">
        <v>44714</v>
      </c>
      <c r="B159" s="128" t="s">
        <v>17950</v>
      </c>
      <c r="C159" s="129" t="s">
        <v>35</v>
      </c>
      <c r="D159" s="130">
        <v>1288.7</v>
      </c>
      <c r="E159" s="131">
        <v>44714</v>
      </c>
      <c r="F159" s="132">
        <v>1288.7</v>
      </c>
      <c r="G159" s="133">
        <f>Tabla147[[#This Row],[Importe]]-Tabla147[[#This Row],[Pagado]]</f>
        <v>0</v>
      </c>
      <c r="H159" s="134" t="s">
        <v>10</v>
      </c>
      <c r="I159" s="135"/>
    </row>
    <row r="160" spans="1:9" ht="21.75" customHeight="1" x14ac:dyDescent="0.25">
      <c r="A160" s="127">
        <v>44714</v>
      </c>
      <c r="B160" s="128" t="s">
        <v>17951</v>
      </c>
      <c r="C160" s="129" t="s">
        <v>1265</v>
      </c>
      <c r="D160" s="130">
        <v>8587.2999999999993</v>
      </c>
      <c r="E160" s="131">
        <v>44714</v>
      </c>
      <c r="F160" s="132">
        <v>8587.2999999999993</v>
      </c>
      <c r="G160" s="133">
        <f>Tabla147[[#This Row],[Importe]]-Tabla147[[#This Row],[Pagado]]</f>
        <v>0</v>
      </c>
      <c r="H160" s="134" t="s">
        <v>10</v>
      </c>
      <c r="I160" s="135"/>
    </row>
    <row r="161" spans="1:9" ht="21.75" customHeight="1" x14ac:dyDescent="0.25">
      <c r="A161" s="127">
        <v>44714</v>
      </c>
      <c r="B161" s="128" t="s">
        <v>17952</v>
      </c>
      <c r="C161" s="129" t="s">
        <v>17953</v>
      </c>
      <c r="D161" s="130">
        <v>0</v>
      </c>
      <c r="E161" s="136" t="s">
        <v>189</v>
      </c>
      <c r="F161" s="132">
        <v>0</v>
      </c>
      <c r="G161" s="133">
        <f>Tabla147[[#This Row],[Importe]]-Tabla147[[#This Row],[Pagado]]</f>
        <v>0</v>
      </c>
      <c r="H161" s="137" t="s">
        <v>17954</v>
      </c>
      <c r="I161" s="135"/>
    </row>
    <row r="162" spans="1:9" ht="21.75" customHeight="1" x14ac:dyDescent="0.25">
      <c r="A162" s="127">
        <v>44714</v>
      </c>
      <c r="B162" s="128" t="s">
        <v>17955</v>
      </c>
      <c r="C162" s="129" t="s">
        <v>56</v>
      </c>
      <c r="D162" s="130">
        <v>7962.4</v>
      </c>
      <c r="E162" s="131">
        <v>44714</v>
      </c>
      <c r="F162" s="132">
        <v>7962.4</v>
      </c>
      <c r="G162" s="133">
        <f>Tabla147[[#This Row],[Importe]]-Tabla147[[#This Row],[Pagado]]</f>
        <v>0</v>
      </c>
      <c r="H162" s="134" t="s">
        <v>10</v>
      </c>
      <c r="I162" s="135"/>
    </row>
    <row r="163" spans="1:9" ht="21.75" customHeight="1" x14ac:dyDescent="0.25">
      <c r="A163" s="127">
        <v>44714</v>
      </c>
      <c r="B163" s="128" t="s">
        <v>17956</v>
      </c>
      <c r="C163" s="129" t="s">
        <v>230</v>
      </c>
      <c r="D163" s="130">
        <v>4147.3999999999996</v>
      </c>
      <c r="E163" s="131">
        <v>44714</v>
      </c>
      <c r="F163" s="132">
        <v>4147.3999999999996</v>
      </c>
      <c r="G163" s="133">
        <f>Tabla147[[#This Row],[Importe]]-Tabla147[[#This Row],[Pagado]]</f>
        <v>0</v>
      </c>
      <c r="H163" s="134" t="s">
        <v>10</v>
      </c>
      <c r="I163" s="135"/>
    </row>
    <row r="164" spans="1:9" ht="21.75" customHeight="1" x14ac:dyDescent="0.25">
      <c r="A164" s="127">
        <v>44714</v>
      </c>
      <c r="B164" s="128" t="s">
        <v>17957</v>
      </c>
      <c r="C164" s="129" t="s">
        <v>31</v>
      </c>
      <c r="D164" s="130">
        <v>660</v>
      </c>
      <c r="E164" s="131">
        <v>44714</v>
      </c>
      <c r="F164" s="132">
        <v>660</v>
      </c>
      <c r="G164" s="133">
        <f>Tabla147[[#This Row],[Importe]]-Tabla147[[#This Row],[Pagado]]</f>
        <v>0</v>
      </c>
      <c r="H164" s="134" t="s">
        <v>10</v>
      </c>
      <c r="I164" s="135"/>
    </row>
    <row r="165" spans="1:9" ht="21.75" customHeight="1" x14ac:dyDescent="0.25">
      <c r="A165" s="127">
        <v>44714</v>
      </c>
      <c r="B165" s="128" t="s">
        <v>17958</v>
      </c>
      <c r="C165" s="129" t="s">
        <v>53</v>
      </c>
      <c r="D165" s="130">
        <v>3215.1</v>
      </c>
      <c r="E165" s="131">
        <v>44714</v>
      </c>
      <c r="F165" s="132">
        <v>3215.1</v>
      </c>
      <c r="G165" s="133">
        <f>Tabla147[[#This Row],[Importe]]-Tabla147[[#This Row],[Pagado]]</f>
        <v>0</v>
      </c>
      <c r="H165" s="134" t="s">
        <v>10</v>
      </c>
      <c r="I165" s="135"/>
    </row>
    <row r="166" spans="1:9" ht="21.75" customHeight="1" x14ac:dyDescent="0.25">
      <c r="A166" s="127">
        <v>44714</v>
      </c>
      <c r="B166" s="128" t="s">
        <v>17959</v>
      </c>
      <c r="C166" s="129" t="s">
        <v>45</v>
      </c>
      <c r="D166" s="130">
        <v>12200.39</v>
      </c>
      <c r="E166" s="131">
        <v>44714</v>
      </c>
      <c r="F166" s="132">
        <v>12200.39</v>
      </c>
      <c r="G166" s="133">
        <f>Tabla147[[#This Row],[Importe]]-Tabla147[[#This Row],[Pagado]]</f>
        <v>0</v>
      </c>
      <c r="H166" s="134" t="s">
        <v>10</v>
      </c>
      <c r="I166" s="135"/>
    </row>
    <row r="167" spans="1:9" ht="21.75" customHeight="1" x14ac:dyDescent="0.25">
      <c r="A167" s="127">
        <v>44714</v>
      </c>
      <c r="B167" s="128" t="s">
        <v>17960</v>
      </c>
      <c r="C167" s="129" t="s">
        <v>49</v>
      </c>
      <c r="D167" s="130">
        <v>3568.4</v>
      </c>
      <c r="E167" s="131">
        <v>44714</v>
      </c>
      <c r="F167" s="132">
        <v>3568.4</v>
      </c>
      <c r="G167" s="133">
        <f>Tabla147[[#This Row],[Importe]]-Tabla147[[#This Row],[Pagado]]</f>
        <v>0</v>
      </c>
      <c r="H167" s="134" t="s">
        <v>10</v>
      </c>
      <c r="I167" s="135"/>
    </row>
    <row r="168" spans="1:9" ht="21.75" customHeight="1" x14ac:dyDescent="0.25">
      <c r="A168" s="127">
        <v>44714</v>
      </c>
      <c r="B168" s="128" t="s">
        <v>17961</v>
      </c>
      <c r="C168" s="129" t="s">
        <v>214</v>
      </c>
      <c r="D168" s="130">
        <v>1644.8</v>
      </c>
      <c r="E168" s="131">
        <v>44714</v>
      </c>
      <c r="F168" s="132">
        <v>1644.8</v>
      </c>
      <c r="G168" s="133">
        <f>Tabla147[[#This Row],[Importe]]-Tabla147[[#This Row],[Pagado]]</f>
        <v>0</v>
      </c>
      <c r="H168" s="134" t="s">
        <v>10</v>
      </c>
      <c r="I168" s="135"/>
    </row>
    <row r="169" spans="1:9" ht="21.75" customHeight="1" x14ac:dyDescent="0.25">
      <c r="A169" s="127">
        <v>44714</v>
      </c>
      <c r="B169" s="128" t="s">
        <v>17962</v>
      </c>
      <c r="C169" s="129" t="s">
        <v>29</v>
      </c>
      <c r="D169" s="130">
        <v>9523.2000000000007</v>
      </c>
      <c r="E169" s="131">
        <v>44714</v>
      </c>
      <c r="F169" s="132">
        <v>9523.2000000000007</v>
      </c>
      <c r="G169" s="133">
        <f>Tabla147[[#This Row],[Importe]]-Tabla147[[#This Row],[Pagado]]</f>
        <v>0</v>
      </c>
      <c r="H169" s="134" t="s">
        <v>10</v>
      </c>
      <c r="I169" s="135"/>
    </row>
    <row r="170" spans="1:9" ht="21.75" customHeight="1" x14ac:dyDescent="0.25">
      <c r="A170" s="127">
        <v>44714</v>
      </c>
      <c r="B170" s="128" t="s">
        <v>17963</v>
      </c>
      <c r="C170" s="129" t="s">
        <v>934</v>
      </c>
      <c r="D170" s="130">
        <v>3268.8</v>
      </c>
      <c r="E170" s="131">
        <v>44714</v>
      </c>
      <c r="F170" s="132">
        <v>3268.8</v>
      </c>
      <c r="G170" s="133">
        <f>Tabla147[[#This Row],[Importe]]-Tabla147[[#This Row],[Pagado]]</f>
        <v>0</v>
      </c>
      <c r="H170" s="134" t="s">
        <v>10</v>
      </c>
      <c r="I170" s="135"/>
    </row>
    <row r="171" spans="1:9" ht="21.75" customHeight="1" x14ac:dyDescent="0.25">
      <c r="A171" s="127">
        <v>44714</v>
      </c>
      <c r="B171" s="128" t="s">
        <v>17964</v>
      </c>
      <c r="C171" s="129" t="s">
        <v>1558</v>
      </c>
      <c r="D171" s="130">
        <v>3399</v>
      </c>
      <c r="E171" s="131">
        <v>44714</v>
      </c>
      <c r="F171" s="132">
        <v>3399</v>
      </c>
      <c r="G171" s="133">
        <f>Tabla147[[#This Row],[Importe]]-Tabla147[[#This Row],[Pagado]]</f>
        <v>0</v>
      </c>
      <c r="H171" s="134" t="s">
        <v>10</v>
      </c>
      <c r="I171" s="135"/>
    </row>
    <row r="172" spans="1:9" ht="21.75" customHeight="1" x14ac:dyDescent="0.25">
      <c r="A172" s="127">
        <v>44714</v>
      </c>
      <c r="B172" s="128" t="s">
        <v>17965</v>
      </c>
      <c r="C172" s="129" t="s">
        <v>426</v>
      </c>
      <c r="D172" s="130">
        <v>168</v>
      </c>
      <c r="E172" s="131">
        <v>44714</v>
      </c>
      <c r="F172" s="132">
        <v>168</v>
      </c>
      <c r="G172" s="133">
        <f>Tabla147[[#This Row],[Importe]]-Tabla147[[#This Row],[Pagado]]</f>
        <v>0</v>
      </c>
      <c r="H172" s="134" t="s">
        <v>10</v>
      </c>
      <c r="I172" s="135"/>
    </row>
    <row r="173" spans="1:9" ht="21.75" customHeight="1" x14ac:dyDescent="0.25">
      <c r="A173" s="127">
        <v>44714</v>
      </c>
      <c r="B173" s="128" t="s">
        <v>17966</v>
      </c>
      <c r="C173" s="129" t="s">
        <v>198</v>
      </c>
      <c r="D173" s="130">
        <v>3772.1</v>
      </c>
      <c r="E173" s="131">
        <v>44714</v>
      </c>
      <c r="F173" s="132">
        <v>3772.1</v>
      </c>
      <c r="G173" s="133">
        <f>Tabla147[[#This Row],[Importe]]-Tabla147[[#This Row],[Pagado]]</f>
        <v>0</v>
      </c>
      <c r="H173" s="134" t="s">
        <v>10</v>
      </c>
      <c r="I173" s="135"/>
    </row>
    <row r="174" spans="1:9" ht="21.75" customHeight="1" x14ac:dyDescent="0.25">
      <c r="A174" s="127">
        <v>44714</v>
      </c>
      <c r="B174" s="128" t="s">
        <v>17967</v>
      </c>
      <c r="C174" s="129" t="s">
        <v>698</v>
      </c>
      <c r="D174" s="130">
        <v>6253.2</v>
      </c>
      <c r="E174" s="131">
        <v>44714</v>
      </c>
      <c r="F174" s="132">
        <v>6253.2</v>
      </c>
      <c r="G174" s="133">
        <f>Tabla147[[#This Row],[Importe]]-Tabla147[[#This Row],[Pagado]]</f>
        <v>0</v>
      </c>
      <c r="H174" s="134" t="s">
        <v>10</v>
      </c>
      <c r="I174" s="135"/>
    </row>
    <row r="175" spans="1:9" ht="21.75" customHeight="1" x14ac:dyDescent="0.25">
      <c r="A175" s="127">
        <v>44714</v>
      </c>
      <c r="B175" s="128" t="s">
        <v>17968</v>
      </c>
      <c r="C175" s="129" t="s">
        <v>79</v>
      </c>
      <c r="D175" s="130">
        <v>13049.6</v>
      </c>
      <c r="E175" s="131">
        <v>44714</v>
      </c>
      <c r="F175" s="132">
        <v>13049.6</v>
      </c>
      <c r="G175" s="133">
        <f>Tabla147[[#This Row],[Importe]]-Tabla147[[#This Row],[Pagado]]</f>
        <v>0</v>
      </c>
      <c r="H175" s="134" t="s">
        <v>10</v>
      </c>
      <c r="I175" s="135"/>
    </row>
    <row r="176" spans="1:9" ht="21.75" customHeight="1" x14ac:dyDescent="0.25">
      <c r="A176" s="127">
        <v>44714</v>
      </c>
      <c r="B176" s="128" t="s">
        <v>17969</v>
      </c>
      <c r="C176" s="129" t="s">
        <v>618</v>
      </c>
      <c r="D176" s="130">
        <v>11344.5</v>
      </c>
      <c r="E176" s="131">
        <v>44714</v>
      </c>
      <c r="F176" s="132">
        <v>11344.5</v>
      </c>
      <c r="G176" s="133">
        <f>Tabla147[[#This Row],[Importe]]-Tabla147[[#This Row],[Pagado]]</f>
        <v>0</v>
      </c>
      <c r="H176" s="134" t="s">
        <v>10</v>
      </c>
      <c r="I176" s="135"/>
    </row>
    <row r="177" spans="1:9" ht="21.75" customHeight="1" x14ac:dyDescent="0.25">
      <c r="A177" s="127">
        <v>44714</v>
      </c>
      <c r="B177" s="128" t="s">
        <v>17970</v>
      </c>
      <c r="C177" s="129" t="s">
        <v>226</v>
      </c>
      <c r="D177" s="130">
        <v>8896</v>
      </c>
      <c r="E177" s="131">
        <v>44714</v>
      </c>
      <c r="F177" s="132">
        <v>8896</v>
      </c>
      <c r="G177" s="133">
        <f>Tabla147[[#This Row],[Importe]]-Tabla147[[#This Row],[Pagado]]</f>
        <v>0</v>
      </c>
      <c r="H177" s="134" t="s">
        <v>10</v>
      </c>
      <c r="I177" s="135"/>
    </row>
    <row r="178" spans="1:9" ht="21.75" customHeight="1" x14ac:dyDescent="0.25">
      <c r="A178" s="127">
        <v>44714</v>
      </c>
      <c r="B178" s="128" t="s">
        <v>17971</v>
      </c>
      <c r="C178" s="129" t="s">
        <v>9827</v>
      </c>
      <c r="D178" s="130">
        <v>1625.6</v>
      </c>
      <c r="E178" s="131">
        <v>44714</v>
      </c>
      <c r="F178" s="132">
        <v>1625.6</v>
      </c>
      <c r="G178" s="133">
        <f>Tabla147[[#This Row],[Importe]]-Tabla147[[#This Row],[Pagado]]</f>
        <v>0</v>
      </c>
      <c r="H178" s="134" t="s">
        <v>10</v>
      </c>
      <c r="I178" s="135"/>
    </row>
    <row r="179" spans="1:9" ht="21.75" customHeight="1" x14ac:dyDescent="0.25">
      <c r="A179" s="127">
        <v>44714</v>
      </c>
      <c r="B179" s="128" t="s">
        <v>17972</v>
      </c>
      <c r="C179" s="129" t="s">
        <v>31</v>
      </c>
      <c r="D179" s="130">
        <v>3220</v>
      </c>
      <c r="E179" s="131">
        <v>44714</v>
      </c>
      <c r="F179" s="132">
        <v>3220</v>
      </c>
      <c r="G179" s="133">
        <f>Tabla147[[#This Row],[Importe]]-Tabla147[[#This Row],[Pagado]]</f>
        <v>0</v>
      </c>
      <c r="H179" s="134" t="s">
        <v>10</v>
      </c>
      <c r="I179" s="135"/>
    </row>
    <row r="180" spans="1:9" ht="21.75" customHeight="1" x14ac:dyDescent="0.25">
      <c r="A180" s="127">
        <v>44714</v>
      </c>
      <c r="B180" s="128" t="s">
        <v>17973</v>
      </c>
      <c r="C180" s="129" t="s">
        <v>31</v>
      </c>
      <c r="D180" s="130">
        <v>487.6</v>
      </c>
      <c r="E180" s="131">
        <v>44714</v>
      </c>
      <c r="F180" s="132">
        <v>487.6</v>
      </c>
      <c r="G180" s="133">
        <f>Tabla147[[#This Row],[Importe]]-Tabla147[[#This Row],[Pagado]]</f>
        <v>0</v>
      </c>
      <c r="H180" s="134" t="s">
        <v>10</v>
      </c>
      <c r="I180" s="135"/>
    </row>
    <row r="181" spans="1:9" ht="21.75" customHeight="1" x14ac:dyDescent="0.25">
      <c r="A181" s="127">
        <v>44714</v>
      </c>
      <c r="B181" s="128" t="s">
        <v>17974</v>
      </c>
      <c r="C181" s="129" t="s">
        <v>222</v>
      </c>
      <c r="D181" s="130">
        <v>9892.1</v>
      </c>
      <c r="E181" s="131">
        <v>44714</v>
      </c>
      <c r="F181" s="132">
        <v>9892.1</v>
      </c>
      <c r="G181" s="133">
        <f>Tabla147[[#This Row],[Importe]]-Tabla147[[#This Row],[Pagado]]</f>
        <v>0</v>
      </c>
      <c r="H181" s="134" t="s">
        <v>10</v>
      </c>
      <c r="I181" s="135"/>
    </row>
    <row r="182" spans="1:9" ht="21.75" customHeight="1" x14ac:dyDescent="0.25">
      <c r="A182" s="127">
        <v>44714</v>
      </c>
      <c r="B182" s="128" t="s">
        <v>17975</v>
      </c>
      <c r="C182" s="129" t="s">
        <v>966</v>
      </c>
      <c r="D182" s="130">
        <v>1634.4</v>
      </c>
      <c r="E182" s="131">
        <v>44714</v>
      </c>
      <c r="F182" s="132">
        <v>1634.4</v>
      </c>
      <c r="G182" s="133">
        <f>Tabla147[[#This Row],[Importe]]-Tabla147[[#This Row],[Pagado]]</f>
        <v>0</v>
      </c>
      <c r="H182" s="134" t="s">
        <v>10</v>
      </c>
      <c r="I182" s="135"/>
    </row>
    <row r="183" spans="1:9" ht="21.75" customHeight="1" x14ac:dyDescent="0.25">
      <c r="A183" s="127">
        <v>44714</v>
      </c>
      <c r="B183" s="128" t="s">
        <v>17976</v>
      </c>
      <c r="C183" s="129" t="s">
        <v>670</v>
      </c>
      <c r="D183" s="130">
        <v>4779.2</v>
      </c>
      <c r="E183" s="131">
        <v>44714</v>
      </c>
      <c r="F183" s="132">
        <v>4779.2</v>
      </c>
      <c r="G183" s="133">
        <f>Tabla147[[#This Row],[Importe]]-Tabla147[[#This Row],[Pagado]]</f>
        <v>0</v>
      </c>
      <c r="H183" s="134" t="s">
        <v>10</v>
      </c>
      <c r="I183" s="135"/>
    </row>
    <row r="184" spans="1:9" ht="21.75" customHeight="1" x14ac:dyDescent="0.25">
      <c r="A184" s="127">
        <v>44714</v>
      </c>
      <c r="B184" s="128" t="s">
        <v>17977</v>
      </c>
      <c r="C184" s="129" t="s">
        <v>244</v>
      </c>
      <c r="D184" s="130">
        <v>6229.5</v>
      </c>
      <c r="E184" s="131">
        <v>44714</v>
      </c>
      <c r="F184" s="132">
        <v>6229.5</v>
      </c>
      <c r="G184" s="133">
        <f>Tabla147[[#This Row],[Importe]]-Tabla147[[#This Row],[Pagado]]</f>
        <v>0</v>
      </c>
      <c r="H184" s="134" t="s">
        <v>10</v>
      </c>
      <c r="I184" s="135"/>
    </row>
    <row r="185" spans="1:9" ht="21.75" customHeight="1" x14ac:dyDescent="0.25">
      <c r="A185" s="127">
        <v>44714</v>
      </c>
      <c r="B185" s="128" t="s">
        <v>17978</v>
      </c>
      <c r="C185" s="129" t="s">
        <v>878</v>
      </c>
      <c r="D185" s="130">
        <v>3276</v>
      </c>
      <c r="E185" s="131">
        <v>44714</v>
      </c>
      <c r="F185" s="132">
        <v>3276</v>
      </c>
      <c r="G185" s="133">
        <f>Tabla147[[#This Row],[Importe]]-Tabla147[[#This Row],[Pagado]]</f>
        <v>0</v>
      </c>
      <c r="H185" s="134" t="s">
        <v>10</v>
      </c>
      <c r="I185" s="135"/>
    </row>
    <row r="186" spans="1:9" ht="21.75" customHeight="1" x14ac:dyDescent="0.25">
      <c r="A186" s="127">
        <v>44714</v>
      </c>
      <c r="B186" s="128" t="s">
        <v>17979</v>
      </c>
      <c r="C186" s="129" t="s">
        <v>703</v>
      </c>
      <c r="D186" s="130">
        <v>3723.3</v>
      </c>
      <c r="E186" s="131">
        <v>44714</v>
      </c>
      <c r="F186" s="132">
        <v>3723.3</v>
      </c>
      <c r="G186" s="133">
        <f>Tabla147[[#This Row],[Importe]]-Tabla147[[#This Row],[Pagado]]</f>
        <v>0</v>
      </c>
      <c r="H186" s="134" t="s">
        <v>10</v>
      </c>
      <c r="I186" s="135"/>
    </row>
    <row r="187" spans="1:9" ht="21.75" customHeight="1" x14ac:dyDescent="0.25">
      <c r="A187" s="127">
        <v>44714</v>
      </c>
      <c r="B187" s="128" t="s">
        <v>17980</v>
      </c>
      <c r="C187" s="129" t="s">
        <v>3971</v>
      </c>
      <c r="D187" s="130">
        <v>9151.5</v>
      </c>
      <c r="E187" s="131">
        <v>44714</v>
      </c>
      <c r="F187" s="132">
        <v>9151.5</v>
      </c>
      <c r="G187" s="133">
        <f>Tabla147[[#This Row],[Importe]]-Tabla147[[#This Row],[Pagado]]</f>
        <v>0</v>
      </c>
      <c r="H187" s="134" t="s">
        <v>10</v>
      </c>
      <c r="I187" s="135"/>
    </row>
    <row r="188" spans="1:9" ht="21.75" customHeight="1" x14ac:dyDescent="0.25">
      <c r="A188" s="127">
        <v>44714</v>
      </c>
      <c r="B188" s="128" t="s">
        <v>17981</v>
      </c>
      <c r="C188" s="129" t="s">
        <v>31</v>
      </c>
      <c r="D188" s="130">
        <v>1356.8</v>
      </c>
      <c r="E188" s="131">
        <v>44714</v>
      </c>
      <c r="F188" s="132">
        <v>1356.8</v>
      </c>
      <c r="G188" s="133">
        <f>Tabla147[[#This Row],[Importe]]-Tabla147[[#This Row],[Pagado]]</f>
        <v>0</v>
      </c>
      <c r="H188" s="134" t="s">
        <v>10</v>
      </c>
      <c r="I188" s="135"/>
    </row>
    <row r="189" spans="1:9" ht="21.75" customHeight="1" x14ac:dyDescent="0.25">
      <c r="A189" s="127">
        <v>44714</v>
      </c>
      <c r="B189" s="128" t="s">
        <v>17982</v>
      </c>
      <c r="C189" s="129" t="s">
        <v>47</v>
      </c>
      <c r="D189" s="130">
        <v>39055.32</v>
      </c>
      <c r="E189" s="131">
        <v>44714</v>
      </c>
      <c r="F189" s="132">
        <v>39055.32</v>
      </c>
      <c r="G189" s="133">
        <f>Tabla147[[#This Row],[Importe]]-Tabla147[[#This Row],[Pagado]]</f>
        <v>0</v>
      </c>
      <c r="H189" s="134" t="s">
        <v>10</v>
      </c>
      <c r="I189" s="135"/>
    </row>
    <row r="190" spans="1:9" ht="21.75" customHeight="1" x14ac:dyDescent="0.25">
      <c r="A190" s="127">
        <v>44714</v>
      </c>
      <c r="B190" s="128" t="s">
        <v>17983</v>
      </c>
      <c r="C190" s="129" t="s">
        <v>47</v>
      </c>
      <c r="D190" s="130">
        <v>4812.8</v>
      </c>
      <c r="E190" s="131">
        <v>44714</v>
      </c>
      <c r="F190" s="132">
        <v>4812.8</v>
      </c>
      <c r="G190" s="133">
        <f>Tabla147[[#This Row],[Importe]]-Tabla147[[#This Row],[Pagado]]</f>
        <v>0</v>
      </c>
      <c r="H190" s="134" t="s">
        <v>10</v>
      </c>
      <c r="I190" s="135"/>
    </row>
    <row r="191" spans="1:9" ht="21.75" customHeight="1" x14ac:dyDescent="0.25">
      <c r="A191" s="127">
        <v>44714</v>
      </c>
      <c r="B191" s="128" t="s">
        <v>17984</v>
      </c>
      <c r="C191" s="129" t="s">
        <v>392</v>
      </c>
      <c r="D191" s="130">
        <v>17731.2</v>
      </c>
      <c r="E191" s="131">
        <v>44723</v>
      </c>
      <c r="F191" s="132">
        <v>17731.2</v>
      </c>
      <c r="G191" s="133">
        <f>Tabla147[[#This Row],[Importe]]-Tabla147[[#This Row],[Pagado]]</f>
        <v>0</v>
      </c>
      <c r="H191" s="134" t="s">
        <v>10</v>
      </c>
      <c r="I191" s="135"/>
    </row>
    <row r="192" spans="1:9" ht="21.75" customHeight="1" x14ac:dyDescent="0.25">
      <c r="A192" s="127">
        <v>44714</v>
      </c>
      <c r="B192" s="128" t="s">
        <v>17985</v>
      </c>
      <c r="C192" s="129" t="s">
        <v>15039</v>
      </c>
      <c r="D192" s="130">
        <v>3981.3</v>
      </c>
      <c r="E192" s="131">
        <v>44714</v>
      </c>
      <c r="F192" s="132">
        <v>3981.3</v>
      </c>
      <c r="G192" s="133">
        <f>Tabla147[[#This Row],[Importe]]-Tabla147[[#This Row],[Pagado]]</f>
        <v>0</v>
      </c>
      <c r="H192" s="134" t="s">
        <v>10</v>
      </c>
      <c r="I192" s="135"/>
    </row>
    <row r="193" spans="1:9" ht="21.75" customHeight="1" x14ac:dyDescent="0.25">
      <c r="A193" s="127">
        <v>44714</v>
      </c>
      <c r="B193" s="128" t="s">
        <v>17986</v>
      </c>
      <c r="C193" s="129" t="s">
        <v>10678</v>
      </c>
      <c r="D193" s="130">
        <v>2777.2</v>
      </c>
      <c r="E193" s="131">
        <v>44714</v>
      </c>
      <c r="F193" s="132">
        <v>2777.2</v>
      </c>
      <c r="G193" s="133">
        <f>Tabla147[[#This Row],[Importe]]-Tabla147[[#This Row],[Pagado]]</f>
        <v>0</v>
      </c>
      <c r="H193" s="134" t="s">
        <v>10</v>
      </c>
      <c r="I193" s="135"/>
    </row>
    <row r="194" spans="1:9" ht="21.75" customHeight="1" x14ac:dyDescent="0.25">
      <c r="A194" s="127">
        <v>44714</v>
      </c>
      <c r="B194" s="128" t="s">
        <v>17987</v>
      </c>
      <c r="C194" s="129" t="s">
        <v>31</v>
      </c>
      <c r="D194" s="130">
        <v>919.3</v>
      </c>
      <c r="E194" s="131">
        <v>44714</v>
      </c>
      <c r="F194" s="132">
        <v>919.3</v>
      </c>
      <c r="G194" s="133">
        <f>Tabla147[[#This Row],[Importe]]-Tabla147[[#This Row],[Pagado]]</f>
        <v>0</v>
      </c>
      <c r="H194" s="134" t="s">
        <v>10</v>
      </c>
      <c r="I194" s="135"/>
    </row>
    <row r="195" spans="1:9" ht="21.75" customHeight="1" x14ac:dyDescent="0.25">
      <c r="A195" s="127">
        <v>44714</v>
      </c>
      <c r="B195" s="128" t="s">
        <v>17988</v>
      </c>
      <c r="C195" s="129" t="s">
        <v>17989</v>
      </c>
      <c r="D195" s="130">
        <v>0</v>
      </c>
      <c r="E195" s="136" t="s">
        <v>189</v>
      </c>
      <c r="F195" s="132">
        <v>0</v>
      </c>
      <c r="G195" s="133">
        <f>Tabla147[[#This Row],[Importe]]-Tabla147[[#This Row],[Pagado]]</f>
        <v>0</v>
      </c>
      <c r="H195" s="134" t="s">
        <v>189</v>
      </c>
      <c r="I195" s="135"/>
    </row>
    <row r="196" spans="1:9" ht="21.75" customHeight="1" x14ac:dyDescent="0.25">
      <c r="A196" s="127">
        <v>44714</v>
      </c>
      <c r="B196" s="128" t="s">
        <v>17990</v>
      </c>
      <c r="C196" s="129" t="s">
        <v>179</v>
      </c>
      <c r="D196" s="130">
        <v>1075.2</v>
      </c>
      <c r="E196" s="131">
        <v>44714</v>
      </c>
      <c r="F196" s="132">
        <v>1075.2</v>
      </c>
      <c r="G196" s="133">
        <f>Tabla147[[#This Row],[Importe]]-Tabla147[[#This Row],[Pagado]]</f>
        <v>0</v>
      </c>
      <c r="H196" s="134" t="s">
        <v>10</v>
      </c>
      <c r="I196" s="135"/>
    </row>
    <row r="197" spans="1:9" ht="21.75" customHeight="1" x14ac:dyDescent="0.25">
      <c r="A197" s="127">
        <v>44714</v>
      </c>
      <c r="B197" s="128" t="s">
        <v>17991</v>
      </c>
      <c r="C197" s="129" t="s">
        <v>175</v>
      </c>
      <c r="D197" s="130">
        <v>37634</v>
      </c>
      <c r="E197" s="131">
        <v>44714</v>
      </c>
      <c r="F197" s="132">
        <v>37634</v>
      </c>
      <c r="G197" s="133">
        <f>Tabla147[[#This Row],[Importe]]-Tabla147[[#This Row],[Pagado]]</f>
        <v>0</v>
      </c>
      <c r="H197" s="134" t="s">
        <v>10</v>
      </c>
      <c r="I197" s="135"/>
    </row>
    <row r="198" spans="1:9" ht="21.75" customHeight="1" x14ac:dyDescent="0.25">
      <c r="A198" s="127">
        <v>44714</v>
      </c>
      <c r="B198" s="128" t="s">
        <v>17992</v>
      </c>
      <c r="C198" s="129" t="s">
        <v>396</v>
      </c>
      <c r="D198" s="130">
        <v>12679.4</v>
      </c>
      <c r="E198" s="131">
        <v>44737</v>
      </c>
      <c r="F198" s="132">
        <v>12679.4</v>
      </c>
      <c r="G198" s="133">
        <f>Tabla147[[#This Row],[Importe]]-Tabla147[[#This Row],[Pagado]]</f>
        <v>0</v>
      </c>
      <c r="H198" s="134" t="s">
        <v>10</v>
      </c>
      <c r="I198" s="135"/>
    </row>
    <row r="199" spans="1:9" ht="21.75" customHeight="1" x14ac:dyDescent="0.25">
      <c r="A199" s="127">
        <v>44714</v>
      </c>
      <c r="B199" s="128" t="s">
        <v>17993</v>
      </c>
      <c r="C199" s="129" t="s">
        <v>200</v>
      </c>
      <c r="D199" s="130">
        <v>1088</v>
      </c>
      <c r="E199" s="131">
        <v>44714</v>
      </c>
      <c r="F199" s="132">
        <v>1088</v>
      </c>
      <c r="G199" s="133">
        <f>Tabla147[[#This Row],[Importe]]-Tabla147[[#This Row],[Pagado]]</f>
        <v>0</v>
      </c>
      <c r="H199" s="134" t="s">
        <v>10</v>
      </c>
      <c r="I199" s="135"/>
    </row>
    <row r="200" spans="1:9" ht="21.75" customHeight="1" x14ac:dyDescent="0.25">
      <c r="A200" s="127">
        <v>44714</v>
      </c>
      <c r="B200" s="128" t="s">
        <v>17994</v>
      </c>
      <c r="C200" s="129" t="s">
        <v>67</v>
      </c>
      <c r="D200" s="130">
        <v>1864</v>
      </c>
      <c r="E200" s="131">
        <v>44714</v>
      </c>
      <c r="F200" s="132">
        <v>1864</v>
      </c>
      <c r="G200" s="133">
        <f>Tabla147[[#This Row],[Importe]]-Tabla147[[#This Row],[Pagado]]</f>
        <v>0</v>
      </c>
      <c r="H200" s="134" t="s">
        <v>10</v>
      </c>
      <c r="I200" s="135"/>
    </row>
    <row r="201" spans="1:9" ht="21.75" customHeight="1" x14ac:dyDescent="0.25">
      <c r="A201" s="127">
        <v>44714</v>
      </c>
      <c r="B201" s="128" t="s">
        <v>17995</v>
      </c>
      <c r="C201" s="129" t="s">
        <v>2114</v>
      </c>
      <c r="D201" s="130">
        <v>1236</v>
      </c>
      <c r="E201" s="131">
        <v>44714</v>
      </c>
      <c r="F201" s="132">
        <v>1236</v>
      </c>
      <c r="G201" s="133">
        <f>Tabla147[[#This Row],[Importe]]-Tabla147[[#This Row],[Pagado]]</f>
        <v>0</v>
      </c>
      <c r="H201" s="134" t="s">
        <v>10</v>
      </c>
      <c r="I201" s="135"/>
    </row>
    <row r="202" spans="1:9" ht="21.75" customHeight="1" x14ac:dyDescent="0.25">
      <c r="A202" s="127">
        <v>44714</v>
      </c>
      <c r="B202" s="128" t="s">
        <v>17996</v>
      </c>
      <c r="C202" s="129" t="s">
        <v>135</v>
      </c>
      <c r="D202" s="130">
        <v>1339.5</v>
      </c>
      <c r="E202" s="131">
        <v>44714</v>
      </c>
      <c r="F202" s="132">
        <v>1339.5</v>
      </c>
      <c r="G202" s="133">
        <f>Tabla147[[#This Row],[Importe]]-Tabla147[[#This Row],[Pagado]]</f>
        <v>0</v>
      </c>
      <c r="H202" s="134" t="s">
        <v>10</v>
      </c>
      <c r="I202" s="135"/>
    </row>
    <row r="203" spans="1:9" ht="21.75" customHeight="1" x14ac:dyDescent="0.25">
      <c r="A203" s="127">
        <v>44714</v>
      </c>
      <c r="B203" s="128" t="s">
        <v>17997</v>
      </c>
      <c r="C203" s="129" t="s">
        <v>419</v>
      </c>
      <c r="D203" s="130">
        <v>5946.6</v>
      </c>
      <c r="E203" s="131">
        <v>44714</v>
      </c>
      <c r="F203" s="132">
        <v>5946.6</v>
      </c>
      <c r="G203" s="133">
        <f>Tabla147[[#This Row],[Importe]]-Tabla147[[#This Row],[Pagado]]</f>
        <v>0</v>
      </c>
      <c r="H203" s="134" t="s">
        <v>10</v>
      </c>
      <c r="I203" s="135"/>
    </row>
    <row r="204" spans="1:9" ht="21.75" customHeight="1" x14ac:dyDescent="0.25">
      <c r="A204" s="127">
        <v>44714</v>
      </c>
      <c r="B204" s="128" t="s">
        <v>17998</v>
      </c>
      <c r="C204" s="129" t="s">
        <v>244</v>
      </c>
      <c r="D204" s="130">
        <v>1003.2</v>
      </c>
      <c r="E204" s="131">
        <v>44714</v>
      </c>
      <c r="F204" s="132">
        <v>1003.2</v>
      </c>
      <c r="G204" s="133">
        <f>Tabla147[[#This Row],[Importe]]-Tabla147[[#This Row],[Pagado]]</f>
        <v>0</v>
      </c>
      <c r="H204" s="134" t="s">
        <v>10</v>
      </c>
      <c r="I204" s="135"/>
    </row>
    <row r="205" spans="1:9" ht="21.75" customHeight="1" x14ac:dyDescent="0.25">
      <c r="A205" s="127">
        <v>44714</v>
      </c>
      <c r="B205" s="128" t="s">
        <v>17999</v>
      </c>
      <c r="C205" s="129" t="s">
        <v>142</v>
      </c>
      <c r="D205" s="130">
        <v>32020.98</v>
      </c>
      <c r="E205" s="131">
        <v>44760</v>
      </c>
      <c r="F205" s="132">
        <v>32020.98</v>
      </c>
      <c r="G205" s="133">
        <f>Tabla147[[#This Row],[Importe]]-Tabla147[[#This Row],[Pagado]]</f>
        <v>0</v>
      </c>
      <c r="H205" s="134" t="s">
        <v>10</v>
      </c>
      <c r="I205" s="135"/>
    </row>
    <row r="206" spans="1:9" ht="21.75" customHeight="1" x14ac:dyDescent="0.25">
      <c r="A206" s="127">
        <v>44714</v>
      </c>
      <c r="B206" s="128" t="s">
        <v>18000</v>
      </c>
      <c r="C206" s="129" t="s">
        <v>31</v>
      </c>
      <c r="D206" s="130">
        <v>5908</v>
      </c>
      <c r="E206" s="131">
        <v>44714</v>
      </c>
      <c r="F206" s="132">
        <v>5908</v>
      </c>
      <c r="G206" s="133">
        <f>Tabla147[[#This Row],[Importe]]-Tabla147[[#This Row],[Pagado]]</f>
        <v>0</v>
      </c>
      <c r="H206" s="134" t="s">
        <v>10</v>
      </c>
      <c r="I206" s="135"/>
    </row>
    <row r="207" spans="1:9" ht="21.75" customHeight="1" x14ac:dyDescent="0.25">
      <c r="A207" s="127">
        <v>44714</v>
      </c>
      <c r="B207" s="128" t="s">
        <v>18001</v>
      </c>
      <c r="C207" s="129" t="s">
        <v>151</v>
      </c>
      <c r="D207" s="130">
        <v>18713</v>
      </c>
      <c r="E207" s="131">
        <v>44714</v>
      </c>
      <c r="F207" s="132">
        <v>18713</v>
      </c>
      <c r="G207" s="133">
        <f>Tabla147[[#This Row],[Importe]]-Tabla147[[#This Row],[Pagado]]</f>
        <v>0</v>
      </c>
      <c r="H207" s="134" t="s">
        <v>10</v>
      </c>
      <c r="I207" s="135"/>
    </row>
    <row r="208" spans="1:9" ht="21.75" customHeight="1" x14ac:dyDescent="0.25">
      <c r="A208" s="127">
        <v>44714</v>
      </c>
      <c r="B208" s="128" t="s">
        <v>18002</v>
      </c>
      <c r="C208" s="129" t="s">
        <v>159</v>
      </c>
      <c r="D208" s="130">
        <v>2412.3000000000002</v>
      </c>
      <c r="E208" s="131">
        <v>44714</v>
      </c>
      <c r="F208" s="132">
        <v>2412.3000000000002</v>
      </c>
      <c r="G208" s="133">
        <f>Tabla147[[#This Row],[Importe]]-Tabla147[[#This Row],[Pagado]]</f>
        <v>0</v>
      </c>
      <c r="H208" s="134" t="s">
        <v>10</v>
      </c>
      <c r="I208" s="135"/>
    </row>
    <row r="209" spans="1:9" ht="21.75" customHeight="1" x14ac:dyDescent="0.25">
      <c r="A209" s="127">
        <v>44714</v>
      </c>
      <c r="B209" s="128" t="s">
        <v>18003</v>
      </c>
      <c r="C209" s="129" t="s">
        <v>157</v>
      </c>
      <c r="D209" s="130">
        <v>372</v>
      </c>
      <c r="E209" s="131">
        <v>44714</v>
      </c>
      <c r="F209" s="132">
        <v>372</v>
      </c>
      <c r="G209" s="133">
        <f>Tabla147[[#This Row],[Importe]]-Tabla147[[#This Row],[Pagado]]</f>
        <v>0</v>
      </c>
      <c r="H209" s="134" t="s">
        <v>10</v>
      </c>
      <c r="I209" s="135"/>
    </row>
    <row r="210" spans="1:9" ht="21.75" customHeight="1" x14ac:dyDescent="0.25">
      <c r="A210" s="127">
        <v>44714</v>
      </c>
      <c r="B210" s="128" t="s">
        <v>18004</v>
      </c>
      <c r="C210" s="129" t="s">
        <v>226</v>
      </c>
      <c r="D210" s="130">
        <v>3371.1</v>
      </c>
      <c r="E210" s="131">
        <v>44714</v>
      </c>
      <c r="F210" s="132">
        <v>3371.1</v>
      </c>
      <c r="G210" s="133">
        <f>Tabla147[[#This Row],[Importe]]-Tabla147[[#This Row],[Pagado]]</f>
        <v>0</v>
      </c>
      <c r="H210" s="134" t="s">
        <v>10</v>
      </c>
      <c r="I210" s="135"/>
    </row>
    <row r="211" spans="1:9" ht="21.75" customHeight="1" x14ac:dyDescent="0.25">
      <c r="A211" s="127">
        <v>44714</v>
      </c>
      <c r="B211" s="128" t="s">
        <v>18005</v>
      </c>
      <c r="C211" s="129" t="s">
        <v>520</v>
      </c>
      <c r="D211" s="130">
        <v>15594.3</v>
      </c>
      <c r="E211" s="131">
        <v>44714</v>
      </c>
      <c r="F211" s="132">
        <v>15594.3</v>
      </c>
      <c r="G211" s="133">
        <f>Tabla147[[#This Row],[Importe]]-Tabla147[[#This Row],[Pagado]]</f>
        <v>0</v>
      </c>
      <c r="H211" s="134" t="s">
        <v>10</v>
      </c>
      <c r="I211" s="135"/>
    </row>
    <row r="212" spans="1:9" ht="21.75" customHeight="1" x14ac:dyDescent="0.25">
      <c r="A212" s="127">
        <v>44714</v>
      </c>
      <c r="B212" s="128" t="s">
        <v>18006</v>
      </c>
      <c r="C212" s="129" t="s">
        <v>518</v>
      </c>
      <c r="D212" s="130">
        <v>2040.7</v>
      </c>
      <c r="E212" s="131">
        <v>44714</v>
      </c>
      <c r="F212" s="132">
        <v>2040.7</v>
      </c>
      <c r="G212" s="133">
        <f>Tabla147[[#This Row],[Importe]]-Tabla147[[#This Row],[Pagado]]</f>
        <v>0</v>
      </c>
      <c r="H212" s="134" t="s">
        <v>10</v>
      </c>
      <c r="I212" s="135"/>
    </row>
    <row r="213" spans="1:9" ht="21.75" customHeight="1" x14ac:dyDescent="0.25">
      <c r="A213" s="127">
        <v>44714</v>
      </c>
      <c r="B213" s="128" t="s">
        <v>18007</v>
      </c>
      <c r="C213" s="129" t="s">
        <v>157</v>
      </c>
      <c r="D213" s="130">
        <v>6255.2</v>
      </c>
      <c r="E213" s="131">
        <v>44714</v>
      </c>
      <c r="F213" s="132">
        <v>6255.2</v>
      </c>
      <c r="G213" s="133">
        <f>Tabla147[[#This Row],[Importe]]-Tabla147[[#This Row],[Pagado]]</f>
        <v>0</v>
      </c>
      <c r="H213" s="134" t="s">
        <v>10</v>
      </c>
      <c r="I213" s="135"/>
    </row>
    <row r="214" spans="1:9" ht="21.75" customHeight="1" x14ac:dyDescent="0.25">
      <c r="A214" s="127">
        <v>44714</v>
      </c>
      <c r="B214" s="128" t="s">
        <v>18008</v>
      </c>
      <c r="C214" s="129" t="s">
        <v>319</v>
      </c>
      <c r="D214" s="130">
        <v>5864.2</v>
      </c>
      <c r="E214" s="131">
        <v>44714</v>
      </c>
      <c r="F214" s="132">
        <v>5864.2</v>
      </c>
      <c r="G214" s="133">
        <f>Tabla147[[#This Row],[Importe]]-Tabla147[[#This Row],[Pagado]]</f>
        <v>0</v>
      </c>
      <c r="H214" s="134" t="s">
        <v>10</v>
      </c>
      <c r="I214" s="135"/>
    </row>
    <row r="215" spans="1:9" ht="21.75" customHeight="1" x14ac:dyDescent="0.25">
      <c r="A215" s="127">
        <v>44714</v>
      </c>
      <c r="B215" s="128" t="s">
        <v>18009</v>
      </c>
      <c r="C215" s="129" t="s">
        <v>60</v>
      </c>
      <c r="D215" s="130">
        <v>1672.8</v>
      </c>
      <c r="E215" s="131">
        <v>44714</v>
      </c>
      <c r="F215" s="132">
        <v>1672.8</v>
      </c>
      <c r="G215" s="133">
        <f>Tabla147[[#This Row],[Importe]]-Tabla147[[#This Row],[Pagado]]</f>
        <v>0</v>
      </c>
      <c r="H215" s="134" t="s">
        <v>10</v>
      </c>
      <c r="I215" s="135"/>
    </row>
    <row r="216" spans="1:9" ht="21.75" customHeight="1" x14ac:dyDescent="0.25">
      <c r="A216" s="127">
        <v>44714</v>
      </c>
      <c r="B216" s="128" t="s">
        <v>18010</v>
      </c>
      <c r="C216" s="129" t="s">
        <v>9827</v>
      </c>
      <c r="D216" s="130">
        <v>620.79999999999995</v>
      </c>
      <c r="E216" s="131">
        <v>44714</v>
      </c>
      <c r="F216" s="132">
        <v>620.79999999999995</v>
      </c>
      <c r="G216" s="133">
        <f>Tabla147[[#This Row],[Importe]]-Tabla147[[#This Row],[Pagado]]</f>
        <v>0</v>
      </c>
      <c r="H216" s="134" t="s">
        <v>10</v>
      </c>
      <c r="I216" s="135"/>
    </row>
    <row r="217" spans="1:9" ht="21.75" customHeight="1" x14ac:dyDescent="0.25">
      <c r="A217" s="127">
        <v>44714</v>
      </c>
      <c r="B217" s="128" t="s">
        <v>18011</v>
      </c>
      <c r="C217" s="129" t="s">
        <v>296</v>
      </c>
      <c r="D217" s="130">
        <v>5212.8</v>
      </c>
      <c r="E217" s="131">
        <v>44714</v>
      </c>
      <c r="F217" s="132">
        <v>5212.8</v>
      </c>
      <c r="G217" s="133">
        <f>Tabla147[[#This Row],[Importe]]-Tabla147[[#This Row],[Pagado]]</f>
        <v>0</v>
      </c>
      <c r="H217" s="134" t="s">
        <v>10</v>
      </c>
      <c r="I217" s="135"/>
    </row>
    <row r="218" spans="1:9" ht="21.75" customHeight="1" x14ac:dyDescent="0.25">
      <c r="A218" s="127">
        <v>44714</v>
      </c>
      <c r="B218" s="128" t="s">
        <v>18012</v>
      </c>
      <c r="C218" s="129" t="s">
        <v>2139</v>
      </c>
      <c r="D218" s="130">
        <v>2070</v>
      </c>
      <c r="E218" s="131">
        <v>44714</v>
      </c>
      <c r="F218" s="132">
        <v>2070</v>
      </c>
      <c r="G218" s="133">
        <f>Tabla147[[#This Row],[Importe]]-Tabla147[[#This Row],[Pagado]]</f>
        <v>0</v>
      </c>
      <c r="H218" s="134" t="s">
        <v>10</v>
      </c>
      <c r="I218" s="135"/>
    </row>
    <row r="219" spans="1:9" ht="21.75" customHeight="1" x14ac:dyDescent="0.25">
      <c r="A219" s="127">
        <v>44714</v>
      </c>
      <c r="B219" s="128" t="s">
        <v>18013</v>
      </c>
      <c r="C219" s="129" t="s">
        <v>5345</v>
      </c>
      <c r="D219" s="130">
        <v>2598.4</v>
      </c>
      <c r="E219" s="131">
        <v>44716</v>
      </c>
      <c r="F219" s="132">
        <v>2598.4</v>
      </c>
      <c r="G219" s="133">
        <f>Tabla147[[#This Row],[Importe]]-Tabla147[[#This Row],[Pagado]]</f>
        <v>0</v>
      </c>
      <c r="H219" s="134" t="s">
        <v>10</v>
      </c>
      <c r="I219" s="135"/>
    </row>
    <row r="220" spans="1:9" ht="21.75" customHeight="1" x14ac:dyDescent="0.25">
      <c r="A220" s="127">
        <v>44714</v>
      </c>
      <c r="B220" s="128" t="s">
        <v>18014</v>
      </c>
      <c r="C220" s="129" t="s">
        <v>31</v>
      </c>
      <c r="D220" s="130">
        <v>3657.6</v>
      </c>
      <c r="E220" s="131">
        <v>44714</v>
      </c>
      <c r="F220" s="132">
        <v>3657.6</v>
      </c>
      <c r="G220" s="133">
        <f>Tabla147[[#This Row],[Importe]]-Tabla147[[#This Row],[Pagado]]</f>
        <v>0</v>
      </c>
      <c r="H220" s="134" t="s">
        <v>10</v>
      </c>
      <c r="I220" s="135"/>
    </row>
    <row r="221" spans="1:9" ht="21.75" customHeight="1" x14ac:dyDescent="0.25">
      <c r="A221" s="127">
        <v>44714</v>
      </c>
      <c r="B221" s="128" t="s">
        <v>18015</v>
      </c>
      <c r="C221" s="129" t="s">
        <v>280</v>
      </c>
      <c r="D221" s="130">
        <v>1004.8</v>
      </c>
      <c r="E221" s="131">
        <v>44716</v>
      </c>
      <c r="F221" s="132">
        <v>1004.8</v>
      </c>
      <c r="G221" s="133">
        <f>Tabla147[[#This Row],[Importe]]-Tabla147[[#This Row],[Pagado]]</f>
        <v>0</v>
      </c>
      <c r="H221" s="134" t="s">
        <v>10</v>
      </c>
      <c r="I221" s="135"/>
    </row>
    <row r="222" spans="1:9" ht="21.75" customHeight="1" x14ac:dyDescent="0.25">
      <c r="A222" s="127">
        <v>44714</v>
      </c>
      <c r="B222" s="128" t="s">
        <v>18016</v>
      </c>
      <c r="C222" s="129" t="s">
        <v>284</v>
      </c>
      <c r="D222" s="130">
        <v>7526.4</v>
      </c>
      <c r="E222" s="131">
        <v>44716</v>
      </c>
      <c r="F222" s="132">
        <v>7526.4</v>
      </c>
      <c r="G222" s="133">
        <f>Tabla147[[#This Row],[Importe]]-Tabla147[[#This Row],[Pagado]]</f>
        <v>0</v>
      </c>
      <c r="H222" s="134" t="s">
        <v>10</v>
      </c>
      <c r="I222" s="135"/>
    </row>
    <row r="223" spans="1:9" ht="21.75" customHeight="1" x14ac:dyDescent="0.25">
      <c r="A223" s="127">
        <v>44714</v>
      </c>
      <c r="B223" s="128" t="s">
        <v>18017</v>
      </c>
      <c r="C223" s="129" t="s">
        <v>282</v>
      </c>
      <c r="D223" s="130">
        <v>1145.5999999999999</v>
      </c>
      <c r="E223" s="131">
        <v>44716</v>
      </c>
      <c r="F223" s="132">
        <v>1145.5999999999999</v>
      </c>
      <c r="G223" s="133">
        <f>Tabla147[[#This Row],[Importe]]-Tabla147[[#This Row],[Pagado]]</f>
        <v>0</v>
      </c>
      <c r="H223" s="134" t="s">
        <v>10</v>
      </c>
      <c r="I223" s="135"/>
    </row>
    <row r="224" spans="1:9" ht="21.75" customHeight="1" x14ac:dyDescent="0.25">
      <c r="A224" s="127">
        <v>44714</v>
      </c>
      <c r="B224" s="128" t="s">
        <v>18018</v>
      </c>
      <c r="C224" s="129" t="s">
        <v>431</v>
      </c>
      <c r="D224" s="130">
        <v>518.4</v>
      </c>
      <c r="E224" s="131">
        <v>44716</v>
      </c>
      <c r="F224" s="132">
        <v>518.4</v>
      </c>
      <c r="G224" s="133">
        <f>Tabla147[[#This Row],[Importe]]-Tabla147[[#This Row],[Pagado]]</f>
        <v>0</v>
      </c>
      <c r="H224" s="134" t="s">
        <v>10</v>
      </c>
      <c r="I224" s="135"/>
    </row>
    <row r="225" spans="1:9" ht="21.75" customHeight="1" x14ac:dyDescent="0.25">
      <c r="A225" s="127">
        <v>44714</v>
      </c>
      <c r="B225" s="128" t="s">
        <v>18019</v>
      </c>
      <c r="C225" s="129" t="s">
        <v>409</v>
      </c>
      <c r="D225" s="130">
        <v>4253.3999999999996</v>
      </c>
      <c r="E225" s="131">
        <v>44716</v>
      </c>
      <c r="F225" s="132">
        <v>4253.3999999999996</v>
      </c>
      <c r="G225" s="133">
        <f>Tabla147[[#This Row],[Importe]]-Tabla147[[#This Row],[Pagado]]</f>
        <v>0</v>
      </c>
      <c r="H225" s="134" t="s">
        <v>10</v>
      </c>
      <c r="I225" s="135"/>
    </row>
    <row r="226" spans="1:9" ht="21.75" customHeight="1" x14ac:dyDescent="0.25">
      <c r="A226" s="127">
        <v>44714</v>
      </c>
      <c r="B226" s="128" t="s">
        <v>18020</v>
      </c>
      <c r="C226" s="129" t="s">
        <v>5824</v>
      </c>
      <c r="D226" s="130">
        <v>0</v>
      </c>
      <c r="E226" s="136" t="s">
        <v>189</v>
      </c>
      <c r="F226" s="132">
        <v>0</v>
      </c>
      <c r="G226" s="133">
        <f>Tabla147[[#This Row],[Importe]]-Tabla147[[#This Row],[Pagado]]</f>
        <v>0</v>
      </c>
      <c r="H226" s="134" t="s">
        <v>189</v>
      </c>
      <c r="I226" s="135"/>
    </row>
    <row r="227" spans="1:9" ht="21.75" customHeight="1" x14ac:dyDescent="0.25">
      <c r="A227" s="127">
        <v>44714</v>
      </c>
      <c r="B227" s="128" t="s">
        <v>18021</v>
      </c>
      <c r="C227" s="129" t="s">
        <v>10819</v>
      </c>
      <c r="D227" s="130">
        <v>576</v>
      </c>
      <c r="E227" s="131">
        <v>44716</v>
      </c>
      <c r="F227" s="132">
        <v>576</v>
      </c>
      <c r="G227" s="133">
        <f>Tabla147[[#This Row],[Importe]]-Tabla147[[#This Row],[Pagado]]</f>
        <v>0</v>
      </c>
      <c r="H227" s="134" t="s">
        <v>10</v>
      </c>
      <c r="I227" s="135"/>
    </row>
    <row r="228" spans="1:9" ht="21.75" customHeight="1" x14ac:dyDescent="0.25">
      <c r="A228" s="127">
        <v>44714</v>
      </c>
      <c r="B228" s="128" t="s">
        <v>18022</v>
      </c>
      <c r="C228" s="129" t="s">
        <v>53</v>
      </c>
      <c r="D228" s="130">
        <v>1638</v>
      </c>
      <c r="E228" s="131">
        <v>44714</v>
      </c>
      <c r="F228" s="132">
        <v>1638</v>
      </c>
      <c r="G228" s="133">
        <f>Tabla147[[#This Row],[Importe]]-Tabla147[[#This Row],[Pagado]]</f>
        <v>0</v>
      </c>
      <c r="H228" s="134" t="s">
        <v>10</v>
      </c>
      <c r="I228" s="135"/>
    </row>
    <row r="229" spans="1:9" ht="21.75" customHeight="1" x14ac:dyDescent="0.25">
      <c r="A229" s="127">
        <v>44714</v>
      </c>
      <c r="B229" s="128" t="s">
        <v>18023</v>
      </c>
      <c r="C229" s="129" t="s">
        <v>31</v>
      </c>
      <c r="D229" s="130">
        <v>409.6</v>
      </c>
      <c r="E229" s="131">
        <v>44714</v>
      </c>
      <c r="F229" s="132">
        <v>409.6</v>
      </c>
      <c r="G229" s="133">
        <f>Tabla147[[#This Row],[Importe]]-Tabla147[[#This Row],[Pagado]]</f>
        <v>0</v>
      </c>
      <c r="H229" s="134" t="s">
        <v>10</v>
      </c>
      <c r="I229" s="135"/>
    </row>
    <row r="230" spans="1:9" ht="21.75" customHeight="1" x14ac:dyDescent="0.25">
      <c r="A230" s="127">
        <v>44714</v>
      </c>
      <c r="B230" s="128" t="s">
        <v>18024</v>
      </c>
      <c r="C230" s="129" t="s">
        <v>31</v>
      </c>
      <c r="D230" s="130">
        <v>3686.4</v>
      </c>
      <c r="E230" s="131">
        <v>44714</v>
      </c>
      <c r="F230" s="132">
        <v>3686.4</v>
      </c>
      <c r="G230" s="133">
        <f>Tabla147[[#This Row],[Importe]]-Tabla147[[#This Row],[Pagado]]</f>
        <v>0</v>
      </c>
      <c r="H230" s="134" t="s">
        <v>10</v>
      </c>
      <c r="I230" s="135"/>
    </row>
    <row r="231" spans="1:9" ht="21.75" customHeight="1" x14ac:dyDescent="0.25">
      <c r="A231" s="127">
        <v>44714</v>
      </c>
      <c r="B231" s="128" t="s">
        <v>18025</v>
      </c>
      <c r="C231" s="129" t="s">
        <v>275</v>
      </c>
      <c r="D231" s="130">
        <v>121616.52</v>
      </c>
      <c r="E231" s="131">
        <v>44729</v>
      </c>
      <c r="F231" s="132">
        <v>121616.52</v>
      </c>
      <c r="G231" s="133">
        <f>Tabla147[[#This Row],[Importe]]-Tabla147[[#This Row],[Pagado]]</f>
        <v>0</v>
      </c>
      <c r="H231" s="134" t="s">
        <v>10</v>
      </c>
      <c r="I231" s="135"/>
    </row>
    <row r="232" spans="1:9" ht="21.75" customHeight="1" x14ac:dyDescent="0.25">
      <c r="A232" s="127">
        <v>44714</v>
      </c>
      <c r="B232" s="128" t="s">
        <v>18026</v>
      </c>
      <c r="C232" s="129" t="s">
        <v>484</v>
      </c>
      <c r="D232" s="130">
        <v>5045.6000000000004</v>
      </c>
      <c r="E232" s="131">
        <v>44714</v>
      </c>
      <c r="F232" s="132">
        <v>5045.6000000000004</v>
      </c>
      <c r="G232" s="133">
        <f>Tabla147[[#This Row],[Importe]]-Tabla147[[#This Row],[Pagado]]</f>
        <v>0</v>
      </c>
      <c r="H232" s="134" t="s">
        <v>10</v>
      </c>
      <c r="I232" s="135"/>
    </row>
    <row r="233" spans="1:9" ht="21.75" customHeight="1" x14ac:dyDescent="0.25">
      <c r="A233" s="127">
        <v>44714</v>
      </c>
      <c r="B233" s="128" t="s">
        <v>18027</v>
      </c>
      <c r="C233" s="129" t="s">
        <v>301</v>
      </c>
      <c r="D233" s="130">
        <v>19283.400000000001</v>
      </c>
      <c r="E233" s="131">
        <v>44714</v>
      </c>
      <c r="F233" s="132">
        <v>19283.400000000001</v>
      </c>
      <c r="G233" s="133">
        <f>Tabla147[[#This Row],[Importe]]-Tabla147[[#This Row],[Pagado]]</f>
        <v>0</v>
      </c>
      <c r="H233" s="134" t="s">
        <v>10</v>
      </c>
      <c r="I233" s="135"/>
    </row>
    <row r="234" spans="1:9" ht="21.75" customHeight="1" x14ac:dyDescent="0.25">
      <c r="A234" s="127">
        <v>44714</v>
      </c>
      <c r="B234" s="128" t="s">
        <v>18028</v>
      </c>
      <c r="C234" s="129" t="s">
        <v>6252</v>
      </c>
      <c r="D234" s="130">
        <v>0</v>
      </c>
      <c r="E234" s="136" t="s">
        <v>189</v>
      </c>
      <c r="F234" s="132">
        <v>0</v>
      </c>
      <c r="G234" s="133">
        <f>Tabla147[[#This Row],[Importe]]-Tabla147[[#This Row],[Pagado]]</f>
        <v>0</v>
      </c>
      <c r="H234" s="134" t="s">
        <v>189</v>
      </c>
      <c r="I234" s="135"/>
    </row>
    <row r="235" spans="1:9" ht="21.75" customHeight="1" x14ac:dyDescent="0.25">
      <c r="A235" s="127">
        <v>44714</v>
      </c>
      <c r="B235" s="128" t="s">
        <v>18029</v>
      </c>
      <c r="C235" s="129" t="s">
        <v>296</v>
      </c>
      <c r="D235" s="130">
        <v>1885</v>
      </c>
      <c r="E235" s="131">
        <v>44714</v>
      </c>
      <c r="F235" s="132">
        <v>1885</v>
      </c>
      <c r="G235" s="133">
        <f>Tabla147[[#This Row],[Importe]]-Tabla147[[#This Row],[Pagado]]</f>
        <v>0</v>
      </c>
      <c r="H235" s="134" t="s">
        <v>10</v>
      </c>
      <c r="I235" s="135"/>
    </row>
    <row r="236" spans="1:9" ht="21.75" customHeight="1" x14ac:dyDescent="0.25">
      <c r="A236" s="127">
        <v>44714</v>
      </c>
      <c r="B236" s="128" t="s">
        <v>18030</v>
      </c>
      <c r="C236" s="129" t="s">
        <v>843</v>
      </c>
      <c r="D236" s="130">
        <v>7384.8</v>
      </c>
      <c r="E236" s="131">
        <v>44715</v>
      </c>
      <c r="F236" s="132">
        <v>7384.8</v>
      </c>
      <c r="G236" s="133">
        <f>Tabla147[[#This Row],[Importe]]-Tabla147[[#This Row],[Pagado]]</f>
        <v>0</v>
      </c>
      <c r="H236" s="134" t="s">
        <v>10</v>
      </c>
      <c r="I236" s="135"/>
    </row>
    <row r="237" spans="1:9" ht="21.75" customHeight="1" x14ac:dyDescent="0.25">
      <c r="A237" s="127">
        <v>44714</v>
      </c>
      <c r="B237" s="128" t="s">
        <v>18031</v>
      </c>
      <c r="C237" s="129" t="s">
        <v>31</v>
      </c>
      <c r="D237" s="130">
        <v>1562.6</v>
      </c>
      <c r="E237" s="131">
        <v>44715</v>
      </c>
      <c r="F237" s="132">
        <v>1562.6</v>
      </c>
      <c r="G237" s="133">
        <f>Tabla147[[#This Row],[Importe]]-Tabla147[[#This Row],[Pagado]]</f>
        <v>0</v>
      </c>
      <c r="H237" s="134" t="s">
        <v>10</v>
      </c>
      <c r="I237" s="135"/>
    </row>
    <row r="238" spans="1:9" ht="21.75" customHeight="1" x14ac:dyDescent="0.25">
      <c r="A238" s="127">
        <v>44715</v>
      </c>
      <c r="B238" s="128" t="s">
        <v>18032</v>
      </c>
      <c r="C238" s="129" t="s">
        <v>85</v>
      </c>
      <c r="D238" s="130">
        <v>1407.8</v>
      </c>
      <c r="E238" s="131">
        <v>44715</v>
      </c>
      <c r="F238" s="132">
        <v>1407.8</v>
      </c>
      <c r="G238" s="133">
        <f>Tabla147[[#This Row],[Importe]]-Tabla147[[#This Row],[Pagado]]</f>
        <v>0</v>
      </c>
      <c r="H238" s="134" t="s">
        <v>10</v>
      </c>
      <c r="I238" s="135"/>
    </row>
    <row r="239" spans="1:9" ht="25.5" customHeight="1" x14ac:dyDescent="0.25">
      <c r="A239" s="127">
        <v>44715</v>
      </c>
      <c r="B239" s="128" t="s">
        <v>18033</v>
      </c>
      <c r="C239" s="129" t="s">
        <v>475</v>
      </c>
      <c r="D239" s="130">
        <v>60573.9</v>
      </c>
      <c r="E239" s="131" t="s">
        <v>18034</v>
      </c>
      <c r="F239" s="132">
        <f>41000+19573.9</f>
        <v>60573.9</v>
      </c>
      <c r="G239" s="133">
        <f>Tabla147[[#This Row],[Importe]]-Tabla147[[#This Row],[Pagado]]</f>
        <v>0</v>
      </c>
      <c r="H239" s="134" t="s">
        <v>10</v>
      </c>
      <c r="I239" s="135"/>
    </row>
    <row r="240" spans="1:9" ht="21.75" customHeight="1" x14ac:dyDescent="0.25">
      <c r="A240" s="127">
        <v>44715</v>
      </c>
      <c r="B240" s="128" t="s">
        <v>18035</v>
      </c>
      <c r="C240" s="129" t="s">
        <v>75</v>
      </c>
      <c r="D240" s="130">
        <v>6028.8</v>
      </c>
      <c r="E240" s="131">
        <v>44715</v>
      </c>
      <c r="F240" s="132">
        <v>6028.8</v>
      </c>
      <c r="G240" s="133">
        <f>Tabla147[[#This Row],[Importe]]-Tabla147[[#This Row],[Pagado]]</f>
        <v>0</v>
      </c>
      <c r="H240" s="134" t="s">
        <v>10</v>
      </c>
      <c r="I240" s="135"/>
    </row>
    <row r="241" spans="1:9" ht="21.75" customHeight="1" x14ac:dyDescent="0.25">
      <c r="A241" s="127">
        <v>44715</v>
      </c>
      <c r="B241" s="128" t="s">
        <v>18036</v>
      </c>
      <c r="C241" s="129" t="s">
        <v>473</v>
      </c>
      <c r="D241" s="130">
        <v>8470.9</v>
      </c>
      <c r="E241" s="131">
        <v>44715</v>
      </c>
      <c r="F241" s="132">
        <v>8470.9</v>
      </c>
      <c r="G241" s="133">
        <f>Tabla147[[#This Row],[Importe]]-Tabla147[[#This Row],[Pagado]]</f>
        <v>0</v>
      </c>
      <c r="H241" s="134" t="s">
        <v>10</v>
      </c>
      <c r="I241" s="135"/>
    </row>
    <row r="242" spans="1:9" ht="21.75" customHeight="1" x14ac:dyDescent="0.25">
      <c r="A242" s="127">
        <v>44715</v>
      </c>
      <c r="B242" s="128" t="s">
        <v>18037</v>
      </c>
      <c r="C242" s="129" t="s">
        <v>89</v>
      </c>
      <c r="D242" s="130">
        <v>10441</v>
      </c>
      <c r="E242" s="131">
        <v>44716</v>
      </c>
      <c r="F242" s="132">
        <v>10441</v>
      </c>
      <c r="G242" s="133">
        <f>Tabla147[[#This Row],[Importe]]-Tabla147[[#This Row],[Pagado]]</f>
        <v>0</v>
      </c>
      <c r="H242" s="134" t="s">
        <v>10</v>
      </c>
      <c r="I242" s="135"/>
    </row>
    <row r="243" spans="1:9" ht="21.75" customHeight="1" x14ac:dyDescent="0.25">
      <c r="A243" s="127">
        <v>44715</v>
      </c>
      <c r="B243" s="128" t="s">
        <v>18038</v>
      </c>
      <c r="C243" s="129" t="s">
        <v>31</v>
      </c>
      <c r="D243" s="130">
        <v>7163.3</v>
      </c>
      <c r="E243" s="131">
        <v>44715</v>
      </c>
      <c r="F243" s="132">
        <v>7163.3</v>
      </c>
      <c r="G243" s="133">
        <f>Tabla147[[#This Row],[Importe]]-Tabla147[[#This Row],[Pagado]]</f>
        <v>0</v>
      </c>
      <c r="H243" s="134" t="s">
        <v>10</v>
      </c>
      <c r="I243" s="135"/>
    </row>
    <row r="244" spans="1:9" ht="21.75" customHeight="1" x14ac:dyDescent="0.25">
      <c r="A244" s="127">
        <v>44715</v>
      </c>
      <c r="B244" s="128" t="s">
        <v>18039</v>
      </c>
      <c r="C244" s="129" t="s">
        <v>348</v>
      </c>
      <c r="D244" s="130">
        <v>3026.3</v>
      </c>
      <c r="E244" s="131">
        <v>44715</v>
      </c>
      <c r="F244" s="132">
        <v>3026.3</v>
      </c>
      <c r="G244" s="133">
        <f>Tabla147[[#This Row],[Importe]]-Tabla147[[#This Row],[Pagado]]</f>
        <v>0</v>
      </c>
      <c r="H244" s="134" t="s">
        <v>10</v>
      </c>
      <c r="I244" s="135"/>
    </row>
    <row r="245" spans="1:9" ht="21.75" customHeight="1" x14ac:dyDescent="0.25">
      <c r="A245" s="127">
        <v>44715</v>
      </c>
      <c r="B245" s="128" t="s">
        <v>18040</v>
      </c>
      <c r="C245" s="129" t="s">
        <v>20</v>
      </c>
      <c r="D245" s="130">
        <v>1961.2</v>
      </c>
      <c r="E245" s="131">
        <v>44715</v>
      </c>
      <c r="F245" s="132">
        <v>1961.2</v>
      </c>
      <c r="G245" s="133">
        <f>Tabla147[[#This Row],[Importe]]-Tabla147[[#This Row],[Pagado]]</f>
        <v>0</v>
      </c>
      <c r="H245" s="134" t="s">
        <v>10</v>
      </c>
      <c r="I245" s="135"/>
    </row>
    <row r="246" spans="1:9" ht="21.75" customHeight="1" x14ac:dyDescent="0.25">
      <c r="A246" s="127">
        <v>44715</v>
      </c>
      <c r="B246" s="128" t="s">
        <v>18041</v>
      </c>
      <c r="C246" s="129" t="s">
        <v>481</v>
      </c>
      <c r="D246" s="130">
        <v>552.5</v>
      </c>
      <c r="E246" s="131">
        <v>44715</v>
      </c>
      <c r="F246" s="132">
        <v>552.5</v>
      </c>
      <c r="G246" s="133">
        <f>Tabla147[[#This Row],[Importe]]-Tabla147[[#This Row],[Pagado]]</f>
        <v>0</v>
      </c>
      <c r="H246" s="134" t="s">
        <v>10</v>
      </c>
      <c r="I246" s="135"/>
    </row>
    <row r="247" spans="1:9" ht="21.75" customHeight="1" x14ac:dyDescent="0.25">
      <c r="A247" s="127">
        <v>44715</v>
      </c>
      <c r="B247" s="128" t="s">
        <v>18042</v>
      </c>
      <c r="C247" s="129" t="s">
        <v>89</v>
      </c>
      <c r="D247" s="130">
        <v>428.4</v>
      </c>
      <c r="E247" s="131">
        <v>44715</v>
      </c>
      <c r="F247" s="132">
        <v>428.4</v>
      </c>
      <c r="G247" s="133">
        <f>Tabla147[[#This Row],[Importe]]-Tabla147[[#This Row],[Pagado]]</f>
        <v>0</v>
      </c>
      <c r="H247" s="134" t="s">
        <v>10</v>
      </c>
      <c r="I247" s="135"/>
    </row>
    <row r="248" spans="1:9" ht="21.75" customHeight="1" x14ac:dyDescent="0.25">
      <c r="A248" s="127">
        <v>44715</v>
      </c>
      <c r="B248" s="128" t="s">
        <v>18043</v>
      </c>
      <c r="C248" s="129" t="s">
        <v>481</v>
      </c>
      <c r="D248" s="130">
        <v>741.2</v>
      </c>
      <c r="E248" s="131">
        <v>44715</v>
      </c>
      <c r="F248" s="132">
        <v>741.2</v>
      </c>
      <c r="G248" s="133">
        <f>Tabla147[[#This Row],[Importe]]-Tabla147[[#This Row],[Pagado]]</f>
        <v>0</v>
      </c>
      <c r="H248" s="134" t="s">
        <v>10</v>
      </c>
      <c r="I248" s="135"/>
    </row>
    <row r="249" spans="1:9" ht="21.75" customHeight="1" x14ac:dyDescent="0.25">
      <c r="A249" s="127">
        <v>44715</v>
      </c>
      <c r="B249" s="128" t="s">
        <v>18044</v>
      </c>
      <c r="C249" s="129" t="s">
        <v>18045</v>
      </c>
      <c r="D249" s="130">
        <v>0</v>
      </c>
      <c r="E249" s="136" t="s">
        <v>189</v>
      </c>
      <c r="F249" s="132">
        <v>0</v>
      </c>
      <c r="G249" s="133">
        <f>Tabla147[[#This Row],[Importe]]-Tabla147[[#This Row],[Pagado]]</f>
        <v>0</v>
      </c>
      <c r="H249" s="137" t="s">
        <v>18046</v>
      </c>
      <c r="I249" s="135"/>
    </row>
    <row r="250" spans="1:9" ht="21.75" customHeight="1" x14ac:dyDescent="0.25">
      <c r="A250" s="127">
        <v>44715</v>
      </c>
      <c r="B250" s="128" t="s">
        <v>18047</v>
      </c>
      <c r="C250" s="129" t="s">
        <v>39</v>
      </c>
      <c r="D250" s="130">
        <v>18027.900000000001</v>
      </c>
      <c r="E250" s="131">
        <v>44718</v>
      </c>
      <c r="F250" s="132">
        <f>11000+7027.9</f>
        <v>18027.900000000001</v>
      </c>
      <c r="G250" s="133">
        <f>Tabla147[[#This Row],[Importe]]-Tabla147[[#This Row],[Pagado]]</f>
        <v>0</v>
      </c>
      <c r="H250" s="134" t="s">
        <v>10</v>
      </c>
      <c r="I250" s="135"/>
    </row>
    <row r="251" spans="1:9" ht="21.75" customHeight="1" x14ac:dyDescent="0.25">
      <c r="A251" s="127">
        <v>44715</v>
      </c>
      <c r="B251" s="128" t="s">
        <v>18048</v>
      </c>
      <c r="C251" s="129" t="s">
        <v>60</v>
      </c>
      <c r="D251" s="130">
        <v>3978.6</v>
      </c>
      <c r="E251" s="131">
        <v>23894</v>
      </c>
      <c r="F251" s="132">
        <v>3978.6</v>
      </c>
      <c r="G251" s="133">
        <f>Tabla147[[#This Row],[Importe]]-Tabla147[[#This Row],[Pagado]]</f>
        <v>0</v>
      </c>
      <c r="H251" s="134" t="s">
        <v>10</v>
      </c>
      <c r="I251" s="135"/>
    </row>
    <row r="252" spans="1:9" ht="31.5" x14ac:dyDescent="0.25">
      <c r="A252" s="127">
        <v>44715</v>
      </c>
      <c r="B252" s="128" t="s">
        <v>18049</v>
      </c>
      <c r="C252" s="129" t="s">
        <v>93</v>
      </c>
      <c r="D252" s="130">
        <v>7634.5</v>
      </c>
      <c r="E252" s="131" t="s">
        <v>18050</v>
      </c>
      <c r="F252" s="132">
        <f>3000+4634.5</f>
        <v>7634.5</v>
      </c>
      <c r="G252" s="133">
        <f>Tabla147[[#This Row],[Importe]]-Tabla147[[#This Row],[Pagado]]</f>
        <v>0</v>
      </c>
      <c r="H252" s="134" t="s">
        <v>10</v>
      </c>
      <c r="I252" s="135"/>
    </row>
    <row r="253" spans="1:9" ht="21.75" customHeight="1" x14ac:dyDescent="0.25">
      <c r="A253" s="127">
        <v>44715</v>
      </c>
      <c r="B253" s="128" t="s">
        <v>18051</v>
      </c>
      <c r="C253" s="129" t="s">
        <v>99</v>
      </c>
      <c r="D253" s="130">
        <v>3908.7</v>
      </c>
      <c r="E253" s="131">
        <v>44716</v>
      </c>
      <c r="F253" s="132">
        <v>3908.7</v>
      </c>
      <c r="G253" s="133">
        <f>Tabla147[[#This Row],[Importe]]-Tabla147[[#This Row],[Pagado]]</f>
        <v>0</v>
      </c>
      <c r="H253" s="134" t="s">
        <v>10</v>
      </c>
      <c r="I253" s="135"/>
    </row>
    <row r="254" spans="1:9" ht="21.75" customHeight="1" x14ac:dyDescent="0.25">
      <c r="A254" s="127">
        <v>44715</v>
      </c>
      <c r="B254" s="128" t="s">
        <v>18052</v>
      </c>
      <c r="C254" s="129" t="s">
        <v>9</v>
      </c>
      <c r="D254" s="130">
        <v>4686.3999999999996</v>
      </c>
      <c r="E254" s="131">
        <v>44715</v>
      </c>
      <c r="F254" s="132">
        <v>4686.3999999999996</v>
      </c>
      <c r="G254" s="133">
        <f>Tabla147[[#This Row],[Importe]]-Tabla147[[#This Row],[Pagado]]</f>
        <v>0</v>
      </c>
      <c r="H254" s="134" t="s">
        <v>10</v>
      </c>
      <c r="I254" s="135"/>
    </row>
    <row r="255" spans="1:9" ht="21.75" customHeight="1" x14ac:dyDescent="0.25">
      <c r="A255" s="127">
        <v>44715</v>
      </c>
      <c r="B255" s="128" t="s">
        <v>18053</v>
      </c>
      <c r="C255" s="129" t="s">
        <v>2151</v>
      </c>
      <c r="D255" s="130">
        <v>14458.7</v>
      </c>
      <c r="E255" s="131">
        <v>44715</v>
      </c>
      <c r="F255" s="132">
        <v>14458.7</v>
      </c>
      <c r="G255" s="133">
        <f>Tabla147[[#This Row],[Importe]]-Tabla147[[#This Row],[Pagado]]</f>
        <v>0</v>
      </c>
      <c r="H255" s="134" t="s">
        <v>10</v>
      </c>
      <c r="I255" s="135"/>
    </row>
    <row r="256" spans="1:9" ht="21.75" customHeight="1" x14ac:dyDescent="0.25">
      <c r="A256" s="127">
        <v>44715</v>
      </c>
      <c r="B256" s="128" t="s">
        <v>18054</v>
      </c>
      <c r="C256" s="129" t="s">
        <v>326</v>
      </c>
      <c r="D256" s="130">
        <v>13554.1</v>
      </c>
      <c r="E256" s="131">
        <v>44716</v>
      </c>
      <c r="F256" s="132">
        <v>13554.1</v>
      </c>
      <c r="G256" s="133">
        <f>Tabla147[[#This Row],[Importe]]-Tabla147[[#This Row],[Pagado]]</f>
        <v>0</v>
      </c>
      <c r="H256" s="134" t="s">
        <v>10</v>
      </c>
      <c r="I256" s="135"/>
    </row>
    <row r="257" spans="1:9" ht="21.75" customHeight="1" x14ac:dyDescent="0.25">
      <c r="A257" s="127">
        <v>44715</v>
      </c>
      <c r="B257" s="128" t="s">
        <v>18055</v>
      </c>
      <c r="C257" s="129" t="s">
        <v>345</v>
      </c>
      <c r="D257" s="130">
        <v>493</v>
      </c>
      <c r="E257" s="131">
        <v>44715</v>
      </c>
      <c r="F257" s="132">
        <v>493</v>
      </c>
      <c r="G257" s="133">
        <f>Tabla147[[#This Row],[Importe]]-Tabla147[[#This Row],[Pagado]]</f>
        <v>0</v>
      </c>
      <c r="H257" s="134" t="s">
        <v>10</v>
      </c>
      <c r="I257" s="135"/>
    </row>
    <row r="258" spans="1:9" ht="21.75" customHeight="1" x14ac:dyDescent="0.25">
      <c r="A258" s="127">
        <v>44715</v>
      </c>
      <c r="B258" s="128" t="s">
        <v>18056</v>
      </c>
      <c r="C258" s="129" t="s">
        <v>97</v>
      </c>
      <c r="D258" s="130">
        <v>5340.1</v>
      </c>
      <c r="E258" s="131">
        <v>44716</v>
      </c>
      <c r="F258" s="132">
        <v>5340.1</v>
      </c>
      <c r="G258" s="133">
        <f>Tabla147[[#This Row],[Importe]]-Tabla147[[#This Row],[Pagado]]</f>
        <v>0</v>
      </c>
      <c r="H258" s="134" t="s">
        <v>10</v>
      </c>
      <c r="I258" s="135"/>
    </row>
    <row r="259" spans="1:9" ht="21.75" customHeight="1" x14ac:dyDescent="0.25">
      <c r="A259" s="127">
        <v>44715</v>
      </c>
      <c r="B259" s="128" t="s">
        <v>18057</v>
      </c>
      <c r="C259" s="129" t="s">
        <v>64</v>
      </c>
      <c r="D259" s="130">
        <v>8692.2000000000007</v>
      </c>
      <c r="E259" s="131">
        <v>44716</v>
      </c>
      <c r="F259" s="132">
        <v>8692.2000000000007</v>
      </c>
      <c r="G259" s="133">
        <f>Tabla147[[#This Row],[Importe]]-Tabla147[[#This Row],[Pagado]]</f>
        <v>0</v>
      </c>
      <c r="H259" s="134" t="s">
        <v>10</v>
      </c>
      <c r="I259" s="135"/>
    </row>
    <row r="260" spans="1:9" ht="21.75" customHeight="1" x14ac:dyDescent="0.25">
      <c r="A260" s="127">
        <v>44715</v>
      </c>
      <c r="B260" s="128" t="s">
        <v>18058</v>
      </c>
      <c r="C260" s="129" t="s">
        <v>111</v>
      </c>
      <c r="D260" s="130">
        <v>4526.5</v>
      </c>
      <c r="E260" s="131">
        <v>44716</v>
      </c>
      <c r="F260" s="132">
        <v>4526.5</v>
      </c>
      <c r="G260" s="133">
        <f>Tabla147[[#This Row],[Importe]]-Tabla147[[#This Row],[Pagado]]</f>
        <v>0</v>
      </c>
      <c r="H260" s="134" t="s">
        <v>10</v>
      </c>
      <c r="I260" s="135"/>
    </row>
    <row r="261" spans="1:9" ht="21.75" customHeight="1" x14ac:dyDescent="0.25">
      <c r="A261" s="127">
        <v>44715</v>
      </c>
      <c r="B261" s="128" t="s">
        <v>18059</v>
      </c>
      <c r="C261" s="129" t="s">
        <v>16819</v>
      </c>
      <c r="D261" s="130">
        <v>4251.5</v>
      </c>
      <c r="E261" s="131">
        <v>44715</v>
      </c>
      <c r="F261" s="132">
        <v>4251.5</v>
      </c>
      <c r="G261" s="133">
        <f>Tabla147[[#This Row],[Importe]]-Tabla147[[#This Row],[Pagado]]</f>
        <v>0</v>
      </c>
      <c r="H261" s="134" t="s">
        <v>10</v>
      </c>
      <c r="I261" s="135"/>
    </row>
    <row r="262" spans="1:9" ht="21.75" customHeight="1" x14ac:dyDescent="0.25">
      <c r="A262" s="127">
        <v>44715</v>
      </c>
      <c r="B262" s="128" t="s">
        <v>18060</v>
      </c>
      <c r="C262" s="129" t="s">
        <v>105</v>
      </c>
      <c r="D262" s="130">
        <v>4433</v>
      </c>
      <c r="E262" s="131">
        <v>44716</v>
      </c>
      <c r="F262" s="132">
        <v>4433</v>
      </c>
      <c r="G262" s="133">
        <f>Tabla147[[#This Row],[Importe]]-Tabla147[[#This Row],[Pagado]]</f>
        <v>0</v>
      </c>
      <c r="H262" s="134" t="s">
        <v>10</v>
      </c>
      <c r="I262" s="135"/>
    </row>
    <row r="263" spans="1:9" ht="21.75" customHeight="1" x14ac:dyDescent="0.25">
      <c r="A263" s="127">
        <v>44715</v>
      </c>
      <c r="B263" s="128" t="s">
        <v>18061</v>
      </c>
      <c r="C263" s="129" t="s">
        <v>12202</v>
      </c>
      <c r="D263" s="130">
        <v>5040</v>
      </c>
      <c r="E263" s="131">
        <v>44715</v>
      </c>
      <c r="F263" s="132">
        <v>5040</v>
      </c>
      <c r="G263" s="133">
        <f>Tabla147[[#This Row],[Importe]]-Tabla147[[#This Row],[Pagado]]</f>
        <v>0</v>
      </c>
      <c r="H263" s="134" t="s">
        <v>10</v>
      </c>
      <c r="I263" s="135"/>
    </row>
    <row r="264" spans="1:9" ht="21.75" customHeight="1" x14ac:dyDescent="0.25">
      <c r="A264" s="127">
        <v>44715</v>
      </c>
      <c r="B264" s="128" t="s">
        <v>18062</v>
      </c>
      <c r="C264" s="129" t="s">
        <v>107</v>
      </c>
      <c r="D264" s="130">
        <v>13127.2</v>
      </c>
      <c r="E264" s="131">
        <v>44715</v>
      </c>
      <c r="F264" s="132">
        <v>13127.2</v>
      </c>
      <c r="G264" s="133">
        <f>Tabla147[[#This Row],[Importe]]-Tabla147[[#This Row],[Pagado]]</f>
        <v>0</v>
      </c>
      <c r="H264" s="134" t="s">
        <v>10</v>
      </c>
      <c r="I264" s="135"/>
    </row>
    <row r="265" spans="1:9" ht="21.75" customHeight="1" x14ac:dyDescent="0.25">
      <c r="A265" s="127">
        <v>44715</v>
      </c>
      <c r="B265" s="128" t="s">
        <v>18063</v>
      </c>
      <c r="C265" s="129" t="s">
        <v>22</v>
      </c>
      <c r="D265" s="130">
        <v>43244.5</v>
      </c>
      <c r="E265" s="131">
        <v>44717</v>
      </c>
      <c r="F265" s="132">
        <v>43244.5</v>
      </c>
      <c r="G265" s="133">
        <f>Tabla147[[#This Row],[Importe]]-Tabla147[[#This Row],[Pagado]]</f>
        <v>0</v>
      </c>
      <c r="H265" s="134" t="s">
        <v>10</v>
      </c>
      <c r="I265" s="135"/>
    </row>
    <row r="266" spans="1:9" ht="21.75" customHeight="1" x14ac:dyDescent="0.25">
      <c r="A266" s="127">
        <v>44715</v>
      </c>
      <c r="B266" s="128" t="s">
        <v>18064</v>
      </c>
      <c r="C266" s="129" t="s">
        <v>146</v>
      </c>
      <c r="D266" s="130">
        <v>2470.4</v>
      </c>
      <c r="E266" s="131">
        <v>44715</v>
      </c>
      <c r="F266" s="132">
        <v>2470.4</v>
      </c>
      <c r="G266" s="133">
        <f>Tabla147[[#This Row],[Importe]]-Tabla147[[#This Row],[Pagado]]</f>
        <v>0</v>
      </c>
      <c r="H266" s="134" t="s">
        <v>10</v>
      </c>
      <c r="I266" s="135"/>
    </row>
    <row r="267" spans="1:9" ht="21.75" customHeight="1" x14ac:dyDescent="0.25">
      <c r="A267" s="127">
        <v>44715</v>
      </c>
      <c r="B267" s="128" t="s">
        <v>18065</v>
      </c>
      <c r="C267" s="129" t="s">
        <v>365</v>
      </c>
      <c r="D267" s="130">
        <v>770.5</v>
      </c>
      <c r="E267" s="131">
        <v>44715</v>
      </c>
      <c r="F267" s="132">
        <v>770.5</v>
      </c>
      <c r="G267" s="133">
        <f>Tabla147[[#This Row],[Importe]]-Tabla147[[#This Row],[Pagado]]</f>
        <v>0</v>
      </c>
      <c r="H267" s="134" t="s">
        <v>10</v>
      </c>
      <c r="I267" s="135"/>
    </row>
    <row r="268" spans="1:9" ht="21.75" customHeight="1" x14ac:dyDescent="0.25">
      <c r="A268" s="127">
        <v>44715</v>
      </c>
      <c r="B268" s="128" t="s">
        <v>18066</v>
      </c>
      <c r="C268" s="129" t="s">
        <v>365</v>
      </c>
      <c r="D268" s="130">
        <v>192.5</v>
      </c>
      <c r="E268" s="131">
        <v>44715</v>
      </c>
      <c r="F268" s="132">
        <v>192.5</v>
      </c>
      <c r="G268" s="133">
        <f>Tabla147[[#This Row],[Importe]]-Tabla147[[#This Row],[Pagado]]</f>
        <v>0</v>
      </c>
      <c r="H268" s="134" t="s">
        <v>10</v>
      </c>
      <c r="I268" s="135"/>
    </row>
    <row r="269" spans="1:9" ht="21.75" customHeight="1" x14ac:dyDescent="0.25">
      <c r="A269" s="127">
        <v>44715</v>
      </c>
      <c r="B269" s="128" t="s">
        <v>18067</v>
      </c>
      <c r="C269" s="129" t="s">
        <v>484</v>
      </c>
      <c r="D269" s="130">
        <v>6103</v>
      </c>
      <c r="E269" s="131">
        <v>44715</v>
      </c>
      <c r="F269" s="132">
        <v>6103</v>
      </c>
      <c r="G269" s="133">
        <f>Tabla147[[#This Row],[Importe]]-Tabla147[[#This Row],[Pagado]]</f>
        <v>0</v>
      </c>
      <c r="H269" s="134" t="s">
        <v>10</v>
      </c>
      <c r="I269" s="135"/>
    </row>
    <row r="270" spans="1:9" ht="21.75" customHeight="1" x14ac:dyDescent="0.25">
      <c r="A270" s="127">
        <v>44715</v>
      </c>
      <c r="B270" s="128" t="s">
        <v>18068</v>
      </c>
      <c r="C270" s="129" t="s">
        <v>87</v>
      </c>
      <c r="D270" s="130">
        <v>2693</v>
      </c>
      <c r="E270" s="131">
        <v>44715</v>
      </c>
      <c r="F270" s="132">
        <v>2693</v>
      </c>
      <c r="G270" s="133">
        <f>Tabla147[[#This Row],[Importe]]-Tabla147[[#This Row],[Pagado]]</f>
        <v>0</v>
      </c>
      <c r="H270" s="134" t="s">
        <v>10</v>
      </c>
      <c r="I270" s="135"/>
    </row>
    <row r="271" spans="1:9" ht="21.75" customHeight="1" x14ac:dyDescent="0.25">
      <c r="A271" s="127">
        <v>44715</v>
      </c>
      <c r="B271" s="128" t="s">
        <v>18069</v>
      </c>
      <c r="C271" s="129" t="s">
        <v>314</v>
      </c>
      <c r="D271" s="130">
        <v>2745.6</v>
      </c>
      <c r="E271" s="131">
        <v>44715</v>
      </c>
      <c r="F271" s="132">
        <v>2745.6</v>
      </c>
      <c r="G271" s="133">
        <f>Tabla147[[#This Row],[Importe]]-Tabla147[[#This Row],[Pagado]]</f>
        <v>0</v>
      </c>
      <c r="H271" s="134" t="s">
        <v>10</v>
      </c>
      <c r="I271" s="135"/>
    </row>
    <row r="272" spans="1:9" ht="21.75" customHeight="1" x14ac:dyDescent="0.25">
      <c r="A272" s="127">
        <v>44715</v>
      </c>
      <c r="B272" s="128" t="s">
        <v>18070</v>
      </c>
      <c r="C272" s="129" t="s">
        <v>31</v>
      </c>
      <c r="D272" s="130">
        <v>4209.2</v>
      </c>
      <c r="E272" s="131">
        <v>44715</v>
      </c>
      <c r="F272" s="132">
        <v>4209.2</v>
      </c>
      <c r="G272" s="133">
        <f>Tabla147[[#This Row],[Importe]]-Tabla147[[#This Row],[Pagado]]</f>
        <v>0</v>
      </c>
      <c r="H272" s="134" t="s">
        <v>10</v>
      </c>
      <c r="I272" s="135"/>
    </row>
    <row r="273" spans="1:9" ht="21.75" customHeight="1" x14ac:dyDescent="0.25">
      <c r="A273" s="127">
        <v>44715</v>
      </c>
      <c r="B273" s="128" t="s">
        <v>18071</v>
      </c>
      <c r="C273" s="129" t="s">
        <v>154</v>
      </c>
      <c r="D273" s="130">
        <v>58782</v>
      </c>
      <c r="E273" s="131">
        <v>44719</v>
      </c>
      <c r="F273" s="132">
        <v>58782</v>
      </c>
      <c r="G273" s="133">
        <f>Tabla147[[#This Row],[Importe]]-Tabla147[[#This Row],[Pagado]]</f>
        <v>0</v>
      </c>
      <c r="H273" s="134" t="s">
        <v>10</v>
      </c>
      <c r="I273" s="135"/>
    </row>
    <row r="274" spans="1:9" ht="21.75" customHeight="1" x14ac:dyDescent="0.25">
      <c r="A274" s="127">
        <v>44715</v>
      </c>
      <c r="B274" s="128" t="s">
        <v>18072</v>
      </c>
      <c r="C274" s="129" t="s">
        <v>83</v>
      </c>
      <c r="D274" s="130">
        <v>6835</v>
      </c>
      <c r="E274" s="131">
        <v>44715</v>
      </c>
      <c r="F274" s="132">
        <v>6835</v>
      </c>
      <c r="G274" s="133">
        <f>Tabla147[[#This Row],[Importe]]-Tabla147[[#This Row],[Pagado]]</f>
        <v>0</v>
      </c>
      <c r="H274" s="134" t="s">
        <v>10</v>
      </c>
      <c r="I274" s="135"/>
    </row>
    <row r="275" spans="1:9" ht="21.75" customHeight="1" x14ac:dyDescent="0.25">
      <c r="A275" s="127">
        <v>44715</v>
      </c>
      <c r="B275" s="128" t="s">
        <v>18073</v>
      </c>
      <c r="C275" s="129" t="s">
        <v>31</v>
      </c>
      <c r="D275" s="130">
        <v>194.4</v>
      </c>
      <c r="E275" s="131">
        <v>44715</v>
      </c>
      <c r="F275" s="132">
        <v>194.4</v>
      </c>
      <c r="G275" s="133">
        <f>Tabla147[[#This Row],[Importe]]-Tabla147[[#This Row],[Pagado]]</f>
        <v>0</v>
      </c>
      <c r="H275" s="134" t="s">
        <v>10</v>
      </c>
      <c r="I275" s="135"/>
    </row>
    <row r="276" spans="1:9" ht="21.75" customHeight="1" x14ac:dyDescent="0.25">
      <c r="A276" s="127">
        <v>44715</v>
      </c>
      <c r="B276" s="128" t="s">
        <v>18074</v>
      </c>
      <c r="C276" s="129" t="s">
        <v>357</v>
      </c>
      <c r="D276" s="130">
        <v>4455.5</v>
      </c>
      <c r="E276" s="131">
        <v>44715</v>
      </c>
      <c r="F276" s="132">
        <v>4455.5</v>
      </c>
      <c r="G276" s="133">
        <f>Tabla147[[#This Row],[Importe]]-Tabla147[[#This Row],[Pagado]]</f>
        <v>0</v>
      </c>
      <c r="H276" s="134" t="s">
        <v>10</v>
      </c>
      <c r="I276" s="135"/>
    </row>
    <row r="277" spans="1:9" ht="21.75" customHeight="1" x14ac:dyDescent="0.25">
      <c r="A277" s="127">
        <v>44715</v>
      </c>
      <c r="B277" s="128" t="s">
        <v>18075</v>
      </c>
      <c r="C277" s="129" t="s">
        <v>131</v>
      </c>
      <c r="D277" s="130">
        <v>17942.400000000001</v>
      </c>
      <c r="E277" s="131">
        <v>44715</v>
      </c>
      <c r="F277" s="132">
        <v>17942.400000000001</v>
      </c>
      <c r="G277" s="133">
        <f>Tabla147[[#This Row],[Importe]]-Tabla147[[#This Row],[Pagado]]</f>
        <v>0</v>
      </c>
      <c r="H277" s="134" t="s">
        <v>10</v>
      </c>
      <c r="I277" s="135"/>
    </row>
    <row r="278" spans="1:9" ht="21.75" customHeight="1" x14ac:dyDescent="0.25">
      <c r="A278" s="127">
        <v>44715</v>
      </c>
      <c r="B278" s="128" t="s">
        <v>18076</v>
      </c>
      <c r="C278" s="129" t="s">
        <v>212</v>
      </c>
      <c r="D278" s="130">
        <v>69299</v>
      </c>
      <c r="E278" s="131">
        <v>44721</v>
      </c>
      <c r="F278" s="132">
        <v>69299</v>
      </c>
      <c r="G278" s="133">
        <f>Tabla147[[#This Row],[Importe]]-Tabla147[[#This Row],[Pagado]]</f>
        <v>0</v>
      </c>
      <c r="H278" s="134" t="s">
        <v>10</v>
      </c>
      <c r="I278" s="135"/>
    </row>
    <row r="279" spans="1:9" ht="21.75" customHeight="1" x14ac:dyDescent="0.25">
      <c r="A279" s="127">
        <v>44715</v>
      </c>
      <c r="B279" s="128" t="s">
        <v>18077</v>
      </c>
      <c r="C279" s="129" t="s">
        <v>840</v>
      </c>
      <c r="D279" s="130">
        <v>10512.8</v>
      </c>
      <c r="E279" s="131">
        <v>44715</v>
      </c>
      <c r="F279" s="132">
        <v>10512.8</v>
      </c>
      <c r="G279" s="133">
        <f>Tabla147[[#This Row],[Importe]]-Tabla147[[#This Row],[Pagado]]</f>
        <v>0</v>
      </c>
      <c r="H279" s="134" t="s">
        <v>10</v>
      </c>
      <c r="I279" s="135"/>
    </row>
    <row r="280" spans="1:9" ht="21.75" customHeight="1" x14ac:dyDescent="0.25">
      <c r="A280" s="127">
        <v>44715</v>
      </c>
      <c r="B280" s="128" t="s">
        <v>18078</v>
      </c>
      <c r="C280" s="129" t="s">
        <v>135</v>
      </c>
      <c r="D280" s="130">
        <v>1014</v>
      </c>
      <c r="E280" s="131">
        <v>44715</v>
      </c>
      <c r="F280" s="132">
        <v>1014</v>
      </c>
      <c r="G280" s="133">
        <f>Tabla147[[#This Row],[Importe]]-Tabla147[[#This Row],[Pagado]]</f>
        <v>0</v>
      </c>
      <c r="H280" s="134" t="s">
        <v>10</v>
      </c>
      <c r="I280" s="135"/>
    </row>
    <row r="281" spans="1:9" ht="21.75" customHeight="1" x14ac:dyDescent="0.25">
      <c r="A281" s="127">
        <v>44715</v>
      </c>
      <c r="B281" s="128" t="s">
        <v>18079</v>
      </c>
      <c r="C281" s="129" t="s">
        <v>179</v>
      </c>
      <c r="D281" s="130">
        <v>1068.8</v>
      </c>
      <c r="E281" s="131">
        <v>44715</v>
      </c>
      <c r="F281" s="132">
        <v>1068.8</v>
      </c>
      <c r="G281" s="133">
        <f>Tabla147[[#This Row],[Importe]]-Tabla147[[#This Row],[Pagado]]</f>
        <v>0</v>
      </c>
      <c r="H281" s="134" t="s">
        <v>10</v>
      </c>
      <c r="I281" s="135"/>
    </row>
    <row r="282" spans="1:9" ht="21.75" customHeight="1" x14ac:dyDescent="0.25">
      <c r="A282" s="127">
        <v>44715</v>
      </c>
      <c r="B282" s="128" t="s">
        <v>18080</v>
      </c>
      <c r="C282" s="129" t="s">
        <v>129</v>
      </c>
      <c r="D282" s="130">
        <v>4964.7</v>
      </c>
      <c r="E282" s="131">
        <v>44715</v>
      </c>
      <c r="F282" s="132">
        <v>4964.7</v>
      </c>
      <c r="G282" s="133">
        <f>Tabla147[[#This Row],[Importe]]-Tabla147[[#This Row],[Pagado]]</f>
        <v>0</v>
      </c>
      <c r="H282" s="134" t="s">
        <v>10</v>
      </c>
      <c r="I282" s="135"/>
    </row>
    <row r="283" spans="1:9" ht="21.75" customHeight="1" x14ac:dyDescent="0.25">
      <c r="A283" s="127">
        <v>44715</v>
      </c>
      <c r="B283" s="128" t="s">
        <v>18081</v>
      </c>
      <c r="C283" s="129" t="s">
        <v>140</v>
      </c>
      <c r="D283" s="130">
        <v>955.5</v>
      </c>
      <c r="E283" s="131">
        <v>44715</v>
      </c>
      <c r="F283" s="132">
        <v>955.5</v>
      </c>
      <c r="G283" s="133">
        <f>Tabla147[[#This Row],[Importe]]-Tabla147[[#This Row],[Pagado]]</f>
        <v>0</v>
      </c>
      <c r="H283" s="134" t="s">
        <v>10</v>
      </c>
      <c r="I283" s="135"/>
    </row>
    <row r="284" spans="1:9" ht="21.75" customHeight="1" x14ac:dyDescent="0.25">
      <c r="A284" s="127">
        <v>44715</v>
      </c>
      <c r="B284" s="128" t="s">
        <v>18082</v>
      </c>
      <c r="C284" s="129" t="s">
        <v>27</v>
      </c>
      <c r="D284" s="130">
        <v>1705.6</v>
      </c>
      <c r="E284" s="131">
        <v>44715</v>
      </c>
      <c r="F284" s="132">
        <v>1705.6</v>
      </c>
      <c r="G284" s="133">
        <f>Tabla147[[#This Row],[Importe]]-Tabla147[[#This Row],[Pagado]]</f>
        <v>0</v>
      </c>
      <c r="H284" s="134" t="s">
        <v>10</v>
      </c>
      <c r="I284" s="135"/>
    </row>
    <row r="285" spans="1:9" ht="21.75" customHeight="1" x14ac:dyDescent="0.25">
      <c r="A285" s="127">
        <v>44715</v>
      </c>
      <c r="B285" s="128" t="s">
        <v>18083</v>
      </c>
      <c r="C285" s="129" t="s">
        <v>45</v>
      </c>
      <c r="D285" s="130">
        <v>14197.7</v>
      </c>
      <c r="E285" s="131">
        <v>44715</v>
      </c>
      <c r="F285" s="132">
        <v>14197.7</v>
      </c>
      <c r="G285" s="133">
        <f>Tabla147[[#This Row],[Importe]]-Tabla147[[#This Row],[Pagado]]</f>
        <v>0</v>
      </c>
      <c r="H285" s="134" t="s">
        <v>10</v>
      </c>
      <c r="I285" s="135"/>
    </row>
    <row r="286" spans="1:9" ht="21.75" customHeight="1" x14ac:dyDescent="0.25">
      <c r="A286" s="127">
        <v>44715</v>
      </c>
      <c r="B286" s="128" t="s">
        <v>18084</v>
      </c>
      <c r="C286" s="129" t="s">
        <v>208</v>
      </c>
      <c r="D286" s="130">
        <v>12676.08</v>
      </c>
      <c r="E286" s="131">
        <v>44719</v>
      </c>
      <c r="F286" s="132">
        <v>12676.08</v>
      </c>
      <c r="G286" s="133">
        <f>Tabla147[[#This Row],[Importe]]-Tabla147[[#This Row],[Pagado]]</f>
        <v>0</v>
      </c>
      <c r="H286" s="134" t="s">
        <v>10</v>
      </c>
      <c r="I286" s="135"/>
    </row>
    <row r="287" spans="1:9" ht="21.75" customHeight="1" x14ac:dyDescent="0.25">
      <c r="A287" s="127">
        <v>44715</v>
      </c>
      <c r="B287" s="128" t="s">
        <v>18085</v>
      </c>
      <c r="C287" s="129" t="s">
        <v>127</v>
      </c>
      <c r="D287" s="130">
        <v>5465.2</v>
      </c>
      <c r="E287" s="131">
        <v>44715</v>
      </c>
      <c r="F287" s="132">
        <v>5465.2</v>
      </c>
      <c r="G287" s="133">
        <f>Tabla147[[#This Row],[Importe]]-Tabla147[[#This Row],[Pagado]]</f>
        <v>0</v>
      </c>
      <c r="H287" s="134" t="s">
        <v>10</v>
      </c>
      <c r="I287" s="135"/>
    </row>
    <row r="288" spans="1:9" ht="21.75" customHeight="1" x14ac:dyDescent="0.25">
      <c r="A288" s="127">
        <v>44715</v>
      </c>
      <c r="B288" s="128" t="s">
        <v>18086</v>
      </c>
      <c r="C288" s="129" t="s">
        <v>339</v>
      </c>
      <c r="D288" s="130">
        <v>520</v>
      </c>
      <c r="E288" s="131">
        <v>44715</v>
      </c>
      <c r="F288" s="132">
        <v>520</v>
      </c>
      <c r="G288" s="133">
        <f>Tabla147[[#This Row],[Importe]]-Tabla147[[#This Row],[Pagado]]</f>
        <v>0</v>
      </c>
      <c r="H288" s="134" t="s">
        <v>10</v>
      </c>
      <c r="I288" s="135"/>
    </row>
    <row r="289" spans="1:9" ht="21.75" customHeight="1" x14ac:dyDescent="0.25">
      <c r="A289" s="127">
        <v>44715</v>
      </c>
      <c r="B289" s="128" t="s">
        <v>18087</v>
      </c>
      <c r="C289" s="129" t="s">
        <v>33</v>
      </c>
      <c r="D289" s="130">
        <v>10796.4</v>
      </c>
      <c r="E289" s="131">
        <v>44715</v>
      </c>
      <c r="F289" s="132">
        <v>10796.4</v>
      </c>
      <c r="G289" s="133">
        <f>Tabla147[[#This Row],[Importe]]-Tabla147[[#This Row],[Pagado]]</f>
        <v>0</v>
      </c>
      <c r="H289" s="134" t="s">
        <v>10</v>
      </c>
      <c r="I289" s="135"/>
    </row>
    <row r="290" spans="1:9" ht="21.75" customHeight="1" x14ac:dyDescent="0.25">
      <c r="A290" s="127">
        <v>44715</v>
      </c>
      <c r="B290" s="128" t="s">
        <v>18088</v>
      </c>
      <c r="C290" s="129" t="s">
        <v>56</v>
      </c>
      <c r="D290" s="130">
        <v>7569.2</v>
      </c>
      <c r="E290" s="131">
        <v>44715</v>
      </c>
      <c r="F290" s="132">
        <v>7569.2</v>
      </c>
      <c r="G290" s="133">
        <f>Tabla147[[#This Row],[Importe]]-Tabla147[[#This Row],[Pagado]]</f>
        <v>0</v>
      </c>
      <c r="H290" s="134" t="s">
        <v>10</v>
      </c>
      <c r="I290" s="135"/>
    </row>
    <row r="291" spans="1:9" ht="21.75" customHeight="1" x14ac:dyDescent="0.25">
      <c r="A291" s="127">
        <v>44715</v>
      </c>
      <c r="B291" s="128" t="s">
        <v>18089</v>
      </c>
      <c r="C291" s="129" t="s">
        <v>127</v>
      </c>
      <c r="D291" s="130">
        <v>345.6</v>
      </c>
      <c r="E291" s="131">
        <v>44715</v>
      </c>
      <c r="F291" s="132">
        <v>345.6</v>
      </c>
      <c r="G291" s="133">
        <f>Tabla147[[#This Row],[Importe]]-Tabla147[[#This Row],[Pagado]]</f>
        <v>0</v>
      </c>
      <c r="H291" s="134" t="s">
        <v>10</v>
      </c>
      <c r="I291" s="135"/>
    </row>
    <row r="292" spans="1:9" ht="21.75" customHeight="1" x14ac:dyDescent="0.25">
      <c r="A292" s="127">
        <v>44715</v>
      </c>
      <c r="B292" s="128" t="s">
        <v>18090</v>
      </c>
      <c r="C292" s="129" t="s">
        <v>670</v>
      </c>
      <c r="D292" s="130">
        <v>6270.4</v>
      </c>
      <c r="E292" s="131">
        <v>44715</v>
      </c>
      <c r="F292" s="132">
        <v>6270.4</v>
      </c>
      <c r="G292" s="133">
        <f>Tabla147[[#This Row],[Importe]]-Tabla147[[#This Row],[Pagado]]</f>
        <v>0</v>
      </c>
      <c r="H292" s="134" t="s">
        <v>10</v>
      </c>
      <c r="I292" s="135"/>
    </row>
    <row r="293" spans="1:9" ht="21.75" customHeight="1" x14ac:dyDescent="0.25">
      <c r="A293" s="127">
        <v>44715</v>
      </c>
      <c r="B293" s="128" t="s">
        <v>18091</v>
      </c>
      <c r="C293" s="129" t="s">
        <v>31</v>
      </c>
      <c r="D293" s="130">
        <v>3607.2</v>
      </c>
      <c r="E293" s="131">
        <v>44715</v>
      </c>
      <c r="F293" s="132">
        <v>3607.2</v>
      </c>
      <c r="G293" s="133">
        <f>Tabla147[[#This Row],[Importe]]-Tabla147[[#This Row],[Pagado]]</f>
        <v>0</v>
      </c>
      <c r="H293" s="134" t="s">
        <v>10</v>
      </c>
      <c r="I293" s="135"/>
    </row>
    <row r="294" spans="1:9" ht="21.75" customHeight="1" x14ac:dyDescent="0.25">
      <c r="A294" s="127">
        <v>44715</v>
      </c>
      <c r="B294" s="128" t="s">
        <v>18092</v>
      </c>
      <c r="C294" s="129" t="s">
        <v>49</v>
      </c>
      <c r="D294" s="130">
        <v>4035.2</v>
      </c>
      <c r="E294" s="131">
        <v>44715</v>
      </c>
      <c r="F294" s="132">
        <v>4035.2</v>
      </c>
      <c r="G294" s="133">
        <f>Tabla147[[#This Row],[Importe]]-Tabla147[[#This Row],[Pagado]]</f>
        <v>0</v>
      </c>
      <c r="H294" s="134" t="s">
        <v>10</v>
      </c>
      <c r="I294" s="135"/>
    </row>
    <row r="295" spans="1:9" ht="21.75" customHeight="1" x14ac:dyDescent="0.25">
      <c r="A295" s="127">
        <v>44715</v>
      </c>
      <c r="B295" s="128" t="s">
        <v>18093</v>
      </c>
      <c r="C295" s="129" t="s">
        <v>275</v>
      </c>
      <c r="D295" s="130">
        <v>63964.5</v>
      </c>
      <c r="E295" s="131">
        <v>44729</v>
      </c>
      <c r="F295" s="132">
        <v>63964.5</v>
      </c>
      <c r="G295" s="133">
        <f>Tabla147[[#This Row],[Importe]]-Tabla147[[#This Row],[Pagado]]</f>
        <v>0</v>
      </c>
      <c r="H295" s="134" t="s">
        <v>10</v>
      </c>
      <c r="I295" s="135"/>
    </row>
    <row r="296" spans="1:9" ht="21.75" customHeight="1" x14ac:dyDescent="0.25">
      <c r="A296" s="127">
        <v>44715</v>
      </c>
      <c r="B296" s="128" t="s">
        <v>18094</v>
      </c>
      <c r="C296" s="129" t="s">
        <v>53</v>
      </c>
      <c r="D296" s="130">
        <v>1625</v>
      </c>
      <c r="E296" s="131">
        <v>44715</v>
      </c>
      <c r="F296" s="132">
        <v>1625</v>
      </c>
      <c r="G296" s="133">
        <f>Tabla147[[#This Row],[Importe]]-Tabla147[[#This Row],[Pagado]]</f>
        <v>0</v>
      </c>
      <c r="H296" s="134" t="s">
        <v>10</v>
      </c>
      <c r="I296" s="135"/>
    </row>
    <row r="297" spans="1:9" ht="21.75" customHeight="1" x14ac:dyDescent="0.25">
      <c r="A297" s="127">
        <v>44715</v>
      </c>
      <c r="B297" s="128" t="s">
        <v>18095</v>
      </c>
      <c r="C297" s="129" t="s">
        <v>206</v>
      </c>
      <c r="D297" s="130">
        <v>51897.9</v>
      </c>
      <c r="E297" s="131">
        <v>44721</v>
      </c>
      <c r="F297" s="132">
        <v>51897.9</v>
      </c>
      <c r="G297" s="133">
        <f>Tabla147[[#This Row],[Importe]]-Tabla147[[#This Row],[Pagado]]</f>
        <v>0</v>
      </c>
      <c r="H297" s="134" t="s">
        <v>10</v>
      </c>
      <c r="I297" s="135"/>
    </row>
    <row r="298" spans="1:9" ht="21.75" customHeight="1" x14ac:dyDescent="0.25">
      <c r="A298" s="127">
        <v>44715</v>
      </c>
      <c r="B298" s="128" t="s">
        <v>18096</v>
      </c>
      <c r="C298" s="129" t="s">
        <v>218</v>
      </c>
      <c r="D298" s="130">
        <v>4851.2</v>
      </c>
      <c r="E298" s="131">
        <v>44721</v>
      </c>
      <c r="F298" s="132">
        <v>4851.2</v>
      </c>
      <c r="G298" s="133">
        <f>Tabla147[[#This Row],[Importe]]-Tabla147[[#This Row],[Pagado]]</f>
        <v>0</v>
      </c>
      <c r="H298" s="134" t="s">
        <v>10</v>
      </c>
      <c r="I298" s="135"/>
    </row>
    <row r="299" spans="1:9" ht="21.75" customHeight="1" x14ac:dyDescent="0.25">
      <c r="A299" s="127">
        <v>44715</v>
      </c>
      <c r="B299" s="128" t="s">
        <v>18097</v>
      </c>
      <c r="C299" s="129" t="s">
        <v>216</v>
      </c>
      <c r="D299" s="130">
        <v>2259.1999999999998</v>
      </c>
      <c r="E299" s="131">
        <v>44715</v>
      </c>
      <c r="F299" s="132">
        <v>2259.1999999999998</v>
      </c>
      <c r="G299" s="133">
        <f>Tabla147[[#This Row],[Importe]]-Tabla147[[#This Row],[Pagado]]</f>
        <v>0</v>
      </c>
      <c r="H299" s="134" t="s">
        <v>10</v>
      </c>
      <c r="I299" s="135"/>
    </row>
    <row r="300" spans="1:9" ht="21.75" customHeight="1" x14ac:dyDescent="0.25">
      <c r="A300" s="127">
        <v>44715</v>
      </c>
      <c r="B300" s="128" t="s">
        <v>18098</v>
      </c>
      <c r="C300" s="129" t="s">
        <v>16</v>
      </c>
      <c r="D300" s="130">
        <v>1890.1</v>
      </c>
      <c r="E300" s="131">
        <v>44715</v>
      </c>
      <c r="F300" s="132">
        <v>1890.1</v>
      </c>
      <c r="G300" s="133">
        <f>Tabla147[[#This Row],[Importe]]-Tabla147[[#This Row],[Pagado]]</f>
        <v>0</v>
      </c>
      <c r="H300" s="134" t="s">
        <v>10</v>
      </c>
      <c r="I300" s="135"/>
    </row>
    <row r="301" spans="1:9" ht="21.75" customHeight="1" x14ac:dyDescent="0.25">
      <c r="A301" s="127">
        <v>44715</v>
      </c>
      <c r="B301" s="128" t="s">
        <v>18099</v>
      </c>
      <c r="C301" s="129" t="s">
        <v>31</v>
      </c>
      <c r="D301" s="130">
        <v>1841</v>
      </c>
      <c r="E301" s="131">
        <v>44715</v>
      </c>
      <c r="F301" s="132">
        <v>1841</v>
      </c>
      <c r="G301" s="133">
        <f>Tabla147[[#This Row],[Importe]]-Tabla147[[#This Row],[Pagado]]</f>
        <v>0</v>
      </c>
      <c r="H301" s="134" t="s">
        <v>10</v>
      </c>
      <c r="I301" s="135"/>
    </row>
    <row r="302" spans="1:9" ht="21.75" customHeight="1" x14ac:dyDescent="0.25">
      <c r="A302" s="127">
        <v>44715</v>
      </c>
      <c r="B302" s="128" t="s">
        <v>18100</v>
      </c>
      <c r="C302" s="129" t="s">
        <v>200</v>
      </c>
      <c r="D302" s="130">
        <v>1088</v>
      </c>
      <c r="E302" s="131">
        <v>44715</v>
      </c>
      <c r="F302" s="132">
        <v>1088</v>
      </c>
      <c r="G302" s="133">
        <f>Tabla147[[#This Row],[Importe]]-Tabla147[[#This Row],[Pagado]]</f>
        <v>0</v>
      </c>
      <c r="H302" s="134" t="s">
        <v>10</v>
      </c>
      <c r="I302" s="135"/>
    </row>
    <row r="303" spans="1:9" ht="21.75" customHeight="1" x14ac:dyDescent="0.25">
      <c r="A303" s="127">
        <v>44715</v>
      </c>
      <c r="B303" s="128" t="s">
        <v>18101</v>
      </c>
      <c r="C303" s="129" t="s">
        <v>218</v>
      </c>
      <c r="D303" s="130">
        <v>26505.599999999999</v>
      </c>
      <c r="E303" s="131">
        <v>44721</v>
      </c>
      <c r="F303" s="132">
        <v>26505.599999999999</v>
      </c>
      <c r="G303" s="133">
        <f>Tabla147[[#This Row],[Importe]]-Tabla147[[#This Row],[Pagado]]</f>
        <v>0</v>
      </c>
      <c r="H303" s="134" t="s">
        <v>10</v>
      </c>
      <c r="I303" s="135"/>
    </row>
    <row r="304" spans="1:9" ht="21.75" customHeight="1" x14ac:dyDescent="0.25">
      <c r="A304" s="127">
        <v>44715</v>
      </c>
      <c r="B304" s="128" t="s">
        <v>18102</v>
      </c>
      <c r="C304" s="129" t="s">
        <v>175</v>
      </c>
      <c r="D304" s="130">
        <v>13012</v>
      </c>
      <c r="E304" s="131">
        <v>44715</v>
      </c>
      <c r="F304" s="132">
        <v>13012</v>
      </c>
      <c r="G304" s="133">
        <f>Tabla147[[#This Row],[Importe]]-Tabla147[[#This Row],[Pagado]]</f>
        <v>0</v>
      </c>
      <c r="H304" s="134" t="s">
        <v>10</v>
      </c>
      <c r="I304" s="135"/>
    </row>
    <row r="305" spans="1:9" ht="21.75" customHeight="1" x14ac:dyDescent="0.25">
      <c r="A305" s="127">
        <v>44715</v>
      </c>
      <c r="B305" s="128" t="s">
        <v>18103</v>
      </c>
      <c r="C305" s="129" t="s">
        <v>230</v>
      </c>
      <c r="D305" s="130">
        <v>4500.8</v>
      </c>
      <c r="E305" s="131">
        <v>44715</v>
      </c>
      <c r="F305" s="132">
        <v>4500.8</v>
      </c>
      <c r="G305" s="133">
        <f>Tabla147[[#This Row],[Importe]]-Tabla147[[#This Row],[Pagado]]</f>
        <v>0</v>
      </c>
      <c r="H305" s="134" t="s">
        <v>10</v>
      </c>
      <c r="I305" s="135"/>
    </row>
    <row r="306" spans="1:9" ht="21.75" customHeight="1" x14ac:dyDescent="0.25">
      <c r="A306" s="127">
        <v>44715</v>
      </c>
      <c r="B306" s="128" t="s">
        <v>18104</v>
      </c>
      <c r="C306" s="129" t="s">
        <v>214</v>
      </c>
      <c r="D306" s="130">
        <v>1132.8</v>
      </c>
      <c r="E306" s="131">
        <v>44715</v>
      </c>
      <c r="F306" s="132">
        <v>1132.8</v>
      </c>
      <c r="G306" s="133">
        <f>Tabla147[[#This Row],[Importe]]-Tabla147[[#This Row],[Pagado]]</f>
        <v>0</v>
      </c>
      <c r="H306" s="134" t="s">
        <v>10</v>
      </c>
      <c r="I306" s="135"/>
    </row>
    <row r="307" spans="1:9" ht="21.75" customHeight="1" x14ac:dyDescent="0.25">
      <c r="A307" s="127">
        <v>44715</v>
      </c>
      <c r="B307" s="128" t="s">
        <v>18105</v>
      </c>
      <c r="C307" s="129" t="s">
        <v>31</v>
      </c>
      <c r="D307" s="130">
        <v>7820</v>
      </c>
      <c r="E307" s="131">
        <v>44715</v>
      </c>
      <c r="F307" s="132">
        <v>7820</v>
      </c>
      <c r="G307" s="133">
        <f>Tabla147[[#This Row],[Importe]]-Tabla147[[#This Row],[Pagado]]</f>
        <v>0</v>
      </c>
      <c r="H307" s="134" t="s">
        <v>10</v>
      </c>
      <c r="I307" s="135"/>
    </row>
    <row r="308" spans="1:9" ht="21.75" customHeight="1" x14ac:dyDescent="0.25">
      <c r="A308" s="127">
        <v>44715</v>
      </c>
      <c r="B308" s="128" t="s">
        <v>18106</v>
      </c>
      <c r="C308" s="129" t="s">
        <v>45</v>
      </c>
      <c r="D308" s="130">
        <v>1713.6</v>
      </c>
      <c r="E308" s="131">
        <v>44715</v>
      </c>
      <c r="F308" s="132">
        <v>1713.6</v>
      </c>
      <c r="G308" s="133">
        <f>Tabla147[[#This Row],[Importe]]-Tabla147[[#This Row],[Pagado]]</f>
        <v>0</v>
      </c>
      <c r="H308" s="134" t="s">
        <v>10</v>
      </c>
      <c r="I308" s="135"/>
    </row>
    <row r="309" spans="1:9" ht="21.75" customHeight="1" x14ac:dyDescent="0.25">
      <c r="A309" s="127">
        <v>44715</v>
      </c>
      <c r="B309" s="128" t="s">
        <v>18107</v>
      </c>
      <c r="C309" s="129" t="s">
        <v>994</v>
      </c>
      <c r="D309" s="130">
        <v>3232.9</v>
      </c>
      <c r="E309" s="131">
        <v>44715</v>
      </c>
      <c r="F309" s="132">
        <v>3232.9</v>
      </c>
      <c r="G309" s="133">
        <f>Tabla147[[#This Row],[Importe]]-Tabla147[[#This Row],[Pagado]]</f>
        <v>0</v>
      </c>
      <c r="H309" s="134" t="s">
        <v>10</v>
      </c>
      <c r="I309" s="135"/>
    </row>
    <row r="310" spans="1:9" ht="21.75" customHeight="1" x14ac:dyDescent="0.25">
      <c r="A310" s="127">
        <v>44715</v>
      </c>
      <c r="B310" s="128" t="s">
        <v>18108</v>
      </c>
      <c r="C310" s="129" t="s">
        <v>51</v>
      </c>
      <c r="D310" s="130">
        <v>2592</v>
      </c>
      <c r="E310" s="131">
        <v>44715</v>
      </c>
      <c r="F310" s="132">
        <v>2592</v>
      </c>
      <c r="G310" s="133">
        <f>Tabla147[[#This Row],[Importe]]-Tabla147[[#This Row],[Pagado]]</f>
        <v>0</v>
      </c>
      <c r="H310" s="134" t="s">
        <v>10</v>
      </c>
      <c r="I310" s="135"/>
    </row>
    <row r="311" spans="1:9" ht="21.75" customHeight="1" x14ac:dyDescent="0.25">
      <c r="A311" s="127">
        <v>44715</v>
      </c>
      <c r="B311" s="128" t="s">
        <v>18109</v>
      </c>
      <c r="C311" s="129" t="s">
        <v>31</v>
      </c>
      <c r="D311" s="130">
        <v>999.7</v>
      </c>
      <c r="E311" s="131">
        <v>44715</v>
      </c>
      <c r="F311" s="132">
        <v>999.7</v>
      </c>
      <c r="G311" s="133">
        <f>Tabla147[[#This Row],[Importe]]-Tabla147[[#This Row],[Pagado]]</f>
        <v>0</v>
      </c>
      <c r="H311" s="134" t="s">
        <v>10</v>
      </c>
      <c r="I311" s="135"/>
    </row>
    <row r="312" spans="1:9" ht="21.75" customHeight="1" x14ac:dyDescent="0.25">
      <c r="A312" s="127">
        <v>44715</v>
      </c>
      <c r="B312" s="128" t="s">
        <v>18110</v>
      </c>
      <c r="C312" s="129" t="s">
        <v>849</v>
      </c>
      <c r="D312" s="130">
        <v>2707.2</v>
      </c>
      <c r="E312" s="131">
        <v>44715</v>
      </c>
      <c r="F312" s="132">
        <v>2707.2</v>
      </c>
      <c r="G312" s="133">
        <f>Tabla147[[#This Row],[Importe]]-Tabla147[[#This Row],[Pagado]]</f>
        <v>0</v>
      </c>
      <c r="H312" s="134" t="s">
        <v>10</v>
      </c>
      <c r="I312" s="135"/>
    </row>
    <row r="313" spans="1:9" ht="21.75" customHeight="1" x14ac:dyDescent="0.25">
      <c r="A313" s="127">
        <v>44715</v>
      </c>
      <c r="B313" s="128" t="s">
        <v>18111</v>
      </c>
      <c r="C313" s="129" t="s">
        <v>31</v>
      </c>
      <c r="D313" s="130">
        <v>595.20000000000005</v>
      </c>
      <c r="E313" s="131">
        <v>44715</v>
      </c>
      <c r="F313" s="132">
        <v>595.20000000000005</v>
      </c>
      <c r="G313" s="133">
        <f>Tabla147[[#This Row],[Importe]]-Tabla147[[#This Row],[Pagado]]</f>
        <v>0</v>
      </c>
      <c r="H313" s="134" t="s">
        <v>10</v>
      </c>
      <c r="I313" s="135"/>
    </row>
    <row r="314" spans="1:9" ht="21.75" customHeight="1" x14ac:dyDescent="0.25">
      <c r="A314" s="127">
        <v>44715</v>
      </c>
      <c r="B314" s="128" t="s">
        <v>18112</v>
      </c>
      <c r="C314" s="129" t="s">
        <v>133</v>
      </c>
      <c r="D314" s="130">
        <v>28992</v>
      </c>
      <c r="E314" s="131">
        <v>44716</v>
      </c>
      <c r="F314" s="132">
        <v>28992</v>
      </c>
      <c r="G314" s="133">
        <f>Tabla147[[#This Row],[Importe]]-Tabla147[[#This Row],[Pagado]]</f>
        <v>0</v>
      </c>
      <c r="H314" s="134" t="s">
        <v>10</v>
      </c>
      <c r="I314" s="135"/>
    </row>
    <row r="315" spans="1:9" ht="21.75" customHeight="1" x14ac:dyDescent="0.25">
      <c r="A315" s="127">
        <v>44715</v>
      </c>
      <c r="B315" s="128" t="s">
        <v>18113</v>
      </c>
      <c r="C315" s="129" t="s">
        <v>173</v>
      </c>
      <c r="D315" s="130">
        <v>16128</v>
      </c>
      <c r="E315" s="131">
        <v>44716</v>
      </c>
      <c r="F315" s="132">
        <v>16128</v>
      </c>
      <c r="G315" s="133">
        <f>Tabla147[[#This Row],[Importe]]-Tabla147[[#This Row],[Pagado]]</f>
        <v>0</v>
      </c>
      <c r="H315" s="134" t="s">
        <v>10</v>
      </c>
      <c r="I315" s="135"/>
    </row>
    <row r="316" spans="1:9" ht="21.75" customHeight="1" x14ac:dyDescent="0.25">
      <c r="A316" s="127">
        <v>44715</v>
      </c>
      <c r="B316" s="128" t="s">
        <v>18114</v>
      </c>
      <c r="C316" s="129" t="s">
        <v>5816</v>
      </c>
      <c r="D316" s="130">
        <v>12548.6</v>
      </c>
      <c r="E316" s="131">
        <v>44716</v>
      </c>
      <c r="F316" s="132">
        <v>12548.6</v>
      </c>
      <c r="G316" s="133">
        <f>Tabla147[[#This Row],[Importe]]-Tabla147[[#This Row],[Pagado]]</f>
        <v>0</v>
      </c>
      <c r="H316" s="134" t="s">
        <v>10</v>
      </c>
      <c r="I316" s="135"/>
    </row>
    <row r="317" spans="1:9" ht="21.75" customHeight="1" x14ac:dyDescent="0.25">
      <c r="A317" s="127">
        <v>44715</v>
      </c>
      <c r="B317" s="128" t="s">
        <v>18115</v>
      </c>
      <c r="C317" s="129" t="s">
        <v>10157</v>
      </c>
      <c r="D317" s="130">
        <v>25249.3</v>
      </c>
      <c r="E317" s="131">
        <v>44720</v>
      </c>
      <c r="F317" s="132">
        <v>25249.3</v>
      </c>
      <c r="G317" s="133">
        <f>Tabla147[[#This Row],[Importe]]-Tabla147[[#This Row],[Pagado]]</f>
        <v>0</v>
      </c>
      <c r="H317" s="134" t="s">
        <v>10</v>
      </c>
      <c r="I317" s="135"/>
    </row>
    <row r="318" spans="1:9" ht="21.75" customHeight="1" x14ac:dyDescent="0.25">
      <c r="A318" s="127">
        <v>44715</v>
      </c>
      <c r="B318" s="128" t="s">
        <v>18116</v>
      </c>
      <c r="C318" s="129" t="s">
        <v>592</v>
      </c>
      <c r="D318" s="130">
        <v>32102.400000000001</v>
      </c>
      <c r="E318" s="131">
        <v>44723</v>
      </c>
      <c r="F318" s="132">
        <v>32102.400000000001</v>
      </c>
      <c r="G318" s="133">
        <f>Tabla147[[#This Row],[Importe]]-Tabla147[[#This Row],[Pagado]]</f>
        <v>0</v>
      </c>
      <c r="H318" s="134" t="s">
        <v>10</v>
      </c>
      <c r="I318" s="135"/>
    </row>
    <row r="319" spans="1:9" ht="21.75" customHeight="1" x14ac:dyDescent="0.25">
      <c r="A319" s="127">
        <v>44715</v>
      </c>
      <c r="B319" s="128" t="s">
        <v>18117</v>
      </c>
      <c r="C319" s="129" t="s">
        <v>15039</v>
      </c>
      <c r="D319" s="130">
        <v>4133.1000000000004</v>
      </c>
      <c r="E319" s="131">
        <v>44715</v>
      </c>
      <c r="F319" s="132">
        <v>4133.1000000000004</v>
      </c>
      <c r="G319" s="133">
        <f>Tabla147[[#This Row],[Importe]]-Tabla147[[#This Row],[Pagado]]</f>
        <v>0</v>
      </c>
      <c r="H319" s="134" t="s">
        <v>10</v>
      </c>
      <c r="I319" s="135"/>
    </row>
    <row r="320" spans="1:9" ht="21.75" customHeight="1" x14ac:dyDescent="0.25">
      <c r="A320" s="127">
        <v>44715</v>
      </c>
      <c r="B320" s="128" t="s">
        <v>18118</v>
      </c>
      <c r="C320" s="129" t="s">
        <v>9827</v>
      </c>
      <c r="D320" s="130">
        <v>2476.8000000000002</v>
      </c>
      <c r="E320" s="131">
        <v>44715</v>
      </c>
      <c r="F320" s="132">
        <v>2476.8000000000002</v>
      </c>
      <c r="G320" s="133">
        <f>Tabla147[[#This Row],[Importe]]-Tabla147[[#This Row],[Pagado]]</f>
        <v>0</v>
      </c>
      <c r="H320" s="134" t="s">
        <v>10</v>
      </c>
      <c r="I320" s="135"/>
    </row>
    <row r="321" spans="1:9" ht="21.75" customHeight="1" x14ac:dyDescent="0.25">
      <c r="A321" s="127">
        <v>44715</v>
      </c>
      <c r="B321" s="128" t="s">
        <v>18119</v>
      </c>
      <c r="C321" s="129" t="s">
        <v>541</v>
      </c>
      <c r="D321" s="130">
        <v>5629.6</v>
      </c>
      <c r="E321" s="131">
        <v>44716</v>
      </c>
      <c r="F321" s="132">
        <v>5629.6</v>
      </c>
      <c r="G321" s="133">
        <f>Tabla147[[#This Row],[Importe]]-Tabla147[[#This Row],[Pagado]]</f>
        <v>0</v>
      </c>
      <c r="H321" s="134" t="s">
        <v>10</v>
      </c>
      <c r="I321" s="135"/>
    </row>
    <row r="322" spans="1:9" ht="21.75" customHeight="1" x14ac:dyDescent="0.25">
      <c r="A322" s="127">
        <v>44715</v>
      </c>
      <c r="B322" s="128" t="s">
        <v>18120</v>
      </c>
      <c r="C322" s="129" t="s">
        <v>60</v>
      </c>
      <c r="D322" s="130">
        <v>3736.5</v>
      </c>
      <c r="E322" s="131">
        <v>44715</v>
      </c>
      <c r="F322" s="132">
        <v>3736.5</v>
      </c>
      <c r="G322" s="133">
        <f>Tabla147[[#This Row],[Importe]]-Tabla147[[#This Row],[Pagado]]</f>
        <v>0</v>
      </c>
      <c r="H322" s="134" t="s">
        <v>10</v>
      </c>
      <c r="I322" s="135"/>
    </row>
    <row r="323" spans="1:9" ht="21.75" customHeight="1" x14ac:dyDescent="0.25">
      <c r="A323" s="127">
        <v>44715</v>
      </c>
      <c r="B323" s="128" t="s">
        <v>18121</v>
      </c>
      <c r="C323" s="129" t="s">
        <v>60</v>
      </c>
      <c r="D323" s="130">
        <v>3079.3</v>
      </c>
      <c r="E323" s="131">
        <v>44715</v>
      </c>
      <c r="F323" s="132">
        <v>3079.3</v>
      </c>
      <c r="G323" s="133">
        <f>Tabla147[[#This Row],[Importe]]-Tabla147[[#This Row],[Pagado]]</f>
        <v>0</v>
      </c>
      <c r="H323" s="134" t="s">
        <v>10</v>
      </c>
      <c r="I323" s="135"/>
    </row>
    <row r="324" spans="1:9" ht="21.75" customHeight="1" x14ac:dyDescent="0.25">
      <c r="A324" s="127">
        <v>44715</v>
      </c>
      <c r="B324" s="128" t="s">
        <v>18122</v>
      </c>
      <c r="C324" s="129" t="s">
        <v>105</v>
      </c>
      <c r="D324" s="130">
        <v>2385</v>
      </c>
      <c r="E324" s="131">
        <v>44716</v>
      </c>
      <c r="F324" s="132">
        <v>2385</v>
      </c>
      <c r="G324" s="133">
        <f>Tabla147[[#This Row],[Importe]]-Tabla147[[#This Row],[Pagado]]</f>
        <v>0</v>
      </c>
      <c r="H324" s="134" t="s">
        <v>10</v>
      </c>
      <c r="I324" s="135"/>
    </row>
    <row r="325" spans="1:9" ht="21.75" customHeight="1" x14ac:dyDescent="0.25">
      <c r="A325" s="127">
        <v>44715</v>
      </c>
      <c r="B325" s="128" t="s">
        <v>18123</v>
      </c>
      <c r="C325" s="129" t="s">
        <v>67</v>
      </c>
      <c r="D325" s="130">
        <v>8526.1</v>
      </c>
      <c r="E325" s="131">
        <v>44715</v>
      </c>
      <c r="F325" s="132">
        <v>8526.1</v>
      </c>
      <c r="G325" s="133">
        <f>Tabla147[[#This Row],[Importe]]-Tabla147[[#This Row],[Pagado]]</f>
        <v>0</v>
      </c>
      <c r="H325" s="134" t="s">
        <v>10</v>
      </c>
      <c r="I325" s="135"/>
    </row>
    <row r="326" spans="1:9" ht="21.75" customHeight="1" x14ac:dyDescent="0.25">
      <c r="A326" s="127">
        <v>44715</v>
      </c>
      <c r="B326" s="128" t="s">
        <v>18124</v>
      </c>
      <c r="C326" s="129" t="s">
        <v>10678</v>
      </c>
      <c r="D326" s="130">
        <v>5245.2</v>
      </c>
      <c r="E326" s="131">
        <v>44715</v>
      </c>
      <c r="F326" s="132">
        <v>5245.2</v>
      </c>
      <c r="G326" s="133">
        <f>Tabla147[[#This Row],[Importe]]-Tabla147[[#This Row],[Pagado]]</f>
        <v>0</v>
      </c>
      <c r="H326" s="134" t="s">
        <v>10</v>
      </c>
      <c r="I326" s="135"/>
    </row>
    <row r="327" spans="1:9" ht="21.75" customHeight="1" x14ac:dyDescent="0.25">
      <c r="A327" s="127">
        <v>44715</v>
      </c>
      <c r="B327" s="128" t="s">
        <v>18125</v>
      </c>
      <c r="C327" s="129" t="s">
        <v>698</v>
      </c>
      <c r="D327" s="130">
        <v>8345.6</v>
      </c>
      <c r="E327" s="131">
        <v>44715</v>
      </c>
      <c r="F327" s="132">
        <v>8345.6</v>
      </c>
      <c r="G327" s="133">
        <f>Tabla147[[#This Row],[Importe]]-Tabla147[[#This Row],[Pagado]]</f>
        <v>0</v>
      </c>
      <c r="H327" s="134" t="s">
        <v>10</v>
      </c>
      <c r="I327" s="135"/>
    </row>
    <row r="328" spans="1:9" ht="21.75" customHeight="1" x14ac:dyDescent="0.25">
      <c r="A328" s="127">
        <v>44715</v>
      </c>
      <c r="B328" s="128" t="s">
        <v>18126</v>
      </c>
      <c r="C328" s="129" t="s">
        <v>11383</v>
      </c>
      <c r="D328" s="130">
        <v>35895.699999999997</v>
      </c>
      <c r="E328" s="131">
        <v>44715</v>
      </c>
      <c r="F328" s="132">
        <v>35895.699999999997</v>
      </c>
      <c r="G328" s="133">
        <f>Tabla147[[#This Row],[Importe]]-Tabla147[[#This Row],[Pagado]]</f>
        <v>0</v>
      </c>
      <c r="H328" s="134" t="s">
        <v>10</v>
      </c>
      <c r="I328" s="135"/>
    </row>
    <row r="329" spans="1:9" ht="21.75" customHeight="1" x14ac:dyDescent="0.25">
      <c r="A329" s="127">
        <v>44715</v>
      </c>
      <c r="B329" s="128" t="s">
        <v>18127</v>
      </c>
      <c r="C329" s="129" t="s">
        <v>142</v>
      </c>
      <c r="D329" s="130">
        <v>61048.800000000003</v>
      </c>
      <c r="E329" s="131">
        <v>44760</v>
      </c>
      <c r="F329" s="132">
        <v>61048.800000000003</v>
      </c>
      <c r="G329" s="133">
        <f>Tabla147[[#This Row],[Importe]]-Tabla147[[#This Row],[Pagado]]</f>
        <v>0</v>
      </c>
      <c r="H329" s="134" t="s">
        <v>10</v>
      </c>
      <c r="I329" s="135"/>
    </row>
    <row r="330" spans="1:9" ht="21.75" customHeight="1" x14ac:dyDescent="0.25">
      <c r="A330" s="127">
        <v>44715</v>
      </c>
      <c r="B330" s="128" t="s">
        <v>18128</v>
      </c>
      <c r="C330" s="129" t="s">
        <v>442</v>
      </c>
      <c r="D330" s="130">
        <v>38352.5</v>
      </c>
      <c r="E330" s="131">
        <v>44715</v>
      </c>
      <c r="F330" s="132">
        <v>38352.5</v>
      </c>
      <c r="G330" s="133">
        <f>Tabla147[[#This Row],[Importe]]-Tabla147[[#This Row],[Pagado]]</f>
        <v>0</v>
      </c>
      <c r="H330" s="134" t="s">
        <v>10</v>
      </c>
      <c r="I330" s="135"/>
    </row>
    <row r="331" spans="1:9" ht="21.75" customHeight="1" x14ac:dyDescent="0.25">
      <c r="A331" s="127">
        <v>44715</v>
      </c>
      <c r="B331" s="128" t="s">
        <v>18129</v>
      </c>
      <c r="C331" s="129" t="s">
        <v>419</v>
      </c>
      <c r="D331" s="130">
        <v>6566.5</v>
      </c>
      <c r="E331" s="131">
        <v>44715</v>
      </c>
      <c r="F331" s="132">
        <v>6566.5</v>
      </c>
      <c r="G331" s="133">
        <f>Tabla147[[#This Row],[Importe]]-Tabla147[[#This Row],[Pagado]]</f>
        <v>0</v>
      </c>
      <c r="H331" s="134" t="s">
        <v>10</v>
      </c>
      <c r="I331" s="135"/>
    </row>
    <row r="332" spans="1:9" ht="21.75" customHeight="1" x14ac:dyDescent="0.25">
      <c r="A332" s="127">
        <v>44715</v>
      </c>
      <c r="B332" s="128" t="s">
        <v>18130</v>
      </c>
      <c r="C332" s="129" t="s">
        <v>16</v>
      </c>
      <c r="D332" s="130">
        <v>2007.5</v>
      </c>
      <c r="E332" s="131">
        <v>44715</v>
      </c>
      <c r="F332" s="132">
        <v>2007.5</v>
      </c>
      <c r="G332" s="133">
        <f>Tabla147[[#This Row],[Importe]]-Tabla147[[#This Row],[Pagado]]</f>
        <v>0</v>
      </c>
      <c r="H332" s="134" t="s">
        <v>10</v>
      </c>
      <c r="I332" s="135"/>
    </row>
    <row r="333" spans="1:9" ht="21.75" customHeight="1" x14ac:dyDescent="0.25">
      <c r="A333" s="127">
        <v>44715</v>
      </c>
      <c r="B333" s="128" t="s">
        <v>18131</v>
      </c>
      <c r="C333" s="129" t="s">
        <v>58</v>
      </c>
      <c r="D333" s="130">
        <v>2448.6</v>
      </c>
      <c r="E333" s="131">
        <v>44715</v>
      </c>
      <c r="F333" s="132">
        <v>2448.6</v>
      </c>
      <c r="G333" s="133">
        <f>Tabla147[[#This Row],[Importe]]-Tabla147[[#This Row],[Pagado]]</f>
        <v>0</v>
      </c>
      <c r="H333" s="134" t="s">
        <v>10</v>
      </c>
      <c r="I333" s="135"/>
    </row>
    <row r="334" spans="1:9" ht="21.75" customHeight="1" x14ac:dyDescent="0.25">
      <c r="A334" s="127">
        <v>44715</v>
      </c>
      <c r="B334" s="128" t="s">
        <v>18132</v>
      </c>
      <c r="C334" s="129" t="s">
        <v>18133</v>
      </c>
      <c r="D334" s="130">
        <v>0</v>
      </c>
      <c r="E334" s="136" t="s">
        <v>189</v>
      </c>
      <c r="F334" s="132">
        <v>0</v>
      </c>
      <c r="G334" s="133">
        <f>Tabla147[[#This Row],[Importe]]-Tabla147[[#This Row],[Pagado]]</f>
        <v>0</v>
      </c>
      <c r="H334" s="134" t="s">
        <v>189</v>
      </c>
      <c r="I334" s="135"/>
    </row>
    <row r="335" spans="1:9" ht="21.75" customHeight="1" x14ac:dyDescent="0.25">
      <c r="A335" s="127">
        <v>44715</v>
      </c>
      <c r="B335" s="128" t="s">
        <v>18134</v>
      </c>
      <c r="C335" s="129" t="s">
        <v>114</v>
      </c>
      <c r="D335" s="130">
        <v>9396.2999999999993</v>
      </c>
      <c r="E335" s="131">
        <v>44716</v>
      </c>
      <c r="F335" s="132">
        <v>9396.2999999999993</v>
      </c>
      <c r="G335" s="133">
        <f>Tabla147[[#This Row],[Importe]]-Tabla147[[#This Row],[Pagado]]</f>
        <v>0</v>
      </c>
      <c r="H335" s="134" t="s">
        <v>10</v>
      </c>
      <c r="I335" s="135"/>
    </row>
    <row r="336" spans="1:9" ht="21.75" customHeight="1" x14ac:dyDescent="0.25">
      <c r="A336" s="127">
        <v>44715</v>
      </c>
      <c r="B336" s="128" t="s">
        <v>18135</v>
      </c>
      <c r="C336" s="129" t="s">
        <v>1265</v>
      </c>
      <c r="D336" s="130">
        <v>563.20000000000005</v>
      </c>
      <c r="E336" s="131">
        <v>44715</v>
      </c>
      <c r="F336" s="132">
        <v>563.20000000000005</v>
      </c>
      <c r="G336" s="133">
        <f>Tabla147[[#This Row],[Importe]]-Tabla147[[#This Row],[Pagado]]</f>
        <v>0</v>
      </c>
      <c r="H336" s="134" t="s">
        <v>10</v>
      </c>
      <c r="I336" s="135"/>
    </row>
    <row r="337" spans="1:9" ht="21.75" customHeight="1" x14ac:dyDescent="0.25">
      <c r="A337" s="127">
        <v>44715</v>
      </c>
      <c r="B337" s="128" t="s">
        <v>18136</v>
      </c>
      <c r="C337" s="129" t="s">
        <v>583</v>
      </c>
      <c r="D337" s="130">
        <v>2860</v>
      </c>
      <c r="E337" s="131">
        <v>44715</v>
      </c>
      <c r="F337" s="132">
        <v>2860</v>
      </c>
      <c r="G337" s="133">
        <f>Tabla147[[#This Row],[Importe]]-Tabla147[[#This Row],[Pagado]]</f>
        <v>0</v>
      </c>
      <c r="H337" s="134" t="s">
        <v>10</v>
      </c>
      <c r="I337" s="135"/>
    </row>
    <row r="338" spans="1:9" ht="21.75" customHeight="1" x14ac:dyDescent="0.25">
      <c r="A338" s="127">
        <v>44715</v>
      </c>
      <c r="B338" s="128" t="s">
        <v>18137</v>
      </c>
      <c r="C338" s="129" t="s">
        <v>843</v>
      </c>
      <c r="D338" s="130">
        <v>14497.6</v>
      </c>
      <c r="E338" s="131">
        <v>44715</v>
      </c>
      <c r="F338" s="132">
        <v>14497.6</v>
      </c>
      <c r="G338" s="133">
        <f>Tabla147[[#This Row],[Importe]]-Tabla147[[#This Row],[Pagado]]</f>
        <v>0</v>
      </c>
      <c r="H338" s="134" t="s">
        <v>10</v>
      </c>
      <c r="I338" s="135"/>
    </row>
    <row r="339" spans="1:9" ht="21.75" customHeight="1" x14ac:dyDescent="0.25">
      <c r="A339" s="127">
        <v>44715</v>
      </c>
      <c r="B339" s="128" t="s">
        <v>18138</v>
      </c>
      <c r="C339" s="129" t="s">
        <v>9</v>
      </c>
      <c r="D339" s="130">
        <v>5716</v>
      </c>
      <c r="E339" s="131">
        <v>44715</v>
      </c>
      <c r="F339" s="132">
        <v>5716</v>
      </c>
      <c r="G339" s="133">
        <f>Tabla147[[#This Row],[Importe]]-Tabla147[[#This Row],[Pagado]]</f>
        <v>0</v>
      </c>
      <c r="H339" s="134" t="s">
        <v>10</v>
      </c>
      <c r="I339" s="135"/>
    </row>
    <row r="340" spans="1:9" ht="21.75" customHeight="1" x14ac:dyDescent="0.25">
      <c r="A340" s="127">
        <v>44715</v>
      </c>
      <c r="B340" s="128" t="s">
        <v>18139</v>
      </c>
      <c r="C340" s="129" t="s">
        <v>857</v>
      </c>
      <c r="D340" s="130">
        <v>1202.4000000000001</v>
      </c>
      <c r="E340" s="131">
        <v>44715</v>
      </c>
      <c r="F340" s="132">
        <v>1202.4000000000001</v>
      </c>
      <c r="G340" s="133">
        <f>Tabla147[[#This Row],[Importe]]-Tabla147[[#This Row],[Pagado]]</f>
        <v>0</v>
      </c>
      <c r="H340" s="134" t="s">
        <v>10</v>
      </c>
      <c r="I340" s="135"/>
    </row>
    <row r="341" spans="1:9" ht="21.75" customHeight="1" x14ac:dyDescent="0.25">
      <c r="A341" s="127">
        <v>44715</v>
      </c>
      <c r="B341" s="128" t="s">
        <v>18140</v>
      </c>
      <c r="C341" s="129" t="s">
        <v>58</v>
      </c>
      <c r="D341" s="130">
        <v>1240.2</v>
      </c>
      <c r="E341" s="131">
        <v>44715</v>
      </c>
      <c r="F341" s="132">
        <v>1240.2</v>
      </c>
      <c r="G341" s="133">
        <f>Tabla147[[#This Row],[Importe]]-Tabla147[[#This Row],[Pagado]]</f>
        <v>0</v>
      </c>
      <c r="H341" s="134" t="s">
        <v>10</v>
      </c>
      <c r="I341" s="135"/>
    </row>
    <row r="342" spans="1:9" ht="21.75" customHeight="1" x14ac:dyDescent="0.25">
      <c r="A342" s="127">
        <v>44715</v>
      </c>
      <c r="B342" s="128" t="s">
        <v>18141</v>
      </c>
      <c r="C342" s="129" t="s">
        <v>681</v>
      </c>
      <c r="D342" s="130">
        <v>5.21</v>
      </c>
      <c r="E342" s="131">
        <v>44720</v>
      </c>
      <c r="F342" s="132">
        <v>5.21</v>
      </c>
      <c r="G342" s="133">
        <f>Tabla147[[#This Row],[Importe]]-Tabla147[[#This Row],[Pagado]]</f>
        <v>0</v>
      </c>
      <c r="H342" s="134" t="s">
        <v>10</v>
      </c>
      <c r="I342" s="135"/>
    </row>
    <row r="343" spans="1:9" ht="21.75" customHeight="1" x14ac:dyDescent="0.25">
      <c r="A343" s="127">
        <v>44715</v>
      </c>
      <c r="B343" s="128" t="s">
        <v>18142</v>
      </c>
      <c r="C343" s="129" t="s">
        <v>664</v>
      </c>
      <c r="D343" s="130">
        <v>7779.2</v>
      </c>
      <c r="E343" s="131">
        <v>44716</v>
      </c>
      <c r="F343" s="132">
        <v>7779.2</v>
      </c>
      <c r="G343" s="133">
        <f>Tabla147[[#This Row],[Importe]]-Tabla147[[#This Row],[Pagado]]</f>
        <v>0</v>
      </c>
      <c r="H343" s="134" t="s">
        <v>10</v>
      </c>
      <c r="I343" s="135"/>
    </row>
    <row r="344" spans="1:9" ht="21.75" customHeight="1" x14ac:dyDescent="0.25">
      <c r="A344" s="127">
        <v>44715</v>
      </c>
      <c r="B344" s="128" t="s">
        <v>18143</v>
      </c>
      <c r="C344" s="129" t="s">
        <v>7313</v>
      </c>
      <c r="D344" s="130">
        <v>2872.8</v>
      </c>
      <c r="E344" s="131">
        <v>44715</v>
      </c>
      <c r="F344" s="132">
        <v>2872.8</v>
      </c>
      <c r="G344" s="133">
        <f>Tabla147[[#This Row],[Importe]]-Tabla147[[#This Row],[Pagado]]</f>
        <v>0</v>
      </c>
      <c r="H344" s="134" t="s">
        <v>10</v>
      </c>
      <c r="I344" s="135"/>
    </row>
    <row r="345" spans="1:9" ht="21.75" customHeight="1" x14ac:dyDescent="0.25">
      <c r="A345" s="127">
        <v>44715</v>
      </c>
      <c r="B345" s="128" t="s">
        <v>18144</v>
      </c>
      <c r="C345" s="129" t="s">
        <v>31</v>
      </c>
      <c r="D345" s="130">
        <v>79.2</v>
      </c>
      <c r="E345" s="131">
        <v>44715</v>
      </c>
      <c r="F345" s="132">
        <v>79.2</v>
      </c>
      <c r="G345" s="133">
        <f>Tabla147[[#This Row],[Importe]]-Tabla147[[#This Row],[Pagado]]</f>
        <v>0</v>
      </c>
      <c r="H345" s="134" t="s">
        <v>10</v>
      </c>
      <c r="I345" s="135"/>
    </row>
    <row r="346" spans="1:9" ht="21.75" customHeight="1" x14ac:dyDescent="0.25">
      <c r="A346" s="127">
        <v>44715</v>
      </c>
      <c r="B346" s="128" t="s">
        <v>18145</v>
      </c>
      <c r="C346" s="129" t="s">
        <v>31</v>
      </c>
      <c r="D346" s="130">
        <v>1027</v>
      </c>
      <c r="E346" s="131">
        <v>44715</v>
      </c>
      <c r="F346" s="132">
        <v>1027</v>
      </c>
      <c r="G346" s="133">
        <f>Tabla147[[#This Row],[Importe]]-Tabla147[[#This Row],[Pagado]]</f>
        <v>0</v>
      </c>
      <c r="H346" s="134" t="s">
        <v>10</v>
      </c>
      <c r="I346" s="135"/>
    </row>
    <row r="347" spans="1:9" ht="21.75" customHeight="1" x14ac:dyDescent="0.25">
      <c r="A347" s="127">
        <v>44715</v>
      </c>
      <c r="B347" s="128" t="s">
        <v>18146</v>
      </c>
      <c r="C347" s="129" t="s">
        <v>31</v>
      </c>
      <c r="D347" s="130">
        <v>461.5</v>
      </c>
      <c r="E347" s="131">
        <v>44715</v>
      </c>
      <c r="F347" s="132">
        <v>461.5</v>
      </c>
      <c r="G347" s="133">
        <f>Tabla147[[#This Row],[Importe]]-Tabla147[[#This Row],[Pagado]]</f>
        <v>0</v>
      </c>
      <c r="H347" s="134" t="s">
        <v>10</v>
      </c>
      <c r="I347" s="135"/>
    </row>
    <row r="348" spans="1:9" ht="31.5" x14ac:dyDescent="0.25">
      <c r="A348" s="127">
        <v>44715</v>
      </c>
      <c r="B348" s="128" t="s">
        <v>18147</v>
      </c>
      <c r="C348" s="129" t="s">
        <v>284</v>
      </c>
      <c r="D348" s="130">
        <v>9395.2000000000007</v>
      </c>
      <c r="E348" s="131" t="s">
        <v>18148</v>
      </c>
      <c r="F348" s="132">
        <f>8395.2+1000</f>
        <v>9395.2000000000007</v>
      </c>
      <c r="G348" s="133">
        <f>Tabla147[[#This Row],[Importe]]-Tabla147[[#This Row],[Pagado]]</f>
        <v>0</v>
      </c>
      <c r="H348" s="134" t="s">
        <v>10</v>
      </c>
      <c r="I348" s="135"/>
    </row>
    <row r="349" spans="1:9" ht="21.75" customHeight="1" x14ac:dyDescent="0.25">
      <c r="A349" s="127">
        <v>44715</v>
      </c>
      <c r="B349" s="128" t="s">
        <v>18149</v>
      </c>
      <c r="C349" s="129" t="s">
        <v>1003</v>
      </c>
      <c r="D349" s="130">
        <v>1953.6</v>
      </c>
      <c r="E349" s="131">
        <v>44725</v>
      </c>
      <c r="F349" s="132">
        <v>1953.6</v>
      </c>
      <c r="G349" s="133">
        <f>Tabla147[[#This Row],[Importe]]-Tabla147[[#This Row],[Pagado]]</f>
        <v>0</v>
      </c>
      <c r="H349" s="134" t="s">
        <v>10</v>
      </c>
      <c r="I349" s="135"/>
    </row>
    <row r="350" spans="1:9" ht="21.75" customHeight="1" x14ac:dyDescent="0.25">
      <c r="A350" s="127">
        <v>44715</v>
      </c>
      <c r="B350" s="128" t="s">
        <v>18150</v>
      </c>
      <c r="C350" s="129" t="s">
        <v>5694</v>
      </c>
      <c r="D350" s="130">
        <v>3532.8</v>
      </c>
      <c r="E350" s="131">
        <v>44715</v>
      </c>
      <c r="F350" s="132">
        <v>3532.8</v>
      </c>
      <c r="G350" s="133">
        <f>Tabla147[[#This Row],[Importe]]-Tabla147[[#This Row],[Pagado]]</f>
        <v>0</v>
      </c>
      <c r="H350" s="134" t="s">
        <v>10</v>
      </c>
      <c r="I350" s="135"/>
    </row>
    <row r="351" spans="1:9" ht="21.75" customHeight="1" x14ac:dyDescent="0.25">
      <c r="A351" s="127">
        <v>44715</v>
      </c>
      <c r="B351" s="128" t="s">
        <v>18151</v>
      </c>
      <c r="C351" s="129" t="s">
        <v>31</v>
      </c>
      <c r="D351" s="130">
        <v>880</v>
      </c>
      <c r="E351" s="131">
        <v>44715</v>
      </c>
      <c r="F351" s="132">
        <v>880</v>
      </c>
      <c r="G351" s="133">
        <f>Tabla147[[#This Row],[Importe]]-Tabla147[[#This Row],[Pagado]]</f>
        <v>0</v>
      </c>
      <c r="H351" s="134" t="s">
        <v>10</v>
      </c>
      <c r="I351" s="135"/>
    </row>
    <row r="352" spans="1:9" ht="21.75" customHeight="1" x14ac:dyDescent="0.25">
      <c r="A352" s="127">
        <v>44715</v>
      </c>
      <c r="B352" s="128" t="s">
        <v>18152</v>
      </c>
      <c r="C352" s="129" t="s">
        <v>10819</v>
      </c>
      <c r="D352" s="130">
        <v>576</v>
      </c>
      <c r="E352" s="131">
        <v>44716</v>
      </c>
      <c r="F352" s="132">
        <v>576</v>
      </c>
      <c r="G352" s="133">
        <f>Tabla147[[#This Row],[Importe]]-Tabla147[[#This Row],[Pagado]]</f>
        <v>0</v>
      </c>
      <c r="H352" s="134" t="s">
        <v>10</v>
      </c>
      <c r="I352" s="135"/>
    </row>
    <row r="353" spans="1:9" ht="21.75" customHeight="1" x14ac:dyDescent="0.25">
      <c r="A353" s="127">
        <v>44715</v>
      </c>
      <c r="B353" s="128" t="s">
        <v>18153</v>
      </c>
      <c r="C353" s="129" t="s">
        <v>280</v>
      </c>
      <c r="D353" s="130">
        <v>1017.6</v>
      </c>
      <c r="E353" s="131">
        <v>44716</v>
      </c>
      <c r="F353" s="132">
        <v>1017.6</v>
      </c>
      <c r="G353" s="133">
        <f>Tabla147[[#This Row],[Importe]]-Tabla147[[#This Row],[Pagado]]</f>
        <v>0</v>
      </c>
      <c r="H353" s="134" t="s">
        <v>10</v>
      </c>
      <c r="I353" s="135"/>
    </row>
    <row r="354" spans="1:9" ht="21.75" customHeight="1" x14ac:dyDescent="0.25">
      <c r="A354" s="127">
        <v>44715</v>
      </c>
      <c r="B354" s="128" t="s">
        <v>18154</v>
      </c>
      <c r="C354" s="129" t="s">
        <v>282</v>
      </c>
      <c r="D354" s="130">
        <v>1228.8</v>
      </c>
      <c r="E354" s="131">
        <v>44716</v>
      </c>
      <c r="F354" s="132">
        <v>1228.8</v>
      </c>
      <c r="G354" s="133">
        <f>Tabla147[[#This Row],[Importe]]-Tabla147[[#This Row],[Pagado]]</f>
        <v>0</v>
      </c>
      <c r="H354" s="134" t="s">
        <v>10</v>
      </c>
      <c r="I354" s="135"/>
    </row>
    <row r="355" spans="1:9" ht="21.75" customHeight="1" x14ac:dyDescent="0.25">
      <c r="A355" s="127">
        <v>44715</v>
      </c>
      <c r="B355" s="128" t="s">
        <v>18155</v>
      </c>
      <c r="C355" s="129" t="s">
        <v>5345</v>
      </c>
      <c r="D355" s="130">
        <v>3467</v>
      </c>
      <c r="E355" s="131">
        <v>44716</v>
      </c>
      <c r="F355" s="132">
        <v>3467</v>
      </c>
      <c r="G355" s="133">
        <f>Tabla147[[#This Row],[Importe]]-Tabla147[[#This Row],[Pagado]]</f>
        <v>0</v>
      </c>
      <c r="H355" s="134" t="s">
        <v>10</v>
      </c>
      <c r="I355" s="135"/>
    </row>
    <row r="356" spans="1:9" ht="21.75" customHeight="1" x14ac:dyDescent="0.25">
      <c r="A356" s="127">
        <v>44715</v>
      </c>
      <c r="B356" s="128" t="s">
        <v>18156</v>
      </c>
      <c r="C356" s="129" t="s">
        <v>359</v>
      </c>
      <c r="D356" s="130">
        <v>1716</v>
      </c>
      <c r="E356" s="131">
        <v>44716</v>
      </c>
      <c r="F356" s="132">
        <v>1716</v>
      </c>
      <c r="G356" s="133">
        <f>Tabla147[[#This Row],[Importe]]-Tabla147[[#This Row],[Pagado]]</f>
        <v>0</v>
      </c>
      <c r="H356" s="134" t="s">
        <v>10</v>
      </c>
      <c r="I356" s="135"/>
    </row>
    <row r="357" spans="1:9" ht="21.75" customHeight="1" x14ac:dyDescent="0.25">
      <c r="A357" s="127">
        <v>44715</v>
      </c>
      <c r="B357" s="128" t="s">
        <v>18157</v>
      </c>
      <c r="C357" s="129" t="s">
        <v>312</v>
      </c>
      <c r="D357" s="130">
        <v>880</v>
      </c>
      <c r="E357" s="131">
        <v>44716</v>
      </c>
      <c r="F357" s="132">
        <v>880</v>
      </c>
      <c r="G357" s="133">
        <f>Tabla147[[#This Row],[Importe]]-Tabla147[[#This Row],[Pagado]]</f>
        <v>0</v>
      </c>
      <c r="H357" s="134" t="s">
        <v>10</v>
      </c>
      <c r="I357" s="135"/>
    </row>
    <row r="358" spans="1:9" ht="21.75" customHeight="1" x14ac:dyDescent="0.25">
      <c r="A358" s="127">
        <v>44715</v>
      </c>
      <c r="B358" s="128" t="s">
        <v>18158</v>
      </c>
      <c r="C358" s="129" t="s">
        <v>196</v>
      </c>
      <c r="D358" s="130">
        <v>124289.28</v>
      </c>
      <c r="E358" s="131">
        <v>44722</v>
      </c>
      <c r="F358" s="132">
        <v>124289.28</v>
      </c>
      <c r="G358" s="133">
        <f>Tabla147[[#This Row],[Importe]]-Tabla147[[#This Row],[Pagado]]</f>
        <v>0</v>
      </c>
      <c r="H358" s="134" t="s">
        <v>10</v>
      </c>
      <c r="I358" s="135"/>
    </row>
    <row r="359" spans="1:9" ht="21.75" customHeight="1" x14ac:dyDescent="0.25">
      <c r="A359" s="127">
        <v>44715</v>
      </c>
      <c r="B359" s="128" t="s">
        <v>18159</v>
      </c>
      <c r="C359" s="129" t="s">
        <v>22</v>
      </c>
      <c r="D359" s="130">
        <v>1088.4000000000001</v>
      </c>
      <c r="E359" s="131">
        <v>44715</v>
      </c>
      <c r="F359" s="132">
        <v>1088.4000000000001</v>
      </c>
      <c r="G359" s="133">
        <f>Tabla147[[#This Row],[Importe]]-Tabla147[[#This Row],[Pagado]]</f>
        <v>0</v>
      </c>
      <c r="H359" s="134" t="s">
        <v>10</v>
      </c>
      <c r="I359" s="135"/>
    </row>
    <row r="360" spans="1:9" ht="21.75" customHeight="1" x14ac:dyDescent="0.25">
      <c r="A360" s="127">
        <v>44715</v>
      </c>
      <c r="B360" s="128" t="s">
        <v>18160</v>
      </c>
      <c r="C360" s="129" t="s">
        <v>414</v>
      </c>
      <c r="D360" s="130">
        <v>36.58</v>
      </c>
      <c r="E360" s="131" t="s">
        <v>18161</v>
      </c>
      <c r="F360" s="132">
        <v>36.58</v>
      </c>
      <c r="G360" s="133">
        <f>Tabla147[[#This Row],[Importe]]-Tabla147[[#This Row],[Pagado]]</f>
        <v>0</v>
      </c>
      <c r="H360" s="134" t="s">
        <v>10</v>
      </c>
      <c r="I360" s="135"/>
    </row>
    <row r="361" spans="1:9" ht="21.75" customHeight="1" x14ac:dyDescent="0.25">
      <c r="A361" s="127">
        <v>44715</v>
      </c>
      <c r="B361" s="128" t="s">
        <v>18162</v>
      </c>
      <c r="C361" s="129" t="s">
        <v>555</v>
      </c>
      <c r="D361" s="130">
        <v>22900</v>
      </c>
      <c r="E361" s="131">
        <v>44716</v>
      </c>
      <c r="F361" s="132">
        <v>22900</v>
      </c>
      <c r="G361" s="133">
        <f>Tabla147[[#This Row],[Importe]]-Tabla147[[#This Row],[Pagado]]</f>
        <v>0</v>
      </c>
      <c r="H361" s="134" t="s">
        <v>10</v>
      </c>
      <c r="I361" s="135"/>
    </row>
    <row r="362" spans="1:9" ht="21.75" customHeight="1" x14ac:dyDescent="0.25">
      <c r="A362" s="127">
        <v>44715</v>
      </c>
      <c r="B362" s="128" t="s">
        <v>18163</v>
      </c>
      <c r="C362" s="129" t="s">
        <v>3971</v>
      </c>
      <c r="D362" s="130">
        <v>7761</v>
      </c>
      <c r="E362" s="131">
        <v>44715</v>
      </c>
      <c r="F362" s="132">
        <v>7761</v>
      </c>
      <c r="G362" s="133">
        <f>Tabla147[[#This Row],[Importe]]-Tabla147[[#This Row],[Pagado]]</f>
        <v>0</v>
      </c>
      <c r="H362" s="134" t="s">
        <v>10</v>
      </c>
      <c r="I362" s="135"/>
    </row>
    <row r="363" spans="1:9" ht="21.75" customHeight="1" x14ac:dyDescent="0.25">
      <c r="A363" s="127">
        <v>44715</v>
      </c>
      <c r="B363" s="128" t="s">
        <v>18164</v>
      </c>
      <c r="C363" s="129" t="s">
        <v>246</v>
      </c>
      <c r="D363" s="130">
        <v>73270.2</v>
      </c>
      <c r="E363" s="131">
        <v>44716</v>
      </c>
      <c r="F363" s="132">
        <v>73270.2</v>
      </c>
      <c r="G363" s="133">
        <f>Tabla147[[#This Row],[Importe]]-Tabla147[[#This Row],[Pagado]]</f>
        <v>0</v>
      </c>
      <c r="H363" s="134" t="s">
        <v>10</v>
      </c>
      <c r="I363" s="135"/>
    </row>
    <row r="364" spans="1:9" ht="21.75" customHeight="1" x14ac:dyDescent="0.25">
      <c r="A364" s="127">
        <v>44715</v>
      </c>
      <c r="B364" s="128" t="s">
        <v>18165</v>
      </c>
      <c r="C364" s="129" t="s">
        <v>414</v>
      </c>
      <c r="D364" s="130">
        <v>18.37</v>
      </c>
      <c r="E364" s="131">
        <v>44722</v>
      </c>
      <c r="F364" s="132">
        <v>18.37</v>
      </c>
      <c r="G364" s="133">
        <f>Tabla147[[#This Row],[Importe]]-Tabla147[[#This Row],[Pagado]]</f>
        <v>0</v>
      </c>
      <c r="H364" s="134" t="s">
        <v>10</v>
      </c>
      <c r="I364" s="135"/>
    </row>
    <row r="365" spans="1:9" ht="21.75" customHeight="1" x14ac:dyDescent="0.25">
      <c r="A365" s="127">
        <v>44715</v>
      </c>
      <c r="B365" s="128" t="s">
        <v>18166</v>
      </c>
      <c r="C365" s="129" t="s">
        <v>246</v>
      </c>
      <c r="D365" s="130">
        <v>2604</v>
      </c>
      <c r="E365" s="131">
        <v>44716</v>
      </c>
      <c r="F365" s="132">
        <v>2604</v>
      </c>
      <c r="G365" s="133">
        <f>Tabla147[[#This Row],[Importe]]-Tabla147[[#This Row],[Pagado]]</f>
        <v>0</v>
      </c>
      <c r="H365" s="134" t="s">
        <v>10</v>
      </c>
      <c r="I365" s="135"/>
    </row>
    <row r="366" spans="1:9" ht="21.75" customHeight="1" x14ac:dyDescent="0.25">
      <c r="A366" s="127">
        <v>44715</v>
      </c>
      <c r="B366" s="128" t="s">
        <v>18167</v>
      </c>
      <c r="C366" s="129" t="s">
        <v>181</v>
      </c>
      <c r="D366" s="130">
        <v>11353.1</v>
      </c>
      <c r="E366" s="131">
        <v>44716</v>
      </c>
      <c r="F366" s="132">
        <v>11353.1</v>
      </c>
      <c r="G366" s="133">
        <f>Tabla147[[#This Row],[Importe]]-Tabla147[[#This Row],[Pagado]]</f>
        <v>0</v>
      </c>
      <c r="H366" s="134" t="s">
        <v>10</v>
      </c>
      <c r="I366" s="135"/>
    </row>
    <row r="367" spans="1:9" ht="21.75" customHeight="1" x14ac:dyDescent="0.25">
      <c r="A367" s="127">
        <v>44715</v>
      </c>
      <c r="B367" s="128" t="s">
        <v>18168</v>
      </c>
      <c r="C367" s="129" t="s">
        <v>31</v>
      </c>
      <c r="D367" s="130">
        <v>474.8</v>
      </c>
      <c r="E367" s="131">
        <v>44716</v>
      </c>
      <c r="F367" s="132">
        <v>474.8</v>
      </c>
      <c r="G367" s="133">
        <f>Tabla147[[#This Row],[Importe]]-Tabla147[[#This Row],[Pagado]]</f>
        <v>0</v>
      </c>
      <c r="H367" s="134" t="s">
        <v>10</v>
      </c>
      <c r="I367" s="135"/>
    </row>
    <row r="368" spans="1:9" ht="21.75" customHeight="1" x14ac:dyDescent="0.25">
      <c r="A368" s="127">
        <v>44716</v>
      </c>
      <c r="B368" s="128" t="s">
        <v>18169</v>
      </c>
      <c r="C368" s="129" t="s">
        <v>85</v>
      </c>
      <c r="D368" s="130">
        <v>2280.1999999999998</v>
      </c>
      <c r="E368" s="131">
        <v>44716</v>
      </c>
      <c r="F368" s="132">
        <v>2280.1999999999998</v>
      </c>
      <c r="G368" s="133">
        <f>Tabla147[[#This Row],[Importe]]-Tabla147[[#This Row],[Pagado]]</f>
        <v>0</v>
      </c>
      <c r="H368" s="134" t="s">
        <v>10</v>
      </c>
      <c r="I368" s="135"/>
    </row>
    <row r="369" spans="1:9" ht="31.5" x14ac:dyDescent="0.25">
      <c r="A369" s="127">
        <v>44716</v>
      </c>
      <c r="B369" s="128" t="s">
        <v>18170</v>
      </c>
      <c r="C369" s="129" t="s">
        <v>22</v>
      </c>
      <c r="D369" s="130">
        <v>65898.8</v>
      </c>
      <c r="E369" s="131" t="s">
        <v>18171</v>
      </c>
      <c r="F369" s="132">
        <f>36000+29898.8</f>
        <v>65898.8</v>
      </c>
      <c r="G369" s="133">
        <f>Tabla147[[#This Row],[Importe]]-Tabla147[[#This Row],[Pagado]]</f>
        <v>0</v>
      </c>
      <c r="H369" s="134" t="s">
        <v>10</v>
      </c>
      <c r="I369" s="135"/>
    </row>
    <row r="370" spans="1:9" ht="31.5" x14ac:dyDescent="0.25">
      <c r="A370" s="127">
        <v>44716</v>
      </c>
      <c r="B370" s="128" t="s">
        <v>18172</v>
      </c>
      <c r="C370" s="129" t="s">
        <v>475</v>
      </c>
      <c r="D370" s="130">
        <v>99765.8</v>
      </c>
      <c r="E370" s="131" t="s">
        <v>18171</v>
      </c>
      <c r="F370" s="132">
        <f>54500+45265.8</f>
        <v>99765.8</v>
      </c>
      <c r="G370" s="133">
        <f>Tabla147[[#This Row],[Importe]]-Tabla147[[#This Row],[Pagado]]</f>
        <v>0</v>
      </c>
      <c r="H370" s="134" t="s">
        <v>10</v>
      </c>
      <c r="I370" s="135"/>
    </row>
    <row r="371" spans="1:9" ht="21.75" customHeight="1" x14ac:dyDescent="0.25">
      <c r="A371" s="127">
        <v>44716</v>
      </c>
      <c r="B371" s="128" t="s">
        <v>18173</v>
      </c>
      <c r="C371" s="129" t="s">
        <v>473</v>
      </c>
      <c r="D371" s="130">
        <v>4736.8</v>
      </c>
      <c r="E371" s="131">
        <v>44716</v>
      </c>
      <c r="F371" s="132">
        <v>4736.8</v>
      </c>
      <c r="G371" s="133">
        <f>Tabla147[[#This Row],[Importe]]-Tabla147[[#This Row],[Pagado]]</f>
        <v>0</v>
      </c>
      <c r="H371" s="134" t="s">
        <v>10</v>
      </c>
      <c r="I371" s="135"/>
    </row>
    <row r="372" spans="1:9" ht="21.75" customHeight="1" x14ac:dyDescent="0.25">
      <c r="A372" s="127">
        <v>44716</v>
      </c>
      <c r="B372" s="128" t="s">
        <v>18174</v>
      </c>
      <c r="C372" s="129" t="s">
        <v>116</v>
      </c>
      <c r="D372" s="130">
        <v>4582</v>
      </c>
      <c r="E372" s="131">
        <v>44718</v>
      </c>
      <c r="F372" s="132">
        <v>4582</v>
      </c>
      <c r="G372" s="133">
        <f>Tabla147[[#This Row],[Importe]]-Tabla147[[#This Row],[Pagado]]</f>
        <v>0</v>
      </c>
      <c r="H372" s="134" t="s">
        <v>10</v>
      </c>
      <c r="I372" s="135"/>
    </row>
    <row r="373" spans="1:9" ht="21.75" customHeight="1" x14ac:dyDescent="0.25">
      <c r="A373" s="127">
        <v>44716</v>
      </c>
      <c r="B373" s="128" t="s">
        <v>18175</v>
      </c>
      <c r="C373" s="129" t="s">
        <v>18176</v>
      </c>
      <c r="D373" s="130">
        <v>0</v>
      </c>
      <c r="E373" s="136" t="s">
        <v>189</v>
      </c>
      <c r="F373" s="132">
        <v>0</v>
      </c>
      <c r="G373" s="133">
        <f>Tabla147[[#This Row],[Importe]]-Tabla147[[#This Row],[Pagado]]</f>
        <v>0</v>
      </c>
      <c r="H373" s="134" t="s">
        <v>189</v>
      </c>
      <c r="I373" s="135"/>
    </row>
    <row r="374" spans="1:9" ht="21.75" customHeight="1" x14ac:dyDescent="0.25">
      <c r="A374" s="127">
        <v>44716</v>
      </c>
      <c r="B374" s="128" t="s">
        <v>18177</v>
      </c>
      <c r="C374" s="129" t="s">
        <v>2563</v>
      </c>
      <c r="D374" s="130">
        <v>4924.2</v>
      </c>
      <c r="E374" s="131">
        <v>44716</v>
      </c>
      <c r="F374" s="132">
        <v>4924.2</v>
      </c>
      <c r="G374" s="133">
        <f>Tabla147[[#This Row],[Importe]]-Tabla147[[#This Row],[Pagado]]</f>
        <v>0</v>
      </c>
      <c r="H374" s="134" t="s">
        <v>10</v>
      </c>
      <c r="I374" s="135"/>
    </row>
    <row r="375" spans="1:9" ht="30.75" customHeight="1" x14ac:dyDescent="0.25">
      <c r="A375" s="127">
        <v>44716</v>
      </c>
      <c r="B375" s="128" t="s">
        <v>18178</v>
      </c>
      <c r="C375" s="129" t="s">
        <v>75</v>
      </c>
      <c r="D375" s="130">
        <v>18636.8</v>
      </c>
      <c r="E375" s="131" t="s">
        <v>18034</v>
      </c>
      <c r="F375" s="132">
        <f>7795.2+10841.6</f>
        <v>18636.8</v>
      </c>
      <c r="G375" s="133">
        <f>Tabla147[[#This Row],[Importe]]-Tabla147[[#This Row],[Pagado]]</f>
        <v>0</v>
      </c>
      <c r="H375" s="134" t="s">
        <v>10</v>
      </c>
      <c r="I375" s="135"/>
    </row>
    <row r="376" spans="1:9" ht="21.75" customHeight="1" x14ac:dyDescent="0.25">
      <c r="A376" s="127">
        <v>44716</v>
      </c>
      <c r="B376" s="128" t="s">
        <v>18179</v>
      </c>
      <c r="C376" s="129" t="s">
        <v>326</v>
      </c>
      <c r="D376" s="130">
        <v>9454</v>
      </c>
      <c r="E376" s="131">
        <v>44718</v>
      </c>
      <c r="F376" s="132">
        <v>9454</v>
      </c>
      <c r="G376" s="133">
        <f>Tabla147[[#This Row],[Importe]]-Tabla147[[#This Row],[Pagado]]</f>
        <v>0</v>
      </c>
      <c r="H376" s="134" t="s">
        <v>10</v>
      </c>
      <c r="I376" s="135"/>
    </row>
    <row r="377" spans="1:9" ht="21.75" customHeight="1" x14ac:dyDescent="0.25">
      <c r="A377" s="127">
        <v>44716</v>
      </c>
      <c r="B377" s="128" t="s">
        <v>18180</v>
      </c>
      <c r="C377" s="129" t="s">
        <v>481</v>
      </c>
      <c r="D377" s="130">
        <v>1140</v>
      </c>
      <c r="E377" s="131">
        <v>44716</v>
      </c>
      <c r="F377" s="132">
        <v>1140</v>
      </c>
      <c r="G377" s="133">
        <f>Tabla147[[#This Row],[Importe]]-Tabla147[[#This Row],[Pagado]]</f>
        <v>0</v>
      </c>
      <c r="H377" s="134" t="s">
        <v>10</v>
      </c>
      <c r="I377" s="135"/>
    </row>
    <row r="378" spans="1:9" ht="21.75" customHeight="1" x14ac:dyDescent="0.25">
      <c r="A378" s="127">
        <v>44716</v>
      </c>
      <c r="B378" s="128" t="s">
        <v>18181</v>
      </c>
      <c r="C378" s="129" t="s">
        <v>111</v>
      </c>
      <c r="D378" s="130">
        <v>9441.6</v>
      </c>
      <c r="E378" s="131">
        <v>44718</v>
      </c>
      <c r="F378" s="132">
        <v>9441.6</v>
      </c>
      <c r="G378" s="133">
        <f>Tabla147[[#This Row],[Importe]]-Tabla147[[#This Row],[Pagado]]</f>
        <v>0</v>
      </c>
      <c r="H378" s="134" t="s">
        <v>10</v>
      </c>
      <c r="I378" s="135"/>
    </row>
    <row r="379" spans="1:9" ht="21.75" customHeight="1" x14ac:dyDescent="0.25">
      <c r="A379" s="127">
        <v>44716</v>
      </c>
      <c r="B379" s="128" t="s">
        <v>18182</v>
      </c>
      <c r="C379" s="129" t="s">
        <v>120</v>
      </c>
      <c r="D379" s="130">
        <v>4524</v>
      </c>
      <c r="E379" s="131">
        <v>44720</v>
      </c>
      <c r="F379" s="132">
        <v>4524</v>
      </c>
      <c r="G379" s="133">
        <f>Tabla147[[#This Row],[Importe]]-Tabla147[[#This Row],[Pagado]]</f>
        <v>0</v>
      </c>
      <c r="H379" s="134" t="s">
        <v>10</v>
      </c>
      <c r="I379" s="135"/>
    </row>
    <row r="380" spans="1:9" ht="21.75" customHeight="1" x14ac:dyDescent="0.25">
      <c r="A380" s="127">
        <v>44716</v>
      </c>
      <c r="B380" s="128" t="s">
        <v>18183</v>
      </c>
      <c r="C380" s="129" t="s">
        <v>9</v>
      </c>
      <c r="D380" s="130">
        <v>8636.6</v>
      </c>
      <c r="E380" s="131">
        <v>44716</v>
      </c>
      <c r="F380" s="132">
        <v>8636.6</v>
      </c>
      <c r="G380" s="133">
        <f>Tabla147[[#This Row],[Importe]]-Tabla147[[#This Row],[Pagado]]</f>
        <v>0</v>
      </c>
      <c r="H380" s="134" t="s">
        <v>10</v>
      </c>
      <c r="I380" s="135"/>
    </row>
    <row r="381" spans="1:9" ht="21.75" customHeight="1" x14ac:dyDescent="0.25">
      <c r="A381" s="127">
        <v>44716</v>
      </c>
      <c r="B381" s="128" t="s">
        <v>18184</v>
      </c>
      <c r="C381" s="129" t="s">
        <v>31</v>
      </c>
      <c r="D381" s="130">
        <v>4442.7</v>
      </c>
      <c r="E381" s="131">
        <v>44716</v>
      </c>
      <c r="F381" s="132">
        <v>4442.7</v>
      </c>
      <c r="G381" s="133">
        <f>Tabla147[[#This Row],[Importe]]-Tabla147[[#This Row],[Pagado]]</f>
        <v>0</v>
      </c>
      <c r="H381" s="134" t="s">
        <v>10</v>
      </c>
      <c r="I381" s="135"/>
    </row>
    <row r="382" spans="1:9" ht="21.75" customHeight="1" x14ac:dyDescent="0.25">
      <c r="A382" s="127">
        <v>44716</v>
      </c>
      <c r="B382" s="128" t="s">
        <v>18185</v>
      </c>
      <c r="C382" s="129" t="s">
        <v>105</v>
      </c>
      <c r="D382" s="130">
        <v>17287.900000000001</v>
      </c>
      <c r="E382" s="131">
        <v>44718</v>
      </c>
      <c r="F382" s="132">
        <v>17287.900000000001</v>
      </c>
      <c r="G382" s="133">
        <f>Tabla147[[#This Row],[Importe]]-Tabla147[[#This Row],[Pagado]]</f>
        <v>0</v>
      </c>
      <c r="H382" s="134" t="s">
        <v>10</v>
      </c>
      <c r="I382" s="135"/>
    </row>
    <row r="383" spans="1:9" ht="21.75" customHeight="1" x14ac:dyDescent="0.25">
      <c r="A383" s="127">
        <v>44716</v>
      </c>
      <c r="B383" s="128" t="s">
        <v>18186</v>
      </c>
      <c r="C383" s="129" t="s">
        <v>31</v>
      </c>
      <c r="D383" s="130">
        <v>2550</v>
      </c>
      <c r="E383" s="131">
        <v>44716</v>
      </c>
      <c r="F383" s="132">
        <v>2550</v>
      </c>
      <c r="G383" s="133">
        <f>Tabla147[[#This Row],[Importe]]-Tabla147[[#This Row],[Pagado]]</f>
        <v>0</v>
      </c>
      <c r="H383" s="134" t="s">
        <v>10</v>
      </c>
      <c r="I383" s="135"/>
    </row>
    <row r="384" spans="1:9" ht="21.75" customHeight="1" x14ac:dyDescent="0.25">
      <c r="A384" s="127">
        <v>44716</v>
      </c>
      <c r="B384" s="128" t="s">
        <v>18187</v>
      </c>
      <c r="C384" s="129" t="s">
        <v>31</v>
      </c>
      <c r="D384" s="130">
        <v>6853</v>
      </c>
      <c r="E384" s="131">
        <v>44716</v>
      </c>
      <c r="F384" s="132">
        <v>6853</v>
      </c>
      <c r="G384" s="133">
        <f>Tabla147[[#This Row],[Importe]]-Tabla147[[#This Row],[Pagado]]</f>
        <v>0</v>
      </c>
      <c r="H384" s="134" t="s">
        <v>10</v>
      </c>
      <c r="I384" s="135"/>
    </row>
    <row r="385" spans="1:9" ht="21.75" customHeight="1" x14ac:dyDescent="0.25">
      <c r="A385" s="127">
        <v>44716</v>
      </c>
      <c r="B385" s="128" t="s">
        <v>18188</v>
      </c>
      <c r="C385" s="129" t="s">
        <v>348</v>
      </c>
      <c r="D385" s="130">
        <v>8089.4</v>
      </c>
      <c r="E385" s="131">
        <v>44716</v>
      </c>
      <c r="F385" s="132">
        <v>8089.4</v>
      </c>
      <c r="G385" s="133">
        <f>Tabla147[[#This Row],[Importe]]-Tabla147[[#This Row],[Pagado]]</f>
        <v>0</v>
      </c>
      <c r="H385" s="134" t="s">
        <v>10</v>
      </c>
      <c r="I385" s="135"/>
    </row>
    <row r="386" spans="1:9" ht="21.75" customHeight="1" x14ac:dyDescent="0.25">
      <c r="A386" s="127">
        <v>44716</v>
      </c>
      <c r="B386" s="128" t="s">
        <v>18189</v>
      </c>
      <c r="C386" s="129" t="s">
        <v>64</v>
      </c>
      <c r="D386" s="130">
        <v>9094.4</v>
      </c>
      <c r="E386" s="131">
        <v>44718</v>
      </c>
      <c r="F386" s="132">
        <v>9094.4</v>
      </c>
      <c r="G386" s="133">
        <f>Tabla147[[#This Row],[Importe]]-Tabla147[[#This Row],[Pagado]]</f>
        <v>0</v>
      </c>
      <c r="H386" s="134" t="s">
        <v>10</v>
      </c>
      <c r="I386" s="135"/>
    </row>
    <row r="387" spans="1:9" ht="21.75" customHeight="1" x14ac:dyDescent="0.25">
      <c r="A387" s="127">
        <v>44716</v>
      </c>
      <c r="B387" s="128" t="s">
        <v>18190</v>
      </c>
      <c r="C387" s="129" t="s">
        <v>95</v>
      </c>
      <c r="D387" s="130">
        <v>10202</v>
      </c>
      <c r="E387" s="131">
        <v>44716</v>
      </c>
      <c r="F387" s="132">
        <v>10202</v>
      </c>
      <c r="G387" s="133">
        <f>Tabla147[[#This Row],[Importe]]-Tabla147[[#This Row],[Pagado]]</f>
        <v>0</v>
      </c>
      <c r="H387" s="134" t="s">
        <v>10</v>
      </c>
      <c r="I387" s="135"/>
    </row>
    <row r="388" spans="1:9" ht="21.75" customHeight="1" x14ac:dyDescent="0.25">
      <c r="A388" s="127">
        <v>44716</v>
      </c>
      <c r="B388" s="128" t="s">
        <v>18191</v>
      </c>
      <c r="C388" s="129" t="s">
        <v>89</v>
      </c>
      <c r="D388" s="130">
        <v>12668.4</v>
      </c>
      <c r="E388" s="131">
        <v>44718</v>
      </c>
      <c r="F388" s="132">
        <v>12668.4</v>
      </c>
      <c r="G388" s="133">
        <f>Tabla147[[#This Row],[Importe]]-Tabla147[[#This Row],[Pagado]]</f>
        <v>0</v>
      </c>
      <c r="H388" s="134" t="s">
        <v>10</v>
      </c>
      <c r="I388" s="135"/>
    </row>
    <row r="389" spans="1:9" ht="21.75" customHeight="1" x14ac:dyDescent="0.25">
      <c r="A389" s="127">
        <v>44716</v>
      </c>
      <c r="B389" s="128" t="s">
        <v>18192</v>
      </c>
      <c r="C389" s="129" t="s">
        <v>99</v>
      </c>
      <c r="D389" s="130">
        <v>13406.4</v>
      </c>
      <c r="E389" s="131">
        <v>44718</v>
      </c>
      <c r="F389" s="132">
        <v>13406.4</v>
      </c>
      <c r="G389" s="133">
        <f>Tabla147[[#This Row],[Importe]]-Tabla147[[#This Row],[Pagado]]</f>
        <v>0</v>
      </c>
      <c r="H389" s="134" t="s">
        <v>10</v>
      </c>
      <c r="I389" s="135"/>
    </row>
    <row r="390" spans="1:9" ht="31.5" x14ac:dyDescent="0.25">
      <c r="A390" s="127">
        <v>44716</v>
      </c>
      <c r="B390" s="128" t="s">
        <v>18193</v>
      </c>
      <c r="C390" s="129" t="s">
        <v>60</v>
      </c>
      <c r="D390" s="130">
        <v>9786.6</v>
      </c>
      <c r="E390" s="131" t="s">
        <v>18194</v>
      </c>
      <c r="F390" s="132">
        <f>5000+4786.6</f>
        <v>9786.6</v>
      </c>
      <c r="G390" s="133">
        <f>Tabla147[[#This Row],[Importe]]-Tabla147[[#This Row],[Pagado]]</f>
        <v>0</v>
      </c>
      <c r="H390" s="134" t="s">
        <v>10</v>
      </c>
      <c r="I390" s="135"/>
    </row>
    <row r="391" spans="1:9" ht="21.75" customHeight="1" x14ac:dyDescent="0.25">
      <c r="A391" s="127">
        <v>44716</v>
      </c>
      <c r="B391" s="128" t="s">
        <v>18195</v>
      </c>
      <c r="C391" s="129" t="s">
        <v>31</v>
      </c>
      <c r="D391" s="130">
        <v>4147</v>
      </c>
      <c r="E391" s="131">
        <v>44716</v>
      </c>
      <c r="F391" s="132">
        <v>4147</v>
      </c>
      <c r="G391" s="133">
        <f>Tabla147[[#This Row],[Importe]]-Tabla147[[#This Row],[Pagado]]</f>
        <v>0</v>
      </c>
      <c r="H391" s="134" t="s">
        <v>10</v>
      </c>
      <c r="I391" s="135"/>
    </row>
    <row r="392" spans="1:9" ht="21.75" customHeight="1" x14ac:dyDescent="0.25">
      <c r="A392" s="127">
        <v>44716</v>
      </c>
      <c r="B392" s="128" t="s">
        <v>18196</v>
      </c>
      <c r="C392" s="129" t="s">
        <v>93</v>
      </c>
      <c r="D392" s="130">
        <v>16332.2</v>
      </c>
      <c r="E392" s="131">
        <v>44718</v>
      </c>
      <c r="F392" s="132">
        <v>16332.2</v>
      </c>
      <c r="G392" s="133">
        <f>Tabla147[[#This Row],[Importe]]-Tabla147[[#This Row],[Pagado]]</f>
        <v>0</v>
      </c>
      <c r="H392" s="134" t="s">
        <v>10</v>
      </c>
      <c r="I392" s="135"/>
    </row>
    <row r="393" spans="1:9" ht="21.75" customHeight="1" x14ac:dyDescent="0.25">
      <c r="A393" s="127">
        <v>44716</v>
      </c>
      <c r="B393" s="128" t="s">
        <v>18197</v>
      </c>
      <c r="C393" s="129" t="s">
        <v>97</v>
      </c>
      <c r="D393" s="130">
        <v>15702</v>
      </c>
      <c r="E393" s="131">
        <v>44718</v>
      </c>
      <c r="F393" s="132">
        <v>15702</v>
      </c>
      <c r="G393" s="133">
        <f>Tabla147[[#This Row],[Importe]]-Tabla147[[#This Row],[Pagado]]</f>
        <v>0</v>
      </c>
      <c r="H393" s="134" t="s">
        <v>10</v>
      </c>
      <c r="I393" s="135"/>
    </row>
    <row r="394" spans="1:9" ht="21.75" customHeight="1" x14ac:dyDescent="0.25">
      <c r="A394" s="127">
        <v>44716</v>
      </c>
      <c r="B394" s="128" t="s">
        <v>18198</v>
      </c>
      <c r="C394" s="129" t="s">
        <v>114</v>
      </c>
      <c r="D394" s="130">
        <v>11804.4</v>
      </c>
      <c r="E394" s="131">
        <v>44719</v>
      </c>
      <c r="F394" s="132">
        <v>11804.4</v>
      </c>
      <c r="G394" s="133">
        <f>Tabla147[[#This Row],[Importe]]-Tabla147[[#This Row],[Pagado]]</f>
        <v>0</v>
      </c>
      <c r="H394" s="134" t="s">
        <v>10</v>
      </c>
      <c r="I394" s="135"/>
    </row>
    <row r="395" spans="1:9" ht="31.5" x14ac:dyDescent="0.25">
      <c r="A395" s="127">
        <v>44716</v>
      </c>
      <c r="B395" s="128" t="s">
        <v>18199</v>
      </c>
      <c r="C395" s="129" t="s">
        <v>39</v>
      </c>
      <c r="D395" s="130">
        <v>29951.5</v>
      </c>
      <c r="E395" s="131" t="s">
        <v>18200</v>
      </c>
      <c r="F395" s="132">
        <f>12000+4500+13451.5</f>
        <v>29951.5</v>
      </c>
      <c r="G395" s="133">
        <f>Tabla147[[#This Row],[Importe]]-Tabla147[[#This Row],[Pagado]]</f>
        <v>0</v>
      </c>
      <c r="H395" s="134" t="s">
        <v>10</v>
      </c>
      <c r="I395" s="135"/>
    </row>
    <row r="396" spans="1:9" ht="21.75" customHeight="1" x14ac:dyDescent="0.25">
      <c r="A396" s="127">
        <v>44716</v>
      </c>
      <c r="B396" s="128" t="s">
        <v>18201</v>
      </c>
      <c r="C396" s="129" t="s">
        <v>326</v>
      </c>
      <c r="D396" s="130">
        <v>1077.8</v>
      </c>
      <c r="E396" s="131">
        <v>44718</v>
      </c>
      <c r="F396" s="132">
        <v>1077.8</v>
      </c>
      <c r="G396" s="133">
        <f>Tabla147[[#This Row],[Importe]]-Tabla147[[#This Row],[Pagado]]</f>
        <v>0</v>
      </c>
      <c r="H396" s="134" t="s">
        <v>10</v>
      </c>
      <c r="I396" s="135"/>
    </row>
    <row r="397" spans="1:9" ht="21.75" customHeight="1" x14ac:dyDescent="0.25">
      <c r="A397" s="127">
        <v>44716</v>
      </c>
      <c r="B397" s="128" t="s">
        <v>18202</v>
      </c>
      <c r="C397" s="129" t="s">
        <v>131</v>
      </c>
      <c r="D397" s="130">
        <v>7717.5</v>
      </c>
      <c r="E397" s="131">
        <v>44716</v>
      </c>
      <c r="F397" s="132">
        <v>7717.5</v>
      </c>
      <c r="G397" s="133">
        <f>Tabla147[[#This Row],[Importe]]-Tabla147[[#This Row],[Pagado]]</f>
        <v>0</v>
      </c>
      <c r="H397" s="134" t="s">
        <v>10</v>
      </c>
      <c r="I397" s="135"/>
    </row>
    <row r="398" spans="1:9" ht="21.75" customHeight="1" x14ac:dyDescent="0.25">
      <c r="A398" s="127">
        <v>44716</v>
      </c>
      <c r="B398" s="128" t="s">
        <v>18203</v>
      </c>
      <c r="C398" s="129" t="s">
        <v>918</v>
      </c>
      <c r="D398" s="130">
        <v>2364.6</v>
      </c>
      <c r="E398" s="131">
        <v>44716</v>
      </c>
      <c r="F398" s="132">
        <v>2364.6</v>
      </c>
      <c r="G398" s="133">
        <f>Tabla147[[#This Row],[Importe]]-Tabla147[[#This Row],[Pagado]]</f>
        <v>0</v>
      </c>
      <c r="H398" s="134" t="s">
        <v>10</v>
      </c>
      <c r="I398" s="135"/>
    </row>
    <row r="399" spans="1:9" ht="21.75" customHeight="1" x14ac:dyDescent="0.25">
      <c r="A399" s="127">
        <v>44716</v>
      </c>
      <c r="B399" s="128" t="s">
        <v>18204</v>
      </c>
      <c r="C399" s="129" t="s">
        <v>31</v>
      </c>
      <c r="D399" s="130">
        <v>3724</v>
      </c>
      <c r="E399" s="131">
        <v>44716</v>
      </c>
      <c r="F399" s="132">
        <v>3724</v>
      </c>
      <c r="G399" s="133">
        <f>Tabla147[[#This Row],[Importe]]-Tabla147[[#This Row],[Pagado]]</f>
        <v>0</v>
      </c>
      <c r="H399" s="134" t="s">
        <v>10</v>
      </c>
      <c r="I399" s="135"/>
    </row>
    <row r="400" spans="1:9" ht="21.75" customHeight="1" x14ac:dyDescent="0.25">
      <c r="A400" s="127">
        <v>44716</v>
      </c>
      <c r="B400" s="128" t="s">
        <v>18205</v>
      </c>
      <c r="C400" s="129" t="s">
        <v>196</v>
      </c>
      <c r="D400" s="130">
        <v>79461.100000000006</v>
      </c>
      <c r="E400" s="131">
        <v>44722</v>
      </c>
      <c r="F400" s="132">
        <v>79461.100000000006</v>
      </c>
      <c r="G400" s="133">
        <f>Tabla147[[#This Row],[Importe]]-Tabla147[[#This Row],[Pagado]]</f>
        <v>0</v>
      </c>
      <c r="H400" s="134" t="s">
        <v>10</v>
      </c>
      <c r="I400" s="135"/>
    </row>
    <row r="401" spans="1:9" ht="21.75" customHeight="1" x14ac:dyDescent="0.25">
      <c r="A401" s="127">
        <v>44716</v>
      </c>
      <c r="B401" s="128" t="s">
        <v>18206</v>
      </c>
      <c r="C401" s="129" t="s">
        <v>24</v>
      </c>
      <c r="D401" s="130">
        <v>3788</v>
      </c>
      <c r="E401" s="131">
        <v>44716</v>
      </c>
      <c r="F401" s="132">
        <v>3788</v>
      </c>
      <c r="G401" s="133">
        <f>Tabla147[[#This Row],[Importe]]-Tabla147[[#This Row],[Pagado]]</f>
        <v>0</v>
      </c>
      <c r="H401" s="134" t="s">
        <v>10</v>
      </c>
      <c r="I401" s="135"/>
    </row>
    <row r="402" spans="1:9" ht="21.75" customHeight="1" x14ac:dyDescent="0.25">
      <c r="A402" s="127">
        <v>44716</v>
      </c>
      <c r="B402" s="128" t="s">
        <v>18207</v>
      </c>
      <c r="C402" s="129" t="s">
        <v>333</v>
      </c>
      <c r="D402" s="130">
        <v>1566.5</v>
      </c>
      <c r="E402" s="131">
        <v>44716</v>
      </c>
      <c r="F402" s="132">
        <v>1566.5</v>
      </c>
      <c r="G402" s="133">
        <f>Tabla147[[#This Row],[Importe]]-Tabla147[[#This Row],[Pagado]]</f>
        <v>0</v>
      </c>
      <c r="H402" s="134" t="s">
        <v>10</v>
      </c>
      <c r="I402" s="135"/>
    </row>
    <row r="403" spans="1:9" ht="21.75" customHeight="1" x14ac:dyDescent="0.25">
      <c r="A403" s="127">
        <v>44716</v>
      </c>
      <c r="B403" s="128" t="s">
        <v>18208</v>
      </c>
      <c r="C403" s="129" t="s">
        <v>8496</v>
      </c>
      <c r="D403" s="130">
        <v>0</v>
      </c>
      <c r="E403" s="136" t="s">
        <v>189</v>
      </c>
      <c r="F403" s="132">
        <v>0</v>
      </c>
      <c r="G403" s="133">
        <f>Tabla147[[#This Row],[Importe]]-Tabla147[[#This Row],[Pagado]]</f>
        <v>0</v>
      </c>
      <c r="H403" s="134" t="s">
        <v>189</v>
      </c>
      <c r="I403" s="135"/>
    </row>
    <row r="404" spans="1:9" ht="21.75" customHeight="1" x14ac:dyDescent="0.25">
      <c r="A404" s="127">
        <v>44716</v>
      </c>
      <c r="B404" s="128" t="s">
        <v>18209</v>
      </c>
      <c r="C404" s="129" t="s">
        <v>14</v>
      </c>
      <c r="D404" s="130">
        <v>42478.9</v>
      </c>
      <c r="E404" s="131">
        <v>44716</v>
      </c>
      <c r="F404" s="132">
        <v>42478.9</v>
      </c>
      <c r="G404" s="133">
        <f>Tabla147[[#This Row],[Importe]]-Tabla147[[#This Row],[Pagado]]</f>
        <v>0</v>
      </c>
      <c r="H404" s="134" t="s">
        <v>10</v>
      </c>
      <c r="I404" s="135"/>
    </row>
    <row r="405" spans="1:9" ht="21.75" customHeight="1" x14ac:dyDescent="0.25">
      <c r="A405" s="127">
        <v>44716</v>
      </c>
      <c r="B405" s="128" t="s">
        <v>18210</v>
      </c>
      <c r="C405" s="129" t="s">
        <v>11033</v>
      </c>
      <c r="D405" s="130">
        <v>1596</v>
      </c>
      <c r="E405" s="131">
        <v>44716</v>
      </c>
      <c r="F405" s="132">
        <v>1596</v>
      </c>
      <c r="G405" s="133">
        <f>Tabla147[[#This Row],[Importe]]-Tabla147[[#This Row],[Pagado]]</f>
        <v>0</v>
      </c>
      <c r="H405" s="134" t="s">
        <v>10</v>
      </c>
      <c r="I405" s="135"/>
    </row>
    <row r="406" spans="1:9" ht="21.75" customHeight="1" x14ac:dyDescent="0.25">
      <c r="A406" s="127">
        <v>44716</v>
      </c>
      <c r="B406" s="128" t="s">
        <v>18211</v>
      </c>
      <c r="C406" s="129" t="s">
        <v>16</v>
      </c>
      <c r="D406" s="130">
        <v>6828</v>
      </c>
      <c r="E406" s="131">
        <v>44716</v>
      </c>
      <c r="F406" s="132">
        <v>6828</v>
      </c>
      <c r="G406" s="133">
        <f>Tabla147[[#This Row],[Importe]]-Tabla147[[#This Row],[Pagado]]</f>
        <v>0</v>
      </c>
      <c r="H406" s="134" t="s">
        <v>10</v>
      </c>
      <c r="I406" s="135"/>
    </row>
    <row r="407" spans="1:9" ht="21.75" customHeight="1" x14ac:dyDescent="0.25">
      <c r="A407" s="127">
        <v>44716</v>
      </c>
      <c r="B407" s="128" t="s">
        <v>18212</v>
      </c>
      <c r="C407" s="129" t="s">
        <v>520</v>
      </c>
      <c r="D407" s="130">
        <v>27053.3</v>
      </c>
      <c r="E407" s="131">
        <v>44717</v>
      </c>
      <c r="F407" s="132">
        <v>27053.3</v>
      </c>
      <c r="G407" s="133">
        <f>Tabla147[[#This Row],[Importe]]-Tabla147[[#This Row],[Pagado]]</f>
        <v>0</v>
      </c>
      <c r="H407" s="134" t="s">
        <v>10</v>
      </c>
      <c r="I407" s="135"/>
    </row>
    <row r="408" spans="1:9" ht="21.75" customHeight="1" x14ac:dyDescent="0.25">
      <c r="A408" s="127">
        <v>44716</v>
      </c>
      <c r="B408" s="128" t="s">
        <v>18213</v>
      </c>
      <c r="C408" s="129" t="s">
        <v>151</v>
      </c>
      <c r="D408" s="130">
        <v>14991.8</v>
      </c>
      <c r="E408" s="131">
        <v>44717</v>
      </c>
      <c r="F408" s="132">
        <v>14991.8</v>
      </c>
      <c r="G408" s="133">
        <f>Tabla147[[#This Row],[Importe]]-Tabla147[[#This Row],[Pagado]]</f>
        <v>0</v>
      </c>
      <c r="H408" s="134" t="s">
        <v>10</v>
      </c>
      <c r="I408" s="135"/>
    </row>
    <row r="409" spans="1:9" ht="21.75" customHeight="1" x14ac:dyDescent="0.25">
      <c r="A409" s="127">
        <v>44716</v>
      </c>
      <c r="B409" s="128" t="s">
        <v>18214</v>
      </c>
      <c r="C409" s="129" t="s">
        <v>56</v>
      </c>
      <c r="D409" s="130">
        <v>26923.599999999999</v>
      </c>
      <c r="E409" s="131">
        <v>44716</v>
      </c>
      <c r="F409" s="132">
        <v>26923.599999999999</v>
      </c>
      <c r="G409" s="133">
        <f>Tabla147[[#This Row],[Importe]]-Tabla147[[#This Row],[Pagado]]</f>
        <v>0</v>
      </c>
      <c r="H409" s="134" t="s">
        <v>10</v>
      </c>
      <c r="I409" s="135"/>
    </row>
    <row r="410" spans="1:9" ht="21.75" customHeight="1" x14ac:dyDescent="0.25">
      <c r="A410" s="127">
        <v>44716</v>
      </c>
      <c r="B410" s="128" t="s">
        <v>18215</v>
      </c>
      <c r="C410" s="129" t="s">
        <v>56</v>
      </c>
      <c r="D410" s="130">
        <v>10452.1</v>
      </c>
      <c r="E410" s="131">
        <v>44716</v>
      </c>
      <c r="F410" s="132">
        <v>10452.1</v>
      </c>
      <c r="G410" s="133">
        <f>Tabla147[[#This Row],[Importe]]-Tabla147[[#This Row],[Pagado]]</f>
        <v>0</v>
      </c>
      <c r="H410" s="134" t="s">
        <v>10</v>
      </c>
      <c r="I410" s="135"/>
    </row>
    <row r="411" spans="1:9" ht="21.75" customHeight="1" x14ac:dyDescent="0.25">
      <c r="A411" s="127">
        <v>44716</v>
      </c>
      <c r="B411" s="128" t="s">
        <v>18216</v>
      </c>
      <c r="C411" s="129" t="s">
        <v>56</v>
      </c>
      <c r="D411" s="130">
        <v>5152.2</v>
      </c>
      <c r="E411" s="131">
        <v>44716</v>
      </c>
      <c r="F411" s="132">
        <v>5152.2</v>
      </c>
      <c r="G411" s="133">
        <f>Tabla147[[#This Row],[Importe]]-Tabla147[[#This Row],[Pagado]]</f>
        <v>0</v>
      </c>
      <c r="H411" s="134" t="s">
        <v>10</v>
      </c>
      <c r="I411" s="135"/>
    </row>
    <row r="412" spans="1:9" ht="21.75" customHeight="1" x14ac:dyDescent="0.25">
      <c r="A412" s="127">
        <v>44716</v>
      </c>
      <c r="B412" s="128" t="s">
        <v>18217</v>
      </c>
      <c r="C412" s="129" t="s">
        <v>12202</v>
      </c>
      <c r="D412" s="130">
        <v>10857.6</v>
      </c>
      <c r="E412" s="131">
        <v>44716</v>
      </c>
      <c r="F412" s="132">
        <v>10857.6</v>
      </c>
      <c r="G412" s="133">
        <f>Tabla147[[#This Row],[Importe]]-Tabla147[[#This Row],[Pagado]]</f>
        <v>0</v>
      </c>
      <c r="H412" s="134" t="s">
        <v>10</v>
      </c>
      <c r="I412" s="135"/>
    </row>
    <row r="413" spans="1:9" ht="21.75" customHeight="1" x14ac:dyDescent="0.25">
      <c r="A413" s="127">
        <v>44716</v>
      </c>
      <c r="B413" s="128" t="s">
        <v>18218</v>
      </c>
      <c r="C413" s="129" t="s">
        <v>56</v>
      </c>
      <c r="D413" s="130">
        <v>1886.8</v>
      </c>
      <c r="E413" s="131">
        <v>44716</v>
      </c>
      <c r="F413" s="132">
        <v>1886.8</v>
      </c>
      <c r="G413" s="133">
        <f>Tabla147[[#This Row],[Importe]]-Tabla147[[#This Row],[Pagado]]</f>
        <v>0</v>
      </c>
      <c r="H413" s="134" t="s">
        <v>10</v>
      </c>
      <c r="I413" s="135"/>
    </row>
    <row r="414" spans="1:9" ht="21.75" customHeight="1" x14ac:dyDescent="0.25">
      <c r="A414" s="127">
        <v>44716</v>
      </c>
      <c r="B414" s="128" t="s">
        <v>18219</v>
      </c>
      <c r="C414" s="129" t="s">
        <v>27</v>
      </c>
      <c r="D414" s="130">
        <v>4209.8999999999996</v>
      </c>
      <c r="E414" s="131">
        <v>44716</v>
      </c>
      <c r="F414" s="132">
        <v>4209.8999999999996</v>
      </c>
      <c r="G414" s="133">
        <f>Tabla147[[#This Row],[Importe]]-Tabla147[[#This Row],[Pagado]]</f>
        <v>0</v>
      </c>
      <c r="H414" s="134" t="s">
        <v>10</v>
      </c>
      <c r="I414" s="135"/>
    </row>
    <row r="415" spans="1:9" ht="21.75" customHeight="1" x14ac:dyDescent="0.25">
      <c r="A415" s="127">
        <v>44716</v>
      </c>
      <c r="B415" s="128" t="s">
        <v>18220</v>
      </c>
      <c r="C415" s="129" t="s">
        <v>58</v>
      </c>
      <c r="D415" s="130">
        <v>10436.5</v>
      </c>
      <c r="E415" s="131">
        <v>44716</v>
      </c>
      <c r="F415" s="132">
        <v>10436.5</v>
      </c>
      <c r="G415" s="133">
        <f>Tabla147[[#This Row],[Importe]]-Tabla147[[#This Row],[Pagado]]</f>
        <v>0</v>
      </c>
      <c r="H415" s="134" t="s">
        <v>10</v>
      </c>
      <c r="I415" s="135"/>
    </row>
    <row r="416" spans="1:9" ht="21.75" customHeight="1" x14ac:dyDescent="0.25">
      <c r="A416" s="127">
        <v>44716</v>
      </c>
      <c r="B416" s="128" t="s">
        <v>18221</v>
      </c>
      <c r="C416" s="129" t="s">
        <v>357</v>
      </c>
      <c r="D416" s="130">
        <v>288</v>
      </c>
      <c r="E416" s="131">
        <v>44716</v>
      </c>
      <c r="F416" s="132">
        <v>288</v>
      </c>
      <c r="G416" s="133">
        <f>Tabla147[[#This Row],[Importe]]-Tabla147[[#This Row],[Pagado]]</f>
        <v>0</v>
      </c>
      <c r="H416" s="134" t="s">
        <v>10</v>
      </c>
      <c r="I416" s="135"/>
    </row>
    <row r="417" spans="1:9" ht="21.75" customHeight="1" x14ac:dyDescent="0.25">
      <c r="A417" s="127">
        <v>44716</v>
      </c>
      <c r="B417" s="128" t="s">
        <v>18222</v>
      </c>
      <c r="C417" s="129" t="s">
        <v>140</v>
      </c>
      <c r="D417" s="130">
        <v>921.5</v>
      </c>
      <c r="E417" s="131">
        <v>44716</v>
      </c>
      <c r="F417" s="132">
        <v>921.5</v>
      </c>
      <c r="G417" s="133">
        <f>Tabla147[[#This Row],[Importe]]-Tabla147[[#This Row],[Pagado]]</f>
        <v>0</v>
      </c>
      <c r="H417" s="134" t="s">
        <v>10</v>
      </c>
      <c r="I417" s="135"/>
    </row>
    <row r="418" spans="1:9" ht="21.75" customHeight="1" x14ac:dyDescent="0.25">
      <c r="A418" s="127">
        <v>44716</v>
      </c>
      <c r="B418" s="128" t="s">
        <v>18223</v>
      </c>
      <c r="C418" s="129" t="s">
        <v>140</v>
      </c>
      <c r="D418" s="130">
        <v>4263.6000000000004</v>
      </c>
      <c r="E418" s="131">
        <v>44716</v>
      </c>
      <c r="F418" s="132">
        <v>4263.6000000000004</v>
      </c>
      <c r="G418" s="133">
        <f>Tabla147[[#This Row],[Importe]]-Tabla147[[#This Row],[Pagado]]</f>
        <v>0</v>
      </c>
      <c r="H418" s="134" t="s">
        <v>10</v>
      </c>
      <c r="I418" s="135"/>
    </row>
    <row r="419" spans="1:9" ht="21.75" customHeight="1" x14ac:dyDescent="0.25">
      <c r="A419" s="127">
        <v>44716</v>
      </c>
      <c r="B419" s="128" t="s">
        <v>18224</v>
      </c>
      <c r="C419" s="129" t="s">
        <v>246</v>
      </c>
      <c r="D419" s="130">
        <v>5246.6</v>
      </c>
      <c r="E419" s="131">
        <v>44716</v>
      </c>
      <c r="F419" s="132">
        <v>5246.6</v>
      </c>
      <c r="G419" s="133">
        <f>Tabla147[[#This Row],[Importe]]-Tabla147[[#This Row],[Pagado]]</f>
        <v>0</v>
      </c>
      <c r="H419" s="134" t="s">
        <v>10</v>
      </c>
      <c r="I419" s="135"/>
    </row>
    <row r="420" spans="1:9" ht="21.75" customHeight="1" x14ac:dyDescent="0.25">
      <c r="A420" s="127">
        <v>44716</v>
      </c>
      <c r="B420" s="128" t="s">
        <v>18225</v>
      </c>
      <c r="C420" s="129" t="s">
        <v>129</v>
      </c>
      <c r="D420" s="130">
        <v>2418</v>
      </c>
      <c r="E420" s="131">
        <v>44716</v>
      </c>
      <c r="F420" s="132">
        <v>2418</v>
      </c>
      <c r="G420" s="133">
        <f>Tabla147[[#This Row],[Importe]]-Tabla147[[#This Row],[Pagado]]</f>
        <v>0</v>
      </c>
      <c r="H420" s="134" t="s">
        <v>10</v>
      </c>
      <c r="I420" s="135"/>
    </row>
    <row r="421" spans="1:9" ht="21.75" customHeight="1" x14ac:dyDescent="0.25">
      <c r="A421" s="127">
        <v>44716</v>
      </c>
      <c r="B421" s="128" t="s">
        <v>18226</v>
      </c>
      <c r="C421" s="129" t="s">
        <v>127</v>
      </c>
      <c r="D421" s="130">
        <v>1540.5</v>
      </c>
      <c r="E421" s="131">
        <v>44716</v>
      </c>
      <c r="F421" s="132">
        <v>1540.5</v>
      </c>
      <c r="G421" s="133">
        <f>Tabla147[[#This Row],[Importe]]-Tabla147[[#This Row],[Pagado]]</f>
        <v>0</v>
      </c>
      <c r="H421" s="134" t="s">
        <v>10</v>
      </c>
      <c r="I421" s="135"/>
    </row>
    <row r="422" spans="1:9" ht="21.75" customHeight="1" x14ac:dyDescent="0.25">
      <c r="A422" s="127">
        <v>44716</v>
      </c>
      <c r="B422" s="128" t="s">
        <v>18227</v>
      </c>
      <c r="C422" s="129" t="s">
        <v>804</v>
      </c>
      <c r="D422" s="130">
        <v>21644.9</v>
      </c>
      <c r="E422" s="131">
        <v>44716</v>
      </c>
      <c r="F422" s="132">
        <v>21644.9</v>
      </c>
      <c r="G422" s="133">
        <f>Tabla147[[#This Row],[Importe]]-Tabla147[[#This Row],[Pagado]]</f>
        <v>0</v>
      </c>
      <c r="H422" s="134" t="s">
        <v>10</v>
      </c>
      <c r="I422" s="135"/>
    </row>
    <row r="423" spans="1:9" ht="21.75" customHeight="1" x14ac:dyDescent="0.25">
      <c r="A423" s="127">
        <v>44716</v>
      </c>
      <c r="B423" s="128" t="s">
        <v>18228</v>
      </c>
      <c r="C423" s="129" t="s">
        <v>246</v>
      </c>
      <c r="D423" s="130">
        <v>128</v>
      </c>
      <c r="E423" s="131">
        <v>44716</v>
      </c>
      <c r="F423" s="132">
        <v>128</v>
      </c>
      <c r="G423" s="133">
        <f>Tabla147[[#This Row],[Importe]]-Tabla147[[#This Row],[Pagado]]</f>
        <v>0</v>
      </c>
      <c r="H423" s="134" t="s">
        <v>10</v>
      </c>
      <c r="I423" s="135"/>
    </row>
    <row r="424" spans="1:9" ht="21.75" customHeight="1" x14ac:dyDescent="0.25">
      <c r="A424" s="127">
        <v>44716</v>
      </c>
      <c r="B424" s="128" t="s">
        <v>18229</v>
      </c>
      <c r="C424" s="129" t="s">
        <v>47</v>
      </c>
      <c r="D424" s="130">
        <v>52222.2</v>
      </c>
      <c r="E424" s="131">
        <v>44716</v>
      </c>
      <c r="F424" s="132">
        <v>52222.2</v>
      </c>
      <c r="G424" s="133">
        <f>Tabla147[[#This Row],[Importe]]-Tabla147[[#This Row],[Pagado]]</f>
        <v>0</v>
      </c>
      <c r="H424" s="134" t="s">
        <v>10</v>
      </c>
      <c r="I424" s="135"/>
    </row>
    <row r="425" spans="1:9" ht="21.75" customHeight="1" x14ac:dyDescent="0.25">
      <c r="A425" s="127">
        <v>44716</v>
      </c>
      <c r="B425" s="128" t="s">
        <v>18230</v>
      </c>
      <c r="C425" s="129" t="s">
        <v>1239</v>
      </c>
      <c r="D425" s="130">
        <v>10964.8</v>
      </c>
      <c r="E425" s="131">
        <v>44716</v>
      </c>
      <c r="F425" s="132">
        <v>10964.8</v>
      </c>
      <c r="G425" s="133">
        <f>Tabla147[[#This Row],[Importe]]-Tabla147[[#This Row],[Pagado]]</f>
        <v>0</v>
      </c>
      <c r="H425" s="134" t="s">
        <v>10</v>
      </c>
      <c r="I425" s="135"/>
    </row>
    <row r="426" spans="1:9" ht="21.75" customHeight="1" x14ac:dyDescent="0.25">
      <c r="A426" s="127">
        <v>44716</v>
      </c>
      <c r="B426" s="128" t="s">
        <v>18231</v>
      </c>
      <c r="C426" s="129" t="s">
        <v>157</v>
      </c>
      <c r="D426" s="130">
        <v>7935.6</v>
      </c>
      <c r="E426" s="131">
        <v>44717</v>
      </c>
      <c r="F426" s="132">
        <v>7935.6</v>
      </c>
      <c r="G426" s="133">
        <f>Tabla147[[#This Row],[Importe]]-Tabla147[[#This Row],[Pagado]]</f>
        <v>0</v>
      </c>
      <c r="H426" s="134" t="s">
        <v>10</v>
      </c>
      <c r="I426" s="135"/>
    </row>
    <row r="427" spans="1:9" ht="21.75" customHeight="1" x14ac:dyDescent="0.25">
      <c r="A427" s="127">
        <v>44716</v>
      </c>
      <c r="B427" s="128" t="s">
        <v>18232</v>
      </c>
      <c r="C427" s="129" t="s">
        <v>840</v>
      </c>
      <c r="D427" s="130">
        <v>27837.599999999999</v>
      </c>
      <c r="E427" s="131">
        <v>44716</v>
      </c>
      <c r="F427" s="132">
        <v>27837.599999999999</v>
      </c>
      <c r="G427" s="133">
        <f>Tabla147[[#This Row],[Importe]]-Tabla147[[#This Row],[Pagado]]</f>
        <v>0</v>
      </c>
      <c r="H427" s="134" t="s">
        <v>10</v>
      </c>
      <c r="I427" s="135"/>
    </row>
    <row r="428" spans="1:9" ht="21.75" customHeight="1" x14ac:dyDescent="0.25">
      <c r="A428" s="127">
        <v>44716</v>
      </c>
      <c r="B428" s="128" t="s">
        <v>18233</v>
      </c>
      <c r="C428" s="129" t="s">
        <v>2114</v>
      </c>
      <c r="D428" s="130">
        <v>1612.8</v>
      </c>
      <c r="E428" s="131">
        <v>44716</v>
      </c>
      <c r="F428" s="132">
        <v>1612.8</v>
      </c>
      <c r="G428" s="133">
        <f>Tabla147[[#This Row],[Importe]]-Tabla147[[#This Row],[Pagado]]</f>
        <v>0</v>
      </c>
      <c r="H428" s="134" t="s">
        <v>10</v>
      </c>
      <c r="I428" s="135"/>
    </row>
    <row r="429" spans="1:9" ht="21.75" customHeight="1" x14ac:dyDescent="0.25">
      <c r="A429" s="127">
        <v>44716</v>
      </c>
      <c r="B429" s="128" t="s">
        <v>18234</v>
      </c>
      <c r="C429" s="129" t="s">
        <v>49</v>
      </c>
      <c r="D429" s="130">
        <v>4257.6000000000004</v>
      </c>
      <c r="E429" s="131">
        <v>44716</v>
      </c>
      <c r="F429" s="132">
        <v>4257.6000000000004</v>
      </c>
      <c r="G429" s="133">
        <f>Tabla147[[#This Row],[Importe]]-Tabla147[[#This Row],[Pagado]]</f>
        <v>0</v>
      </c>
      <c r="H429" s="134" t="s">
        <v>10</v>
      </c>
      <c r="I429" s="135"/>
    </row>
    <row r="430" spans="1:9" ht="21.75" customHeight="1" x14ac:dyDescent="0.25">
      <c r="A430" s="127">
        <v>44716</v>
      </c>
      <c r="B430" s="128" t="s">
        <v>18235</v>
      </c>
      <c r="C430" s="129" t="s">
        <v>1239</v>
      </c>
      <c r="D430" s="130">
        <v>849.2</v>
      </c>
      <c r="E430" s="131">
        <v>44716</v>
      </c>
      <c r="F430" s="132">
        <v>849.2</v>
      </c>
      <c r="G430" s="133">
        <f>Tabla147[[#This Row],[Importe]]-Tabla147[[#This Row],[Pagado]]</f>
        <v>0</v>
      </c>
      <c r="H430" s="134" t="s">
        <v>10</v>
      </c>
      <c r="I430" s="135"/>
    </row>
    <row r="431" spans="1:9" ht="21.75" customHeight="1" x14ac:dyDescent="0.25">
      <c r="A431" s="127">
        <v>44716</v>
      </c>
      <c r="B431" s="128" t="s">
        <v>18236</v>
      </c>
      <c r="C431" s="129" t="s">
        <v>159</v>
      </c>
      <c r="D431" s="130">
        <v>6705.4</v>
      </c>
      <c r="E431" s="131">
        <v>44717</v>
      </c>
      <c r="F431" s="132">
        <v>6705.4</v>
      </c>
      <c r="G431" s="133">
        <f>Tabla147[[#This Row],[Importe]]-Tabla147[[#This Row],[Pagado]]</f>
        <v>0</v>
      </c>
      <c r="H431" s="134" t="s">
        <v>10</v>
      </c>
      <c r="I431" s="135"/>
    </row>
    <row r="432" spans="1:9" ht="21.75" customHeight="1" x14ac:dyDescent="0.25">
      <c r="A432" s="127">
        <v>44716</v>
      </c>
      <c r="B432" s="128" t="s">
        <v>18237</v>
      </c>
      <c r="C432" s="129" t="s">
        <v>1064</v>
      </c>
      <c r="D432" s="130">
        <v>7040</v>
      </c>
      <c r="E432" s="131">
        <v>44716</v>
      </c>
      <c r="F432" s="132">
        <v>7040</v>
      </c>
      <c r="G432" s="133">
        <f>Tabla147[[#This Row],[Importe]]-Tabla147[[#This Row],[Pagado]]</f>
        <v>0</v>
      </c>
      <c r="H432" s="134" t="s">
        <v>10</v>
      </c>
      <c r="I432" s="135"/>
    </row>
    <row r="433" spans="1:9" ht="21.75" customHeight="1" x14ac:dyDescent="0.25">
      <c r="A433" s="127">
        <v>44716</v>
      </c>
      <c r="B433" s="128" t="s">
        <v>18238</v>
      </c>
      <c r="C433" s="129" t="s">
        <v>191</v>
      </c>
      <c r="D433" s="130">
        <v>3640</v>
      </c>
      <c r="E433" s="131">
        <v>44716</v>
      </c>
      <c r="F433" s="132">
        <v>3640</v>
      </c>
      <c r="G433" s="133">
        <f>Tabla147[[#This Row],[Importe]]-Tabla147[[#This Row],[Pagado]]</f>
        <v>0</v>
      </c>
      <c r="H433" s="134" t="s">
        <v>10</v>
      </c>
      <c r="I433" s="135"/>
    </row>
    <row r="434" spans="1:9" ht="21.75" customHeight="1" x14ac:dyDescent="0.25">
      <c r="A434" s="127">
        <v>44716</v>
      </c>
      <c r="B434" s="128" t="s">
        <v>18239</v>
      </c>
      <c r="C434" s="129" t="s">
        <v>14613</v>
      </c>
      <c r="D434" s="130">
        <v>14579.6</v>
      </c>
      <c r="E434" s="131">
        <v>44717</v>
      </c>
      <c r="F434" s="132">
        <v>14579.6</v>
      </c>
      <c r="G434" s="133">
        <f>Tabla147[[#This Row],[Importe]]-Tabla147[[#This Row],[Pagado]]</f>
        <v>0</v>
      </c>
      <c r="H434" s="134" t="s">
        <v>10</v>
      </c>
      <c r="I434" s="135"/>
    </row>
    <row r="435" spans="1:9" ht="21.75" customHeight="1" x14ac:dyDescent="0.25">
      <c r="A435" s="127">
        <v>44716</v>
      </c>
      <c r="B435" s="128" t="s">
        <v>18240</v>
      </c>
      <c r="C435" s="129" t="s">
        <v>31</v>
      </c>
      <c r="D435" s="130">
        <v>1824</v>
      </c>
      <c r="E435" s="131">
        <v>44716</v>
      </c>
      <c r="F435" s="132">
        <v>1824</v>
      </c>
      <c r="G435" s="133">
        <f>Tabla147[[#This Row],[Importe]]-Tabla147[[#This Row],[Pagado]]</f>
        <v>0</v>
      </c>
      <c r="H435" s="134" t="s">
        <v>10</v>
      </c>
      <c r="I435" s="135"/>
    </row>
    <row r="436" spans="1:9" ht="21.75" customHeight="1" x14ac:dyDescent="0.25">
      <c r="A436" s="127">
        <v>44716</v>
      </c>
      <c r="B436" s="128" t="s">
        <v>18241</v>
      </c>
      <c r="C436" s="129" t="s">
        <v>518</v>
      </c>
      <c r="D436" s="130">
        <v>1043.2</v>
      </c>
      <c r="E436" s="131">
        <v>44717</v>
      </c>
      <c r="F436" s="132">
        <v>1043.2</v>
      </c>
      <c r="G436" s="133">
        <f>Tabla147[[#This Row],[Importe]]-Tabla147[[#This Row],[Pagado]]</f>
        <v>0</v>
      </c>
      <c r="H436" s="134" t="s">
        <v>10</v>
      </c>
      <c r="I436" s="135"/>
    </row>
    <row r="437" spans="1:9" ht="21.75" customHeight="1" x14ac:dyDescent="0.25">
      <c r="A437" s="127">
        <v>44716</v>
      </c>
      <c r="B437" s="128" t="s">
        <v>18242</v>
      </c>
      <c r="C437" s="129" t="s">
        <v>518</v>
      </c>
      <c r="D437" s="130">
        <v>1713.4</v>
      </c>
      <c r="E437" s="131">
        <v>44717</v>
      </c>
      <c r="F437" s="132">
        <v>1713.4</v>
      </c>
      <c r="G437" s="133">
        <f>Tabla147[[#This Row],[Importe]]-Tabla147[[#This Row],[Pagado]]</f>
        <v>0</v>
      </c>
      <c r="H437" s="134" t="s">
        <v>10</v>
      </c>
      <c r="I437" s="135"/>
    </row>
    <row r="438" spans="1:9" ht="21.75" customHeight="1" x14ac:dyDescent="0.25">
      <c r="A438" s="127">
        <v>44716</v>
      </c>
      <c r="B438" s="128" t="s">
        <v>18243</v>
      </c>
      <c r="C438" s="129" t="s">
        <v>62</v>
      </c>
      <c r="D438" s="130">
        <v>5402.7</v>
      </c>
      <c r="E438" s="131">
        <v>44716</v>
      </c>
      <c r="F438" s="132">
        <v>5402.7</v>
      </c>
      <c r="G438" s="133">
        <f>Tabla147[[#This Row],[Importe]]-Tabla147[[#This Row],[Pagado]]</f>
        <v>0</v>
      </c>
      <c r="H438" s="134" t="s">
        <v>10</v>
      </c>
      <c r="I438" s="135"/>
    </row>
    <row r="439" spans="1:9" ht="21.75" customHeight="1" x14ac:dyDescent="0.25">
      <c r="A439" s="127">
        <v>44716</v>
      </c>
      <c r="B439" s="128" t="s">
        <v>18244</v>
      </c>
      <c r="C439" s="129" t="s">
        <v>373</v>
      </c>
      <c r="D439" s="130">
        <v>180</v>
      </c>
      <c r="E439" s="131">
        <v>44716</v>
      </c>
      <c r="F439" s="132">
        <v>180</v>
      </c>
      <c r="G439" s="133">
        <f>Tabla147[[#This Row],[Importe]]-Tabla147[[#This Row],[Pagado]]</f>
        <v>0</v>
      </c>
      <c r="H439" s="134" t="s">
        <v>10</v>
      </c>
      <c r="I439" s="135"/>
    </row>
    <row r="440" spans="1:9" ht="21.75" customHeight="1" x14ac:dyDescent="0.25">
      <c r="A440" s="127">
        <v>44716</v>
      </c>
      <c r="B440" s="128" t="s">
        <v>18245</v>
      </c>
      <c r="C440" s="129" t="s">
        <v>9827</v>
      </c>
      <c r="D440" s="130">
        <v>2652.54</v>
      </c>
      <c r="E440" s="131">
        <v>44716</v>
      </c>
      <c r="F440" s="132">
        <v>2652.54</v>
      </c>
      <c r="G440" s="133">
        <f>Tabla147[[#This Row],[Importe]]-Tabla147[[#This Row],[Pagado]]</f>
        <v>0</v>
      </c>
      <c r="H440" s="134" t="s">
        <v>10</v>
      </c>
      <c r="I440" s="135"/>
    </row>
    <row r="441" spans="1:9" ht="21.75" customHeight="1" x14ac:dyDescent="0.25">
      <c r="A441" s="127">
        <v>44716</v>
      </c>
      <c r="B441" s="128" t="s">
        <v>18246</v>
      </c>
      <c r="C441" s="129" t="s">
        <v>9827</v>
      </c>
      <c r="D441" s="130">
        <v>7710.6</v>
      </c>
      <c r="E441" s="131">
        <v>44716</v>
      </c>
      <c r="F441" s="132">
        <v>7710.6</v>
      </c>
      <c r="G441" s="133">
        <f>Tabla147[[#This Row],[Importe]]-Tabla147[[#This Row],[Pagado]]</f>
        <v>0</v>
      </c>
      <c r="H441" s="134" t="s">
        <v>10</v>
      </c>
      <c r="I441" s="135"/>
    </row>
    <row r="442" spans="1:9" ht="21.75" customHeight="1" x14ac:dyDescent="0.25">
      <c r="A442" s="127">
        <v>44716</v>
      </c>
      <c r="B442" s="128" t="s">
        <v>18247</v>
      </c>
      <c r="C442" s="129" t="s">
        <v>284</v>
      </c>
      <c r="D442" s="130">
        <v>10873.6</v>
      </c>
      <c r="E442" s="131">
        <v>44717</v>
      </c>
      <c r="F442" s="132">
        <v>10873.6</v>
      </c>
      <c r="G442" s="133">
        <f>Tabla147[[#This Row],[Importe]]-Tabla147[[#This Row],[Pagado]]</f>
        <v>0</v>
      </c>
      <c r="H442" s="134" t="s">
        <v>10</v>
      </c>
      <c r="I442" s="135"/>
    </row>
    <row r="443" spans="1:9" ht="21.75" customHeight="1" x14ac:dyDescent="0.25">
      <c r="A443" s="127">
        <v>44716</v>
      </c>
      <c r="B443" s="128" t="s">
        <v>18248</v>
      </c>
      <c r="C443" s="129" t="s">
        <v>226</v>
      </c>
      <c r="D443" s="130">
        <v>5280</v>
      </c>
      <c r="E443" s="131">
        <v>44716</v>
      </c>
      <c r="F443" s="132">
        <v>5280</v>
      </c>
      <c r="G443" s="133">
        <f>Tabla147[[#This Row],[Importe]]-Tabla147[[#This Row],[Pagado]]</f>
        <v>0</v>
      </c>
      <c r="H443" s="134" t="s">
        <v>10</v>
      </c>
      <c r="I443" s="135"/>
    </row>
    <row r="444" spans="1:9" ht="21.75" customHeight="1" x14ac:dyDescent="0.25">
      <c r="A444" s="127">
        <v>44716</v>
      </c>
      <c r="B444" s="128" t="s">
        <v>18249</v>
      </c>
      <c r="C444" s="129" t="s">
        <v>319</v>
      </c>
      <c r="D444" s="130">
        <v>4288</v>
      </c>
      <c r="E444" s="131">
        <v>44717</v>
      </c>
      <c r="F444" s="132">
        <v>4288</v>
      </c>
      <c r="G444" s="133">
        <f>Tabla147[[#This Row],[Importe]]-Tabla147[[#This Row],[Pagado]]</f>
        <v>0</v>
      </c>
      <c r="H444" s="134" t="s">
        <v>10</v>
      </c>
      <c r="I444" s="135"/>
    </row>
    <row r="445" spans="1:9" ht="21.75" customHeight="1" x14ac:dyDescent="0.25">
      <c r="A445" s="127">
        <v>44716</v>
      </c>
      <c r="B445" s="128" t="s">
        <v>18250</v>
      </c>
      <c r="C445" s="129" t="s">
        <v>79</v>
      </c>
      <c r="D445" s="130">
        <v>20138</v>
      </c>
      <c r="E445" s="131">
        <v>44716</v>
      </c>
      <c r="F445" s="132">
        <v>20138</v>
      </c>
      <c r="G445" s="133">
        <f>Tabla147[[#This Row],[Importe]]-Tabla147[[#This Row],[Pagado]]</f>
        <v>0</v>
      </c>
      <c r="H445" s="134" t="s">
        <v>10</v>
      </c>
      <c r="I445" s="135"/>
    </row>
    <row r="446" spans="1:9" ht="21.75" customHeight="1" x14ac:dyDescent="0.25">
      <c r="A446" s="127">
        <v>44716</v>
      </c>
      <c r="B446" s="128" t="s">
        <v>18251</v>
      </c>
      <c r="C446" s="129" t="s">
        <v>5345</v>
      </c>
      <c r="D446" s="130">
        <v>6469.2</v>
      </c>
      <c r="E446" s="131">
        <v>44717</v>
      </c>
      <c r="F446" s="132">
        <v>6469.2</v>
      </c>
      <c r="G446" s="133">
        <f>Tabla147[[#This Row],[Importe]]-Tabla147[[#This Row],[Pagado]]</f>
        <v>0</v>
      </c>
      <c r="H446" s="134" t="s">
        <v>10</v>
      </c>
      <c r="I446" s="135"/>
    </row>
    <row r="447" spans="1:9" ht="21.75" customHeight="1" x14ac:dyDescent="0.25">
      <c r="A447" s="127">
        <v>44716</v>
      </c>
      <c r="B447" s="128" t="s">
        <v>18252</v>
      </c>
      <c r="C447" s="129" t="s">
        <v>525</v>
      </c>
      <c r="D447" s="130">
        <v>5214</v>
      </c>
      <c r="E447" s="131">
        <v>44717</v>
      </c>
      <c r="F447" s="132">
        <v>5214</v>
      </c>
      <c r="G447" s="133">
        <f>Tabla147[[#This Row],[Importe]]-Tabla147[[#This Row],[Pagado]]</f>
        <v>0</v>
      </c>
      <c r="H447" s="134" t="s">
        <v>10</v>
      </c>
      <c r="I447" s="135"/>
    </row>
    <row r="448" spans="1:9" ht="21.75" customHeight="1" x14ac:dyDescent="0.25">
      <c r="A448" s="127">
        <v>44716</v>
      </c>
      <c r="B448" s="128" t="s">
        <v>18253</v>
      </c>
      <c r="C448" s="129" t="s">
        <v>382</v>
      </c>
      <c r="D448" s="130">
        <v>10444.799999999999</v>
      </c>
      <c r="E448" s="131">
        <v>44716</v>
      </c>
      <c r="F448" s="132">
        <v>10444.799999999999</v>
      </c>
      <c r="G448" s="133">
        <f>Tabla147[[#This Row],[Importe]]-Tabla147[[#This Row],[Pagado]]</f>
        <v>0</v>
      </c>
      <c r="H448" s="134" t="s">
        <v>10</v>
      </c>
      <c r="I448" s="135"/>
    </row>
    <row r="449" spans="1:9" ht="21.75" customHeight="1" x14ac:dyDescent="0.25">
      <c r="A449" s="127">
        <v>44716</v>
      </c>
      <c r="B449" s="128" t="s">
        <v>18254</v>
      </c>
      <c r="C449" s="129" t="s">
        <v>10819</v>
      </c>
      <c r="D449" s="130">
        <v>1401.6</v>
      </c>
      <c r="E449" s="131">
        <v>44717</v>
      </c>
      <c r="F449" s="132">
        <v>1401.6</v>
      </c>
      <c r="G449" s="133">
        <f>Tabla147[[#This Row],[Importe]]-Tabla147[[#This Row],[Pagado]]</f>
        <v>0</v>
      </c>
      <c r="H449" s="134" t="s">
        <v>10</v>
      </c>
      <c r="I449" s="135"/>
    </row>
    <row r="450" spans="1:9" ht="21.75" customHeight="1" x14ac:dyDescent="0.25">
      <c r="A450" s="127">
        <v>44716</v>
      </c>
      <c r="B450" s="128" t="s">
        <v>18255</v>
      </c>
      <c r="C450" s="129" t="s">
        <v>157</v>
      </c>
      <c r="D450" s="130">
        <v>241.4</v>
      </c>
      <c r="E450" s="131">
        <v>44717</v>
      </c>
      <c r="F450" s="132">
        <v>241.4</v>
      </c>
      <c r="G450" s="133">
        <f>Tabla147[[#This Row],[Importe]]-Tabla147[[#This Row],[Pagado]]</f>
        <v>0</v>
      </c>
      <c r="H450" s="134" t="s">
        <v>10</v>
      </c>
      <c r="I450" s="135"/>
    </row>
    <row r="451" spans="1:9" ht="21.75" customHeight="1" x14ac:dyDescent="0.25">
      <c r="A451" s="127">
        <v>44716</v>
      </c>
      <c r="B451" s="128" t="s">
        <v>18256</v>
      </c>
      <c r="C451" s="129" t="s">
        <v>45</v>
      </c>
      <c r="D451" s="130">
        <v>13900.2</v>
      </c>
      <c r="E451" s="131">
        <v>44716</v>
      </c>
      <c r="F451" s="132">
        <v>13900.2</v>
      </c>
      <c r="G451" s="133">
        <f>Tabla147[[#This Row],[Importe]]-Tabla147[[#This Row],[Pagado]]</f>
        <v>0</v>
      </c>
      <c r="H451" s="134" t="s">
        <v>10</v>
      </c>
      <c r="I451" s="135"/>
    </row>
    <row r="452" spans="1:9" ht="21.75" customHeight="1" x14ac:dyDescent="0.25">
      <c r="A452" s="127">
        <v>44716</v>
      </c>
      <c r="B452" s="128" t="s">
        <v>18257</v>
      </c>
      <c r="C452" s="129" t="s">
        <v>280</v>
      </c>
      <c r="D452" s="130">
        <v>2540.8000000000002</v>
      </c>
      <c r="E452" s="131">
        <v>44717</v>
      </c>
      <c r="F452" s="132">
        <v>2540.8000000000002</v>
      </c>
      <c r="G452" s="133">
        <f>Tabla147[[#This Row],[Importe]]-Tabla147[[#This Row],[Pagado]]</f>
        <v>0</v>
      </c>
      <c r="H452" s="134" t="s">
        <v>10</v>
      </c>
      <c r="I452" s="135"/>
    </row>
    <row r="453" spans="1:9" ht="21.75" customHeight="1" x14ac:dyDescent="0.25">
      <c r="A453" s="127">
        <v>44716</v>
      </c>
      <c r="B453" s="128" t="s">
        <v>18258</v>
      </c>
      <c r="C453" s="129" t="s">
        <v>275</v>
      </c>
      <c r="D453" s="130">
        <v>180522.1</v>
      </c>
      <c r="E453" s="131">
        <v>44729</v>
      </c>
      <c r="F453" s="132">
        <v>180522.1</v>
      </c>
      <c r="G453" s="133">
        <f>Tabla147[[#This Row],[Importe]]-Tabla147[[#This Row],[Pagado]]</f>
        <v>0</v>
      </c>
      <c r="H453" s="134" t="s">
        <v>10</v>
      </c>
      <c r="I453" s="135"/>
    </row>
    <row r="454" spans="1:9" ht="21.75" customHeight="1" x14ac:dyDescent="0.25">
      <c r="A454" s="127">
        <v>44716</v>
      </c>
      <c r="B454" s="128" t="s">
        <v>18259</v>
      </c>
      <c r="C454" s="129" t="s">
        <v>18260</v>
      </c>
      <c r="D454" s="130">
        <v>0</v>
      </c>
      <c r="E454" s="136" t="s">
        <v>189</v>
      </c>
      <c r="F454" s="132">
        <v>0</v>
      </c>
      <c r="G454" s="133">
        <f>Tabla147[[#This Row],[Importe]]-Tabla147[[#This Row],[Pagado]]</f>
        <v>0</v>
      </c>
      <c r="H454" s="137" t="s">
        <v>18261</v>
      </c>
      <c r="I454" s="135"/>
    </row>
    <row r="455" spans="1:9" ht="21.75" customHeight="1" x14ac:dyDescent="0.25">
      <c r="A455" s="127">
        <v>44716</v>
      </c>
      <c r="B455" s="128" t="s">
        <v>18262</v>
      </c>
      <c r="C455" s="129" t="s">
        <v>3971</v>
      </c>
      <c r="D455" s="130">
        <v>1115.5</v>
      </c>
      <c r="E455" s="131">
        <v>44716</v>
      </c>
      <c r="F455" s="132">
        <v>1115.5</v>
      </c>
      <c r="G455" s="133">
        <f>Tabla147[[#This Row],[Importe]]-Tabla147[[#This Row],[Pagado]]</f>
        <v>0</v>
      </c>
      <c r="H455" s="134" t="s">
        <v>10</v>
      </c>
      <c r="I455" s="135"/>
    </row>
    <row r="456" spans="1:9" ht="21.75" customHeight="1" x14ac:dyDescent="0.25">
      <c r="A456" s="127">
        <v>44716</v>
      </c>
      <c r="B456" s="128" t="s">
        <v>18263</v>
      </c>
      <c r="C456" s="129" t="s">
        <v>18264</v>
      </c>
      <c r="D456" s="130">
        <v>0</v>
      </c>
      <c r="E456" s="136" t="s">
        <v>189</v>
      </c>
      <c r="F456" s="132">
        <v>0</v>
      </c>
      <c r="G456" s="133">
        <f>Tabla147[[#This Row],[Importe]]-Tabla147[[#This Row],[Pagado]]</f>
        <v>0</v>
      </c>
      <c r="H456" s="137" t="s">
        <v>18265</v>
      </c>
      <c r="I456" s="135"/>
    </row>
    <row r="457" spans="1:9" ht="21.75" customHeight="1" x14ac:dyDescent="0.25">
      <c r="A457" s="127">
        <v>44716</v>
      </c>
      <c r="B457" s="128" t="s">
        <v>18266</v>
      </c>
      <c r="C457" s="129" t="s">
        <v>421</v>
      </c>
      <c r="D457" s="130">
        <v>2504</v>
      </c>
      <c r="E457" s="131">
        <v>44716</v>
      </c>
      <c r="F457" s="132">
        <v>2504</v>
      </c>
      <c r="G457" s="133">
        <f>Tabla147[[#This Row],[Importe]]-Tabla147[[#This Row],[Pagado]]</f>
        <v>0</v>
      </c>
      <c r="H457" s="134" t="s">
        <v>10</v>
      </c>
      <c r="I457" s="135"/>
    </row>
    <row r="458" spans="1:9" ht="21.75" customHeight="1" x14ac:dyDescent="0.25">
      <c r="A458" s="127">
        <v>44716</v>
      </c>
      <c r="B458" s="128" t="s">
        <v>18267</v>
      </c>
      <c r="C458" s="129" t="s">
        <v>431</v>
      </c>
      <c r="D458" s="130">
        <v>819.2</v>
      </c>
      <c r="E458" s="131">
        <v>44717</v>
      </c>
      <c r="F458" s="132">
        <v>819.2</v>
      </c>
      <c r="G458" s="133">
        <f>Tabla147[[#This Row],[Importe]]-Tabla147[[#This Row],[Pagado]]</f>
        <v>0</v>
      </c>
      <c r="H458" s="134" t="s">
        <v>10</v>
      </c>
      <c r="I458" s="135"/>
    </row>
    <row r="459" spans="1:9" ht="21.75" customHeight="1" x14ac:dyDescent="0.25">
      <c r="A459" s="127">
        <v>44716</v>
      </c>
      <c r="B459" s="128" t="s">
        <v>18268</v>
      </c>
      <c r="C459" s="129" t="s">
        <v>275</v>
      </c>
      <c r="D459" s="130">
        <v>9093.24</v>
      </c>
      <c r="E459" s="131">
        <v>44729</v>
      </c>
      <c r="F459" s="132">
        <v>9093.24</v>
      </c>
      <c r="G459" s="133">
        <f>Tabla147[[#This Row],[Importe]]-Tabla147[[#This Row],[Pagado]]</f>
        <v>0</v>
      </c>
      <c r="H459" s="134" t="s">
        <v>10</v>
      </c>
      <c r="I459" s="135"/>
    </row>
    <row r="460" spans="1:9" ht="21.75" customHeight="1" x14ac:dyDescent="0.25">
      <c r="A460" s="127">
        <v>44716</v>
      </c>
      <c r="B460" s="128" t="s">
        <v>18269</v>
      </c>
      <c r="C460" s="129" t="s">
        <v>282</v>
      </c>
      <c r="D460" s="130">
        <v>1427.2</v>
      </c>
      <c r="E460" s="131">
        <v>44717</v>
      </c>
      <c r="F460" s="132">
        <v>1427.2</v>
      </c>
      <c r="G460" s="133">
        <f>Tabla147[[#This Row],[Importe]]-Tabla147[[#This Row],[Pagado]]</f>
        <v>0</v>
      </c>
      <c r="H460" s="134" t="s">
        <v>10</v>
      </c>
      <c r="I460" s="135"/>
    </row>
    <row r="461" spans="1:9" ht="21.75" customHeight="1" x14ac:dyDescent="0.25">
      <c r="A461" s="127">
        <v>44716</v>
      </c>
      <c r="B461" s="128" t="s">
        <v>18270</v>
      </c>
      <c r="C461" s="129" t="s">
        <v>2151</v>
      </c>
      <c r="D461" s="130">
        <v>31589.599999999999</v>
      </c>
      <c r="E461" s="131">
        <v>44716</v>
      </c>
      <c r="F461" s="132">
        <v>31589.599999999999</v>
      </c>
      <c r="G461" s="133">
        <f>Tabla147[[#This Row],[Importe]]-Tabla147[[#This Row],[Pagado]]</f>
        <v>0</v>
      </c>
      <c r="H461" s="134" t="s">
        <v>10</v>
      </c>
      <c r="I461" s="135"/>
    </row>
    <row r="462" spans="1:9" ht="21.75" customHeight="1" x14ac:dyDescent="0.25">
      <c r="A462" s="127">
        <v>44716</v>
      </c>
      <c r="B462" s="128" t="s">
        <v>18271</v>
      </c>
      <c r="C462" s="129" t="s">
        <v>555</v>
      </c>
      <c r="D462" s="130">
        <v>27884</v>
      </c>
      <c r="E462" s="131">
        <v>44716</v>
      </c>
      <c r="F462" s="132">
        <v>27884</v>
      </c>
      <c r="G462" s="133">
        <f>Tabla147[[#This Row],[Importe]]-Tabla147[[#This Row],[Pagado]]</f>
        <v>0</v>
      </c>
      <c r="H462" s="134" t="s">
        <v>10</v>
      </c>
      <c r="I462" s="135"/>
    </row>
    <row r="463" spans="1:9" ht="21.75" customHeight="1" x14ac:dyDescent="0.25">
      <c r="A463" s="127">
        <v>44716</v>
      </c>
      <c r="B463" s="128" t="s">
        <v>18272</v>
      </c>
      <c r="C463" s="129" t="s">
        <v>181</v>
      </c>
      <c r="D463" s="130">
        <v>12543.6</v>
      </c>
      <c r="E463" s="131">
        <v>44717</v>
      </c>
      <c r="F463" s="132">
        <v>12543.6</v>
      </c>
      <c r="G463" s="133">
        <f>Tabla147[[#This Row],[Importe]]-Tabla147[[#This Row],[Pagado]]</f>
        <v>0</v>
      </c>
      <c r="H463" s="134" t="s">
        <v>10</v>
      </c>
      <c r="I463" s="135"/>
    </row>
    <row r="464" spans="1:9" ht="21.75" customHeight="1" x14ac:dyDescent="0.25">
      <c r="A464" s="127">
        <v>44716</v>
      </c>
      <c r="B464" s="128" t="s">
        <v>18273</v>
      </c>
      <c r="C464" s="129" t="s">
        <v>200</v>
      </c>
      <c r="D464" s="130">
        <v>1644.8</v>
      </c>
      <c r="E464" s="131">
        <v>44717</v>
      </c>
      <c r="F464" s="132">
        <v>1644.8</v>
      </c>
      <c r="G464" s="133">
        <f>Tabla147[[#This Row],[Importe]]-Tabla147[[#This Row],[Pagado]]</f>
        <v>0</v>
      </c>
      <c r="H464" s="134" t="s">
        <v>10</v>
      </c>
      <c r="I464" s="135"/>
    </row>
    <row r="465" spans="1:9" ht="21.75" customHeight="1" x14ac:dyDescent="0.25">
      <c r="A465" s="127">
        <v>44716</v>
      </c>
      <c r="B465" s="128" t="s">
        <v>18274</v>
      </c>
      <c r="C465" s="129" t="s">
        <v>31</v>
      </c>
      <c r="D465" s="130">
        <v>1029.5999999999999</v>
      </c>
      <c r="E465" s="131">
        <v>44716</v>
      </c>
      <c r="F465" s="132">
        <v>1029.5999999999999</v>
      </c>
      <c r="G465" s="133">
        <f>Tabla147[[#This Row],[Importe]]-Tabla147[[#This Row],[Pagado]]</f>
        <v>0</v>
      </c>
      <c r="H465" s="134" t="s">
        <v>10</v>
      </c>
      <c r="I465" s="135"/>
    </row>
    <row r="466" spans="1:9" ht="21.75" customHeight="1" x14ac:dyDescent="0.25">
      <c r="A466" s="127">
        <v>44716</v>
      </c>
      <c r="B466" s="128" t="s">
        <v>18275</v>
      </c>
      <c r="C466" s="129" t="s">
        <v>359</v>
      </c>
      <c r="D466" s="130">
        <v>452.2</v>
      </c>
      <c r="E466" s="131">
        <v>44717</v>
      </c>
      <c r="F466" s="132">
        <v>452.2</v>
      </c>
      <c r="G466" s="133">
        <f>Tabla147[[#This Row],[Importe]]-Tabla147[[#This Row],[Pagado]]</f>
        <v>0</v>
      </c>
      <c r="H466" s="134" t="s">
        <v>10</v>
      </c>
      <c r="I466" s="135"/>
    </row>
    <row r="467" spans="1:9" ht="21.75" customHeight="1" x14ac:dyDescent="0.25">
      <c r="A467" s="127">
        <v>44716</v>
      </c>
      <c r="B467" s="128" t="s">
        <v>18276</v>
      </c>
      <c r="C467" s="129" t="s">
        <v>214</v>
      </c>
      <c r="D467" s="130">
        <v>1574.4</v>
      </c>
      <c r="E467" s="131">
        <v>44716</v>
      </c>
      <c r="F467" s="132">
        <v>1574.4</v>
      </c>
      <c r="G467" s="133">
        <f>Tabla147[[#This Row],[Importe]]-Tabla147[[#This Row],[Pagado]]</f>
        <v>0</v>
      </c>
      <c r="H467" s="134" t="s">
        <v>10</v>
      </c>
      <c r="I467" s="135"/>
    </row>
    <row r="468" spans="1:9" ht="21.75" customHeight="1" x14ac:dyDescent="0.25">
      <c r="A468" s="127">
        <v>44716</v>
      </c>
      <c r="B468" s="128" t="s">
        <v>18277</v>
      </c>
      <c r="C468" s="129" t="s">
        <v>233</v>
      </c>
      <c r="D468" s="130">
        <v>4787.2</v>
      </c>
      <c r="E468" s="131">
        <v>44716</v>
      </c>
      <c r="F468" s="132">
        <v>4787.2</v>
      </c>
      <c r="G468" s="133">
        <f>Tabla147[[#This Row],[Importe]]-Tabla147[[#This Row],[Pagado]]</f>
        <v>0</v>
      </c>
      <c r="H468" s="134" t="s">
        <v>10</v>
      </c>
      <c r="I468" s="135"/>
    </row>
    <row r="469" spans="1:9" ht="21.75" customHeight="1" x14ac:dyDescent="0.25">
      <c r="A469" s="127">
        <v>44716</v>
      </c>
      <c r="B469" s="128" t="s">
        <v>18278</v>
      </c>
      <c r="C469" s="129" t="s">
        <v>18279</v>
      </c>
      <c r="D469" s="130">
        <v>0</v>
      </c>
      <c r="E469" s="136" t="s">
        <v>189</v>
      </c>
      <c r="F469" s="132">
        <v>0</v>
      </c>
      <c r="G469" s="133">
        <f>Tabla147[[#This Row],[Importe]]-Tabla147[[#This Row],[Pagado]]</f>
        <v>0</v>
      </c>
      <c r="H469" s="137" t="s">
        <v>18280</v>
      </c>
      <c r="I469" s="135"/>
    </row>
    <row r="470" spans="1:9" ht="21.75" customHeight="1" x14ac:dyDescent="0.25">
      <c r="A470" s="127">
        <v>44716</v>
      </c>
      <c r="B470" s="128" t="s">
        <v>18281</v>
      </c>
      <c r="C470" s="129" t="s">
        <v>407</v>
      </c>
      <c r="D470" s="130">
        <v>11400</v>
      </c>
      <c r="E470" s="131">
        <v>44716</v>
      </c>
      <c r="F470" s="132">
        <v>11400</v>
      </c>
      <c r="G470" s="133">
        <f>Tabla147[[#This Row],[Importe]]-Tabla147[[#This Row],[Pagado]]</f>
        <v>0</v>
      </c>
      <c r="H470" s="134" t="s">
        <v>10</v>
      </c>
      <c r="I470" s="135"/>
    </row>
    <row r="471" spans="1:9" ht="21.75" customHeight="1" x14ac:dyDescent="0.25">
      <c r="A471" s="127">
        <v>44716</v>
      </c>
      <c r="B471" s="128" t="s">
        <v>18282</v>
      </c>
      <c r="C471" s="129" t="s">
        <v>312</v>
      </c>
      <c r="D471" s="130">
        <v>3903.2</v>
      </c>
      <c r="E471" s="131">
        <v>44717</v>
      </c>
      <c r="F471" s="132">
        <v>3903.2</v>
      </c>
      <c r="G471" s="133">
        <f>Tabla147[[#This Row],[Importe]]-Tabla147[[#This Row],[Pagado]]</f>
        <v>0</v>
      </c>
      <c r="H471" s="134" t="s">
        <v>10</v>
      </c>
      <c r="I471" s="135"/>
    </row>
    <row r="472" spans="1:9" ht="21.75" customHeight="1" x14ac:dyDescent="0.25">
      <c r="A472" s="127">
        <v>44716</v>
      </c>
      <c r="B472" s="128" t="s">
        <v>18283</v>
      </c>
      <c r="C472" s="129" t="s">
        <v>175</v>
      </c>
      <c r="D472" s="130">
        <v>41834.699999999997</v>
      </c>
      <c r="E472" s="131">
        <v>44717</v>
      </c>
      <c r="F472" s="132">
        <v>41834.699999999997</v>
      </c>
      <c r="G472" s="133">
        <f>Tabla147[[#This Row],[Importe]]-Tabla147[[#This Row],[Pagado]]</f>
        <v>0</v>
      </c>
      <c r="H472" s="134" t="s">
        <v>10</v>
      </c>
      <c r="I472" s="135"/>
    </row>
    <row r="473" spans="1:9" ht="21.75" customHeight="1" x14ac:dyDescent="0.25">
      <c r="A473" s="127">
        <v>44716</v>
      </c>
      <c r="B473" s="128" t="s">
        <v>18284</v>
      </c>
      <c r="C473" s="129" t="s">
        <v>414</v>
      </c>
      <c r="D473" s="130">
        <v>19840</v>
      </c>
      <c r="E473" s="131">
        <v>44716</v>
      </c>
      <c r="F473" s="132">
        <v>19840</v>
      </c>
      <c r="G473" s="133">
        <f>Tabla147[[#This Row],[Importe]]-Tabla147[[#This Row],[Pagado]]</f>
        <v>0</v>
      </c>
      <c r="H473" s="134" t="s">
        <v>10</v>
      </c>
      <c r="I473" s="135"/>
    </row>
    <row r="474" spans="1:9" ht="21.75" customHeight="1" x14ac:dyDescent="0.25">
      <c r="A474" s="127">
        <v>44716</v>
      </c>
      <c r="B474" s="128" t="s">
        <v>18285</v>
      </c>
      <c r="C474" s="129" t="s">
        <v>64</v>
      </c>
      <c r="D474" s="130">
        <v>5835.3</v>
      </c>
      <c r="E474" s="131">
        <v>44716</v>
      </c>
      <c r="F474" s="132">
        <v>5835.3</v>
      </c>
      <c r="G474" s="133">
        <f>Tabla147[[#This Row],[Importe]]-Tabla147[[#This Row],[Pagado]]</f>
        <v>0</v>
      </c>
      <c r="H474" s="134" t="s">
        <v>10</v>
      </c>
      <c r="I474" s="135"/>
    </row>
    <row r="475" spans="1:9" ht="21.75" customHeight="1" x14ac:dyDescent="0.25">
      <c r="A475" s="127">
        <v>44716</v>
      </c>
      <c r="B475" s="128" t="s">
        <v>18286</v>
      </c>
      <c r="C475" s="129" t="s">
        <v>142</v>
      </c>
      <c r="D475" s="130">
        <v>100170.2</v>
      </c>
      <c r="E475" s="131">
        <v>44760</v>
      </c>
      <c r="F475" s="132">
        <v>100170.2</v>
      </c>
      <c r="G475" s="133">
        <f>Tabla147[[#This Row],[Importe]]-Tabla147[[#This Row],[Pagado]]</f>
        <v>0</v>
      </c>
      <c r="H475" s="134" t="s">
        <v>10</v>
      </c>
      <c r="I475" s="135"/>
    </row>
    <row r="476" spans="1:9" ht="21.75" customHeight="1" x14ac:dyDescent="0.25">
      <c r="A476" s="127">
        <v>44716</v>
      </c>
      <c r="B476" s="128" t="s">
        <v>18287</v>
      </c>
      <c r="C476" s="129" t="s">
        <v>53</v>
      </c>
      <c r="D476" s="130">
        <v>5676</v>
      </c>
      <c r="E476" s="131">
        <v>44716</v>
      </c>
      <c r="F476" s="132">
        <v>5676</v>
      </c>
      <c r="G476" s="133">
        <f>Tabla147[[#This Row],[Importe]]-Tabla147[[#This Row],[Pagado]]</f>
        <v>0</v>
      </c>
      <c r="H476" s="134" t="s">
        <v>10</v>
      </c>
      <c r="I476" s="135"/>
    </row>
    <row r="477" spans="1:9" ht="21.75" customHeight="1" x14ac:dyDescent="0.25">
      <c r="A477" s="127">
        <v>44716</v>
      </c>
      <c r="B477" s="128" t="s">
        <v>18288</v>
      </c>
      <c r="C477" s="129" t="s">
        <v>670</v>
      </c>
      <c r="D477" s="130">
        <v>2115.1999999999998</v>
      </c>
      <c r="E477" s="131">
        <v>44716</v>
      </c>
      <c r="F477" s="132">
        <v>2115.1999999999998</v>
      </c>
      <c r="G477" s="133">
        <f>Tabla147[[#This Row],[Importe]]-Tabla147[[#This Row],[Pagado]]</f>
        <v>0</v>
      </c>
      <c r="H477" s="134" t="s">
        <v>10</v>
      </c>
      <c r="I477" s="135"/>
    </row>
    <row r="478" spans="1:9" ht="21.75" customHeight="1" x14ac:dyDescent="0.25">
      <c r="A478" s="127">
        <v>44716</v>
      </c>
      <c r="B478" s="128" t="s">
        <v>18289</v>
      </c>
      <c r="C478" s="129" t="s">
        <v>67</v>
      </c>
      <c r="D478" s="130">
        <v>3276.8</v>
      </c>
      <c r="E478" s="131">
        <v>44716</v>
      </c>
      <c r="F478" s="132">
        <v>3276.8</v>
      </c>
      <c r="G478" s="133">
        <f>Tabla147[[#This Row],[Importe]]-Tabla147[[#This Row],[Pagado]]</f>
        <v>0</v>
      </c>
      <c r="H478" s="134" t="s">
        <v>10</v>
      </c>
      <c r="I478" s="135"/>
    </row>
    <row r="479" spans="1:9" ht="21.75" customHeight="1" x14ac:dyDescent="0.25">
      <c r="A479" s="127">
        <v>44716</v>
      </c>
      <c r="B479" s="128" t="s">
        <v>18290</v>
      </c>
      <c r="C479" s="129" t="s">
        <v>31</v>
      </c>
      <c r="D479" s="130">
        <v>2086.1</v>
      </c>
      <c r="E479" s="131">
        <v>44716</v>
      </c>
      <c r="F479" s="132">
        <v>2086.1</v>
      </c>
      <c r="G479" s="133">
        <f>Tabla147[[#This Row],[Importe]]-Tabla147[[#This Row],[Pagado]]</f>
        <v>0</v>
      </c>
      <c r="H479" s="134" t="s">
        <v>10</v>
      </c>
      <c r="I479" s="135"/>
    </row>
    <row r="480" spans="1:9" ht="21.75" customHeight="1" x14ac:dyDescent="0.25">
      <c r="A480" s="127">
        <v>44716</v>
      </c>
      <c r="B480" s="128" t="s">
        <v>18291</v>
      </c>
      <c r="C480" s="129" t="s">
        <v>244</v>
      </c>
      <c r="D480" s="130">
        <v>1072.5</v>
      </c>
      <c r="E480" s="131">
        <v>44716</v>
      </c>
      <c r="F480" s="132">
        <v>1072.5</v>
      </c>
      <c r="G480" s="133">
        <f>Tabla147[[#This Row],[Importe]]-Tabla147[[#This Row],[Pagado]]</f>
        <v>0</v>
      </c>
      <c r="H480" s="134" t="s">
        <v>10</v>
      </c>
      <c r="I480" s="135"/>
    </row>
    <row r="481" spans="1:9" ht="21.75" customHeight="1" x14ac:dyDescent="0.25">
      <c r="A481" s="127">
        <v>44716</v>
      </c>
      <c r="B481" s="128" t="s">
        <v>18292</v>
      </c>
      <c r="C481" s="129" t="s">
        <v>452</v>
      </c>
      <c r="D481" s="130">
        <v>5407.2</v>
      </c>
      <c r="E481" s="131">
        <v>44716</v>
      </c>
      <c r="F481" s="132">
        <v>5407.2</v>
      </c>
      <c r="G481" s="133">
        <f>Tabla147[[#This Row],[Importe]]-Tabla147[[#This Row],[Pagado]]</f>
        <v>0</v>
      </c>
      <c r="H481" s="134" t="s">
        <v>10</v>
      </c>
      <c r="I481" s="135"/>
    </row>
    <row r="482" spans="1:9" ht="21.75" customHeight="1" x14ac:dyDescent="0.25">
      <c r="A482" s="127">
        <v>44716</v>
      </c>
      <c r="B482" s="128" t="s">
        <v>18293</v>
      </c>
      <c r="C482" s="129" t="s">
        <v>107</v>
      </c>
      <c r="D482" s="130">
        <v>30553.4</v>
      </c>
      <c r="E482" s="131">
        <v>44716</v>
      </c>
      <c r="F482" s="132">
        <v>30553.4</v>
      </c>
      <c r="G482" s="133">
        <f>Tabla147[[#This Row],[Importe]]-Tabla147[[#This Row],[Pagado]]</f>
        <v>0</v>
      </c>
      <c r="H482" s="134" t="s">
        <v>10</v>
      </c>
      <c r="I482" s="135"/>
    </row>
    <row r="483" spans="1:9" ht="21.75" customHeight="1" x14ac:dyDescent="0.25">
      <c r="A483" s="127">
        <v>44716</v>
      </c>
      <c r="B483" s="128" t="s">
        <v>18294</v>
      </c>
      <c r="C483" s="129" t="s">
        <v>10190</v>
      </c>
      <c r="D483" s="130">
        <v>18907.2</v>
      </c>
      <c r="E483" s="131">
        <v>44717</v>
      </c>
      <c r="F483" s="132">
        <v>18907.2</v>
      </c>
      <c r="G483" s="133">
        <f>Tabla147[[#This Row],[Importe]]-Tabla147[[#This Row],[Pagado]]</f>
        <v>0</v>
      </c>
      <c r="H483" s="134" t="s">
        <v>10</v>
      </c>
      <c r="I483" s="135"/>
    </row>
    <row r="484" spans="1:9" ht="21.75" customHeight="1" x14ac:dyDescent="0.25">
      <c r="A484" s="127">
        <v>44716</v>
      </c>
      <c r="B484" s="128" t="s">
        <v>18295</v>
      </c>
      <c r="C484" s="129" t="s">
        <v>146</v>
      </c>
      <c r="D484" s="130">
        <v>10112</v>
      </c>
      <c r="E484" s="131">
        <v>44716</v>
      </c>
      <c r="F484" s="132">
        <v>10112</v>
      </c>
      <c r="G484" s="133">
        <f>Tabla147[[#This Row],[Importe]]-Tabla147[[#This Row],[Pagado]]</f>
        <v>0</v>
      </c>
      <c r="H484" s="134" t="s">
        <v>10</v>
      </c>
      <c r="I484" s="135"/>
    </row>
    <row r="485" spans="1:9" ht="21.75" customHeight="1" x14ac:dyDescent="0.25">
      <c r="A485" s="127">
        <v>44716</v>
      </c>
      <c r="B485" s="128" t="s">
        <v>18296</v>
      </c>
      <c r="C485" s="129" t="s">
        <v>15449</v>
      </c>
      <c r="D485" s="130">
        <v>1011.5</v>
      </c>
      <c r="E485" s="131">
        <v>44716</v>
      </c>
      <c r="F485" s="132">
        <v>1011.5</v>
      </c>
      <c r="G485" s="133">
        <f>Tabla147[[#This Row],[Importe]]-Tabla147[[#This Row],[Pagado]]</f>
        <v>0</v>
      </c>
      <c r="H485" s="134" t="s">
        <v>10</v>
      </c>
      <c r="I485" s="135"/>
    </row>
    <row r="486" spans="1:9" ht="21.75" customHeight="1" x14ac:dyDescent="0.25">
      <c r="A486" s="127">
        <v>44716</v>
      </c>
      <c r="B486" s="128" t="s">
        <v>18297</v>
      </c>
      <c r="C486" s="129" t="s">
        <v>7818</v>
      </c>
      <c r="D486" s="130">
        <v>316.2</v>
      </c>
      <c r="E486" s="131">
        <v>44716</v>
      </c>
      <c r="F486" s="132">
        <v>316.2</v>
      </c>
      <c r="G486" s="133">
        <f>Tabla147[[#This Row],[Importe]]-Tabla147[[#This Row],[Pagado]]</f>
        <v>0</v>
      </c>
      <c r="H486" s="134" t="s">
        <v>10</v>
      </c>
      <c r="I486" s="135"/>
    </row>
    <row r="487" spans="1:9" ht="21.75" customHeight="1" x14ac:dyDescent="0.25">
      <c r="A487" s="127">
        <v>44716</v>
      </c>
      <c r="B487" s="128" t="s">
        <v>18298</v>
      </c>
      <c r="C487" s="129" t="s">
        <v>291</v>
      </c>
      <c r="D487" s="130">
        <v>3552.04</v>
      </c>
      <c r="E487" s="131">
        <v>44717</v>
      </c>
      <c r="F487" s="132">
        <v>3552.04</v>
      </c>
      <c r="G487" s="133">
        <f>Tabla147[[#This Row],[Importe]]-Tabla147[[#This Row],[Pagado]]</f>
        <v>0</v>
      </c>
      <c r="H487" s="134" t="s">
        <v>10</v>
      </c>
      <c r="I487" s="135"/>
    </row>
    <row r="488" spans="1:9" ht="21.75" customHeight="1" x14ac:dyDescent="0.25">
      <c r="A488" s="127">
        <v>44716</v>
      </c>
      <c r="B488" s="128" t="s">
        <v>18299</v>
      </c>
      <c r="C488" s="129" t="s">
        <v>10190</v>
      </c>
      <c r="D488" s="130">
        <v>828</v>
      </c>
      <c r="E488" s="131">
        <v>44717</v>
      </c>
      <c r="F488" s="132">
        <v>828</v>
      </c>
      <c r="G488" s="133">
        <f>Tabla147[[#This Row],[Importe]]-Tabla147[[#This Row],[Pagado]]</f>
        <v>0</v>
      </c>
      <c r="H488" s="134" t="s">
        <v>10</v>
      </c>
      <c r="I488" s="135"/>
    </row>
    <row r="489" spans="1:9" ht="21.75" customHeight="1" x14ac:dyDescent="0.25">
      <c r="A489" s="127">
        <v>44716</v>
      </c>
      <c r="B489" s="128" t="s">
        <v>18300</v>
      </c>
      <c r="C489" s="129" t="s">
        <v>51</v>
      </c>
      <c r="D489" s="130">
        <v>5199.3999999999996</v>
      </c>
      <c r="E489" s="131">
        <v>44716</v>
      </c>
      <c r="F489" s="132">
        <v>5199.3999999999996</v>
      </c>
      <c r="G489" s="133">
        <f>Tabla147[[#This Row],[Importe]]-Tabla147[[#This Row],[Pagado]]</f>
        <v>0</v>
      </c>
      <c r="H489" s="134" t="s">
        <v>10</v>
      </c>
      <c r="I489" s="135"/>
    </row>
    <row r="490" spans="1:9" ht="21.75" customHeight="1" x14ac:dyDescent="0.25">
      <c r="A490" s="127">
        <v>44716</v>
      </c>
      <c r="B490" s="128" t="s">
        <v>18301</v>
      </c>
      <c r="C490" s="129" t="s">
        <v>71</v>
      </c>
      <c r="D490" s="130">
        <v>851</v>
      </c>
      <c r="E490" s="131">
        <v>44716</v>
      </c>
      <c r="F490" s="132">
        <v>851</v>
      </c>
      <c r="G490" s="133">
        <f>Tabla147[[#This Row],[Importe]]-Tabla147[[#This Row],[Pagado]]</f>
        <v>0</v>
      </c>
      <c r="H490" s="134" t="s">
        <v>10</v>
      </c>
      <c r="I490" s="135"/>
    </row>
    <row r="491" spans="1:9" ht="21.75" customHeight="1" x14ac:dyDescent="0.25">
      <c r="A491" s="127">
        <v>44716</v>
      </c>
      <c r="B491" s="128" t="s">
        <v>18302</v>
      </c>
      <c r="C491" s="129" t="s">
        <v>6528</v>
      </c>
      <c r="D491" s="130">
        <v>20000.169999999998</v>
      </c>
      <c r="E491" s="131">
        <v>44716</v>
      </c>
      <c r="F491" s="132">
        <v>20000.169999999998</v>
      </c>
      <c r="G491" s="133">
        <f>Tabla147[[#This Row],[Importe]]-Tabla147[[#This Row],[Pagado]]</f>
        <v>0</v>
      </c>
      <c r="H491" s="134" t="s">
        <v>10</v>
      </c>
      <c r="I491" s="135"/>
    </row>
    <row r="492" spans="1:9" ht="21.75" customHeight="1" x14ac:dyDescent="0.25">
      <c r="A492" s="127">
        <v>44716</v>
      </c>
      <c r="B492" s="128" t="s">
        <v>18303</v>
      </c>
      <c r="C492" s="129" t="s">
        <v>463</v>
      </c>
      <c r="D492" s="130">
        <v>550</v>
      </c>
      <c r="E492" s="131">
        <v>44716</v>
      </c>
      <c r="F492" s="132">
        <v>550</v>
      </c>
      <c r="G492" s="133">
        <f>Tabla147[[#This Row],[Importe]]-Tabla147[[#This Row],[Pagado]]</f>
        <v>0</v>
      </c>
      <c r="H492" s="134" t="s">
        <v>10</v>
      </c>
      <c r="I492" s="135"/>
    </row>
    <row r="493" spans="1:9" ht="21.75" customHeight="1" x14ac:dyDescent="0.25">
      <c r="A493" s="127">
        <v>44716</v>
      </c>
      <c r="B493" s="128" t="s">
        <v>18304</v>
      </c>
      <c r="C493" s="129" t="s">
        <v>459</v>
      </c>
      <c r="D493" s="130">
        <v>213</v>
      </c>
      <c r="E493" s="131">
        <v>44716</v>
      </c>
      <c r="F493" s="132">
        <v>213</v>
      </c>
      <c r="G493" s="133">
        <f>Tabla147[[#This Row],[Importe]]-Tabla147[[#This Row],[Pagado]]</f>
        <v>0</v>
      </c>
      <c r="H493" s="134" t="s">
        <v>10</v>
      </c>
      <c r="I493" s="135"/>
    </row>
    <row r="494" spans="1:9" ht="21.75" customHeight="1" x14ac:dyDescent="0.25">
      <c r="A494" s="127">
        <v>44716</v>
      </c>
      <c r="B494" s="128" t="s">
        <v>18305</v>
      </c>
      <c r="C494" s="129" t="s">
        <v>457</v>
      </c>
      <c r="D494" s="130">
        <v>198</v>
      </c>
      <c r="E494" s="131">
        <v>44716</v>
      </c>
      <c r="F494" s="132">
        <v>198</v>
      </c>
      <c r="G494" s="133">
        <f>Tabla147[[#This Row],[Importe]]-Tabla147[[#This Row],[Pagado]]</f>
        <v>0</v>
      </c>
      <c r="H494" s="134" t="s">
        <v>10</v>
      </c>
      <c r="I494" s="135"/>
    </row>
    <row r="495" spans="1:9" ht="21.75" customHeight="1" x14ac:dyDescent="0.25">
      <c r="A495" s="127">
        <v>44716</v>
      </c>
      <c r="B495" s="128" t="s">
        <v>18306</v>
      </c>
      <c r="C495" s="129" t="s">
        <v>461</v>
      </c>
      <c r="D495" s="130">
        <v>394</v>
      </c>
      <c r="E495" s="131">
        <v>44716</v>
      </c>
      <c r="F495" s="132">
        <v>394</v>
      </c>
      <c r="G495" s="133">
        <f>Tabla147[[#This Row],[Importe]]-Tabla147[[#This Row],[Pagado]]</f>
        <v>0</v>
      </c>
      <c r="H495" s="134" t="s">
        <v>10</v>
      </c>
      <c r="I495" s="135"/>
    </row>
    <row r="496" spans="1:9" ht="21.75" customHeight="1" x14ac:dyDescent="0.25">
      <c r="A496" s="127">
        <v>44716</v>
      </c>
      <c r="B496" s="128" t="s">
        <v>18307</v>
      </c>
      <c r="C496" s="129" t="s">
        <v>31</v>
      </c>
      <c r="D496" s="130">
        <v>492.8</v>
      </c>
      <c r="E496" s="131">
        <v>44716</v>
      </c>
      <c r="F496" s="132">
        <v>492.8</v>
      </c>
      <c r="G496" s="133">
        <f>Tabla147[[#This Row],[Importe]]-Tabla147[[#This Row],[Pagado]]</f>
        <v>0</v>
      </c>
      <c r="H496" s="134" t="s">
        <v>10</v>
      </c>
      <c r="I496" s="135"/>
    </row>
    <row r="497" spans="1:9" ht="21.75" customHeight="1" x14ac:dyDescent="0.25">
      <c r="A497" s="127">
        <v>44716</v>
      </c>
      <c r="B497" s="128" t="s">
        <v>18308</v>
      </c>
      <c r="C497" s="129" t="s">
        <v>31</v>
      </c>
      <c r="D497" s="130">
        <v>910.8</v>
      </c>
      <c r="E497" s="131">
        <v>44716</v>
      </c>
      <c r="F497" s="132">
        <v>910.8</v>
      </c>
      <c r="G497" s="133">
        <f>Tabla147[[#This Row],[Importe]]-Tabla147[[#This Row],[Pagado]]</f>
        <v>0</v>
      </c>
      <c r="H497" s="134" t="s">
        <v>10</v>
      </c>
      <c r="I497" s="135"/>
    </row>
    <row r="498" spans="1:9" ht="21.75" customHeight="1" x14ac:dyDescent="0.25">
      <c r="A498" s="127">
        <v>44716</v>
      </c>
      <c r="B498" s="128" t="s">
        <v>18309</v>
      </c>
      <c r="C498" s="129" t="s">
        <v>87</v>
      </c>
      <c r="D498" s="130">
        <v>3877</v>
      </c>
      <c r="E498" s="131">
        <v>44718</v>
      </c>
      <c r="F498" s="132">
        <v>3877</v>
      </c>
      <c r="G498" s="133">
        <f>Tabla147[[#This Row],[Importe]]-Tabla147[[#This Row],[Pagado]]</f>
        <v>0</v>
      </c>
      <c r="H498" s="134" t="s">
        <v>10</v>
      </c>
      <c r="I498" s="135"/>
    </row>
    <row r="499" spans="1:9" ht="21.75" customHeight="1" x14ac:dyDescent="0.25">
      <c r="A499" s="127">
        <v>44716</v>
      </c>
      <c r="B499" s="128" t="s">
        <v>18310</v>
      </c>
      <c r="C499" s="129" t="s">
        <v>314</v>
      </c>
      <c r="D499" s="130">
        <v>4454.3999999999996</v>
      </c>
      <c r="E499" s="131">
        <v>44718</v>
      </c>
      <c r="F499" s="132">
        <v>4454.3999999999996</v>
      </c>
      <c r="G499" s="133">
        <f>Tabla147[[#This Row],[Importe]]-Tabla147[[#This Row],[Pagado]]</f>
        <v>0</v>
      </c>
      <c r="H499" s="134" t="s">
        <v>10</v>
      </c>
      <c r="I499" s="135"/>
    </row>
    <row r="500" spans="1:9" ht="21.75" customHeight="1" x14ac:dyDescent="0.25">
      <c r="A500" s="127">
        <v>44716</v>
      </c>
      <c r="B500" s="128" t="s">
        <v>18311</v>
      </c>
      <c r="C500" s="129" t="s">
        <v>857</v>
      </c>
      <c r="D500" s="130">
        <v>1218.2</v>
      </c>
      <c r="E500" s="131">
        <v>44716</v>
      </c>
      <c r="F500" s="132">
        <v>1218.2</v>
      </c>
      <c r="G500" s="133">
        <f>Tabla147[[#This Row],[Importe]]-Tabla147[[#This Row],[Pagado]]</f>
        <v>0</v>
      </c>
      <c r="H500" s="134" t="s">
        <v>10</v>
      </c>
      <c r="I500" s="135"/>
    </row>
    <row r="501" spans="1:9" ht="21.75" customHeight="1" x14ac:dyDescent="0.25">
      <c r="A501" s="127">
        <v>44716</v>
      </c>
      <c r="B501" s="128" t="s">
        <v>18312</v>
      </c>
      <c r="C501" s="129" t="s">
        <v>179</v>
      </c>
      <c r="D501" s="130">
        <v>1164.8</v>
      </c>
      <c r="E501" s="131">
        <v>44718</v>
      </c>
      <c r="F501" s="132">
        <v>1164.8</v>
      </c>
      <c r="G501" s="133">
        <f>Tabla147[[#This Row],[Importe]]-Tabla147[[#This Row],[Pagado]]</f>
        <v>0</v>
      </c>
      <c r="H501" s="134" t="s">
        <v>10</v>
      </c>
      <c r="I501" s="135"/>
    </row>
    <row r="502" spans="1:9" ht="21.75" customHeight="1" x14ac:dyDescent="0.25">
      <c r="A502" s="127">
        <v>44716</v>
      </c>
      <c r="B502" s="128" t="s">
        <v>18313</v>
      </c>
      <c r="C502" s="129" t="s">
        <v>698</v>
      </c>
      <c r="D502" s="130">
        <v>2891.9</v>
      </c>
      <c r="E502" s="131">
        <v>44716</v>
      </c>
      <c r="F502" s="132">
        <v>2891.9</v>
      </c>
      <c r="G502" s="133">
        <f>Tabla147[[#This Row],[Importe]]-Tabla147[[#This Row],[Pagado]]</f>
        <v>0</v>
      </c>
      <c r="H502" s="134" t="s">
        <v>10</v>
      </c>
      <c r="I502" s="135"/>
    </row>
    <row r="503" spans="1:9" ht="21.75" customHeight="1" x14ac:dyDescent="0.25">
      <c r="A503" s="127">
        <v>44716</v>
      </c>
      <c r="B503" s="128" t="s">
        <v>18314</v>
      </c>
      <c r="C503" s="129" t="s">
        <v>6252</v>
      </c>
      <c r="D503" s="130">
        <v>0</v>
      </c>
      <c r="E503" s="136" t="s">
        <v>189</v>
      </c>
      <c r="F503" s="132">
        <v>0</v>
      </c>
      <c r="G503" s="133">
        <f>Tabla147[[#This Row],[Importe]]-Tabla147[[#This Row],[Pagado]]</f>
        <v>0</v>
      </c>
      <c r="H503" s="134" t="s">
        <v>189</v>
      </c>
      <c r="I503" s="135"/>
    </row>
    <row r="504" spans="1:9" ht="21.75" customHeight="1" x14ac:dyDescent="0.25">
      <c r="A504" s="127">
        <v>44716</v>
      </c>
      <c r="B504" s="128" t="s">
        <v>18315</v>
      </c>
      <c r="C504" s="129" t="s">
        <v>31</v>
      </c>
      <c r="D504" s="130">
        <v>747.3</v>
      </c>
      <c r="E504" s="131">
        <v>44718</v>
      </c>
      <c r="F504" s="132">
        <v>747.3</v>
      </c>
      <c r="G504" s="133">
        <f>Tabla147[[#This Row],[Importe]]-Tabla147[[#This Row],[Pagado]]</f>
        <v>0</v>
      </c>
      <c r="H504" s="134" t="s">
        <v>10</v>
      </c>
      <c r="I504" s="135"/>
    </row>
    <row r="505" spans="1:9" ht="21.75" customHeight="1" x14ac:dyDescent="0.25">
      <c r="A505" s="127">
        <v>44716</v>
      </c>
      <c r="B505" s="128" t="s">
        <v>18316</v>
      </c>
      <c r="C505" s="129" t="s">
        <v>69</v>
      </c>
      <c r="D505" s="130">
        <v>6118.4</v>
      </c>
      <c r="E505" s="131">
        <v>44716</v>
      </c>
      <c r="F505" s="132">
        <v>6118.4</v>
      </c>
      <c r="G505" s="133">
        <f>Tabla147[[#This Row],[Importe]]-Tabla147[[#This Row],[Pagado]]</f>
        <v>0</v>
      </c>
      <c r="H505" s="134" t="s">
        <v>10</v>
      </c>
      <c r="I505" s="135"/>
    </row>
    <row r="506" spans="1:9" ht="21.75" customHeight="1" x14ac:dyDescent="0.25">
      <c r="A506" s="127">
        <v>44716</v>
      </c>
      <c r="B506" s="128" t="s">
        <v>18317</v>
      </c>
      <c r="C506" s="129" t="s">
        <v>442</v>
      </c>
      <c r="D506" s="130">
        <v>30725.1</v>
      </c>
      <c r="E506" s="131">
        <v>44716</v>
      </c>
      <c r="F506" s="132">
        <v>30725.1</v>
      </c>
      <c r="G506" s="133">
        <f>Tabla147[[#This Row],[Importe]]-Tabla147[[#This Row],[Pagado]]</f>
        <v>0</v>
      </c>
      <c r="H506" s="134" t="s">
        <v>10</v>
      </c>
      <c r="I506" s="135"/>
    </row>
    <row r="507" spans="1:9" ht="21.75" customHeight="1" x14ac:dyDescent="0.25">
      <c r="A507" s="127">
        <v>44716</v>
      </c>
      <c r="B507" s="128" t="s">
        <v>18318</v>
      </c>
      <c r="C507" s="129" t="s">
        <v>31</v>
      </c>
      <c r="D507" s="130">
        <v>172.8</v>
      </c>
      <c r="E507" s="131">
        <v>44716</v>
      </c>
      <c r="F507" s="132">
        <v>172.8</v>
      </c>
      <c r="G507" s="133">
        <f>Tabla147[[#This Row],[Importe]]-Tabla147[[#This Row],[Pagado]]</f>
        <v>0</v>
      </c>
      <c r="H507" s="134" t="s">
        <v>10</v>
      </c>
      <c r="I507" s="135"/>
    </row>
    <row r="508" spans="1:9" ht="21.75" customHeight="1" x14ac:dyDescent="0.25">
      <c r="A508" s="127">
        <v>44716</v>
      </c>
      <c r="B508" s="128" t="s">
        <v>18319</v>
      </c>
      <c r="C508" s="129" t="s">
        <v>610</v>
      </c>
      <c r="D508" s="130">
        <v>4294.3999999999996</v>
      </c>
      <c r="E508" s="131">
        <v>44716</v>
      </c>
      <c r="F508" s="132">
        <v>4294.3999999999996</v>
      </c>
      <c r="G508" s="133">
        <f>Tabla147[[#This Row],[Importe]]-Tabla147[[#This Row],[Pagado]]</f>
        <v>0</v>
      </c>
      <c r="H508" s="134" t="s">
        <v>10</v>
      </c>
      <c r="I508" s="135"/>
    </row>
    <row r="509" spans="1:9" ht="21.75" customHeight="1" x14ac:dyDescent="0.25">
      <c r="A509" s="127">
        <v>44716</v>
      </c>
      <c r="B509" s="128" t="s">
        <v>18320</v>
      </c>
      <c r="C509" s="129" t="s">
        <v>31</v>
      </c>
      <c r="D509" s="130">
        <v>433.2</v>
      </c>
      <c r="E509" s="131">
        <v>44716</v>
      </c>
      <c r="F509" s="132">
        <v>433.2</v>
      </c>
      <c r="G509" s="133">
        <f>Tabla147[[#This Row],[Importe]]-Tabla147[[#This Row],[Pagado]]</f>
        <v>0</v>
      </c>
      <c r="H509" s="134" t="s">
        <v>10</v>
      </c>
      <c r="I509" s="135"/>
    </row>
    <row r="510" spans="1:9" ht="21.75" customHeight="1" x14ac:dyDescent="0.25">
      <c r="A510" s="127">
        <v>44716</v>
      </c>
      <c r="B510" s="128" t="s">
        <v>18321</v>
      </c>
      <c r="C510" s="129" t="s">
        <v>196</v>
      </c>
      <c r="D510" s="130">
        <v>3658</v>
      </c>
      <c r="E510" s="131">
        <v>44722</v>
      </c>
      <c r="F510" s="132">
        <v>3658</v>
      </c>
      <c r="G510" s="133">
        <f>Tabla147[[#This Row],[Importe]]-Tabla147[[#This Row],[Pagado]]</f>
        <v>0</v>
      </c>
      <c r="H510" s="134" t="s">
        <v>10</v>
      </c>
      <c r="I510" s="135"/>
    </row>
    <row r="511" spans="1:9" ht="21.75" customHeight="1" x14ac:dyDescent="0.25">
      <c r="A511" s="127">
        <v>44716</v>
      </c>
      <c r="B511" s="128" t="s">
        <v>18322</v>
      </c>
      <c r="C511" s="129" t="s">
        <v>31</v>
      </c>
      <c r="D511" s="130">
        <v>176</v>
      </c>
      <c r="E511" s="131">
        <v>44716</v>
      </c>
      <c r="F511" s="132">
        <v>176</v>
      </c>
      <c r="G511" s="133">
        <f>Tabla147[[#This Row],[Importe]]-Tabla147[[#This Row],[Pagado]]</f>
        <v>0</v>
      </c>
      <c r="H511" s="134" t="s">
        <v>10</v>
      </c>
      <c r="I511" s="135"/>
    </row>
    <row r="512" spans="1:9" ht="21.75" customHeight="1" x14ac:dyDescent="0.25">
      <c r="A512" s="127">
        <v>44716</v>
      </c>
      <c r="B512" s="128" t="s">
        <v>18323</v>
      </c>
      <c r="C512" s="129" t="s">
        <v>67</v>
      </c>
      <c r="D512" s="130">
        <v>1214.4000000000001</v>
      </c>
      <c r="E512" s="131">
        <v>44716</v>
      </c>
      <c r="F512" s="132">
        <v>1214.4000000000001</v>
      </c>
      <c r="G512" s="133">
        <f>Tabla147[[#This Row],[Importe]]-Tabla147[[#This Row],[Pagado]]</f>
        <v>0</v>
      </c>
      <c r="H512" s="134" t="s">
        <v>10</v>
      </c>
      <c r="I512" s="135"/>
    </row>
    <row r="513" spans="1:9" ht="21.75" customHeight="1" x14ac:dyDescent="0.25">
      <c r="A513" s="127">
        <v>44716</v>
      </c>
      <c r="B513" s="128" t="s">
        <v>18324</v>
      </c>
      <c r="C513" s="129" t="s">
        <v>135</v>
      </c>
      <c r="D513" s="130">
        <v>1355.5</v>
      </c>
      <c r="E513" s="131">
        <v>44718</v>
      </c>
      <c r="F513" s="132">
        <v>1355.5</v>
      </c>
      <c r="G513" s="133">
        <f>Tabla147[[#This Row],[Importe]]-Tabla147[[#This Row],[Pagado]]</f>
        <v>0</v>
      </c>
      <c r="H513" s="134" t="s">
        <v>10</v>
      </c>
      <c r="I513" s="135"/>
    </row>
    <row r="514" spans="1:9" ht="21.75" customHeight="1" x14ac:dyDescent="0.25">
      <c r="A514" s="127">
        <v>44717</v>
      </c>
      <c r="B514" s="128" t="s">
        <v>18325</v>
      </c>
      <c r="C514" s="129" t="s">
        <v>481</v>
      </c>
      <c r="D514" s="130">
        <v>1727.2</v>
      </c>
      <c r="E514" s="131">
        <v>44717</v>
      </c>
      <c r="F514" s="132">
        <v>1727.2</v>
      </c>
      <c r="G514" s="133">
        <f>Tabla147[[#This Row],[Importe]]-Tabla147[[#This Row],[Pagado]]</f>
        <v>0</v>
      </c>
      <c r="H514" s="134" t="s">
        <v>10</v>
      </c>
      <c r="I514" s="135"/>
    </row>
    <row r="515" spans="1:9" ht="21.75" customHeight="1" x14ac:dyDescent="0.25">
      <c r="A515" s="127">
        <v>44717</v>
      </c>
      <c r="B515" s="128" t="s">
        <v>18326</v>
      </c>
      <c r="C515" s="129" t="s">
        <v>9</v>
      </c>
      <c r="D515" s="130">
        <v>6948.9</v>
      </c>
      <c r="E515" s="131">
        <v>44717</v>
      </c>
      <c r="F515" s="132">
        <v>6948.9</v>
      </c>
      <c r="G515" s="133">
        <f>Tabla147[[#This Row],[Importe]]-Tabla147[[#This Row],[Pagado]]</f>
        <v>0</v>
      </c>
      <c r="H515" s="134" t="s">
        <v>10</v>
      </c>
      <c r="I515" s="135"/>
    </row>
    <row r="516" spans="1:9" ht="31.5" x14ac:dyDescent="0.25">
      <c r="A516" s="127">
        <v>44717</v>
      </c>
      <c r="B516" s="128" t="s">
        <v>18327</v>
      </c>
      <c r="C516" s="129" t="s">
        <v>475</v>
      </c>
      <c r="D516" s="130">
        <v>63191</v>
      </c>
      <c r="E516" s="131" t="s">
        <v>18328</v>
      </c>
      <c r="F516" s="132">
        <f>40000+23191</f>
        <v>63191</v>
      </c>
      <c r="G516" s="133">
        <f>Tabla147[[#This Row],[Importe]]-Tabla147[[#This Row],[Pagado]]</f>
        <v>0</v>
      </c>
      <c r="H516" s="134" t="s">
        <v>10</v>
      </c>
      <c r="I516" s="135"/>
    </row>
    <row r="517" spans="1:9" ht="21.75" customHeight="1" x14ac:dyDescent="0.25">
      <c r="A517" s="127">
        <v>44717</v>
      </c>
      <c r="B517" s="128" t="s">
        <v>18329</v>
      </c>
      <c r="C517" s="129" t="s">
        <v>56</v>
      </c>
      <c r="D517" s="130">
        <v>5361.3</v>
      </c>
      <c r="E517" s="131">
        <v>44717</v>
      </c>
      <c r="F517" s="132">
        <v>5361.3</v>
      </c>
      <c r="G517" s="133">
        <f>Tabla147[[#This Row],[Importe]]-Tabla147[[#This Row],[Pagado]]</f>
        <v>0</v>
      </c>
      <c r="H517" s="134" t="s">
        <v>10</v>
      </c>
      <c r="I517" s="135"/>
    </row>
    <row r="518" spans="1:9" ht="21.75" customHeight="1" x14ac:dyDescent="0.25">
      <c r="A518" s="127">
        <v>44717</v>
      </c>
      <c r="B518" s="128" t="s">
        <v>18330</v>
      </c>
      <c r="C518" s="129" t="s">
        <v>56</v>
      </c>
      <c r="D518" s="130">
        <v>1107.2</v>
      </c>
      <c r="E518" s="131">
        <v>44717</v>
      </c>
      <c r="F518" s="132">
        <v>1107.2</v>
      </c>
      <c r="G518" s="133">
        <f>Tabla147[[#This Row],[Importe]]-Tabla147[[#This Row],[Pagado]]</f>
        <v>0</v>
      </c>
      <c r="H518" s="134" t="s">
        <v>10</v>
      </c>
      <c r="I518" s="135"/>
    </row>
    <row r="519" spans="1:9" ht="21.75" customHeight="1" x14ac:dyDescent="0.25">
      <c r="A519" s="127">
        <v>44717</v>
      </c>
      <c r="B519" s="128" t="s">
        <v>18331</v>
      </c>
      <c r="C519" s="129" t="s">
        <v>16</v>
      </c>
      <c r="D519" s="130">
        <v>9428</v>
      </c>
      <c r="E519" s="131">
        <v>44717</v>
      </c>
      <c r="F519" s="132">
        <v>9428</v>
      </c>
      <c r="G519" s="133">
        <f>Tabla147[[#This Row],[Importe]]-Tabla147[[#This Row],[Pagado]]</f>
        <v>0</v>
      </c>
      <c r="H519" s="134" t="s">
        <v>10</v>
      </c>
      <c r="I519" s="135"/>
    </row>
    <row r="520" spans="1:9" ht="21.75" customHeight="1" x14ac:dyDescent="0.25">
      <c r="A520" s="127">
        <v>44717</v>
      </c>
      <c r="B520" s="128" t="s">
        <v>18332</v>
      </c>
      <c r="C520" s="129" t="s">
        <v>33</v>
      </c>
      <c r="D520" s="130">
        <v>17362.400000000001</v>
      </c>
      <c r="E520" s="131">
        <v>44717</v>
      </c>
      <c r="F520" s="132">
        <v>17362.400000000001</v>
      </c>
      <c r="G520" s="133">
        <f>Tabla147[[#This Row],[Importe]]-Tabla147[[#This Row],[Pagado]]</f>
        <v>0</v>
      </c>
      <c r="H520" s="134" t="s">
        <v>10</v>
      </c>
      <c r="I520" s="135"/>
    </row>
    <row r="521" spans="1:9" ht="21.75" customHeight="1" x14ac:dyDescent="0.25">
      <c r="A521" s="127">
        <v>44717</v>
      </c>
      <c r="B521" s="128" t="s">
        <v>18333</v>
      </c>
      <c r="C521" s="129" t="s">
        <v>365</v>
      </c>
      <c r="D521" s="130">
        <v>655.5</v>
      </c>
      <c r="E521" s="131">
        <v>44717</v>
      </c>
      <c r="F521" s="132">
        <v>655.5</v>
      </c>
      <c r="G521" s="133">
        <f>Tabla147[[#This Row],[Importe]]-Tabla147[[#This Row],[Pagado]]</f>
        <v>0</v>
      </c>
      <c r="H521" s="134" t="s">
        <v>10</v>
      </c>
      <c r="I521" s="135"/>
    </row>
    <row r="522" spans="1:9" ht="21.75" customHeight="1" x14ac:dyDescent="0.25">
      <c r="A522" s="127">
        <v>44717</v>
      </c>
      <c r="B522" s="128" t="s">
        <v>18334</v>
      </c>
      <c r="C522" s="129" t="s">
        <v>348</v>
      </c>
      <c r="D522" s="130">
        <v>1728.8</v>
      </c>
      <c r="E522" s="131">
        <v>44717</v>
      </c>
      <c r="F522" s="132">
        <v>1728.8</v>
      </c>
      <c r="G522" s="133">
        <f>Tabla147[[#This Row],[Importe]]-Tabla147[[#This Row],[Pagado]]</f>
        <v>0</v>
      </c>
      <c r="H522" s="134" t="s">
        <v>10</v>
      </c>
      <c r="I522" s="135"/>
    </row>
    <row r="523" spans="1:9" ht="21.75" customHeight="1" x14ac:dyDescent="0.25">
      <c r="A523" s="127">
        <v>44717</v>
      </c>
      <c r="B523" s="128" t="s">
        <v>18335</v>
      </c>
      <c r="C523" s="129" t="s">
        <v>872</v>
      </c>
      <c r="D523" s="130">
        <v>3899</v>
      </c>
      <c r="E523" s="131">
        <v>44717</v>
      </c>
      <c r="F523" s="132">
        <v>3899</v>
      </c>
      <c r="G523" s="133">
        <f>Tabla147[[#This Row],[Importe]]-Tabla147[[#This Row],[Pagado]]</f>
        <v>0</v>
      </c>
      <c r="H523" s="134" t="s">
        <v>10</v>
      </c>
      <c r="I523" s="135"/>
    </row>
    <row r="524" spans="1:9" ht="21.75" customHeight="1" x14ac:dyDescent="0.25">
      <c r="A524" s="127">
        <v>44717</v>
      </c>
      <c r="B524" s="128" t="s">
        <v>18336</v>
      </c>
      <c r="C524" s="129" t="s">
        <v>20</v>
      </c>
      <c r="D524" s="130">
        <v>10709.4</v>
      </c>
      <c r="E524" s="131">
        <v>44717</v>
      </c>
      <c r="F524" s="132">
        <v>10709.4</v>
      </c>
      <c r="G524" s="133">
        <f>Tabla147[[#This Row],[Importe]]-Tabla147[[#This Row],[Pagado]]</f>
        <v>0</v>
      </c>
      <c r="H524" s="134" t="s">
        <v>10</v>
      </c>
      <c r="I524" s="135"/>
    </row>
    <row r="525" spans="1:9" ht="21.75" customHeight="1" x14ac:dyDescent="0.25">
      <c r="A525" s="127">
        <v>44717</v>
      </c>
      <c r="B525" s="128" t="s">
        <v>18337</v>
      </c>
      <c r="C525" s="129" t="s">
        <v>22</v>
      </c>
      <c r="D525" s="130">
        <v>22913</v>
      </c>
      <c r="E525" s="131">
        <v>44718</v>
      </c>
      <c r="F525" s="132">
        <v>22913</v>
      </c>
      <c r="G525" s="133">
        <f>Tabla147[[#This Row],[Importe]]-Tabla147[[#This Row],[Pagado]]</f>
        <v>0</v>
      </c>
      <c r="H525" s="134" t="s">
        <v>10</v>
      </c>
      <c r="I525" s="135"/>
    </row>
    <row r="526" spans="1:9" ht="21.75" customHeight="1" x14ac:dyDescent="0.25">
      <c r="A526" s="127">
        <v>44717</v>
      </c>
      <c r="B526" s="128" t="s">
        <v>18338</v>
      </c>
      <c r="C526" s="129" t="s">
        <v>27</v>
      </c>
      <c r="D526" s="130">
        <v>620.4</v>
      </c>
      <c r="E526" s="131">
        <v>44717</v>
      </c>
      <c r="F526" s="132">
        <v>620.4</v>
      </c>
      <c r="G526" s="133">
        <f>Tabla147[[#This Row],[Importe]]-Tabla147[[#This Row],[Pagado]]</f>
        <v>0</v>
      </c>
      <c r="H526" s="134" t="s">
        <v>10</v>
      </c>
      <c r="I526" s="135"/>
    </row>
    <row r="527" spans="1:9" ht="21.75" customHeight="1" x14ac:dyDescent="0.25">
      <c r="A527" s="127">
        <v>44717</v>
      </c>
      <c r="B527" s="128" t="s">
        <v>18339</v>
      </c>
      <c r="C527" s="129" t="s">
        <v>22</v>
      </c>
      <c r="D527" s="130">
        <v>3201.2</v>
      </c>
      <c r="E527" s="131">
        <v>44718</v>
      </c>
      <c r="F527" s="132">
        <v>3201.2</v>
      </c>
      <c r="G527" s="133">
        <f>Tabla147[[#This Row],[Importe]]-Tabla147[[#This Row],[Pagado]]</f>
        <v>0</v>
      </c>
      <c r="H527" s="134" t="s">
        <v>10</v>
      </c>
      <c r="I527" s="135"/>
    </row>
    <row r="528" spans="1:9" ht="21.75" customHeight="1" x14ac:dyDescent="0.25">
      <c r="A528" s="127">
        <v>44717</v>
      </c>
      <c r="B528" s="128" t="s">
        <v>18340</v>
      </c>
      <c r="C528" s="129" t="s">
        <v>51</v>
      </c>
      <c r="D528" s="130">
        <v>507</v>
      </c>
      <c r="E528" s="131">
        <v>44717</v>
      </c>
      <c r="F528" s="132">
        <v>507</v>
      </c>
      <c r="G528" s="133">
        <f>Tabla147[[#This Row],[Importe]]-Tabla147[[#This Row],[Pagado]]</f>
        <v>0</v>
      </c>
      <c r="H528" s="134" t="s">
        <v>10</v>
      </c>
      <c r="I528" s="135"/>
    </row>
    <row r="529" spans="1:9" ht="21.75" customHeight="1" x14ac:dyDescent="0.25">
      <c r="A529" s="127">
        <v>44717</v>
      </c>
      <c r="B529" s="128" t="s">
        <v>18341</v>
      </c>
      <c r="C529" s="129" t="s">
        <v>216</v>
      </c>
      <c r="D529" s="130">
        <v>2617.6</v>
      </c>
      <c r="E529" s="131">
        <v>44717</v>
      </c>
      <c r="F529" s="132">
        <v>2617.6</v>
      </c>
      <c r="G529" s="133">
        <f>Tabla147[[#This Row],[Importe]]-Tabla147[[#This Row],[Pagado]]</f>
        <v>0</v>
      </c>
      <c r="H529" s="134" t="s">
        <v>10</v>
      </c>
      <c r="I529" s="135"/>
    </row>
    <row r="530" spans="1:9" ht="21.75" customHeight="1" x14ac:dyDescent="0.25">
      <c r="A530" s="127">
        <v>44717</v>
      </c>
      <c r="B530" s="128" t="s">
        <v>18342</v>
      </c>
      <c r="C530" s="129" t="s">
        <v>373</v>
      </c>
      <c r="D530" s="130">
        <v>3332.7</v>
      </c>
      <c r="E530" s="131">
        <v>44717</v>
      </c>
      <c r="F530" s="132">
        <v>3332.7</v>
      </c>
      <c r="G530" s="133">
        <f>Tabla147[[#This Row],[Importe]]-Tabla147[[#This Row],[Pagado]]</f>
        <v>0</v>
      </c>
      <c r="H530" s="134" t="s">
        <v>10</v>
      </c>
      <c r="I530" s="135"/>
    </row>
    <row r="531" spans="1:9" ht="21.75" customHeight="1" x14ac:dyDescent="0.25">
      <c r="A531" s="127">
        <v>44717</v>
      </c>
      <c r="B531" s="128" t="s">
        <v>18343</v>
      </c>
      <c r="C531" s="129" t="s">
        <v>37</v>
      </c>
      <c r="D531" s="130">
        <v>2391.1</v>
      </c>
      <c r="E531" s="131">
        <v>44717</v>
      </c>
      <c r="F531" s="132">
        <v>2391.1</v>
      </c>
      <c r="G531" s="133">
        <f>Tabla147[[#This Row],[Importe]]-Tabla147[[#This Row],[Pagado]]</f>
        <v>0</v>
      </c>
      <c r="H531" s="134" t="s">
        <v>10</v>
      </c>
      <c r="I531" s="135"/>
    </row>
    <row r="532" spans="1:9" ht="21.75" customHeight="1" x14ac:dyDescent="0.25">
      <c r="A532" s="127">
        <v>44717</v>
      </c>
      <c r="B532" s="128" t="s">
        <v>18344</v>
      </c>
      <c r="C532" s="129" t="s">
        <v>35</v>
      </c>
      <c r="D532" s="130">
        <v>3573.8</v>
      </c>
      <c r="E532" s="131">
        <v>44717</v>
      </c>
      <c r="F532" s="132">
        <v>3573.8</v>
      </c>
      <c r="G532" s="133">
        <f>Tabla147[[#This Row],[Importe]]-Tabla147[[#This Row],[Pagado]]</f>
        <v>0</v>
      </c>
      <c r="H532" s="134" t="s">
        <v>10</v>
      </c>
      <c r="I532" s="135"/>
    </row>
    <row r="533" spans="1:9" ht="21.75" customHeight="1" x14ac:dyDescent="0.25">
      <c r="A533" s="127">
        <v>44717</v>
      </c>
      <c r="B533" s="128" t="s">
        <v>18345</v>
      </c>
      <c r="C533" s="129" t="s">
        <v>35</v>
      </c>
      <c r="D533" s="130">
        <v>664.2</v>
      </c>
      <c r="E533" s="131">
        <v>44717</v>
      </c>
      <c r="F533" s="132">
        <v>664.2</v>
      </c>
      <c r="G533" s="133">
        <f>Tabla147[[#This Row],[Importe]]-Tabla147[[#This Row],[Pagado]]</f>
        <v>0</v>
      </c>
      <c r="H533" s="134" t="s">
        <v>10</v>
      </c>
      <c r="I533" s="135"/>
    </row>
    <row r="534" spans="1:9" ht="21.75" customHeight="1" x14ac:dyDescent="0.25">
      <c r="A534" s="127">
        <v>44717</v>
      </c>
      <c r="B534" s="128" t="s">
        <v>18346</v>
      </c>
      <c r="C534" s="129" t="s">
        <v>15039</v>
      </c>
      <c r="D534" s="130">
        <v>3542</v>
      </c>
      <c r="E534" s="131">
        <v>44717</v>
      </c>
      <c r="F534" s="132">
        <v>3542</v>
      </c>
      <c r="G534" s="133">
        <f>Tabla147[[#This Row],[Importe]]-Tabla147[[#This Row],[Pagado]]</f>
        <v>0</v>
      </c>
      <c r="H534" s="134" t="s">
        <v>10</v>
      </c>
      <c r="I534" s="135"/>
    </row>
    <row r="535" spans="1:9" ht="21.75" customHeight="1" x14ac:dyDescent="0.25">
      <c r="A535" s="127">
        <v>44717</v>
      </c>
      <c r="B535" s="128" t="s">
        <v>18347</v>
      </c>
      <c r="C535" s="129" t="s">
        <v>29</v>
      </c>
      <c r="D535" s="130">
        <v>9856</v>
      </c>
      <c r="E535" s="131">
        <v>44717</v>
      </c>
      <c r="F535" s="132">
        <v>9856</v>
      </c>
      <c r="G535" s="133">
        <f>Tabla147[[#This Row],[Importe]]-Tabla147[[#This Row],[Pagado]]</f>
        <v>0</v>
      </c>
      <c r="H535" s="134" t="s">
        <v>10</v>
      </c>
      <c r="I535" s="135"/>
    </row>
    <row r="536" spans="1:9" ht="21.75" customHeight="1" x14ac:dyDescent="0.25">
      <c r="A536" s="127">
        <v>44717</v>
      </c>
      <c r="B536" s="128" t="s">
        <v>18348</v>
      </c>
      <c r="C536" s="129" t="s">
        <v>31</v>
      </c>
      <c r="D536" s="130">
        <v>442</v>
      </c>
      <c r="E536" s="131">
        <v>44717</v>
      </c>
      <c r="F536" s="132">
        <v>442</v>
      </c>
      <c r="G536" s="133">
        <f>Tabla147[[#This Row],[Importe]]-Tabla147[[#This Row],[Pagado]]</f>
        <v>0</v>
      </c>
      <c r="H536" s="134" t="s">
        <v>10</v>
      </c>
      <c r="I536" s="135"/>
    </row>
    <row r="537" spans="1:9" ht="21.75" customHeight="1" x14ac:dyDescent="0.25">
      <c r="A537" s="127">
        <v>44717</v>
      </c>
      <c r="B537" s="128" t="s">
        <v>18349</v>
      </c>
      <c r="C537" s="129" t="s">
        <v>815</v>
      </c>
      <c r="D537" s="130">
        <v>1526.4</v>
      </c>
      <c r="E537" s="131">
        <v>44717</v>
      </c>
      <c r="F537" s="132">
        <v>1526.4</v>
      </c>
      <c r="G537" s="133">
        <f>Tabla147[[#This Row],[Importe]]-Tabla147[[#This Row],[Pagado]]</f>
        <v>0</v>
      </c>
      <c r="H537" s="134" t="s">
        <v>10</v>
      </c>
      <c r="I537" s="135"/>
    </row>
    <row r="538" spans="1:9" ht="21.75" customHeight="1" x14ac:dyDescent="0.25">
      <c r="A538" s="127">
        <v>44717</v>
      </c>
      <c r="B538" s="128" t="s">
        <v>18350</v>
      </c>
      <c r="C538" s="129" t="s">
        <v>49</v>
      </c>
      <c r="D538" s="130">
        <v>3410</v>
      </c>
      <c r="E538" s="131">
        <v>44717</v>
      </c>
      <c r="F538" s="132">
        <v>3410</v>
      </c>
      <c r="G538" s="133">
        <f>Tabla147[[#This Row],[Importe]]-Tabla147[[#This Row],[Pagado]]</f>
        <v>0</v>
      </c>
      <c r="H538" s="134" t="s">
        <v>10</v>
      </c>
      <c r="I538" s="135"/>
    </row>
    <row r="539" spans="1:9" ht="21.75" customHeight="1" x14ac:dyDescent="0.25">
      <c r="A539" s="127">
        <v>44717</v>
      </c>
      <c r="B539" s="128" t="s">
        <v>18351</v>
      </c>
      <c r="C539" s="129" t="s">
        <v>49</v>
      </c>
      <c r="D539" s="130">
        <v>642.6</v>
      </c>
      <c r="E539" s="131">
        <v>44717</v>
      </c>
      <c r="F539" s="132">
        <v>642.6</v>
      </c>
      <c r="G539" s="133">
        <f>Tabla147[[#This Row],[Importe]]-Tabla147[[#This Row],[Pagado]]</f>
        <v>0</v>
      </c>
      <c r="H539" s="134" t="s">
        <v>10</v>
      </c>
      <c r="I539" s="135"/>
    </row>
    <row r="540" spans="1:9" ht="21.75" customHeight="1" x14ac:dyDescent="0.25">
      <c r="A540" s="127">
        <v>44717</v>
      </c>
      <c r="B540" s="128" t="s">
        <v>18352</v>
      </c>
      <c r="C540" s="129" t="s">
        <v>24</v>
      </c>
      <c r="D540" s="130">
        <v>4550.3999999999996</v>
      </c>
      <c r="E540" s="131">
        <v>44717</v>
      </c>
      <c r="F540" s="132">
        <v>4550.3999999999996</v>
      </c>
      <c r="G540" s="133">
        <f>Tabla147[[#This Row],[Importe]]-Tabla147[[#This Row],[Pagado]]</f>
        <v>0</v>
      </c>
      <c r="H540" s="134" t="s">
        <v>10</v>
      </c>
      <c r="I540" s="135"/>
    </row>
    <row r="541" spans="1:9" ht="21.75" customHeight="1" x14ac:dyDescent="0.25">
      <c r="A541" s="127">
        <v>44717</v>
      </c>
      <c r="B541" s="128" t="s">
        <v>18353</v>
      </c>
      <c r="C541" s="129" t="s">
        <v>191</v>
      </c>
      <c r="D541" s="130">
        <v>2989</v>
      </c>
      <c r="E541" s="131">
        <v>44717</v>
      </c>
      <c r="F541" s="132">
        <v>2989</v>
      </c>
      <c r="G541" s="133">
        <f>Tabla147[[#This Row],[Importe]]-Tabla147[[#This Row],[Pagado]]</f>
        <v>0</v>
      </c>
      <c r="H541" s="134" t="s">
        <v>10</v>
      </c>
      <c r="I541" s="135"/>
    </row>
    <row r="542" spans="1:9" ht="21.75" customHeight="1" x14ac:dyDescent="0.25">
      <c r="A542" s="127">
        <v>44717</v>
      </c>
      <c r="B542" s="128" t="s">
        <v>18354</v>
      </c>
      <c r="C542" s="129" t="s">
        <v>501</v>
      </c>
      <c r="D542" s="130">
        <v>4860.1000000000004</v>
      </c>
      <c r="E542" s="131">
        <v>44717</v>
      </c>
      <c r="F542" s="132">
        <v>4860.1000000000004</v>
      </c>
      <c r="G542" s="133">
        <f>Tabla147[[#This Row],[Importe]]-Tabla147[[#This Row],[Pagado]]</f>
        <v>0</v>
      </c>
      <c r="H542" s="134" t="s">
        <v>10</v>
      </c>
      <c r="I542" s="135"/>
    </row>
    <row r="543" spans="1:9" ht="21.75" customHeight="1" x14ac:dyDescent="0.25">
      <c r="A543" s="127">
        <v>44717</v>
      </c>
      <c r="B543" s="128" t="s">
        <v>18355</v>
      </c>
      <c r="C543" s="129" t="s">
        <v>12</v>
      </c>
      <c r="D543" s="130">
        <v>6816</v>
      </c>
      <c r="E543" s="131">
        <v>44717</v>
      </c>
      <c r="F543" s="132">
        <v>6816</v>
      </c>
      <c r="G543" s="133">
        <f>Tabla147[[#This Row],[Importe]]-Tabla147[[#This Row],[Pagado]]</f>
        <v>0</v>
      </c>
      <c r="H543" s="134" t="s">
        <v>10</v>
      </c>
      <c r="I543" s="135"/>
    </row>
    <row r="544" spans="1:9" ht="21.75" customHeight="1" x14ac:dyDescent="0.25">
      <c r="A544" s="127">
        <v>44717</v>
      </c>
      <c r="B544" s="128" t="s">
        <v>18356</v>
      </c>
      <c r="C544" s="129" t="s">
        <v>45</v>
      </c>
      <c r="D544" s="130">
        <v>9017.1</v>
      </c>
      <c r="E544" s="131">
        <v>44717</v>
      </c>
      <c r="F544" s="132">
        <v>9017.1</v>
      </c>
      <c r="G544" s="133">
        <f>Tabla147[[#This Row],[Importe]]-Tabla147[[#This Row],[Pagado]]</f>
        <v>0</v>
      </c>
      <c r="H544" s="134" t="s">
        <v>10</v>
      </c>
      <c r="I544" s="135"/>
    </row>
    <row r="545" spans="1:9" ht="21.75" customHeight="1" x14ac:dyDescent="0.25">
      <c r="A545" s="127">
        <v>44717</v>
      </c>
      <c r="B545" s="128" t="s">
        <v>18357</v>
      </c>
      <c r="C545" s="129" t="s">
        <v>15449</v>
      </c>
      <c r="D545" s="130">
        <v>2779</v>
      </c>
      <c r="E545" s="131">
        <v>44717</v>
      </c>
      <c r="F545" s="132">
        <v>2779</v>
      </c>
      <c r="G545" s="133">
        <f>Tabla147[[#This Row],[Importe]]-Tabla147[[#This Row],[Pagado]]</f>
        <v>0</v>
      </c>
      <c r="H545" s="134" t="s">
        <v>10</v>
      </c>
      <c r="I545" s="135"/>
    </row>
    <row r="546" spans="1:9" ht="21.75" customHeight="1" x14ac:dyDescent="0.25">
      <c r="A546" s="127">
        <v>44717</v>
      </c>
      <c r="B546" s="128" t="s">
        <v>18358</v>
      </c>
      <c r="C546" s="129" t="s">
        <v>31</v>
      </c>
      <c r="D546" s="130">
        <v>1171.2</v>
      </c>
      <c r="E546" s="131">
        <v>44717</v>
      </c>
      <c r="F546" s="132">
        <v>1171.2</v>
      </c>
      <c r="G546" s="133">
        <f>Tabla147[[#This Row],[Importe]]-Tabla147[[#This Row],[Pagado]]</f>
        <v>0</v>
      </c>
      <c r="H546" s="134" t="s">
        <v>10</v>
      </c>
      <c r="I546" s="135"/>
    </row>
    <row r="547" spans="1:9" ht="21.75" customHeight="1" x14ac:dyDescent="0.25">
      <c r="A547" s="127">
        <v>44717</v>
      </c>
      <c r="B547" s="128" t="s">
        <v>18359</v>
      </c>
      <c r="C547" s="129" t="s">
        <v>214</v>
      </c>
      <c r="D547" s="130">
        <v>1600</v>
      </c>
      <c r="E547" s="131">
        <v>44717</v>
      </c>
      <c r="F547" s="132">
        <v>1600</v>
      </c>
      <c r="G547" s="133">
        <f>Tabla147[[#This Row],[Importe]]-Tabla147[[#This Row],[Pagado]]</f>
        <v>0</v>
      </c>
      <c r="H547" s="134" t="s">
        <v>10</v>
      </c>
      <c r="I547" s="135"/>
    </row>
    <row r="548" spans="1:9" ht="21.75" customHeight="1" x14ac:dyDescent="0.25">
      <c r="A548" s="127">
        <v>44717</v>
      </c>
      <c r="B548" s="128" t="s">
        <v>18360</v>
      </c>
      <c r="C548" s="129" t="s">
        <v>64</v>
      </c>
      <c r="D548" s="130">
        <v>4280.3999999999996</v>
      </c>
      <c r="E548" s="131">
        <v>44717</v>
      </c>
      <c r="F548" s="132">
        <v>4280.3999999999996</v>
      </c>
      <c r="G548" s="133">
        <f>Tabla147[[#This Row],[Importe]]-Tabla147[[#This Row],[Pagado]]</f>
        <v>0</v>
      </c>
      <c r="H548" s="134" t="s">
        <v>10</v>
      </c>
      <c r="I548" s="135"/>
    </row>
    <row r="549" spans="1:9" ht="21.75" customHeight="1" x14ac:dyDescent="0.25">
      <c r="A549" s="127">
        <v>44717</v>
      </c>
      <c r="B549" s="128" t="s">
        <v>18361</v>
      </c>
      <c r="C549" s="129" t="s">
        <v>226</v>
      </c>
      <c r="D549" s="130">
        <v>11744.8</v>
      </c>
      <c r="E549" s="131">
        <v>44717</v>
      </c>
      <c r="F549" s="132">
        <v>11744.8</v>
      </c>
      <c r="G549" s="133">
        <f>Tabla147[[#This Row],[Importe]]-Tabla147[[#This Row],[Pagado]]</f>
        <v>0</v>
      </c>
      <c r="H549" s="134" t="s">
        <v>10</v>
      </c>
      <c r="I549" s="135"/>
    </row>
    <row r="550" spans="1:9" ht="21.75" customHeight="1" x14ac:dyDescent="0.25">
      <c r="A550" s="127">
        <v>44717</v>
      </c>
      <c r="B550" s="128" t="s">
        <v>18362</v>
      </c>
      <c r="C550" s="129" t="s">
        <v>18363</v>
      </c>
      <c r="D550" s="130">
        <v>11510.4</v>
      </c>
      <c r="E550" s="131">
        <v>44717</v>
      </c>
      <c r="F550" s="132">
        <v>11510.4</v>
      </c>
      <c r="G550" s="133">
        <f>Tabla147[[#This Row],[Importe]]-Tabla147[[#This Row],[Pagado]]</f>
        <v>0</v>
      </c>
      <c r="H550" s="134" t="s">
        <v>10</v>
      </c>
      <c r="I550" s="135"/>
    </row>
    <row r="551" spans="1:9" ht="21.75" customHeight="1" x14ac:dyDescent="0.25">
      <c r="A551" s="127">
        <v>44717</v>
      </c>
      <c r="B551" s="128" t="s">
        <v>18364</v>
      </c>
      <c r="C551" s="129" t="s">
        <v>67</v>
      </c>
      <c r="D551" s="130">
        <v>3400</v>
      </c>
      <c r="E551" s="131">
        <v>44717</v>
      </c>
      <c r="F551" s="132">
        <v>3400</v>
      </c>
      <c r="G551" s="133">
        <f>Tabla147[[#This Row],[Importe]]-Tabla147[[#This Row],[Pagado]]</f>
        <v>0</v>
      </c>
      <c r="H551" s="134" t="s">
        <v>10</v>
      </c>
      <c r="I551" s="135"/>
    </row>
    <row r="552" spans="1:9" ht="21.75" customHeight="1" x14ac:dyDescent="0.25">
      <c r="A552" s="127">
        <v>44717</v>
      </c>
      <c r="B552" s="128" t="s">
        <v>18365</v>
      </c>
      <c r="C552" s="129" t="s">
        <v>373</v>
      </c>
      <c r="D552" s="130">
        <v>737.2</v>
      </c>
      <c r="E552" s="131">
        <v>44717</v>
      </c>
      <c r="F552" s="132">
        <v>737.2</v>
      </c>
      <c r="G552" s="133">
        <f>Tabla147[[#This Row],[Importe]]-Tabla147[[#This Row],[Pagado]]</f>
        <v>0</v>
      </c>
      <c r="H552" s="134" t="s">
        <v>10</v>
      </c>
      <c r="I552" s="135"/>
    </row>
    <row r="553" spans="1:9" ht="21.75" customHeight="1" x14ac:dyDescent="0.25">
      <c r="A553" s="127">
        <v>44717</v>
      </c>
      <c r="B553" s="128" t="s">
        <v>18366</v>
      </c>
      <c r="C553" s="129" t="s">
        <v>58</v>
      </c>
      <c r="D553" s="130">
        <v>2819.6</v>
      </c>
      <c r="E553" s="131">
        <v>44717</v>
      </c>
      <c r="F553" s="132">
        <v>2819.6</v>
      </c>
      <c r="G553" s="133">
        <f>Tabla147[[#This Row],[Importe]]-Tabla147[[#This Row],[Pagado]]</f>
        <v>0</v>
      </c>
      <c r="H553" s="134" t="s">
        <v>10</v>
      </c>
      <c r="I553" s="135"/>
    </row>
    <row r="554" spans="1:9" ht="21.75" customHeight="1" x14ac:dyDescent="0.25">
      <c r="A554" s="127">
        <v>44717</v>
      </c>
      <c r="B554" s="128" t="s">
        <v>18367</v>
      </c>
      <c r="C554" s="129" t="s">
        <v>62</v>
      </c>
      <c r="D554" s="130">
        <v>6603.8</v>
      </c>
      <c r="E554" s="131">
        <v>44717</v>
      </c>
      <c r="F554" s="132">
        <v>6603.8</v>
      </c>
      <c r="G554" s="133">
        <f>Tabla147[[#This Row],[Importe]]-Tabla147[[#This Row],[Pagado]]</f>
        <v>0</v>
      </c>
      <c r="H554" s="134" t="s">
        <v>10</v>
      </c>
      <c r="I554" s="135"/>
    </row>
    <row r="555" spans="1:9" ht="21.75" customHeight="1" x14ac:dyDescent="0.25">
      <c r="A555" s="127">
        <v>44717</v>
      </c>
      <c r="B555" s="128" t="s">
        <v>18368</v>
      </c>
      <c r="C555" s="129" t="s">
        <v>296</v>
      </c>
      <c r="D555" s="130">
        <v>2881.4</v>
      </c>
      <c r="E555" s="131">
        <v>44717</v>
      </c>
      <c r="F555" s="132">
        <v>2881.4</v>
      </c>
      <c r="G555" s="133">
        <f>Tabla147[[#This Row],[Importe]]-Tabla147[[#This Row],[Pagado]]</f>
        <v>0</v>
      </c>
      <c r="H555" s="134" t="s">
        <v>10</v>
      </c>
      <c r="I555" s="135"/>
    </row>
    <row r="556" spans="1:9" ht="21.75" customHeight="1" x14ac:dyDescent="0.25">
      <c r="A556" s="127">
        <v>44717</v>
      </c>
      <c r="B556" s="128" t="s">
        <v>18369</v>
      </c>
      <c r="C556" s="129" t="s">
        <v>71</v>
      </c>
      <c r="D556" s="130">
        <v>3122</v>
      </c>
      <c r="E556" s="131">
        <v>44717</v>
      </c>
      <c r="F556" s="132">
        <v>3122</v>
      </c>
      <c r="G556" s="133">
        <f>Tabla147[[#This Row],[Importe]]-Tabla147[[#This Row],[Pagado]]</f>
        <v>0</v>
      </c>
      <c r="H556" s="134" t="s">
        <v>10</v>
      </c>
      <c r="I556" s="135"/>
    </row>
    <row r="557" spans="1:9" ht="21.75" customHeight="1" x14ac:dyDescent="0.25">
      <c r="A557" s="127">
        <v>44717</v>
      </c>
      <c r="B557" s="128" t="s">
        <v>18370</v>
      </c>
      <c r="C557" s="129" t="s">
        <v>16</v>
      </c>
      <c r="D557" s="130">
        <v>1922.4</v>
      </c>
      <c r="E557" s="131">
        <v>44717</v>
      </c>
      <c r="F557" s="132">
        <v>1922.4</v>
      </c>
      <c r="G557" s="133">
        <f>Tabla147[[#This Row],[Importe]]-Tabla147[[#This Row],[Pagado]]</f>
        <v>0</v>
      </c>
      <c r="H557" s="134" t="s">
        <v>10</v>
      </c>
      <c r="I557" s="135"/>
    </row>
    <row r="558" spans="1:9" ht="21.75" customHeight="1" x14ac:dyDescent="0.25">
      <c r="A558" s="127">
        <v>44717</v>
      </c>
      <c r="B558" s="128" t="s">
        <v>18371</v>
      </c>
      <c r="C558" s="129" t="s">
        <v>56</v>
      </c>
      <c r="D558" s="130">
        <v>2754.8</v>
      </c>
      <c r="E558" s="131">
        <v>44717</v>
      </c>
      <c r="F558" s="132">
        <v>2754.8</v>
      </c>
      <c r="G558" s="133">
        <f>Tabla147[[#This Row],[Importe]]-Tabla147[[#This Row],[Pagado]]</f>
        <v>0</v>
      </c>
      <c r="H558" s="134" t="s">
        <v>10</v>
      </c>
      <c r="I558" s="135"/>
    </row>
    <row r="559" spans="1:9" ht="21.75" customHeight="1" x14ac:dyDescent="0.25">
      <c r="A559" s="127">
        <v>44717</v>
      </c>
      <c r="B559" s="128" t="s">
        <v>18372</v>
      </c>
      <c r="C559" s="129" t="s">
        <v>53</v>
      </c>
      <c r="D559" s="130">
        <v>448.5</v>
      </c>
      <c r="E559" s="131">
        <v>44717</v>
      </c>
      <c r="F559" s="132">
        <v>448.5</v>
      </c>
      <c r="G559" s="133">
        <f>Tabla147[[#This Row],[Importe]]-Tabla147[[#This Row],[Pagado]]</f>
        <v>0</v>
      </c>
      <c r="H559" s="134" t="s">
        <v>10</v>
      </c>
      <c r="I559" s="135"/>
    </row>
    <row r="560" spans="1:9" ht="21.75" customHeight="1" x14ac:dyDescent="0.25">
      <c r="A560" s="127">
        <v>44717</v>
      </c>
      <c r="B560" s="128" t="s">
        <v>18373</v>
      </c>
      <c r="C560" s="129" t="s">
        <v>15039</v>
      </c>
      <c r="D560" s="130">
        <v>3087</v>
      </c>
      <c r="E560" s="131">
        <v>44717</v>
      </c>
      <c r="F560" s="132">
        <v>3087</v>
      </c>
      <c r="G560" s="133">
        <f>Tabla147[[#This Row],[Importe]]-Tabla147[[#This Row],[Pagado]]</f>
        <v>0</v>
      </c>
      <c r="H560" s="134" t="s">
        <v>10</v>
      </c>
      <c r="I560" s="135"/>
    </row>
    <row r="561" spans="1:9" ht="21.75" customHeight="1" x14ac:dyDescent="0.25">
      <c r="A561" s="127">
        <v>44717</v>
      </c>
      <c r="B561" s="128" t="s">
        <v>18374</v>
      </c>
      <c r="C561" s="129" t="s">
        <v>31</v>
      </c>
      <c r="D561" s="130">
        <v>519.4</v>
      </c>
      <c r="E561" s="131">
        <v>44717</v>
      </c>
      <c r="F561" s="132">
        <v>519.4</v>
      </c>
      <c r="G561" s="133">
        <f>Tabla147[[#This Row],[Importe]]-Tabla147[[#This Row],[Pagado]]</f>
        <v>0</v>
      </c>
      <c r="H561" s="134" t="s">
        <v>10</v>
      </c>
      <c r="I561" s="135"/>
    </row>
    <row r="562" spans="1:9" ht="21.75" customHeight="1" x14ac:dyDescent="0.25">
      <c r="A562" s="127">
        <v>44717</v>
      </c>
      <c r="B562" s="128" t="s">
        <v>18375</v>
      </c>
      <c r="C562" s="129" t="s">
        <v>18376</v>
      </c>
      <c r="D562" s="130">
        <v>1012</v>
      </c>
      <c r="E562" s="131">
        <v>44717</v>
      </c>
      <c r="F562" s="132">
        <v>1012</v>
      </c>
      <c r="G562" s="133">
        <f>Tabla147[[#This Row],[Importe]]-Tabla147[[#This Row],[Pagado]]</f>
        <v>0</v>
      </c>
      <c r="H562" s="134" t="s">
        <v>10</v>
      </c>
      <c r="I562" s="135"/>
    </row>
    <row r="563" spans="1:9" ht="21.75" customHeight="1" x14ac:dyDescent="0.25">
      <c r="A563" s="127">
        <v>44717</v>
      </c>
      <c r="B563" s="128" t="s">
        <v>18377</v>
      </c>
      <c r="C563" s="129" t="s">
        <v>67</v>
      </c>
      <c r="D563" s="130">
        <v>1897.5</v>
      </c>
      <c r="E563" s="131">
        <v>44717</v>
      </c>
      <c r="F563" s="132">
        <v>1897.5</v>
      </c>
      <c r="G563" s="133">
        <f>Tabla147[[#This Row],[Importe]]-Tabla147[[#This Row],[Pagado]]</f>
        <v>0</v>
      </c>
      <c r="H563" s="134" t="s">
        <v>10</v>
      </c>
      <c r="I563" s="135"/>
    </row>
    <row r="564" spans="1:9" ht="21.75" customHeight="1" x14ac:dyDescent="0.25">
      <c r="A564" s="127">
        <v>44717</v>
      </c>
      <c r="B564" s="128" t="s">
        <v>18378</v>
      </c>
      <c r="C564" s="129" t="s">
        <v>31</v>
      </c>
      <c r="D564" s="130">
        <v>441.6</v>
      </c>
      <c r="E564" s="131">
        <v>44717</v>
      </c>
      <c r="F564" s="132">
        <v>441.6</v>
      </c>
      <c r="G564" s="133">
        <f>Tabla147[[#This Row],[Importe]]-Tabla147[[#This Row],[Pagado]]</f>
        <v>0</v>
      </c>
      <c r="H564" s="134" t="s">
        <v>10</v>
      </c>
      <c r="I564" s="135"/>
    </row>
    <row r="565" spans="1:9" ht="21.75" customHeight="1" x14ac:dyDescent="0.25">
      <c r="A565" s="127">
        <v>44717</v>
      </c>
      <c r="B565" s="128" t="s">
        <v>18379</v>
      </c>
      <c r="C565" s="129" t="s">
        <v>450</v>
      </c>
      <c r="D565" s="130">
        <v>9145</v>
      </c>
      <c r="E565" s="131">
        <v>44717</v>
      </c>
      <c r="F565" s="132">
        <v>9145</v>
      </c>
      <c r="G565" s="133">
        <f>Tabla147[[#This Row],[Importe]]-Tabla147[[#This Row],[Pagado]]</f>
        <v>0</v>
      </c>
      <c r="H565" s="134" t="s">
        <v>10</v>
      </c>
      <c r="I565" s="135"/>
    </row>
    <row r="566" spans="1:9" ht="21.75" customHeight="1" x14ac:dyDescent="0.25">
      <c r="A566" s="127">
        <v>44717</v>
      </c>
      <c r="B566" s="128" t="s">
        <v>18380</v>
      </c>
      <c r="C566" s="129" t="s">
        <v>296</v>
      </c>
      <c r="D566" s="130">
        <v>1447.2</v>
      </c>
      <c r="E566" s="131">
        <v>44717</v>
      </c>
      <c r="F566" s="132">
        <v>1447.2</v>
      </c>
      <c r="G566" s="133">
        <f>Tabla147[[#This Row],[Importe]]-Tabla147[[#This Row],[Pagado]]</f>
        <v>0</v>
      </c>
      <c r="H566" s="134" t="s">
        <v>10</v>
      </c>
      <c r="I566" s="135"/>
    </row>
    <row r="567" spans="1:9" ht="21.75" customHeight="1" x14ac:dyDescent="0.25">
      <c r="A567" s="127">
        <v>44717</v>
      </c>
      <c r="B567" s="128" t="s">
        <v>18381</v>
      </c>
      <c r="C567" s="129" t="s">
        <v>16</v>
      </c>
      <c r="D567" s="130">
        <v>1306.8</v>
      </c>
      <c r="E567" s="131">
        <v>44718</v>
      </c>
      <c r="F567" s="132">
        <v>1306.8</v>
      </c>
      <c r="G567" s="133">
        <f>Tabla147[[#This Row],[Importe]]-Tabla147[[#This Row],[Pagado]]</f>
        <v>0</v>
      </c>
      <c r="H567" s="134" t="s">
        <v>10</v>
      </c>
      <c r="I567" s="135"/>
    </row>
    <row r="568" spans="1:9" ht="21.75" customHeight="1" x14ac:dyDescent="0.25">
      <c r="A568" s="127">
        <v>44717</v>
      </c>
      <c r="B568" s="128" t="s">
        <v>18382</v>
      </c>
      <c r="C568" s="129" t="s">
        <v>289</v>
      </c>
      <c r="D568" s="130">
        <v>7955.2</v>
      </c>
      <c r="E568" s="131">
        <v>44718</v>
      </c>
      <c r="F568" s="132">
        <v>7955.2</v>
      </c>
      <c r="G568" s="133">
        <f>Tabla147[[#This Row],[Importe]]-Tabla147[[#This Row],[Pagado]]</f>
        <v>0</v>
      </c>
      <c r="H568" s="134" t="s">
        <v>10</v>
      </c>
      <c r="I568" s="135"/>
    </row>
    <row r="569" spans="1:9" ht="21.75" customHeight="1" x14ac:dyDescent="0.25">
      <c r="A569" s="127">
        <v>44718</v>
      </c>
      <c r="B569" s="128" t="s">
        <v>18383</v>
      </c>
      <c r="C569" s="129" t="s">
        <v>85</v>
      </c>
      <c r="D569" s="130">
        <v>640</v>
      </c>
      <c r="E569" s="131">
        <v>44718</v>
      </c>
      <c r="F569" s="132">
        <v>640</v>
      </c>
      <c r="G569" s="133">
        <f>Tabla147[[#This Row],[Importe]]-Tabla147[[#This Row],[Pagado]]</f>
        <v>0</v>
      </c>
      <c r="H569" s="134" t="s">
        <v>10</v>
      </c>
      <c r="I569" s="135"/>
    </row>
    <row r="570" spans="1:9" ht="21.75" customHeight="1" x14ac:dyDescent="0.25">
      <c r="A570" s="127">
        <v>44718</v>
      </c>
      <c r="B570" s="128" t="s">
        <v>18384</v>
      </c>
      <c r="C570" s="129" t="s">
        <v>75</v>
      </c>
      <c r="D570" s="130">
        <v>6828.8</v>
      </c>
      <c r="E570" s="131">
        <v>44718</v>
      </c>
      <c r="F570" s="132">
        <v>6828.8</v>
      </c>
      <c r="G570" s="133">
        <f>Tabla147[[#This Row],[Importe]]-Tabla147[[#This Row],[Pagado]]</f>
        <v>0</v>
      </c>
      <c r="H570" s="134" t="s">
        <v>10</v>
      </c>
      <c r="I570" s="135"/>
    </row>
    <row r="571" spans="1:9" ht="31.5" x14ac:dyDescent="0.25">
      <c r="A571" s="127">
        <v>44718</v>
      </c>
      <c r="B571" s="128" t="s">
        <v>18385</v>
      </c>
      <c r="C571" s="129" t="s">
        <v>475</v>
      </c>
      <c r="D571" s="130">
        <v>103263.2</v>
      </c>
      <c r="E571" s="131" t="s">
        <v>18386</v>
      </c>
      <c r="F571" s="132">
        <f>85000+2200+16063.2</f>
        <v>103263.2</v>
      </c>
      <c r="G571" s="133">
        <f>Tabla147[[#This Row],[Importe]]-Tabla147[[#This Row],[Pagado]]</f>
        <v>0</v>
      </c>
      <c r="H571" s="134" t="s">
        <v>10</v>
      </c>
      <c r="I571" s="135"/>
    </row>
    <row r="572" spans="1:9" ht="21.75" customHeight="1" x14ac:dyDescent="0.25">
      <c r="A572" s="127">
        <v>44718</v>
      </c>
      <c r="B572" s="128" t="s">
        <v>18387</v>
      </c>
      <c r="C572" s="129" t="s">
        <v>83</v>
      </c>
      <c r="D572" s="130">
        <v>9910.2000000000007</v>
      </c>
      <c r="E572" s="131">
        <v>44718</v>
      </c>
      <c r="F572" s="132">
        <v>9910.2000000000007</v>
      </c>
      <c r="G572" s="133">
        <f>Tabla147[[#This Row],[Importe]]-Tabla147[[#This Row],[Pagado]]</f>
        <v>0</v>
      </c>
      <c r="H572" s="134" t="s">
        <v>10</v>
      </c>
      <c r="I572" s="135"/>
    </row>
    <row r="573" spans="1:9" ht="21.75" customHeight="1" x14ac:dyDescent="0.25">
      <c r="A573" s="127">
        <v>44718</v>
      </c>
      <c r="B573" s="128" t="s">
        <v>18388</v>
      </c>
      <c r="C573" s="129" t="s">
        <v>473</v>
      </c>
      <c r="D573" s="130">
        <v>9655</v>
      </c>
      <c r="E573" s="131">
        <v>44718</v>
      </c>
      <c r="F573" s="132">
        <v>9655</v>
      </c>
      <c r="G573" s="133">
        <f>Tabla147[[#This Row],[Importe]]-Tabla147[[#This Row],[Pagado]]</f>
        <v>0</v>
      </c>
      <c r="H573" s="134" t="s">
        <v>10</v>
      </c>
      <c r="I573" s="135"/>
    </row>
    <row r="574" spans="1:9" ht="21.75" customHeight="1" x14ac:dyDescent="0.25">
      <c r="A574" s="127">
        <v>44718</v>
      </c>
      <c r="B574" s="128" t="s">
        <v>18389</v>
      </c>
      <c r="C574" s="129" t="s">
        <v>60</v>
      </c>
      <c r="D574" s="130">
        <v>4988</v>
      </c>
      <c r="E574" s="131">
        <v>44720</v>
      </c>
      <c r="F574" s="132">
        <v>4988</v>
      </c>
      <c r="G574" s="133">
        <f>Tabla147[[#This Row],[Importe]]-Tabla147[[#This Row],[Pagado]]</f>
        <v>0</v>
      </c>
      <c r="H574" s="134" t="s">
        <v>10</v>
      </c>
      <c r="I574" s="135"/>
    </row>
    <row r="575" spans="1:9" ht="21.75" customHeight="1" x14ac:dyDescent="0.25">
      <c r="A575" s="127">
        <v>44718</v>
      </c>
      <c r="B575" s="128" t="s">
        <v>18390</v>
      </c>
      <c r="C575" s="129" t="s">
        <v>326</v>
      </c>
      <c r="D575" s="130">
        <v>4611</v>
      </c>
      <c r="E575" s="131">
        <v>44719</v>
      </c>
      <c r="F575" s="132">
        <v>4611</v>
      </c>
      <c r="G575" s="133">
        <f>Tabla147[[#This Row],[Importe]]-Tabla147[[#This Row],[Pagado]]</f>
        <v>0</v>
      </c>
      <c r="H575" s="134" t="s">
        <v>10</v>
      </c>
      <c r="I575" s="135"/>
    </row>
    <row r="576" spans="1:9" ht="21.75" customHeight="1" x14ac:dyDescent="0.25">
      <c r="A576" s="127">
        <v>44718</v>
      </c>
      <c r="B576" s="128" t="s">
        <v>18391</v>
      </c>
      <c r="C576" s="129" t="s">
        <v>109</v>
      </c>
      <c r="D576" s="130">
        <v>4900</v>
      </c>
      <c r="E576" s="131">
        <v>44719</v>
      </c>
      <c r="F576" s="132">
        <v>4900</v>
      </c>
      <c r="G576" s="133">
        <f>Tabla147[[#This Row],[Importe]]-Tabla147[[#This Row],[Pagado]]</f>
        <v>0</v>
      </c>
      <c r="H576" s="134" t="s">
        <v>10</v>
      </c>
      <c r="I576" s="135"/>
    </row>
    <row r="577" spans="1:9" ht="21.75" customHeight="1" x14ac:dyDescent="0.25">
      <c r="A577" s="127">
        <v>44718</v>
      </c>
      <c r="B577" s="128" t="s">
        <v>18392</v>
      </c>
      <c r="C577" s="129" t="s">
        <v>116</v>
      </c>
      <c r="D577" s="130">
        <v>4993.8</v>
      </c>
      <c r="E577" s="131">
        <v>44719</v>
      </c>
      <c r="F577" s="132">
        <v>4993.8</v>
      </c>
      <c r="G577" s="133">
        <f>Tabla147[[#This Row],[Importe]]-Tabla147[[#This Row],[Pagado]]</f>
        <v>0</v>
      </c>
      <c r="H577" s="134" t="s">
        <v>10</v>
      </c>
      <c r="I577" s="135"/>
    </row>
    <row r="578" spans="1:9" ht="21.75" customHeight="1" x14ac:dyDescent="0.25">
      <c r="A578" s="127">
        <v>44718</v>
      </c>
      <c r="B578" s="128" t="s">
        <v>18393</v>
      </c>
      <c r="C578" s="129" t="s">
        <v>64</v>
      </c>
      <c r="D578" s="130">
        <v>8473.7999999999993</v>
      </c>
      <c r="E578" s="131">
        <v>44719</v>
      </c>
      <c r="F578" s="132">
        <v>8473.7999999999993</v>
      </c>
      <c r="G578" s="133">
        <f>Tabla147[[#This Row],[Importe]]-Tabla147[[#This Row],[Pagado]]</f>
        <v>0</v>
      </c>
      <c r="H578" s="134" t="s">
        <v>10</v>
      </c>
      <c r="I578" s="135"/>
    </row>
    <row r="579" spans="1:9" ht="21.75" customHeight="1" x14ac:dyDescent="0.25">
      <c r="A579" s="127">
        <v>44718</v>
      </c>
      <c r="B579" s="128" t="s">
        <v>18394</v>
      </c>
      <c r="C579" s="129" t="s">
        <v>16819</v>
      </c>
      <c r="D579" s="130">
        <v>4844</v>
      </c>
      <c r="E579" s="131">
        <v>44718</v>
      </c>
      <c r="F579" s="132">
        <v>4844</v>
      </c>
      <c r="G579" s="133">
        <f>Tabla147[[#This Row],[Importe]]-Tabla147[[#This Row],[Pagado]]</f>
        <v>0</v>
      </c>
      <c r="H579" s="134" t="s">
        <v>10</v>
      </c>
      <c r="I579" s="135"/>
    </row>
    <row r="580" spans="1:9" ht="21.75" customHeight="1" x14ac:dyDescent="0.25">
      <c r="A580" s="127">
        <v>44718</v>
      </c>
      <c r="B580" s="128" t="s">
        <v>18395</v>
      </c>
      <c r="C580" s="129" t="s">
        <v>111</v>
      </c>
      <c r="D580" s="130">
        <v>4267.2</v>
      </c>
      <c r="E580" s="131">
        <v>44719</v>
      </c>
      <c r="F580" s="132">
        <v>4267.2</v>
      </c>
      <c r="G580" s="133">
        <f>Tabla147[[#This Row],[Importe]]-Tabla147[[#This Row],[Pagado]]</f>
        <v>0</v>
      </c>
      <c r="H580" s="134" t="s">
        <v>10</v>
      </c>
      <c r="I580" s="135"/>
    </row>
    <row r="581" spans="1:9" ht="21.75" customHeight="1" x14ac:dyDescent="0.25">
      <c r="A581" s="127">
        <v>44718</v>
      </c>
      <c r="B581" s="128" t="s">
        <v>18396</v>
      </c>
      <c r="C581" s="129" t="s">
        <v>89</v>
      </c>
      <c r="D581" s="130">
        <v>9502.9</v>
      </c>
      <c r="E581" s="131">
        <v>44720</v>
      </c>
      <c r="F581" s="132">
        <v>9502.9</v>
      </c>
      <c r="G581" s="133">
        <f>Tabla147[[#This Row],[Importe]]-Tabla147[[#This Row],[Pagado]]</f>
        <v>0</v>
      </c>
      <c r="H581" s="134" t="s">
        <v>10</v>
      </c>
      <c r="I581" s="135"/>
    </row>
    <row r="582" spans="1:9" ht="21.75" customHeight="1" x14ac:dyDescent="0.25">
      <c r="A582" s="127">
        <v>44718</v>
      </c>
      <c r="B582" s="128" t="s">
        <v>18397</v>
      </c>
      <c r="C582" s="129" t="s">
        <v>2151</v>
      </c>
      <c r="D582" s="130">
        <v>14716.8</v>
      </c>
      <c r="E582" s="131">
        <v>44718</v>
      </c>
      <c r="F582" s="132">
        <v>14716.8</v>
      </c>
      <c r="G582" s="133">
        <f>Tabla147[[#This Row],[Importe]]-Tabla147[[#This Row],[Pagado]]</f>
        <v>0</v>
      </c>
      <c r="H582" s="134" t="s">
        <v>10</v>
      </c>
      <c r="I582" s="135"/>
    </row>
    <row r="583" spans="1:9" ht="21.75" customHeight="1" x14ac:dyDescent="0.25">
      <c r="A583" s="127">
        <v>44718</v>
      </c>
      <c r="B583" s="128" t="s">
        <v>18398</v>
      </c>
      <c r="C583" s="129" t="s">
        <v>348</v>
      </c>
      <c r="D583" s="130">
        <v>2903.6</v>
      </c>
      <c r="E583" s="131">
        <v>44718</v>
      </c>
      <c r="F583" s="132">
        <v>2903.6</v>
      </c>
      <c r="G583" s="133">
        <f>Tabla147[[#This Row],[Importe]]-Tabla147[[#This Row],[Pagado]]</f>
        <v>0</v>
      </c>
      <c r="H583" s="134" t="s">
        <v>10</v>
      </c>
      <c r="I583" s="135"/>
    </row>
    <row r="584" spans="1:9" ht="21.75" customHeight="1" x14ac:dyDescent="0.25">
      <c r="A584" s="127">
        <v>44718</v>
      </c>
      <c r="B584" s="128" t="s">
        <v>18399</v>
      </c>
      <c r="C584" s="129" t="s">
        <v>114</v>
      </c>
      <c r="D584" s="130">
        <v>10586.4</v>
      </c>
      <c r="E584" s="131">
        <v>44719</v>
      </c>
      <c r="F584" s="132">
        <v>10586.4</v>
      </c>
      <c r="G584" s="133">
        <f>Tabla147[[#This Row],[Importe]]-Tabla147[[#This Row],[Pagado]]</f>
        <v>0</v>
      </c>
      <c r="H584" s="134" t="s">
        <v>10</v>
      </c>
      <c r="I584" s="135"/>
    </row>
    <row r="585" spans="1:9" ht="21.75" customHeight="1" x14ac:dyDescent="0.25">
      <c r="A585" s="127">
        <v>44718</v>
      </c>
      <c r="B585" s="128" t="s">
        <v>18400</v>
      </c>
      <c r="C585" s="129" t="s">
        <v>105</v>
      </c>
      <c r="D585" s="130">
        <v>6131.4</v>
      </c>
      <c r="E585" s="131">
        <v>44719</v>
      </c>
      <c r="F585" s="132">
        <v>6131.4</v>
      </c>
      <c r="G585" s="133">
        <f>Tabla147[[#This Row],[Importe]]-Tabla147[[#This Row],[Pagado]]</f>
        <v>0</v>
      </c>
      <c r="H585" s="134" t="s">
        <v>10</v>
      </c>
      <c r="I585" s="135"/>
    </row>
    <row r="586" spans="1:9" ht="21.75" customHeight="1" x14ac:dyDescent="0.25">
      <c r="A586" s="127">
        <v>44718</v>
      </c>
      <c r="B586" s="128" t="s">
        <v>18401</v>
      </c>
      <c r="C586" s="129" t="s">
        <v>97</v>
      </c>
      <c r="D586" s="130">
        <v>5250.6</v>
      </c>
      <c r="E586" s="131">
        <v>44719</v>
      </c>
      <c r="F586" s="132">
        <v>5250.6</v>
      </c>
      <c r="G586" s="133">
        <f>Tabla147[[#This Row],[Importe]]-Tabla147[[#This Row],[Pagado]]</f>
        <v>0</v>
      </c>
      <c r="H586" s="134" t="s">
        <v>10</v>
      </c>
      <c r="I586" s="135"/>
    </row>
    <row r="587" spans="1:9" ht="21.75" customHeight="1" x14ac:dyDescent="0.25">
      <c r="A587" s="127">
        <v>44718</v>
      </c>
      <c r="B587" s="128" t="s">
        <v>18402</v>
      </c>
      <c r="C587" s="129" t="s">
        <v>39</v>
      </c>
      <c r="D587" s="130">
        <v>24113.8</v>
      </c>
      <c r="E587" s="131">
        <v>44723</v>
      </c>
      <c r="F587" s="132">
        <v>24113.8</v>
      </c>
      <c r="G587" s="133">
        <f>Tabla147[[#This Row],[Importe]]-Tabla147[[#This Row],[Pagado]]</f>
        <v>0</v>
      </c>
      <c r="H587" s="134" t="s">
        <v>10</v>
      </c>
      <c r="I587" s="135"/>
    </row>
    <row r="588" spans="1:9" ht="31.5" x14ac:dyDescent="0.25">
      <c r="A588" s="127">
        <v>44718</v>
      </c>
      <c r="B588" s="128" t="s">
        <v>18403</v>
      </c>
      <c r="C588" s="129" t="s">
        <v>93</v>
      </c>
      <c r="D588" s="130">
        <v>8706.7000000000007</v>
      </c>
      <c r="E588" s="131" t="s">
        <v>18404</v>
      </c>
      <c r="F588" s="132">
        <f>3000+5706.7</f>
        <v>8706.7000000000007</v>
      </c>
      <c r="G588" s="133">
        <f>Tabla147[[#This Row],[Importe]]-Tabla147[[#This Row],[Pagado]]</f>
        <v>0</v>
      </c>
      <c r="H588" s="134" t="s">
        <v>10</v>
      </c>
      <c r="I588" s="135"/>
    </row>
    <row r="589" spans="1:9" ht="21.75" customHeight="1" x14ac:dyDescent="0.25">
      <c r="A589" s="127">
        <v>44718</v>
      </c>
      <c r="B589" s="128" t="s">
        <v>18405</v>
      </c>
      <c r="C589" s="129" t="s">
        <v>9</v>
      </c>
      <c r="D589" s="130">
        <v>6506.4</v>
      </c>
      <c r="E589" s="131">
        <v>44718</v>
      </c>
      <c r="F589" s="132">
        <v>6506.4</v>
      </c>
      <c r="G589" s="133">
        <f>Tabla147[[#This Row],[Importe]]-Tabla147[[#This Row],[Pagado]]</f>
        <v>0</v>
      </c>
      <c r="H589" s="134" t="s">
        <v>10</v>
      </c>
      <c r="I589" s="135"/>
    </row>
    <row r="590" spans="1:9" ht="21.75" customHeight="1" x14ac:dyDescent="0.25">
      <c r="A590" s="127">
        <v>44718</v>
      </c>
      <c r="B590" s="128" t="s">
        <v>18406</v>
      </c>
      <c r="C590" s="129" t="s">
        <v>131</v>
      </c>
      <c r="D590" s="130">
        <v>7862.4</v>
      </c>
      <c r="E590" s="131">
        <v>44718</v>
      </c>
      <c r="F590" s="132">
        <v>7862.4</v>
      </c>
      <c r="G590" s="133">
        <f>Tabla147[[#This Row],[Importe]]-Tabla147[[#This Row],[Pagado]]</f>
        <v>0</v>
      </c>
      <c r="H590" s="134" t="s">
        <v>10</v>
      </c>
      <c r="I590" s="135"/>
    </row>
    <row r="591" spans="1:9" ht="31.5" x14ac:dyDescent="0.25">
      <c r="A591" s="127">
        <v>44718</v>
      </c>
      <c r="B591" s="128" t="s">
        <v>18407</v>
      </c>
      <c r="C591" s="129" t="s">
        <v>99</v>
      </c>
      <c r="D591" s="130">
        <v>4725.3999999999996</v>
      </c>
      <c r="E591" s="131" t="s">
        <v>18404</v>
      </c>
      <c r="F591" s="132">
        <f>2700+2025.4</f>
        <v>4725.3999999999996</v>
      </c>
      <c r="G591" s="133">
        <f>Tabla147[[#This Row],[Importe]]-Tabla147[[#This Row],[Pagado]]</f>
        <v>0</v>
      </c>
      <c r="H591" s="134" t="s">
        <v>10</v>
      </c>
      <c r="I591" s="135"/>
    </row>
    <row r="592" spans="1:9" ht="21.75" customHeight="1" x14ac:dyDescent="0.25">
      <c r="A592" s="127">
        <v>44718</v>
      </c>
      <c r="B592" s="128" t="s">
        <v>18408</v>
      </c>
      <c r="C592" s="129" t="s">
        <v>918</v>
      </c>
      <c r="D592" s="130">
        <v>796</v>
      </c>
      <c r="E592" s="131">
        <v>44719</v>
      </c>
      <c r="F592" s="132">
        <v>796</v>
      </c>
      <c r="G592" s="133">
        <f>Tabla147[[#This Row],[Importe]]-Tabla147[[#This Row],[Pagado]]</f>
        <v>0</v>
      </c>
      <c r="H592" s="134" t="s">
        <v>10</v>
      </c>
      <c r="I592" s="135"/>
    </row>
    <row r="593" spans="1:9" ht="21.75" customHeight="1" x14ac:dyDescent="0.25">
      <c r="A593" s="127">
        <v>44718</v>
      </c>
      <c r="B593" s="128" t="s">
        <v>18409</v>
      </c>
      <c r="C593" s="129" t="s">
        <v>56</v>
      </c>
      <c r="D593" s="130">
        <v>1221.3</v>
      </c>
      <c r="E593" s="131">
        <v>44718</v>
      </c>
      <c r="F593" s="132">
        <v>1221.3</v>
      </c>
      <c r="G593" s="133">
        <f>Tabla147[[#This Row],[Importe]]-Tabla147[[#This Row],[Pagado]]</f>
        <v>0</v>
      </c>
      <c r="H593" s="134" t="s">
        <v>10</v>
      </c>
      <c r="I593" s="135"/>
    </row>
    <row r="594" spans="1:9" ht="21.75" customHeight="1" x14ac:dyDescent="0.25">
      <c r="A594" s="127">
        <v>44718</v>
      </c>
      <c r="B594" s="128" t="s">
        <v>18410</v>
      </c>
      <c r="C594" s="129" t="s">
        <v>12202</v>
      </c>
      <c r="D594" s="130">
        <v>2880</v>
      </c>
      <c r="E594" s="131">
        <v>44718</v>
      </c>
      <c r="F594" s="132">
        <v>2880</v>
      </c>
      <c r="G594" s="133">
        <f>Tabla147[[#This Row],[Importe]]-Tabla147[[#This Row],[Pagado]]</f>
        <v>0</v>
      </c>
      <c r="H594" s="134" t="s">
        <v>10</v>
      </c>
      <c r="I594" s="135"/>
    </row>
    <row r="595" spans="1:9" ht="21.75" customHeight="1" x14ac:dyDescent="0.25">
      <c r="A595" s="127">
        <v>44718</v>
      </c>
      <c r="B595" s="128" t="s">
        <v>18411</v>
      </c>
      <c r="C595" s="129" t="s">
        <v>14</v>
      </c>
      <c r="D595" s="130">
        <v>30166.400000000001</v>
      </c>
      <c r="E595" s="131">
        <v>44718</v>
      </c>
      <c r="F595" s="132">
        <v>30166.400000000001</v>
      </c>
      <c r="G595" s="133">
        <f>Tabla147[[#This Row],[Importe]]-Tabla147[[#This Row],[Pagado]]</f>
        <v>0</v>
      </c>
      <c r="H595" s="134" t="s">
        <v>10</v>
      </c>
      <c r="I595" s="135"/>
    </row>
    <row r="596" spans="1:9" ht="21.75" customHeight="1" x14ac:dyDescent="0.25">
      <c r="A596" s="127">
        <v>44718</v>
      </c>
      <c r="B596" s="128" t="s">
        <v>18412</v>
      </c>
      <c r="C596" s="129" t="s">
        <v>31</v>
      </c>
      <c r="D596" s="130">
        <v>2142</v>
      </c>
      <c r="E596" s="131">
        <v>44718</v>
      </c>
      <c r="F596" s="132">
        <v>2142</v>
      </c>
      <c r="G596" s="133">
        <f>Tabla147[[#This Row],[Importe]]-Tabla147[[#This Row],[Pagado]]</f>
        <v>0</v>
      </c>
      <c r="H596" s="134" t="s">
        <v>10</v>
      </c>
      <c r="I596" s="135"/>
    </row>
    <row r="597" spans="1:9" ht="21.75" customHeight="1" x14ac:dyDescent="0.25">
      <c r="A597" s="127">
        <v>44718</v>
      </c>
      <c r="B597" s="128" t="s">
        <v>18413</v>
      </c>
      <c r="C597" s="129" t="s">
        <v>22</v>
      </c>
      <c r="D597" s="130">
        <v>55923.199999999997</v>
      </c>
      <c r="E597" s="131">
        <v>44720</v>
      </c>
      <c r="F597" s="132">
        <v>55923.199999999997</v>
      </c>
      <c r="G597" s="133">
        <f>Tabla147[[#This Row],[Importe]]-Tabla147[[#This Row],[Pagado]]</f>
        <v>0</v>
      </c>
      <c r="H597" s="134" t="s">
        <v>10</v>
      </c>
      <c r="I597" s="135"/>
    </row>
    <row r="598" spans="1:9" ht="21.75" customHeight="1" x14ac:dyDescent="0.25">
      <c r="A598" s="127">
        <v>44718</v>
      </c>
      <c r="B598" s="128" t="s">
        <v>18414</v>
      </c>
      <c r="C598" s="129" t="s">
        <v>222</v>
      </c>
      <c r="D598" s="130">
        <v>10598.9</v>
      </c>
      <c r="E598" s="131">
        <v>44718</v>
      </c>
      <c r="F598" s="132">
        <v>10598.9</v>
      </c>
      <c r="G598" s="133">
        <f>Tabla147[[#This Row],[Importe]]-Tabla147[[#This Row],[Pagado]]</f>
        <v>0</v>
      </c>
      <c r="H598" s="134" t="s">
        <v>10</v>
      </c>
      <c r="I598" s="135"/>
    </row>
    <row r="599" spans="1:9" ht="21.75" customHeight="1" x14ac:dyDescent="0.25">
      <c r="A599" s="127">
        <v>44718</v>
      </c>
      <c r="B599" s="128" t="s">
        <v>18415</v>
      </c>
      <c r="C599" s="129" t="s">
        <v>357</v>
      </c>
      <c r="D599" s="130">
        <v>1183</v>
      </c>
      <c r="E599" s="131">
        <v>44718</v>
      </c>
      <c r="F599" s="132">
        <v>1183</v>
      </c>
      <c r="G599" s="133">
        <f>Tabla147[[#This Row],[Importe]]-Tabla147[[#This Row],[Pagado]]</f>
        <v>0</v>
      </c>
      <c r="H599" s="134" t="s">
        <v>10</v>
      </c>
      <c r="I599" s="135"/>
    </row>
    <row r="600" spans="1:9" ht="21.75" customHeight="1" x14ac:dyDescent="0.25">
      <c r="A600" s="127">
        <v>44718</v>
      </c>
      <c r="B600" s="128" t="s">
        <v>18416</v>
      </c>
      <c r="C600" s="129" t="s">
        <v>31</v>
      </c>
      <c r="D600" s="130">
        <v>3430</v>
      </c>
      <c r="E600" s="131">
        <v>44718</v>
      </c>
      <c r="F600" s="132">
        <v>3430</v>
      </c>
      <c r="G600" s="133">
        <f>Tabla147[[#This Row],[Importe]]-Tabla147[[#This Row],[Pagado]]</f>
        <v>0</v>
      </c>
      <c r="H600" s="134" t="s">
        <v>10</v>
      </c>
      <c r="I600" s="135"/>
    </row>
    <row r="601" spans="1:9" ht="21.75" customHeight="1" x14ac:dyDescent="0.25">
      <c r="A601" s="127">
        <v>44718</v>
      </c>
      <c r="B601" s="128" t="s">
        <v>18417</v>
      </c>
      <c r="C601" s="129" t="s">
        <v>140</v>
      </c>
      <c r="D601" s="130">
        <v>4198.8</v>
      </c>
      <c r="E601" s="131">
        <v>44718</v>
      </c>
      <c r="F601" s="132">
        <v>4198.8</v>
      </c>
      <c r="G601" s="133">
        <f>Tabla147[[#This Row],[Importe]]-Tabla147[[#This Row],[Pagado]]</f>
        <v>0</v>
      </c>
      <c r="H601" s="134" t="s">
        <v>10</v>
      </c>
      <c r="I601" s="135"/>
    </row>
    <row r="602" spans="1:9" ht="21.75" customHeight="1" x14ac:dyDescent="0.25">
      <c r="A602" s="127">
        <v>44718</v>
      </c>
      <c r="B602" s="128" t="s">
        <v>18418</v>
      </c>
      <c r="C602" s="129" t="s">
        <v>129</v>
      </c>
      <c r="D602" s="130">
        <v>4960.3</v>
      </c>
      <c r="E602" s="131">
        <v>44718</v>
      </c>
      <c r="F602" s="132">
        <v>4960.3</v>
      </c>
      <c r="G602" s="133">
        <f>Tabla147[[#This Row],[Importe]]-Tabla147[[#This Row],[Pagado]]</f>
        <v>0</v>
      </c>
      <c r="H602" s="134" t="s">
        <v>10</v>
      </c>
      <c r="I602" s="135"/>
    </row>
    <row r="603" spans="1:9" ht="21.75" customHeight="1" x14ac:dyDescent="0.25">
      <c r="A603" s="127">
        <v>44718</v>
      </c>
      <c r="B603" s="128" t="s">
        <v>18419</v>
      </c>
      <c r="C603" s="129" t="s">
        <v>339</v>
      </c>
      <c r="D603" s="130">
        <v>1040</v>
      </c>
      <c r="E603" s="131">
        <v>44718</v>
      </c>
      <c r="F603" s="132">
        <v>1040</v>
      </c>
      <c r="G603" s="133">
        <f>Tabla147[[#This Row],[Importe]]-Tabla147[[#This Row],[Pagado]]</f>
        <v>0</v>
      </c>
      <c r="H603" s="134" t="s">
        <v>10</v>
      </c>
      <c r="I603" s="135"/>
    </row>
    <row r="604" spans="1:9" ht="21.75" customHeight="1" x14ac:dyDescent="0.25">
      <c r="A604" s="127">
        <v>44718</v>
      </c>
      <c r="B604" s="128" t="s">
        <v>18420</v>
      </c>
      <c r="C604" s="129" t="s">
        <v>127</v>
      </c>
      <c r="D604" s="130">
        <v>4270.8</v>
      </c>
      <c r="E604" s="131">
        <v>44718</v>
      </c>
      <c r="F604" s="132">
        <v>4270.8</v>
      </c>
      <c r="G604" s="133">
        <f>Tabla147[[#This Row],[Importe]]-Tabla147[[#This Row],[Pagado]]</f>
        <v>0</v>
      </c>
      <c r="H604" s="134" t="s">
        <v>10</v>
      </c>
      <c r="I604" s="135"/>
    </row>
    <row r="605" spans="1:9" ht="21.75" customHeight="1" x14ac:dyDescent="0.25">
      <c r="A605" s="127">
        <v>44718</v>
      </c>
      <c r="B605" s="128" t="s">
        <v>18421</v>
      </c>
      <c r="C605" s="129" t="s">
        <v>31</v>
      </c>
      <c r="D605" s="130">
        <v>3416</v>
      </c>
      <c r="E605" s="131">
        <v>44718</v>
      </c>
      <c r="F605" s="132">
        <v>3416</v>
      </c>
      <c r="G605" s="133">
        <f>Tabla147[[#This Row],[Importe]]-Tabla147[[#This Row],[Pagado]]</f>
        <v>0</v>
      </c>
      <c r="H605" s="134" t="s">
        <v>10</v>
      </c>
      <c r="I605" s="135"/>
    </row>
    <row r="606" spans="1:9" ht="21.75" customHeight="1" x14ac:dyDescent="0.25">
      <c r="A606" s="127">
        <v>44718</v>
      </c>
      <c r="B606" s="128" t="s">
        <v>18422</v>
      </c>
      <c r="C606" s="129" t="s">
        <v>31</v>
      </c>
      <c r="D606" s="130">
        <v>1753.4</v>
      </c>
      <c r="E606" s="131">
        <v>44718</v>
      </c>
      <c r="F606" s="132">
        <v>1753.4</v>
      </c>
      <c r="G606" s="133">
        <f>Tabla147[[#This Row],[Importe]]-Tabla147[[#This Row],[Pagado]]</f>
        <v>0</v>
      </c>
      <c r="H606" s="134" t="s">
        <v>10</v>
      </c>
      <c r="I606" s="135"/>
    </row>
    <row r="607" spans="1:9" ht="21.75" customHeight="1" x14ac:dyDescent="0.25">
      <c r="A607" s="127">
        <v>44718</v>
      </c>
      <c r="B607" s="128" t="s">
        <v>18423</v>
      </c>
      <c r="C607" s="129" t="s">
        <v>27</v>
      </c>
      <c r="D607" s="130">
        <v>3667.9</v>
      </c>
      <c r="E607" s="131">
        <v>44718</v>
      </c>
      <c r="F607" s="132">
        <v>3667.9</v>
      </c>
      <c r="G607" s="133">
        <f>Tabla147[[#This Row],[Importe]]-Tabla147[[#This Row],[Pagado]]</f>
        <v>0</v>
      </c>
      <c r="H607" s="134" t="s">
        <v>10</v>
      </c>
      <c r="I607" s="135"/>
    </row>
    <row r="608" spans="1:9" ht="21.75" customHeight="1" x14ac:dyDescent="0.25">
      <c r="A608" s="127">
        <v>44718</v>
      </c>
      <c r="B608" s="128" t="s">
        <v>18424</v>
      </c>
      <c r="C608" s="129" t="s">
        <v>137</v>
      </c>
      <c r="D608" s="130">
        <v>2352</v>
      </c>
      <c r="E608" s="131">
        <v>44718</v>
      </c>
      <c r="F608" s="132">
        <v>2352</v>
      </c>
      <c r="G608" s="133">
        <f>Tabla147[[#This Row],[Importe]]-Tabla147[[#This Row],[Pagado]]</f>
        <v>0</v>
      </c>
      <c r="H608" s="134" t="s">
        <v>10</v>
      </c>
      <c r="I608" s="135"/>
    </row>
    <row r="609" spans="1:9" ht="21.75" customHeight="1" x14ac:dyDescent="0.25">
      <c r="A609" s="127">
        <v>44718</v>
      </c>
      <c r="B609" s="128" t="s">
        <v>18425</v>
      </c>
      <c r="C609" s="129" t="s">
        <v>924</v>
      </c>
      <c r="D609" s="130">
        <v>1308.8</v>
      </c>
      <c r="E609" s="131">
        <v>44718</v>
      </c>
      <c r="F609" s="132">
        <v>1308.8</v>
      </c>
      <c r="G609" s="133">
        <f>Tabla147[[#This Row],[Importe]]-Tabla147[[#This Row],[Pagado]]</f>
        <v>0</v>
      </c>
      <c r="H609" s="134" t="s">
        <v>10</v>
      </c>
      <c r="I609" s="135"/>
    </row>
    <row r="610" spans="1:9" ht="21.75" customHeight="1" x14ac:dyDescent="0.25">
      <c r="A610" s="127">
        <v>44718</v>
      </c>
      <c r="B610" s="128" t="s">
        <v>18426</v>
      </c>
      <c r="C610" s="129" t="s">
        <v>87</v>
      </c>
      <c r="D610" s="130">
        <v>2613.1</v>
      </c>
      <c r="E610" s="131">
        <v>44718</v>
      </c>
      <c r="F610" s="132">
        <v>2613.1</v>
      </c>
      <c r="G610" s="133">
        <f>Tabla147[[#This Row],[Importe]]-Tabla147[[#This Row],[Pagado]]</f>
        <v>0</v>
      </c>
      <c r="H610" s="134" t="s">
        <v>10</v>
      </c>
      <c r="I610" s="135"/>
    </row>
    <row r="611" spans="1:9" ht="21.75" customHeight="1" x14ac:dyDescent="0.25">
      <c r="A611" s="127">
        <v>44718</v>
      </c>
      <c r="B611" s="128" t="s">
        <v>18427</v>
      </c>
      <c r="C611" s="129" t="s">
        <v>314</v>
      </c>
      <c r="D611" s="130">
        <v>1401.6</v>
      </c>
      <c r="E611" s="131">
        <v>44718</v>
      </c>
      <c r="F611" s="132">
        <v>1401.6</v>
      </c>
      <c r="G611" s="133">
        <f>Tabla147[[#This Row],[Importe]]-Tabla147[[#This Row],[Pagado]]</f>
        <v>0</v>
      </c>
      <c r="H611" s="134" t="s">
        <v>10</v>
      </c>
      <c r="I611" s="135"/>
    </row>
    <row r="612" spans="1:9" ht="21.75" customHeight="1" x14ac:dyDescent="0.25">
      <c r="A612" s="127">
        <v>44718</v>
      </c>
      <c r="B612" s="128" t="s">
        <v>18428</v>
      </c>
      <c r="C612" s="129" t="s">
        <v>146</v>
      </c>
      <c r="D612" s="130">
        <v>2252.8000000000002</v>
      </c>
      <c r="E612" s="131">
        <v>44718</v>
      </c>
      <c r="F612" s="132">
        <v>2252.8000000000002</v>
      </c>
      <c r="G612" s="133">
        <f>Tabla147[[#This Row],[Importe]]-Tabla147[[#This Row],[Pagado]]</f>
        <v>0</v>
      </c>
      <c r="H612" s="134" t="s">
        <v>10</v>
      </c>
      <c r="I612" s="135"/>
    </row>
    <row r="613" spans="1:9" ht="21.75" customHeight="1" x14ac:dyDescent="0.25">
      <c r="A613" s="127">
        <v>44718</v>
      </c>
      <c r="B613" s="128" t="s">
        <v>18429</v>
      </c>
      <c r="C613" s="129" t="s">
        <v>365</v>
      </c>
      <c r="D613" s="130">
        <v>439.3</v>
      </c>
      <c r="E613" s="131">
        <v>44718</v>
      </c>
      <c r="F613" s="132">
        <v>439.3</v>
      </c>
      <c r="G613" s="133">
        <f>Tabla147[[#This Row],[Importe]]-Tabla147[[#This Row],[Pagado]]</f>
        <v>0</v>
      </c>
      <c r="H613" s="134" t="s">
        <v>10</v>
      </c>
      <c r="I613" s="135"/>
    </row>
    <row r="614" spans="1:9" ht="21.75" customHeight="1" x14ac:dyDescent="0.25">
      <c r="A614" s="127">
        <v>44718</v>
      </c>
      <c r="B614" s="128" t="s">
        <v>18430</v>
      </c>
      <c r="C614" s="129" t="s">
        <v>142</v>
      </c>
      <c r="D614" s="130">
        <v>49503.49</v>
      </c>
      <c r="E614" s="131">
        <v>44760</v>
      </c>
      <c r="F614" s="132">
        <v>49503.49</v>
      </c>
      <c r="G614" s="133">
        <f>Tabla147[[#This Row],[Importe]]-Tabla147[[#This Row],[Pagado]]</f>
        <v>0</v>
      </c>
      <c r="H614" s="134" t="s">
        <v>10</v>
      </c>
      <c r="I614" s="135"/>
    </row>
    <row r="615" spans="1:9" ht="21.75" customHeight="1" x14ac:dyDescent="0.25">
      <c r="A615" s="127">
        <v>44718</v>
      </c>
      <c r="B615" s="128" t="s">
        <v>18431</v>
      </c>
      <c r="C615" s="129" t="s">
        <v>107</v>
      </c>
      <c r="D615" s="130">
        <v>14197.8</v>
      </c>
      <c r="E615" s="131">
        <v>44718</v>
      </c>
      <c r="F615" s="132">
        <v>14197.8</v>
      </c>
      <c r="G615" s="133">
        <f>Tabla147[[#This Row],[Importe]]-Tabla147[[#This Row],[Pagado]]</f>
        <v>0</v>
      </c>
      <c r="H615" s="134" t="s">
        <v>10</v>
      </c>
      <c r="I615" s="135"/>
    </row>
    <row r="616" spans="1:9" ht="21.75" customHeight="1" x14ac:dyDescent="0.25">
      <c r="A616" s="127">
        <v>44718</v>
      </c>
      <c r="B616" s="128" t="s">
        <v>18432</v>
      </c>
      <c r="C616" s="129" t="s">
        <v>1362</v>
      </c>
      <c r="D616" s="130">
        <v>4764.5</v>
      </c>
      <c r="E616" s="131">
        <v>44718</v>
      </c>
      <c r="F616" s="132">
        <v>4764.5</v>
      </c>
      <c r="G616" s="133">
        <f>Tabla147[[#This Row],[Importe]]-Tabla147[[#This Row],[Pagado]]</f>
        <v>0</v>
      </c>
      <c r="H616" s="134" t="s">
        <v>10</v>
      </c>
      <c r="I616" s="135"/>
    </row>
    <row r="617" spans="1:9" ht="21.75" customHeight="1" x14ac:dyDescent="0.25">
      <c r="A617" s="127">
        <v>44718</v>
      </c>
      <c r="B617" s="128" t="s">
        <v>18433</v>
      </c>
      <c r="C617" s="129" t="s">
        <v>804</v>
      </c>
      <c r="D617" s="130">
        <v>14338.8</v>
      </c>
      <c r="E617" s="131">
        <v>44718</v>
      </c>
      <c r="F617" s="132">
        <v>14338.8</v>
      </c>
      <c r="G617" s="133">
        <f>Tabla147[[#This Row],[Importe]]-Tabla147[[#This Row],[Pagado]]</f>
        <v>0</v>
      </c>
      <c r="H617" s="134" t="s">
        <v>10</v>
      </c>
      <c r="I617" s="135"/>
    </row>
    <row r="618" spans="1:9" ht="21.75" customHeight="1" x14ac:dyDescent="0.25">
      <c r="A618" s="127">
        <v>44718</v>
      </c>
      <c r="B618" s="128" t="s">
        <v>18434</v>
      </c>
      <c r="C618" s="129" t="s">
        <v>53</v>
      </c>
      <c r="D618" s="130">
        <v>1189.5</v>
      </c>
      <c r="E618" s="131">
        <v>44718</v>
      </c>
      <c r="F618" s="132">
        <v>1189.5</v>
      </c>
      <c r="G618" s="133">
        <f>Tabla147[[#This Row],[Importe]]-Tabla147[[#This Row],[Pagado]]</f>
        <v>0</v>
      </c>
      <c r="H618" s="134" t="s">
        <v>10</v>
      </c>
      <c r="I618" s="135"/>
    </row>
    <row r="619" spans="1:9" ht="21.75" customHeight="1" x14ac:dyDescent="0.25">
      <c r="A619" s="127">
        <v>44718</v>
      </c>
      <c r="B619" s="128" t="s">
        <v>18435</v>
      </c>
      <c r="C619" s="129" t="s">
        <v>275</v>
      </c>
      <c r="D619" s="130">
        <v>132350.39999999999</v>
      </c>
      <c r="E619" s="131">
        <v>44729</v>
      </c>
      <c r="F619" s="132">
        <v>132350.39999999999</v>
      </c>
      <c r="G619" s="133">
        <f>Tabla147[[#This Row],[Importe]]-Tabla147[[#This Row],[Pagado]]</f>
        <v>0</v>
      </c>
      <c r="H619" s="134" t="s">
        <v>10</v>
      </c>
      <c r="I619" s="135"/>
    </row>
    <row r="620" spans="1:9" ht="21.75" customHeight="1" x14ac:dyDescent="0.25">
      <c r="A620" s="127">
        <v>44718</v>
      </c>
      <c r="B620" s="128" t="s">
        <v>18436</v>
      </c>
      <c r="C620" s="129" t="s">
        <v>45</v>
      </c>
      <c r="D620" s="130">
        <v>8737.2000000000007</v>
      </c>
      <c r="E620" s="131">
        <v>44718</v>
      </c>
      <c r="F620" s="132">
        <v>8737.2000000000007</v>
      </c>
      <c r="G620" s="133">
        <f>Tabla147[[#This Row],[Importe]]-Tabla147[[#This Row],[Pagado]]</f>
        <v>0</v>
      </c>
      <c r="H620" s="134" t="s">
        <v>10</v>
      </c>
      <c r="I620" s="135"/>
    </row>
    <row r="621" spans="1:9" ht="21.75" customHeight="1" x14ac:dyDescent="0.25">
      <c r="A621" s="127">
        <v>44718</v>
      </c>
      <c r="B621" s="128" t="s">
        <v>18437</v>
      </c>
      <c r="C621" s="129" t="s">
        <v>214</v>
      </c>
      <c r="D621" s="130">
        <v>13568</v>
      </c>
      <c r="E621" s="131">
        <v>44718</v>
      </c>
      <c r="F621" s="132">
        <v>13568</v>
      </c>
      <c r="G621" s="133">
        <f>Tabla147[[#This Row],[Importe]]-Tabla147[[#This Row],[Pagado]]</f>
        <v>0</v>
      </c>
      <c r="H621" s="134" t="s">
        <v>10</v>
      </c>
      <c r="I621" s="135"/>
    </row>
    <row r="622" spans="1:9" ht="21.75" customHeight="1" x14ac:dyDescent="0.25">
      <c r="A622" s="127">
        <v>44718</v>
      </c>
      <c r="B622" s="128" t="s">
        <v>18438</v>
      </c>
      <c r="C622" s="129" t="s">
        <v>284</v>
      </c>
      <c r="D622" s="130">
        <v>8065.2</v>
      </c>
      <c r="E622" s="131">
        <v>44719</v>
      </c>
      <c r="F622" s="132">
        <v>8065.2</v>
      </c>
      <c r="G622" s="133">
        <f>Tabla147[[#This Row],[Importe]]-Tabla147[[#This Row],[Pagado]]</f>
        <v>0</v>
      </c>
      <c r="H622" s="134" t="s">
        <v>10</v>
      </c>
      <c r="I622" s="135"/>
    </row>
    <row r="623" spans="1:9" ht="21.75" customHeight="1" x14ac:dyDescent="0.25">
      <c r="A623" s="127">
        <v>44718</v>
      </c>
      <c r="B623" s="128" t="s">
        <v>18439</v>
      </c>
      <c r="C623" s="129" t="s">
        <v>142</v>
      </c>
      <c r="D623" s="130">
        <v>47878.06</v>
      </c>
      <c r="E623" s="131">
        <v>44760</v>
      </c>
      <c r="F623" s="132">
        <v>47878.06</v>
      </c>
      <c r="G623" s="133">
        <f>Tabla147[[#This Row],[Importe]]-Tabla147[[#This Row],[Pagado]]</f>
        <v>0</v>
      </c>
      <c r="H623" s="134" t="s">
        <v>10</v>
      </c>
      <c r="I623" s="135"/>
    </row>
    <row r="624" spans="1:9" ht="21.75" customHeight="1" x14ac:dyDescent="0.25">
      <c r="A624" s="127">
        <v>44718</v>
      </c>
      <c r="B624" s="128" t="s">
        <v>18440</v>
      </c>
      <c r="C624" s="129" t="s">
        <v>214</v>
      </c>
      <c r="D624" s="130">
        <v>1672.8</v>
      </c>
      <c r="E624" s="131">
        <v>44718</v>
      </c>
      <c r="F624" s="132">
        <v>1672.8</v>
      </c>
      <c r="G624" s="133">
        <f>Tabla147[[#This Row],[Importe]]-Tabla147[[#This Row],[Pagado]]</f>
        <v>0</v>
      </c>
      <c r="H624" s="134" t="s">
        <v>10</v>
      </c>
      <c r="I624" s="135"/>
    </row>
    <row r="625" spans="1:9" ht="21.75" customHeight="1" x14ac:dyDescent="0.25">
      <c r="A625" s="127">
        <v>44718</v>
      </c>
      <c r="B625" s="128" t="s">
        <v>18441</v>
      </c>
      <c r="C625" s="129" t="s">
        <v>421</v>
      </c>
      <c r="D625" s="130">
        <v>3876</v>
      </c>
      <c r="E625" s="131">
        <v>44718</v>
      </c>
      <c r="F625" s="132">
        <v>3876</v>
      </c>
      <c r="G625" s="133">
        <f>Tabla147[[#This Row],[Importe]]-Tabla147[[#This Row],[Pagado]]</f>
        <v>0</v>
      </c>
      <c r="H625" s="134" t="s">
        <v>10</v>
      </c>
      <c r="I625" s="135"/>
    </row>
    <row r="626" spans="1:9" ht="21.75" customHeight="1" x14ac:dyDescent="0.25">
      <c r="A626" s="127">
        <v>44718</v>
      </c>
      <c r="B626" s="128" t="s">
        <v>18442</v>
      </c>
      <c r="C626" s="129" t="s">
        <v>49</v>
      </c>
      <c r="D626" s="130">
        <v>5846.5</v>
      </c>
      <c r="E626" s="131">
        <v>44718</v>
      </c>
      <c r="F626" s="132">
        <v>5846.5</v>
      </c>
      <c r="G626" s="133">
        <f>Tabla147[[#This Row],[Importe]]-Tabla147[[#This Row],[Pagado]]</f>
        <v>0</v>
      </c>
      <c r="H626" s="134" t="s">
        <v>10</v>
      </c>
      <c r="I626" s="135"/>
    </row>
    <row r="627" spans="1:9" ht="21.75" customHeight="1" x14ac:dyDescent="0.25">
      <c r="A627" s="127">
        <v>44718</v>
      </c>
      <c r="B627" s="128" t="s">
        <v>18443</v>
      </c>
      <c r="C627" s="129" t="s">
        <v>414</v>
      </c>
      <c r="D627" s="130">
        <v>388.7</v>
      </c>
      <c r="E627" s="131">
        <v>44718</v>
      </c>
      <c r="F627" s="132">
        <v>388.7</v>
      </c>
      <c r="G627" s="133">
        <f>Tabla147[[#This Row],[Importe]]-Tabla147[[#This Row],[Pagado]]</f>
        <v>0</v>
      </c>
      <c r="H627" s="134" t="s">
        <v>10</v>
      </c>
      <c r="I627" s="135"/>
    </row>
    <row r="628" spans="1:9" ht="21.75" customHeight="1" x14ac:dyDescent="0.25">
      <c r="A628" s="127">
        <v>44718</v>
      </c>
      <c r="B628" s="128" t="s">
        <v>18444</v>
      </c>
      <c r="C628" s="129" t="s">
        <v>282</v>
      </c>
      <c r="D628" s="130">
        <v>2815.2</v>
      </c>
      <c r="E628" s="131">
        <v>44719</v>
      </c>
      <c r="F628" s="132">
        <v>2815.2</v>
      </c>
      <c r="G628" s="133">
        <f>Tabla147[[#This Row],[Importe]]-Tabla147[[#This Row],[Pagado]]</f>
        <v>0</v>
      </c>
      <c r="H628" s="134" t="s">
        <v>10</v>
      </c>
      <c r="I628" s="135"/>
    </row>
    <row r="629" spans="1:9" ht="21.75" customHeight="1" x14ac:dyDescent="0.25">
      <c r="A629" s="127">
        <v>44718</v>
      </c>
      <c r="B629" s="128" t="s">
        <v>18445</v>
      </c>
      <c r="C629" s="129" t="s">
        <v>280</v>
      </c>
      <c r="D629" s="130">
        <v>1822.4</v>
      </c>
      <c r="E629" s="131">
        <v>44719</v>
      </c>
      <c r="F629" s="132">
        <v>1822.4</v>
      </c>
      <c r="G629" s="133">
        <f>Tabla147[[#This Row],[Importe]]-Tabla147[[#This Row],[Pagado]]</f>
        <v>0</v>
      </c>
      <c r="H629" s="134" t="s">
        <v>10</v>
      </c>
      <c r="I629" s="135"/>
    </row>
    <row r="630" spans="1:9" ht="21.75" customHeight="1" x14ac:dyDescent="0.25">
      <c r="A630" s="127">
        <v>44718</v>
      </c>
      <c r="B630" s="128" t="s">
        <v>18446</v>
      </c>
      <c r="C630" s="129" t="s">
        <v>5345</v>
      </c>
      <c r="D630" s="130">
        <v>1319.2</v>
      </c>
      <c r="E630" s="131">
        <v>44719</v>
      </c>
      <c r="F630" s="132">
        <v>1319.2</v>
      </c>
      <c r="G630" s="133">
        <f>Tabla147[[#This Row],[Importe]]-Tabla147[[#This Row],[Pagado]]</f>
        <v>0</v>
      </c>
      <c r="H630" s="134" t="s">
        <v>10</v>
      </c>
      <c r="I630" s="135"/>
    </row>
    <row r="631" spans="1:9" ht="21.75" customHeight="1" x14ac:dyDescent="0.25">
      <c r="A631" s="127">
        <v>44718</v>
      </c>
      <c r="B631" s="128" t="s">
        <v>18447</v>
      </c>
      <c r="C631" s="129" t="s">
        <v>10819</v>
      </c>
      <c r="D631" s="130">
        <v>1101.5999999999999</v>
      </c>
      <c r="E631" s="131">
        <v>44719</v>
      </c>
      <c r="F631" s="132">
        <v>1101.5999999999999</v>
      </c>
      <c r="G631" s="133">
        <f>Tabla147[[#This Row],[Importe]]-Tabla147[[#This Row],[Pagado]]</f>
        <v>0</v>
      </c>
      <c r="H631" s="134" t="s">
        <v>10</v>
      </c>
      <c r="I631" s="135"/>
    </row>
    <row r="632" spans="1:9" ht="21.75" customHeight="1" x14ac:dyDescent="0.25">
      <c r="A632" s="127">
        <v>44718</v>
      </c>
      <c r="B632" s="128" t="s">
        <v>18448</v>
      </c>
      <c r="C632" s="129" t="s">
        <v>200</v>
      </c>
      <c r="D632" s="130">
        <v>734.4</v>
      </c>
      <c r="E632" s="131">
        <v>44719</v>
      </c>
      <c r="F632" s="132">
        <v>734.4</v>
      </c>
      <c r="G632" s="133">
        <f>Tabla147[[#This Row],[Importe]]-Tabla147[[#This Row],[Pagado]]</f>
        <v>0</v>
      </c>
      <c r="H632" s="134" t="s">
        <v>10</v>
      </c>
      <c r="I632" s="135"/>
    </row>
    <row r="633" spans="1:9" ht="21.75" customHeight="1" x14ac:dyDescent="0.25">
      <c r="A633" s="127">
        <v>44718</v>
      </c>
      <c r="B633" s="128" t="s">
        <v>18449</v>
      </c>
      <c r="C633" s="129" t="s">
        <v>224</v>
      </c>
      <c r="D633" s="130">
        <v>16285.5</v>
      </c>
      <c r="E633" s="131">
        <v>44732</v>
      </c>
      <c r="F633" s="132">
        <v>16285.5</v>
      </c>
      <c r="G633" s="133">
        <f>Tabla147[[#This Row],[Importe]]-Tabla147[[#This Row],[Pagado]]</f>
        <v>0</v>
      </c>
      <c r="H633" s="134" t="s">
        <v>10</v>
      </c>
      <c r="I633" s="135"/>
    </row>
    <row r="634" spans="1:9" ht="21.75" customHeight="1" x14ac:dyDescent="0.25">
      <c r="A634" s="127">
        <v>44718</v>
      </c>
      <c r="B634" s="128" t="s">
        <v>18450</v>
      </c>
      <c r="C634" s="129" t="s">
        <v>24</v>
      </c>
      <c r="D634" s="130">
        <v>1278.8</v>
      </c>
      <c r="E634" s="131">
        <v>44718</v>
      </c>
      <c r="F634" s="132">
        <v>1278.8</v>
      </c>
      <c r="G634" s="133">
        <f>Tabla147[[#This Row],[Importe]]-Tabla147[[#This Row],[Pagado]]</f>
        <v>0</v>
      </c>
      <c r="H634" s="134" t="s">
        <v>10</v>
      </c>
      <c r="I634" s="135"/>
    </row>
    <row r="635" spans="1:9" ht="21.75" customHeight="1" x14ac:dyDescent="0.25">
      <c r="A635" s="127">
        <v>44718</v>
      </c>
      <c r="B635" s="128" t="s">
        <v>18451</v>
      </c>
      <c r="C635" s="129" t="s">
        <v>191</v>
      </c>
      <c r="D635" s="130">
        <v>1659</v>
      </c>
      <c r="E635" s="131">
        <v>44718</v>
      </c>
      <c r="F635" s="132">
        <v>1659</v>
      </c>
      <c r="G635" s="133">
        <f>Tabla147[[#This Row],[Importe]]-Tabla147[[#This Row],[Pagado]]</f>
        <v>0</v>
      </c>
      <c r="H635" s="134" t="s">
        <v>10</v>
      </c>
      <c r="I635" s="135"/>
    </row>
    <row r="636" spans="1:9" ht="21.75" customHeight="1" x14ac:dyDescent="0.25">
      <c r="A636" s="127">
        <v>44718</v>
      </c>
      <c r="B636" s="128" t="s">
        <v>18452</v>
      </c>
      <c r="C636" s="129" t="s">
        <v>198</v>
      </c>
      <c r="D636" s="130">
        <v>4278.8</v>
      </c>
      <c r="E636" s="131">
        <v>44719</v>
      </c>
      <c r="F636" s="132">
        <v>4278.8</v>
      </c>
      <c r="G636" s="133">
        <f>Tabla147[[#This Row],[Importe]]-Tabla147[[#This Row],[Pagado]]</f>
        <v>0</v>
      </c>
      <c r="H636" s="134" t="s">
        <v>10</v>
      </c>
      <c r="I636" s="135"/>
    </row>
    <row r="637" spans="1:9" ht="21.75" customHeight="1" x14ac:dyDescent="0.25">
      <c r="A637" s="127">
        <v>44718</v>
      </c>
      <c r="B637" s="128" t="s">
        <v>18453</v>
      </c>
      <c r="C637" s="129" t="s">
        <v>181</v>
      </c>
      <c r="D637" s="130">
        <v>8259.7999999999993</v>
      </c>
      <c r="E637" s="131">
        <v>44719</v>
      </c>
      <c r="F637" s="132">
        <v>8259.7999999999993</v>
      </c>
      <c r="G637" s="133">
        <f>Tabla147[[#This Row],[Importe]]-Tabla147[[#This Row],[Pagado]]</f>
        <v>0</v>
      </c>
      <c r="H637" s="134" t="s">
        <v>10</v>
      </c>
      <c r="I637" s="135"/>
    </row>
    <row r="638" spans="1:9" ht="21.75" customHeight="1" x14ac:dyDescent="0.25">
      <c r="A638" s="127">
        <v>44718</v>
      </c>
      <c r="B638" s="128" t="s">
        <v>18454</v>
      </c>
      <c r="C638" s="129" t="s">
        <v>426</v>
      </c>
      <c r="D638" s="130">
        <v>10252.1</v>
      </c>
      <c r="E638" s="131">
        <v>44719</v>
      </c>
      <c r="F638" s="132">
        <v>10252.1</v>
      </c>
      <c r="G638" s="133">
        <f>Tabla147[[#This Row],[Importe]]-Tabla147[[#This Row],[Pagado]]</f>
        <v>0</v>
      </c>
      <c r="H638" s="134" t="s">
        <v>10</v>
      </c>
      <c r="I638" s="135"/>
    </row>
    <row r="639" spans="1:9" ht="21.75" customHeight="1" x14ac:dyDescent="0.25">
      <c r="A639" s="127">
        <v>44718</v>
      </c>
      <c r="B639" s="128" t="s">
        <v>18455</v>
      </c>
      <c r="C639" s="129" t="s">
        <v>359</v>
      </c>
      <c r="D639" s="130">
        <v>3180</v>
      </c>
      <c r="E639" s="131">
        <v>44719</v>
      </c>
      <c r="F639" s="132">
        <v>3180</v>
      </c>
      <c r="G639" s="133">
        <f>Tabla147[[#This Row],[Importe]]-Tabla147[[#This Row],[Pagado]]</f>
        <v>0</v>
      </c>
      <c r="H639" s="134" t="s">
        <v>10</v>
      </c>
      <c r="I639" s="135"/>
    </row>
    <row r="640" spans="1:9" ht="21.75" customHeight="1" x14ac:dyDescent="0.25">
      <c r="A640" s="127">
        <v>44718</v>
      </c>
      <c r="B640" s="128" t="s">
        <v>18456</v>
      </c>
      <c r="C640" s="129" t="s">
        <v>175</v>
      </c>
      <c r="D640" s="130">
        <v>31993.599999999999</v>
      </c>
      <c r="E640" s="131">
        <v>44719</v>
      </c>
      <c r="F640" s="132">
        <v>31993.599999999999</v>
      </c>
      <c r="G640" s="133">
        <f>Tabla147[[#This Row],[Importe]]-Tabla147[[#This Row],[Pagado]]</f>
        <v>0</v>
      </c>
      <c r="H640" s="134" t="s">
        <v>10</v>
      </c>
      <c r="I640" s="135"/>
    </row>
    <row r="641" spans="1:9" ht="21.75" customHeight="1" x14ac:dyDescent="0.25">
      <c r="A641" s="127">
        <v>44718</v>
      </c>
      <c r="B641" s="128" t="s">
        <v>18457</v>
      </c>
      <c r="C641" s="129" t="s">
        <v>246</v>
      </c>
      <c r="D641" s="130">
        <v>2898</v>
      </c>
      <c r="E641" s="131">
        <v>44718</v>
      </c>
      <c r="F641" s="132">
        <v>2898</v>
      </c>
      <c r="G641" s="133">
        <f>Tabla147[[#This Row],[Importe]]-Tabla147[[#This Row],[Pagado]]</f>
        <v>0</v>
      </c>
      <c r="H641" s="134" t="s">
        <v>10</v>
      </c>
      <c r="I641" s="135"/>
    </row>
    <row r="642" spans="1:9" ht="21.75" customHeight="1" x14ac:dyDescent="0.25">
      <c r="A642" s="127">
        <v>44718</v>
      </c>
      <c r="B642" s="128" t="s">
        <v>18458</v>
      </c>
      <c r="C642" s="129" t="s">
        <v>216</v>
      </c>
      <c r="D642" s="130">
        <v>1931.2</v>
      </c>
      <c r="E642" s="131">
        <v>44718</v>
      </c>
      <c r="F642" s="132">
        <v>1931.2</v>
      </c>
      <c r="G642" s="133">
        <f>Tabla147[[#This Row],[Importe]]-Tabla147[[#This Row],[Pagado]]</f>
        <v>0</v>
      </c>
      <c r="H642" s="134" t="s">
        <v>10</v>
      </c>
      <c r="I642" s="135"/>
    </row>
    <row r="643" spans="1:9" ht="21.75" customHeight="1" x14ac:dyDescent="0.25">
      <c r="A643" s="127">
        <v>44718</v>
      </c>
      <c r="B643" s="128" t="s">
        <v>18459</v>
      </c>
      <c r="C643" s="129" t="s">
        <v>240</v>
      </c>
      <c r="D643" s="130">
        <v>11030.4</v>
      </c>
      <c r="E643" s="131">
        <v>44718</v>
      </c>
      <c r="F643" s="132">
        <v>11030.4</v>
      </c>
      <c r="G643" s="133">
        <f>Tabla147[[#This Row],[Importe]]-Tabla147[[#This Row],[Pagado]]</f>
        <v>0</v>
      </c>
      <c r="H643" s="134" t="s">
        <v>10</v>
      </c>
      <c r="I643" s="135"/>
    </row>
    <row r="644" spans="1:9" ht="21.75" customHeight="1" x14ac:dyDescent="0.25">
      <c r="A644" s="127">
        <v>44718</v>
      </c>
      <c r="B644" s="128" t="s">
        <v>18460</v>
      </c>
      <c r="C644" s="129" t="s">
        <v>230</v>
      </c>
      <c r="D644" s="130">
        <v>4156.8999999999996</v>
      </c>
      <c r="E644" s="131">
        <v>44718</v>
      </c>
      <c r="F644" s="132">
        <v>4156.8999999999996</v>
      </c>
      <c r="G644" s="133">
        <f>Tabla147[[#This Row],[Importe]]-Tabla147[[#This Row],[Pagado]]</f>
        <v>0</v>
      </c>
      <c r="H644" s="134" t="s">
        <v>10</v>
      </c>
      <c r="I644" s="135"/>
    </row>
    <row r="645" spans="1:9" ht="21.75" customHeight="1" x14ac:dyDescent="0.25">
      <c r="A645" s="127">
        <v>44718</v>
      </c>
      <c r="B645" s="128" t="s">
        <v>18461</v>
      </c>
      <c r="C645" s="129" t="s">
        <v>230</v>
      </c>
      <c r="D645" s="130">
        <v>1540.8</v>
      </c>
      <c r="E645" s="131">
        <v>44718</v>
      </c>
      <c r="F645" s="132">
        <v>1540.8</v>
      </c>
      <c r="G645" s="133">
        <f>Tabla147[[#This Row],[Importe]]-Tabla147[[#This Row],[Pagado]]</f>
        <v>0</v>
      </c>
      <c r="H645" s="134" t="s">
        <v>10</v>
      </c>
      <c r="I645" s="135"/>
    </row>
    <row r="646" spans="1:9" ht="21.75" customHeight="1" x14ac:dyDescent="0.25">
      <c r="A646" s="127">
        <v>44718</v>
      </c>
      <c r="B646" s="128" t="s">
        <v>18462</v>
      </c>
      <c r="C646" s="129" t="s">
        <v>670</v>
      </c>
      <c r="D646" s="130">
        <v>4870.8</v>
      </c>
      <c r="E646" s="131">
        <v>44718</v>
      </c>
      <c r="F646" s="132">
        <v>4870.8</v>
      </c>
      <c r="G646" s="133">
        <f>Tabla147[[#This Row],[Importe]]-Tabla147[[#This Row],[Pagado]]</f>
        <v>0</v>
      </c>
      <c r="H646" s="134" t="s">
        <v>10</v>
      </c>
      <c r="I646" s="135"/>
    </row>
    <row r="647" spans="1:9" ht="21.75" customHeight="1" x14ac:dyDescent="0.25">
      <c r="A647" s="127">
        <v>44718</v>
      </c>
      <c r="B647" s="128" t="s">
        <v>18463</v>
      </c>
      <c r="C647" s="129" t="s">
        <v>179</v>
      </c>
      <c r="D647" s="130">
        <v>1360</v>
      </c>
      <c r="E647" s="131">
        <v>44718</v>
      </c>
      <c r="F647" s="132">
        <v>1360</v>
      </c>
      <c r="G647" s="133">
        <f>Tabla147[[#This Row],[Importe]]-Tabla147[[#This Row],[Pagado]]</f>
        <v>0</v>
      </c>
      <c r="H647" s="134" t="s">
        <v>10</v>
      </c>
      <c r="I647" s="135"/>
    </row>
    <row r="648" spans="1:9" ht="21.75" customHeight="1" x14ac:dyDescent="0.25">
      <c r="A648" s="127">
        <v>44718</v>
      </c>
      <c r="B648" s="128" t="s">
        <v>18464</v>
      </c>
      <c r="C648" s="129" t="s">
        <v>419</v>
      </c>
      <c r="D648" s="130">
        <v>5510.1</v>
      </c>
      <c r="E648" s="131">
        <v>44718</v>
      </c>
      <c r="F648" s="132">
        <v>5510.1</v>
      </c>
      <c r="G648" s="133">
        <f>Tabla147[[#This Row],[Importe]]-Tabla147[[#This Row],[Pagado]]</f>
        <v>0</v>
      </c>
      <c r="H648" s="134" t="s">
        <v>10</v>
      </c>
      <c r="I648" s="135"/>
    </row>
    <row r="649" spans="1:9" ht="21.75" customHeight="1" x14ac:dyDescent="0.25">
      <c r="A649" s="127">
        <v>44718</v>
      </c>
      <c r="B649" s="128" t="s">
        <v>18465</v>
      </c>
      <c r="C649" s="129" t="s">
        <v>218</v>
      </c>
      <c r="D649" s="130">
        <v>14175.8</v>
      </c>
      <c r="E649" s="131">
        <v>44721</v>
      </c>
      <c r="F649" s="132">
        <v>14175.8</v>
      </c>
      <c r="G649" s="133">
        <f>Tabla147[[#This Row],[Importe]]-Tabla147[[#This Row],[Pagado]]</f>
        <v>0</v>
      </c>
      <c r="H649" s="134" t="s">
        <v>10</v>
      </c>
      <c r="I649" s="135"/>
    </row>
    <row r="650" spans="1:9" ht="21.75" customHeight="1" x14ac:dyDescent="0.25">
      <c r="A650" s="127">
        <v>44718</v>
      </c>
      <c r="B650" s="128" t="s">
        <v>18466</v>
      </c>
      <c r="C650" s="129" t="s">
        <v>208</v>
      </c>
      <c r="D650" s="130">
        <v>13227.5</v>
      </c>
      <c r="E650" s="131">
        <v>44727</v>
      </c>
      <c r="F650" s="132">
        <v>13227.5</v>
      </c>
      <c r="G650" s="133">
        <f>Tabla147[[#This Row],[Importe]]-Tabla147[[#This Row],[Pagado]]</f>
        <v>0</v>
      </c>
      <c r="H650" s="134" t="s">
        <v>10</v>
      </c>
      <c r="I650" s="135"/>
    </row>
    <row r="651" spans="1:9" ht="21.75" customHeight="1" x14ac:dyDescent="0.25">
      <c r="A651" s="127">
        <v>44718</v>
      </c>
      <c r="B651" s="128" t="s">
        <v>18467</v>
      </c>
      <c r="C651" s="129" t="s">
        <v>7745</v>
      </c>
      <c r="D651" s="130">
        <v>25247.200000000001</v>
      </c>
      <c r="E651" s="131">
        <v>44718</v>
      </c>
      <c r="F651" s="132">
        <v>25247.200000000001</v>
      </c>
      <c r="G651" s="133">
        <f>Tabla147[[#This Row],[Importe]]-Tabla147[[#This Row],[Pagado]]</f>
        <v>0</v>
      </c>
      <c r="H651" s="134" t="s">
        <v>10</v>
      </c>
      <c r="I651" s="135"/>
    </row>
    <row r="652" spans="1:9" ht="21.75" customHeight="1" x14ac:dyDescent="0.25">
      <c r="A652" s="127">
        <v>44718</v>
      </c>
      <c r="B652" s="128" t="s">
        <v>18468</v>
      </c>
      <c r="C652" s="129" t="s">
        <v>196</v>
      </c>
      <c r="D652" s="130">
        <v>3089.44</v>
      </c>
      <c r="E652" s="131">
        <v>44722</v>
      </c>
      <c r="F652" s="132">
        <v>3089.44</v>
      </c>
      <c r="G652" s="133">
        <f>Tabla147[[#This Row],[Importe]]-Tabla147[[#This Row],[Pagado]]</f>
        <v>0</v>
      </c>
      <c r="H652" s="134" t="s">
        <v>10</v>
      </c>
      <c r="I652" s="135"/>
    </row>
    <row r="653" spans="1:9" ht="21.75" customHeight="1" x14ac:dyDescent="0.25">
      <c r="A653" s="127">
        <v>44718</v>
      </c>
      <c r="B653" s="128" t="s">
        <v>18469</v>
      </c>
      <c r="C653" s="129" t="s">
        <v>206</v>
      </c>
      <c r="D653" s="130">
        <v>29317.8</v>
      </c>
      <c r="E653" s="131">
        <v>44721</v>
      </c>
      <c r="F653" s="132">
        <v>29317.8</v>
      </c>
      <c r="G653" s="133">
        <f>Tabla147[[#This Row],[Importe]]-Tabla147[[#This Row],[Pagado]]</f>
        <v>0</v>
      </c>
      <c r="H653" s="134" t="s">
        <v>10</v>
      </c>
      <c r="I653" s="135"/>
    </row>
    <row r="654" spans="1:9" ht="21.75" customHeight="1" x14ac:dyDescent="0.25">
      <c r="A654" s="127">
        <v>44718</v>
      </c>
      <c r="B654" s="128" t="s">
        <v>18470</v>
      </c>
      <c r="C654" s="129" t="s">
        <v>244</v>
      </c>
      <c r="D654" s="130">
        <v>1575.2</v>
      </c>
      <c r="E654" s="131">
        <v>44718</v>
      </c>
      <c r="F654" s="132">
        <v>1575.2</v>
      </c>
      <c r="G654" s="133">
        <f>Tabla147[[#This Row],[Importe]]-Tabla147[[#This Row],[Pagado]]</f>
        <v>0</v>
      </c>
      <c r="H654" s="134" t="s">
        <v>10</v>
      </c>
      <c r="I654" s="135"/>
    </row>
    <row r="655" spans="1:9" ht="21.75" customHeight="1" x14ac:dyDescent="0.25">
      <c r="A655" s="127">
        <v>44718</v>
      </c>
      <c r="B655" s="128" t="s">
        <v>18471</v>
      </c>
      <c r="C655" s="129" t="s">
        <v>698</v>
      </c>
      <c r="D655" s="130">
        <v>8598.6</v>
      </c>
      <c r="E655" s="131">
        <v>44718</v>
      </c>
      <c r="F655" s="132">
        <v>8598.6</v>
      </c>
      <c r="G655" s="133">
        <f>Tabla147[[#This Row],[Importe]]-Tabla147[[#This Row],[Pagado]]</f>
        <v>0</v>
      </c>
      <c r="H655" s="134" t="s">
        <v>10</v>
      </c>
      <c r="I655" s="135"/>
    </row>
    <row r="656" spans="1:9" ht="21.75" customHeight="1" x14ac:dyDescent="0.25">
      <c r="A656" s="127">
        <v>44718</v>
      </c>
      <c r="B656" s="128" t="s">
        <v>18472</v>
      </c>
      <c r="C656" s="129" t="s">
        <v>9827</v>
      </c>
      <c r="D656" s="130">
        <v>8893</v>
      </c>
      <c r="E656" s="131">
        <v>44718</v>
      </c>
      <c r="F656" s="132">
        <v>8893</v>
      </c>
      <c r="G656" s="133">
        <f>Tabla147[[#This Row],[Importe]]-Tabla147[[#This Row],[Pagado]]</f>
        <v>0</v>
      </c>
      <c r="H656" s="134" t="s">
        <v>10</v>
      </c>
      <c r="I656" s="135"/>
    </row>
    <row r="657" spans="1:9" ht="21.75" customHeight="1" x14ac:dyDescent="0.25">
      <c r="A657" s="127">
        <v>44718</v>
      </c>
      <c r="B657" s="128" t="s">
        <v>18473</v>
      </c>
      <c r="C657" s="129" t="s">
        <v>212</v>
      </c>
      <c r="D657" s="130">
        <v>59174.8</v>
      </c>
      <c r="E657" s="131">
        <v>44721</v>
      </c>
      <c r="F657" s="132">
        <v>59174.8</v>
      </c>
      <c r="G657" s="133">
        <f>Tabla147[[#This Row],[Importe]]-Tabla147[[#This Row],[Pagado]]</f>
        <v>0</v>
      </c>
      <c r="H657" s="134" t="s">
        <v>10</v>
      </c>
      <c r="I657" s="135"/>
    </row>
    <row r="658" spans="1:9" ht="21.75" customHeight="1" x14ac:dyDescent="0.25">
      <c r="A658" s="127">
        <v>44718</v>
      </c>
      <c r="B658" s="128" t="s">
        <v>18474</v>
      </c>
      <c r="C658" s="129" t="s">
        <v>58</v>
      </c>
      <c r="D658" s="130">
        <v>5358</v>
      </c>
      <c r="E658" s="131">
        <v>44718</v>
      </c>
      <c r="F658" s="132">
        <v>5358</v>
      </c>
      <c r="G658" s="133">
        <f>Tabla147[[#This Row],[Importe]]-Tabla147[[#This Row],[Pagado]]</f>
        <v>0</v>
      </c>
      <c r="H658" s="134" t="s">
        <v>10</v>
      </c>
      <c r="I658" s="135"/>
    </row>
    <row r="659" spans="1:9" ht="21.75" customHeight="1" x14ac:dyDescent="0.25">
      <c r="A659" s="127">
        <v>44718</v>
      </c>
      <c r="B659" s="128" t="s">
        <v>18475</v>
      </c>
      <c r="C659" s="129" t="s">
        <v>249</v>
      </c>
      <c r="D659" s="130">
        <v>7078.7</v>
      </c>
      <c r="E659" s="131">
        <v>44718</v>
      </c>
      <c r="F659" s="132">
        <v>7078.7</v>
      </c>
      <c r="G659" s="133">
        <f>Tabla147[[#This Row],[Importe]]-Tabla147[[#This Row],[Pagado]]</f>
        <v>0</v>
      </c>
      <c r="H659" s="134" t="s">
        <v>10</v>
      </c>
      <c r="I659" s="135"/>
    </row>
    <row r="660" spans="1:9" ht="21.75" customHeight="1" x14ac:dyDescent="0.25">
      <c r="A660" s="127">
        <v>44718</v>
      </c>
      <c r="B660" s="128" t="s">
        <v>18476</v>
      </c>
      <c r="C660" s="129" t="s">
        <v>31</v>
      </c>
      <c r="D660" s="130">
        <v>152</v>
      </c>
      <c r="E660" s="131">
        <v>44718</v>
      </c>
      <c r="F660" s="132">
        <v>152</v>
      </c>
      <c r="G660" s="133">
        <f>Tabla147[[#This Row],[Importe]]-Tabla147[[#This Row],[Pagado]]</f>
        <v>0</v>
      </c>
      <c r="H660" s="134" t="s">
        <v>10</v>
      </c>
      <c r="I660" s="135"/>
    </row>
    <row r="661" spans="1:9" ht="21.75" customHeight="1" x14ac:dyDescent="0.25">
      <c r="A661" s="127">
        <v>44718</v>
      </c>
      <c r="B661" s="128" t="s">
        <v>18477</v>
      </c>
      <c r="C661" s="129" t="s">
        <v>154</v>
      </c>
      <c r="D661" s="130">
        <v>28774.9</v>
      </c>
      <c r="E661" s="131">
        <v>44723</v>
      </c>
      <c r="F661" s="132">
        <v>28774.9</v>
      </c>
      <c r="G661" s="133">
        <f>Tabla147[[#This Row],[Importe]]-Tabla147[[#This Row],[Pagado]]</f>
        <v>0</v>
      </c>
      <c r="H661" s="134" t="s">
        <v>10</v>
      </c>
      <c r="I661" s="135"/>
    </row>
    <row r="662" spans="1:9" ht="21.75" customHeight="1" x14ac:dyDescent="0.25">
      <c r="A662" s="127">
        <v>44718</v>
      </c>
      <c r="B662" s="128" t="s">
        <v>18478</v>
      </c>
      <c r="C662" s="129" t="s">
        <v>31</v>
      </c>
      <c r="D662" s="130">
        <v>87</v>
      </c>
      <c r="E662" s="131">
        <v>44718</v>
      </c>
      <c r="F662" s="132">
        <v>87</v>
      </c>
      <c r="G662" s="133">
        <f>Tabla147[[#This Row],[Importe]]-Tabla147[[#This Row],[Pagado]]</f>
        <v>0</v>
      </c>
      <c r="H662" s="134" t="s">
        <v>10</v>
      </c>
      <c r="I662" s="135"/>
    </row>
    <row r="663" spans="1:9" ht="21.75" customHeight="1" x14ac:dyDescent="0.25">
      <c r="A663" s="127">
        <v>44718</v>
      </c>
      <c r="B663" s="128" t="s">
        <v>18479</v>
      </c>
      <c r="C663" s="129" t="s">
        <v>191</v>
      </c>
      <c r="D663" s="130">
        <v>33907.199999999997</v>
      </c>
      <c r="E663" s="131">
        <v>44718</v>
      </c>
      <c r="F663" s="132">
        <v>33907.199999999997</v>
      </c>
      <c r="G663" s="133">
        <f>Tabla147[[#This Row],[Importe]]-Tabla147[[#This Row],[Pagado]]</f>
        <v>0</v>
      </c>
      <c r="H663" s="134" t="s">
        <v>10</v>
      </c>
      <c r="I663" s="135"/>
    </row>
    <row r="664" spans="1:9" ht="21.75" customHeight="1" x14ac:dyDescent="0.25">
      <c r="A664" s="127">
        <v>44718</v>
      </c>
      <c r="B664" s="128" t="s">
        <v>18480</v>
      </c>
      <c r="C664" s="129" t="s">
        <v>53</v>
      </c>
      <c r="D664" s="130">
        <v>1661.4</v>
      </c>
      <c r="E664" s="131">
        <v>44718</v>
      </c>
      <c r="F664" s="132">
        <v>1661.4</v>
      </c>
      <c r="G664" s="133">
        <f>Tabla147[[#This Row],[Importe]]-Tabla147[[#This Row],[Pagado]]</f>
        <v>0</v>
      </c>
      <c r="H664" s="134" t="s">
        <v>10</v>
      </c>
      <c r="I664" s="135"/>
    </row>
    <row r="665" spans="1:9" ht="21.75" customHeight="1" x14ac:dyDescent="0.25">
      <c r="A665" s="127">
        <v>44718</v>
      </c>
      <c r="B665" s="128" t="s">
        <v>18481</v>
      </c>
      <c r="C665" s="129" t="s">
        <v>196</v>
      </c>
      <c r="D665" s="130">
        <v>93919.32</v>
      </c>
      <c r="E665" s="131">
        <v>44722</v>
      </c>
      <c r="F665" s="132">
        <v>93919.32</v>
      </c>
      <c r="G665" s="133">
        <f>Tabla147[[#This Row],[Importe]]-Tabla147[[#This Row],[Pagado]]</f>
        <v>0</v>
      </c>
      <c r="H665" s="134" t="s">
        <v>10</v>
      </c>
      <c r="I665" s="135"/>
    </row>
    <row r="666" spans="1:9" ht="21.75" customHeight="1" x14ac:dyDescent="0.25">
      <c r="A666" s="127">
        <v>44718</v>
      </c>
      <c r="B666" s="128" t="s">
        <v>18482</v>
      </c>
      <c r="C666" s="129" t="s">
        <v>196</v>
      </c>
      <c r="D666" s="130">
        <v>8582.7000000000007</v>
      </c>
      <c r="E666" s="131">
        <v>44722</v>
      </c>
      <c r="F666" s="132">
        <v>8582.7000000000007</v>
      </c>
      <c r="G666" s="133">
        <f>Tabla147[[#This Row],[Importe]]-Tabla147[[#This Row],[Pagado]]</f>
        <v>0</v>
      </c>
      <c r="H666" s="134" t="s">
        <v>10</v>
      </c>
      <c r="I666" s="135"/>
    </row>
    <row r="667" spans="1:9" ht="21.75" customHeight="1" x14ac:dyDescent="0.25">
      <c r="A667" s="127">
        <v>44718</v>
      </c>
      <c r="B667" s="128" t="s">
        <v>18483</v>
      </c>
      <c r="C667" s="129" t="s">
        <v>10678</v>
      </c>
      <c r="D667" s="130">
        <v>4357</v>
      </c>
      <c r="E667" s="131">
        <v>44718</v>
      </c>
      <c r="F667" s="132">
        <v>4357</v>
      </c>
      <c r="G667" s="133">
        <f>Tabla147[[#This Row],[Importe]]-Tabla147[[#This Row],[Pagado]]</f>
        <v>0</v>
      </c>
      <c r="H667" s="134" t="s">
        <v>10</v>
      </c>
      <c r="I667" s="135"/>
    </row>
    <row r="668" spans="1:9" ht="21.75" customHeight="1" x14ac:dyDescent="0.25">
      <c r="A668" s="127">
        <v>44718</v>
      </c>
      <c r="B668" s="128" t="s">
        <v>18484</v>
      </c>
      <c r="C668" s="129" t="s">
        <v>1008</v>
      </c>
      <c r="D668" s="130">
        <v>5215.6000000000004</v>
      </c>
      <c r="E668" s="131">
        <v>44718</v>
      </c>
      <c r="F668" s="132">
        <v>5215.6000000000004</v>
      </c>
      <c r="G668" s="133">
        <f>Tabla147[[#This Row],[Importe]]-Tabla147[[#This Row],[Pagado]]</f>
        <v>0</v>
      </c>
      <c r="H668" s="134" t="s">
        <v>10</v>
      </c>
      <c r="I668" s="135"/>
    </row>
    <row r="669" spans="1:9" ht="21.75" customHeight="1" x14ac:dyDescent="0.25">
      <c r="A669" s="127">
        <v>44718</v>
      </c>
      <c r="B669" s="128" t="s">
        <v>18485</v>
      </c>
      <c r="C669" s="129" t="s">
        <v>31</v>
      </c>
      <c r="D669" s="130">
        <v>525.4</v>
      </c>
      <c r="E669" s="131">
        <v>44718</v>
      </c>
      <c r="F669" s="132">
        <v>525.4</v>
      </c>
      <c r="G669" s="133">
        <f>Tabla147[[#This Row],[Importe]]-Tabla147[[#This Row],[Pagado]]</f>
        <v>0</v>
      </c>
      <c r="H669" s="134" t="s">
        <v>10</v>
      </c>
      <c r="I669" s="135"/>
    </row>
    <row r="670" spans="1:9" ht="21.75" customHeight="1" x14ac:dyDescent="0.25">
      <c r="A670" s="127">
        <v>44718</v>
      </c>
      <c r="B670" s="128" t="s">
        <v>18486</v>
      </c>
      <c r="C670" s="129" t="s">
        <v>994</v>
      </c>
      <c r="D670" s="130">
        <v>1735.8</v>
      </c>
      <c r="E670" s="131">
        <v>44718</v>
      </c>
      <c r="F670" s="132">
        <v>1735.8</v>
      </c>
      <c r="G670" s="133">
        <f>Tabla147[[#This Row],[Importe]]-Tabla147[[#This Row],[Pagado]]</f>
        <v>0</v>
      </c>
      <c r="H670" s="134" t="s">
        <v>10</v>
      </c>
      <c r="I670" s="135"/>
    </row>
    <row r="671" spans="1:9" ht="21.75" customHeight="1" x14ac:dyDescent="0.25">
      <c r="A671" s="127">
        <v>44718</v>
      </c>
      <c r="B671" s="128" t="s">
        <v>18487</v>
      </c>
      <c r="C671" s="129" t="s">
        <v>10190</v>
      </c>
      <c r="D671" s="130">
        <v>20010</v>
      </c>
      <c r="E671" s="131">
        <v>44719</v>
      </c>
      <c r="F671" s="132">
        <v>20010</v>
      </c>
      <c r="G671" s="133">
        <f>Tabla147[[#This Row],[Importe]]-Tabla147[[#This Row],[Pagado]]</f>
        <v>0</v>
      </c>
      <c r="H671" s="134" t="s">
        <v>10</v>
      </c>
      <c r="I671" s="135"/>
    </row>
    <row r="672" spans="1:9" ht="21.75" customHeight="1" x14ac:dyDescent="0.25">
      <c r="A672" s="127">
        <v>44718</v>
      </c>
      <c r="B672" s="128" t="s">
        <v>18488</v>
      </c>
      <c r="C672" s="129" t="s">
        <v>414</v>
      </c>
      <c r="D672" s="130">
        <v>312</v>
      </c>
      <c r="E672" s="131">
        <v>44719</v>
      </c>
      <c r="F672" s="132">
        <v>312</v>
      </c>
      <c r="G672" s="133">
        <f>Tabla147[[#This Row],[Importe]]-Tabla147[[#This Row],[Pagado]]</f>
        <v>0</v>
      </c>
      <c r="H672" s="134" t="s">
        <v>10</v>
      </c>
      <c r="I672" s="135"/>
    </row>
    <row r="673" spans="1:9" ht="21.75" customHeight="1" x14ac:dyDescent="0.25">
      <c r="A673" s="127">
        <v>44718</v>
      </c>
      <c r="B673" s="128" t="s">
        <v>18489</v>
      </c>
      <c r="C673" s="129" t="s">
        <v>296</v>
      </c>
      <c r="D673" s="130">
        <v>2690.9</v>
      </c>
      <c r="E673" s="131">
        <v>44718</v>
      </c>
      <c r="F673" s="132">
        <v>2690.9</v>
      </c>
      <c r="G673" s="133">
        <f>Tabla147[[#This Row],[Importe]]-Tabla147[[#This Row],[Pagado]]</f>
        <v>0</v>
      </c>
      <c r="H673" s="134" t="s">
        <v>10</v>
      </c>
      <c r="I673" s="135"/>
    </row>
    <row r="674" spans="1:9" ht="21.75" customHeight="1" x14ac:dyDescent="0.25">
      <c r="A674" s="127">
        <v>44718</v>
      </c>
      <c r="B674" s="128" t="s">
        <v>18490</v>
      </c>
      <c r="C674" s="129" t="s">
        <v>14375</v>
      </c>
      <c r="D674" s="130">
        <v>0</v>
      </c>
      <c r="E674" s="136" t="s">
        <v>189</v>
      </c>
      <c r="F674" s="132">
        <v>0</v>
      </c>
      <c r="G674" s="133">
        <f>Tabla147[[#This Row],[Importe]]-Tabla147[[#This Row],[Pagado]]</f>
        <v>0</v>
      </c>
      <c r="H674" s="134" t="s">
        <v>189</v>
      </c>
      <c r="I674" s="135"/>
    </row>
    <row r="675" spans="1:9" ht="21.75" customHeight="1" x14ac:dyDescent="0.25">
      <c r="A675" s="127">
        <v>44718</v>
      </c>
      <c r="B675" s="128" t="s">
        <v>18491</v>
      </c>
      <c r="C675" s="129" t="s">
        <v>31</v>
      </c>
      <c r="D675" s="130">
        <v>2493.1999999999998</v>
      </c>
      <c r="E675" s="131">
        <v>44718</v>
      </c>
      <c r="F675" s="132">
        <v>2493.1999999999998</v>
      </c>
      <c r="G675" s="133">
        <f>Tabla147[[#This Row],[Importe]]-Tabla147[[#This Row],[Pagado]]</f>
        <v>0</v>
      </c>
      <c r="H675" s="134" t="s">
        <v>10</v>
      </c>
      <c r="I675" s="135"/>
    </row>
    <row r="676" spans="1:9" ht="21.75" customHeight="1" x14ac:dyDescent="0.25">
      <c r="A676" s="127">
        <v>44718</v>
      </c>
      <c r="B676" s="128" t="s">
        <v>18492</v>
      </c>
      <c r="C676" s="129" t="s">
        <v>71</v>
      </c>
      <c r="D676" s="130">
        <v>4770</v>
      </c>
      <c r="E676" s="131">
        <v>44718</v>
      </c>
      <c r="F676" s="132">
        <v>4770</v>
      </c>
      <c r="G676" s="133">
        <f>Tabla147[[#This Row],[Importe]]-Tabla147[[#This Row],[Pagado]]</f>
        <v>0</v>
      </c>
      <c r="H676" s="134" t="s">
        <v>10</v>
      </c>
      <c r="I676" s="135"/>
    </row>
    <row r="677" spans="1:9" ht="21.75" customHeight="1" x14ac:dyDescent="0.25">
      <c r="A677" s="127">
        <v>44718</v>
      </c>
      <c r="B677" s="128" t="s">
        <v>18493</v>
      </c>
      <c r="C677" s="129" t="s">
        <v>31</v>
      </c>
      <c r="D677" s="130">
        <v>838.8</v>
      </c>
      <c r="E677" s="131">
        <v>44718</v>
      </c>
      <c r="F677" s="132">
        <v>838.8</v>
      </c>
      <c r="G677" s="133">
        <f>Tabla147[[#This Row],[Importe]]-Tabla147[[#This Row],[Pagado]]</f>
        <v>0</v>
      </c>
      <c r="H677" s="134" t="s">
        <v>10</v>
      </c>
      <c r="I677" s="135"/>
    </row>
    <row r="678" spans="1:9" ht="21.75" customHeight="1" x14ac:dyDescent="0.25">
      <c r="A678" s="127">
        <v>44718</v>
      </c>
      <c r="B678" s="128" t="s">
        <v>18494</v>
      </c>
      <c r="C678" s="129" t="s">
        <v>246</v>
      </c>
      <c r="D678" s="130">
        <v>6541.68</v>
      </c>
      <c r="E678" s="131">
        <v>44718</v>
      </c>
      <c r="F678" s="132">
        <v>6541.68</v>
      </c>
      <c r="G678" s="133">
        <f>Tabla147[[#This Row],[Importe]]-Tabla147[[#This Row],[Pagado]]</f>
        <v>0</v>
      </c>
      <c r="H678" s="134" t="s">
        <v>10</v>
      </c>
      <c r="I678" s="135"/>
    </row>
    <row r="679" spans="1:9" ht="21.75" customHeight="1" x14ac:dyDescent="0.25">
      <c r="A679" s="127">
        <v>44718</v>
      </c>
      <c r="B679" s="128" t="s">
        <v>18495</v>
      </c>
      <c r="C679" s="129" t="s">
        <v>31</v>
      </c>
      <c r="D679" s="130">
        <v>18119.2</v>
      </c>
      <c r="E679" s="131">
        <v>44718</v>
      </c>
      <c r="F679" s="132">
        <v>18119.2</v>
      </c>
      <c r="G679" s="133">
        <f>Tabla147[[#This Row],[Importe]]-Tabla147[[#This Row],[Pagado]]</f>
        <v>0</v>
      </c>
      <c r="H679" s="134" t="s">
        <v>10</v>
      </c>
      <c r="I679" s="135"/>
    </row>
    <row r="680" spans="1:9" ht="21.75" customHeight="1" x14ac:dyDescent="0.25">
      <c r="A680" s="127">
        <v>44718</v>
      </c>
      <c r="B680" s="128" t="s">
        <v>18496</v>
      </c>
      <c r="C680" s="129" t="s">
        <v>10840</v>
      </c>
      <c r="D680" s="130">
        <v>29572</v>
      </c>
      <c r="E680" s="131">
        <v>44725</v>
      </c>
      <c r="F680" s="132">
        <v>29572</v>
      </c>
      <c r="G680" s="133">
        <f>Tabla147[[#This Row],[Importe]]-Tabla147[[#This Row],[Pagado]]</f>
        <v>0</v>
      </c>
      <c r="H680" s="134" t="s">
        <v>10</v>
      </c>
      <c r="I680" s="135"/>
    </row>
    <row r="681" spans="1:9" ht="21.75" customHeight="1" x14ac:dyDescent="0.25">
      <c r="A681" s="127">
        <v>44718</v>
      </c>
      <c r="B681" s="128" t="s">
        <v>18497</v>
      </c>
      <c r="C681" s="129" t="s">
        <v>31</v>
      </c>
      <c r="D681" s="130">
        <v>2500</v>
      </c>
      <c r="E681" s="131">
        <v>44719</v>
      </c>
      <c r="F681" s="132">
        <v>2500</v>
      </c>
      <c r="G681" s="133">
        <f>Tabla147[[#This Row],[Importe]]-Tabla147[[#This Row],[Pagado]]</f>
        <v>0</v>
      </c>
      <c r="H681" s="134" t="s">
        <v>10</v>
      </c>
      <c r="I681" s="135"/>
    </row>
    <row r="682" spans="1:9" ht="21.75" customHeight="1" x14ac:dyDescent="0.25">
      <c r="A682" s="127">
        <v>44718</v>
      </c>
      <c r="B682" s="128" t="s">
        <v>18498</v>
      </c>
      <c r="C682" s="129" t="s">
        <v>461</v>
      </c>
      <c r="D682" s="130">
        <v>118</v>
      </c>
      <c r="E682" s="131">
        <v>44719</v>
      </c>
      <c r="F682" s="132">
        <v>118</v>
      </c>
      <c r="G682" s="133">
        <f>Tabla147[[#This Row],[Importe]]-Tabla147[[#This Row],[Pagado]]</f>
        <v>0</v>
      </c>
      <c r="H682" s="134" t="s">
        <v>10</v>
      </c>
      <c r="I682" s="135"/>
    </row>
    <row r="683" spans="1:9" ht="21.75" customHeight="1" x14ac:dyDescent="0.25">
      <c r="A683" s="127">
        <v>44719</v>
      </c>
      <c r="B683" s="128" t="s">
        <v>18499</v>
      </c>
      <c r="C683" s="129" t="s">
        <v>83</v>
      </c>
      <c r="D683" s="130">
        <v>8524</v>
      </c>
      <c r="E683" s="131">
        <v>44719</v>
      </c>
      <c r="F683" s="132">
        <v>8524</v>
      </c>
      <c r="G683" s="133">
        <f>Tabla147[[#This Row],[Importe]]-Tabla147[[#This Row],[Pagado]]</f>
        <v>0</v>
      </c>
      <c r="H683" s="134" t="s">
        <v>10</v>
      </c>
      <c r="I683" s="135"/>
    </row>
    <row r="684" spans="1:9" ht="21.75" customHeight="1" x14ac:dyDescent="0.25">
      <c r="A684" s="127">
        <v>44719</v>
      </c>
      <c r="B684" s="128" t="s">
        <v>18500</v>
      </c>
      <c r="C684" s="129" t="s">
        <v>75</v>
      </c>
      <c r="D684" s="130">
        <v>6718.4</v>
      </c>
      <c r="E684" s="131">
        <v>44719</v>
      </c>
      <c r="F684" s="132">
        <v>6718.4</v>
      </c>
      <c r="G684" s="133">
        <f>Tabla147[[#This Row],[Importe]]-Tabla147[[#This Row],[Pagado]]</f>
        <v>0</v>
      </c>
      <c r="H684" s="134" t="s">
        <v>10</v>
      </c>
      <c r="I684" s="135"/>
    </row>
    <row r="685" spans="1:9" ht="21.75" customHeight="1" x14ac:dyDescent="0.25">
      <c r="A685" s="127">
        <v>44719</v>
      </c>
      <c r="B685" s="128" t="s">
        <v>18501</v>
      </c>
      <c r="C685" s="129" t="s">
        <v>353</v>
      </c>
      <c r="D685" s="130">
        <v>584</v>
      </c>
      <c r="E685" s="131">
        <v>44719</v>
      </c>
      <c r="F685" s="132">
        <v>584</v>
      </c>
      <c r="G685" s="133">
        <f>Tabla147[[#This Row],[Importe]]-Tabla147[[#This Row],[Pagado]]</f>
        <v>0</v>
      </c>
      <c r="H685" s="134" t="s">
        <v>10</v>
      </c>
      <c r="I685" s="135"/>
    </row>
    <row r="686" spans="1:9" ht="21.75" customHeight="1" x14ac:dyDescent="0.25">
      <c r="A686" s="127">
        <v>44719</v>
      </c>
      <c r="B686" s="128" t="s">
        <v>18502</v>
      </c>
      <c r="C686" s="129" t="s">
        <v>481</v>
      </c>
      <c r="D686" s="130">
        <v>1578.1</v>
      </c>
      <c r="E686" s="131">
        <v>44719</v>
      </c>
      <c r="F686" s="132">
        <v>1578.1</v>
      </c>
      <c r="G686" s="133">
        <f>Tabla147[[#This Row],[Importe]]-Tabla147[[#This Row],[Pagado]]</f>
        <v>0</v>
      </c>
      <c r="H686" s="134" t="s">
        <v>10</v>
      </c>
      <c r="I686" s="135"/>
    </row>
    <row r="687" spans="1:9" ht="21.75" customHeight="1" x14ac:dyDescent="0.25">
      <c r="A687" s="127">
        <v>44719</v>
      </c>
      <c r="B687" s="128" t="s">
        <v>18503</v>
      </c>
      <c r="C687" s="129" t="s">
        <v>85</v>
      </c>
      <c r="D687" s="130">
        <v>2108.8000000000002</v>
      </c>
      <c r="E687" s="131">
        <v>44719</v>
      </c>
      <c r="F687" s="132">
        <v>2108.8000000000002</v>
      </c>
      <c r="G687" s="133">
        <f>Tabla147[[#This Row],[Importe]]-Tabla147[[#This Row],[Pagado]]</f>
        <v>0</v>
      </c>
      <c r="H687" s="134" t="s">
        <v>10</v>
      </c>
      <c r="I687" s="135"/>
    </row>
    <row r="688" spans="1:9" ht="21.75" customHeight="1" x14ac:dyDescent="0.25">
      <c r="A688" s="127">
        <v>44719</v>
      </c>
      <c r="B688" s="128" t="s">
        <v>18504</v>
      </c>
      <c r="C688" s="129" t="s">
        <v>9</v>
      </c>
      <c r="D688" s="130">
        <v>6632.3</v>
      </c>
      <c r="E688" s="131">
        <v>44719</v>
      </c>
      <c r="F688" s="132">
        <v>6632.3</v>
      </c>
      <c r="G688" s="133">
        <f>Tabla147[[#This Row],[Importe]]-Tabla147[[#This Row],[Pagado]]</f>
        <v>0</v>
      </c>
      <c r="H688" s="134" t="s">
        <v>10</v>
      </c>
      <c r="I688" s="135"/>
    </row>
    <row r="689" spans="1:9" ht="21.75" customHeight="1" x14ac:dyDescent="0.25">
      <c r="A689" s="127">
        <v>44719</v>
      </c>
      <c r="B689" s="128" t="s">
        <v>18505</v>
      </c>
      <c r="C689" s="129" t="s">
        <v>111</v>
      </c>
      <c r="D689" s="130">
        <v>4468.8</v>
      </c>
      <c r="E689" s="131">
        <v>44720</v>
      </c>
      <c r="F689" s="132">
        <v>4468.8</v>
      </c>
      <c r="G689" s="133">
        <f>Tabla147[[#This Row],[Importe]]-Tabla147[[#This Row],[Pagado]]</f>
        <v>0</v>
      </c>
      <c r="H689" s="134" t="s">
        <v>10</v>
      </c>
      <c r="I689" s="135"/>
    </row>
    <row r="690" spans="1:9" ht="21.75" customHeight="1" x14ac:dyDescent="0.25">
      <c r="A690" s="127">
        <v>44719</v>
      </c>
      <c r="B690" s="128" t="s">
        <v>18506</v>
      </c>
      <c r="C690" s="129" t="s">
        <v>64</v>
      </c>
      <c r="D690" s="130">
        <v>8525.5</v>
      </c>
      <c r="E690" s="131">
        <v>44720</v>
      </c>
      <c r="F690" s="132">
        <v>8525.5</v>
      </c>
      <c r="G690" s="133">
        <f>Tabla147[[#This Row],[Importe]]-Tabla147[[#This Row],[Pagado]]</f>
        <v>0</v>
      </c>
      <c r="H690" s="134" t="s">
        <v>10</v>
      </c>
      <c r="I690" s="135"/>
    </row>
    <row r="691" spans="1:9" ht="21.75" customHeight="1" x14ac:dyDescent="0.25">
      <c r="A691" s="127">
        <v>44719</v>
      </c>
      <c r="B691" s="128" t="s">
        <v>18507</v>
      </c>
      <c r="C691" s="129" t="s">
        <v>39</v>
      </c>
      <c r="D691" s="130">
        <v>15261.4</v>
      </c>
      <c r="E691" s="131">
        <v>44719</v>
      </c>
      <c r="F691" s="132">
        <v>15261.4</v>
      </c>
      <c r="G691" s="133">
        <f>Tabla147[[#This Row],[Importe]]-Tabla147[[#This Row],[Pagado]]</f>
        <v>0</v>
      </c>
      <c r="H691" s="134" t="s">
        <v>10</v>
      </c>
      <c r="I691" s="135"/>
    </row>
    <row r="692" spans="1:9" ht="21.75" customHeight="1" x14ac:dyDescent="0.25">
      <c r="A692" s="127">
        <v>44719</v>
      </c>
      <c r="B692" s="128" t="s">
        <v>18508</v>
      </c>
      <c r="C692" s="129" t="s">
        <v>105</v>
      </c>
      <c r="D692" s="130">
        <v>11868.1</v>
      </c>
      <c r="E692" s="131">
        <v>44721</v>
      </c>
      <c r="F692" s="132">
        <v>11868.1</v>
      </c>
      <c r="G692" s="133">
        <f>Tabla147[[#This Row],[Importe]]-Tabla147[[#This Row],[Pagado]]</f>
        <v>0</v>
      </c>
      <c r="H692" s="134" t="s">
        <v>10</v>
      </c>
      <c r="I692" s="135"/>
    </row>
    <row r="693" spans="1:9" ht="21.75" customHeight="1" x14ac:dyDescent="0.25">
      <c r="A693" s="127">
        <v>44719</v>
      </c>
      <c r="B693" s="128" t="s">
        <v>18509</v>
      </c>
      <c r="C693" s="129" t="s">
        <v>326</v>
      </c>
      <c r="D693" s="130">
        <v>4891.1000000000004</v>
      </c>
      <c r="E693" s="131">
        <v>44721</v>
      </c>
      <c r="F693" s="132">
        <v>4891.1000000000004</v>
      </c>
      <c r="G693" s="133">
        <f>Tabla147[[#This Row],[Importe]]-Tabla147[[#This Row],[Pagado]]</f>
        <v>0</v>
      </c>
      <c r="H693" s="134" t="s">
        <v>10</v>
      </c>
      <c r="I693" s="135"/>
    </row>
    <row r="694" spans="1:9" ht="21.75" customHeight="1" x14ac:dyDescent="0.25">
      <c r="A694" s="127">
        <v>44719</v>
      </c>
      <c r="B694" s="128" t="s">
        <v>18510</v>
      </c>
      <c r="C694" s="129" t="s">
        <v>114</v>
      </c>
      <c r="D694" s="130">
        <v>4419.1000000000004</v>
      </c>
      <c r="E694" s="131">
        <v>44721</v>
      </c>
      <c r="F694" s="132">
        <v>4419.1000000000004</v>
      </c>
      <c r="G694" s="133">
        <f>Tabla147[[#This Row],[Importe]]-Tabla147[[#This Row],[Pagado]]</f>
        <v>0</v>
      </c>
      <c r="H694" s="134" t="s">
        <v>10</v>
      </c>
      <c r="I694" s="135"/>
    </row>
    <row r="695" spans="1:9" ht="21.75" customHeight="1" x14ac:dyDescent="0.25">
      <c r="A695" s="127">
        <v>44719</v>
      </c>
      <c r="B695" s="128" t="s">
        <v>18511</v>
      </c>
      <c r="C695" s="129" t="s">
        <v>93</v>
      </c>
      <c r="D695" s="130">
        <v>7998.6</v>
      </c>
      <c r="E695" s="131">
        <v>44721</v>
      </c>
      <c r="F695" s="132">
        <v>7998.6</v>
      </c>
      <c r="G695" s="133">
        <f>Tabla147[[#This Row],[Importe]]-Tabla147[[#This Row],[Pagado]]</f>
        <v>0</v>
      </c>
      <c r="H695" s="134" t="s">
        <v>10</v>
      </c>
      <c r="I695" s="135"/>
    </row>
    <row r="696" spans="1:9" ht="21.75" customHeight="1" x14ac:dyDescent="0.25">
      <c r="A696" s="127">
        <v>44719</v>
      </c>
      <c r="B696" s="128" t="s">
        <v>18512</v>
      </c>
      <c r="C696" s="129" t="s">
        <v>97</v>
      </c>
      <c r="D696" s="130">
        <v>4746.8999999999996</v>
      </c>
      <c r="E696" s="131">
        <v>44720</v>
      </c>
      <c r="F696" s="132">
        <v>4746.8999999999996</v>
      </c>
      <c r="G696" s="133">
        <f>Tabla147[[#This Row],[Importe]]-Tabla147[[#This Row],[Pagado]]</f>
        <v>0</v>
      </c>
      <c r="H696" s="134" t="s">
        <v>10</v>
      </c>
      <c r="I696" s="135"/>
    </row>
    <row r="697" spans="1:9" ht="21.75" customHeight="1" x14ac:dyDescent="0.25">
      <c r="A697" s="127">
        <v>44719</v>
      </c>
      <c r="B697" s="128" t="s">
        <v>18513</v>
      </c>
      <c r="C697" s="129" t="s">
        <v>2151</v>
      </c>
      <c r="D697" s="130">
        <v>13412.1</v>
      </c>
      <c r="E697" s="131">
        <v>44719</v>
      </c>
      <c r="F697" s="132">
        <v>13412.1</v>
      </c>
      <c r="G697" s="133">
        <f>Tabla147[[#This Row],[Importe]]-Tabla147[[#This Row],[Pagado]]</f>
        <v>0</v>
      </c>
      <c r="H697" s="134" t="s">
        <v>10</v>
      </c>
      <c r="I697" s="135"/>
    </row>
    <row r="698" spans="1:9" ht="21.75" customHeight="1" x14ac:dyDescent="0.25">
      <c r="A698" s="127">
        <v>44719</v>
      </c>
      <c r="B698" s="128" t="s">
        <v>18514</v>
      </c>
      <c r="C698" s="129" t="s">
        <v>31</v>
      </c>
      <c r="D698" s="130">
        <v>2257</v>
      </c>
      <c r="E698" s="131">
        <v>44719</v>
      </c>
      <c r="F698" s="132">
        <v>2257</v>
      </c>
      <c r="G698" s="133">
        <f>Tabla147[[#This Row],[Importe]]-Tabla147[[#This Row],[Pagado]]</f>
        <v>0</v>
      </c>
      <c r="H698" s="134" t="s">
        <v>10</v>
      </c>
      <c r="I698" s="135"/>
    </row>
    <row r="699" spans="1:9" ht="31.5" x14ac:dyDescent="0.25">
      <c r="A699" s="127">
        <v>44719</v>
      </c>
      <c r="B699" s="128" t="s">
        <v>18515</v>
      </c>
      <c r="C699" s="129" t="s">
        <v>22</v>
      </c>
      <c r="D699" s="130">
        <v>33123.300000000003</v>
      </c>
      <c r="E699" s="131" t="s">
        <v>18516</v>
      </c>
      <c r="F699" s="132">
        <f>24000+9123.3</f>
        <v>33123.300000000003</v>
      </c>
      <c r="G699" s="133">
        <f>Tabla147[[#This Row],[Importe]]-Tabla147[[#This Row],[Pagado]]</f>
        <v>0</v>
      </c>
      <c r="H699" s="134" t="s">
        <v>10</v>
      </c>
      <c r="I699" s="135"/>
    </row>
    <row r="700" spans="1:9" ht="21.75" customHeight="1" x14ac:dyDescent="0.25">
      <c r="A700" s="127">
        <v>44719</v>
      </c>
      <c r="B700" s="128" t="s">
        <v>18517</v>
      </c>
      <c r="C700" s="129" t="s">
        <v>89</v>
      </c>
      <c r="D700" s="130">
        <v>4311.2</v>
      </c>
      <c r="E700" s="131">
        <v>44719</v>
      </c>
      <c r="F700" s="132">
        <v>4311.2</v>
      </c>
      <c r="G700" s="133">
        <f>Tabla147[[#This Row],[Importe]]-Tabla147[[#This Row],[Pagado]]</f>
        <v>0</v>
      </c>
      <c r="H700" s="134" t="s">
        <v>10</v>
      </c>
      <c r="I700" s="135"/>
    </row>
    <row r="701" spans="1:9" ht="31.5" x14ac:dyDescent="0.25">
      <c r="A701" s="127">
        <v>44719</v>
      </c>
      <c r="B701" s="128" t="s">
        <v>18518</v>
      </c>
      <c r="C701" s="129" t="s">
        <v>99</v>
      </c>
      <c r="D701" s="130">
        <v>2930.8</v>
      </c>
      <c r="E701" s="131" t="s">
        <v>18516</v>
      </c>
      <c r="F701" s="132">
        <f>2000+930.8</f>
        <v>2930.8</v>
      </c>
      <c r="G701" s="133">
        <f>Tabla147[[#This Row],[Importe]]-Tabla147[[#This Row],[Pagado]]</f>
        <v>0</v>
      </c>
      <c r="H701" s="134" t="s">
        <v>10</v>
      </c>
      <c r="I701" s="135"/>
    </row>
    <row r="702" spans="1:9" ht="21.75" customHeight="1" x14ac:dyDescent="0.25">
      <c r="A702" s="127">
        <v>44719</v>
      </c>
      <c r="B702" s="128" t="s">
        <v>18519</v>
      </c>
      <c r="C702" s="129" t="s">
        <v>2151</v>
      </c>
      <c r="D702" s="130">
        <v>804</v>
      </c>
      <c r="E702" s="131">
        <v>44719</v>
      </c>
      <c r="F702" s="132">
        <v>804</v>
      </c>
      <c r="G702" s="133">
        <f>Tabla147[[#This Row],[Importe]]-Tabla147[[#This Row],[Pagado]]</f>
        <v>0</v>
      </c>
      <c r="H702" s="134" t="s">
        <v>10</v>
      </c>
      <c r="I702" s="135"/>
    </row>
    <row r="703" spans="1:9" ht="21.75" customHeight="1" x14ac:dyDescent="0.25">
      <c r="A703" s="127">
        <v>44719</v>
      </c>
      <c r="B703" s="128" t="s">
        <v>18520</v>
      </c>
      <c r="C703" s="129" t="s">
        <v>924</v>
      </c>
      <c r="D703" s="130">
        <v>16347</v>
      </c>
      <c r="E703" s="131">
        <v>44719</v>
      </c>
      <c r="F703" s="132">
        <v>16347</v>
      </c>
      <c r="G703" s="133">
        <f>Tabla147[[#This Row],[Importe]]-Tabla147[[#This Row],[Pagado]]</f>
        <v>0</v>
      </c>
      <c r="H703" s="134" t="s">
        <v>10</v>
      </c>
      <c r="I703" s="135"/>
    </row>
    <row r="704" spans="1:9" ht="21.75" customHeight="1" x14ac:dyDescent="0.25">
      <c r="A704" s="127">
        <v>44719</v>
      </c>
      <c r="B704" s="128" t="s">
        <v>18521</v>
      </c>
      <c r="C704" s="129" t="s">
        <v>16</v>
      </c>
      <c r="D704" s="130">
        <v>4226</v>
      </c>
      <c r="E704" s="131">
        <v>44719</v>
      </c>
      <c r="F704" s="132">
        <v>4226</v>
      </c>
      <c r="G704" s="133">
        <f>Tabla147[[#This Row],[Importe]]-Tabla147[[#This Row],[Pagado]]</f>
        <v>0</v>
      </c>
      <c r="H704" s="134" t="s">
        <v>10</v>
      </c>
      <c r="I704" s="135"/>
    </row>
    <row r="705" spans="1:9" ht="21.75" customHeight="1" x14ac:dyDescent="0.25">
      <c r="A705" s="127">
        <v>44719</v>
      </c>
      <c r="B705" s="128" t="s">
        <v>18522</v>
      </c>
      <c r="C705" s="129" t="s">
        <v>475</v>
      </c>
      <c r="D705" s="130">
        <v>11521.6</v>
      </c>
      <c r="E705" s="131">
        <v>44720</v>
      </c>
      <c r="F705" s="132">
        <v>11521.6</v>
      </c>
      <c r="G705" s="133">
        <f>Tabla147[[#This Row],[Importe]]-Tabla147[[#This Row],[Pagado]]</f>
        <v>0</v>
      </c>
      <c r="H705" s="134" t="s">
        <v>10</v>
      </c>
      <c r="I705" s="135"/>
    </row>
    <row r="706" spans="1:9" ht="21.75" customHeight="1" x14ac:dyDescent="0.25">
      <c r="A706" s="127">
        <v>44719</v>
      </c>
      <c r="B706" s="128" t="s">
        <v>18523</v>
      </c>
      <c r="C706" s="129" t="s">
        <v>33</v>
      </c>
      <c r="D706" s="130">
        <v>8944.1</v>
      </c>
      <c r="E706" s="131">
        <v>44719</v>
      </c>
      <c r="F706" s="132">
        <v>8944.1</v>
      </c>
      <c r="G706" s="133">
        <f>Tabla147[[#This Row],[Importe]]-Tabla147[[#This Row],[Pagado]]</f>
        <v>0</v>
      </c>
      <c r="H706" s="134" t="s">
        <v>10</v>
      </c>
      <c r="I706" s="135"/>
    </row>
    <row r="707" spans="1:9" ht="21.75" customHeight="1" x14ac:dyDescent="0.25">
      <c r="A707" s="127">
        <v>44719</v>
      </c>
      <c r="B707" s="128" t="s">
        <v>18524</v>
      </c>
      <c r="C707" s="129" t="s">
        <v>11033</v>
      </c>
      <c r="D707" s="130">
        <v>3138.2</v>
      </c>
      <c r="E707" s="131">
        <v>44719</v>
      </c>
      <c r="F707" s="132">
        <v>3138.2</v>
      </c>
      <c r="G707" s="133">
        <f>Tabla147[[#This Row],[Importe]]-Tabla147[[#This Row],[Pagado]]</f>
        <v>0</v>
      </c>
      <c r="H707" s="134" t="s">
        <v>10</v>
      </c>
      <c r="I707" s="135"/>
    </row>
    <row r="708" spans="1:9" ht="21.75" customHeight="1" x14ac:dyDescent="0.25">
      <c r="A708" s="127">
        <v>44719</v>
      </c>
      <c r="B708" s="128" t="s">
        <v>18525</v>
      </c>
      <c r="C708" s="129" t="s">
        <v>466</v>
      </c>
      <c r="D708" s="130">
        <v>19200</v>
      </c>
      <c r="E708" s="131">
        <v>44719</v>
      </c>
      <c r="F708" s="132">
        <v>19200</v>
      </c>
      <c r="G708" s="133">
        <f>Tabla147[[#This Row],[Importe]]-Tabla147[[#This Row],[Pagado]]</f>
        <v>0</v>
      </c>
      <c r="H708" s="134" t="s">
        <v>10</v>
      </c>
      <c r="I708" s="135"/>
    </row>
    <row r="709" spans="1:9" ht="21.75" customHeight="1" x14ac:dyDescent="0.25">
      <c r="A709" s="127">
        <v>44719</v>
      </c>
      <c r="B709" s="128" t="s">
        <v>18526</v>
      </c>
      <c r="C709" s="129" t="s">
        <v>53</v>
      </c>
      <c r="D709" s="130">
        <v>3423.6</v>
      </c>
      <c r="E709" s="131">
        <v>44719</v>
      </c>
      <c r="F709" s="132">
        <v>3423.6</v>
      </c>
      <c r="G709" s="133">
        <f>Tabla147[[#This Row],[Importe]]-Tabla147[[#This Row],[Pagado]]</f>
        <v>0</v>
      </c>
      <c r="H709" s="134" t="s">
        <v>10</v>
      </c>
      <c r="I709" s="135"/>
    </row>
    <row r="710" spans="1:9" ht="21.75" customHeight="1" x14ac:dyDescent="0.25">
      <c r="A710" s="127">
        <v>44719</v>
      </c>
      <c r="B710" s="128" t="s">
        <v>18527</v>
      </c>
      <c r="C710" s="129" t="s">
        <v>670</v>
      </c>
      <c r="D710" s="130">
        <v>5174.8</v>
      </c>
      <c r="E710" s="131">
        <v>44719</v>
      </c>
      <c r="F710" s="132">
        <v>5174.8</v>
      </c>
      <c r="G710" s="133">
        <f>Tabla147[[#This Row],[Importe]]-Tabla147[[#This Row],[Pagado]]</f>
        <v>0</v>
      </c>
      <c r="H710" s="134" t="s">
        <v>10</v>
      </c>
      <c r="I710" s="135"/>
    </row>
    <row r="711" spans="1:9" ht="21.75" customHeight="1" x14ac:dyDescent="0.25">
      <c r="A711" s="127">
        <v>44719</v>
      </c>
      <c r="B711" s="128" t="s">
        <v>18528</v>
      </c>
      <c r="C711" s="129" t="s">
        <v>12202</v>
      </c>
      <c r="D711" s="130">
        <v>3700</v>
      </c>
      <c r="E711" s="131">
        <v>44719</v>
      </c>
      <c r="F711" s="132">
        <v>3700</v>
      </c>
      <c r="G711" s="133">
        <f>Tabla147[[#This Row],[Importe]]-Tabla147[[#This Row],[Pagado]]</f>
        <v>0</v>
      </c>
      <c r="H711" s="134" t="s">
        <v>10</v>
      </c>
      <c r="I711" s="135"/>
    </row>
    <row r="712" spans="1:9" ht="21.75" customHeight="1" x14ac:dyDescent="0.25">
      <c r="A712" s="127">
        <v>44719</v>
      </c>
      <c r="B712" s="128" t="s">
        <v>18529</v>
      </c>
      <c r="C712" s="129" t="s">
        <v>409</v>
      </c>
      <c r="D712" s="130">
        <v>4419.6000000000004</v>
      </c>
      <c r="E712" s="131">
        <v>44721</v>
      </c>
      <c r="F712" s="132">
        <v>4419.6000000000004</v>
      </c>
      <c r="G712" s="133">
        <f>Tabla147[[#This Row],[Importe]]-Tabla147[[#This Row],[Pagado]]</f>
        <v>0</v>
      </c>
      <c r="H712" s="134" t="s">
        <v>10</v>
      </c>
      <c r="I712" s="135"/>
    </row>
    <row r="713" spans="1:9" ht="21.75" customHeight="1" x14ac:dyDescent="0.25">
      <c r="A713" s="127">
        <v>44719</v>
      </c>
      <c r="B713" s="128" t="s">
        <v>18530</v>
      </c>
      <c r="C713" s="129" t="s">
        <v>149</v>
      </c>
      <c r="D713" s="130">
        <v>580</v>
      </c>
      <c r="E713" s="131">
        <v>44719</v>
      </c>
      <c r="F713" s="132">
        <v>580</v>
      </c>
      <c r="G713" s="133">
        <f>Tabla147[[#This Row],[Importe]]-Tabla147[[#This Row],[Pagado]]</f>
        <v>0</v>
      </c>
      <c r="H713" s="134" t="s">
        <v>10</v>
      </c>
      <c r="I713" s="135"/>
    </row>
    <row r="714" spans="1:9" ht="21.75" customHeight="1" x14ac:dyDescent="0.25">
      <c r="A714" s="127">
        <v>44719</v>
      </c>
      <c r="B714" s="128" t="s">
        <v>18531</v>
      </c>
      <c r="C714" s="129" t="s">
        <v>56</v>
      </c>
      <c r="D714" s="130">
        <v>5927.8</v>
      </c>
      <c r="E714" s="131">
        <v>44719</v>
      </c>
      <c r="F714" s="132">
        <v>5927.8</v>
      </c>
      <c r="G714" s="133">
        <f>Tabla147[[#This Row],[Importe]]-Tabla147[[#This Row],[Pagado]]</f>
        <v>0</v>
      </c>
      <c r="H714" s="134" t="s">
        <v>10</v>
      </c>
      <c r="I714" s="135"/>
    </row>
    <row r="715" spans="1:9" ht="21.75" customHeight="1" x14ac:dyDescent="0.25">
      <c r="A715" s="127">
        <v>44719</v>
      </c>
      <c r="B715" s="128" t="s">
        <v>18532</v>
      </c>
      <c r="C715" s="129" t="s">
        <v>470</v>
      </c>
      <c r="D715" s="130">
        <v>14326</v>
      </c>
      <c r="E715" s="131">
        <v>44719</v>
      </c>
      <c r="F715" s="132">
        <v>14326</v>
      </c>
      <c r="G715" s="133">
        <f>Tabla147[[#This Row],[Importe]]-Tabla147[[#This Row],[Pagado]]</f>
        <v>0</v>
      </c>
      <c r="H715" s="134" t="s">
        <v>10</v>
      </c>
      <c r="I715" s="135"/>
    </row>
    <row r="716" spans="1:9" ht="21.75" customHeight="1" x14ac:dyDescent="0.25">
      <c r="A716" s="127">
        <v>44719</v>
      </c>
      <c r="B716" s="128" t="s">
        <v>18533</v>
      </c>
      <c r="C716" s="129" t="s">
        <v>175</v>
      </c>
      <c r="D716" s="130">
        <v>1465.1</v>
      </c>
      <c r="E716" s="131">
        <v>44719</v>
      </c>
      <c r="F716" s="132">
        <v>1465.1</v>
      </c>
      <c r="G716" s="133">
        <f>Tabla147[[#This Row],[Importe]]-Tabla147[[#This Row],[Pagado]]</f>
        <v>0</v>
      </c>
      <c r="H716" s="134" t="s">
        <v>10</v>
      </c>
      <c r="I716" s="135"/>
    </row>
    <row r="717" spans="1:9" ht="21.75" customHeight="1" x14ac:dyDescent="0.25">
      <c r="A717" s="127">
        <v>44719</v>
      </c>
      <c r="B717" s="128" t="s">
        <v>18534</v>
      </c>
      <c r="C717" s="129" t="s">
        <v>484</v>
      </c>
      <c r="D717" s="130">
        <v>4073.2</v>
      </c>
      <c r="E717" s="131">
        <v>44719</v>
      </c>
      <c r="F717" s="132">
        <v>4073.2</v>
      </c>
      <c r="G717" s="133">
        <f>Tabla147[[#This Row],[Importe]]-Tabla147[[#This Row],[Pagado]]</f>
        <v>0</v>
      </c>
      <c r="H717" s="134" t="s">
        <v>10</v>
      </c>
      <c r="I717" s="135"/>
    </row>
    <row r="718" spans="1:9" ht="21.75" customHeight="1" x14ac:dyDescent="0.25">
      <c r="A718" s="127">
        <v>44719</v>
      </c>
      <c r="B718" s="128" t="s">
        <v>18535</v>
      </c>
      <c r="C718" s="129" t="s">
        <v>3971</v>
      </c>
      <c r="D718" s="130">
        <v>5984.6</v>
      </c>
      <c r="E718" s="131">
        <v>44719</v>
      </c>
      <c r="F718" s="132">
        <v>5984.6</v>
      </c>
      <c r="G718" s="133">
        <f>Tabla147[[#This Row],[Importe]]-Tabla147[[#This Row],[Pagado]]</f>
        <v>0</v>
      </c>
      <c r="H718" s="134" t="s">
        <v>10</v>
      </c>
      <c r="I718" s="135"/>
    </row>
    <row r="719" spans="1:9" ht="21.75" customHeight="1" x14ac:dyDescent="0.25">
      <c r="A719" s="127">
        <v>44719</v>
      </c>
      <c r="B719" s="128" t="s">
        <v>18536</v>
      </c>
      <c r="C719" s="129" t="s">
        <v>216</v>
      </c>
      <c r="D719" s="130">
        <v>2074</v>
      </c>
      <c r="E719" s="131">
        <v>44719</v>
      </c>
      <c r="F719" s="132">
        <v>2074</v>
      </c>
      <c r="G719" s="133">
        <f>Tabla147[[#This Row],[Importe]]-Tabla147[[#This Row],[Pagado]]</f>
        <v>0</v>
      </c>
      <c r="H719" s="134" t="s">
        <v>10</v>
      </c>
      <c r="I719" s="135"/>
    </row>
    <row r="720" spans="1:9" ht="21.75" customHeight="1" x14ac:dyDescent="0.25">
      <c r="A720" s="127">
        <v>44719</v>
      </c>
      <c r="B720" s="128" t="s">
        <v>18537</v>
      </c>
      <c r="C720" s="129" t="s">
        <v>11919</v>
      </c>
      <c r="D720" s="130">
        <v>19128.400000000001</v>
      </c>
      <c r="E720" s="131">
        <v>44719</v>
      </c>
      <c r="F720" s="132">
        <v>19128.400000000001</v>
      </c>
      <c r="G720" s="133">
        <f>Tabla147[[#This Row],[Importe]]-Tabla147[[#This Row],[Pagado]]</f>
        <v>0</v>
      </c>
      <c r="H720" s="134" t="s">
        <v>10</v>
      </c>
      <c r="I720" s="135"/>
    </row>
    <row r="721" spans="1:9" ht="21.75" customHeight="1" x14ac:dyDescent="0.25">
      <c r="A721" s="127">
        <v>44719</v>
      </c>
      <c r="B721" s="128" t="s">
        <v>18538</v>
      </c>
      <c r="C721" s="129" t="s">
        <v>840</v>
      </c>
      <c r="D721" s="130">
        <v>10778.7</v>
      </c>
      <c r="E721" s="131">
        <v>44719</v>
      </c>
      <c r="F721" s="132">
        <v>10778.7</v>
      </c>
      <c r="G721" s="133">
        <f>Tabla147[[#This Row],[Importe]]-Tabla147[[#This Row],[Pagado]]</f>
        <v>0</v>
      </c>
      <c r="H721" s="134" t="s">
        <v>10</v>
      </c>
      <c r="I721" s="135"/>
    </row>
    <row r="722" spans="1:9" ht="21.75" customHeight="1" x14ac:dyDescent="0.25">
      <c r="A722" s="127">
        <v>44719</v>
      </c>
      <c r="B722" s="128" t="s">
        <v>18539</v>
      </c>
      <c r="C722" s="129" t="s">
        <v>31</v>
      </c>
      <c r="D722" s="130">
        <v>1870</v>
      </c>
      <c r="E722" s="131">
        <v>44719</v>
      </c>
      <c r="F722" s="132">
        <v>1870</v>
      </c>
      <c r="G722" s="133">
        <f>Tabla147[[#This Row],[Importe]]-Tabla147[[#This Row],[Pagado]]</f>
        <v>0</v>
      </c>
      <c r="H722" s="134" t="s">
        <v>10</v>
      </c>
      <c r="I722" s="135"/>
    </row>
    <row r="723" spans="1:9" ht="21.75" customHeight="1" x14ac:dyDescent="0.25">
      <c r="A723" s="127">
        <v>44719</v>
      </c>
      <c r="B723" s="128" t="s">
        <v>18540</v>
      </c>
      <c r="C723" s="129" t="s">
        <v>520</v>
      </c>
      <c r="D723" s="130">
        <v>10721.1</v>
      </c>
      <c r="E723" s="131">
        <v>44719</v>
      </c>
      <c r="F723" s="132">
        <v>10721.1</v>
      </c>
      <c r="G723" s="133">
        <f>Tabla147[[#This Row],[Importe]]-Tabla147[[#This Row],[Pagado]]</f>
        <v>0</v>
      </c>
      <c r="H723" s="134" t="s">
        <v>10</v>
      </c>
      <c r="I723" s="135"/>
    </row>
    <row r="724" spans="1:9" ht="21.75" customHeight="1" x14ac:dyDescent="0.25">
      <c r="A724" s="127">
        <v>44719</v>
      </c>
      <c r="B724" s="128" t="s">
        <v>18541</v>
      </c>
      <c r="C724" s="129" t="s">
        <v>314</v>
      </c>
      <c r="D724" s="130">
        <v>1258</v>
      </c>
      <c r="E724" s="131">
        <v>44719</v>
      </c>
      <c r="F724" s="132">
        <v>1258</v>
      </c>
      <c r="G724" s="133">
        <f>Tabla147[[#This Row],[Importe]]-Tabla147[[#This Row],[Pagado]]</f>
        <v>0</v>
      </c>
      <c r="H724" s="134" t="s">
        <v>10</v>
      </c>
      <c r="I724" s="135"/>
    </row>
    <row r="725" spans="1:9" ht="21.75" customHeight="1" x14ac:dyDescent="0.25">
      <c r="A725" s="127">
        <v>44719</v>
      </c>
      <c r="B725" s="128" t="s">
        <v>18542</v>
      </c>
      <c r="C725" s="129" t="s">
        <v>275</v>
      </c>
      <c r="D725" s="130">
        <v>18186.5</v>
      </c>
      <c r="E725" s="131">
        <v>44729</v>
      </c>
      <c r="F725" s="132">
        <v>18186.5</v>
      </c>
      <c r="G725" s="133">
        <f>Tabla147[[#This Row],[Importe]]-Tabla147[[#This Row],[Pagado]]</f>
        <v>0</v>
      </c>
      <c r="H725" s="134" t="s">
        <v>10</v>
      </c>
      <c r="I725" s="135"/>
    </row>
    <row r="726" spans="1:9" ht="21.75" customHeight="1" x14ac:dyDescent="0.25">
      <c r="A726" s="127">
        <v>44719</v>
      </c>
      <c r="B726" s="128" t="s">
        <v>18543</v>
      </c>
      <c r="C726" s="129" t="s">
        <v>414</v>
      </c>
      <c r="D726" s="130">
        <v>21610.400000000001</v>
      </c>
      <c r="E726" s="131">
        <v>44740</v>
      </c>
      <c r="F726" s="132">
        <v>21610.400000000001</v>
      </c>
      <c r="G726" s="133">
        <f>Tabla147[[#This Row],[Importe]]-Tabla147[[#This Row],[Pagado]]</f>
        <v>0</v>
      </c>
      <c r="H726" s="134" t="s">
        <v>10</v>
      </c>
      <c r="I726" s="135"/>
    </row>
    <row r="727" spans="1:9" ht="21.75" customHeight="1" x14ac:dyDescent="0.25">
      <c r="A727" s="127">
        <v>44719</v>
      </c>
      <c r="B727" s="128" t="s">
        <v>18544</v>
      </c>
      <c r="C727" s="129" t="s">
        <v>179</v>
      </c>
      <c r="D727" s="130">
        <v>1584.4</v>
      </c>
      <c r="E727" s="131">
        <v>44719</v>
      </c>
      <c r="F727" s="132">
        <v>1584.4</v>
      </c>
      <c r="G727" s="133">
        <f>Tabla147[[#This Row],[Importe]]-Tabla147[[#This Row],[Pagado]]</f>
        <v>0</v>
      </c>
      <c r="H727" s="134" t="s">
        <v>10</v>
      </c>
      <c r="I727" s="135"/>
    </row>
    <row r="728" spans="1:9" ht="21.75" customHeight="1" x14ac:dyDescent="0.25">
      <c r="A728" s="127">
        <v>44719</v>
      </c>
      <c r="B728" s="128" t="s">
        <v>18545</v>
      </c>
      <c r="C728" s="129" t="s">
        <v>142</v>
      </c>
      <c r="D728" s="130">
        <v>15201.66</v>
      </c>
      <c r="E728" s="131">
        <v>44760</v>
      </c>
      <c r="F728" s="132">
        <v>15201.66</v>
      </c>
      <c r="G728" s="133">
        <f>Tabla147[[#This Row],[Importe]]-Tabla147[[#This Row],[Pagado]]</f>
        <v>0</v>
      </c>
      <c r="H728" s="134" t="s">
        <v>10</v>
      </c>
      <c r="I728" s="135"/>
    </row>
    <row r="729" spans="1:9" ht="21.75" customHeight="1" x14ac:dyDescent="0.25">
      <c r="A729" s="127">
        <v>44719</v>
      </c>
      <c r="B729" s="128" t="s">
        <v>18546</v>
      </c>
      <c r="C729" s="129" t="s">
        <v>857</v>
      </c>
      <c r="D729" s="130">
        <v>398</v>
      </c>
      <c r="E729" s="131">
        <v>44719</v>
      </c>
      <c r="F729" s="132">
        <v>398</v>
      </c>
      <c r="G729" s="133">
        <f>Tabla147[[#This Row],[Importe]]-Tabla147[[#This Row],[Pagado]]</f>
        <v>0</v>
      </c>
      <c r="H729" s="134" t="s">
        <v>10</v>
      </c>
      <c r="I729" s="135"/>
    </row>
    <row r="730" spans="1:9" ht="21.75" customHeight="1" x14ac:dyDescent="0.25">
      <c r="A730" s="127">
        <v>44719</v>
      </c>
      <c r="B730" s="128" t="s">
        <v>18547</v>
      </c>
      <c r="C730" s="129" t="s">
        <v>47</v>
      </c>
      <c r="D730" s="130">
        <v>56505.279999999999</v>
      </c>
      <c r="E730" s="131">
        <v>44719</v>
      </c>
      <c r="F730" s="132">
        <v>56505.279999999999</v>
      </c>
      <c r="G730" s="133">
        <f>Tabla147[[#This Row],[Importe]]-Tabla147[[#This Row],[Pagado]]</f>
        <v>0</v>
      </c>
      <c r="H730" s="134" t="s">
        <v>10</v>
      </c>
      <c r="I730" s="135"/>
    </row>
    <row r="731" spans="1:9" ht="21.75" customHeight="1" x14ac:dyDescent="0.25">
      <c r="A731" s="127">
        <v>44719</v>
      </c>
      <c r="B731" s="128" t="s">
        <v>18548</v>
      </c>
      <c r="C731" s="129" t="s">
        <v>319</v>
      </c>
      <c r="D731" s="130">
        <v>7730</v>
      </c>
      <c r="E731" s="131">
        <v>44719</v>
      </c>
      <c r="F731" s="132">
        <v>7730</v>
      </c>
      <c r="G731" s="133">
        <f>Tabla147[[#This Row],[Importe]]-Tabla147[[#This Row],[Pagado]]</f>
        <v>0</v>
      </c>
      <c r="H731" s="134" t="s">
        <v>10</v>
      </c>
      <c r="I731" s="135"/>
    </row>
    <row r="732" spans="1:9" ht="21.75" customHeight="1" x14ac:dyDescent="0.25">
      <c r="A732" s="127">
        <v>44719</v>
      </c>
      <c r="B732" s="128" t="s">
        <v>18549</v>
      </c>
      <c r="C732" s="129" t="s">
        <v>15039</v>
      </c>
      <c r="D732" s="130">
        <v>3599.7</v>
      </c>
      <c r="E732" s="131">
        <v>44719</v>
      </c>
      <c r="F732" s="132">
        <v>3599.7</v>
      </c>
      <c r="G732" s="133">
        <f>Tabla147[[#This Row],[Importe]]-Tabla147[[#This Row],[Pagado]]</f>
        <v>0</v>
      </c>
      <c r="H732" s="134" t="s">
        <v>10</v>
      </c>
      <c r="I732" s="135"/>
    </row>
    <row r="733" spans="1:9" ht="21.75" customHeight="1" x14ac:dyDescent="0.25">
      <c r="A733" s="127">
        <v>44719</v>
      </c>
      <c r="B733" s="128" t="s">
        <v>18550</v>
      </c>
      <c r="C733" s="129" t="s">
        <v>24</v>
      </c>
      <c r="D733" s="130">
        <v>1834</v>
      </c>
      <c r="E733" s="131">
        <v>44719</v>
      </c>
      <c r="F733" s="132">
        <v>1834</v>
      </c>
      <c r="G733" s="133">
        <f>Tabla147[[#This Row],[Importe]]-Tabla147[[#This Row],[Pagado]]</f>
        <v>0</v>
      </c>
      <c r="H733" s="134" t="s">
        <v>10</v>
      </c>
      <c r="I733" s="135"/>
    </row>
    <row r="734" spans="1:9" ht="21.75" customHeight="1" x14ac:dyDescent="0.25">
      <c r="A734" s="127">
        <v>44719</v>
      </c>
      <c r="B734" s="128" t="s">
        <v>18551</v>
      </c>
      <c r="C734" s="129" t="s">
        <v>518</v>
      </c>
      <c r="D734" s="130">
        <v>1494.6</v>
      </c>
      <c r="E734" s="131">
        <v>44719</v>
      </c>
      <c r="F734" s="132">
        <v>1494.6</v>
      </c>
      <c r="G734" s="133">
        <f>Tabla147[[#This Row],[Importe]]-Tabla147[[#This Row],[Pagado]]</f>
        <v>0</v>
      </c>
      <c r="H734" s="134" t="s">
        <v>10</v>
      </c>
      <c r="I734" s="135"/>
    </row>
    <row r="735" spans="1:9" ht="21.75" customHeight="1" x14ac:dyDescent="0.25">
      <c r="A735" s="127">
        <v>44719</v>
      </c>
      <c r="B735" s="128" t="s">
        <v>18552</v>
      </c>
      <c r="C735" s="129" t="s">
        <v>31</v>
      </c>
      <c r="D735" s="130">
        <v>1020.7</v>
      </c>
      <c r="E735" s="131">
        <v>44719</v>
      </c>
      <c r="F735" s="132">
        <v>1020.7</v>
      </c>
      <c r="G735" s="133">
        <f>Tabla147[[#This Row],[Importe]]-Tabla147[[#This Row],[Pagado]]</f>
        <v>0</v>
      </c>
      <c r="H735" s="134" t="s">
        <v>10</v>
      </c>
      <c r="I735" s="135"/>
    </row>
    <row r="736" spans="1:9" ht="21.75" customHeight="1" x14ac:dyDescent="0.25">
      <c r="A736" s="127">
        <v>44719</v>
      </c>
      <c r="B736" s="128" t="s">
        <v>18553</v>
      </c>
      <c r="C736" s="129" t="s">
        <v>31</v>
      </c>
      <c r="D736" s="130">
        <v>2958</v>
      </c>
      <c r="E736" s="131">
        <v>44720</v>
      </c>
      <c r="F736" s="132">
        <v>2958</v>
      </c>
      <c r="G736" s="133">
        <f>Tabla147[[#This Row],[Importe]]-Tabla147[[#This Row],[Pagado]]</f>
        <v>0</v>
      </c>
      <c r="H736" s="134" t="s">
        <v>10</v>
      </c>
      <c r="I736" s="135"/>
    </row>
    <row r="737" spans="1:9" ht="21.75" customHeight="1" x14ac:dyDescent="0.25">
      <c r="A737" s="127">
        <v>44719</v>
      </c>
      <c r="B737" s="128" t="s">
        <v>18554</v>
      </c>
      <c r="C737" s="129" t="s">
        <v>698</v>
      </c>
      <c r="D737" s="130">
        <v>5740</v>
      </c>
      <c r="E737" s="131">
        <v>44719</v>
      </c>
      <c r="F737" s="132">
        <v>5740</v>
      </c>
      <c r="G737" s="133">
        <f>Tabla147[[#This Row],[Importe]]-Tabla147[[#This Row],[Pagado]]</f>
        <v>0</v>
      </c>
      <c r="H737" s="134" t="s">
        <v>10</v>
      </c>
      <c r="I737" s="135"/>
    </row>
    <row r="738" spans="1:9" ht="21.75" customHeight="1" x14ac:dyDescent="0.25">
      <c r="A738" s="127">
        <v>44719</v>
      </c>
      <c r="B738" s="128" t="s">
        <v>18555</v>
      </c>
      <c r="C738" s="129" t="s">
        <v>520</v>
      </c>
      <c r="D738" s="130">
        <v>800.6</v>
      </c>
      <c r="E738" s="131">
        <v>44719</v>
      </c>
      <c r="F738" s="132">
        <v>800.6</v>
      </c>
      <c r="G738" s="133">
        <f>Tabla147[[#This Row],[Importe]]-Tabla147[[#This Row],[Pagado]]</f>
        <v>0</v>
      </c>
      <c r="H738" s="134" t="s">
        <v>10</v>
      </c>
      <c r="I738" s="135"/>
    </row>
    <row r="739" spans="1:9" ht="21.75" customHeight="1" x14ac:dyDescent="0.25">
      <c r="A739" s="127">
        <v>44719</v>
      </c>
      <c r="B739" s="128" t="s">
        <v>18556</v>
      </c>
      <c r="C739" s="129" t="s">
        <v>525</v>
      </c>
      <c r="D739" s="130">
        <v>420</v>
      </c>
      <c r="E739" s="131">
        <v>44719</v>
      </c>
      <c r="F739" s="132">
        <v>420</v>
      </c>
      <c r="G739" s="133">
        <f>Tabla147[[#This Row],[Importe]]-Tabla147[[#This Row],[Pagado]]</f>
        <v>0</v>
      </c>
      <c r="H739" s="134" t="s">
        <v>10</v>
      </c>
      <c r="I739" s="135"/>
    </row>
    <row r="740" spans="1:9" ht="21.75" customHeight="1" x14ac:dyDescent="0.25">
      <c r="A740" s="127">
        <v>44719</v>
      </c>
      <c r="B740" s="128" t="s">
        <v>18557</v>
      </c>
      <c r="C740" s="129" t="s">
        <v>31</v>
      </c>
      <c r="D740" s="130">
        <v>1881.6</v>
      </c>
      <c r="E740" s="131">
        <v>44719</v>
      </c>
      <c r="F740" s="132">
        <v>1881.6</v>
      </c>
      <c r="G740" s="133">
        <f>Tabla147[[#This Row],[Importe]]-Tabla147[[#This Row],[Pagado]]</f>
        <v>0</v>
      </c>
      <c r="H740" s="134" t="s">
        <v>10</v>
      </c>
      <c r="I740" s="135"/>
    </row>
    <row r="741" spans="1:9" ht="21.75" customHeight="1" x14ac:dyDescent="0.25">
      <c r="A741" s="127">
        <v>44719</v>
      </c>
      <c r="B741" s="128" t="s">
        <v>18558</v>
      </c>
      <c r="C741" s="129" t="s">
        <v>45</v>
      </c>
      <c r="D741" s="130">
        <v>3535</v>
      </c>
      <c r="E741" s="131">
        <v>44719</v>
      </c>
      <c r="F741" s="132">
        <v>3535</v>
      </c>
      <c r="G741" s="133">
        <f>Tabla147[[#This Row],[Importe]]-Tabla147[[#This Row],[Pagado]]</f>
        <v>0</v>
      </c>
      <c r="H741" s="134" t="s">
        <v>10</v>
      </c>
      <c r="I741" s="135"/>
    </row>
    <row r="742" spans="1:9" ht="21.75" customHeight="1" x14ac:dyDescent="0.25">
      <c r="A742" s="127">
        <v>44719</v>
      </c>
      <c r="B742" s="128" t="s">
        <v>18559</v>
      </c>
      <c r="C742" s="129" t="s">
        <v>31</v>
      </c>
      <c r="D742" s="130">
        <v>3506.2</v>
      </c>
      <c r="E742" s="131">
        <v>44719</v>
      </c>
      <c r="F742" s="132">
        <v>3506.2</v>
      </c>
      <c r="G742" s="133">
        <f>Tabla147[[#This Row],[Importe]]-Tabla147[[#This Row],[Pagado]]</f>
        <v>0</v>
      </c>
      <c r="H742" s="134" t="s">
        <v>10</v>
      </c>
      <c r="I742" s="135"/>
    </row>
    <row r="743" spans="1:9" ht="21.75" customHeight="1" x14ac:dyDescent="0.25">
      <c r="A743" s="127">
        <v>44719</v>
      </c>
      <c r="B743" s="128" t="s">
        <v>18560</v>
      </c>
      <c r="C743" s="129" t="s">
        <v>142</v>
      </c>
      <c r="D743" s="130">
        <v>1710</v>
      </c>
      <c r="E743" s="131">
        <v>44760</v>
      </c>
      <c r="F743" s="132">
        <v>1710</v>
      </c>
      <c r="G743" s="133">
        <f>Tabla147[[#This Row],[Importe]]-Tabla147[[#This Row],[Pagado]]</f>
        <v>0</v>
      </c>
      <c r="H743" s="134" t="s">
        <v>10</v>
      </c>
      <c r="I743" s="135"/>
    </row>
    <row r="744" spans="1:9" ht="21.75" customHeight="1" x14ac:dyDescent="0.25">
      <c r="A744" s="127">
        <v>44719</v>
      </c>
      <c r="B744" s="128" t="s">
        <v>18561</v>
      </c>
      <c r="C744" s="129" t="s">
        <v>396</v>
      </c>
      <c r="D744" s="130">
        <v>13159.45</v>
      </c>
      <c r="E744" s="131">
        <v>44729</v>
      </c>
      <c r="F744" s="132">
        <v>13159.45</v>
      </c>
      <c r="G744" s="133">
        <f>Tabla147[[#This Row],[Importe]]-Tabla147[[#This Row],[Pagado]]</f>
        <v>0</v>
      </c>
      <c r="H744" s="134" t="s">
        <v>10</v>
      </c>
      <c r="I744" s="135"/>
    </row>
    <row r="745" spans="1:9" ht="21.75" customHeight="1" x14ac:dyDescent="0.25">
      <c r="A745" s="127">
        <v>44719</v>
      </c>
      <c r="B745" s="128" t="s">
        <v>18562</v>
      </c>
      <c r="C745" s="129" t="s">
        <v>127</v>
      </c>
      <c r="D745" s="130">
        <v>3552</v>
      </c>
      <c r="E745" s="131">
        <v>44719</v>
      </c>
      <c r="F745" s="132">
        <v>3552</v>
      </c>
      <c r="G745" s="133">
        <f>Tabla147[[#This Row],[Importe]]-Tabla147[[#This Row],[Pagado]]</f>
        <v>0</v>
      </c>
      <c r="H745" s="134" t="s">
        <v>10</v>
      </c>
      <c r="I745" s="135"/>
    </row>
    <row r="746" spans="1:9" ht="21.75" customHeight="1" x14ac:dyDescent="0.25">
      <c r="A746" s="127">
        <v>44719</v>
      </c>
      <c r="B746" s="128" t="s">
        <v>18563</v>
      </c>
      <c r="C746" s="129" t="s">
        <v>339</v>
      </c>
      <c r="D746" s="130">
        <v>777</v>
      </c>
      <c r="E746" s="131">
        <v>44719</v>
      </c>
      <c r="F746" s="132">
        <v>777</v>
      </c>
      <c r="G746" s="133">
        <f>Tabla147[[#This Row],[Importe]]-Tabla147[[#This Row],[Pagado]]</f>
        <v>0</v>
      </c>
      <c r="H746" s="134" t="s">
        <v>10</v>
      </c>
      <c r="I746" s="135"/>
    </row>
    <row r="747" spans="1:9" ht="21.75" customHeight="1" x14ac:dyDescent="0.25">
      <c r="A747" s="127">
        <v>44719</v>
      </c>
      <c r="B747" s="128" t="s">
        <v>18564</v>
      </c>
      <c r="C747" s="129" t="s">
        <v>45</v>
      </c>
      <c r="D747" s="130">
        <v>3346</v>
      </c>
      <c r="E747" s="131">
        <v>44719</v>
      </c>
      <c r="F747" s="132">
        <v>3346</v>
      </c>
      <c r="G747" s="133">
        <f>Tabla147[[#This Row],[Importe]]-Tabla147[[#This Row],[Pagado]]</f>
        <v>0</v>
      </c>
      <c r="H747" s="134" t="s">
        <v>10</v>
      </c>
      <c r="I747" s="135"/>
    </row>
    <row r="748" spans="1:9" ht="21.75" customHeight="1" x14ac:dyDescent="0.25">
      <c r="A748" s="127">
        <v>44719</v>
      </c>
      <c r="B748" s="128" t="s">
        <v>18565</v>
      </c>
      <c r="C748" s="129" t="s">
        <v>129</v>
      </c>
      <c r="D748" s="130">
        <v>2086.8000000000002</v>
      </c>
      <c r="E748" s="131">
        <v>44719</v>
      </c>
      <c r="F748" s="132">
        <v>2086.8000000000002</v>
      </c>
      <c r="G748" s="133">
        <f>Tabla147[[#This Row],[Importe]]-Tabla147[[#This Row],[Pagado]]</f>
        <v>0</v>
      </c>
      <c r="H748" s="134" t="s">
        <v>10</v>
      </c>
      <c r="I748" s="135"/>
    </row>
    <row r="749" spans="1:9" ht="21.75" customHeight="1" x14ac:dyDescent="0.25">
      <c r="A749" s="127">
        <v>44719</v>
      </c>
      <c r="B749" s="128" t="s">
        <v>18566</v>
      </c>
      <c r="C749" s="129" t="s">
        <v>129</v>
      </c>
      <c r="D749" s="130">
        <v>630.4</v>
      </c>
      <c r="E749" s="131">
        <v>44719</v>
      </c>
      <c r="F749" s="132">
        <v>630.4</v>
      </c>
      <c r="G749" s="133">
        <f>Tabla147[[#This Row],[Importe]]-Tabla147[[#This Row],[Pagado]]</f>
        <v>0</v>
      </c>
      <c r="H749" s="134" t="s">
        <v>10</v>
      </c>
      <c r="I749" s="135"/>
    </row>
    <row r="750" spans="1:9" ht="21.75" customHeight="1" x14ac:dyDescent="0.25">
      <c r="A750" s="127">
        <v>44719</v>
      </c>
      <c r="B750" s="128" t="s">
        <v>18567</v>
      </c>
      <c r="C750" s="129" t="s">
        <v>333</v>
      </c>
      <c r="D750" s="130">
        <v>1228.4000000000001</v>
      </c>
      <c r="E750" s="131">
        <v>44719</v>
      </c>
      <c r="F750" s="132">
        <v>1228.4000000000001</v>
      </c>
      <c r="G750" s="133">
        <f>Tabla147[[#This Row],[Importe]]-Tabla147[[#This Row],[Pagado]]</f>
        <v>0</v>
      </c>
      <c r="H750" s="134" t="s">
        <v>10</v>
      </c>
      <c r="I750" s="135"/>
    </row>
    <row r="751" spans="1:9" ht="21.75" customHeight="1" x14ac:dyDescent="0.25">
      <c r="A751" s="127">
        <v>44719</v>
      </c>
      <c r="B751" s="128" t="s">
        <v>18568</v>
      </c>
      <c r="C751" s="129" t="s">
        <v>419</v>
      </c>
      <c r="D751" s="130">
        <v>6185.2</v>
      </c>
      <c r="E751" s="131">
        <v>44719</v>
      </c>
      <c r="F751" s="132">
        <v>6185.2</v>
      </c>
      <c r="G751" s="133">
        <f>Tabla147[[#This Row],[Importe]]-Tabla147[[#This Row],[Pagado]]</f>
        <v>0</v>
      </c>
      <c r="H751" s="134" t="s">
        <v>10</v>
      </c>
      <c r="I751" s="135"/>
    </row>
    <row r="752" spans="1:9" ht="21.75" customHeight="1" x14ac:dyDescent="0.25">
      <c r="A752" s="127">
        <v>44719</v>
      </c>
      <c r="B752" s="128" t="s">
        <v>18569</v>
      </c>
      <c r="C752" s="129" t="s">
        <v>14375</v>
      </c>
      <c r="D752" s="130">
        <v>0</v>
      </c>
      <c r="E752" s="136" t="s">
        <v>189</v>
      </c>
      <c r="F752" s="132">
        <v>0</v>
      </c>
      <c r="G752" s="133">
        <f>Tabla147[[#This Row],[Importe]]-Tabla147[[#This Row],[Pagado]]</f>
        <v>0</v>
      </c>
      <c r="H752" s="134" t="s">
        <v>189</v>
      </c>
      <c r="I752" s="135"/>
    </row>
    <row r="753" spans="1:9" ht="21.75" customHeight="1" x14ac:dyDescent="0.25">
      <c r="A753" s="127">
        <v>44719</v>
      </c>
      <c r="B753" s="128" t="s">
        <v>18570</v>
      </c>
      <c r="C753" s="129" t="s">
        <v>31</v>
      </c>
      <c r="D753" s="130">
        <v>11290</v>
      </c>
      <c r="E753" s="131">
        <v>44719</v>
      </c>
      <c r="F753" s="132">
        <v>11290</v>
      </c>
      <c r="G753" s="133">
        <f>Tabla147[[#This Row],[Importe]]-Tabla147[[#This Row],[Pagado]]</f>
        <v>0</v>
      </c>
      <c r="H753" s="134" t="s">
        <v>10</v>
      </c>
      <c r="I753" s="135"/>
    </row>
    <row r="754" spans="1:9" ht="21.75" customHeight="1" x14ac:dyDescent="0.25">
      <c r="A754" s="127">
        <v>44719</v>
      </c>
      <c r="B754" s="128" t="s">
        <v>18571</v>
      </c>
      <c r="C754" s="129" t="s">
        <v>31</v>
      </c>
      <c r="D754" s="130">
        <v>3528.4</v>
      </c>
      <c r="E754" s="131">
        <v>44719</v>
      </c>
      <c r="F754" s="132">
        <v>3528.4</v>
      </c>
      <c r="G754" s="133">
        <f>Tabla147[[#This Row],[Importe]]-Tabla147[[#This Row],[Pagado]]</f>
        <v>0</v>
      </c>
      <c r="H754" s="134" t="s">
        <v>10</v>
      </c>
      <c r="I754" s="135"/>
    </row>
    <row r="755" spans="1:9" ht="21.75" customHeight="1" x14ac:dyDescent="0.25">
      <c r="A755" s="127">
        <v>44719</v>
      </c>
      <c r="B755" s="128" t="s">
        <v>18572</v>
      </c>
      <c r="C755" s="129" t="s">
        <v>296</v>
      </c>
      <c r="D755" s="130">
        <v>4736</v>
      </c>
      <c r="E755" s="131">
        <v>44719</v>
      </c>
      <c r="F755" s="132">
        <v>4736</v>
      </c>
      <c r="G755" s="133">
        <f>Tabla147[[#This Row],[Importe]]-Tabla147[[#This Row],[Pagado]]</f>
        <v>0</v>
      </c>
      <c r="H755" s="134" t="s">
        <v>10</v>
      </c>
      <c r="I755" s="135"/>
    </row>
    <row r="756" spans="1:9" ht="21.75" customHeight="1" x14ac:dyDescent="0.25">
      <c r="A756" s="127">
        <v>44719</v>
      </c>
      <c r="B756" s="128" t="s">
        <v>18573</v>
      </c>
      <c r="C756" s="129" t="s">
        <v>1313</v>
      </c>
      <c r="D756" s="130">
        <v>7866</v>
      </c>
      <c r="E756" s="131">
        <v>44719</v>
      </c>
      <c r="F756" s="132">
        <v>7866</v>
      </c>
      <c r="G756" s="133">
        <f>Tabla147[[#This Row],[Importe]]-Tabla147[[#This Row],[Pagado]]</f>
        <v>0</v>
      </c>
      <c r="H756" s="134" t="s">
        <v>10</v>
      </c>
      <c r="I756" s="135"/>
    </row>
    <row r="757" spans="1:9" ht="21.75" customHeight="1" x14ac:dyDescent="0.25">
      <c r="A757" s="127">
        <v>44719</v>
      </c>
      <c r="B757" s="128" t="s">
        <v>18574</v>
      </c>
      <c r="C757" s="129" t="s">
        <v>67</v>
      </c>
      <c r="D757" s="130">
        <v>2167.1999999999998</v>
      </c>
      <c r="E757" s="131">
        <v>44719</v>
      </c>
      <c r="F757" s="132">
        <v>2167.1999999999998</v>
      </c>
      <c r="G757" s="133">
        <f>Tabla147[[#This Row],[Importe]]-Tabla147[[#This Row],[Pagado]]</f>
        <v>0</v>
      </c>
      <c r="H757" s="134" t="s">
        <v>10</v>
      </c>
      <c r="I757" s="135"/>
    </row>
    <row r="758" spans="1:9" ht="21.75" customHeight="1" x14ac:dyDescent="0.25">
      <c r="A758" s="127">
        <v>44719</v>
      </c>
      <c r="B758" s="128" t="s">
        <v>18575</v>
      </c>
      <c r="C758" s="129" t="s">
        <v>273</v>
      </c>
      <c r="D758" s="130">
        <v>3805.08</v>
      </c>
      <c r="E758" s="131">
        <v>44719</v>
      </c>
      <c r="F758" s="132">
        <v>3805.08</v>
      </c>
      <c r="G758" s="133">
        <f>Tabla147[[#This Row],[Importe]]-Tabla147[[#This Row],[Pagado]]</f>
        <v>0</v>
      </c>
      <c r="H758" s="134" t="s">
        <v>10</v>
      </c>
      <c r="I758" s="135"/>
    </row>
    <row r="759" spans="1:9" ht="21.75" customHeight="1" x14ac:dyDescent="0.25">
      <c r="A759" s="127">
        <v>44719</v>
      </c>
      <c r="B759" s="128" t="s">
        <v>18576</v>
      </c>
      <c r="C759" s="129" t="s">
        <v>273</v>
      </c>
      <c r="D759" s="130">
        <v>607.20000000000005</v>
      </c>
      <c r="E759" s="131">
        <v>44719</v>
      </c>
      <c r="F759" s="132">
        <v>607.20000000000005</v>
      </c>
      <c r="G759" s="133">
        <f>Tabla147[[#This Row],[Importe]]-Tabla147[[#This Row],[Pagado]]</f>
        <v>0</v>
      </c>
      <c r="H759" s="134" t="s">
        <v>10</v>
      </c>
      <c r="I759" s="135"/>
    </row>
    <row r="760" spans="1:9" ht="21.75" customHeight="1" x14ac:dyDescent="0.25">
      <c r="A760" s="127">
        <v>44719</v>
      </c>
      <c r="B760" s="128" t="s">
        <v>18577</v>
      </c>
      <c r="C760" s="129" t="s">
        <v>2139</v>
      </c>
      <c r="D760" s="130">
        <v>1620</v>
      </c>
      <c r="E760" s="131">
        <v>44719</v>
      </c>
      <c r="F760" s="132">
        <v>1620</v>
      </c>
      <c r="G760" s="133">
        <f>Tabla147[[#This Row],[Importe]]-Tabla147[[#This Row],[Pagado]]</f>
        <v>0</v>
      </c>
      <c r="H760" s="134" t="s">
        <v>10</v>
      </c>
      <c r="I760" s="135"/>
    </row>
    <row r="761" spans="1:9" ht="21.75" customHeight="1" x14ac:dyDescent="0.25">
      <c r="A761" s="127">
        <v>44719</v>
      </c>
      <c r="B761" s="128" t="s">
        <v>18578</v>
      </c>
      <c r="C761" s="129" t="s">
        <v>433</v>
      </c>
      <c r="D761" s="130">
        <v>34000</v>
      </c>
      <c r="E761" s="131">
        <v>44719</v>
      </c>
      <c r="F761" s="132">
        <v>34000</v>
      </c>
      <c r="G761" s="133">
        <f>Tabla147[[#This Row],[Importe]]-Tabla147[[#This Row],[Pagado]]</f>
        <v>0</v>
      </c>
      <c r="H761" s="134" t="s">
        <v>10</v>
      </c>
      <c r="I761" s="135"/>
    </row>
    <row r="762" spans="1:9" ht="21.75" customHeight="1" x14ac:dyDescent="0.25">
      <c r="A762" s="127">
        <v>44719</v>
      </c>
      <c r="B762" s="128" t="s">
        <v>18579</v>
      </c>
      <c r="C762" s="129" t="s">
        <v>146</v>
      </c>
      <c r="D762" s="130">
        <v>4765.6000000000004</v>
      </c>
      <c r="E762" s="131">
        <v>44719</v>
      </c>
      <c r="F762" s="132">
        <v>4765.6000000000004</v>
      </c>
      <c r="G762" s="133">
        <f>Tabla147[[#This Row],[Importe]]-Tabla147[[#This Row],[Pagado]]</f>
        <v>0</v>
      </c>
      <c r="H762" s="134" t="s">
        <v>10</v>
      </c>
      <c r="I762" s="135"/>
    </row>
    <row r="763" spans="1:9" ht="21.75" customHeight="1" x14ac:dyDescent="0.25">
      <c r="A763" s="127">
        <v>44719</v>
      </c>
      <c r="B763" s="128" t="s">
        <v>18580</v>
      </c>
      <c r="C763" s="129" t="s">
        <v>11383</v>
      </c>
      <c r="D763" s="130">
        <v>16262.1</v>
      </c>
      <c r="E763" s="131">
        <v>44719</v>
      </c>
      <c r="F763" s="132">
        <v>16262.1</v>
      </c>
      <c r="G763" s="133">
        <f>Tabla147[[#This Row],[Importe]]-Tabla147[[#This Row],[Pagado]]</f>
        <v>0</v>
      </c>
      <c r="H763" s="134" t="s">
        <v>10</v>
      </c>
      <c r="I763" s="135"/>
    </row>
    <row r="764" spans="1:9" ht="21.75" customHeight="1" x14ac:dyDescent="0.25">
      <c r="A764" s="127">
        <v>44719</v>
      </c>
      <c r="B764" s="128" t="s">
        <v>18581</v>
      </c>
      <c r="C764" s="129" t="s">
        <v>107</v>
      </c>
      <c r="D764" s="130">
        <v>14897.5</v>
      </c>
      <c r="E764" s="131">
        <v>44719</v>
      </c>
      <c r="F764" s="132">
        <v>14897.5</v>
      </c>
      <c r="G764" s="133">
        <f>Tabla147[[#This Row],[Importe]]-Tabla147[[#This Row],[Pagado]]</f>
        <v>0</v>
      </c>
      <c r="H764" s="134" t="s">
        <v>10</v>
      </c>
      <c r="I764" s="135"/>
    </row>
    <row r="765" spans="1:9" ht="21.75" customHeight="1" x14ac:dyDescent="0.25">
      <c r="A765" s="127">
        <v>44719</v>
      </c>
      <c r="B765" s="128" t="s">
        <v>18582</v>
      </c>
      <c r="C765" s="129" t="s">
        <v>107</v>
      </c>
      <c r="D765" s="130">
        <v>1063.5</v>
      </c>
      <c r="E765" s="131">
        <v>44719</v>
      </c>
      <c r="F765" s="132">
        <v>1063.5</v>
      </c>
      <c r="G765" s="133">
        <f>Tabla147[[#This Row],[Importe]]-Tabla147[[#This Row],[Pagado]]</f>
        <v>0</v>
      </c>
      <c r="H765" s="134" t="s">
        <v>10</v>
      </c>
      <c r="I765" s="135"/>
    </row>
    <row r="766" spans="1:9" ht="21.75" customHeight="1" x14ac:dyDescent="0.25">
      <c r="A766" s="127">
        <v>44719</v>
      </c>
      <c r="B766" s="128" t="s">
        <v>18583</v>
      </c>
      <c r="C766" s="129" t="s">
        <v>263</v>
      </c>
      <c r="D766" s="130">
        <v>27979.200000000001</v>
      </c>
      <c r="E766" s="131">
        <v>44720</v>
      </c>
      <c r="F766" s="132">
        <v>27979.200000000001</v>
      </c>
      <c r="G766" s="133">
        <f>Tabla147[[#This Row],[Importe]]-Tabla147[[#This Row],[Pagado]]</f>
        <v>0</v>
      </c>
      <c r="H766" s="134" t="s">
        <v>10</v>
      </c>
      <c r="I766" s="135"/>
    </row>
    <row r="767" spans="1:9" ht="21.75" customHeight="1" x14ac:dyDescent="0.25">
      <c r="A767" s="127">
        <v>44719</v>
      </c>
      <c r="B767" s="128" t="s">
        <v>18584</v>
      </c>
      <c r="C767" s="129" t="s">
        <v>450</v>
      </c>
      <c r="D767" s="130">
        <v>4733.3999999999996</v>
      </c>
      <c r="E767" s="131">
        <v>44719</v>
      </c>
      <c r="F767" s="132">
        <v>4733.3999999999996</v>
      </c>
      <c r="G767" s="133">
        <f>Tabla147[[#This Row],[Importe]]-Tabla147[[#This Row],[Pagado]]</f>
        <v>0</v>
      </c>
      <c r="H767" s="134" t="s">
        <v>10</v>
      </c>
      <c r="I767" s="135"/>
    </row>
    <row r="768" spans="1:9" ht="21.75" customHeight="1" x14ac:dyDescent="0.25">
      <c r="A768" s="127">
        <v>44719</v>
      </c>
      <c r="B768" s="128" t="s">
        <v>18585</v>
      </c>
      <c r="C768" s="129" t="s">
        <v>53</v>
      </c>
      <c r="D768" s="130">
        <v>2020.2</v>
      </c>
      <c r="E768" s="131">
        <v>44719</v>
      </c>
      <c r="F768" s="132">
        <v>2020.2</v>
      </c>
      <c r="G768" s="133">
        <f>Tabla147[[#This Row],[Importe]]-Tabla147[[#This Row],[Pagado]]</f>
        <v>0</v>
      </c>
      <c r="H768" s="134" t="s">
        <v>10</v>
      </c>
      <c r="I768" s="135"/>
    </row>
    <row r="769" spans="1:9" ht="21.75" customHeight="1" x14ac:dyDescent="0.25">
      <c r="A769" s="127">
        <v>44719</v>
      </c>
      <c r="B769" s="128" t="s">
        <v>18586</v>
      </c>
      <c r="C769" s="129" t="s">
        <v>10678</v>
      </c>
      <c r="D769" s="130">
        <v>2342.6</v>
      </c>
      <c r="E769" s="131">
        <v>44719</v>
      </c>
      <c r="F769" s="132">
        <v>2342.6</v>
      </c>
      <c r="G769" s="133">
        <f>Tabla147[[#This Row],[Importe]]-Tabla147[[#This Row],[Pagado]]</f>
        <v>0</v>
      </c>
      <c r="H769" s="134" t="s">
        <v>10</v>
      </c>
      <c r="I769" s="135"/>
    </row>
    <row r="770" spans="1:9" ht="21.75" customHeight="1" x14ac:dyDescent="0.25">
      <c r="A770" s="127">
        <v>44719</v>
      </c>
      <c r="B770" s="128" t="s">
        <v>18587</v>
      </c>
      <c r="C770" s="129" t="s">
        <v>275</v>
      </c>
      <c r="D770" s="130">
        <v>92901.6</v>
      </c>
      <c r="E770" s="131">
        <v>44729</v>
      </c>
      <c r="F770" s="132">
        <v>92901.6</v>
      </c>
      <c r="G770" s="133">
        <f>Tabla147[[#This Row],[Importe]]-Tabla147[[#This Row],[Pagado]]</f>
        <v>0</v>
      </c>
      <c r="H770" s="134" t="s">
        <v>10</v>
      </c>
      <c r="I770" s="135"/>
    </row>
    <row r="771" spans="1:9" ht="21.75" customHeight="1" x14ac:dyDescent="0.25">
      <c r="A771" s="127">
        <v>44719</v>
      </c>
      <c r="B771" s="128" t="s">
        <v>18588</v>
      </c>
      <c r="C771" s="129" t="s">
        <v>142</v>
      </c>
      <c r="D771" s="130">
        <v>45293.1</v>
      </c>
      <c r="E771" s="131">
        <v>44760</v>
      </c>
      <c r="F771" s="132">
        <v>45293.1</v>
      </c>
      <c r="G771" s="133">
        <f>Tabla147[[#This Row],[Importe]]-Tabla147[[#This Row],[Pagado]]</f>
        <v>0</v>
      </c>
      <c r="H771" s="134" t="s">
        <v>10</v>
      </c>
      <c r="I771" s="135"/>
    </row>
    <row r="772" spans="1:9" ht="21.75" customHeight="1" x14ac:dyDescent="0.25">
      <c r="A772" s="127">
        <v>44719</v>
      </c>
      <c r="B772" s="128" t="s">
        <v>18589</v>
      </c>
      <c r="C772" s="129" t="s">
        <v>414</v>
      </c>
      <c r="D772" s="130">
        <v>53.73</v>
      </c>
      <c r="E772" s="131">
        <v>44722</v>
      </c>
      <c r="F772" s="132">
        <v>53.73</v>
      </c>
      <c r="G772" s="133">
        <f>Tabla147[[#This Row],[Importe]]-Tabla147[[#This Row],[Pagado]]</f>
        <v>0</v>
      </c>
      <c r="H772" s="134" t="s">
        <v>10</v>
      </c>
      <c r="I772" s="135"/>
    </row>
    <row r="773" spans="1:9" ht="21.75" customHeight="1" x14ac:dyDescent="0.25">
      <c r="A773" s="127">
        <v>44719</v>
      </c>
      <c r="B773" s="128" t="s">
        <v>18590</v>
      </c>
      <c r="C773" s="129" t="s">
        <v>681</v>
      </c>
      <c r="D773" s="130">
        <v>11.99</v>
      </c>
      <c r="E773" s="131">
        <v>44728</v>
      </c>
      <c r="F773" s="132">
        <v>11.99</v>
      </c>
      <c r="G773" s="133">
        <f>Tabla147[[#This Row],[Importe]]-Tabla147[[#This Row],[Pagado]]</f>
        <v>0</v>
      </c>
      <c r="H773" s="134" t="s">
        <v>10</v>
      </c>
      <c r="I773" s="135"/>
    </row>
    <row r="774" spans="1:9" ht="21.75" customHeight="1" x14ac:dyDescent="0.25">
      <c r="A774" s="127">
        <v>44719</v>
      </c>
      <c r="B774" s="128" t="s">
        <v>18591</v>
      </c>
      <c r="C774" s="129" t="s">
        <v>51</v>
      </c>
      <c r="D774" s="130">
        <v>1116</v>
      </c>
      <c r="E774" s="131">
        <v>44719</v>
      </c>
      <c r="F774" s="132">
        <v>1116</v>
      </c>
      <c r="G774" s="133">
        <f>Tabla147[[#This Row],[Importe]]-Tabla147[[#This Row],[Pagado]]</f>
        <v>0</v>
      </c>
      <c r="H774" s="134" t="s">
        <v>10</v>
      </c>
      <c r="I774" s="135"/>
    </row>
    <row r="775" spans="1:9" ht="21.75" customHeight="1" x14ac:dyDescent="0.25">
      <c r="A775" s="127">
        <v>44719</v>
      </c>
      <c r="B775" s="128" t="s">
        <v>18592</v>
      </c>
      <c r="C775" s="129" t="s">
        <v>151</v>
      </c>
      <c r="D775" s="130">
        <v>25151.8</v>
      </c>
      <c r="E775" s="131">
        <v>44720</v>
      </c>
      <c r="F775" s="132">
        <v>25151.8</v>
      </c>
      <c r="G775" s="133">
        <f>Tabla147[[#This Row],[Importe]]-Tabla147[[#This Row],[Pagado]]</f>
        <v>0</v>
      </c>
      <c r="H775" s="134" t="s">
        <v>10</v>
      </c>
      <c r="I775" s="135"/>
    </row>
    <row r="776" spans="1:9" ht="21.75" customHeight="1" x14ac:dyDescent="0.25">
      <c r="A776" s="127">
        <v>44719</v>
      </c>
      <c r="B776" s="128" t="s">
        <v>18593</v>
      </c>
      <c r="C776" s="129" t="s">
        <v>157</v>
      </c>
      <c r="D776" s="130">
        <v>8252.2000000000007</v>
      </c>
      <c r="E776" s="131">
        <v>44720</v>
      </c>
      <c r="F776" s="132">
        <v>8252.2000000000007</v>
      </c>
      <c r="G776" s="133">
        <f>Tabla147[[#This Row],[Importe]]-Tabla147[[#This Row],[Pagado]]</f>
        <v>0</v>
      </c>
      <c r="H776" s="134" t="s">
        <v>10</v>
      </c>
      <c r="I776" s="135"/>
    </row>
    <row r="777" spans="1:9" ht="21.75" customHeight="1" x14ac:dyDescent="0.25">
      <c r="A777" s="127">
        <v>44719</v>
      </c>
      <c r="B777" s="128" t="s">
        <v>18594</v>
      </c>
      <c r="C777" s="129" t="s">
        <v>159</v>
      </c>
      <c r="D777" s="130">
        <v>2246.4</v>
      </c>
      <c r="E777" s="131">
        <v>44720</v>
      </c>
      <c r="F777" s="132">
        <v>2246.4</v>
      </c>
      <c r="G777" s="133">
        <f>Tabla147[[#This Row],[Importe]]-Tabla147[[#This Row],[Pagado]]</f>
        <v>0</v>
      </c>
      <c r="H777" s="134" t="s">
        <v>10</v>
      </c>
      <c r="I777" s="135"/>
    </row>
    <row r="778" spans="1:9" ht="21.75" customHeight="1" x14ac:dyDescent="0.25">
      <c r="A778" s="127">
        <v>44719</v>
      </c>
      <c r="B778" s="128" t="s">
        <v>18595</v>
      </c>
      <c r="C778" s="129" t="s">
        <v>298</v>
      </c>
      <c r="D778" s="130">
        <v>5730</v>
      </c>
      <c r="E778" s="131">
        <v>44719</v>
      </c>
      <c r="F778" s="132">
        <v>5730</v>
      </c>
      <c r="G778" s="133">
        <f>Tabla147[[#This Row],[Importe]]-Tabla147[[#This Row],[Pagado]]</f>
        <v>0</v>
      </c>
      <c r="H778" s="134" t="s">
        <v>10</v>
      </c>
      <c r="I778" s="135"/>
    </row>
    <row r="779" spans="1:9" ht="21.75" customHeight="1" x14ac:dyDescent="0.25">
      <c r="A779" s="127">
        <v>44719</v>
      </c>
      <c r="B779" s="128" t="s">
        <v>18596</v>
      </c>
      <c r="C779" s="129" t="s">
        <v>421</v>
      </c>
      <c r="D779" s="130">
        <v>6482.5</v>
      </c>
      <c r="E779" s="131">
        <v>44719</v>
      </c>
      <c r="F779" s="132">
        <v>6482.5</v>
      </c>
      <c r="G779" s="133">
        <f>Tabla147[[#This Row],[Importe]]-Tabla147[[#This Row],[Pagado]]</f>
        <v>0</v>
      </c>
      <c r="H779" s="134" t="s">
        <v>10</v>
      </c>
      <c r="I779" s="135"/>
    </row>
    <row r="780" spans="1:9" ht="21.75" customHeight="1" x14ac:dyDescent="0.25">
      <c r="A780" s="127">
        <v>44719</v>
      </c>
      <c r="B780" s="128" t="s">
        <v>18597</v>
      </c>
      <c r="C780" s="129" t="s">
        <v>284</v>
      </c>
      <c r="D780" s="130">
        <v>6963.2</v>
      </c>
      <c r="E780" s="131">
        <v>44720</v>
      </c>
      <c r="F780" s="132">
        <v>6963.2</v>
      </c>
      <c r="G780" s="133">
        <f>Tabla147[[#This Row],[Importe]]-Tabla147[[#This Row],[Pagado]]</f>
        <v>0</v>
      </c>
      <c r="H780" s="134" t="s">
        <v>10</v>
      </c>
      <c r="I780" s="135"/>
    </row>
    <row r="781" spans="1:9" ht="21.75" customHeight="1" x14ac:dyDescent="0.25">
      <c r="A781" s="127">
        <v>44719</v>
      </c>
      <c r="B781" s="128" t="s">
        <v>18598</v>
      </c>
      <c r="C781" s="129" t="s">
        <v>10819</v>
      </c>
      <c r="D781" s="130">
        <v>734.4</v>
      </c>
      <c r="E781" s="131">
        <v>44720</v>
      </c>
      <c r="F781" s="132">
        <v>734.4</v>
      </c>
      <c r="G781" s="133">
        <f>Tabla147[[#This Row],[Importe]]-Tabla147[[#This Row],[Pagado]]</f>
        <v>0</v>
      </c>
      <c r="H781" s="134" t="s">
        <v>10</v>
      </c>
      <c r="I781" s="135"/>
    </row>
    <row r="782" spans="1:9" ht="21.75" customHeight="1" x14ac:dyDescent="0.25">
      <c r="A782" s="127">
        <v>44719</v>
      </c>
      <c r="B782" s="128" t="s">
        <v>18599</v>
      </c>
      <c r="C782" s="129" t="s">
        <v>282</v>
      </c>
      <c r="D782" s="130">
        <v>1421.2</v>
      </c>
      <c r="E782" s="131">
        <v>44720</v>
      </c>
      <c r="F782" s="132">
        <v>1421.2</v>
      </c>
      <c r="G782" s="133">
        <f>Tabla147[[#This Row],[Importe]]-Tabla147[[#This Row],[Pagado]]</f>
        <v>0</v>
      </c>
      <c r="H782" s="134" t="s">
        <v>10</v>
      </c>
      <c r="I782" s="135"/>
    </row>
    <row r="783" spans="1:9" ht="21.75" customHeight="1" x14ac:dyDescent="0.25">
      <c r="A783" s="127">
        <v>44719</v>
      </c>
      <c r="B783" s="128" t="s">
        <v>18600</v>
      </c>
      <c r="C783" s="129" t="s">
        <v>426</v>
      </c>
      <c r="D783" s="130">
        <v>11333.6</v>
      </c>
      <c r="E783" s="131">
        <v>44720</v>
      </c>
      <c r="F783" s="132">
        <v>11333.6</v>
      </c>
      <c r="G783" s="133">
        <f>Tabla147[[#This Row],[Importe]]-Tabla147[[#This Row],[Pagado]]</f>
        <v>0</v>
      </c>
      <c r="H783" s="134" t="s">
        <v>10</v>
      </c>
      <c r="I783" s="135"/>
    </row>
    <row r="784" spans="1:9" ht="21.75" customHeight="1" x14ac:dyDescent="0.25">
      <c r="A784" s="127">
        <v>44719</v>
      </c>
      <c r="B784" s="128" t="s">
        <v>18601</v>
      </c>
      <c r="C784" s="129" t="s">
        <v>196</v>
      </c>
      <c r="D784" s="130">
        <v>46680.3</v>
      </c>
      <c r="E784" s="131">
        <v>44722</v>
      </c>
      <c r="F784" s="132">
        <v>46680.3</v>
      </c>
      <c r="G784" s="133">
        <f>Tabla147[[#This Row],[Importe]]-Tabla147[[#This Row],[Pagado]]</f>
        <v>0</v>
      </c>
      <c r="H784" s="134" t="s">
        <v>10</v>
      </c>
      <c r="I784" s="135"/>
    </row>
    <row r="785" spans="1:9" ht="21.75" customHeight="1" x14ac:dyDescent="0.25">
      <c r="A785" s="127">
        <v>44719</v>
      </c>
      <c r="B785" s="128" t="s">
        <v>18602</v>
      </c>
      <c r="C785" s="129" t="s">
        <v>5694</v>
      </c>
      <c r="D785" s="130">
        <v>4403</v>
      </c>
      <c r="E785" s="131">
        <v>44719</v>
      </c>
      <c r="F785" s="132">
        <v>4403</v>
      </c>
      <c r="G785" s="133">
        <f>Tabla147[[#This Row],[Importe]]-Tabla147[[#This Row],[Pagado]]</f>
        <v>0</v>
      </c>
      <c r="H785" s="134" t="s">
        <v>10</v>
      </c>
      <c r="I785" s="135"/>
    </row>
    <row r="786" spans="1:9" ht="21.75" customHeight="1" x14ac:dyDescent="0.25">
      <c r="A786" s="127">
        <v>44719</v>
      </c>
      <c r="B786" s="128" t="s">
        <v>18603</v>
      </c>
      <c r="C786" s="129" t="s">
        <v>3900</v>
      </c>
      <c r="D786" s="130">
        <v>1084.5999999999999</v>
      </c>
      <c r="E786" s="131">
        <v>44719</v>
      </c>
      <c r="F786" s="132">
        <v>1084.5999999999999</v>
      </c>
      <c r="G786" s="133">
        <f>Tabla147[[#This Row],[Importe]]-Tabla147[[#This Row],[Pagado]]</f>
        <v>0</v>
      </c>
      <c r="H786" s="134" t="s">
        <v>10</v>
      </c>
      <c r="I786" s="135"/>
    </row>
    <row r="787" spans="1:9" ht="21.75" customHeight="1" x14ac:dyDescent="0.25">
      <c r="A787" s="127">
        <v>44719</v>
      </c>
      <c r="B787" s="128" t="s">
        <v>18604</v>
      </c>
      <c r="C787" s="129" t="s">
        <v>53</v>
      </c>
      <c r="D787" s="130">
        <v>2103.9</v>
      </c>
      <c r="E787" s="131">
        <v>44719</v>
      </c>
      <c r="F787" s="132">
        <v>2103.9</v>
      </c>
      <c r="G787" s="133">
        <f>Tabla147[[#This Row],[Importe]]-Tabla147[[#This Row],[Pagado]]</f>
        <v>0</v>
      </c>
      <c r="H787" s="134" t="s">
        <v>10</v>
      </c>
      <c r="I787" s="135"/>
    </row>
    <row r="788" spans="1:9" ht="21.75" customHeight="1" x14ac:dyDescent="0.25">
      <c r="A788" s="127">
        <v>44719</v>
      </c>
      <c r="B788" s="128" t="s">
        <v>18605</v>
      </c>
      <c r="C788" s="129" t="s">
        <v>135</v>
      </c>
      <c r="D788" s="130">
        <v>1316.6</v>
      </c>
      <c r="E788" s="131">
        <v>44720</v>
      </c>
      <c r="F788" s="132">
        <v>1316.6</v>
      </c>
      <c r="G788" s="133">
        <f>Tabla147[[#This Row],[Importe]]-Tabla147[[#This Row],[Pagado]]</f>
        <v>0</v>
      </c>
      <c r="H788" s="134" t="s">
        <v>10</v>
      </c>
      <c r="I788" s="135"/>
    </row>
    <row r="789" spans="1:9" ht="21.75" customHeight="1" x14ac:dyDescent="0.25">
      <c r="A789" s="127">
        <v>44719</v>
      </c>
      <c r="B789" s="128" t="s">
        <v>18606</v>
      </c>
      <c r="C789" s="129" t="s">
        <v>373</v>
      </c>
      <c r="D789" s="130">
        <v>1876</v>
      </c>
      <c r="E789" s="131">
        <v>44719</v>
      </c>
      <c r="F789" s="132">
        <v>1876</v>
      </c>
      <c r="G789" s="133">
        <f>Tabla147[[#This Row],[Importe]]-Tabla147[[#This Row],[Pagado]]</f>
        <v>0</v>
      </c>
      <c r="H789" s="134" t="s">
        <v>10</v>
      </c>
      <c r="I789" s="135"/>
    </row>
    <row r="790" spans="1:9" ht="31.5" x14ac:dyDescent="0.25">
      <c r="A790" s="127">
        <v>44720</v>
      </c>
      <c r="B790" s="128" t="s">
        <v>18607</v>
      </c>
      <c r="C790" s="129" t="s">
        <v>475</v>
      </c>
      <c r="D790" s="130">
        <v>83905</v>
      </c>
      <c r="E790" s="131" t="s">
        <v>18608</v>
      </c>
      <c r="F790" s="132">
        <f>51000+32905</f>
        <v>83905</v>
      </c>
      <c r="G790" s="133">
        <f>Tabla147[[#This Row],[Importe]]-Tabla147[[#This Row],[Pagado]]</f>
        <v>0</v>
      </c>
      <c r="H790" s="134" t="s">
        <v>10</v>
      </c>
      <c r="I790" s="135"/>
    </row>
    <row r="791" spans="1:9" ht="21.75" customHeight="1" x14ac:dyDescent="0.25">
      <c r="A791" s="127">
        <v>44720</v>
      </c>
      <c r="B791" s="128" t="s">
        <v>18609</v>
      </c>
      <c r="C791" s="129" t="s">
        <v>83</v>
      </c>
      <c r="D791" s="130">
        <v>10106.799999999999</v>
      </c>
      <c r="E791" s="131">
        <v>44720</v>
      </c>
      <c r="F791" s="132">
        <v>10106.799999999999</v>
      </c>
      <c r="G791" s="133">
        <f>Tabla147[[#This Row],[Importe]]-Tabla147[[#This Row],[Pagado]]</f>
        <v>0</v>
      </c>
      <c r="H791" s="134" t="s">
        <v>10</v>
      </c>
      <c r="I791" s="135"/>
    </row>
    <row r="792" spans="1:9" ht="21.75" customHeight="1" x14ac:dyDescent="0.25">
      <c r="A792" s="127">
        <v>44720</v>
      </c>
      <c r="B792" s="128" t="s">
        <v>18610</v>
      </c>
      <c r="C792" s="129" t="s">
        <v>18611</v>
      </c>
      <c r="D792" s="130">
        <v>0</v>
      </c>
      <c r="E792" s="136" t="s">
        <v>189</v>
      </c>
      <c r="F792" s="132">
        <v>0</v>
      </c>
      <c r="G792" s="133">
        <f>Tabla147[[#This Row],[Importe]]-Tabla147[[#This Row],[Pagado]]</f>
        <v>0</v>
      </c>
      <c r="H792" s="137" t="s">
        <v>18612</v>
      </c>
      <c r="I792" s="135"/>
    </row>
    <row r="793" spans="1:9" ht="21.75" customHeight="1" x14ac:dyDescent="0.25">
      <c r="A793" s="127">
        <v>44720</v>
      </c>
      <c r="B793" s="128" t="s">
        <v>18613</v>
      </c>
      <c r="C793" s="129" t="s">
        <v>484</v>
      </c>
      <c r="D793" s="130">
        <v>3461.2</v>
      </c>
      <c r="E793" s="131">
        <v>44720</v>
      </c>
      <c r="F793" s="132">
        <v>3461.2</v>
      </c>
      <c r="G793" s="133">
        <f>Tabla147[[#This Row],[Importe]]-Tabla147[[#This Row],[Pagado]]</f>
        <v>0</v>
      </c>
      <c r="H793" s="134" t="s">
        <v>10</v>
      </c>
      <c r="I793" s="135"/>
    </row>
    <row r="794" spans="1:9" ht="21.75" customHeight="1" x14ac:dyDescent="0.25">
      <c r="A794" s="127">
        <v>44720</v>
      </c>
      <c r="B794" s="128" t="s">
        <v>18614</v>
      </c>
      <c r="C794" s="129" t="s">
        <v>345</v>
      </c>
      <c r="D794" s="130">
        <v>798</v>
      </c>
      <c r="E794" s="131">
        <v>44720</v>
      </c>
      <c r="F794" s="132">
        <v>798</v>
      </c>
      <c r="G794" s="133">
        <f>Tabla147[[#This Row],[Importe]]-Tabla147[[#This Row],[Pagado]]</f>
        <v>0</v>
      </c>
      <c r="H794" s="134" t="s">
        <v>10</v>
      </c>
      <c r="I794" s="135"/>
    </row>
    <row r="795" spans="1:9" ht="21.75" customHeight="1" x14ac:dyDescent="0.25">
      <c r="A795" s="127">
        <v>44720</v>
      </c>
      <c r="B795" s="128" t="s">
        <v>18615</v>
      </c>
      <c r="C795" s="129" t="s">
        <v>89</v>
      </c>
      <c r="D795" s="130">
        <v>6776</v>
      </c>
      <c r="E795" s="131">
        <v>44721</v>
      </c>
      <c r="F795" s="132">
        <v>6776</v>
      </c>
      <c r="G795" s="133">
        <f>Tabla147[[#This Row],[Importe]]-Tabla147[[#This Row],[Pagado]]</f>
        <v>0</v>
      </c>
      <c r="H795" s="134" t="s">
        <v>10</v>
      </c>
      <c r="I795" s="135"/>
    </row>
    <row r="796" spans="1:9" ht="21.75" customHeight="1" x14ac:dyDescent="0.25">
      <c r="A796" s="127">
        <v>44720</v>
      </c>
      <c r="B796" s="128" t="s">
        <v>18616</v>
      </c>
      <c r="C796" s="129" t="s">
        <v>85</v>
      </c>
      <c r="D796" s="130">
        <v>1081.2</v>
      </c>
      <c r="E796" s="131">
        <v>44720</v>
      </c>
      <c r="F796" s="132">
        <v>1081.2</v>
      </c>
      <c r="G796" s="133">
        <f>Tabla147[[#This Row],[Importe]]-Tabla147[[#This Row],[Pagado]]</f>
        <v>0</v>
      </c>
      <c r="H796" s="134" t="s">
        <v>10</v>
      </c>
      <c r="I796" s="135"/>
    </row>
    <row r="797" spans="1:9" ht="21.75" customHeight="1" x14ac:dyDescent="0.25">
      <c r="A797" s="127">
        <v>44720</v>
      </c>
      <c r="B797" s="128" t="s">
        <v>18617</v>
      </c>
      <c r="C797" s="129" t="s">
        <v>93</v>
      </c>
      <c r="D797" s="130">
        <v>2116.8000000000002</v>
      </c>
      <c r="E797" s="131">
        <v>44723</v>
      </c>
      <c r="F797" s="132">
        <v>2116.8000000000002</v>
      </c>
      <c r="G797" s="133">
        <f>Tabla147[[#This Row],[Importe]]-Tabla147[[#This Row],[Pagado]]</f>
        <v>0</v>
      </c>
      <c r="H797" s="134" t="s">
        <v>10</v>
      </c>
      <c r="I797" s="135"/>
    </row>
    <row r="798" spans="1:9" ht="21.75" customHeight="1" x14ac:dyDescent="0.25">
      <c r="A798" s="127">
        <v>44720</v>
      </c>
      <c r="B798" s="128" t="s">
        <v>18618</v>
      </c>
      <c r="C798" s="129" t="s">
        <v>99</v>
      </c>
      <c r="D798" s="130">
        <v>2002</v>
      </c>
      <c r="E798" s="131">
        <v>44723</v>
      </c>
      <c r="F798" s="132">
        <v>2002</v>
      </c>
      <c r="G798" s="133">
        <f>Tabla147[[#This Row],[Importe]]-Tabla147[[#This Row],[Pagado]]</f>
        <v>0</v>
      </c>
      <c r="H798" s="134" t="s">
        <v>10</v>
      </c>
      <c r="I798" s="135"/>
    </row>
    <row r="799" spans="1:9" ht="21.75" customHeight="1" x14ac:dyDescent="0.25">
      <c r="A799" s="127">
        <v>44720</v>
      </c>
      <c r="B799" s="128" t="s">
        <v>18619</v>
      </c>
      <c r="C799" s="129" t="s">
        <v>99</v>
      </c>
      <c r="D799" s="130">
        <v>4587.8</v>
      </c>
      <c r="E799" s="131">
        <v>44723</v>
      </c>
      <c r="F799" s="132">
        <v>4587.8</v>
      </c>
      <c r="G799" s="133">
        <f>Tabla147[[#This Row],[Importe]]-Tabla147[[#This Row],[Pagado]]</f>
        <v>0</v>
      </c>
      <c r="H799" s="134" t="s">
        <v>10</v>
      </c>
      <c r="I799" s="135"/>
    </row>
    <row r="800" spans="1:9" ht="21.75" customHeight="1" x14ac:dyDescent="0.25">
      <c r="A800" s="127">
        <v>44720</v>
      </c>
      <c r="B800" s="128" t="s">
        <v>18620</v>
      </c>
      <c r="C800" s="129" t="s">
        <v>348</v>
      </c>
      <c r="D800" s="130">
        <v>7178</v>
      </c>
      <c r="E800" s="131">
        <v>44720</v>
      </c>
      <c r="F800" s="132">
        <v>7178</v>
      </c>
      <c r="G800" s="133">
        <f>Tabla147[[#This Row],[Importe]]-Tabla147[[#This Row],[Pagado]]</f>
        <v>0</v>
      </c>
      <c r="H800" s="134" t="s">
        <v>10</v>
      </c>
      <c r="I800" s="135"/>
    </row>
    <row r="801" spans="1:9" ht="21.75" customHeight="1" x14ac:dyDescent="0.25">
      <c r="A801" s="127">
        <v>44720</v>
      </c>
      <c r="B801" s="128" t="s">
        <v>18621</v>
      </c>
      <c r="C801" s="129" t="s">
        <v>39</v>
      </c>
      <c r="D801" s="130">
        <v>11415</v>
      </c>
      <c r="E801" s="131">
        <v>44721</v>
      </c>
      <c r="F801" s="132">
        <v>11415</v>
      </c>
      <c r="G801" s="133">
        <f>Tabla147[[#This Row],[Importe]]-Tabla147[[#This Row],[Pagado]]</f>
        <v>0</v>
      </c>
      <c r="H801" s="134" t="s">
        <v>10</v>
      </c>
      <c r="I801" s="135"/>
    </row>
    <row r="802" spans="1:9" ht="21.75" customHeight="1" x14ac:dyDescent="0.25">
      <c r="A802" s="127">
        <v>44720</v>
      </c>
      <c r="B802" s="128" t="s">
        <v>18622</v>
      </c>
      <c r="C802" s="129" t="s">
        <v>2151</v>
      </c>
      <c r="D802" s="130">
        <v>15352.6</v>
      </c>
      <c r="E802" s="131">
        <v>44720</v>
      </c>
      <c r="F802" s="132">
        <v>15352.6</v>
      </c>
      <c r="G802" s="133">
        <f>Tabla147[[#This Row],[Importe]]-Tabla147[[#This Row],[Pagado]]</f>
        <v>0</v>
      </c>
      <c r="H802" s="134" t="s">
        <v>10</v>
      </c>
      <c r="I802" s="135"/>
    </row>
    <row r="803" spans="1:9" ht="21.75" customHeight="1" x14ac:dyDescent="0.25">
      <c r="A803" s="127">
        <v>44720</v>
      </c>
      <c r="B803" s="128" t="s">
        <v>18623</v>
      </c>
      <c r="C803" s="129" t="s">
        <v>16819</v>
      </c>
      <c r="D803" s="130">
        <v>4883.6000000000004</v>
      </c>
      <c r="E803" s="131">
        <v>44720</v>
      </c>
      <c r="F803" s="132">
        <v>4883.6000000000004</v>
      </c>
      <c r="G803" s="133">
        <f>Tabla147[[#This Row],[Importe]]-Tabla147[[#This Row],[Pagado]]</f>
        <v>0</v>
      </c>
      <c r="H803" s="134" t="s">
        <v>10</v>
      </c>
      <c r="I803" s="135"/>
    </row>
    <row r="804" spans="1:9" ht="21.75" customHeight="1" x14ac:dyDescent="0.25">
      <c r="A804" s="127">
        <v>44720</v>
      </c>
      <c r="B804" s="128" t="s">
        <v>18624</v>
      </c>
      <c r="C804" s="129" t="s">
        <v>114</v>
      </c>
      <c r="D804" s="130">
        <v>8816</v>
      </c>
      <c r="E804" s="131">
        <v>44721</v>
      </c>
      <c r="F804" s="132">
        <v>8816</v>
      </c>
      <c r="G804" s="133">
        <f>Tabla147[[#This Row],[Importe]]-Tabla147[[#This Row],[Pagado]]</f>
        <v>0</v>
      </c>
      <c r="H804" s="134" t="s">
        <v>10</v>
      </c>
      <c r="I804" s="135"/>
    </row>
    <row r="805" spans="1:9" ht="21.75" customHeight="1" x14ac:dyDescent="0.25">
      <c r="A805" s="127">
        <v>44720</v>
      </c>
      <c r="B805" s="128" t="s">
        <v>18625</v>
      </c>
      <c r="C805" s="129" t="s">
        <v>64</v>
      </c>
      <c r="D805" s="130">
        <v>4068</v>
      </c>
      <c r="E805" s="131">
        <v>44722</v>
      </c>
      <c r="F805" s="132">
        <v>4068</v>
      </c>
      <c r="G805" s="133">
        <f>Tabla147[[#This Row],[Importe]]-Tabla147[[#This Row],[Pagado]]</f>
        <v>0</v>
      </c>
      <c r="H805" s="134" t="s">
        <v>10</v>
      </c>
      <c r="I805" s="135"/>
    </row>
    <row r="806" spans="1:9" ht="21.75" customHeight="1" x14ac:dyDescent="0.25">
      <c r="A806" s="127">
        <v>44720</v>
      </c>
      <c r="B806" s="128" t="s">
        <v>18626</v>
      </c>
      <c r="C806" s="129" t="s">
        <v>111</v>
      </c>
      <c r="D806" s="130">
        <v>5446.2</v>
      </c>
      <c r="E806" s="131">
        <v>44722</v>
      </c>
      <c r="F806" s="132">
        <v>5446.2</v>
      </c>
      <c r="G806" s="133">
        <f>Tabla147[[#This Row],[Importe]]-Tabla147[[#This Row],[Pagado]]</f>
        <v>0</v>
      </c>
      <c r="H806" s="134" t="s">
        <v>10</v>
      </c>
      <c r="I806" s="135"/>
    </row>
    <row r="807" spans="1:9" ht="21.75" customHeight="1" x14ac:dyDescent="0.25">
      <c r="A807" s="127">
        <v>44720</v>
      </c>
      <c r="B807" s="128" t="s">
        <v>18627</v>
      </c>
      <c r="C807" s="129" t="s">
        <v>2563</v>
      </c>
      <c r="D807" s="130">
        <v>4458</v>
      </c>
      <c r="E807" s="131">
        <v>44720</v>
      </c>
      <c r="F807" s="132">
        <v>4458</v>
      </c>
      <c r="G807" s="133">
        <f>Tabla147[[#This Row],[Importe]]-Tabla147[[#This Row],[Pagado]]</f>
        <v>0</v>
      </c>
      <c r="H807" s="134" t="s">
        <v>10</v>
      </c>
      <c r="I807" s="135"/>
    </row>
    <row r="808" spans="1:9" ht="21.75" customHeight="1" x14ac:dyDescent="0.25">
      <c r="A808" s="127">
        <v>44720</v>
      </c>
      <c r="B808" s="128" t="s">
        <v>18628</v>
      </c>
      <c r="C808" s="129" t="s">
        <v>97</v>
      </c>
      <c r="D808" s="130">
        <v>4727</v>
      </c>
      <c r="E808" s="131">
        <v>44721</v>
      </c>
      <c r="F808" s="132">
        <v>4727</v>
      </c>
      <c r="G808" s="133">
        <f>Tabla147[[#This Row],[Importe]]-Tabla147[[#This Row],[Pagado]]</f>
        <v>0</v>
      </c>
      <c r="H808" s="134" t="s">
        <v>10</v>
      </c>
      <c r="I808" s="135"/>
    </row>
    <row r="809" spans="1:9" ht="21.75" customHeight="1" x14ac:dyDescent="0.25">
      <c r="A809" s="127">
        <v>44720</v>
      </c>
      <c r="B809" s="128" t="s">
        <v>18629</v>
      </c>
      <c r="C809" s="129" t="s">
        <v>105</v>
      </c>
      <c r="D809" s="130">
        <v>5346</v>
      </c>
      <c r="E809" s="131">
        <v>44720</v>
      </c>
      <c r="F809" s="132">
        <v>5346</v>
      </c>
      <c r="G809" s="133">
        <f>Tabla147[[#This Row],[Importe]]-Tabla147[[#This Row],[Pagado]]</f>
        <v>0</v>
      </c>
      <c r="H809" s="134" t="s">
        <v>10</v>
      </c>
      <c r="I809" s="135"/>
    </row>
    <row r="810" spans="1:9" ht="21.75" customHeight="1" x14ac:dyDescent="0.25">
      <c r="A810" s="127">
        <v>44720</v>
      </c>
      <c r="B810" s="128" t="s">
        <v>18630</v>
      </c>
      <c r="C810" s="129" t="s">
        <v>9</v>
      </c>
      <c r="D810" s="130">
        <v>4106.8999999999996</v>
      </c>
      <c r="E810" s="131">
        <v>44720</v>
      </c>
      <c r="F810" s="132">
        <v>4106.8999999999996</v>
      </c>
      <c r="G810" s="133">
        <f>Tabla147[[#This Row],[Importe]]-Tabla147[[#This Row],[Pagado]]</f>
        <v>0</v>
      </c>
      <c r="H810" s="134" t="s">
        <v>10</v>
      </c>
      <c r="I810" s="135"/>
    </row>
    <row r="811" spans="1:9" ht="21.75" customHeight="1" x14ac:dyDescent="0.25">
      <c r="A811" s="127">
        <v>44720</v>
      </c>
      <c r="B811" s="128" t="s">
        <v>18631</v>
      </c>
      <c r="C811" s="129" t="s">
        <v>9512</v>
      </c>
      <c r="D811" s="130">
        <v>0</v>
      </c>
      <c r="E811" s="136" t="s">
        <v>189</v>
      </c>
      <c r="F811" s="132">
        <v>0</v>
      </c>
      <c r="G811" s="133">
        <f>Tabla147[[#This Row],[Importe]]-Tabla147[[#This Row],[Pagado]]</f>
        <v>0</v>
      </c>
      <c r="H811" s="137" t="s">
        <v>18632</v>
      </c>
      <c r="I811" s="135"/>
    </row>
    <row r="812" spans="1:9" ht="21.75" customHeight="1" x14ac:dyDescent="0.25">
      <c r="A812" s="127">
        <v>44720</v>
      </c>
      <c r="B812" s="128" t="s">
        <v>18633</v>
      </c>
      <c r="C812" s="129" t="s">
        <v>31</v>
      </c>
      <c r="D812" s="130">
        <v>3542.9</v>
      </c>
      <c r="E812" s="131">
        <v>44720</v>
      </c>
      <c r="F812" s="132">
        <v>3542.9</v>
      </c>
      <c r="G812" s="133">
        <f>Tabla147[[#This Row],[Importe]]-Tabla147[[#This Row],[Pagado]]</f>
        <v>0</v>
      </c>
      <c r="H812" s="134" t="s">
        <v>10</v>
      </c>
      <c r="I812" s="135"/>
    </row>
    <row r="813" spans="1:9" ht="21.75" customHeight="1" x14ac:dyDescent="0.25">
      <c r="A813" s="127">
        <v>44720</v>
      </c>
      <c r="B813" s="128" t="s">
        <v>18634</v>
      </c>
      <c r="C813" s="129" t="s">
        <v>2780</v>
      </c>
      <c r="D813" s="130">
        <v>9357.7999999999993</v>
      </c>
      <c r="E813" s="131">
        <v>44720</v>
      </c>
      <c r="F813" s="132">
        <v>9357.7999999999993</v>
      </c>
      <c r="G813" s="133">
        <f>Tabla147[[#This Row],[Importe]]-Tabla147[[#This Row],[Pagado]]</f>
        <v>0</v>
      </c>
      <c r="H813" s="134" t="s">
        <v>10</v>
      </c>
      <c r="I813" s="135"/>
    </row>
    <row r="814" spans="1:9" ht="21.75" customHeight="1" x14ac:dyDescent="0.25">
      <c r="A814" s="127">
        <v>44720</v>
      </c>
      <c r="B814" s="128" t="s">
        <v>18635</v>
      </c>
      <c r="C814" s="129" t="s">
        <v>87</v>
      </c>
      <c r="D814" s="130">
        <v>2239</v>
      </c>
      <c r="E814" s="131">
        <v>44720</v>
      </c>
      <c r="F814" s="132">
        <v>2239</v>
      </c>
      <c r="G814" s="133">
        <f>Tabla147[[#This Row],[Importe]]-Tabla147[[#This Row],[Pagado]]</f>
        <v>0</v>
      </c>
      <c r="H814" s="134" t="s">
        <v>10</v>
      </c>
      <c r="I814" s="135"/>
    </row>
    <row r="815" spans="1:9" ht="21.75" customHeight="1" x14ac:dyDescent="0.25">
      <c r="A815" s="127">
        <v>44720</v>
      </c>
      <c r="B815" s="128" t="s">
        <v>18636</v>
      </c>
      <c r="C815" s="129" t="s">
        <v>131</v>
      </c>
      <c r="D815" s="130">
        <v>11412.6</v>
      </c>
      <c r="E815" s="131">
        <v>44720</v>
      </c>
      <c r="F815" s="132">
        <v>11412.6</v>
      </c>
      <c r="G815" s="133">
        <f>Tabla147[[#This Row],[Importe]]-Tabla147[[#This Row],[Pagado]]</f>
        <v>0</v>
      </c>
      <c r="H815" s="134" t="s">
        <v>10</v>
      </c>
      <c r="I815" s="135"/>
    </row>
    <row r="816" spans="1:9" ht="21.75" customHeight="1" x14ac:dyDescent="0.25">
      <c r="A816" s="127">
        <v>44720</v>
      </c>
      <c r="B816" s="128" t="s">
        <v>18637</v>
      </c>
      <c r="C816" s="129" t="s">
        <v>142</v>
      </c>
      <c r="D816" s="130">
        <v>45940.800000000003</v>
      </c>
      <c r="E816" s="131">
        <v>44760</v>
      </c>
      <c r="F816" s="132">
        <v>45940.800000000003</v>
      </c>
      <c r="G816" s="133">
        <f>Tabla147[[#This Row],[Importe]]-Tabla147[[#This Row],[Pagado]]</f>
        <v>0</v>
      </c>
      <c r="H816" s="134" t="s">
        <v>10</v>
      </c>
      <c r="I816" s="135"/>
    </row>
    <row r="817" spans="1:9" ht="21.75" customHeight="1" x14ac:dyDescent="0.25">
      <c r="A817" s="127">
        <v>44720</v>
      </c>
      <c r="B817" s="128" t="s">
        <v>18638</v>
      </c>
      <c r="C817" s="129" t="s">
        <v>16</v>
      </c>
      <c r="D817" s="130">
        <v>3052.5</v>
      </c>
      <c r="E817" s="131">
        <v>44720</v>
      </c>
      <c r="F817" s="132">
        <v>3052.5</v>
      </c>
      <c r="G817" s="133">
        <f>Tabla147[[#This Row],[Importe]]-Tabla147[[#This Row],[Pagado]]</f>
        <v>0</v>
      </c>
      <c r="H817" s="134" t="s">
        <v>10</v>
      </c>
      <c r="I817" s="135"/>
    </row>
    <row r="818" spans="1:9" ht="21.75" customHeight="1" x14ac:dyDescent="0.25">
      <c r="A818" s="127">
        <v>44720</v>
      </c>
      <c r="B818" s="128" t="s">
        <v>18639</v>
      </c>
      <c r="C818" s="129" t="s">
        <v>135</v>
      </c>
      <c r="D818" s="130">
        <v>1100.5</v>
      </c>
      <c r="E818" s="131">
        <v>44720</v>
      </c>
      <c r="F818" s="132">
        <v>1100.5</v>
      </c>
      <c r="G818" s="133">
        <f>Tabla147[[#This Row],[Importe]]-Tabla147[[#This Row],[Pagado]]</f>
        <v>0</v>
      </c>
      <c r="H818" s="134" t="s">
        <v>10</v>
      </c>
      <c r="I818" s="135"/>
    </row>
    <row r="819" spans="1:9" ht="21.75" customHeight="1" x14ac:dyDescent="0.25">
      <c r="A819" s="127">
        <v>44720</v>
      </c>
      <c r="B819" s="128" t="s">
        <v>18640</v>
      </c>
      <c r="C819" s="129" t="s">
        <v>804</v>
      </c>
      <c r="D819" s="130">
        <v>18779.599999999999</v>
      </c>
      <c r="E819" s="131">
        <v>44720</v>
      </c>
      <c r="F819" s="132">
        <v>18779.599999999999</v>
      </c>
      <c r="G819" s="133">
        <f>Tabla147[[#This Row],[Importe]]-Tabla147[[#This Row],[Pagado]]</f>
        <v>0</v>
      </c>
      <c r="H819" s="134" t="s">
        <v>10</v>
      </c>
      <c r="I819" s="135"/>
    </row>
    <row r="820" spans="1:9" ht="21.75" customHeight="1" x14ac:dyDescent="0.25">
      <c r="A820" s="127">
        <v>44720</v>
      </c>
      <c r="B820" s="128" t="s">
        <v>18641</v>
      </c>
      <c r="C820" s="129" t="s">
        <v>27</v>
      </c>
      <c r="D820" s="130">
        <v>1764</v>
      </c>
      <c r="E820" s="131">
        <v>44720</v>
      </c>
      <c r="F820" s="132">
        <v>1764</v>
      </c>
      <c r="G820" s="133">
        <f>Tabla147[[#This Row],[Importe]]-Tabla147[[#This Row],[Pagado]]</f>
        <v>0</v>
      </c>
      <c r="H820" s="134" t="s">
        <v>10</v>
      </c>
      <c r="I820" s="135"/>
    </row>
    <row r="821" spans="1:9" ht="21.75" customHeight="1" x14ac:dyDescent="0.25">
      <c r="A821" s="127">
        <v>44720</v>
      </c>
      <c r="B821" s="128" t="s">
        <v>18642</v>
      </c>
      <c r="C821" s="129" t="s">
        <v>53</v>
      </c>
      <c r="D821" s="130">
        <v>1689.8</v>
      </c>
      <c r="E821" s="131">
        <v>44720</v>
      </c>
      <c r="F821" s="132">
        <v>1689.8</v>
      </c>
      <c r="G821" s="133">
        <f>Tabla147[[#This Row],[Importe]]-Tabla147[[#This Row],[Pagado]]</f>
        <v>0</v>
      </c>
      <c r="H821" s="134" t="s">
        <v>10</v>
      </c>
      <c r="I821" s="135"/>
    </row>
    <row r="822" spans="1:9" ht="21.75" customHeight="1" x14ac:dyDescent="0.25">
      <c r="A822" s="127">
        <v>44720</v>
      </c>
      <c r="B822" s="128" t="s">
        <v>18643</v>
      </c>
      <c r="C822" s="129" t="s">
        <v>173</v>
      </c>
      <c r="D822" s="130">
        <v>20989.8</v>
      </c>
      <c r="E822" s="131">
        <v>44721</v>
      </c>
      <c r="F822" s="132">
        <v>20989.8</v>
      </c>
      <c r="G822" s="133">
        <f>Tabla147[[#This Row],[Importe]]-Tabla147[[#This Row],[Pagado]]</f>
        <v>0</v>
      </c>
      <c r="H822" s="134" t="s">
        <v>10</v>
      </c>
      <c r="I822" s="135"/>
    </row>
    <row r="823" spans="1:9" ht="21.75" customHeight="1" x14ac:dyDescent="0.25">
      <c r="A823" s="127">
        <v>44720</v>
      </c>
      <c r="B823" s="128" t="s">
        <v>18644</v>
      </c>
      <c r="C823" s="129" t="s">
        <v>16</v>
      </c>
      <c r="D823" s="130">
        <v>4335.3999999999996</v>
      </c>
      <c r="E823" s="131">
        <v>44720</v>
      </c>
      <c r="F823" s="132">
        <v>4335.3999999999996</v>
      </c>
      <c r="G823" s="133">
        <f>Tabla147[[#This Row],[Importe]]-Tabla147[[#This Row],[Pagado]]</f>
        <v>0</v>
      </c>
      <c r="H823" s="134" t="s">
        <v>10</v>
      </c>
      <c r="I823" s="135"/>
    </row>
    <row r="824" spans="1:9" ht="21.75" customHeight="1" x14ac:dyDescent="0.25">
      <c r="A824" s="127">
        <v>44720</v>
      </c>
      <c r="B824" s="128" t="s">
        <v>18645</v>
      </c>
      <c r="C824" s="129" t="s">
        <v>484</v>
      </c>
      <c r="D824" s="130">
        <v>1650</v>
      </c>
      <c r="E824" s="131">
        <v>44720</v>
      </c>
      <c r="F824" s="132">
        <v>1650</v>
      </c>
      <c r="G824" s="133">
        <f>Tabla147[[#This Row],[Importe]]-Tabla147[[#This Row],[Pagado]]</f>
        <v>0</v>
      </c>
      <c r="H824" s="134" t="s">
        <v>10</v>
      </c>
      <c r="I824" s="135"/>
    </row>
    <row r="825" spans="1:9" ht="21.75" customHeight="1" x14ac:dyDescent="0.25">
      <c r="A825" s="127">
        <v>44720</v>
      </c>
      <c r="B825" s="128" t="s">
        <v>18646</v>
      </c>
      <c r="C825" s="129" t="s">
        <v>16</v>
      </c>
      <c r="D825" s="130">
        <v>536.4</v>
      </c>
      <c r="E825" s="131">
        <v>44720</v>
      </c>
      <c r="F825" s="132">
        <v>536.4</v>
      </c>
      <c r="G825" s="133">
        <f>Tabla147[[#This Row],[Importe]]-Tabla147[[#This Row],[Pagado]]</f>
        <v>0</v>
      </c>
      <c r="H825" s="134" t="s">
        <v>10</v>
      </c>
      <c r="I825" s="135"/>
    </row>
    <row r="826" spans="1:9" ht="21.75" customHeight="1" x14ac:dyDescent="0.25">
      <c r="A826" s="127">
        <v>44720</v>
      </c>
      <c r="B826" s="128" t="s">
        <v>18647</v>
      </c>
      <c r="C826" s="129" t="s">
        <v>312</v>
      </c>
      <c r="D826" s="130">
        <v>2148.1</v>
      </c>
      <c r="E826" s="131">
        <v>44720</v>
      </c>
      <c r="F826" s="132">
        <v>2148.1</v>
      </c>
      <c r="G826" s="133">
        <f>Tabla147[[#This Row],[Importe]]-Tabla147[[#This Row],[Pagado]]</f>
        <v>0</v>
      </c>
      <c r="H826" s="134" t="s">
        <v>10</v>
      </c>
      <c r="I826" s="135"/>
    </row>
    <row r="827" spans="1:9" ht="21.75" customHeight="1" x14ac:dyDescent="0.25">
      <c r="A827" s="127">
        <v>44720</v>
      </c>
      <c r="B827" s="128" t="s">
        <v>18648</v>
      </c>
      <c r="C827" s="129" t="s">
        <v>212</v>
      </c>
      <c r="D827" s="130">
        <v>55739.1</v>
      </c>
      <c r="E827" s="131">
        <v>44726</v>
      </c>
      <c r="F827" s="132">
        <v>55739.1</v>
      </c>
      <c r="G827" s="133">
        <f>Tabla147[[#This Row],[Importe]]-Tabla147[[#This Row],[Pagado]]</f>
        <v>0</v>
      </c>
      <c r="H827" s="134" t="s">
        <v>10</v>
      </c>
      <c r="I827" s="135"/>
    </row>
    <row r="828" spans="1:9" ht="21.75" customHeight="1" x14ac:dyDescent="0.25">
      <c r="A828" s="127">
        <v>44720</v>
      </c>
      <c r="B828" s="128" t="s">
        <v>18649</v>
      </c>
      <c r="C828" s="129" t="s">
        <v>12202</v>
      </c>
      <c r="D828" s="130">
        <v>22800</v>
      </c>
      <c r="E828" s="131">
        <v>44720</v>
      </c>
      <c r="F828" s="132">
        <v>22800</v>
      </c>
      <c r="G828" s="133">
        <f>Tabla147[[#This Row],[Importe]]-Tabla147[[#This Row],[Pagado]]</f>
        <v>0</v>
      </c>
      <c r="H828" s="134" t="s">
        <v>10</v>
      </c>
      <c r="I828" s="135"/>
    </row>
    <row r="829" spans="1:9" ht="21.75" customHeight="1" x14ac:dyDescent="0.25">
      <c r="A829" s="127">
        <v>44720</v>
      </c>
      <c r="B829" s="128" t="s">
        <v>18650</v>
      </c>
      <c r="C829" s="129" t="s">
        <v>161</v>
      </c>
      <c r="D829" s="130">
        <v>4089.6</v>
      </c>
      <c r="E829" s="131">
        <v>44720</v>
      </c>
      <c r="F829" s="132">
        <v>4089.6</v>
      </c>
      <c r="G829" s="133">
        <f>Tabla147[[#This Row],[Importe]]-Tabla147[[#This Row],[Pagado]]</f>
        <v>0</v>
      </c>
      <c r="H829" s="134" t="s">
        <v>10</v>
      </c>
      <c r="I829" s="135"/>
    </row>
    <row r="830" spans="1:9" ht="21.75" customHeight="1" x14ac:dyDescent="0.25">
      <c r="A830" s="127">
        <v>44720</v>
      </c>
      <c r="B830" s="128" t="s">
        <v>18651</v>
      </c>
      <c r="C830" s="129" t="s">
        <v>45</v>
      </c>
      <c r="D830" s="130">
        <v>20106.400000000001</v>
      </c>
      <c r="E830" s="131">
        <v>44720</v>
      </c>
      <c r="F830" s="132">
        <v>20106.400000000001</v>
      </c>
      <c r="G830" s="133">
        <f>Tabla147[[#This Row],[Importe]]-Tabla147[[#This Row],[Pagado]]</f>
        <v>0</v>
      </c>
      <c r="H830" s="134" t="s">
        <v>10</v>
      </c>
      <c r="I830" s="135"/>
    </row>
    <row r="831" spans="1:9" ht="21.75" customHeight="1" x14ac:dyDescent="0.25">
      <c r="A831" s="127">
        <v>44720</v>
      </c>
      <c r="B831" s="128" t="s">
        <v>18652</v>
      </c>
      <c r="C831" s="129" t="s">
        <v>273</v>
      </c>
      <c r="D831" s="130">
        <v>3145.08</v>
      </c>
      <c r="E831" s="131">
        <v>44720</v>
      </c>
      <c r="F831" s="132">
        <v>3145.08</v>
      </c>
      <c r="G831" s="133">
        <f>Tabla147[[#This Row],[Importe]]-Tabla147[[#This Row],[Pagado]]</f>
        <v>0</v>
      </c>
      <c r="H831" s="134" t="s">
        <v>10</v>
      </c>
      <c r="I831" s="135"/>
    </row>
    <row r="832" spans="1:9" ht="21.75" customHeight="1" x14ac:dyDescent="0.25">
      <c r="A832" s="127">
        <v>44720</v>
      </c>
      <c r="B832" s="128" t="s">
        <v>18653</v>
      </c>
      <c r="C832" s="129" t="s">
        <v>56</v>
      </c>
      <c r="D832" s="130">
        <v>4714.8999999999996</v>
      </c>
      <c r="E832" s="131">
        <v>44720</v>
      </c>
      <c r="F832" s="132">
        <v>4714.8999999999996</v>
      </c>
      <c r="G832" s="133">
        <f>Tabla147[[#This Row],[Importe]]-Tabla147[[#This Row],[Pagado]]</f>
        <v>0</v>
      </c>
      <c r="H832" s="134" t="s">
        <v>10</v>
      </c>
      <c r="I832" s="135"/>
    </row>
    <row r="833" spans="1:9" ht="21.75" customHeight="1" x14ac:dyDescent="0.25">
      <c r="A833" s="127">
        <v>44720</v>
      </c>
      <c r="B833" s="128" t="s">
        <v>18654</v>
      </c>
      <c r="C833" s="129" t="s">
        <v>56</v>
      </c>
      <c r="D833" s="130">
        <v>545.1</v>
      </c>
      <c r="E833" s="131">
        <v>44720</v>
      </c>
      <c r="F833" s="132">
        <v>545.1</v>
      </c>
      <c r="G833" s="133">
        <f>Tabla147[[#This Row],[Importe]]-Tabla147[[#This Row],[Pagado]]</f>
        <v>0</v>
      </c>
      <c r="H833" s="134" t="s">
        <v>10</v>
      </c>
      <c r="I833" s="135"/>
    </row>
    <row r="834" spans="1:9" ht="21.75" customHeight="1" x14ac:dyDescent="0.25">
      <c r="A834" s="127">
        <v>44720</v>
      </c>
      <c r="B834" s="128" t="s">
        <v>18655</v>
      </c>
      <c r="C834" s="129" t="s">
        <v>154</v>
      </c>
      <c r="D834" s="130">
        <v>41170.300000000003</v>
      </c>
      <c r="E834" s="131">
        <v>44723</v>
      </c>
      <c r="F834" s="132">
        <v>41170.300000000003</v>
      </c>
      <c r="G834" s="133">
        <f>Tabla147[[#This Row],[Importe]]-Tabla147[[#This Row],[Pagado]]</f>
        <v>0</v>
      </c>
      <c r="H834" s="134" t="s">
        <v>10</v>
      </c>
      <c r="I834" s="135"/>
    </row>
    <row r="835" spans="1:9" ht="21.75" customHeight="1" x14ac:dyDescent="0.25">
      <c r="A835" s="127">
        <v>44720</v>
      </c>
      <c r="B835" s="128" t="s">
        <v>18656</v>
      </c>
      <c r="C835" s="129" t="s">
        <v>22</v>
      </c>
      <c r="D835" s="130">
        <v>40628.5</v>
      </c>
      <c r="E835" s="131">
        <v>44721</v>
      </c>
      <c r="F835" s="132">
        <v>40628.5</v>
      </c>
      <c r="G835" s="133">
        <f>Tabla147[[#This Row],[Importe]]-Tabla147[[#This Row],[Pagado]]</f>
        <v>0</v>
      </c>
      <c r="H835" s="134" t="s">
        <v>10</v>
      </c>
      <c r="I835" s="135"/>
    </row>
    <row r="836" spans="1:9" ht="21.75" customHeight="1" x14ac:dyDescent="0.25">
      <c r="A836" s="127">
        <v>44720</v>
      </c>
      <c r="B836" s="128" t="s">
        <v>18657</v>
      </c>
      <c r="C836" s="129" t="s">
        <v>191</v>
      </c>
      <c r="D836" s="130">
        <v>1862</v>
      </c>
      <c r="E836" s="131">
        <v>44720</v>
      </c>
      <c r="F836" s="132">
        <v>1862</v>
      </c>
      <c r="G836" s="133">
        <f>Tabla147[[#This Row],[Importe]]-Tabla147[[#This Row],[Pagado]]</f>
        <v>0</v>
      </c>
      <c r="H836" s="134" t="s">
        <v>10</v>
      </c>
      <c r="I836" s="135"/>
    </row>
    <row r="837" spans="1:9" ht="21.75" customHeight="1" x14ac:dyDescent="0.25">
      <c r="A837" s="127">
        <v>44720</v>
      </c>
      <c r="B837" s="128" t="s">
        <v>18658</v>
      </c>
      <c r="C837" s="129" t="s">
        <v>218</v>
      </c>
      <c r="D837" s="130">
        <v>20467.5</v>
      </c>
      <c r="E837" s="131">
        <v>44723</v>
      </c>
      <c r="F837" s="132">
        <v>20467.5</v>
      </c>
      <c r="G837" s="133">
        <f>Tabla147[[#This Row],[Importe]]-Tabla147[[#This Row],[Pagado]]</f>
        <v>0</v>
      </c>
      <c r="H837" s="134" t="s">
        <v>10</v>
      </c>
      <c r="I837" s="135"/>
    </row>
    <row r="838" spans="1:9" ht="21.75" customHeight="1" x14ac:dyDescent="0.25">
      <c r="A838" s="127">
        <v>44720</v>
      </c>
      <c r="B838" s="128" t="s">
        <v>18659</v>
      </c>
      <c r="C838" s="129" t="s">
        <v>218</v>
      </c>
      <c r="D838" s="130">
        <v>742</v>
      </c>
      <c r="E838" s="131">
        <v>44723</v>
      </c>
      <c r="F838" s="132">
        <v>742</v>
      </c>
      <c r="G838" s="133">
        <f>Tabla147[[#This Row],[Importe]]-Tabla147[[#This Row],[Pagado]]</f>
        <v>0</v>
      </c>
      <c r="H838" s="134" t="s">
        <v>10</v>
      </c>
      <c r="I838" s="135"/>
    </row>
    <row r="839" spans="1:9" ht="21.75" customHeight="1" x14ac:dyDescent="0.25">
      <c r="A839" s="127">
        <v>44720</v>
      </c>
      <c r="B839" s="128" t="s">
        <v>18660</v>
      </c>
      <c r="C839" s="129" t="s">
        <v>133</v>
      </c>
      <c r="D839" s="130">
        <v>21308</v>
      </c>
      <c r="E839" s="131">
        <v>44721</v>
      </c>
      <c r="F839" s="132">
        <v>21308</v>
      </c>
      <c r="G839" s="133">
        <f>Tabla147[[#This Row],[Importe]]-Tabla147[[#This Row],[Pagado]]</f>
        <v>0</v>
      </c>
      <c r="H839" s="134" t="s">
        <v>10</v>
      </c>
      <c r="I839" s="135"/>
    </row>
    <row r="840" spans="1:9" ht="21.75" customHeight="1" x14ac:dyDescent="0.25">
      <c r="A840" s="127">
        <v>44720</v>
      </c>
      <c r="B840" s="128" t="s">
        <v>18661</v>
      </c>
      <c r="C840" s="129" t="s">
        <v>357</v>
      </c>
      <c r="D840" s="130">
        <v>1221.2</v>
      </c>
      <c r="E840" s="131">
        <v>44720</v>
      </c>
      <c r="F840" s="132">
        <v>1221.2</v>
      </c>
      <c r="G840" s="133">
        <f>Tabla147[[#This Row],[Importe]]-Tabla147[[#This Row],[Pagado]]</f>
        <v>0</v>
      </c>
      <c r="H840" s="134" t="s">
        <v>10</v>
      </c>
      <c r="I840" s="135"/>
    </row>
    <row r="841" spans="1:9" ht="21.75" customHeight="1" x14ac:dyDescent="0.25">
      <c r="A841" s="127">
        <v>44720</v>
      </c>
      <c r="B841" s="128" t="s">
        <v>18662</v>
      </c>
      <c r="C841" s="129" t="s">
        <v>140</v>
      </c>
      <c r="D841" s="130">
        <v>2494.9</v>
      </c>
      <c r="E841" s="131">
        <v>44720</v>
      </c>
      <c r="F841" s="132">
        <v>2494.9</v>
      </c>
      <c r="G841" s="133">
        <f>Tabla147[[#This Row],[Importe]]-Tabla147[[#This Row],[Pagado]]</f>
        <v>0</v>
      </c>
      <c r="H841" s="134" t="s">
        <v>10</v>
      </c>
      <c r="I841" s="135"/>
    </row>
    <row r="842" spans="1:9" ht="21.75" customHeight="1" x14ac:dyDescent="0.25">
      <c r="A842" s="127">
        <v>44720</v>
      </c>
      <c r="B842" s="128" t="s">
        <v>18663</v>
      </c>
      <c r="C842" s="129" t="s">
        <v>49</v>
      </c>
      <c r="D842" s="130">
        <v>5426</v>
      </c>
      <c r="E842" s="131">
        <v>44720</v>
      </c>
      <c r="F842" s="132">
        <v>5426</v>
      </c>
      <c r="G842" s="133">
        <f>Tabla147[[#This Row],[Importe]]-Tabla147[[#This Row],[Pagado]]</f>
        <v>0</v>
      </c>
      <c r="H842" s="134" t="s">
        <v>10</v>
      </c>
      <c r="I842" s="135"/>
    </row>
    <row r="843" spans="1:9" ht="21.75" customHeight="1" x14ac:dyDescent="0.25">
      <c r="A843" s="127">
        <v>44720</v>
      </c>
      <c r="B843" s="128" t="s">
        <v>18664</v>
      </c>
      <c r="C843" s="129" t="s">
        <v>45</v>
      </c>
      <c r="D843" s="130">
        <v>1554.9</v>
      </c>
      <c r="E843" s="131">
        <v>44720</v>
      </c>
      <c r="F843" s="132">
        <v>1554.9</v>
      </c>
      <c r="G843" s="133">
        <f>Tabla147[[#This Row],[Importe]]-Tabla147[[#This Row],[Pagado]]</f>
        <v>0</v>
      </c>
      <c r="H843" s="134" t="s">
        <v>10</v>
      </c>
      <c r="I843" s="135"/>
    </row>
    <row r="844" spans="1:9" ht="21.75" customHeight="1" x14ac:dyDescent="0.25">
      <c r="A844" s="127">
        <v>44720</v>
      </c>
      <c r="B844" s="128" t="s">
        <v>18665</v>
      </c>
      <c r="C844" s="129" t="s">
        <v>64</v>
      </c>
      <c r="D844" s="130">
        <v>5684.9</v>
      </c>
      <c r="E844" s="131">
        <v>44720</v>
      </c>
      <c r="F844" s="132">
        <v>5684.9</v>
      </c>
      <c r="G844" s="133">
        <f>Tabla147[[#This Row],[Importe]]-Tabla147[[#This Row],[Pagado]]</f>
        <v>0</v>
      </c>
      <c r="H844" s="134" t="s">
        <v>10</v>
      </c>
      <c r="I844" s="135"/>
    </row>
    <row r="845" spans="1:9" ht="21.75" customHeight="1" x14ac:dyDescent="0.25">
      <c r="A845" s="127">
        <v>44720</v>
      </c>
      <c r="B845" s="128" t="s">
        <v>18666</v>
      </c>
      <c r="C845" s="129" t="s">
        <v>127</v>
      </c>
      <c r="D845" s="130">
        <v>4277</v>
      </c>
      <c r="E845" s="131">
        <v>44720</v>
      </c>
      <c r="F845" s="132">
        <v>4277</v>
      </c>
      <c r="G845" s="133">
        <f>Tabla147[[#This Row],[Importe]]-Tabla147[[#This Row],[Pagado]]</f>
        <v>0</v>
      </c>
      <c r="H845" s="134" t="s">
        <v>10</v>
      </c>
      <c r="I845" s="135"/>
    </row>
    <row r="846" spans="1:9" ht="21.75" customHeight="1" x14ac:dyDescent="0.25">
      <c r="A846" s="127">
        <v>44720</v>
      </c>
      <c r="B846" s="128" t="s">
        <v>18667</v>
      </c>
      <c r="C846" s="129" t="s">
        <v>129</v>
      </c>
      <c r="D846" s="130">
        <v>3647</v>
      </c>
      <c r="E846" s="131">
        <v>44720</v>
      </c>
      <c r="F846" s="132">
        <v>3647</v>
      </c>
      <c r="G846" s="133">
        <f>Tabla147[[#This Row],[Importe]]-Tabla147[[#This Row],[Pagado]]</f>
        <v>0</v>
      </c>
      <c r="H846" s="134" t="s">
        <v>10</v>
      </c>
      <c r="I846" s="135"/>
    </row>
    <row r="847" spans="1:9" ht="21.75" customHeight="1" x14ac:dyDescent="0.25">
      <c r="A847" s="127">
        <v>44720</v>
      </c>
      <c r="B847" s="128" t="s">
        <v>18668</v>
      </c>
      <c r="C847" s="129" t="s">
        <v>392</v>
      </c>
      <c r="D847" s="130">
        <v>2278</v>
      </c>
      <c r="E847" s="131">
        <v>44720</v>
      </c>
      <c r="F847" s="132">
        <v>2278</v>
      </c>
      <c r="G847" s="133">
        <f>Tabla147[[#This Row],[Importe]]-Tabla147[[#This Row],[Pagado]]</f>
        <v>0</v>
      </c>
      <c r="H847" s="134" t="s">
        <v>10</v>
      </c>
      <c r="I847" s="135"/>
    </row>
    <row r="848" spans="1:9" ht="21.75" customHeight="1" x14ac:dyDescent="0.25">
      <c r="A848" s="127">
        <v>44720</v>
      </c>
      <c r="B848" s="128" t="s">
        <v>18669</v>
      </c>
      <c r="C848" s="129" t="s">
        <v>167</v>
      </c>
      <c r="D848" s="130">
        <v>42935.199999999997</v>
      </c>
      <c r="E848" s="131">
        <v>44720</v>
      </c>
      <c r="F848" s="132">
        <v>42935.199999999997</v>
      </c>
      <c r="G848" s="133">
        <f>Tabla147[[#This Row],[Importe]]-Tabla147[[#This Row],[Pagado]]</f>
        <v>0</v>
      </c>
      <c r="H848" s="134" t="s">
        <v>10</v>
      </c>
      <c r="I848" s="135"/>
    </row>
    <row r="849" spans="1:9" ht="21.75" customHeight="1" x14ac:dyDescent="0.25">
      <c r="A849" s="127">
        <v>44720</v>
      </c>
      <c r="B849" s="128" t="s">
        <v>18670</v>
      </c>
      <c r="C849" s="129" t="s">
        <v>9418</v>
      </c>
      <c r="D849" s="130">
        <v>0</v>
      </c>
      <c r="E849" s="136" t="s">
        <v>189</v>
      </c>
      <c r="F849" s="132">
        <v>0</v>
      </c>
      <c r="G849" s="133">
        <f>Tabla147[[#This Row],[Importe]]-Tabla147[[#This Row],[Pagado]]</f>
        <v>0</v>
      </c>
      <c r="H849" s="137" t="s">
        <v>18671</v>
      </c>
      <c r="I849" s="135"/>
    </row>
    <row r="850" spans="1:9" ht="21.75" customHeight="1" x14ac:dyDescent="0.25">
      <c r="A850" s="127">
        <v>44720</v>
      </c>
      <c r="B850" s="128" t="s">
        <v>18672</v>
      </c>
      <c r="C850" s="129" t="s">
        <v>208</v>
      </c>
      <c r="D850" s="130">
        <v>8542</v>
      </c>
      <c r="E850" s="131">
        <v>44723</v>
      </c>
      <c r="F850" s="132">
        <v>8542</v>
      </c>
      <c r="G850" s="133">
        <f>Tabla147[[#This Row],[Importe]]-Tabla147[[#This Row],[Pagado]]</f>
        <v>0</v>
      </c>
      <c r="H850" s="134" t="s">
        <v>10</v>
      </c>
      <c r="I850" s="135"/>
    </row>
    <row r="851" spans="1:9" ht="21.75" customHeight="1" x14ac:dyDescent="0.25">
      <c r="A851" s="127">
        <v>44720</v>
      </c>
      <c r="B851" s="128" t="s">
        <v>18673</v>
      </c>
      <c r="C851" s="129" t="s">
        <v>206</v>
      </c>
      <c r="D851" s="130">
        <v>31675.1</v>
      </c>
      <c r="E851" s="131">
        <v>44723</v>
      </c>
      <c r="F851" s="132">
        <v>31675.1</v>
      </c>
      <c r="G851" s="133">
        <f>Tabla147[[#This Row],[Importe]]-Tabla147[[#This Row],[Pagado]]</f>
        <v>0</v>
      </c>
      <c r="H851" s="134" t="s">
        <v>10</v>
      </c>
      <c r="I851" s="135"/>
    </row>
    <row r="852" spans="1:9" ht="21.75" customHeight="1" x14ac:dyDescent="0.25">
      <c r="A852" s="127">
        <v>44720</v>
      </c>
      <c r="B852" s="128" t="s">
        <v>18674</v>
      </c>
      <c r="C852" s="129" t="s">
        <v>10157</v>
      </c>
      <c r="D852" s="130">
        <v>15472.48</v>
      </c>
      <c r="E852" s="131">
        <v>44727</v>
      </c>
      <c r="F852" s="132">
        <v>15472.48</v>
      </c>
      <c r="G852" s="133">
        <f>Tabla147[[#This Row],[Importe]]-Tabla147[[#This Row],[Pagado]]</f>
        <v>0</v>
      </c>
      <c r="H852" s="134" t="s">
        <v>10</v>
      </c>
      <c r="I852" s="135"/>
    </row>
    <row r="853" spans="1:9" ht="21.75" customHeight="1" x14ac:dyDescent="0.25">
      <c r="A853" s="127">
        <v>44720</v>
      </c>
      <c r="B853" s="128" t="s">
        <v>18675</v>
      </c>
      <c r="C853" s="129" t="s">
        <v>555</v>
      </c>
      <c r="D853" s="130">
        <v>42351.08</v>
      </c>
      <c r="E853" s="131">
        <v>44720</v>
      </c>
      <c r="F853" s="132">
        <v>42351.08</v>
      </c>
      <c r="G853" s="133">
        <f>Tabla147[[#This Row],[Importe]]-Tabla147[[#This Row],[Pagado]]</f>
        <v>0</v>
      </c>
      <c r="H853" s="134" t="s">
        <v>10</v>
      </c>
      <c r="I853" s="135"/>
    </row>
    <row r="854" spans="1:9" ht="21.75" customHeight="1" x14ac:dyDescent="0.25">
      <c r="A854" s="127">
        <v>44720</v>
      </c>
      <c r="B854" s="128" t="s">
        <v>18676</v>
      </c>
      <c r="C854" s="129" t="s">
        <v>24</v>
      </c>
      <c r="D854" s="130">
        <v>2662.2</v>
      </c>
      <c r="E854" s="131">
        <v>44720</v>
      </c>
      <c r="F854" s="132">
        <v>2662.2</v>
      </c>
      <c r="G854" s="133">
        <f>Tabla147[[#This Row],[Importe]]-Tabla147[[#This Row],[Pagado]]</f>
        <v>0</v>
      </c>
      <c r="H854" s="134" t="s">
        <v>10</v>
      </c>
      <c r="I854" s="135"/>
    </row>
    <row r="855" spans="1:9" ht="21.75" customHeight="1" x14ac:dyDescent="0.25">
      <c r="A855" s="127">
        <v>44720</v>
      </c>
      <c r="B855" s="128" t="s">
        <v>18677</v>
      </c>
      <c r="C855" s="129" t="s">
        <v>146</v>
      </c>
      <c r="D855" s="130">
        <v>1901.8</v>
      </c>
      <c r="E855" s="131">
        <v>44720</v>
      </c>
      <c r="F855" s="132">
        <v>1901.8</v>
      </c>
      <c r="G855" s="133">
        <f>Tabla147[[#This Row],[Importe]]-Tabla147[[#This Row],[Pagado]]</f>
        <v>0</v>
      </c>
      <c r="H855" s="134" t="s">
        <v>10</v>
      </c>
      <c r="I855" s="135"/>
    </row>
    <row r="856" spans="1:9" ht="21.75" customHeight="1" x14ac:dyDescent="0.25">
      <c r="A856" s="127">
        <v>44720</v>
      </c>
      <c r="B856" s="128" t="s">
        <v>18678</v>
      </c>
      <c r="C856" s="129" t="s">
        <v>10157</v>
      </c>
      <c r="D856" s="130">
        <v>19628</v>
      </c>
      <c r="E856" s="131">
        <v>44727</v>
      </c>
      <c r="F856" s="132">
        <v>19628</v>
      </c>
      <c r="G856" s="133">
        <f>Tabla147[[#This Row],[Importe]]-Tabla147[[#This Row],[Pagado]]</f>
        <v>0</v>
      </c>
      <c r="H856" s="134" t="s">
        <v>10</v>
      </c>
      <c r="I856" s="135"/>
    </row>
    <row r="857" spans="1:9" ht="21.75" customHeight="1" x14ac:dyDescent="0.25">
      <c r="A857" s="127">
        <v>44720</v>
      </c>
      <c r="B857" s="128" t="s">
        <v>18679</v>
      </c>
      <c r="C857" s="129" t="s">
        <v>587</v>
      </c>
      <c r="D857" s="130">
        <v>5475.24</v>
      </c>
      <c r="E857" s="131">
        <v>44720</v>
      </c>
      <c r="F857" s="132">
        <v>5475.24</v>
      </c>
      <c r="G857" s="133">
        <f>Tabla147[[#This Row],[Importe]]-Tabla147[[#This Row],[Pagado]]</f>
        <v>0</v>
      </c>
      <c r="H857" s="134" t="s">
        <v>10</v>
      </c>
      <c r="I857" s="135"/>
    </row>
    <row r="858" spans="1:9" ht="21.75" customHeight="1" x14ac:dyDescent="0.25">
      <c r="A858" s="127">
        <v>44720</v>
      </c>
      <c r="B858" s="128" t="s">
        <v>18680</v>
      </c>
      <c r="C858" s="129" t="s">
        <v>698</v>
      </c>
      <c r="D858" s="130">
        <v>1785</v>
      </c>
      <c r="E858" s="131">
        <v>44720</v>
      </c>
      <c r="F858" s="132">
        <v>1785</v>
      </c>
      <c r="G858" s="133">
        <f>Tabla147[[#This Row],[Importe]]-Tabla147[[#This Row],[Pagado]]</f>
        <v>0</v>
      </c>
      <c r="H858" s="134" t="s">
        <v>10</v>
      </c>
      <c r="I858" s="135"/>
    </row>
    <row r="859" spans="1:9" ht="21.75" customHeight="1" x14ac:dyDescent="0.25">
      <c r="A859" s="127">
        <v>44720</v>
      </c>
      <c r="B859" s="128" t="s">
        <v>18681</v>
      </c>
      <c r="C859" s="129" t="s">
        <v>233</v>
      </c>
      <c r="D859" s="130">
        <v>5222</v>
      </c>
      <c r="E859" s="131">
        <v>44720</v>
      </c>
      <c r="F859" s="132">
        <v>5222</v>
      </c>
      <c r="G859" s="133">
        <f>Tabla147[[#This Row],[Importe]]-Tabla147[[#This Row],[Pagado]]</f>
        <v>0</v>
      </c>
      <c r="H859" s="134" t="s">
        <v>10</v>
      </c>
      <c r="I859" s="135"/>
    </row>
    <row r="860" spans="1:9" ht="21.75" customHeight="1" x14ac:dyDescent="0.25">
      <c r="A860" s="127">
        <v>44720</v>
      </c>
      <c r="B860" s="128" t="s">
        <v>18682</v>
      </c>
      <c r="C860" s="129" t="s">
        <v>698</v>
      </c>
      <c r="D860" s="130">
        <v>4678.8999999999996</v>
      </c>
      <c r="E860" s="131">
        <v>44720</v>
      </c>
      <c r="F860" s="132">
        <v>4678.8999999999996</v>
      </c>
      <c r="G860" s="133">
        <f>Tabla147[[#This Row],[Importe]]-Tabla147[[#This Row],[Pagado]]</f>
        <v>0</v>
      </c>
      <c r="H860" s="134" t="s">
        <v>10</v>
      </c>
      <c r="I860" s="135"/>
    </row>
    <row r="861" spans="1:9" ht="21.75" customHeight="1" x14ac:dyDescent="0.25">
      <c r="A861" s="127">
        <v>44720</v>
      </c>
      <c r="B861" s="128" t="s">
        <v>18683</v>
      </c>
      <c r="C861" s="129" t="s">
        <v>857</v>
      </c>
      <c r="D861" s="130">
        <v>812.6</v>
      </c>
      <c r="E861" s="131">
        <v>44720</v>
      </c>
      <c r="F861" s="132">
        <v>812.6</v>
      </c>
      <c r="G861" s="133">
        <f>Tabla147[[#This Row],[Importe]]-Tabla147[[#This Row],[Pagado]]</f>
        <v>0</v>
      </c>
      <c r="H861" s="134" t="s">
        <v>10</v>
      </c>
      <c r="I861" s="135"/>
    </row>
    <row r="862" spans="1:9" ht="21.75" customHeight="1" x14ac:dyDescent="0.25">
      <c r="A862" s="127">
        <v>44720</v>
      </c>
      <c r="B862" s="128" t="s">
        <v>18684</v>
      </c>
      <c r="C862" s="129" t="s">
        <v>4136</v>
      </c>
      <c r="D862" s="130">
        <v>1893.6</v>
      </c>
      <c r="E862" s="131">
        <v>44720</v>
      </c>
      <c r="F862" s="132">
        <v>1893.6</v>
      </c>
      <c r="G862" s="133">
        <f>Tabla147[[#This Row],[Importe]]-Tabla147[[#This Row],[Pagado]]</f>
        <v>0</v>
      </c>
      <c r="H862" s="134" t="s">
        <v>10</v>
      </c>
      <c r="I862" s="135"/>
    </row>
    <row r="863" spans="1:9" ht="21.75" customHeight="1" x14ac:dyDescent="0.25">
      <c r="A863" s="127">
        <v>44720</v>
      </c>
      <c r="B863" s="128" t="s">
        <v>18685</v>
      </c>
      <c r="C863" s="129" t="s">
        <v>280</v>
      </c>
      <c r="D863" s="130">
        <v>700.4</v>
      </c>
      <c r="E863" s="131">
        <v>44721</v>
      </c>
      <c r="F863" s="132">
        <v>700.4</v>
      </c>
      <c r="G863" s="133">
        <f>Tabla147[[#This Row],[Importe]]-Tabla147[[#This Row],[Pagado]]</f>
        <v>0</v>
      </c>
      <c r="H863" s="134" t="s">
        <v>10</v>
      </c>
      <c r="I863" s="135"/>
    </row>
    <row r="864" spans="1:9" ht="21.75" customHeight="1" x14ac:dyDescent="0.25">
      <c r="A864" s="127">
        <v>44720</v>
      </c>
      <c r="B864" s="128" t="s">
        <v>18686</v>
      </c>
      <c r="C864" s="129" t="s">
        <v>9827</v>
      </c>
      <c r="D864" s="130">
        <v>693.6</v>
      </c>
      <c r="E864" s="131">
        <v>44720</v>
      </c>
      <c r="F864" s="132">
        <v>693.6</v>
      </c>
      <c r="G864" s="133">
        <f>Tabla147[[#This Row],[Importe]]-Tabla147[[#This Row],[Pagado]]</f>
        <v>0</v>
      </c>
      <c r="H864" s="134" t="s">
        <v>10</v>
      </c>
      <c r="I864" s="135"/>
    </row>
    <row r="865" spans="1:9" ht="21.75" customHeight="1" x14ac:dyDescent="0.25">
      <c r="A865" s="127">
        <v>44720</v>
      </c>
      <c r="B865" s="128" t="s">
        <v>18687</v>
      </c>
      <c r="C865" s="129" t="s">
        <v>181</v>
      </c>
      <c r="D865" s="130">
        <v>13072.6</v>
      </c>
      <c r="E865" s="131">
        <v>44721</v>
      </c>
      <c r="F865" s="132">
        <v>13072.6</v>
      </c>
      <c r="G865" s="133">
        <f>Tabla147[[#This Row],[Importe]]-Tabla147[[#This Row],[Pagado]]</f>
        <v>0</v>
      </c>
      <c r="H865" s="134" t="s">
        <v>10</v>
      </c>
      <c r="I865" s="135"/>
    </row>
    <row r="866" spans="1:9" ht="21.75" customHeight="1" x14ac:dyDescent="0.25">
      <c r="A866" s="127">
        <v>44720</v>
      </c>
      <c r="B866" s="128" t="s">
        <v>18688</v>
      </c>
      <c r="C866" s="129" t="s">
        <v>664</v>
      </c>
      <c r="D866" s="130">
        <v>4380.8</v>
      </c>
      <c r="E866" s="131">
        <v>44721</v>
      </c>
      <c r="F866" s="132">
        <v>4380.8</v>
      </c>
      <c r="G866" s="133">
        <f>Tabla147[[#This Row],[Importe]]-Tabla147[[#This Row],[Pagado]]</f>
        <v>0</v>
      </c>
      <c r="H866" s="134" t="s">
        <v>10</v>
      </c>
      <c r="I866" s="135"/>
    </row>
    <row r="867" spans="1:9" ht="21.75" customHeight="1" x14ac:dyDescent="0.25">
      <c r="A867" s="127">
        <v>44720</v>
      </c>
      <c r="B867" s="128" t="s">
        <v>18689</v>
      </c>
      <c r="C867" s="129" t="s">
        <v>284</v>
      </c>
      <c r="D867" s="130">
        <v>6868</v>
      </c>
      <c r="E867" s="131">
        <v>44721</v>
      </c>
      <c r="F867" s="132">
        <v>6868</v>
      </c>
      <c r="G867" s="133">
        <f>Tabla147[[#This Row],[Importe]]-Tabla147[[#This Row],[Pagado]]</f>
        <v>0</v>
      </c>
      <c r="H867" s="134" t="s">
        <v>10</v>
      </c>
      <c r="I867" s="135"/>
    </row>
    <row r="868" spans="1:9" ht="21.75" customHeight="1" x14ac:dyDescent="0.25">
      <c r="A868" s="127">
        <v>44720</v>
      </c>
      <c r="B868" s="128" t="s">
        <v>18690</v>
      </c>
      <c r="C868" s="129" t="s">
        <v>5345</v>
      </c>
      <c r="D868" s="130">
        <v>2998.8</v>
      </c>
      <c r="E868" s="131">
        <v>44721</v>
      </c>
      <c r="F868" s="132">
        <v>2998.8</v>
      </c>
      <c r="G868" s="133">
        <f>Tabla147[[#This Row],[Importe]]-Tabla147[[#This Row],[Pagado]]</f>
        <v>0</v>
      </c>
      <c r="H868" s="134" t="s">
        <v>10</v>
      </c>
      <c r="I868" s="135"/>
    </row>
    <row r="869" spans="1:9" ht="21.75" customHeight="1" x14ac:dyDescent="0.25">
      <c r="A869" s="127">
        <v>44720</v>
      </c>
      <c r="B869" s="128" t="s">
        <v>18691</v>
      </c>
      <c r="C869" s="129" t="s">
        <v>282</v>
      </c>
      <c r="D869" s="130">
        <v>1570.8</v>
      </c>
      <c r="E869" s="131">
        <v>44721</v>
      </c>
      <c r="F869" s="132">
        <v>1570.8</v>
      </c>
      <c r="G869" s="133">
        <f>Tabla147[[#This Row],[Importe]]-Tabla147[[#This Row],[Pagado]]</f>
        <v>0</v>
      </c>
      <c r="H869" s="134" t="s">
        <v>10</v>
      </c>
      <c r="I869" s="135"/>
    </row>
    <row r="870" spans="1:9" ht="21.75" customHeight="1" x14ac:dyDescent="0.25">
      <c r="A870" s="127">
        <v>44720</v>
      </c>
      <c r="B870" s="128" t="s">
        <v>18692</v>
      </c>
      <c r="C870" s="129" t="s">
        <v>200</v>
      </c>
      <c r="D870" s="130">
        <v>938.4</v>
      </c>
      <c r="E870" s="131">
        <v>44721</v>
      </c>
      <c r="F870" s="132">
        <v>938.4</v>
      </c>
      <c r="G870" s="133">
        <f>Tabla147[[#This Row],[Importe]]-Tabla147[[#This Row],[Pagado]]</f>
        <v>0</v>
      </c>
      <c r="H870" s="134" t="s">
        <v>10</v>
      </c>
      <c r="I870" s="135"/>
    </row>
    <row r="871" spans="1:9" ht="21.75" customHeight="1" x14ac:dyDescent="0.25">
      <c r="A871" s="127">
        <v>44720</v>
      </c>
      <c r="B871" s="128" t="s">
        <v>18693</v>
      </c>
      <c r="C871" s="129" t="s">
        <v>58</v>
      </c>
      <c r="D871" s="130">
        <v>4965.2</v>
      </c>
      <c r="E871" s="131">
        <v>44720</v>
      </c>
      <c r="F871" s="132">
        <v>4965.2</v>
      </c>
      <c r="G871" s="133">
        <f>Tabla147[[#This Row],[Importe]]-Tabla147[[#This Row],[Pagado]]</f>
        <v>0</v>
      </c>
      <c r="H871" s="134" t="s">
        <v>10</v>
      </c>
      <c r="I871" s="135"/>
    </row>
    <row r="872" spans="1:9" ht="21.75" customHeight="1" x14ac:dyDescent="0.25">
      <c r="A872" s="127">
        <v>44720</v>
      </c>
      <c r="B872" s="128" t="s">
        <v>18694</v>
      </c>
      <c r="C872" s="129" t="s">
        <v>291</v>
      </c>
      <c r="D872" s="130">
        <v>3442.2</v>
      </c>
      <c r="E872" s="131">
        <v>44721</v>
      </c>
      <c r="F872" s="132">
        <v>3442.2</v>
      </c>
      <c r="G872" s="133">
        <f>Tabla147[[#This Row],[Importe]]-Tabla147[[#This Row],[Pagado]]</f>
        <v>0</v>
      </c>
      <c r="H872" s="134" t="s">
        <v>10</v>
      </c>
      <c r="I872" s="135"/>
    </row>
    <row r="873" spans="1:9" ht="21.75" customHeight="1" x14ac:dyDescent="0.25">
      <c r="A873" s="127">
        <v>44720</v>
      </c>
      <c r="B873" s="128" t="s">
        <v>18695</v>
      </c>
      <c r="C873" s="129" t="s">
        <v>275</v>
      </c>
      <c r="D873" s="130">
        <v>76732.7</v>
      </c>
      <c r="E873" s="131">
        <v>44729</v>
      </c>
      <c r="F873" s="132">
        <v>76732.7</v>
      </c>
      <c r="G873" s="133">
        <f>Tabla147[[#This Row],[Importe]]-Tabla147[[#This Row],[Pagado]]</f>
        <v>0</v>
      </c>
      <c r="H873" s="134" t="s">
        <v>10</v>
      </c>
      <c r="I873" s="135"/>
    </row>
    <row r="874" spans="1:9" ht="21.75" customHeight="1" x14ac:dyDescent="0.25">
      <c r="A874" s="127">
        <v>44720</v>
      </c>
      <c r="B874" s="128" t="s">
        <v>18696</v>
      </c>
      <c r="C874" s="129" t="s">
        <v>107</v>
      </c>
      <c r="D874" s="130">
        <v>4386</v>
      </c>
      <c r="E874" s="131">
        <v>44721</v>
      </c>
      <c r="F874" s="132">
        <v>4386</v>
      </c>
      <c r="G874" s="133">
        <f>Tabla147[[#This Row],[Importe]]-Tabla147[[#This Row],[Pagado]]</f>
        <v>0</v>
      </c>
      <c r="H874" s="134" t="s">
        <v>10</v>
      </c>
      <c r="I874" s="135"/>
    </row>
    <row r="875" spans="1:9" ht="21.75" customHeight="1" x14ac:dyDescent="0.25">
      <c r="A875" s="127">
        <v>44720</v>
      </c>
      <c r="B875" s="128" t="s">
        <v>18697</v>
      </c>
      <c r="C875" s="129" t="s">
        <v>179</v>
      </c>
      <c r="D875" s="130">
        <v>1421.2</v>
      </c>
      <c r="E875" s="131">
        <v>44720</v>
      </c>
      <c r="F875" s="132">
        <v>1421.2</v>
      </c>
      <c r="G875" s="133">
        <f>Tabla147[[#This Row],[Importe]]-Tabla147[[#This Row],[Pagado]]</f>
        <v>0</v>
      </c>
      <c r="H875" s="134" t="s">
        <v>10</v>
      </c>
      <c r="I875" s="135"/>
    </row>
    <row r="876" spans="1:9" ht="21.75" customHeight="1" x14ac:dyDescent="0.25">
      <c r="A876" s="127">
        <v>44720</v>
      </c>
      <c r="B876" s="128" t="s">
        <v>18698</v>
      </c>
      <c r="C876" s="129" t="s">
        <v>275</v>
      </c>
      <c r="D876" s="130">
        <v>3712.8</v>
      </c>
      <c r="E876" s="131">
        <v>44729</v>
      </c>
      <c r="F876" s="132">
        <v>3712.8</v>
      </c>
      <c r="G876" s="133">
        <f>Tabla147[[#This Row],[Importe]]-Tabla147[[#This Row],[Pagado]]</f>
        <v>0</v>
      </c>
      <c r="H876" s="134" t="s">
        <v>10</v>
      </c>
      <c r="I876" s="135"/>
    </row>
    <row r="877" spans="1:9" ht="21.75" customHeight="1" x14ac:dyDescent="0.25">
      <c r="A877" s="127">
        <v>44720</v>
      </c>
      <c r="B877" s="128" t="s">
        <v>18699</v>
      </c>
      <c r="C877" s="129" t="s">
        <v>2139</v>
      </c>
      <c r="D877" s="130">
        <v>1474</v>
      </c>
      <c r="E877" s="131">
        <v>44720</v>
      </c>
      <c r="F877" s="132">
        <v>1474</v>
      </c>
      <c r="G877" s="133">
        <f>Tabla147[[#This Row],[Importe]]-Tabla147[[#This Row],[Pagado]]</f>
        <v>0</v>
      </c>
      <c r="H877" s="134" t="s">
        <v>10</v>
      </c>
      <c r="I877" s="135"/>
    </row>
    <row r="878" spans="1:9" ht="21.75" customHeight="1" x14ac:dyDescent="0.25">
      <c r="A878" s="127">
        <v>44720</v>
      </c>
      <c r="B878" s="128" t="s">
        <v>18700</v>
      </c>
      <c r="C878" s="129" t="s">
        <v>31</v>
      </c>
      <c r="D878" s="130">
        <v>679.8</v>
      </c>
      <c r="E878" s="131">
        <v>44720</v>
      </c>
      <c r="F878" s="132">
        <v>679.8</v>
      </c>
      <c r="G878" s="133">
        <f>Tabla147[[#This Row],[Importe]]-Tabla147[[#This Row],[Pagado]]</f>
        <v>0</v>
      </c>
      <c r="H878" s="134" t="s">
        <v>10</v>
      </c>
      <c r="I878" s="135"/>
    </row>
    <row r="879" spans="1:9" ht="21.75" customHeight="1" x14ac:dyDescent="0.25">
      <c r="A879" s="127">
        <v>44720</v>
      </c>
      <c r="B879" s="128" t="s">
        <v>18701</v>
      </c>
      <c r="C879" s="129" t="s">
        <v>520</v>
      </c>
      <c r="D879" s="130">
        <v>10551.6</v>
      </c>
      <c r="E879" s="131">
        <v>44720</v>
      </c>
      <c r="F879" s="132">
        <v>10551.6</v>
      </c>
      <c r="G879" s="133">
        <f>Tabla147[[#This Row],[Importe]]-Tabla147[[#This Row],[Pagado]]</f>
        <v>0</v>
      </c>
      <c r="H879" s="134" t="s">
        <v>10</v>
      </c>
      <c r="I879" s="135"/>
    </row>
    <row r="880" spans="1:9" ht="21.75" customHeight="1" x14ac:dyDescent="0.25">
      <c r="A880" s="127">
        <v>44720</v>
      </c>
      <c r="B880" s="128" t="s">
        <v>18702</v>
      </c>
      <c r="C880" s="129" t="s">
        <v>31</v>
      </c>
      <c r="D880" s="130">
        <v>13437</v>
      </c>
      <c r="E880" s="131">
        <v>44720</v>
      </c>
      <c r="F880" s="132">
        <v>13437</v>
      </c>
      <c r="G880" s="133">
        <f>Tabla147[[#This Row],[Importe]]-Tabla147[[#This Row],[Pagado]]</f>
        <v>0</v>
      </c>
      <c r="H880" s="134" t="s">
        <v>10</v>
      </c>
      <c r="I880" s="135"/>
    </row>
    <row r="881" spans="1:9" ht="21.75" customHeight="1" x14ac:dyDescent="0.25">
      <c r="A881" s="127">
        <v>44720</v>
      </c>
      <c r="B881" s="128" t="s">
        <v>18703</v>
      </c>
      <c r="C881" s="129" t="s">
        <v>263</v>
      </c>
      <c r="D881" s="130">
        <v>23976</v>
      </c>
      <c r="E881" s="131">
        <v>44730</v>
      </c>
      <c r="F881" s="132">
        <v>23976</v>
      </c>
      <c r="G881" s="133">
        <f>Tabla147[[#This Row],[Importe]]-Tabla147[[#This Row],[Pagado]]</f>
        <v>0</v>
      </c>
      <c r="H881" s="134" t="s">
        <v>10</v>
      </c>
      <c r="I881" s="135"/>
    </row>
    <row r="882" spans="1:9" ht="21.75" customHeight="1" x14ac:dyDescent="0.25">
      <c r="A882" s="127">
        <v>44720</v>
      </c>
      <c r="B882" s="128" t="s">
        <v>18704</v>
      </c>
      <c r="C882" s="129" t="s">
        <v>31</v>
      </c>
      <c r="D882" s="130">
        <v>297</v>
      </c>
      <c r="E882" s="131">
        <v>44720</v>
      </c>
      <c r="F882" s="132">
        <v>297</v>
      </c>
      <c r="G882" s="133">
        <f>Tabla147[[#This Row],[Importe]]-Tabla147[[#This Row],[Pagado]]</f>
        <v>0</v>
      </c>
      <c r="H882" s="134" t="s">
        <v>10</v>
      </c>
      <c r="I882" s="135"/>
    </row>
    <row r="883" spans="1:9" ht="21.75" customHeight="1" x14ac:dyDescent="0.25">
      <c r="A883" s="127">
        <v>44720</v>
      </c>
      <c r="B883" s="128" t="s">
        <v>18705</v>
      </c>
      <c r="C883" s="129" t="s">
        <v>31</v>
      </c>
      <c r="D883" s="130">
        <v>1763.5</v>
      </c>
      <c r="E883" s="131">
        <v>44720</v>
      </c>
      <c r="F883" s="132">
        <v>1763.5</v>
      </c>
      <c r="G883" s="133">
        <f>Tabla147[[#This Row],[Importe]]-Tabla147[[#This Row],[Pagado]]</f>
        <v>0</v>
      </c>
      <c r="H883" s="134" t="s">
        <v>10</v>
      </c>
      <c r="I883" s="135"/>
    </row>
    <row r="884" spans="1:9" ht="21.75" customHeight="1" x14ac:dyDescent="0.25">
      <c r="A884" s="127">
        <v>44720</v>
      </c>
      <c r="B884" s="128" t="s">
        <v>18706</v>
      </c>
      <c r="C884" s="129" t="s">
        <v>1987</v>
      </c>
      <c r="D884" s="130">
        <v>16506.599999999999</v>
      </c>
      <c r="E884" s="131">
        <v>44720</v>
      </c>
      <c r="F884" s="132">
        <v>16506.599999999999</v>
      </c>
      <c r="G884" s="133">
        <f>Tabla147[[#This Row],[Importe]]-Tabla147[[#This Row],[Pagado]]</f>
        <v>0</v>
      </c>
      <c r="H884" s="134" t="s">
        <v>10</v>
      </c>
      <c r="I884" s="135"/>
    </row>
    <row r="885" spans="1:9" ht="21.75" customHeight="1" x14ac:dyDescent="0.25">
      <c r="A885" s="127">
        <v>44720</v>
      </c>
      <c r="B885" s="128" t="s">
        <v>18707</v>
      </c>
      <c r="C885" s="129" t="s">
        <v>31</v>
      </c>
      <c r="D885" s="130">
        <v>1427.1</v>
      </c>
      <c r="E885" s="131">
        <v>44720</v>
      </c>
      <c r="F885" s="132">
        <v>1427.1</v>
      </c>
      <c r="G885" s="133">
        <f>Tabla147[[#This Row],[Importe]]-Tabla147[[#This Row],[Pagado]]</f>
        <v>0</v>
      </c>
      <c r="H885" s="134" t="s">
        <v>10</v>
      </c>
      <c r="I885" s="135"/>
    </row>
    <row r="886" spans="1:9" ht="21.75" customHeight="1" x14ac:dyDescent="0.25">
      <c r="A886" s="127">
        <v>44720</v>
      </c>
      <c r="B886" s="128" t="s">
        <v>18708</v>
      </c>
      <c r="C886" s="129" t="s">
        <v>435</v>
      </c>
      <c r="D886" s="130">
        <v>1736</v>
      </c>
      <c r="E886" s="131">
        <v>44720</v>
      </c>
      <c r="F886" s="132">
        <v>1736</v>
      </c>
      <c r="G886" s="133">
        <f>Tabla147[[#This Row],[Importe]]-Tabla147[[#This Row],[Pagado]]</f>
        <v>0</v>
      </c>
      <c r="H886" s="134" t="s">
        <v>10</v>
      </c>
      <c r="I886" s="135"/>
    </row>
    <row r="887" spans="1:9" ht="21.75" customHeight="1" x14ac:dyDescent="0.25">
      <c r="A887" s="127">
        <v>44720</v>
      </c>
      <c r="B887" s="128" t="s">
        <v>18709</v>
      </c>
      <c r="C887" s="129" t="s">
        <v>196</v>
      </c>
      <c r="D887" s="130">
        <v>112979.51</v>
      </c>
      <c r="E887" s="131">
        <v>44722</v>
      </c>
      <c r="F887" s="132">
        <v>112979.51</v>
      </c>
      <c r="G887" s="133">
        <f>Tabla147[[#This Row],[Importe]]-Tabla147[[#This Row],[Pagado]]</f>
        <v>0</v>
      </c>
      <c r="H887" s="134" t="s">
        <v>10</v>
      </c>
      <c r="I887" s="135"/>
    </row>
    <row r="888" spans="1:9" ht="21.75" customHeight="1" x14ac:dyDescent="0.25">
      <c r="A888" s="127">
        <v>44720</v>
      </c>
      <c r="B888" s="128" t="s">
        <v>18710</v>
      </c>
      <c r="C888" s="129" t="s">
        <v>53</v>
      </c>
      <c r="D888" s="130">
        <v>1853.1</v>
      </c>
      <c r="E888" s="131">
        <v>44720</v>
      </c>
      <c r="F888" s="132">
        <v>1853.1</v>
      </c>
      <c r="G888" s="133">
        <f>Tabla147[[#This Row],[Importe]]-Tabla147[[#This Row],[Pagado]]</f>
        <v>0</v>
      </c>
      <c r="H888" s="134" t="s">
        <v>10</v>
      </c>
      <c r="I888" s="135"/>
    </row>
    <row r="889" spans="1:9" ht="21.75" customHeight="1" x14ac:dyDescent="0.25">
      <c r="A889" s="127">
        <v>44720</v>
      </c>
      <c r="B889" s="128" t="s">
        <v>18711</v>
      </c>
      <c r="C889" s="129" t="s">
        <v>69</v>
      </c>
      <c r="D889" s="130">
        <v>2461.6</v>
      </c>
      <c r="E889" s="131">
        <v>44720</v>
      </c>
      <c r="F889" s="132">
        <v>2461.6</v>
      </c>
      <c r="G889" s="133">
        <f>Tabla147[[#This Row],[Importe]]-Tabla147[[#This Row],[Pagado]]</f>
        <v>0</v>
      </c>
      <c r="H889" s="134" t="s">
        <v>10</v>
      </c>
      <c r="I889" s="135"/>
    </row>
    <row r="890" spans="1:9" ht="21.75" customHeight="1" x14ac:dyDescent="0.25">
      <c r="A890" s="127">
        <v>44720</v>
      </c>
      <c r="B890" s="128" t="s">
        <v>18712</v>
      </c>
      <c r="C890" s="129" t="s">
        <v>33</v>
      </c>
      <c r="D890" s="130">
        <v>12461.8</v>
      </c>
      <c r="E890" s="131">
        <v>44720</v>
      </c>
      <c r="F890" s="132">
        <v>12461.8</v>
      </c>
      <c r="G890" s="133">
        <f>Tabla147[[#This Row],[Importe]]-Tabla147[[#This Row],[Pagado]]</f>
        <v>0</v>
      </c>
      <c r="H890" s="134" t="s">
        <v>10</v>
      </c>
      <c r="I890" s="135"/>
    </row>
    <row r="891" spans="1:9" ht="21.75" customHeight="1" x14ac:dyDescent="0.25">
      <c r="A891" s="127">
        <v>44720</v>
      </c>
      <c r="B891" s="128" t="s">
        <v>18713</v>
      </c>
      <c r="C891" s="129" t="s">
        <v>31</v>
      </c>
      <c r="D891" s="130">
        <v>378</v>
      </c>
      <c r="E891" s="131">
        <v>44720</v>
      </c>
      <c r="F891" s="132">
        <v>378</v>
      </c>
      <c r="G891" s="133">
        <f>Tabla147[[#This Row],[Importe]]-Tabla147[[#This Row],[Pagado]]</f>
        <v>0</v>
      </c>
      <c r="H891" s="134" t="s">
        <v>10</v>
      </c>
      <c r="I891" s="135"/>
    </row>
    <row r="892" spans="1:9" ht="21.75" customHeight="1" x14ac:dyDescent="0.25">
      <c r="A892" s="127">
        <v>44720</v>
      </c>
      <c r="B892" s="128" t="s">
        <v>18714</v>
      </c>
      <c r="C892" s="129" t="s">
        <v>610</v>
      </c>
      <c r="D892" s="130">
        <v>18156</v>
      </c>
      <c r="E892" s="131">
        <v>44720</v>
      </c>
      <c r="F892" s="132">
        <v>18156</v>
      </c>
      <c r="G892" s="133">
        <f>Tabla147[[#This Row],[Importe]]-Tabla147[[#This Row],[Pagado]]</f>
        <v>0</v>
      </c>
      <c r="H892" s="134" t="s">
        <v>10</v>
      </c>
      <c r="I892" s="135"/>
    </row>
    <row r="893" spans="1:9" ht="21.75" customHeight="1" x14ac:dyDescent="0.25">
      <c r="A893" s="127">
        <v>44720</v>
      </c>
      <c r="B893" s="128" t="s">
        <v>18715</v>
      </c>
      <c r="C893" s="129" t="s">
        <v>459</v>
      </c>
      <c r="D893" s="130">
        <v>29.5</v>
      </c>
      <c r="E893" s="131">
        <v>44720</v>
      </c>
      <c r="F893" s="132">
        <v>29.5</v>
      </c>
      <c r="G893" s="133">
        <f>Tabla147[[#This Row],[Importe]]-Tabla147[[#This Row],[Pagado]]</f>
        <v>0</v>
      </c>
      <c r="H893" s="134" t="s">
        <v>10</v>
      </c>
      <c r="I893" s="135"/>
    </row>
    <row r="894" spans="1:9" ht="21.75" customHeight="1" x14ac:dyDescent="0.25">
      <c r="A894" s="127">
        <v>44720</v>
      </c>
      <c r="B894" s="128" t="s">
        <v>18716</v>
      </c>
      <c r="C894" s="129" t="s">
        <v>9577</v>
      </c>
      <c r="D894" s="130">
        <v>16204</v>
      </c>
      <c r="E894" s="131">
        <v>44721</v>
      </c>
      <c r="F894" s="132">
        <v>16204</v>
      </c>
      <c r="G894" s="133">
        <f>Tabla147[[#This Row],[Importe]]-Tabla147[[#This Row],[Pagado]]</f>
        <v>0</v>
      </c>
      <c r="H894" s="134" t="s">
        <v>10</v>
      </c>
      <c r="I894" s="135"/>
    </row>
    <row r="895" spans="1:9" ht="21.75" customHeight="1" x14ac:dyDescent="0.25">
      <c r="A895" s="127">
        <v>44720</v>
      </c>
      <c r="B895" s="128" t="s">
        <v>18717</v>
      </c>
      <c r="C895" s="129" t="s">
        <v>289</v>
      </c>
      <c r="D895" s="130">
        <v>12966.4</v>
      </c>
      <c r="E895" s="131">
        <v>44720</v>
      </c>
      <c r="F895" s="132">
        <v>12966.4</v>
      </c>
      <c r="G895" s="133">
        <f>Tabla147[[#This Row],[Importe]]-Tabla147[[#This Row],[Pagado]]</f>
        <v>0</v>
      </c>
      <c r="H895" s="134" t="s">
        <v>10</v>
      </c>
      <c r="I895" s="135"/>
    </row>
    <row r="896" spans="1:9" ht="21.75" customHeight="1" x14ac:dyDescent="0.25">
      <c r="A896" s="127">
        <v>44720</v>
      </c>
      <c r="B896" s="128" t="s">
        <v>18718</v>
      </c>
      <c r="C896" s="129" t="s">
        <v>9577</v>
      </c>
      <c r="D896" s="130">
        <v>5220</v>
      </c>
      <c r="E896" s="131">
        <v>44721</v>
      </c>
      <c r="F896" s="132">
        <v>5220</v>
      </c>
      <c r="G896" s="133">
        <f>Tabla147[[#This Row],[Importe]]-Tabla147[[#This Row],[Pagado]]</f>
        <v>0</v>
      </c>
      <c r="H896" s="134" t="s">
        <v>10</v>
      </c>
      <c r="I896" s="135"/>
    </row>
    <row r="897" spans="1:9" ht="21.75" customHeight="1" x14ac:dyDescent="0.25">
      <c r="A897" s="127">
        <v>44720</v>
      </c>
      <c r="B897" s="128" t="s">
        <v>18719</v>
      </c>
      <c r="C897" s="129" t="s">
        <v>31</v>
      </c>
      <c r="D897" s="130">
        <v>1965.6</v>
      </c>
      <c r="E897" s="131">
        <v>44721</v>
      </c>
      <c r="F897" s="132">
        <v>1965.6</v>
      </c>
      <c r="G897" s="133">
        <f>Tabla147[[#This Row],[Importe]]-Tabla147[[#This Row],[Pagado]]</f>
        <v>0</v>
      </c>
      <c r="H897" s="134" t="s">
        <v>10</v>
      </c>
      <c r="I897" s="135"/>
    </row>
    <row r="898" spans="1:9" ht="21.75" customHeight="1" x14ac:dyDescent="0.25">
      <c r="A898" s="127">
        <v>44720</v>
      </c>
      <c r="B898" s="128" t="s">
        <v>18720</v>
      </c>
      <c r="C898" s="129" t="s">
        <v>400</v>
      </c>
      <c r="D898" s="130">
        <v>8152.6</v>
      </c>
      <c r="E898" s="131">
        <v>44729</v>
      </c>
      <c r="F898" s="132">
        <v>8152.6</v>
      </c>
      <c r="G898" s="133">
        <f>Tabla147[[#This Row],[Importe]]-Tabla147[[#This Row],[Pagado]]</f>
        <v>0</v>
      </c>
      <c r="H898" s="134" t="s">
        <v>10</v>
      </c>
      <c r="I898" s="135"/>
    </row>
    <row r="899" spans="1:9" ht="21.75" customHeight="1" x14ac:dyDescent="0.25">
      <c r="A899" s="127">
        <v>44720</v>
      </c>
      <c r="B899" s="128" t="s">
        <v>18721</v>
      </c>
      <c r="C899" s="129" t="s">
        <v>18722</v>
      </c>
      <c r="D899" s="130">
        <v>0</v>
      </c>
      <c r="E899" s="136" t="s">
        <v>189</v>
      </c>
      <c r="F899" s="132">
        <v>0</v>
      </c>
      <c r="G899" s="133">
        <f>Tabla147[[#This Row],[Importe]]-Tabla147[[#This Row],[Pagado]]</f>
        <v>0</v>
      </c>
      <c r="H899" s="137" t="s">
        <v>18723</v>
      </c>
      <c r="I899" s="135"/>
    </row>
    <row r="900" spans="1:9" ht="21.75" customHeight="1" x14ac:dyDescent="0.25">
      <c r="A900" s="127">
        <v>44720</v>
      </c>
      <c r="B900" s="128" t="s">
        <v>18724</v>
      </c>
      <c r="C900" s="129" t="s">
        <v>402</v>
      </c>
      <c r="D900" s="130">
        <v>16665.400000000001</v>
      </c>
      <c r="E900" s="131">
        <v>44729</v>
      </c>
      <c r="F900" s="132">
        <v>16665.400000000001</v>
      </c>
      <c r="G900" s="133">
        <f>Tabla147[[#This Row],[Importe]]-Tabla147[[#This Row],[Pagado]]</f>
        <v>0</v>
      </c>
      <c r="H900" s="134" t="s">
        <v>10</v>
      </c>
      <c r="I900" s="135"/>
    </row>
    <row r="901" spans="1:9" ht="21.75" customHeight="1" x14ac:dyDescent="0.25">
      <c r="A901" s="127">
        <v>44721</v>
      </c>
      <c r="B901" s="128" t="s">
        <v>18725</v>
      </c>
      <c r="C901" s="129" t="s">
        <v>20</v>
      </c>
      <c r="D901" s="130">
        <v>1360.1</v>
      </c>
      <c r="E901" s="131">
        <v>44721</v>
      </c>
      <c r="F901" s="132">
        <v>1360.1</v>
      </c>
      <c r="G901" s="133">
        <f>Tabla147[[#This Row],[Importe]]-Tabla147[[#This Row],[Pagado]]</f>
        <v>0</v>
      </c>
      <c r="H901" s="134" t="s">
        <v>10</v>
      </c>
      <c r="I901" s="135"/>
    </row>
    <row r="902" spans="1:9" ht="21.75" customHeight="1" x14ac:dyDescent="0.25">
      <c r="A902" s="127">
        <v>44721</v>
      </c>
      <c r="B902" s="128" t="s">
        <v>18726</v>
      </c>
      <c r="C902" s="129" t="s">
        <v>79</v>
      </c>
      <c r="D902" s="130">
        <v>13909.6</v>
      </c>
      <c r="E902" s="131">
        <v>44721</v>
      </c>
      <c r="F902" s="132">
        <v>13909.6</v>
      </c>
      <c r="G902" s="133">
        <f>Tabla147[[#This Row],[Importe]]-Tabla147[[#This Row],[Pagado]]</f>
        <v>0</v>
      </c>
      <c r="H902" s="134" t="s">
        <v>10</v>
      </c>
      <c r="I902" s="135"/>
    </row>
    <row r="903" spans="1:9" ht="21.75" customHeight="1" x14ac:dyDescent="0.25">
      <c r="A903" s="127">
        <v>44721</v>
      </c>
      <c r="B903" s="128" t="s">
        <v>18727</v>
      </c>
      <c r="C903" s="129" t="s">
        <v>475</v>
      </c>
      <c r="D903" s="130">
        <v>75852</v>
      </c>
      <c r="E903" s="131">
        <v>44722</v>
      </c>
      <c r="F903" s="132">
        <v>75852</v>
      </c>
      <c r="G903" s="133">
        <f>Tabla147[[#This Row],[Importe]]-Tabla147[[#This Row],[Pagado]]</f>
        <v>0</v>
      </c>
      <c r="H903" s="134" t="s">
        <v>10</v>
      </c>
      <c r="I903" s="135"/>
    </row>
    <row r="904" spans="1:9" ht="21.75" customHeight="1" x14ac:dyDescent="0.25">
      <c r="A904" s="127">
        <v>44721</v>
      </c>
      <c r="B904" s="128" t="s">
        <v>18728</v>
      </c>
      <c r="C904" s="129" t="s">
        <v>22</v>
      </c>
      <c r="D904" s="130">
        <v>49105.5</v>
      </c>
      <c r="E904" s="131">
        <v>44723</v>
      </c>
      <c r="F904" s="132">
        <v>49105.5</v>
      </c>
      <c r="G904" s="133">
        <f>Tabla147[[#This Row],[Importe]]-Tabla147[[#This Row],[Pagado]]</f>
        <v>0</v>
      </c>
      <c r="H904" s="134" t="s">
        <v>10</v>
      </c>
      <c r="I904" s="135"/>
    </row>
    <row r="905" spans="1:9" ht="21.75" customHeight="1" x14ac:dyDescent="0.25">
      <c r="A905" s="127">
        <v>44721</v>
      </c>
      <c r="B905" s="128" t="s">
        <v>18729</v>
      </c>
      <c r="C905" s="129" t="s">
        <v>85</v>
      </c>
      <c r="D905" s="130">
        <v>1805.4</v>
      </c>
      <c r="E905" s="131">
        <v>44721</v>
      </c>
      <c r="F905" s="132">
        <v>1805.4</v>
      </c>
      <c r="G905" s="133">
        <f>Tabla147[[#This Row],[Importe]]-Tabla147[[#This Row],[Pagado]]</f>
        <v>0</v>
      </c>
      <c r="H905" s="134" t="s">
        <v>10</v>
      </c>
      <c r="I905" s="135"/>
    </row>
    <row r="906" spans="1:9" ht="21.75" customHeight="1" x14ac:dyDescent="0.25">
      <c r="A906" s="127">
        <v>44721</v>
      </c>
      <c r="B906" s="128" t="s">
        <v>18730</v>
      </c>
      <c r="C906" s="129" t="s">
        <v>89</v>
      </c>
      <c r="D906" s="130">
        <v>7011.6</v>
      </c>
      <c r="E906" s="131">
        <v>44722</v>
      </c>
      <c r="F906" s="132">
        <v>7011.6</v>
      </c>
      <c r="G906" s="133">
        <f>Tabla147[[#This Row],[Importe]]-Tabla147[[#This Row],[Pagado]]</f>
        <v>0</v>
      </c>
      <c r="H906" s="134" t="s">
        <v>10</v>
      </c>
      <c r="I906" s="135"/>
    </row>
    <row r="907" spans="1:9" ht="21.75" customHeight="1" x14ac:dyDescent="0.25">
      <c r="A907" s="127">
        <v>44721</v>
      </c>
      <c r="B907" s="128" t="s">
        <v>18731</v>
      </c>
      <c r="C907" s="129" t="s">
        <v>105</v>
      </c>
      <c r="D907" s="130">
        <v>6208</v>
      </c>
      <c r="E907" s="131">
        <v>44723</v>
      </c>
      <c r="F907" s="132">
        <v>6208</v>
      </c>
      <c r="G907" s="133">
        <f>Tabla147[[#This Row],[Importe]]-Tabla147[[#This Row],[Pagado]]</f>
        <v>0</v>
      </c>
      <c r="H907" s="134" t="s">
        <v>10</v>
      </c>
      <c r="I907" s="135"/>
    </row>
    <row r="908" spans="1:9" ht="21.75" customHeight="1" x14ac:dyDescent="0.25">
      <c r="A908" s="127">
        <v>44721</v>
      </c>
      <c r="B908" s="128" t="s">
        <v>18732</v>
      </c>
      <c r="C908" s="129" t="s">
        <v>97</v>
      </c>
      <c r="D908" s="130">
        <v>4790.8</v>
      </c>
      <c r="E908" s="131">
        <v>44722</v>
      </c>
      <c r="F908" s="132">
        <v>4790.8</v>
      </c>
      <c r="G908" s="133">
        <f>Tabla147[[#This Row],[Importe]]-Tabla147[[#This Row],[Pagado]]</f>
        <v>0</v>
      </c>
      <c r="H908" s="134" t="s">
        <v>10</v>
      </c>
      <c r="I908" s="135"/>
    </row>
    <row r="909" spans="1:9" ht="21.75" customHeight="1" x14ac:dyDescent="0.25">
      <c r="A909" s="127">
        <v>44721</v>
      </c>
      <c r="B909" s="128" t="s">
        <v>18733</v>
      </c>
      <c r="C909" s="129" t="s">
        <v>116</v>
      </c>
      <c r="D909" s="130">
        <v>4386</v>
      </c>
      <c r="E909" s="131">
        <v>44722</v>
      </c>
      <c r="F909" s="132">
        <v>4386</v>
      </c>
      <c r="G909" s="133">
        <f>Tabla147[[#This Row],[Importe]]-Tabla147[[#This Row],[Pagado]]</f>
        <v>0</v>
      </c>
      <c r="H909" s="134" t="s">
        <v>10</v>
      </c>
      <c r="I909" s="135"/>
    </row>
    <row r="910" spans="1:9" ht="21.75" customHeight="1" x14ac:dyDescent="0.25">
      <c r="A910" s="127">
        <v>44721</v>
      </c>
      <c r="B910" s="128" t="s">
        <v>18734</v>
      </c>
      <c r="C910" s="129" t="s">
        <v>95</v>
      </c>
      <c r="D910" s="130">
        <v>29304</v>
      </c>
      <c r="E910" s="131">
        <v>44721</v>
      </c>
      <c r="F910" s="132">
        <v>29304</v>
      </c>
      <c r="G910" s="133">
        <f>Tabla147[[#This Row],[Importe]]-Tabla147[[#This Row],[Pagado]]</f>
        <v>0</v>
      </c>
      <c r="H910" s="134" t="s">
        <v>10</v>
      </c>
      <c r="I910" s="135"/>
    </row>
    <row r="911" spans="1:9" ht="31.5" x14ac:dyDescent="0.25">
      <c r="A911" s="127">
        <v>44721</v>
      </c>
      <c r="B911" s="128" t="s">
        <v>18735</v>
      </c>
      <c r="C911" s="129" t="s">
        <v>39</v>
      </c>
      <c r="D911" s="130">
        <v>18780</v>
      </c>
      <c r="E911" s="131" t="s">
        <v>18736</v>
      </c>
      <c r="F911" s="132">
        <f>10000+8780</f>
        <v>18780</v>
      </c>
      <c r="G911" s="133">
        <f>Tabla147[[#This Row],[Importe]]-Tabla147[[#This Row],[Pagado]]</f>
        <v>0</v>
      </c>
      <c r="H911" s="134" t="s">
        <v>10</v>
      </c>
      <c r="I911" s="135"/>
    </row>
    <row r="912" spans="1:9" ht="21.75" customHeight="1" x14ac:dyDescent="0.25">
      <c r="A912" s="127">
        <v>44721</v>
      </c>
      <c r="B912" s="128" t="s">
        <v>18737</v>
      </c>
      <c r="C912" s="129" t="s">
        <v>93</v>
      </c>
      <c r="D912" s="130">
        <v>4750.2</v>
      </c>
      <c r="E912" s="131">
        <v>44722</v>
      </c>
      <c r="F912" s="132">
        <v>4750.2</v>
      </c>
      <c r="G912" s="133">
        <f>Tabla147[[#This Row],[Importe]]-Tabla147[[#This Row],[Pagado]]</f>
        <v>0</v>
      </c>
      <c r="H912" s="134" t="s">
        <v>10</v>
      </c>
      <c r="I912" s="135"/>
    </row>
    <row r="913" spans="1:9" ht="21.75" customHeight="1" x14ac:dyDescent="0.25">
      <c r="A913" s="127">
        <v>44721</v>
      </c>
      <c r="B913" s="128" t="s">
        <v>18738</v>
      </c>
      <c r="C913" s="129" t="s">
        <v>64</v>
      </c>
      <c r="D913" s="130">
        <v>4788</v>
      </c>
      <c r="E913" s="131">
        <v>44722</v>
      </c>
      <c r="F913" s="132">
        <v>4788</v>
      </c>
      <c r="G913" s="133">
        <f>Tabla147[[#This Row],[Importe]]-Tabla147[[#This Row],[Pagado]]</f>
        <v>0</v>
      </c>
      <c r="H913" s="134" t="s">
        <v>10</v>
      </c>
      <c r="I913" s="135"/>
    </row>
    <row r="914" spans="1:9" ht="21.75" customHeight="1" x14ac:dyDescent="0.25">
      <c r="A914" s="127">
        <v>44721</v>
      </c>
      <c r="B914" s="128" t="s">
        <v>18739</v>
      </c>
      <c r="C914" s="129" t="s">
        <v>114</v>
      </c>
      <c r="D914" s="130">
        <v>4738.6000000000004</v>
      </c>
      <c r="E914" s="131">
        <v>44722</v>
      </c>
      <c r="F914" s="132">
        <v>4738.6000000000004</v>
      </c>
      <c r="G914" s="133">
        <f>Tabla147[[#This Row],[Importe]]-Tabla147[[#This Row],[Pagado]]</f>
        <v>0</v>
      </c>
      <c r="H914" s="134" t="s">
        <v>10</v>
      </c>
      <c r="I914" s="135"/>
    </row>
    <row r="915" spans="1:9" ht="21.75" customHeight="1" x14ac:dyDescent="0.25">
      <c r="A915" s="127">
        <v>44721</v>
      </c>
      <c r="B915" s="128" t="s">
        <v>18740</v>
      </c>
      <c r="C915" s="129" t="s">
        <v>2151</v>
      </c>
      <c r="D915" s="130">
        <v>14906</v>
      </c>
      <c r="E915" s="131">
        <v>44721</v>
      </c>
      <c r="F915" s="132">
        <v>14906</v>
      </c>
      <c r="G915" s="133">
        <f>Tabla147[[#This Row],[Importe]]-Tabla147[[#This Row],[Pagado]]</f>
        <v>0</v>
      </c>
      <c r="H915" s="134" t="s">
        <v>10</v>
      </c>
      <c r="I915" s="135"/>
    </row>
    <row r="916" spans="1:9" ht="21.75" customHeight="1" x14ac:dyDescent="0.25">
      <c r="A916" s="127">
        <v>44721</v>
      </c>
      <c r="B916" s="128" t="s">
        <v>18741</v>
      </c>
      <c r="C916" s="129" t="s">
        <v>120</v>
      </c>
      <c r="D916" s="130">
        <v>4626</v>
      </c>
      <c r="E916" s="131">
        <v>44723</v>
      </c>
      <c r="F916" s="132">
        <v>4626</v>
      </c>
      <c r="G916" s="133">
        <f>Tabla147[[#This Row],[Importe]]-Tabla147[[#This Row],[Pagado]]</f>
        <v>0</v>
      </c>
      <c r="H916" s="134" t="s">
        <v>10</v>
      </c>
      <c r="I916" s="135"/>
    </row>
    <row r="917" spans="1:9" ht="21.75" customHeight="1" x14ac:dyDescent="0.25">
      <c r="A917" s="127">
        <v>44721</v>
      </c>
      <c r="B917" s="128" t="s">
        <v>18742</v>
      </c>
      <c r="C917" s="129" t="s">
        <v>326</v>
      </c>
      <c r="D917" s="130">
        <v>5130</v>
      </c>
      <c r="E917" s="131">
        <v>44722</v>
      </c>
      <c r="F917" s="132">
        <v>5130</v>
      </c>
      <c r="G917" s="133">
        <f>Tabla147[[#This Row],[Importe]]-Tabla147[[#This Row],[Pagado]]</f>
        <v>0</v>
      </c>
      <c r="H917" s="134" t="s">
        <v>10</v>
      </c>
      <c r="I917" s="135"/>
    </row>
    <row r="918" spans="1:9" ht="21.75" customHeight="1" x14ac:dyDescent="0.25">
      <c r="A918" s="127">
        <v>44721</v>
      </c>
      <c r="B918" s="128" t="s">
        <v>18743</v>
      </c>
      <c r="C918" s="129" t="s">
        <v>60</v>
      </c>
      <c r="D918" s="130">
        <v>4896</v>
      </c>
      <c r="E918" s="131">
        <v>44724</v>
      </c>
      <c r="F918" s="132">
        <v>4896</v>
      </c>
      <c r="G918" s="133">
        <f>Tabla147[[#This Row],[Importe]]-Tabla147[[#This Row],[Pagado]]</f>
        <v>0</v>
      </c>
      <c r="H918" s="134" t="s">
        <v>10</v>
      </c>
      <c r="I918" s="135"/>
    </row>
    <row r="919" spans="1:9" ht="21.75" customHeight="1" x14ac:dyDescent="0.25">
      <c r="A919" s="127">
        <v>44721</v>
      </c>
      <c r="B919" s="128" t="s">
        <v>18744</v>
      </c>
      <c r="C919" s="129" t="s">
        <v>473</v>
      </c>
      <c r="D919" s="130">
        <v>8892.2000000000007</v>
      </c>
      <c r="E919" s="131">
        <v>44721</v>
      </c>
      <c r="F919" s="132">
        <v>8892.2000000000007</v>
      </c>
      <c r="G919" s="133">
        <f>Tabla147[[#This Row],[Importe]]-Tabla147[[#This Row],[Pagado]]</f>
        <v>0</v>
      </c>
      <c r="H919" s="134" t="s">
        <v>10</v>
      </c>
      <c r="I919" s="135"/>
    </row>
    <row r="920" spans="1:9" ht="21.75" customHeight="1" x14ac:dyDescent="0.25">
      <c r="A920" s="127">
        <v>44721</v>
      </c>
      <c r="B920" s="128" t="s">
        <v>18745</v>
      </c>
      <c r="C920" s="129" t="s">
        <v>75</v>
      </c>
      <c r="D920" s="130">
        <v>5440</v>
      </c>
      <c r="E920" s="131">
        <v>44721</v>
      </c>
      <c r="F920" s="132">
        <v>5440</v>
      </c>
      <c r="G920" s="133">
        <f>Tabla147[[#This Row],[Importe]]-Tabla147[[#This Row],[Pagado]]</f>
        <v>0</v>
      </c>
      <c r="H920" s="134" t="s">
        <v>10</v>
      </c>
      <c r="I920" s="135"/>
    </row>
    <row r="921" spans="1:9" ht="21.75" customHeight="1" x14ac:dyDescent="0.25">
      <c r="A921" s="127">
        <v>44721</v>
      </c>
      <c r="B921" s="128" t="s">
        <v>18746</v>
      </c>
      <c r="C921" s="129" t="s">
        <v>31</v>
      </c>
      <c r="D921" s="130">
        <v>1183.2</v>
      </c>
      <c r="E921" s="131">
        <v>44721</v>
      </c>
      <c r="F921" s="132">
        <v>1183.2</v>
      </c>
      <c r="G921" s="133">
        <f>Tabla147[[#This Row],[Importe]]-Tabla147[[#This Row],[Pagado]]</f>
        <v>0</v>
      </c>
      <c r="H921" s="134" t="s">
        <v>10</v>
      </c>
      <c r="I921" s="135"/>
    </row>
    <row r="922" spans="1:9" ht="21.75" customHeight="1" x14ac:dyDescent="0.25">
      <c r="A922" s="127">
        <v>44721</v>
      </c>
      <c r="B922" s="128" t="s">
        <v>18747</v>
      </c>
      <c r="C922" s="129" t="s">
        <v>703</v>
      </c>
      <c r="D922" s="130">
        <v>4304.3999999999996</v>
      </c>
      <c r="E922" s="131">
        <v>44721</v>
      </c>
      <c r="F922" s="132">
        <v>4304.3999999999996</v>
      </c>
      <c r="G922" s="133">
        <f>Tabla147[[#This Row],[Importe]]-Tabla147[[#This Row],[Pagado]]</f>
        <v>0</v>
      </c>
      <c r="H922" s="134" t="s">
        <v>10</v>
      </c>
      <c r="I922" s="135"/>
    </row>
    <row r="923" spans="1:9" ht="21.75" customHeight="1" x14ac:dyDescent="0.25">
      <c r="A923" s="127">
        <v>44721</v>
      </c>
      <c r="B923" s="128" t="s">
        <v>18748</v>
      </c>
      <c r="C923" s="129" t="s">
        <v>151</v>
      </c>
      <c r="D923" s="130">
        <v>21783.599999999999</v>
      </c>
      <c r="E923" s="131">
        <v>44721</v>
      </c>
      <c r="F923" s="132">
        <v>21783.599999999999</v>
      </c>
      <c r="G923" s="133">
        <f>Tabla147[[#This Row],[Importe]]-Tabla147[[#This Row],[Pagado]]</f>
        <v>0</v>
      </c>
      <c r="H923" s="134" t="s">
        <v>10</v>
      </c>
      <c r="I923" s="135"/>
    </row>
    <row r="924" spans="1:9" ht="21.75" customHeight="1" x14ac:dyDescent="0.25">
      <c r="A924" s="127">
        <v>44721</v>
      </c>
      <c r="B924" s="128" t="s">
        <v>18749</v>
      </c>
      <c r="C924" s="129" t="s">
        <v>140</v>
      </c>
      <c r="D924" s="130">
        <v>5763</v>
      </c>
      <c r="E924" s="131">
        <v>44721</v>
      </c>
      <c r="F924" s="132">
        <v>5763</v>
      </c>
      <c r="G924" s="133">
        <f>Tabla147[[#This Row],[Importe]]-Tabla147[[#This Row],[Pagado]]</f>
        <v>0</v>
      </c>
      <c r="H924" s="134" t="s">
        <v>10</v>
      </c>
      <c r="I924" s="135"/>
    </row>
    <row r="925" spans="1:9" ht="21.75" customHeight="1" x14ac:dyDescent="0.25">
      <c r="A925" s="127">
        <v>44721</v>
      </c>
      <c r="B925" s="128" t="s">
        <v>18750</v>
      </c>
      <c r="C925" s="129" t="s">
        <v>275</v>
      </c>
      <c r="D925" s="130">
        <v>30063.54</v>
      </c>
      <c r="E925" s="131">
        <v>44729</v>
      </c>
      <c r="F925" s="132">
        <v>30063.54</v>
      </c>
      <c r="G925" s="133">
        <f>Tabla147[[#This Row],[Importe]]-Tabla147[[#This Row],[Pagado]]</f>
        <v>0</v>
      </c>
      <c r="H925" s="134" t="s">
        <v>10</v>
      </c>
      <c r="I925" s="135"/>
    </row>
    <row r="926" spans="1:9" ht="21.75" customHeight="1" x14ac:dyDescent="0.25">
      <c r="A926" s="127">
        <v>44721</v>
      </c>
      <c r="B926" s="128" t="s">
        <v>18751</v>
      </c>
      <c r="C926" s="129" t="s">
        <v>129</v>
      </c>
      <c r="D926" s="130">
        <v>1334.8</v>
      </c>
      <c r="E926" s="131">
        <v>44721</v>
      </c>
      <c r="F926" s="132">
        <v>1334.8</v>
      </c>
      <c r="G926" s="133">
        <f>Tabla147[[#This Row],[Importe]]-Tabla147[[#This Row],[Pagado]]</f>
        <v>0</v>
      </c>
      <c r="H926" s="134" t="s">
        <v>10</v>
      </c>
      <c r="I926" s="135"/>
    </row>
    <row r="927" spans="1:9" ht="21.75" customHeight="1" x14ac:dyDescent="0.25">
      <c r="A927" s="127">
        <v>44721</v>
      </c>
      <c r="B927" s="128" t="s">
        <v>18752</v>
      </c>
      <c r="C927" s="129" t="s">
        <v>127</v>
      </c>
      <c r="D927" s="130">
        <v>4550</v>
      </c>
      <c r="E927" s="131">
        <v>44721</v>
      </c>
      <c r="F927" s="132">
        <v>4550</v>
      </c>
      <c r="G927" s="133">
        <f>Tabla147[[#This Row],[Importe]]-Tabla147[[#This Row],[Pagado]]</f>
        <v>0</v>
      </c>
      <c r="H927" s="134" t="s">
        <v>10</v>
      </c>
      <c r="I927" s="135"/>
    </row>
    <row r="928" spans="1:9" ht="21.75" customHeight="1" x14ac:dyDescent="0.25">
      <c r="A928" s="127">
        <v>44721</v>
      </c>
      <c r="B928" s="128" t="s">
        <v>18753</v>
      </c>
      <c r="C928" s="129" t="s">
        <v>357</v>
      </c>
      <c r="D928" s="130">
        <v>4389</v>
      </c>
      <c r="E928" s="131">
        <v>44721</v>
      </c>
      <c r="F928" s="132">
        <v>4389</v>
      </c>
      <c r="G928" s="133">
        <f>Tabla147[[#This Row],[Importe]]-Tabla147[[#This Row],[Pagado]]</f>
        <v>0</v>
      </c>
      <c r="H928" s="134" t="s">
        <v>10</v>
      </c>
      <c r="I928" s="135"/>
    </row>
    <row r="929" spans="1:9" ht="21.75" customHeight="1" x14ac:dyDescent="0.25">
      <c r="A929" s="127">
        <v>44721</v>
      </c>
      <c r="B929" s="128" t="s">
        <v>18754</v>
      </c>
      <c r="C929" s="129" t="s">
        <v>11033</v>
      </c>
      <c r="D929" s="130">
        <v>3564</v>
      </c>
      <c r="E929" s="131">
        <v>44721</v>
      </c>
      <c r="F929" s="132">
        <v>3564</v>
      </c>
      <c r="G929" s="133">
        <f>Tabla147[[#This Row],[Importe]]-Tabla147[[#This Row],[Pagado]]</f>
        <v>0</v>
      </c>
      <c r="H929" s="134" t="s">
        <v>10</v>
      </c>
      <c r="I929" s="135"/>
    </row>
    <row r="930" spans="1:9" ht="21.75" customHeight="1" x14ac:dyDescent="0.25">
      <c r="A930" s="127">
        <v>44721</v>
      </c>
      <c r="B930" s="128" t="s">
        <v>18755</v>
      </c>
      <c r="C930" s="129" t="s">
        <v>518</v>
      </c>
      <c r="D930" s="130">
        <v>1718.2</v>
      </c>
      <c r="E930" s="131">
        <v>44721</v>
      </c>
      <c r="F930" s="132">
        <v>1718.2</v>
      </c>
      <c r="G930" s="133">
        <f>Tabla147[[#This Row],[Importe]]-Tabla147[[#This Row],[Pagado]]</f>
        <v>0</v>
      </c>
      <c r="H930" s="134" t="s">
        <v>10</v>
      </c>
      <c r="I930" s="135"/>
    </row>
    <row r="931" spans="1:9" ht="21.75" customHeight="1" x14ac:dyDescent="0.25">
      <c r="A931" s="127">
        <v>44721</v>
      </c>
      <c r="B931" s="128" t="s">
        <v>18756</v>
      </c>
      <c r="C931" s="129" t="s">
        <v>144</v>
      </c>
      <c r="D931" s="130">
        <v>2300</v>
      </c>
      <c r="E931" s="131">
        <v>44721</v>
      </c>
      <c r="F931" s="132">
        <v>2300</v>
      </c>
      <c r="G931" s="133">
        <f>Tabla147[[#This Row],[Importe]]-Tabla147[[#This Row],[Pagado]]</f>
        <v>0</v>
      </c>
      <c r="H931" s="134" t="s">
        <v>10</v>
      </c>
      <c r="I931" s="135"/>
    </row>
    <row r="932" spans="1:9" ht="21.75" customHeight="1" x14ac:dyDescent="0.25">
      <c r="A932" s="127">
        <v>44721</v>
      </c>
      <c r="B932" s="128" t="s">
        <v>18757</v>
      </c>
      <c r="C932" s="129" t="s">
        <v>319</v>
      </c>
      <c r="D932" s="130">
        <v>3661</v>
      </c>
      <c r="E932" s="131">
        <v>44721</v>
      </c>
      <c r="F932" s="132">
        <v>3661</v>
      </c>
      <c r="G932" s="133">
        <f>Tabla147[[#This Row],[Importe]]-Tabla147[[#This Row],[Pagado]]</f>
        <v>0</v>
      </c>
      <c r="H932" s="134" t="s">
        <v>10</v>
      </c>
      <c r="I932" s="135"/>
    </row>
    <row r="933" spans="1:9" ht="21.75" customHeight="1" x14ac:dyDescent="0.25">
      <c r="A933" s="127">
        <v>44721</v>
      </c>
      <c r="B933" s="128" t="s">
        <v>18758</v>
      </c>
      <c r="C933" s="129" t="s">
        <v>520</v>
      </c>
      <c r="D933" s="130">
        <v>5161.2</v>
      </c>
      <c r="E933" s="131">
        <v>44721</v>
      </c>
      <c r="F933" s="132">
        <v>5161.2</v>
      </c>
      <c r="G933" s="133">
        <f>Tabla147[[#This Row],[Importe]]-Tabla147[[#This Row],[Pagado]]</f>
        <v>0</v>
      </c>
      <c r="H933" s="134" t="s">
        <v>10</v>
      </c>
      <c r="I933" s="135"/>
    </row>
    <row r="934" spans="1:9" ht="21.75" customHeight="1" x14ac:dyDescent="0.25">
      <c r="A934" s="127">
        <v>44721</v>
      </c>
      <c r="B934" s="128" t="s">
        <v>18759</v>
      </c>
      <c r="C934" s="129" t="s">
        <v>157</v>
      </c>
      <c r="D934" s="130">
        <v>6087.3</v>
      </c>
      <c r="E934" s="131">
        <v>44721</v>
      </c>
      <c r="F934" s="132">
        <v>6087.3</v>
      </c>
      <c r="G934" s="133">
        <f>Tabla147[[#This Row],[Importe]]-Tabla147[[#This Row],[Pagado]]</f>
        <v>0</v>
      </c>
      <c r="H934" s="134" t="s">
        <v>10</v>
      </c>
      <c r="I934" s="135"/>
    </row>
    <row r="935" spans="1:9" ht="21.75" customHeight="1" x14ac:dyDescent="0.25">
      <c r="A935" s="127">
        <v>44721</v>
      </c>
      <c r="B935" s="128" t="s">
        <v>18760</v>
      </c>
      <c r="C935" s="129" t="s">
        <v>151</v>
      </c>
      <c r="D935" s="130">
        <v>1825.08</v>
      </c>
      <c r="E935" s="131">
        <v>44721</v>
      </c>
      <c r="F935" s="132">
        <v>1825.08</v>
      </c>
      <c r="G935" s="133">
        <f>Tabla147[[#This Row],[Importe]]-Tabla147[[#This Row],[Pagado]]</f>
        <v>0</v>
      </c>
      <c r="H935" s="134" t="s">
        <v>10</v>
      </c>
      <c r="I935" s="135"/>
    </row>
    <row r="936" spans="1:9" ht="21.75" customHeight="1" x14ac:dyDescent="0.25">
      <c r="A936" s="127">
        <v>44721</v>
      </c>
      <c r="B936" s="128" t="s">
        <v>18761</v>
      </c>
      <c r="C936" s="129" t="s">
        <v>146</v>
      </c>
      <c r="D936" s="130">
        <v>5653.6</v>
      </c>
      <c r="E936" s="131">
        <v>44721</v>
      </c>
      <c r="F936" s="132">
        <v>5653.6</v>
      </c>
      <c r="G936" s="133">
        <f>Tabla147[[#This Row],[Importe]]-Tabla147[[#This Row],[Pagado]]</f>
        <v>0</v>
      </c>
      <c r="H936" s="134" t="s">
        <v>10</v>
      </c>
      <c r="I936" s="135"/>
    </row>
    <row r="937" spans="1:9" ht="21.75" customHeight="1" x14ac:dyDescent="0.25">
      <c r="A937" s="127">
        <v>44721</v>
      </c>
      <c r="B937" s="128" t="s">
        <v>18762</v>
      </c>
      <c r="C937" s="129" t="s">
        <v>49</v>
      </c>
      <c r="D937" s="130">
        <v>4557.5</v>
      </c>
      <c r="E937" s="131">
        <v>44721</v>
      </c>
      <c r="F937" s="132">
        <v>4557.5</v>
      </c>
      <c r="G937" s="133">
        <f>Tabla147[[#This Row],[Importe]]-Tabla147[[#This Row],[Pagado]]</f>
        <v>0</v>
      </c>
      <c r="H937" s="134" t="s">
        <v>10</v>
      </c>
      <c r="I937" s="135"/>
    </row>
    <row r="938" spans="1:9" ht="21.75" customHeight="1" x14ac:dyDescent="0.25">
      <c r="A938" s="127">
        <v>44721</v>
      </c>
      <c r="B938" s="128" t="s">
        <v>18763</v>
      </c>
      <c r="C938" s="129" t="s">
        <v>520</v>
      </c>
      <c r="D938" s="130">
        <v>6750</v>
      </c>
      <c r="E938" s="131">
        <v>44721</v>
      </c>
      <c r="F938" s="132">
        <v>6750</v>
      </c>
      <c r="G938" s="133">
        <f>Tabla147[[#This Row],[Importe]]-Tabla147[[#This Row],[Pagado]]</f>
        <v>0</v>
      </c>
      <c r="H938" s="134" t="s">
        <v>10</v>
      </c>
      <c r="I938" s="135"/>
    </row>
    <row r="939" spans="1:9" ht="21.75" customHeight="1" x14ac:dyDescent="0.25">
      <c r="A939" s="127">
        <v>44721</v>
      </c>
      <c r="B939" s="128" t="s">
        <v>18764</v>
      </c>
      <c r="C939" s="129" t="s">
        <v>226</v>
      </c>
      <c r="D939" s="130">
        <v>9282</v>
      </c>
      <c r="E939" s="131">
        <v>44721</v>
      </c>
      <c r="F939" s="132">
        <v>9282</v>
      </c>
      <c r="G939" s="133">
        <f>Tabla147[[#This Row],[Importe]]-Tabla147[[#This Row],[Pagado]]</f>
        <v>0</v>
      </c>
      <c r="H939" s="134" t="s">
        <v>10</v>
      </c>
      <c r="I939" s="135"/>
    </row>
    <row r="940" spans="1:9" ht="21.75" customHeight="1" x14ac:dyDescent="0.25">
      <c r="A940" s="127">
        <v>44721</v>
      </c>
      <c r="B940" s="128" t="s">
        <v>18765</v>
      </c>
      <c r="C940" s="129" t="s">
        <v>214</v>
      </c>
      <c r="D940" s="130">
        <v>8562.7000000000007</v>
      </c>
      <c r="E940" s="131">
        <v>44721</v>
      </c>
      <c r="F940" s="132">
        <v>8562.7000000000007</v>
      </c>
      <c r="G940" s="133">
        <f>Tabla147[[#This Row],[Importe]]-Tabla147[[#This Row],[Pagado]]</f>
        <v>0</v>
      </c>
      <c r="H940" s="134" t="s">
        <v>10</v>
      </c>
      <c r="I940" s="135"/>
    </row>
    <row r="941" spans="1:9" ht="21.75" customHeight="1" x14ac:dyDescent="0.25">
      <c r="A941" s="127">
        <v>44721</v>
      </c>
      <c r="B941" s="128" t="s">
        <v>18766</v>
      </c>
      <c r="C941" s="129" t="s">
        <v>159</v>
      </c>
      <c r="D941" s="130">
        <v>2224.8000000000002</v>
      </c>
      <c r="E941" s="131">
        <v>44721</v>
      </c>
      <c r="F941" s="132">
        <v>2224.8000000000002</v>
      </c>
      <c r="G941" s="133">
        <f>Tabla147[[#This Row],[Importe]]-Tabla147[[#This Row],[Pagado]]</f>
        <v>0</v>
      </c>
      <c r="H941" s="134" t="s">
        <v>10</v>
      </c>
      <c r="I941" s="135"/>
    </row>
    <row r="942" spans="1:9" ht="21.75" customHeight="1" x14ac:dyDescent="0.25">
      <c r="A942" s="127">
        <v>44721</v>
      </c>
      <c r="B942" s="128" t="s">
        <v>18767</v>
      </c>
      <c r="C942" s="129" t="s">
        <v>618</v>
      </c>
      <c r="D942" s="130">
        <v>11630.5</v>
      </c>
      <c r="E942" s="131">
        <v>44721</v>
      </c>
      <c r="F942" s="132">
        <v>11630.5</v>
      </c>
      <c r="G942" s="133">
        <f>Tabla147[[#This Row],[Importe]]-Tabla147[[#This Row],[Pagado]]</f>
        <v>0</v>
      </c>
      <c r="H942" s="134" t="s">
        <v>10</v>
      </c>
      <c r="I942" s="135"/>
    </row>
    <row r="943" spans="1:9" ht="21.75" customHeight="1" x14ac:dyDescent="0.25">
      <c r="A943" s="127">
        <v>44721</v>
      </c>
      <c r="B943" s="128" t="s">
        <v>18768</v>
      </c>
      <c r="C943" s="129" t="s">
        <v>45</v>
      </c>
      <c r="D943" s="130">
        <v>14031.9</v>
      </c>
      <c r="E943" s="131">
        <v>44721</v>
      </c>
      <c r="F943" s="132">
        <v>14031.9</v>
      </c>
      <c r="G943" s="133">
        <f>Tabla147[[#This Row],[Importe]]-Tabla147[[#This Row],[Pagado]]</f>
        <v>0</v>
      </c>
      <c r="H943" s="134" t="s">
        <v>10</v>
      </c>
      <c r="I943" s="135"/>
    </row>
    <row r="944" spans="1:9" ht="21.75" customHeight="1" x14ac:dyDescent="0.25">
      <c r="A944" s="127">
        <v>44721</v>
      </c>
      <c r="B944" s="128" t="s">
        <v>18769</v>
      </c>
      <c r="C944" s="129" t="s">
        <v>107</v>
      </c>
      <c r="D944" s="130">
        <v>10131.5</v>
      </c>
      <c r="E944" s="131">
        <v>44721</v>
      </c>
      <c r="F944" s="132">
        <v>10131.5</v>
      </c>
      <c r="G944" s="133">
        <f>Tabla147[[#This Row],[Importe]]-Tabla147[[#This Row],[Pagado]]</f>
        <v>0</v>
      </c>
      <c r="H944" s="134" t="s">
        <v>10</v>
      </c>
      <c r="I944" s="135"/>
    </row>
    <row r="945" spans="1:9" ht="21.75" customHeight="1" x14ac:dyDescent="0.25">
      <c r="A945" s="127">
        <v>44721</v>
      </c>
      <c r="B945" s="128" t="s">
        <v>18770</v>
      </c>
      <c r="C945" s="129" t="s">
        <v>87</v>
      </c>
      <c r="D945" s="130">
        <v>2008.8</v>
      </c>
      <c r="E945" s="131">
        <v>44721</v>
      </c>
      <c r="F945" s="132">
        <v>2008.8</v>
      </c>
      <c r="G945" s="133">
        <f>Tabla147[[#This Row],[Importe]]-Tabla147[[#This Row],[Pagado]]</f>
        <v>0</v>
      </c>
      <c r="H945" s="134" t="s">
        <v>10</v>
      </c>
      <c r="I945" s="135"/>
    </row>
    <row r="946" spans="1:9" ht="21.75" customHeight="1" x14ac:dyDescent="0.25">
      <c r="A946" s="127">
        <v>44721</v>
      </c>
      <c r="B946" s="128" t="s">
        <v>18771</v>
      </c>
      <c r="C946" s="129" t="s">
        <v>647</v>
      </c>
      <c r="D946" s="130">
        <v>2260</v>
      </c>
      <c r="E946" s="131">
        <v>44721</v>
      </c>
      <c r="F946" s="132">
        <v>2260</v>
      </c>
      <c r="G946" s="133">
        <f>Tabla147[[#This Row],[Importe]]-Tabla147[[#This Row],[Pagado]]</f>
        <v>0</v>
      </c>
      <c r="H946" s="134" t="s">
        <v>10</v>
      </c>
      <c r="I946" s="135"/>
    </row>
    <row r="947" spans="1:9" ht="21.75" customHeight="1" x14ac:dyDescent="0.25">
      <c r="A947" s="127">
        <v>44721</v>
      </c>
      <c r="B947" s="128" t="s">
        <v>18772</v>
      </c>
      <c r="C947" s="129" t="s">
        <v>53</v>
      </c>
      <c r="D947" s="130">
        <v>1708</v>
      </c>
      <c r="E947" s="131">
        <v>44721</v>
      </c>
      <c r="F947" s="132">
        <v>1708</v>
      </c>
      <c r="G947" s="133">
        <f>Tabla147[[#This Row],[Importe]]-Tabla147[[#This Row],[Pagado]]</f>
        <v>0</v>
      </c>
      <c r="H947" s="134" t="s">
        <v>10</v>
      </c>
      <c r="I947" s="135"/>
    </row>
    <row r="948" spans="1:9" ht="21.75" customHeight="1" x14ac:dyDescent="0.25">
      <c r="A948" s="127">
        <v>44721</v>
      </c>
      <c r="B948" s="128" t="s">
        <v>18773</v>
      </c>
      <c r="C948" s="129" t="s">
        <v>312</v>
      </c>
      <c r="D948" s="130">
        <v>4756</v>
      </c>
      <c r="E948" s="131">
        <v>44721</v>
      </c>
      <c r="F948" s="132">
        <v>4756</v>
      </c>
      <c r="G948" s="133">
        <f>Tabla147[[#This Row],[Importe]]-Tabla147[[#This Row],[Pagado]]</f>
        <v>0</v>
      </c>
      <c r="H948" s="134" t="s">
        <v>10</v>
      </c>
      <c r="I948" s="135"/>
    </row>
    <row r="949" spans="1:9" ht="21.75" customHeight="1" x14ac:dyDescent="0.25">
      <c r="A949" s="127">
        <v>44721</v>
      </c>
      <c r="B949" s="128" t="s">
        <v>18774</v>
      </c>
      <c r="C949" s="129" t="s">
        <v>56</v>
      </c>
      <c r="D949" s="130">
        <v>7815.5</v>
      </c>
      <c r="E949" s="131">
        <v>44721</v>
      </c>
      <c r="F949" s="132">
        <v>7815.5</v>
      </c>
      <c r="G949" s="133">
        <f>Tabla147[[#This Row],[Importe]]-Tabla147[[#This Row],[Pagado]]</f>
        <v>0</v>
      </c>
      <c r="H949" s="134" t="s">
        <v>10</v>
      </c>
      <c r="I949" s="135"/>
    </row>
    <row r="950" spans="1:9" ht="21.75" customHeight="1" x14ac:dyDescent="0.25">
      <c r="A950" s="127">
        <v>44721</v>
      </c>
      <c r="B950" s="128" t="s">
        <v>18775</v>
      </c>
      <c r="C950" s="129" t="s">
        <v>426</v>
      </c>
      <c r="D950" s="130">
        <v>3663.6</v>
      </c>
      <c r="E950" s="131">
        <v>44721</v>
      </c>
      <c r="F950" s="132">
        <v>3663.6</v>
      </c>
      <c r="G950" s="133">
        <f>Tabla147[[#This Row],[Importe]]-Tabla147[[#This Row],[Pagado]]</f>
        <v>0</v>
      </c>
      <c r="H950" s="134" t="s">
        <v>10</v>
      </c>
      <c r="I950" s="135"/>
    </row>
    <row r="951" spans="1:9" ht="21.75" customHeight="1" x14ac:dyDescent="0.25">
      <c r="A951" s="127">
        <v>44721</v>
      </c>
      <c r="B951" s="128" t="s">
        <v>18776</v>
      </c>
      <c r="C951" s="129" t="s">
        <v>179</v>
      </c>
      <c r="D951" s="130">
        <v>1400</v>
      </c>
      <c r="E951" s="131">
        <v>44721</v>
      </c>
      <c r="F951" s="132">
        <v>1400</v>
      </c>
      <c r="G951" s="133">
        <f>Tabla147[[#This Row],[Importe]]-Tabla147[[#This Row],[Pagado]]</f>
        <v>0</v>
      </c>
      <c r="H951" s="134" t="s">
        <v>10</v>
      </c>
      <c r="I951" s="135"/>
    </row>
    <row r="952" spans="1:9" ht="21.75" customHeight="1" x14ac:dyDescent="0.25">
      <c r="A952" s="127">
        <v>44721</v>
      </c>
      <c r="B952" s="128" t="s">
        <v>18777</v>
      </c>
      <c r="C952" s="129" t="s">
        <v>426</v>
      </c>
      <c r="D952" s="130">
        <v>4046</v>
      </c>
      <c r="E952" s="131">
        <v>44721</v>
      </c>
      <c r="F952" s="132">
        <v>4046</v>
      </c>
      <c r="G952" s="133">
        <f>Tabla147[[#This Row],[Importe]]-Tabla147[[#This Row],[Pagado]]</f>
        <v>0</v>
      </c>
      <c r="H952" s="134" t="s">
        <v>10</v>
      </c>
      <c r="I952" s="135"/>
    </row>
    <row r="953" spans="1:9" ht="21.75" customHeight="1" x14ac:dyDescent="0.25">
      <c r="A953" s="127">
        <v>44721</v>
      </c>
      <c r="B953" s="128" t="s">
        <v>18778</v>
      </c>
      <c r="C953" s="129" t="s">
        <v>1481</v>
      </c>
      <c r="D953" s="130">
        <v>2286</v>
      </c>
      <c r="E953" s="131">
        <v>44721</v>
      </c>
      <c r="F953" s="132">
        <v>2286</v>
      </c>
      <c r="G953" s="133">
        <f>Tabla147[[#This Row],[Importe]]-Tabla147[[#This Row],[Pagado]]</f>
        <v>0</v>
      </c>
      <c r="H953" s="134" t="s">
        <v>10</v>
      </c>
      <c r="I953" s="135"/>
    </row>
    <row r="954" spans="1:9" ht="21.75" customHeight="1" x14ac:dyDescent="0.25">
      <c r="A954" s="127">
        <v>44721</v>
      </c>
      <c r="B954" s="128" t="s">
        <v>18779</v>
      </c>
      <c r="C954" s="129" t="s">
        <v>47</v>
      </c>
      <c r="D954" s="130">
        <v>49570.8</v>
      </c>
      <c r="E954" s="131">
        <v>44723</v>
      </c>
      <c r="F954" s="132">
        <v>49570.8</v>
      </c>
      <c r="G954" s="133">
        <f>Tabla147[[#This Row],[Importe]]-Tabla147[[#This Row],[Pagado]]</f>
        <v>0</v>
      </c>
      <c r="H954" s="134" t="s">
        <v>10</v>
      </c>
      <c r="I954" s="135"/>
    </row>
    <row r="955" spans="1:9" ht="21.75" customHeight="1" x14ac:dyDescent="0.25">
      <c r="A955" s="127">
        <v>44721</v>
      </c>
      <c r="B955" s="128" t="s">
        <v>18780</v>
      </c>
      <c r="C955" s="129" t="s">
        <v>37</v>
      </c>
      <c r="D955" s="130">
        <v>3783.3</v>
      </c>
      <c r="E955" s="131">
        <v>44721</v>
      </c>
      <c r="F955" s="132">
        <v>3783.3</v>
      </c>
      <c r="G955" s="133">
        <f>Tabla147[[#This Row],[Importe]]-Tabla147[[#This Row],[Pagado]]</f>
        <v>0</v>
      </c>
      <c r="H955" s="134" t="s">
        <v>10</v>
      </c>
      <c r="I955" s="135"/>
    </row>
    <row r="956" spans="1:9" ht="21.75" customHeight="1" x14ac:dyDescent="0.25">
      <c r="A956" s="127">
        <v>44721</v>
      </c>
      <c r="B956" s="128" t="s">
        <v>18781</v>
      </c>
      <c r="C956" s="129" t="s">
        <v>214</v>
      </c>
      <c r="D956" s="130">
        <v>1428</v>
      </c>
      <c r="E956" s="131">
        <v>44721</v>
      </c>
      <c r="F956" s="132">
        <v>1428</v>
      </c>
      <c r="G956" s="133">
        <f>Tabla147[[#This Row],[Importe]]-Tabla147[[#This Row],[Pagado]]</f>
        <v>0</v>
      </c>
      <c r="H956" s="134" t="s">
        <v>10</v>
      </c>
      <c r="I956" s="135"/>
    </row>
    <row r="957" spans="1:9" ht="21.75" customHeight="1" x14ac:dyDescent="0.25">
      <c r="A957" s="127">
        <v>44721</v>
      </c>
      <c r="B957" s="128" t="s">
        <v>18782</v>
      </c>
      <c r="C957" s="129" t="s">
        <v>191</v>
      </c>
      <c r="D957" s="130">
        <v>1600.2</v>
      </c>
      <c r="E957" s="131">
        <v>44721</v>
      </c>
      <c r="F957" s="132">
        <v>1600.2</v>
      </c>
      <c r="G957" s="133">
        <f>Tabla147[[#This Row],[Importe]]-Tabla147[[#This Row],[Pagado]]</f>
        <v>0</v>
      </c>
      <c r="H957" s="134" t="s">
        <v>10</v>
      </c>
      <c r="I957" s="135"/>
    </row>
    <row r="958" spans="1:9" ht="21.75" customHeight="1" x14ac:dyDescent="0.25">
      <c r="A958" s="127">
        <v>44721</v>
      </c>
      <c r="B958" s="128" t="s">
        <v>18783</v>
      </c>
      <c r="C958" s="129" t="s">
        <v>7444</v>
      </c>
      <c r="D958" s="130">
        <v>14106.6</v>
      </c>
      <c r="E958" s="131">
        <v>44728</v>
      </c>
      <c r="F958" s="132">
        <v>14106.6</v>
      </c>
      <c r="G958" s="133">
        <f>Tabla147[[#This Row],[Importe]]-Tabla147[[#This Row],[Pagado]]</f>
        <v>0</v>
      </c>
      <c r="H958" s="134" t="s">
        <v>10</v>
      </c>
      <c r="I958" s="135"/>
    </row>
    <row r="959" spans="1:9" ht="21.75" customHeight="1" x14ac:dyDescent="0.25">
      <c r="A959" s="127">
        <v>44721</v>
      </c>
      <c r="B959" s="128" t="s">
        <v>18784</v>
      </c>
      <c r="C959" s="129" t="s">
        <v>382</v>
      </c>
      <c r="D959" s="130">
        <v>8618</v>
      </c>
      <c r="E959" s="131">
        <v>44721</v>
      </c>
      <c r="F959" s="132">
        <v>8618</v>
      </c>
      <c r="G959" s="133">
        <f>Tabla147[[#This Row],[Importe]]-Tabla147[[#This Row],[Pagado]]</f>
        <v>0</v>
      </c>
      <c r="H959" s="134" t="s">
        <v>10</v>
      </c>
      <c r="I959" s="135"/>
    </row>
    <row r="960" spans="1:9" ht="21.75" customHeight="1" x14ac:dyDescent="0.25">
      <c r="A960" s="127">
        <v>44721</v>
      </c>
      <c r="B960" s="128" t="s">
        <v>18785</v>
      </c>
      <c r="C960" s="129" t="s">
        <v>45</v>
      </c>
      <c r="D960" s="130">
        <v>576.70000000000005</v>
      </c>
      <c r="E960" s="131">
        <v>44721</v>
      </c>
      <c r="F960" s="132">
        <v>576.70000000000005</v>
      </c>
      <c r="G960" s="133">
        <f>Tabla147[[#This Row],[Importe]]-Tabla147[[#This Row],[Pagado]]</f>
        <v>0</v>
      </c>
      <c r="H960" s="134" t="s">
        <v>10</v>
      </c>
      <c r="I960" s="135"/>
    </row>
    <row r="961" spans="1:9" ht="21.75" customHeight="1" x14ac:dyDescent="0.25">
      <c r="A961" s="127">
        <v>44721</v>
      </c>
      <c r="B961" s="128" t="s">
        <v>18786</v>
      </c>
      <c r="C961" s="129" t="s">
        <v>11383</v>
      </c>
      <c r="D961" s="130">
        <v>18704</v>
      </c>
      <c r="E961" s="131">
        <v>44721</v>
      </c>
      <c r="F961" s="132">
        <v>18704</v>
      </c>
      <c r="G961" s="133">
        <f>Tabla147[[#This Row],[Importe]]-Tabla147[[#This Row],[Pagado]]</f>
        <v>0</v>
      </c>
      <c r="H961" s="134" t="s">
        <v>10</v>
      </c>
      <c r="I961" s="135"/>
    </row>
    <row r="962" spans="1:9" ht="21.75" customHeight="1" x14ac:dyDescent="0.25">
      <c r="A962" s="127">
        <v>44721</v>
      </c>
      <c r="B962" s="128" t="s">
        <v>18787</v>
      </c>
      <c r="C962" s="129" t="s">
        <v>216</v>
      </c>
      <c r="D962" s="130">
        <v>2278</v>
      </c>
      <c r="E962" s="131">
        <v>44721</v>
      </c>
      <c r="F962" s="132">
        <v>2278</v>
      </c>
      <c r="G962" s="133">
        <f>Tabla147[[#This Row],[Importe]]-Tabla147[[#This Row],[Pagado]]</f>
        <v>0</v>
      </c>
      <c r="H962" s="134" t="s">
        <v>10</v>
      </c>
      <c r="I962" s="135"/>
    </row>
    <row r="963" spans="1:9" ht="21.75" customHeight="1" x14ac:dyDescent="0.25">
      <c r="A963" s="127">
        <v>44721</v>
      </c>
      <c r="B963" s="128" t="s">
        <v>18788</v>
      </c>
      <c r="C963" s="129" t="s">
        <v>29</v>
      </c>
      <c r="D963" s="130">
        <v>8051.2</v>
      </c>
      <c r="E963" s="131">
        <v>44721</v>
      </c>
      <c r="F963" s="132">
        <v>8051.2</v>
      </c>
      <c r="G963" s="133">
        <f>Tabla147[[#This Row],[Importe]]-Tabla147[[#This Row],[Pagado]]</f>
        <v>0</v>
      </c>
      <c r="H963" s="134" t="s">
        <v>10</v>
      </c>
      <c r="I963" s="135"/>
    </row>
    <row r="964" spans="1:9" ht="21.75" customHeight="1" x14ac:dyDescent="0.25">
      <c r="A964" s="127">
        <v>44721</v>
      </c>
      <c r="B964" s="128" t="s">
        <v>18789</v>
      </c>
      <c r="C964" s="129" t="s">
        <v>1064</v>
      </c>
      <c r="D964" s="130">
        <v>652.79999999999995</v>
      </c>
      <c r="E964" s="131">
        <v>44721</v>
      </c>
      <c r="F964" s="132">
        <v>652.79999999999995</v>
      </c>
      <c r="G964" s="133">
        <f>Tabla147[[#This Row],[Importe]]-Tabla147[[#This Row],[Pagado]]</f>
        <v>0</v>
      </c>
      <c r="H964" s="134" t="s">
        <v>10</v>
      </c>
      <c r="I964" s="135"/>
    </row>
    <row r="965" spans="1:9" ht="21.75" customHeight="1" x14ac:dyDescent="0.25">
      <c r="A965" s="127">
        <v>44721</v>
      </c>
      <c r="B965" s="128" t="s">
        <v>18790</v>
      </c>
      <c r="C965" s="129" t="s">
        <v>222</v>
      </c>
      <c r="D965" s="130">
        <v>10946.5</v>
      </c>
      <c r="E965" s="131">
        <v>44721</v>
      </c>
      <c r="F965" s="132">
        <v>10946.5</v>
      </c>
      <c r="G965" s="133">
        <f>Tabla147[[#This Row],[Importe]]-Tabla147[[#This Row],[Pagado]]</f>
        <v>0</v>
      </c>
      <c r="H965" s="134" t="s">
        <v>10</v>
      </c>
      <c r="I965" s="135"/>
    </row>
    <row r="966" spans="1:9" ht="21.75" customHeight="1" x14ac:dyDescent="0.25">
      <c r="A966" s="127">
        <v>44721</v>
      </c>
      <c r="B966" s="128" t="s">
        <v>18791</v>
      </c>
      <c r="C966" s="129" t="s">
        <v>24</v>
      </c>
      <c r="D966" s="130">
        <v>2392.6999999999998</v>
      </c>
      <c r="E966" s="131">
        <v>44721</v>
      </c>
      <c r="F966" s="132">
        <v>2392.6999999999998</v>
      </c>
      <c r="G966" s="133">
        <f>Tabla147[[#This Row],[Importe]]-Tabla147[[#This Row],[Pagado]]</f>
        <v>0</v>
      </c>
      <c r="H966" s="134" t="s">
        <v>10</v>
      </c>
      <c r="I966" s="135"/>
    </row>
    <row r="967" spans="1:9" ht="21.75" customHeight="1" x14ac:dyDescent="0.25">
      <c r="A967" s="127">
        <v>44721</v>
      </c>
      <c r="B967" s="128" t="s">
        <v>18792</v>
      </c>
      <c r="C967" s="129" t="s">
        <v>698</v>
      </c>
      <c r="D967" s="130">
        <v>7500.1</v>
      </c>
      <c r="E967" s="131">
        <v>44721</v>
      </c>
      <c r="F967" s="132">
        <v>7500.1</v>
      </c>
      <c r="G967" s="133">
        <f>Tabla147[[#This Row],[Importe]]-Tabla147[[#This Row],[Pagado]]</f>
        <v>0</v>
      </c>
      <c r="H967" s="134" t="s">
        <v>10</v>
      </c>
      <c r="I967" s="135"/>
    </row>
    <row r="968" spans="1:9" ht="21.75" customHeight="1" x14ac:dyDescent="0.25">
      <c r="A968" s="127">
        <v>44721</v>
      </c>
      <c r="B968" s="128" t="s">
        <v>18793</v>
      </c>
      <c r="C968" s="129" t="s">
        <v>414</v>
      </c>
      <c r="D968" s="130">
        <v>2.57</v>
      </c>
      <c r="E968" s="131">
        <v>44722</v>
      </c>
      <c r="F968" s="132">
        <v>2.57</v>
      </c>
      <c r="G968" s="133">
        <f>Tabla147[[#This Row],[Importe]]-Tabla147[[#This Row],[Pagado]]</f>
        <v>0</v>
      </c>
      <c r="H968" s="134" t="s">
        <v>10</v>
      </c>
      <c r="I968" s="135"/>
    </row>
    <row r="969" spans="1:9" ht="21.75" customHeight="1" x14ac:dyDescent="0.25">
      <c r="A969" s="127">
        <v>44721</v>
      </c>
      <c r="B969" s="128" t="s">
        <v>18794</v>
      </c>
      <c r="C969" s="129" t="s">
        <v>135</v>
      </c>
      <c r="D969" s="130">
        <v>1281.3</v>
      </c>
      <c r="E969" s="131">
        <v>44721</v>
      </c>
      <c r="F969" s="132">
        <v>1281.3</v>
      </c>
      <c r="G969" s="133">
        <f>Tabla147[[#This Row],[Importe]]-Tabla147[[#This Row],[Pagado]]</f>
        <v>0</v>
      </c>
      <c r="H969" s="134" t="s">
        <v>10</v>
      </c>
      <c r="I969" s="135"/>
    </row>
    <row r="970" spans="1:9" ht="21.75" customHeight="1" x14ac:dyDescent="0.25">
      <c r="A970" s="127">
        <v>44721</v>
      </c>
      <c r="B970" s="128" t="s">
        <v>18795</v>
      </c>
      <c r="C970" s="129" t="s">
        <v>62</v>
      </c>
      <c r="D970" s="130">
        <v>3471.9</v>
      </c>
      <c r="E970" s="131">
        <v>44721</v>
      </c>
      <c r="F970" s="132">
        <v>3471.9</v>
      </c>
      <c r="G970" s="133">
        <f>Tabla147[[#This Row],[Importe]]-Tabla147[[#This Row],[Pagado]]</f>
        <v>0</v>
      </c>
      <c r="H970" s="134" t="s">
        <v>10</v>
      </c>
      <c r="I970" s="135"/>
    </row>
    <row r="971" spans="1:9" ht="21.75" customHeight="1" x14ac:dyDescent="0.25">
      <c r="A971" s="127">
        <v>44721</v>
      </c>
      <c r="B971" s="128" t="s">
        <v>18796</v>
      </c>
      <c r="C971" s="129" t="s">
        <v>1239</v>
      </c>
      <c r="D971" s="130">
        <v>13758.8</v>
      </c>
      <c r="E971" s="131">
        <v>44721</v>
      </c>
      <c r="F971" s="132">
        <v>13758.8</v>
      </c>
      <c r="G971" s="133">
        <f>Tabla147[[#This Row],[Importe]]-Tabla147[[#This Row],[Pagado]]</f>
        <v>0</v>
      </c>
      <c r="H971" s="134" t="s">
        <v>10</v>
      </c>
      <c r="I971" s="135"/>
    </row>
    <row r="972" spans="1:9" ht="21.75" customHeight="1" x14ac:dyDescent="0.25">
      <c r="A972" s="127">
        <v>44721</v>
      </c>
      <c r="B972" s="128" t="s">
        <v>18797</v>
      </c>
      <c r="C972" s="129" t="s">
        <v>15039</v>
      </c>
      <c r="D972" s="130">
        <v>4333</v>
      </c>
      <c r="E972" s="131">
        <v>44721</v>
      </c>
      <c r="F972" s="132">
        <v>4333</v>
      </c>
      <c r="G972" s="133">
        <f>Tabla147[[#This Row],[Importe]]-Tabla147[[#This Row],[Pagado]]</f>
        <v>0</v>
      </c>
      <c r="H972" s="134" t="s">
        <v>10</v>
      </c>
      <c r="I972" s="135"/>
    </row>
    <row r="973" spans="1:9" ht="21.75" customHeight="1" x14ac:dyDescent="0.25">
      <c r="A973" s="127">
        <v>44721</v>
      </c>
      <c r="B973" s="128" t="s">
        <v>18798</v>
      </c>
      <c r="C973" s="129" t="s">
        <v>53</v>
      </c>
      <c r="D973" s="130">
        <v>1207</v>
      </c>
      <c r="E973" s="131">
        <v>44721</v>
      </c>
      <c r="F973" s="132">
        <v>1207</v>
      </c>
      <c r="G973" s="133">
        <f>Tabla147[[#This Row],[Importe]]-Tabla147[[#This Row],[Pagado]]</f>
        <v>0</v>
      </c>
      <c r="H973" s="134" t="s">
        <v>10</v>
      </c>
      <c r="I973" s="135"/>
    </row>
    <row r="974" spans="1:9" ht="21.75" customHeight="1" x14ac:dyDescent="0.25">
      <c r="A974" s="127">
        <v>44721</v>
      </c>
      <c r="B974" s="128" t="s">
        <v>18799</v>
      </c>
      <c r="C974" s="129" t="s">
        <v>670</v>
      </c>
      <c r="D974" s="130">
        <v>2052</v>
      </c>
      <c r="E974" s="131">
        <v>44721</v>
      </c>
      <c r="F974" s="132">
        <v>2052</v>
      </c>
      <c r="G974" s="133">
        <f>Tabla147[[#This Row],[Importe]]-Tabla147[[#This Row],[Pagado]]</f>
        <v>0</v>
      </c>
      <c r="H974" s="134" t="s">
        <v>10</v>
      </c>
      <c r="I974" s="135"/>
    </row>
    <row r="975" spans="1:9" ht="21.75" customHeight="1" x14ac:dyDescent="0.3">
      <c r="A975" s="127">
        <v>44721</v>
      </c>
      <c r="B975" s="128" t="s">
        <v>18800</v>
      </c>
      <c r="C975" s="129" t="s">
        <v>414</v>
      </c>
      <c r="D975" s="130">
        <v>15800.8</v>
      </c>
      <c r="E975" s="138">
        <v>44748</v>
      </c>
      <c r="F975" s="132">
        <v>15800.8</v>
      </c>
      <c r="G975" s="133">
        <f>Tabla147[[#This Row],[Importe]]-Tabla147[[#This Row],[Pagado]]</f>
        <v>0</v>
      </c>
      <c r="H975" s="134" t="s">
        <v>10</v>
      </c>
      <c r="I975" s="135"/>
    </row>
    <row r="976" spans="1:9" ht="21.75" customHeight="1" x14ac:dyDescent="0.25">
      <c r="A976" s="127">
        <v>44721</v>
      </c>
      <c r="B976" s="128" t="s">
        <v>18801</v>
      </c>
      <c r="C976" s="129" t="s">
        <v>365</v>
      </c>
      <c r="D976" s="130">
        <v>450.8</v>
      </c>
      <c r="E976" s="131">
        <v>44721</v>
      </c>
      <c r="F976" s="132">
        <v>450.8</v>
      </c>
      <c r="G976" s="133">
        <f>Tabla147[[#This Row],[Importe]]-Tabla147[[#This Row],[Pagado]]</f>
        <v>0</v>
      </c>
      <c r="H976" s="134" t="s">
        <v>10</v>
      </c>
      <c r="I976" s="135"/>
    </row>
    <row r="977" spans="1:9" ht="21.75" customHeight="1" x14ac:dyDescent="0.25">
      <c r="A977" s="127">
        <v>44721</v>
      </c>
      <c r="B977" s="128" t="s">
        <v>18802</v>
      </c>
      <c r="C977" s="129" t="s">
        <v>67</v>
      </c>
      <c r="D977" s="130">
        <v>2250.8000000000002</v>
      </c>
      <c r="E977" s="131">
        <v>44721</v>
      </c>
      <c r="F977" s="132">
        <v>2250.8000000000002</v>
      </c>
      <c r="G977" s="133">
        <f>Tabla147[[#This Row],[Importe]]-Tabla147[[#This Row],[Pagado]]</f>
        <v>0</v>
      </c>
      <c r="H977" s="134" t="s">
        <v>10</v>
      </c>
      <c r="I977" s="135"/>
    </row>
    <row r="978" spans="1:9" ht="21.75" customHeight="1" x14ac:dyDescent="0.25">
      <c r="A978" s="127">
        <v>44721</v>
      </c>
      <c r="B978" s="128" t="s">
        <v>18803</v>
      </c>
      <c r="C978" s="129" t="s">
        <v>419</v>
      </c>
      <c r="D978" s="130">
        <v>6067.7</v>
      </c>
      <c r="E978" s="131">
        <v>44721</v>
      </c>
      <c r="F978" s="132">
        <v>6067.7</v>
      </c>
      <c r="G978" s="133">
        <f>Tabla147[[#This Row],[Importe]]-Tabla147[[#This Row],[Pagado]]</f>
        <v>0</v>
      </c>
      <c r="H978" s="134" t="s">
        <v>10</v>
      </c>
      <c r="I978" s="135"/>
    </row>
    <row r="979" spans="1:9" ht="21.75" customHeight="1" x14ac:dyDescent="0.25">
      <c r="A979" s="127">
        <v>44721</v>
      </c>
      <c r="B979" s="128" t="s">
        <v>18804</v>
      </c>
      <c r="C979" s="129" t="s">
        <v>58</v>
      </c>
      <c r="D979" s="130">
        <v>3558.6</v>
      </c>
      <c r="E979" s="131">
        <v>44721</v>
      </c>
      <c r="F979" s="132">
        <v>3558.6</v>
      </c>
      <c r="G979" s="133">
        <f>Tabla147[[#This Row],[Importe]]-Tabla147[[#This Row],[Pagado]]</f>
        <v>0</v>
      </c>
      <c r="H979" s="134" t="s">
        <v>10</v>
      </c>
      <c r="I979" s="135"/>
    </row>
    <row r="980" spans="1:9" ht="21.75" customHeight="1" x14ac:dyDescent="0.25">
      <c r="A980" s="127">
        <v>44721</v>
      </c>
      <c r="B980" s="128" t="s">
        <v>18805</v>
      </c>
      <c r="C980" s="129" t="s">
        <v>31</v>
      </c>
      <c r="D980" s="130">
        <v>578</v>
      </c>
      <c r="E980" s="131">
        <v>44721</v>
      </c>
      <c r="F980" s="132">
        <v>578</v>
      </c>
      <c r="G980" s="133">
        <f>Tabla147[[#This Row],[Importe]]-Tabla147[[#This Row],[Pagado]]</f>
        <v>0</v>
      </c>
      <c r="H980" s="134" t="s">
        <v>10</v>
      </c>
      <c r="I980" s="135"/>
    </row>
    <row r="981" spans="1:9" ht="21.75" customHeight="1" x14ac:dyDescent="0.25">
      <c r="A981" s="127">
        <v>44721</v>
      </c>
      <c r="B981" s="128" t="s">
        <v>18806</v>
      </c>
      <c r="C981" s="129" t="s">
        <v>9827</v>
      </c>
      <c r="D981" s="130">
        <v>680</v>
      </c>
      <c r="E981" s="131">
        <v>44721</v>
      </c>
      <c r="F981" s="132">
        <v>680</v>
      </c>
      <c r="G981" s="133">
        <f>Tabla147[[#This Row],[Importe]]-Tabla147[[#This Row],[Pagado]]</f>
        <v>0</v>
      </c>
      <c r="H981" s="134" t="s">
        <v>10</v>
      </c>
      <c r="I981" s="135"/>
    </row>
    <row r="982" spans="1:9" ht="21.75" customHeight="1" x14ac:dyDescent="0.25">
      <c r="A982" s="127">
        <v>44721</v>
      </c>
      <c r="B982" s="128" t="s">
        <v>18807</v>
      </c>
      <c r="C982" s="129" t="s">
        <v>484</v>
      </c>
      <c r="D982" s="130">
        <v>5572.8</v>
      </c>
      <c r="E982" s="131">
        <v>44721</v>
      </c>
      <c r="F982" s="132">
        <v>5572.8</v>
      </c>
      <c r="G982" s="133">
        <f>Tabla147[[#This Row],[Importe]]-Tabla147[[#This Row],[Pagado]]</f>
        <v>0</v>
      </c>
      <c r="H982" s="134" t="s">
        <v>10</v>
      </c>
      <c r="I982" s="135"/>
    </row>
    <row r="983" spans="1:9" ht="21.75" customHeight="1" x14ac:dyDescent="0.25">
      <c r="A983" s="127">
        <v>44721</v>
      </c>
      <c r="B983" s="128" t="s">
        <v>18808</v>
      </c>
      <c r="C983" s="129" t="s">
        <v>484</v>
      </c>
      <c r="D983" s="130">
        <v>3675.6</v>
      </c>
      <c r="E983" s="131">
        <v>44721</v>
      </c>
      <c r="F983" s="132">
        <v>3675.6</v>
      </c>
      <c r="G983" s="133">
        <f>Tabla147[[#This Row],[Importe]]-Tabla147[[#This Row],[Pagado]]</f>
        <v>0</v>
      </c>
      <c r="H983" s="134" t="s">
        <v>10</v>
      </c>
      <c r="I983" s="135"/>
    </row>
    <row r="984" spans="1:9" ht="21.75" customHeight="1" x14ac:dyDescent="0.25">
      <c r="A984" s="127">
        <v>44721</v>
      </c>
      <c r="B984" s="128" t="s">
        <v>18809</v>
      </c>
      <c r="C984" s="129" t="s">
        <v>440</v>
      </c>
      <c r="D984" s="130">
        <v>14563.5</v>
      </c>
      <c r="E984" s="131">
        <v>44736</v>
      </c>
      <c r="F984" s="132">
        <v>14563.5</v>
      </c>
      <c r="G984" s="133">
        <f>Tabla147[[#This Row],[Importe]]-Tabla147[[#This Row],[Pagado]]</f>
        <v>0</v>
      </c>
      <c r="H984" s="134" t="s">
        <v>10</v>
      </c>
      <c r="I984" s="135"/>
    </row>
    <row r="985" spans="1:9" ht="21.75" customHeight="1" x14ac:dyDescent="0.25">
      <c r="A985" s="127">
        <v>44721</v>
      </c>
      <c r="B985" s="128" t="s">
        <v>18810</v>
      </c>
      <c r="C985" s="129" t="s">
        <v>296</v>
      </c>
      <c r="D985" s="130">
        <v>7576.4</v>
      </c>
      <c r="E985" s="131">
        <v>44721</v>
      </c>
      <c r="F985" s="132">
        <v>7576.4</v>
      </c>
      <c r="G985" s="133">
        <f>Tabla147[[#This Row],[Importe]]-Tabla147[[#This Row],[Pagado]]</f>
        <v>0</v>
      </c>
      <c r="H985" s="134" t="s">
        <v>10</v>
      </c>
      <c r="I985" s="135"/>
    </row>
    <row r="986" spans="1:9" ht="21.75" customHeight="1" x14ac:dyDescent="0.25">
      <c r="A986" s="127">
        <v>44721</v>
      </c>
      <c r="B986" s="128" t="s">
        <v>18811</v>
      </c>
      <c r="C986" s="129" t="s">
        <v>647</v>
      </c>
      <c r="D986" s="130">
        <v>2016.3</v>
      </c>
      <c r="E986" s="131">
        <v>44721</v>
      </c>
      <c r="F986" s="132">
        <v>2016.3</v>
      </c>
      <c r="G986" s="133">
        <f>Tabla147[[#This Row],[Importe]]-Tabla147[[#This Row],[Pagado]]</f>
        <v>0</v>
      </c>
      <c r="H986" s="134" t="s">
        <v>10</v>
      </c>
      <c r="I986" s="135"/>
    </row>
    <row r="987" spans="1:9" ht="21.75" customHeight="1" x14ac:dyDescent="0.25">
      <c r="A987" s="127">
        <v>44721</v>
      </c>
      <c r="B987" s="128" t="s">
        <v>18812</v>
      </c>
      <c r="C987" s="129" t="s">
        <v>647</v>
      </c>
      <c r="D987" s="130">
        <v>397.44</v>
      </c>
      <c r="E987" s="131">
        <v>44721</v>
      </c>
      <c r="F987" s="132">
        <v>397.44</v>
      </c>
      <c r="G987" s="133">
        <f>Tabla147[[#This Row],[Importe]]-Tabla147[[#This Row],[Pagado]]</f>
        <v>0</v>
      </c>
      <c r="H987" s="134" t="s">
        <v>10</v>
      </c>
      <c r="I987" s="135"/>
    </row>
    <row r="988" spans="1:9" ht="21.75" customHeight="1" x14ac:dyDescent="0.25">
      <c r="A988" s="127">
        <v>44721</v>
      </c>
      <c r="B988" s="128" t="s">
        <v>18813</v>
      </c>
      <c r="C988" s="129" t="s">
        <v>1558</v>
      </c>
      <c r="D988" s="130">
        <v>670</v>
      </c>
      <c r="E988" s="131">
        <v>44721</v>
      </c>
      <c r="F988" s="132">
        <v>670</v>
      </c>
      <c r="G988" s="133">
        <f>Tabla147[[#This Row],[Importe]]-Tabla147[[#This Row],[Pagado]]</f>
        <v>0</v>
      </c>
      <c r="H988" s="134" t="s">
        <v>10</v>
      </c>
      <c r="I988" s="135"/>
    </row>
    <row r="989" spans="1:9" ht="21.75" customHeight="1" x14ac:dyDescent="0.25">
      <c r="A989" s="127">
        <v>44721</v>
      </c>
      <c r="B989" s="128" t="s">
        <v>18814</v>
      </c>
      <c r="C989" s="129" t="s">
        <v>31</v>
      </c>
      <c r="D989" s="130">
        <v>497</v>
      </c>
      <c r="E989" s="131">
        <v>44721</v>
      </c>
      <c r="F989" s="132">
        <v>497</v>
      </c>
      <c r="G989" s="133">
        <f>Tabla147[[#This Row],[Importe]]-Tabla147[[#This Row],[Pagado]]</f>
        <v>0</v>
      </c>
      <c r="H989" s="134" t="s">
        <v>10</v>
      </c>
      <c r="I989" s="135"/>
    </row>
    <row r="990" spans="1:9" ht="21.75" customHeight="1" x14ac:dyDescent="0.25">
      <c r="A990" s="127">
        <v>44721</v>
      </c>
      <c r="B990" s="128" t="s">
        <v>18815</v>
      </c>
      <c r="C990" s="129" t="s">
        <v>409</v>
      </c>
      <c r="D990" s="130">
        <v>9545.4</v>
      </c>
      <c r="E990" s="131">
        <v>44723</v>
      </c>
      <c r="F990" s="132">
        <v>9545.4</v>
      </c>
      <c r="G990" s="133">
        <f>Tabla147[[#This Row],[Importe]]-Tabla147[[#This Row],[Pagado]]</f>
        <v>0</v>
      </c>
      <c r="H990" s="134" t="s">
        <v>10</v>
      </c>
      <c r="I990" s="135"/>
    </row>
    <row r="991" spans="1:9" ht="21.75" customHeight="1" x14ac:dyDescent="0.25">
      <c r="A991" s="127">
        <v>44721</v>
      </c>
      <c r="B991" s="128" t="s">
        <v>18816</v>
      </c>
      <c r="C991" s="129" t="s">
        <v>244</v>
      </c>
      <c r="D991" s="130">
        <v>511.2</v>
      </c>
      <c r="E991" s="131">
        <v>44721</v>
      </c>
      <c r="F991" s="132">
        <v>511.2</v>
      </c>
      <c r="G991" s="133">
        <f>Tabla147[[#This Row],[Importe]]-Tabla147[[#This Row],[Pagado]]</f>
        <v>0</v>
      </c>
      <c r="H991" s="134" t="s">
        <v>10</v>
      </c>
      <c r="I991" s="135"/>
    </row>
    <row r="992" spans="1:9" ht="21.75" customHeight="1" x14ac:dyDescent="0.25">
      <c r="A992" s="127">
        <v>44721</v>
      </c>
      <c r="B992" s="128" t="s">
        <v>18817</v>
      </c>
      <c r="C992" s="129" t="s">
        <v>18818</v>
      </c>
      <c r="D992" s="130">
        <v>8372</v>
      </c>
      <c r="E992" s="131">
        <v>44721</v>
      </c>
      <c r="F992" s="132">
        <v>8372</v>
      </c>
      <c r="G992" s="133">
        <f>Tabla147[[#This Row],[Importe]]-Tabla147[[#This Row],[Pagado]]</f>
        <v>0</v>
      </c>
      <c r="H992" s="134" t="s">
        <v>10</v>
      </c>
      <c r="I992" s="135"/>
    </row>
    <row r="993" spans="1:9" ht="21.75" customHeight="1" x14ac:dyDescent="0.25">
      <c r="A993" s="127">
        <v>44721</v>
      </c>
      <c r="B993" s="128" t="s">
        <v>18819</v>
      </c>
      <c r="C993" s="129" t="s">
        <v>442</v>
      </c>
      <c r="D993" s="130">
        <v>995</v>
      </c>
      <c r="E993" s="131">
        <v>44721</v>
      </c>
      <c r="F993" s="132">
        <v>995</v>
      </c>
      <c r="G993" s="133">
        <f>Tabla147[[#This Row],[Importe]]-Tabla147[[#This Row],[Pagado]]</f>
        <v>0</v>
      </c>
      <c r="H993" s="134" t="s">
        <v>10</v>
      </c>
      <c r="I993" s="135"/>
    </row>
    <row r="994" spans="1:9" ht="21.75" customHeight="1" x14ac:dyDescent="0.25">
      <c r="A994" s="127">
        <v>44721</v>
      </c>
      <c r="B994" s="128" t="s">
        <v>18820</v>
      </c>
      <c r="C994" s="129" t="s">
        <v>10819</v>
      </c>
      <c r="D994" s="130">
        <v>1060.8</v>
      </c>
      <c r="E994" s="131">
        <v>44722</v>
      </c>
      <c r="F994" s="132">
        <v>1060.8</v>
      </c>
      <c r="G994" s="133">
        <f>Tabla147[[#This Row],[Importe]]-Tabla147[[#This Row],[Pagado]]</f>
        <v>0</v>
      </c>
      <c r="H994" s="134" t="s">
        <v>10</v>
      </c>
      <c r="I994" s="135"/>
    </row>
    <row r="995" spans="1:9" ht="21.75" customHeight="1" x14ac:dyDescent="0.25">
      <c r="A995" s="127">
        <v>44721</v>
      </c>
      <c r="B995" s="128" t="s">
        <v>18821</v>
      </c>
      <c r="C995" s="129" t="s">
        <v>528</v>
      </c>
      <c r="D995" s="130">
        <v>49266</v>
      </c>
      <c r="E995" s="131">
        <v>44722</v>
      </c>
      <c r="F995" s="132">
        <v>49266</v>
      </c>
      <c r="G995" s="133">
        <f>Tabla147[[#This Row],[Importe]]-Tabla147[[#This Row],[Pagado]]</f>
        <v>0</v>
      </c>
      <c r="H995" s="134" t="s">
        <v>10</v>
      </c>
      <c r="I995" s="135"/>
    </row>
    <row r="996" spans="1:9" ht="21.75" customHeight="1" x14ac:dyDescent="0.25">
      <c r="A996" s="127">
        <v>44721</v>
      </c>
      <c r="B996" s="128" t="s">
        <v>18822</v>
      </c>
      <c r="C996" s="129" t="s">
        <v>647</v>
      </c>
      <c r="D996" s="130">
        <v>504</v>
      </c>
      <c r="E996" s="131">
        <v>44721</v>
      </c>
      <c r="F996" s="132">
        <v>504</v>
      </c>
      <c r="G996" s="133">
        <f>Tabla147[[#This Row],[Importe]]-Tabla147[[#This Row],[Pagado]]</f>
        <v>0</v>
      </c>
      <c r="H996" s="134" t="s">
        <v>10</v>
      </c>
      <c r="I996" s="135"/>
    </row>
    <row r="997" spans="1:9" ht="21.75" customHeight="1" x14ac:dyDescent="0.25">
      <c r="A997" s="127">
        <v>44721</v>
      </c>
      <c r="B997" s="128" t="s">
        <v>18823</v>
      </c>
      <c r="C997" s="129" t="s">
        <v>31</v>
      </c>
      <c r="D997" s="130">
        <v>876</v>
      </c>
      <c r="E997" s="131">
        <v>44721</v>
      </c>
      <c r="F997" s="132">
        <v>876</v>
      </c>
      <c r="G997" s="133">
        <f>Tabla147[[#This Row],[Importe]]-Tabla147[[#This Row],[Pagado]]</f>
        <v>0</v>
      </c>
      <c r="H997" s="134" t="s">
        <v>10</v>
      </c>
      <c r="I997" s="135"/>
    </row>
    <row r="998" spans="1:9" ht="21.75" customHeight="1" x14ac:dyDescent="0.25">
      <c r="A998" s="127">
        <v>44721</v>
      </c>
      <c r="B998" s="128" t="s">
        <v>18824</v>
      </c>
      <c r="C998" s="129" t="s">
        <v>282</v>
      </c>
      <c r="D998" s="130">
        <v>1339.6</v>
      </c>
      <c r="E998" s="131">
        <v>44722</v>
      </c>
      <c r="F998" s="132">
        <v>1339.6</v>
      </c>
      <c r="G998" s="133">
        <f>Tabla147[[#This Row],[Importe]]-Tabla147[[#This Row],[Pagado]]</f>
        <v>0</v>
      </c>
      <c r="H998" s="134" t="s">
        <v>10</v>
      </c>
      <c r="I998" s="135"/>
    </row>
    <row r="999" spans="1:9" ht="21.75" customHeight="1" x14ac:dyDescent="0.25">
      <c r="A999" s="127">
        <v>44721</v>
      </c>
      <c r="B999" s="128" t="s">
        <v>18825</v>
      </c>
      <c r="C999" s="129" t="s">
        <v>284</v>
      </c>
      <c r="D999" s="130">
        <v>8194</v>
      </c>
      <c r="E999" s="131">
        <v>44722</v>
      </c>
      <c r="F999" s="132">
        <v>8194</v>
      </c>
      <c r="G999" s="133">
        <f>Tabla147[[#This Row],[Importe]]-Tabla147[[#This Row],[Pagado]]</f>
        <v>0</v>
      </c>
      <c r="H999" s="134" t="s">
        <v>10</v>
      </c>
      <c r="I999" s="135"/>
    </row>
    <row r="1000" spans="1:9" ht="21.75" customHeight="1" x14ac:dyDescent="0.25">
      <c r="A1000" s="127">
        <v>44721</v>
      </c>
      <c r="B1000" s="128" t="s">
        <v>18826</v>
      </c>
      <c r="C1000" s="129" t="s">
        <v>5345</v>
      </c>
      <c r="D1000" s="130">
        <v>1339.6</v>
      </c>
      <c r="E1000" s="131">
        <v>44722</v>
      </c>
      <c r="F1000" s="132">
        <v>1339.6</v>
      </c>
      <c r="G1000" s="133">
        <f>Tabla147[[#This Row],[Importe]]-Tabla147[[#This Row],[Pagado]]</f>
        <v>0</v>
      </c>
      <c r="H1000" s="134" t="s">
        <v>10</v>
      </c>
      <c r="I1000" s="135"/>
    </row>
    <row r="1001" spans="1:9" ht="21.75" customHeight="1" x14ac:dyDescent="0.25">
      <c r="A1001" s="127">
        <v>44721</v>
      </c>
      <c r="B1001" s="128" t="s">
        <v>18827</v>
      </c>
      <c r="C1001" s="129" t="s">
        <v>280</v>
      </c>
      <c r="D1001" s="130">
        <v>1366.8</v>
      </c>
      <c r="E1001" s="131">
        <v>44722</v>
      </c>
      <c r="F1001" s="132">
        <v>1366.8</v>
      </c>
      <c r="G1001" s="133">
        <f>Tabla147[[#This Row],[Importe]]-Tabla147[[#This Row],[Pagado]]</f>
        <v>0</v>
      </c>
      <c r="H1001" s="134" t="s">
        <v>10</v>
      </c>
      <c r="I1001" s="135"/>
    </row>
    <row r="1002" spans="1:9" ht="21.75" customHeight="1" x14ac:dyDescent="0.25">
      <c r="A1002" s="127">
        <v>44721</v>
      </c>
      <c r="B1002" s="128" t="s">
        <v>18828</v>
      </c>
      <c r="C1002" s="129" t="s">
        <v>518</v>
      </c>
      <c r="D1002" s="130">
        <v>2876.6</v>
      </c>
      <c r="E1002" s="131">
        <v>44721</v>
      </c>
      <c r="F1002" s="132">
        <v>2876.6</v>
      </c>
      <c r="G1002" s="133">
        <f>Tabla147[[#This Row],[Importe]]-Tabla147[[#This Row],[Pagado]]</f>
        <v>0</v>
      </c>
      <c r="H1002" s="134" t="s">
        <v>10</v>
      </c>
      <c r="I1002" s="135"/>
    </row>
    <row r="1003" spans="1:9" ht="21.75" customHeight="1" x14ac:dyDescent="0.25">
      <c r="A1003" s="127">
        <v>44721</v>
      </c>
      <c r="B1003" s="128" t="s">
        <v>18829</v>
      </c>
      <c r="C1003" s="129" t="s">
        <v>729</v>
      </c>
      <c r="D1003" s="130">
        <v>24895.599999999999</v>
      </c>
      <c r="E1003" s="131">
        <v>44722</v>
      </c>
      <c r="F1003" s="132">
        <v>24895.599999999999</v>
      </c>
      <c r="G1003" s="133">
        <f>Tabla147[[#This Row],[Importe]]-Tabla147[[#This Row],[Pagado]]</f>
        <v>0</v>
      </c>
      <c r="H1003" s="134" t="s">
        <v>10</v>
      </c>
      <c r="I1003" s="135"/>
    </row>
    <row r="1004" spans="1:9" ht="21.75" customHeight="1" x14ac:dyDescent="0.25">
      <c r="A1004" s="127">
        <v>44721</v>
      </c>
      <c r="B1004" s="128" t="s">
        <v>18830</v>
      </c>
      <c r="C1004" s="129" t="s">
        <v>175</v>
      </c>
      <c r="D1004" s="130">
        <v>14732</v>
      </c>
      <c r="E1004" s="131">
        <v>44722</v>
      </c>
      <c r="F1004" s="132">
        <v>14732</v>
      </c>
      <c r="G1004" s="133">
        <f>Tabla147[[#This Row],[Importe]]-Tabla147[[#This Row],[Pagado]]</f>
        <v>0</v>
      </c>
      <c r="H1004" s="134" t="s">
        <v>10</v>
      </c>
      <c r="I1004" s="135"/>
    </row>
    <row r="1005" spans="1:9" ht="21.75" customHeight="1" x14ac:dyDescent="0.25">
      <c r="A1005" s="127">
        <v>44721</v>
      </c>
      <c r="B1005" s="128" t="s">
        <v>18831</v>
      </c>
      <c r="C1005" s="129" t="s">
        <v>31</v>
      </c>
      <c r="D1005" s="130">
        <v>1800</v>
      </c>
      <c r="E1005" s="131">
        <v>44721</v>
      </c>
      <c r="F1005" s="132">
        <v>1800</v>
      </c>
      <c r="G1005" s="133">
        <f>Tabla147[[#This Row],[Importe]]-Tabla147[[#This Row],[Pagado]]</f>
        <v>0</v>
      </c>
      <c r="H1005" s="134" t="s">
        <v>10</v>
      </c>
      <c r="I1005" s="135"/>
    </row>
    <row r="1006" spans="1:9" ht="21.75" customHeight="1" x14ac:dyDescent="0.25">
      <c r="A1006" s="127">
        <v>44721</v>
      </c>
      <c r="B1006" s="128" t="s">
        <v>18832</v>
      </c>
      <c r="C1006" s="129" t="s">
        <v>2139</v>
      </c>
      <c r="D1006" s="130">
        <v>624.1</v>
      </c>
      <c r="E1006" s="131">
        <v>44721</v>
      </c>
      <c r="F1006" s="132">
        <v>624.1</v>
      </c>
      <c r="G1006" s="133">
        <f>Tabla147[[#This Row],[Importe]]-Tabla147[[#This Row],[Pagado]]</f>
        <v>0</v>
      </c>
      <c r="H1006" s="134" t="s">
        <v>10</v>
      </c>
      <c r="I1006" s="135"/>
    </row>
    <row r="1007" spans="1:9" ht="21.75" customHeight="1" x14ac:dyDescent="0.25">
      <c r="A1007" s="127">
        <v>44721</v>
      </c>
      <c r="B1007" s="128" t="s">
        <v>18833</v>
      </c>
      <c r="C1007" s="129" t="s">
        <v>142</v>
      </c>
      <c r="D1007" s="130">
        <v>69162.899999999994</v>
      </c>
      <c r="E1007" s="131">
        <v>44760</v>
      </c>
      <c r="F1007" s="132">
        <v>69162.899999999994</v>
      </c>
      <c r="G1007" s="133">
        <f>Tabla147[[#This Row],[Importe]]-Tabla147[[#This Row],[Pagado]]</f>
        <v>0</v>
      </c>
      <c r="H1007" s="134" t="s">
        <v>10</v>
      </c>
      <c r="I1007" s="135"/>
    </row>
    <row r="1008" spans="1:9" ht="21.75" customHeight="1" x14ac:dyDescent="0.25">
      <c r="A1008" s="127">
        <v>44721</v>
      </c>
      <c r="B1008" s="128" t="s">
        <v>18834</v>
      </c>
      <c r="C1008" s="129" t="s">
        <v>53</v>
      </c>
      <c r="D1008" s="130">
        <v>1590.1</v>
      </c>
      <c r="E1008" s="131">
        <v>44721</v>
      </c>
      <c r="F1008" s="132">
        <v>1590.1</v>
      </c>
      <c r="G1008" s="133">
        <f>Tabla147[[#This Row],[Importe]]-Tabla147[[#This Row],[Pagado]]</f>
        <v>0</v>
      </c>
      <c r="H1008" s="134" t="s">
        <v>10</v>
      </c>
      <c r="I1008" s="135"/>
    </row>
    <row r="1009" spans="1:9" ht="21.75" customHeight="1" x14ac:dyDescent="0.25">
      <c r="A1009" s="127">
        <v>44721</v>
      </c>
      <c r="B1009" s="128" t="s">
        <v>18835</v>
      </c>
      <c r="C1009" s="129" t="s">
        <v>196</v>
      </c>
      <c r="D1009" s="130">
        <v>132421.28</v>
      </c>
      <c r="E1009" s="131">
        <v>44722</v>
      </c>
      <c r="F1009" s="132">
        <v>132421.28</v>
      </c>
      <c r="G1009" s="133">
        <f>Tabla147[[#This Row],[Importe]]-Tabla147[[#This Row],[Pagado]]</f>
        <v>0</v>
      </c>
      <c r="H1009" s="134" t="s">
        <v>10</v>
      </c>
      <c r="I1009" s="135"/>
    </row>
    <row r="1010" spans="1:9" ht="21.75" customHeight="1" x14ac:dyDescent="0.25">
      <c r="A1010" s="127">
        <v>44721</v>
      </c>
      <c r="B1010" s="128" t="s">
        <v>18836</v>
      </c>
      <c r="C1010" s="129" t="s">
        <v>31</v>
      </c>
      <c r="D1010" s="130">
        <v>400</v>
      </c>
      <c r="E1010" s="131">
        <v>44721</v>
      </c>
      <c r="F1010" s="132">
        <v>400</v>
      </c>
      <c r="G1010" s="133">
        <f>Tabla147[[#This Row],[Importe]]-Tabla147[[#This Row],[Pagado]]</f>
        <v>0</v>
      </c>
      <c r="H1010" s="134" t="s">
        <v>10</v>
      </c>
      <c r="I1010" s="135"/>
    </row>
    <row r="1011" spans="1:9" ht="21.75" customHeight="1" x14ac:dyDescent="0.25">
      <c r="A1011" s="127">
        <v>44721</v>
      </c>
      <c r="B1011" s="128" t="s">
        <v>18837</v>
      </c>
      <c r="C1011" s="129" t="s">
        <v>5694</v>
      </c>
      <c r="D1011" s="130">
        <v>3284.8</v>
      </c>
      <c r="E1011" s="131">
        <v>44721</v>
      </c>
      <c r="F1011" s="132">
        <v>3284.8</v>
      </c>
      <c r="G1011" s="133">
        <f>Tabla147[[#This Row],[Importe]]-Tabla147[[#This Row],[Pagado]]</f>
        <v>0</v>
      </c>
      <c r="H1011" s="134" t="s">
        <v>10</v>
      </c>
      <c r="I1011" s="135"/>
    </row>
    <row r="1012" spans="1:9" ht="21.75" customHeight="1" x14ac:dyDescent="0.25">
      <c r="A1012" s="127">
        <v>44721</v>
      </c>
      <c r="B1012" s="128" t="s">
        <v>18838</v>
      </c>
      <c r="C1012" s="129" t="s">
        <v>31</v>
      </c>
      <c r="D1012" s="130">
        <v>7484.4</v>
      </c>
      <c r="E1012" s="131">
        <v>44721</v>
      </c>
      <c r="F1012" s="132">
        <v>7484.4</v>
      </c>
      <c r="G1012" s="133">
        <f>Tabla147[[#This Row],[Importe]]-Tabla147[[#This Row],[Pagado]]</f>
        <v>0</v>
      </c>
      <c r="H1012" s="134" t="s">
        <v>10</v>
      </c>
      <c r="I1012" s="135"/>
    </row>
    <row r="1013" spans="1:9" ht="21.75" customHeight="1" x14ac:dyDescent="0.25">
      <c r="A1013" s="127">
        <v>44721</v>
      </c>
      <c r="B1013" s="128" t="s">
        <v>18839</v>
      </c>
      <c r="C1013" s="129" t="s">
        <v>373</v>
      </c>
      <c r="D1013" s="130">
        <v>1974</v>
      </c>
      <c r="E1013" s="131">
        <v>44721</v>
      </c>
      <c r="F1013" s="132">
        <v>1974</v>
      </c>
      <c r="G1013" s="133">
        <f>Tabla147[[#This Row],[Importe]]-Tabla147[[#This Row],[Pagado]]</f>
        <v>0</v>
      </c>
      <c r="H1013" s="134" t="s">
        <v>10</v>
      </c>
      <c r="I1013" s="135"/>
    </row>
    <row r="1014" spans="1:9" ht="21.75" customHeight="1" x14ac:dyDescent="0.25">
      <c r="A1014" s="127">
        <v>44721</v>
      </c>
      <c r="B1014" s="128" t="s">
        <v>18840</v>
      </c>
      <c r="C1014" s="129" t="s">
        <v>10678</v>
      </c>
      <c r="D1014" s="130">
        <v>4540.8</v>
      </c>
      <c r="E1014" s="131">
        <v>44721</v>
      </c>
      <c r="F1014" s="132">
        <v>4540.8</v>
      </c>
      <c r="G1014" s="133">
        <f>Tabla147[[#This Row],[Importe]]-Tabla147[[#This Row],[Pagado]]</f>
        <v>0</v>
      </c>
      <c r="H1014" s="134" t="s">
        <v>10</v>
      </c>
      <c r="I1014" s="135"/>
    </row>
    <row r="1015" spans="1:9" ht="21.75" customHeight="1" x14ac:dyDescent="0.25">
      <c r="A1015" s="127">
        <v>44721</v>
      </c>
      <c r="B1015" s="128" t="s">
        <v>18841</v>
      </c>
      <c r="C1015" s="129" t="s">
        <v>53</v>
      </c>
      <c r="D1015" s="130">
        <v>2428.1999999999998</v>
      </c>
      <c r="E1015" s="131">
        <v>44721</v>
      </c>
      <c r="F1015" s="132">
        <v>2428.1999999999998</v>
      </c>
      <c r="G1015" s="133">
        <f>Tabla147[[#This Row],[Importe]]-Tabla147[[#This Row],[Pagado]]</f>
        <v>0</v>
      </c>
      <c r="H1015" s="134" t="s">
        <v>10</v>
      </c>
      <c r="I1015" s="135"/>
    </row>
    <row r="1016" spans="1:9" ht="21.75" customHeight="1" x14ac:dyDescent="0.25">
      <c r="A1016" s="127">
        <v>44721</v>
      </c>
      <c r="B1016" s="128" t="s">
        <v>18842</v>
      </c>
      <c r="C1016" s="129" t="s">
        <v>10190</v>
      </c>
      <c r="D1016" s="130">
        <v>18216</v>
      </c>
      <c r="E1016" s="131">
        <v>44722</v>
      </c>
      <c r="F1016" s="132">
        <v>18216</v>
      </c>
      <c r="G1016" s="133">
        <f>Tabla147[[#This Row],[Importe]]-Tabla147[[#This Row],[Pagado]]</f>
        <v>0</v>
      </c>
      <c r="H1016" s="134" t="s">
        <v>10</v>
      </c>
      <c r="I1016" s="135"/>
    </row>
    <row r="1017" spans="1:9" ht="21.75" customHeight="1" x14ac:dyDescent="0.25">
      <c r="A1017" s="127">
        <v>44721</v>
      </c>
      <c r="B1017" s="128" t="s">
        <v>18843</v>
      </c>
      <c r="C1017" s="129" t="s">
        <v>654</v>
      </c>
      <c r="D1017" s="130">
        <v>3377.6</v>
      </c>
      <c r="E1017" s="131">
        <v>44721</v>
      </c>
      <c r="F1017" s="132">
        <v>3377.6</v>
      </c>
      <c r="G1017" s="133">
        <f>Tabla147[[#This Row],[Importe]]-Tabla147[[#This Row],[Pagado]]</f>
        <v>0</v>
      </c>
      <c r="H1017" s="134" t="s">
        <v>10</v>
      </c>
      <c r="I1017" s="135"/>
    </row>
    <row r="1018" spans="1:9" ht="21.75" customHeight="1" x14ac:dyDescent="0.25">
      <c r="A1018" s="127">
        <v>44721</v>
      </c>
      <c r="B1018" s="128" t="s">
        <v>18844</v>
      </c>
      <c r="C1018" s="129" t="s">
        <v>31</v>
      </c>
      <c r="D1018" s="130">
        <v>90</v>
      </c>
      <c r="E1018" s="131">
        <v>44721</v>
      </c>
      <c r="F1018" s="132">
        <v>90</v>
      </c>
      <c r="G1018" s="133">
        <f>Tabla147[[#This Row],[Importe]]-Tabla147[[#This Row],[Pagado]]</f>
        <v>0</v>
      </c>
      <c r="H1018" s="134" t="s">
        <v>10</v>
      </c>
      <c r="I1018" s="135"/>
    </row>
    <row r="1019" spans="1:9" ht="21.75" customHeight="1" x14ac:dyDescent="0.25">
      <c r="A1019" s="127">
        <v>44721</v>
      </c>
      <c r="B1019" s="128" t="s">
        <v>18845</v>
      </c>
      <c r="C1019" s="129" t="s">
        <v>612</v>
      </c>
      <c r="D1019" s="130">
        <v>271</v>
      </c>
      <c r="E1019" s="131">
        <v>44721</v>
      </c>
      <c r="F1019" s="132">
        <v>271</v>
      </c>
      <c r="G1019" s="133">
        <f>Tabla147[[#This Row],[Importe]]-Tabla147[[#This Row],[Pagado]]</f>
        <v>0</v>
      </c>
      <c r="H1019" s="134" t="s">
        <v>10</v>
      </c>
      <c r="I1019" s="135"/>
    </row>
    <row r="1020" spans="1:9" ht="21.75" customHeight="1" x14ac:dyDescent="0.25">
      <c r="A1020" s="127">
        <v>44722</v>
      </c>
      <c r="B1020" s="128" t="s">
        <v>18846</v>
      </c>
      <c r="C1020" s="129" t="s">
        <v>75</v>
      </c>
      <c r="D1020" s="130">
        <v>5426.4</v>
      </c>
      <c r="E1020" s="131">
        <v>44722</v>
      </c>
      <c r="F1020" s="132">
        <v>5426.4</v>
      </c>
      <c r="G1020" s="133">
        <f>Tabla147[[#This Row],[Importe]]-Tabla147[[#This Row],[Pagado]]</f>
        <v>0</v>
      </c>
      <c r="H1020" s="134" t="s">
        <v>10</v>
      </c>
      <c r="I1020" s="135"/>
    </row>
    <row r="1021" spans="1:9" ht="21.75" customHeight="1" x14ac:dyDescent="0.25">
      <c r="A1021" s="127">
        <v>44722</v>
      </c>
      <c r="B1021" s="128" t="s">
        <v>18847</v>
      </c>
      <c r="C1021" s="129" t="s">
        <v>473</v>
      </c>
      <c r="D1021" s="130">
        <v>5386.7</v>
      </c>
      <c r="E1021" s="131">
        <v>44722</v>
      </c>
      <c r="F1021" s="132">
        <v>5386.7</v>
      </c>
      <c r="G1021" s="133">
        <f>Tabla147[[#This Row],[Importe]]-Tabla147[[#This Row],[Pagado]]</f>
        <v>0</v>
      </c>
      <c r="H1021" s="134" t="s">
        <v>10</v>
      </c>
      <c r="I1021" s="135"/>
    </row>
    <row r="1022" spans="1:9" ht="21.75" customHeight="1" x14ac:dyDescent="0.25">
      <c r="A1022" s="127">
        <v>44722</v>
      </c>
      <c r="B1022" s="128" t="s">
        <v>18848</v>
      </c>
      <c r="C1022" s="129" t="s">
        <v>22</v>
      </c>
      <c r="D1022" s="130">
        <v>47010</v>
      </c>
      <c r="E1022" s="131">
        <v>44723</v>
      </c>
      <c r="F1022" s="132">
        <v>47010</v>
      </c>
      <c r="G1022" s="133">
        <f>Tabla147[[#This Row],[Importe]]-Tabla147[[#This Row],[Pagado]]</f>
        <v>0</v>
      </c>
      <c r="H1022" s="134" t="s">
        <v>10</v>
      </c>
      <c r="I1022" s="135"/>
    </row>
    <row r="1023" spans="1:9" ht="21.75" customHeight="1" x14ac:dyDescent="0.25">
      <c r="A1023" s="127">
        <v>44722</v>
      </c>
      <c r="B1023" s="128" t="s">
        <v>18849</v>
      </c>
      <c r="C1023" s="129" t="s">
        <v>2151</v>
      </c>
      <c r="D1023" s="130">
        <v>15016.2</v>
      </c>
      <c r="E1023" s="131">
        <v>44722</v>
      </c>
      <c r="F1023" s="132">
        <v>15016.2</v>
      </c>
      <c r="G1023" s="133">
        <f>Tabla147[[#This Row],[Importe]]-Tabla147[[#This Row],[Pagado]]</f>
        <v>0</v>
      </c>
      <c r="H1023" s="134" t="s">
        <v>10</v>
      </c>
      <c r="I1023" s="135"/>
    </row>
    <row r="1024" spans="1:9" ht="21.75" customHeight="1" x14ac:dyDescent="0.25">
      <c r="A1024" s="127">
        <v>44722</v>
      </c>
      <c r="B1024" s="128" t="s">
        <v>18850</v>
      </c>
      <c r="C1024" s="129" t="s">
        <v>16819</v>
      </c>
      <c r="D1024" s="130">
        <v>4558.8</v>
      </c>
      <c r="E1024" s="131">
        <v>44722</v>
      </c>
      <c r="F1024" s="132">
        <v>4558.8</v>
      </c>
      <c r="G1024" s="133">
        <f>Tabla147[[#This Row],[Importe]]-Tabla147[[#This Row],[Pagado]]</f>
        <v>0</v>
      </c>
      <c r="H1024" s="134" t="s">
        <v>10</v>
      </c>
      <c r="I1024" s="135"/>
    </row>
    <row r="1025" spans="1:9" ht="21.75" customHeight="1" x14ac:dyDescent="0.25">
      <c r="A1025" s="127">
        <v>44722</v>
      </c>
      <c r="B1025" s="128" t="s">
        <v>18851</v>
      </c>
      <c r="C1025" s="129" t="s">
        <v>97</v>
      </c>
      <c r="D1025" s="130">
        <v>4582</v>
      </c>
      <c r="E1025" s="131">
        <v>44723</v>
      </c>
      <c r="F1025" s="132">
        <v>4582</v>
      </c>
      <c r="G1025" s="133">
        <f>Tabla147[[#This Row],[Importe]]-Tabla147[[#This Row],[Pagado]]</f>
        <v>0</v>
      </c>
      <c r="H1025" s="134" t="s">
        <v>10</v>
      </c>
      <c r="I1025" s="135"/>
    </row>
    <row r="1026" spans="1:9" ht="21.75" customHeight="1" x14ac:dyDescent="0.25">
      <c r="A1026" s="127">
        <v>44722</v>
      </c>
      <c r="B1026" s="128" t="s">
        <v>18852</v>
      </c>
      <c r="C1026" s="129" t="s">
        <v>475</v>
      </c>
      <c r="D1026" s="130">
        <v>65634</v>
      </c>
      <c r="E1026" s="131">
        <v>44723</v>
      </c>
      <c r="F1026" s="132">
        <v>65634</v>
      </c>
      <c r="G1026" s="133">
        <f>Tabla147[[#This Row],[Importe]]-Tabla147[[#This Row],[Pagado]]</f>
        <v>0</v>
      </c>
      <c r="H1026" s="134" t="s">
        <v>10</v>
      </c>
      <c r="I1026" s="135"/>
    </row>
    <row r="1027" spans="1:9" ht="21.75" customHeight="1" x14ac:dyDescent="0.25">
      <c r="A1027" s="127">
        <v>44722</v>
      </c>
      <c r="B1027" s="128" t="s">
        <v>18853</v>
      </c>
      <c r="C1027" s="129" t="s">
        <v>114</v>
      </c>
      <c r="D1027" s="130">
        <v>10618.8</v>
      </c>
      <c r="E1027" s="131">
        <v>44723</v>
      </c>
      <c r="F1027" s="132">
        <v>10618.8</v>
      </c>
      <c r="G1027" s="133">
        <f>Tabla147[[#This Row],[Importe]]-Tabla147[[#This Row],[Pagado]]</f>
        <v>0</v>
      </c>
      <c r="H1027" s="134" t="s">
        <v>10</v>
      </c>
      <c r="I1027" s="135"/>
    </row>
    <row r="1028" spans="1:9" ht="21.75" customHeight="1" x14ac:dyDescent="0.25">
      <c r="A1028" s="127">
        <v>44722</v>
      </c>
      <c r="B1028" s="128" t="s">
        <v>18854</v>
      </c>
      <c r="C1028" s="129" t="s">
        <v>64</v>
      </c>
      <c r="D1028" s="130">
        <v>9392</v>
      </c>
      <c r="E1028" s="131">
        <v>44723</v>
      </c>
      <c r="F1028" s="132">
        <v>9392</v>
      </c>
      <c r="G1028" s="133">
        <f>Tabla147[[#This Row],[Importe]]-Tabla147[[#This Row],[Pagado]]</f>
        <v>0</v>
      </c>
      <c r="H1028" s="134" t="s">
        <v>10</v>
      </c>
      <c r="I1028" s="135"/>
    </row>
    <row r="1029" spans="1:9" ht="31.5" x14ac:dyDescent="0.25">
      <c r="A1029" s="127">
        <v>44722</v>
      </c>
      <c r="B1029" s="128" t="s">
        <v>18855</v>
      </c>
      <c r="C1029" s="129" t="s">
        <v>93</v>
      </c>
      <c r="D1029" s="130">
        <v>9612.6</v>
      </c>
      <c r="E1029" s="131" t="s">
        <v>18856</v>
      </c>
      <c r="F1029" s="132">
        <f>3000+6612.6</f>
        <v>9612.6</v>
      </c>
      <c r="G1029" s="133">
        <f>Tabla147[[#This Row],[Importe]]-Tabla147[[#This Row],[Pagado]]</f>
        <v>0</v>
      </c>
      <c r="H1029" s="134" t="s">
        <v>10</v>
      </c>
      <c r="I1029" s="135"/>
    </row>
    <row r="1030" spans="1:9" ht="21.75" customHeight="1" x14ac:dyDescent="0.25">
      <c r="A1030" s="127">
        <v>44722</v>
      </c>
      <c r="B1030" s="128" t="s">
        <v>18857</v>
      </c>
      <c r="C1030" s="129" t="s">
        <v>481</v>
      </c>
      <c r="D1030" s="130">
        <v>779</v>
      </c>
      <c r="E1030" s="131">
        <v>44722</v>
      </c>
      <c r="F1030" s="132">
        <v>779</v>
      </c>
      <c r="G1030" s="133">
        <f>Tabla147[[#This Row],[Importe]]-Tabla147[[#This Row],[Pagado]]</f>
        <v>0</v>
      </c>
      <c r="H1030" s="134" t="s">
        <v>10</v>
      </c>
      <c r="I1030" s="135"/>
    </row>
    <row r="1031" spans="1:9" ht="21.75" customHeight="1" x14ac:dyDescent="0.25">
      <c r="A1031" s="127">
        <v>44722</v>
      </c>
      <c r="B1031" s="128" t="s">
        <v>18858</v>
      </c>
      <c r="C1031" s="129" t="s">
        <v>99</v>
      </c>
      <c r="D1031" s="130">
        <v>4402.6000000000004</v>
      </c>
      <c r="E1031" s="131">
        <v>44723</v>
      </c>
      <c r="F1031" s="132">
        <v>4402.6000000000004</v>
      </c>
      <c r="G1031" s="133">
        <f>Tabla147[[#This Row],[Importe]]-Tabla147[[#This Row],[Pagado]]</f>
        <v>0</v>
      </c>
      <c r="H1031" s="134" t="s">
        <v>10</v>
      </c>
      <c r="I1031" s="135"/>
    </row>
    <row r="1032" spans="1:9" ht="21.75" customHeight="1" x14ac:dyDescent="0.25">
      <c r="A1032" s="127">
        <v>44722</v>
      </c>
      <c r="B1032" s="128" t="s">
        <v>18859</v>
      </c>
      <c r="C1032" s="129" t="s">
        <v>89</v>
      </c>
      <c r="D1032" s="130">
        <v>8105.5</v>
      </c>
      <c r="E1032" s="131">
        <v>44723</v>
      </c>
      <c r="F1032" s="132">
        <v>8105.5</v>
      </c>
      <c r="G1032" s="133">
        <f>Tabla147[[#This Row],[Importe]]-Tabla147[[#This Row],[Pagado]]</f>
        <v>0</v>
      </c>
      <c r="H1032" s="134" t="s">
        <v>10</v>
      </c>
      <c r="I1032" s="135"/>
    </row>
    <row r="1033" spans="1:9" ht="21.75" customHeight="1" x14ac:dyDescent="0.25">
      <c r="A1033" s="127">
        <v>44722</v>
      </c>
      <c r="B1033" s="128" t="s">
        <v>18860</v>
      </c>
      <c r="C1033" s="129" t="s">
        <v>918</v>
      </c>
      <c r="D1033" s="130">
        <v>462</v>
      </c>
      <c r="E1033" s="131">
        <v>44722</v>
      </c>
      <c r="F1033" s="132">
        <v>462</v>
      </c>
      <c r="G1033" s="133">
        <f>Tabla147[[#This Row],[Importe]]-Tabla147[[#This Row],[Pagado]]</f>
        <v>0</v>
      </c>
      <c r="H1033" s="134" t="s">
        <v>10</v>
      </c>
      <c r="I1033" s="135"/>
    </row>
    <row r="1034" spans="1:9" ht="21.75" customHeight="1" x14ac:dyDescent="0.25">
      <c r="A1034" s="127">
        <v>44722</v>
      </c>
      <c r="B1034" s="128" t="s">
        <v>18861</v>
      </c>
      <c r="C1034" s="129" t="s">
        <v>31</v>
      </c>
      <c r="D1034" s="130">
        <v>424.8</v>
      </c>
      <c r="E1034" s="131">
        <v>44722</v>
      </c>
      <c r="F1034" s="132">
        <v>424.8</v>
      </c>
      <c r="G1034" s="133">
        <f>Tabla147[[#This Row],[Importe]]-Tabla147[[#This Row],[Pagado]]</f>
        <v>0</v>
      </c>
      <c r="H1034" s="134" t="s">
        <v>10</v>
      </c>
      <c r="I1034" s="135"/>
    </row>
    <row r="1035" spans="1:9" ht="21.75" customHeight="1" x14ac:dyDescent="0.25">
      <c r="A1035" s="127">
        <v>44722</v>
      </c>
      <c r="B1035" s="128" t="s">
        <v>18862</v>
      </c>
      <c r="C1035" s="129" t="s">
        <v>10954</v>
      </c>
      <c r="D1035" s="130">
        <v>0</v>
      </c>
      <c r="E1035" s="136" t="s">
        <v>189</v>
      </c>
      <c r="F1035" s="132">
        <v>0</v>
      </c>
      <c r="G1035" s="133">
        <f>Tabla147[[#This Row],[Importe]]-Tabla147[[#This Row],[Pagado]]</f>
        <v>0</v>
      </c>
      <c r="H1035" s="137" t="s">
        <v>18863</v>
      </c>
      <c r="I1035" s="135"/>
    </row>
    <row r="1036" spans="1:9" ht="21.75" customHeight="1" x14ac:dyDescent="0.25">
      <c r="A1036" s="127">
        <v>44722</v>
      </c>
      <c r="B1036" s="128" t="s">
        <v>18864</v>
      </c>
      <c r="C1036" s="129" t="s">
        <v>105</v>
      </c>
      <c r="D1036" s="130">
        <v>1946</v>
      </c>
      <c r="E1036" s="131">
        <v>44722</v>
      </c>
      <c r="F1036" s="132">
        <v>1946</v>
      </c>
      <c r="G1036" s="133">
        <f>Tabla147[[#This Row],[Importe]]-Tabla147[[#This Row],[Pagado]]</f>
        <v>0</v>
      </c>
      <c r="H1036" s="134" t="s">
        <v>10</v>
      </c>
      <c r="I1036" s="135"/>
    </row>
    <row r="1037" spans="1:9" ht="21.75" customHeight="1" x14ac:dyDescent="0.25">
      <c r="A1037" s="127">
        <v>44722</v>
      </c>
      <c r="B1037" s="128" t="s">
        <v>18865</v>
      </c>
      <c r="C1037" s="129" t="s">
        <v>326</v>
      </c>
      <c r="D1037" s="130">
        <v>8210</v>
      </c>
      <c r="E1037" s="131">
        <v>44723</v>
      </c>
      <c r="F1037" s="132">
        <v>8210</v>
      </c>
      <c r="G1037" s="133">
        <f>Tabla147[[#This Row],[Importe]]-Tabla147[[#This Row],[Pagado]]</f>
        <v>0</v>
      </c>
      <c r="H1037" s="134" t="s">
        <v>10</v>
      </c>
      <c r="I1037" s="135"/>
    </row>
    <row r="1038" spans="1:9" ht="21.75" customHeight="1" x14ac:dyDescent="0.25">
      <c r="A1038" s="127">
        <v>44722</v>
      </c>
      <c r="B1038" s="128" t="s">
        <v>18866</v>
      </c>
      <c r="C1038" s="129" t="s">
        <v>12202</v>
      </c>
      <c r="D1038" s="130">
        <v>7600</v>
      </c>
      <c r="E1038" s="131">
        <v>44722</v>
      </c>
      <c r="F1038" s="132">
        <v>7600</v>
      </c>
      <c r="G1038" s="133">
        <f>Tabla147[[#This Row],[Importe]]-Tabla147[[#This Row],[Pagado]]</f>
        <v>0</v>
      </c>
      <c r="H1038" s="134" t="s">
        <v>10</v>
      </c>
      <c r="I1038" s="135"/>
    </row>
    <row r="1039" spans="1:9" ht="31.5" x14ac:dyDescent="0.25">
      <c r="A1039" s="127">
        <v>44722</v>
      </c>
      <c r="B1039" s="128" t="s">
        <v>18867</v>
      </c>
      <c r="C1039" s="129" t="s">
        <v>39</v>
      </c>
      <c r="D1039" s="130">
        <v>15047.5</v>
      </c>
      <c r="E1039" s="131" t="s">
        <v>18868</v>
      </c>
      <c r="F1039" s="132">
        <f>5000+10047.5</f>
        <v>15047.5</v>
      </c>
      <c r="G1039" s="133">
        <f>Tabla147[[#This Row],[Importe]]-Tabla147[[#This Row],[Pagado]]</f>
        <v>0</v>
      </c>
      <c r="H1039" s="134" t="s">
        <v>10</v>
      </c>
      <c r="I1039" s="135"/>
    </row>
    <row r="1040" spans="1:9" ht="21.75" customHeight="1" x14ac:dyDescent="0.25">
      <c r="A1040" s="127">
        <v>44722</v>
      </c>
      <c r="B1040" s="128" t="s">
        <v>18869</v>
      </c>
      <c r="C1040" s="129" t="s">
        <v>31</v>
      </c>
      <c r="D1040" s="130">
        <v>2433.9</v>
      </c>
      <c r="E1040" s="131">
        <v>44722</v>
      </c>
      <c r="F1040" s="132">
        <v>2433.9</v>
      </c>
      <c r="G1040" s="133">
        <f>Tabla147[[#This Row],[Importe]]-Tabla147[[#This Row],[Pagado]]</f>
        <v>0</v>
      </c>
      <c r="H1040" s="134" t="s">
        <v>10</v>
      </c>
      <c r="I1040" s="135"/>
    </row>
    <row r="1041" spans="1:9" ht="21.75" customHeight="1" x14ac:dyDescent="0.25">
      <c r="A1041" s="127">
        <v>44722</v>
      </c>
      <c r="B1041" s="128" t="s">
        <v>18870</v>
      </c>
      <c r="C1041" s="129" t="s">
        <v>9</v>
      </c>
      <c r="D1041" s="130">
        <v>4606.1000000000004</v>
      </c>
      <c r="E1041" s="131">
        <v>44722</v>
      </c>
      <c r="F1041" s="132">
        <v>4606.1000000000004</v>
      </c>
      <c r="G1041" s="133">
        <f>Tabla147[[#This Row],[Importe]]-Tabla147[[#This Row],[Pagado]]</f>
        <v>0</v>
      </c>
      <c r="H1041" s="134" t="s">
        <v>10</v>
      </c>
      <c r="I1041" s="135"/>
    </row>
    <row r="1042" spans="1:9" ht="21.75" customHeight="1" x14ac:dyDescent="0.25">
      <c r="A1042" s="127">
        <v>44722</v>
      </c>
      <c r="B1042" s="128" t="s">
        <v>18871</v>
      </c>
      <c r="C1042" s="129" t="s">
        <v>484</v>
      </c>
      <c r="D1042" s="130">
        <v>3765.6</v>
      </c>
      <c r="E1042" s="131">
        <v>44722</v>
      </c>
      <c r="F1042" s="132">
        <v>3765.6</v>
      </c>
      <c r="G1042" s="133">
        <f>Tabla147[[#This Row],[Importe]]-Tabla147[[#This Row],[Pagado]]</f>
        <v>0</v>
      </c>
      <c r="H1042" s="134" t="s">
        <v>10</v>
      </c>
      <c r="I1042" s="135"/>
    </row>
    <row r="1043" spans="1:9" ht="21.75" customHeight="1" x14ac:dyDescent="0.25">
      <c r="A1043" s="127">
        <v>44722</v>
      </c>
      <c r="B1043" s="128" t="s">
        <v>18872</v>
      </c>
      <c r="C1043" s="129" t="s">
        <v>131</v>
      </c>
      <c r="D1043" s="130">
        <v>6955.2</v>
      </c>
      <c r="E1043" s="131">
        <v>44722</v>
      </c>
      <c r="F1043" s="132">
        <v>6955.2</v>
      </c>
      <c r="G1043" s="133">
        <f>Tabla147[[#This Row],[Importe]]-Tabla147[[#This Row],[Pagado]]</f>
        <v>0</v>
      </c>
      <c r="H1043" s="134" t="s">
        <v>10</v>
      </c>
      <c r="I1043" s="135"/>
    </row>
    <row r="1044" spans="1:9" ht="21.75" customHeight="1" x14ac:dyDescent="0.25">
      <c r="A1044" s="127">
        <v>44722</v>
      </c>
      <c r="B1044" s="128" t="s">
        <v>18873</v>
      </c>
      <c r="C1044" s="129" t="s">
        <v>135</v>
      </c>
      <c r="D1044" s="130">
        <v>1235.4000000000001</v>
      </c>
      <c r="E1044" s="131">
        <v>44722</v>
      </c>
      <c r="F1044" s="132">
        <v>1235.4000000000001</v>
      </c>
      <c r="G1044" s="133">
        <f>Tabla147[[#This Row],[Importe]]-Tabla147[[#This Row],[Pagado]]</f>
        <v>0</v>
      </c>
      <c r="H1044" s="134" t="s">
        <v>10</v>
      </c>
      <c r="I1044" s="135"/>
    </row>
    <row r="1045" spans="1:9" ht="21.75" customHeight="1" x14ac:dyDescent="0.25">
      <c r="A1045" s="127">
        <v>44722</v>
      </c>
      <c r="B1045" s="128" t="s">
        <v>18874</v>
      </c>
      <c r="C1045" s="129" t="s">
        <v>208</v>
      </c>
      <c r="D1045" s="130">
        <v>14115.08</v>
      </c>
      <c r="E1045" s="131">
        <v>44726</v>
      </c>
      <c r="F1045" s="132">
        <v>14115.08</v>
      </c>
      <c r="G1045" s="133">
        <f>Tabla147[[#This Row],[Importe]]-Tabla147[[#This Row],[Pagado]]</f>
        <v>0</v>
      </c>
      <c r="H1045" s="134" t="s">
        <v>10</v>
      </c>
      <c r="I1045" s="135"/>
    </row>
    <row r="1046" spans="1:9" ht="21.75" customHeight="1" x14ac:dyDescent="0.25">
      <c r="A1046" s="127">
        <v>44722</v>
      </c>
      <c r="B1046" s="128" t="s">
        <v>18875</v>
      </c>
      <c r="C1046" s="129" t="s">
        <v>17556</v>
      </c>
      <c r="D1046" s="130">
        <v>3513.6</v>
      </c>
      <c r="E1046" s="131">
        <v>44722</v>
      </c>
      <c r="F1046" s="132">
        <v>3513.6</v>
      </c>
      <c r="G1046" s="133">
        <f>Tabla147[[#This Row],[Importe]]-Tabla147[[#This Row],[Pagado]]</f>
        <v>0</v>
      </c>
      <c r="H1046" s="134" t="s">
        <v>10</v>
      </c>
      <c r="I1046" s="135"/>
    </row>
    <row r="1047" spans="1:9" ht="21.75" customHeight="1" x14ac:dyDescent="0.25">
      <c r="A1047" s="127">
        <v>44722</v>
      </c>
      <c r="B1047" s="128" t="s">
        <v>18876</v>
      </c>
      <c r="C1047" s="129" t="s">
        <v>154</v>
      </c>
      <c r="D1047" s="130">
        <v>69744</v>
      </c>
      <c r="E1047" s="131">
        <v>44726</v>
      </c>
      <c r="F1047" s="132">
        <v>69744</v>
      </c>
      <c r="G1047" s="133">
        <f>Tabla147[[#This Row],[Importe]]-Tabla147[[#This Row],[Pagado]]</f>
        <v>0</v>
      </c>
      <c r="H1047" s="134" t="s">
        <v>10</v>
      </c>
      <c r="I1047" s="135"/>
    </row>
    <row r="1048" spans="1:9" ht="21.75" customHeight="1" x14ac:dyDescent="0.25">
      <c r="A1048" s="127">
        <v>44722</v>
      </c>
      <c r="B1048" s="128" t="s">
        <v>18877</v>
      </c>
      <c r="C1048" s="129" t="s">
        <v>212</v>
      </c>
      <c r="D1048" s="130">
        <v>85229.3</v>
      </c>
      <c r="E1048" s="131">
        <v>44727</v>
      </c>
      <c r="F1048" s="132">
        <v>85229.3</v>
      </c>
      <c r="G1048" s="133">
        <f>Tabla147[[#This Row],[Importe]]-Tabla147[[#This Row],[Pagado]]</f>
        <v>0</v>
      </c>
      <c r="H1048" s="134" t="s">
        <v>10</v>
      </c>
      <c r="I1048" s="135"/>
    </row>
    <row r="1049" spans="1:9" ht="21.75" customHeight="1" x14ac:dyDescent="0.25">
      <c r="A1049" s="127">
        <v>44722</v>
      </c>
      <c r="B1049" s="128" t="s">
        <v>18878</v>
      </c>
      <c r="C1049" s="129" t="s">
        <v>53</v>
      </c>
      <c r="D1049" s="130">
        <v>2005.6</v>
      </c>
      <c r="E1049" s="131">
        <v>44722</v>
      </c>
      <c r="F1049" s="132">
        <v>2005.6</v>
      </c>
      <c r="G1049" s="133">
        <f>Tabla147[[#This Row],[Importe]]-Tabla147[[#This Row],[Pagado]]</f>
        <v>0</v>
      </c>
      <c r="H1049" s="134" t="s">
        <v>10</v>
      </c>
      <c r="I1049" s="135"/>
    </row>
    <row r="1050" spans="1:9" ht="21.75" customHeight="1" x14ac:dyDescent="0.25">
      <c r="A1050" s="127">
        <v>44722</v>
      </c>
      <c r="B1050" s="128" t="s">
        <v>18879</v>
      </c>
      <c r="C1050" s="129" t="s">
        <v>218</v>
      </c>
      <c r="D1050" s="130">
        <v>25119.4</v>
      </c>
      <c r="E1050" s="131">
        <v>44726</v>
      </c>
      <c r="F1050" s="132">
        <v>25119.4</v>
      </c>
      <c r="G1050" s="133">
        <f>Tabla147[[#This Row],[Importe]]-Tabla147[[#This Row],[Pagado]]</f>
        <v>0</v>
      </c>
      <c r="H1050" s="134" t="s">
        <v>10</v>
      </c>
      <c r="I1050" s="135"/>
    </row>
    <row r="1051" spans="1:9" ht="21.75" customHeight="1" x14ac:dyDescent="0.25">
      <c r="A1051" s="127">
        <v>44722</v>
      </c>
      <c r="B1051" s="128" t="s">
        <v>18880</v>
      </c>
      <c r="C1051" s="129" t="s">
        <v>647</v>
      </c>
      <c r="D1051" s="130">
        <v>3992.5</v>
      </c>
      <c r="E1051" s="131">
        <v>44722</v>
      </c>
      <c r="F1051" s="132">
        <v>3992.5</v>
      </c>
      <c r="G1051" s="133">
        <f>Tabla147[[#This Row],[Importe]]-Tabla147[[#This Row],[Pagado]]</f>
        <v>0</v>
      </c>
      <c r="H1051" s="134" t="s">
        <v>10</v>
      </c>
      <c r="I1051" s="135"/>
    </row>
    <row r="1052" spans="1:9" ht="21.75" customHeight="1" x14ac:dyDescent="0.25">
      <c r="A1052" s="127">
        <v>44722</v>
      </c>
      <c r="B1052" s="128" t="s">
        <v>18881</v>
      </c>
      <c r="C1052" s="129" t="s">
        <v>11033</v>
      </c>
      <c r="D1052" s="130">
        <v>1610</v>
      </c>
      <c r="E1052" s="131">
        <v>44722</v>
      </c>
      <c r="F1052" s="132">
        <v>1610</v>
      </c>
      <c r="G1052" s="133">
        <f>Tabla147[[#This Row],[Importe]]-Tabla147[[#This Row],[Pagado]]</f>
        <v>0</v>
      </c>
      <c r="H1052" s="134" t="s">
        <v>10</v>
      </c>
      <c r="I1052" s="135"/>
    </row>
    <row r="1053" spans="1:9" ht="21.75" customHeight="1" x14ac:dyDescent="0.25">
      <c r="A1053" s="127">
        <v>44722</v>
      </c>
      <c r="B1053" s="128" t="s">
        <v>18882</v>
      </c>
      <c r="C1053" s="129" t="s">
        <v>85</v>
      </c>
      <c r="D1053" s="130">
        <v>1298.8</v>
      </c>
      <c r="E1053" s="131">
        <v>44722</v>
      </c>
      <c r="F1053" s="132">
        <v>1298.8</v>
      </c>
      <c r="G1053" s="133">
        <f>Tabla147[[#This Row],[Importe]]-Tabla147[[#This Row],[Pagado]]</f>
        <v>0</v>
      </c>
      <c r="H1053" s="134" t="s">
        <v>10</v>
      </c>
      <c r="I1053" s="135"/>
    </row>
    <row r="1054" spans="1:9" ht="21.75" customHeight="1" x14ac:dyDescent="0.25">
      <c r="A1054" s="127">
        <v>44722</v>
      </c>
      <c r="B1054" s="128" t="s">
        <v>18883</v>
      </c>
      <c r="C1054" s="129" t="s">
        <v>27</v>
      </c>
      <c r="D1054" s="130">
        <v>3515.1</v>
      </c>
      <c r="E1054" s="131">
        <v>44722</v>
      </c>
      <c r="F1054" s="132">
        <v>3515.1</v>
      </c>
      <c r="G1054" s="133">
        <f>Tabla147[[#This Row],[Importe]]-Tabla147[[#This Row],[Pagado]]</f>
        <v>0</v>
      </c>
      <c r="H1054" s="134" t="s">
        <v>10</v>
      </c>
      <c r="I1054" s="135"/>
    </row>
    <row r="1055" spans="1:9" ht="21.75" customHeight="1" x14ac:dyDescent="0.25">
      <c r="A1055" s="127">
        <v>44722</v>
      </c>
      <c r="B1055" s="128" t="s">
        <v>18884</v>
      </c>
      <c r="C1055" s="129" t="s">
        <v>206</v>
      </c>
      <c r="D1055" s="130">
        <v>32343.3</v>
      </c>
      <c r="E1055" s="131">
        <v>44726</v>
      </c>
      <c r="F1055" s="132">
        <v>32343.3</v>
      </c>
      <c r="G1055" s="133">
        <f>Tabla147[[#This Row],[Importe]]-Tabla147[[#This Row],[Pagado]]</f>
        <v>0</v>
      </c>
      <c r="H1055" s="134" t="s">
        <v>10</v>
      </c>
      <c r="I1055" s="135"/>
    </row>
    <row r="1056" spans="1:9" ht="21.75" customHeight="1" x14ac:dyDescent="0.25">
      <c r="A1056" s="127">
        <v>44722</v>
      </c>
      <c r="B1056" s="128" t="s">
        <v>18885</v>
      </c>
      <c r="C1056" s="129" t="s">
        <v>161</v>
      </c>
      <c r="D1056" s="130">
        <v>3812.7</v>
      </c>
      <c r="E1056" s="131">
        <v>44722</v>
      </c>
      <c r="F1056" s="132">
        <v>3812.7</v>
      </c>
      <c r="G1056" s="133">
        <f>Tabla147[[#This Row],[Importe]]-Tabla147[[#This Row],[Pagado]]</f>
        <v>0</v>
      </c>
      <c r="H1056" s="134" t="s">
        <v>10</v>
      </c>
      <c r="I1056" s="135"/>
    </row>
    <row r="1057" spans="1:9" ht="21.75" customHeight="1" x14ac:dyDescent="0.25">
      <c r="A1057" s="127">
        <v>44722</v>
      </c>
      <c r="B1057" s="128" t="s">
        <v>18886</v>
      </c>
      <c r="C1057" s="129" t="s">
        <v>314</v>
      </c>
      <c r="D1057" s="130">
        <v>4705.6000000000004</v>
      </c>
      <c r="E1057" s="131">
        <v>44722</v>
      </c>
      <c r="F1057" s="132">
        <v>4705.6000000000004</v>
      </c>
      <c r="G1057" s="133">
        <f>Tabla147[[#This Row],[Importe]]-Tabla147[[#This Row],[Pagado]]</f>
        <v>0</v>
      </c>
      <c r="H1057" s="134" t="s">
        <v>10</v>
      </c>
      <c r="I1057" s="135"/>
    </row>
    <row r="1058" spans="1:9" ht="21.75" customHeight="1" x14ac:dyDescent="0.25">
      <c r="A1058" s="127">
        <v>44722</v>
      </c>
      <c r="B1058" s="128" t="s">
        <v>18887</v>
      </c>
      <c r="C1058" s="129" t="s">
        <v>198</v>
      </c>
      <c r="D1058" s="130">
        <v>5650.2</v>
      </c>
      <c r="E1058" s="131">
        <v>44722</v>
      </c>
      <c r="F1058" s="132">
        <v>5650.2</v>
      </c>
      <c r="G1058" s="133">
        <f>Tabla147[[#This Row],[Importe]]-Tabla147[[#This Row],[Pagado]]</f>
        <v>0</v>
      </c>
      <c r="H1058" s="134" t="s">
        <v>10</v>
      </c>
      <c r="I1058" s="135"/>
    </row>
    <row r="1059" spans="1:9" ht="21.75" customHeight="1" x14ac:dyDescent="0.25">
      <c r="A1059" s="127">
        <v>44722</v>
      </c>
      <c r="B1059" s="128" t="s">
        <v>18888</v>
      </c>
      <c r="C1059" s="129" t="s">
        <v>175</v>
      </c>
      <c r="D1059" s="130">
        <v>15578</v>
      </c>
      <c r="E1059" s="131">
        <v>44722</v>
      </c>
      <c r="F1059" s="132">
        <v>15578</v>
      </c>
      <c r="G1059" s="133">
        <f>Tabla147[[#This Row],[Importe]]-Tabla147[[#This Row],[Pagado]]</f>
        <v>0</v>
      </c>
      <c r="H1059" s="134" t="s">
        <v>10</v>
      </c>
      <c r="I1059" s="135"/>
    </row>
    <row r="1060" spans="1:9" ht="21.75" customHeight="1" x14ac:dyDescent="0.25">
      <c r="A1060" s="127">
        <v>44722</v>
      </c>
      <c r="B1060" s="128" t="s">
        <v>18889</v>
      </c>
      <c r="C1060" s="129" t="s">
        <v>87</v>
      </c>
      <c r="D1060" s="130">
        <v>2745.5</v>
      </c>
      <c r="E1060" s="131">
        <v>44722</v>
      </c>
      <c r="F1060" s="132">
        <v>2745.5</v>
      </c>
      <c r="G1060" s="133">
        <f>Tabla147[[#This Row],[Importe]]-Tabla147[[#This Row],[Pagado]]</f>
        <v>0</v>
      </c>
      <c r="H1060" s="134" t="s">
        <v>10</v>
      </c>
      <c r="I1060" s="135"/>
    </row>
    <row r="1061" spans="1:9" ht="21.75" customHeight="1" x14ac:dyDescent="0.25">
      <c r="A1061" s="127">
        <v>44722</v>
      </c>
      <c r="B1061" s="128" t="s">
        <v>18890</v>
      </c>
      <c r="C1061" s="129" t="s">
        <v>181</v>
      </c>
      <c r="D1061" s="130">
        <v>12124.8</v>
      </c>
      <c r="E1061" s="131">
        <v>44722</v>
      </c>
      <c r="F1061" s="132">
        <v>12124.8</v>
      </c>
      <c r="G1061" s="133">
        <f>Tabla147[[#This Row],[Importe]]-Tabla147[[#This Row],[Pagado]]</f>
        <v>0</v>
      </c>
      <c r="H1061" s="134" t="s">
        <v>10</v>
      </c>
      <c r="I1061" s="135"/>
    </row>
    <row r="1062" spans="1:9" ht="21.75" customHeight="1" x14ac:dyDescent="0.25">
      <c r="A1062" s="127">
        <v>44722</v>
      </c>
      <c r="B1062" s="128" t="s">
        <v>18891</v>
      </c>
      <c r="C1062" s="129" t="s">
        <v>359</v>
      </c>
      <c r="D1062" s="130">
        <v>2526.5</v>
      </c>
      <c r="E1062" s="131">
        <v>44722</v>
      </c>
      <c r="F1062" s="132">
        <v>2526.5</v>
      </c>
      <c r="G1062" s="133">
        <f>Tabla147[[#This Row],[Importe]]-Tabla147[[#This Row],[Pagado]]</f>
        <v>0</v>
      </c>
      <c r="H1062" s="134" t="s">
        <v>10</v>
      </c>
      <c r="I1062" s="135"/>
    </row>
    <row r="1063" spans="1:9" ht="21.75" customHeight="1" x14ac:dyDescent="0.25">
      <c r="A1063" s="127">
        <v>44722</v>
      </c>
      <c r="B1063" s="128" t="s">
        <v>18892</v>
      </c>
      <c r="C1063" s="129" t="s">
        <v>1481</v>
      </c>
      <c r="D1063" s="130">
        <v>320.10000000000002</v>
      </c>
      <c r="E1063" s="131">
        <v>44722</v>
      </c>
      <c r="F1063" s="132">
        <v>320.10000000000002</v>
      </c>
      <c r="G1063" s="133">
        <f>Tabla147[[#This Row],[Importe]]-Tabla147[[#This Row],[Pagado]]</f>
        <v>0</v>
      </c>
      <c r="H1063" s="134" t="s">
        <v>10</v>
      </c>
      <c r="I1063" s="135"/>
    </row>
    <row r="1064" spans="1:9" ht="21.75" customHeight="1" x14ac:dyDescent="0.25">
      <c r="A1064" s="127">
        <v>44722</v>
      </c>
      <c r="B1064" s="128" t="s">
        <v>18893</v>
      </c>
      <c r="C1064" s="129" t="s">
        <v>200</v>
      </c>
      <c r="D1064" s="130">
        <v>680</v>
      </c>
      <c r="E1064" s="131">
        <v>44722</v>
      </c>
      <c r="F1064" s="132">
        <v>680</v>
      </c>
      <c r="G1064" s="133">
        <f>Tabla147[[#This Row],[Importe]]-Tabla147[[#This Row],[Pagado]]</f>
        <v>0</v>
      </c>
      <c r="H1064" s="134" t="s">
        <v>10</v>
      </c>
      <c r="I1064" s="135"/>
    </row>
    <row r="1065" spans="1:9" ht="21.75" customHeight="1" x14ac:dyDescent="0.25">
      <c r="A1065" s="127">
        <v>44722</v>
      </c>
      <c r="B1065" s="128" t="s">
        <v>18894</v>
      </c>
      <c r="C1065" s="129" t="s">
        <v>45</v>
      </c>
      <c r="D1065" s="130">
        <v>11781.6</v>
      </c>
      <c r="E1065" s="131">
        <v>44722</v>
      </c>
      <c r="F1065" s="132">
        <v>11781.6</v>
      </c>
      <c r="G1065" s="133">
        <f>Tabla147[[#This Row],[Importe]]-Tabla147[[#This Row],[Pagado]]</f>
        <v>0</v>
      </c>
      <c r="H1065" s="134" t="s">
        <v>10</v>
      </c>
      <c r="I1065" s="135"/>
    </row>
    <row r="1066" spans="1:9" ht="21.75" customHeight="1" x14ac:dyDescent="0.25">
      <c r="A1066" s="127">
        <v>44722</v>
      </c>
      <c r="B1066" s="128" t="s">
        <v>18895</v>
      </c>
      <c r="C1066" s="129" t="s">
        <v>146</v>
      </c>
      <c r="D1066" s="130">
        <v>12432</v>
      </c>
      <c r="E1066" s="131">
        <v>44722</v>
      </c>
      <c r="F1066" s="132">
        <v>12432</v>
      </c>
      <c r="G1066" s="133">
        <f>Tabla147[[#This Row],[Importe]]-Tabla147[[#This Row],[Pagado]]</f>
        <v>0</v>
      </c>
      <c r="H1066" s="134" t="s">
        <v>10</v>
      </c>
      <c r="I1066" s="135"/>
    </row>
    <row r="1067" spans="1:9" ht="21.75" customHeight="1" x14ac:dyDescent="0.25">
      <c r="A1067" s="127">
        <v>44722</v>
      </c>
      <c r="B1067" s="128" t="s">
        <v>18896</v>
      </c>
      <c r="C1067" s="129" t="s">
        <v>49</v>
      </c>
      <c r="D1067" s="130">
        <v>3240.5</v>
      </c>
      <c r="E1067" s="131">
        <v>44722</v>
      </c>
      <c r="F1067" s="132">
        <v>3240.5</v>
      </c>
      <c r="G1067" s="133">
        <f>Tabla147[[#This Row],[Importe]]-Tabla147[[#This Row],[Pagado]]</f>
        <v>0</v>
      </c>
      <c r="H1067" s="134" t="s">
        <v>10</v>
      </c>
      <c r="I1067" s="135"/>
    </row>
    <row r="1068" spans="1:9" ht="21.75" customHeight="1" x14ac:dyDescent="0.25">
      <c r="A1068" s="127">
        <v>44722</v>
      </c>
      <c r="B1068" s="128" t="s">
        <v>18897</v>
      </c>
      <c r="C1068" s="129" t="s">
        <v>51</v>
      </c>
      <c r="D1068" s="130">
        <v>945.2</v>
      </c>
      <c r="E1068" s="131">
        <v>44722</v>
      </c>
      <c r="F1068" s="132">
        <v>945.2</v>
      </c>
      <c r="G1068" s="133">
        <f>Tabla147[[#This Row],[Importe]]-Tabla147[[#This Row],[Pagado]]</f>
        <v>0</v>
      </c>
      <c r="H1068" s="134" t="s">
        <v>10</v>
      </c>
      <c r="I1068" s="135"/>
    </row>
    <row r="1069" spans="1:9" ht="21.75" customHeight="1" x14ac:dyDescent="0.25">
      <c r="A1069" s="127">
        <v>44722</v>
      </c>
      <c r="B1069" s="128" t="s">
        <v>18898</v>
      </c>
      <c r="C1069" s="129" t="s">
        <v>51</v>
      </c>
      <c r="D1069" s="130">
        <v>2469.6</v>
      </c>
      <c r="E1069" s="131">
        <v>44722</v>
      </c>
      <c r="F1069" s="132">
        <v>2469.6</v>
      </c>
      <c r="G1069" s="133">
        <f>Tabla147[[#This Row],[Importe]]-Tabla147[[#This Row],[Pagado]]</f>
        <v>0</v>
      </c>
      <c r="H1069" s="134" t="s">
        <v>10</v>
      </c>
      <c r="I1069" s="135"/>
    </row>
    <row r="1070" spans="1:9" ht="21.75" customHeight="1" x14ac:dyDescent="0.25">
      <c r="A1070" s="127">
        <v>44722</v>
      </c>
      <c r="B1070" s="128" t="s">
        <v>18899</v>
      </c>
      <c r="C1070" s="129" t="s">
        <v>365</v>
      </c>
      <c r="D1070" s="130">
        <v>1221.3</v>
      </c>
      <c r="E1070" s="131">
        <v>44722</v>
      </c>
      <c r="F1070" s="132">
        <v>1221.3</v>
      </c>
      <c r="G1070" s="133">
        <f>Tabla147[[#This Row],[Importe]]-Tabla147[[#This Row],[Pagado]]</f>
        <v>0</v>
      </c>
      <c r="H1070" s="134" t="s">
        <v>10</v>
      </c>
      <c r="I1070" s="135"/>
    </row>
    <row r="1071" spans="1:9" ht="21.75" customHeight="1" x14ac:dyDescent="0.25">
      <c r="A1071" s="127">
        <v>44722</v>
      </c>
      <c r="B1071" s="128" t="s">
        <v>18900</v>
      </c>
      <c r="C1071" s="129" t="s">
        <v>357</v>
      </c>
      <c r="D1071" s="130">
        <v>312</v>
      </c>
      <c r="E1071" s="131">
        <v>44722</v>
      </c>
      <c r="F1071" s="132">
        <v>312</v>
      </c>
      <c r="G1071" s="133">
        <f>Tabla147[[#This Row],[Importe]]-Tabla147[[#This Row],[Pagado]]</f>
        <v>0</v>
      </c>
      <c r="H1071" s="134" t="s">
        <v>10</v>
      </c>
      <c r="I1071" s="135"/>
    </row>
    <row r="1072" spans="1:9" ht="21.75" customHeight="1" x14ac:dyDescent="0.25">
      <c r="A1072" s="127">
        <v>44722</v>
      </c>
      <c r="B1072" s="128" t="s">
        <v>18901</v>
      </c>
      <c r="C1072" s="129" t="s">
        <v>140</v>
      </c>
      <c r="D1072" s="130">
        <v>954.6</v>
      </c>
      <c r="E1072" s="131">
        <v>44722</v>
      </c>
      <c r="F1072" s="132">
        <v>954.6</v>
      </c>
      <c r="G1072" s="133">
        <f>Tabla147[[#This Row],[Importe]]-Tabla147[[#This Row],[Pagado]]</f>
        <v>0</v>
      </c>
      <c r="H1072" s="134" t="s">
        <v>10</v>
      </c>
      <c r="I1072" s="135"/>
    </row>
    <row r="1073" spans="1:9" ht="21.75" customHeight="1" x14ac:dyDescent="0.25">
      <c r="A1073" s="127">
        <v>44722</v>
      </c>
      <c r="B1073" s="128" t="s">
        <v>18902</v>
      </c>
      <c r="C1073" s="129" t="s">
        <v>339</v>
      </c>
      <c r="D1073" s="130">
        <v>275.60000000000002</v>
      </c>
      <c r="E1073" s="131">
        <v>44722</v>
      </c>
      <c r="F1073" s="132">
        <v>275.60000000000002</v>
      </c>
      <c r="G1073" s="133">
        <f>Tabla147[[#This Row],[Importe]]-Tabla147[[#This Row],[Pagado]]</f>
        <v>0</v>
      </c>
      <c r="H1073" s="134" t="s">
        <v>10</v>
      </c>
      <c r="I1073" s="135"/>
    </row>
    <row r="1074" spans="1:9" ht="21.75" customHeight="1" x14ac:dyDescent="0.25">
      <c r="A1074" s="127">
        <v>44722</v>
      </c>
      <c r="B1074" s="128" t="s">
        <v>18903</v>
      </c>
      <c r="C1074" s="129" t="s">
        <v>127</v>
      </c>
      <c r="D1074" s="130">
        <v>2058.6</v>
      </c>
      <c r="E1074" s="131">
        <v>44722</v>
      </c>
      <c r="F1074" s="132">
        <v>2058.6</v>
      </c>
      <c r="G1074" s="133">
        <f>Tabla147[[#This Row],[Importe]]-Tabla147[[#This Row],[Pagado]]</f>
        <v>0</v>
      </c>
      <c r="H1074" s="134" t="s">
        <v>10</v>
      </c>
      <c r="I1074" s="135"/>
    </row>
    <row r="1075" spans="1:9" ht="21.75" customHeight="1" x14ac:dyDescent="0.25">
      <c r="A1075" s="127">
        <v>44722</v>
      </c>
      <c r="B1075" s="128" t="s">
        <v>18904</v>
      </c>
      <c r="C1075" s="129" t="s">
        <v>129</v>
      </c>
      <c r="D1075" s="130">
        <v>4872</v>
      </c>
      <c r="E1075" s="131">
        <v>44722</v>
      </c>
      <c r="F1075" s="132">
        <v>4872</v>
      </c>
      <c r="G1075" s="133">
        <f>Tabla147[[#This Row],[Importe]]-Tabla147[[#This Row],[Pagado]]</f>
        <v>0</v>
      </c>
      <c r="H1075" s="134" t="s">
        <v>10</v>
      </c>
      <c r="I1075" s="135"/>
    </row>
    <row r="1076" spans="1:9" ht="21.75" customHeight="1" x14ac:dyDescent="0.25">
      <c r="A1076" s="127">
        <v>44722</v>
      </c>
      <c r="B1076" s="128" t="s">
        <v>18905</v>
      </c>
      <c r="C1076" s="129" t="s">
        <v>142</v>
      </c>
      <c r="D1076" s="130">
        <v>157826.47</v>
      </c>
      <c r="E1076" s="131">
        <v>44760</v>
      </c>
      <c r="F1076" s="132">
        <v>157826.47</v>
      </c>
      <c r="G1076" s="133">
        <f>Tabla147[[#This Row],[Importe]]-Tabla147[[#This Row],[Pagado]]</f>
        <v>0</v>
      </c>
      <c r="H1076" s="134" t="s">
        <v>10</v>
      </c>
      <c r="I1076" s="135"/>
    </row>
    <row r="1077" spans="1:9" ht="21.75" customHeight="1" x14ac:dyDescent="0.25">
      <c r="A1077" s="127">
        <v>44722</v>
      </c>
      <c r="B1077" s="128" t="s">
        <v>18906</v>
      </c>
      <c r="C1077" s="129" t="s">
        <v>214</v>
      </c>
      <c r="D1077" s="130">
        <v>1380.4</v>
      </c>
      <c r="E1077" s="131">
        <v>44722</v>
      </c>
      <c r="F1077" s="132">
        <v>1380.4</v>
      </c>
      <c r="G1077" s="133">
        <f>Tabla147[[#This Row],[Importe]]-Tabla147[[#This Row],[Pagado]]</f>
        <v>0</v>
      </c>
      <c r="H1077" s="134" t="s">
        <v>10</v>
      </c>
      <c r="I1077" s="135"/>
    </row>
    <row r="1078" spans="1:9" ht="21.75" customHeight="1" x14ac:dyDescent="0.25">
      <c r="A1078" s="127">
        <v>44722</v>
      </c>
      <c r="B1078" s="128" t="s">
        <v>18907</v>
      </c>
      <c r="C1078" s="129" t="s">
        <v>133</v>
      </c>
      <c r="D1078" s="130">
        <v>21350</v>
      </c>
      <c r="E1078" s="131">
        <v>44723</v>
      </c>
      <c r="F1078" s="132">
        <v>21350</v>
      </c>
      <c r="G1078" s="133">
        <f>Tabla147[[#This Row],[Importe]]-Tabla147[[#This Row],[Pagado]]</f>
        <v>0</v>
      </c>
      <c r="H1078" s="134" t="s">
        <v>10</v>
      </c>
      <c r="I1078" s="135"/>
    </row>
    <row r="1079" spans="1:9" ht="21.75" customHeight="1" x14ac:dyDescent="0.25">
      <c r="A1079" s="127">
        <v>44722</v>
      </c>
      <c r="B1079" s="128" t="s">
        <v>18908</v>
      </c>
      <c r="C1079" s="129" t="s">
        <v>230</v>
      </c>
      <c r="D1079" s="130">
        <v>2619</v>
      </c>
      <c r="E1079" s="131">
        <v>44722</v>
      </c>
      <c r="F1079" s="132">
        <v>2619</v>
      </c>
      <c r="G1079" s="133">
        <f>Tabla147[[#This Row],[Importe]]-Tabla147[[#This Row],[Pagado]]</f>
        <v>0</v>
      </c>
      <c r="H1079" s="134" t="s">
        <v>10</v>
      </c>
      <c r="I1079" s="135"/>
    </row>
    <row r="1080" spans="1:9" ht="21.75" customHeight="1" x14ac:dyDescent="0.25">
      <c r="A1080" s="127">
        <v>44722</v>
      </c>
      <c r="B1080" s="128" t="s">
        <v>18909</v>
      </c>
      <c r="C1080" s="129" t="s">
        <v>670</v>
      </c>
      <c r="D1080" s="130">
        <v>4837.2</v>
      </c>
      <c r="E1080" s="131">
        <v>44722</v>
      </c>
      <c r="F1080" s="132">
        <v>4837.2</v>
      </c>
      <c r="G1080" s="133">
        <f>Tabla147[[#This Row],[Importe]]-Tabla147[[#This Row],[Pagado]]</f>
        <v>0</v>
      </c>
      <c r="H1080" s="134" t="s">
        <v>10</v>
      </c>
      <c r="I1080" s="135"/>
    </row>
    <row r="1081" spans="1:9" ht="21.75" customHeight="1" x14ac:dyDescent="0.25">
      <c r="A1081" s="127">
        <v>44722</v>
      </c>
      <c r="B1081" s="128" t="s">
        <v>18910</v>
      </c>
      <c r="C1081" s="129" t="s">
        <v>24</v>
      </c>
      <c r="D1081" s="130">
        <v>5539.7</v>
      </c>
      <c r="E1081" s="131">
        <v>44722</v>
      </c>
      <c r="F1081" s="132">
        <v>5539.7</v>
      </c>
      <c r="G1081" s="133">
        <f>Tabla147[[#This Row],[Importe]]-Tabla147[[#This Row],[Pagado]]</f>
        <v>0</v>
      </c>
      <c r="H1081" s="134" t="s">
        <v>10</v>
      </c>
      <c r="I1081" s="135"/>
    </row>
    <row r="1082" spans="1:9" ht="21.75" customHeight="1" x14ac:dyDescent="0.25">
      <c r="A1082" s="127">
        <v>44722</v>
      </c>
      <c r="B1082" s="128" t="s">
        <v>18911</v>
      </c>
      <c r="C1082" s="129" t="s">
        <v>31</v>
      </c>
      <c r="D1082" s="130">
        <v>2248.4</v>
      </c>
      <c r="E1082" s="131">
        <v>44722</v>
      </c>
      <c r="F1082" s="132">
        <v>2248.4</v>
      </c>
      <c r="G1082" s="133">
        <f>Tabla147[[#This Row],[Importe]]-Tabla147[[#This Row],[Pagado]]</f>
        <v>0</v>
      </c>
      <c r="H1082" s="134" t="s">
        <v>10</v>
      </c>
      <c r="I1082" s="135"/>
    </row>
    <row r="1083" spans="1:9" ht="21.75" customHeight="1" x14ac:dyDescent="0.25">
      <c r="A1083" s="127">
        <v>44722</v>
      </c>
      <c r="B1083" s="128" t="s">
        <v>18912</v>
      </c>
      <c r="C1083" s="129" t="s">
        <v>224</v>
      </c>
      <c r="D1083" s="130">
        <v>1533.9</v>
      </c>
      <c r="E1083" s="131">
        <v>44722</v>
      </c>
      <c r="F1083" s="132">
        <v>1533.9</v>
      </c>
      <c r="G1083" s="133">
        <f>Tabla147[[#This Row],[Importe]]-Tabla147[[#This Row],[Pagado]]</f>
        <v>0</v>
      </c>
      <c r="H1083" s="134" t="s">
        <v>10</v>
      </c>
      <c r="I1083" s="135"/>
    </row>
    <row r="1084" spans="1:9" ht="21.75" customHeight="1" x14ac:dyDescent="0.25">
      <c r="A1084" s="127">
        <v>44722</v>
      </c>
      <c r="B1084" s="128" t="s">
        <v>18913</v>
      </c>
      <c r="C1084" s="129" t="s">
        <v>592</v>
      </c>
      <c r="D1084" s="130">
        <v>36624.400000000001</v>
      </c>
      <c r="E1084" s="131">
        <v>44730</v>
      </c>
      <c r="F1084" s="132">
        <v>36624.400000000001</v>
      </c>
      <c r="G1084" s="133">
        <f>Tabla147[[#This Row],[Importe]]-Tabla147[[#This Row],[Pagado]]</f>
        <v>0</v>
      </c>
      <c r="H1084" s="134" t="s">
        <v>10</v>
      </c>
      <c r="I1084" s="135"/>
    </row>
    <row r="1085" spans="1:9" ht="21.75" customHeight="1" x14ac:dyDescent="0.25">
      <c r="A1085" s="127">
        <v>44722</v>
      </c>
      <c r="B1085" s="128" t="s">
        <v>18914</v>
      </c>
      <c r="C1085" s="129" t="s">
        <v>5816</v>
      </c>
      <c r="D1085" s="130">
        <v>4996.8</v>
      </c>
      <c r="E1085" s="131">
        <v>44723</v>
      </c>
      <c r="F1085" s="132">
        <v>4996.8</v>
      </c>
      <c r="G1085" s="133">
        <f>Tabla147[[#This Row],[Importe]]-Tabla147[[#This Row],[Pagado]]</f>
        <v>0</v>
      </c>
      <c r="H1085" s="134" t="s">
        <v>10</v>
      </c>
      <c r="I1085" s="135"/>
    </row>
    <row r="1086" spans="1:9" ht="21.75" customHeight="1" x14ac:dyDescent="0.25">
      <c r="A1086" s="127">
        <v>44722</v>
      </c>
      <c r="B1086" s="128" t="s">
        <v>18915</v>
      </c>
      <c r="C1086" s="129" t="s">
        <v>849</v>
      </c>
      <c r="D1086" s="130">
        <v>3326.4</v>
      </c>
      <c r="E1086" s="131">
        <v>44722</v>
      </c>
      <c r="F1086" s="132">
        <v>3326.4</v>
      </c>
      <c r="G1086" s="133">
        <f>Tabla147[[#This Row],[Importe]]-Tabla147[[#This Row],[Pagado]]</f>
        <v>0</v>
      </c>
      <c r="H1086" s="134" t="s">
        <v>10</v>
      </c>
      <c r="I1086" s="135"/>
    </row>
    <row r="1087" spans="1:9" ht="21.75" customHeight="1" x14ac:dyDescent="0.25">
      <c r="A1087" s="127">
        <v>44722</v>
      </c>
      <c r="B1087" s="128" t="s">
        <v>18916</v>
      </c>
      <c r="C1087" s="129" t="s">
        <v>1275</v>
      </c>
      <c r="D1087" s="130">
        <v>29363.18</v>
      </c>
      <c r="E1087" s="131">
        <v>44722</v>
      </c>
      <c r="F1087" s="132">
        <v>29363.18</v>
      </c>
      <c r="G1087" s="133">
        <f>Tabla147[[#This Row],[Importe]]-Tabla147[[#This Row],[Pagado]]</f>
        <v>0</v>
      </c>
      <c r="H1087" s="134" t="s">
        <v>10</v>
      </c>
      <c r="I1087" s="135"/>
    </row>
    <row r="1088" spans="1:9" ht="21.75" customHeight="1" x14ac:dyDescent="0.25">
      <c r="A1088" s="127">
        <v>44722</v>
      </c>
      <c r="B1088" s="128" t="s">
        <v>18917</v>
      </c>
      <c r="C1088" s="129" t="s">
        <v>179</v>
      </c>
      <c r="D1088" s="130">
        <v>1360</v>
      </c>
      <c r="E1088" s="131">
        <v>44722</v>
      </c>
      <c r="F1088" s="132">
        <v>1360</v>
      </c>
      <c r="G1088" s="133">
        <f>Tabla147[[#This Row],[Importe]]-Tabla147[[#This Row],[Pagado]]</f>
        <v>0</v>
      </c>
      <c r="H1088" s="134" t="s">
        <v>10</v>
      </c>
      <c r="I1088" s="135"/>
    </row>
    <row r="1089" spans="1:9" ht="21.75" customHeight="1" x14ac:dyDescent="0.25">
      <c r="A1089" s="127">
        <v>44722</v>
      </c>
      <c r="B1089" s="128" t="s">
        <v>18918</v>
      </c>
      <c r="C1089" s="129" t="s">
        <v>541</v>
      </c>
      <c r="D1089" s="130">
        <v>7176</v>
      </c>
      <c r="E1089" s="131">
        <v>44723</v>
      </c>
      <c r="F1089" s="132">
        <v>7176</v>
      </c>
      <c r="G1089" s="133">
        <f>Tabla147[[#This Row],[Importe]]-Tabla147[[#This Row],[Pagado]]</f>
        <v>0</v>
      </c>
      <c r="H1089" s="134" t="s">
        <v>10</v>
      </c>
      <c r="I1089" s="135"/>
    </row>
    <row r="1090" spans="1:9" ht="21.75" customHeight="1" x14ac:dyDescent="0.25">
      <c r="A1090" s="127">
        <v>44722</v>
      </c>
      <c r="B1090" s="128" t="s">
        <v>18919</v>
      </c>
      <c r="C1090" s="129" t="s">
        <v>31</v>
      </c>
      <c r="D1090" s="130">
        <v>1395</v>
      </c>
      <c r="E1090" s="131">
        <v>44722</v>
      </c>
      <c r="F1090" s="132">
        <v>1395</v>
      </c>
      <c r="G1090" s="133">
        <f>Tabla147[[#This Row],[Importe]]-Tabla147[[#This Row],[Pagado]]</f>
        <v>0</v>
      </c>
      <c r="H1090" s="134" t="s">
        <v>10</v>
      </c>
      <c r="I1090" s="135"/>
    </row>
    <row r="1091" spans="1:9" ht="21.75" customHeight="1" x14ac:dyDescent="0.25">
      <c r="A1091" s="127">
        <v>44722</v>
      </c>
      <c r="B1091" s="128" t="s">
        <v>18920</v>
      </c>
      <c r="C1091" s="129" t="s">
        <v>31</v>
      </c>
      <c r="D1091" s="130">
        <v>3758.4</v>
      </c>
      <c r="E1091" s="131">
        <v>44722</v>
      </c>
      <c r="F1091" s="132">
        <v>3758.4</v>
      </c>
      <c r="G1091" s="133">
        <f>Tabla147[[#This Row],[Importe]]-Tabla147[[#This Row],[Pagado]]</f>
        <v>0</v>
      </c>
      <c r="H1091" s="134" t="s">
        <v>10</v>
      </c>
      <c r="I1091" s="135"/>
    </row>
    <row r="1092" spans="1:9" ht="21.75" customHeight="1" x14ac:dyDescent="0.25">
      <c r="A1092" s="127">
        <v>44722</v>
      </c>
      <c r="B1092" s="128" t="s">
        <v>18921</v>
      </c>
      <c r="C1092" s="129" t="s">
        <v>204</v>
      </c>
      <c r="D1092" s="130">
        <v>2050</v>
      </c>
      <c r="E1092" s="131">
        <v>44722</v>
      </c>
      <c r="F1092" s="132">
        <v>2050</v>
      </c>
      <c r="G1092" s="133">
        <f>Tabla147[[#This Row],[Importe]]-Tabla147[[#This Row],[Pagado]]</f>
        <v>0</v>
      </c>
      <c r="H1092" s="134" t="s">
        <v>10</v>
      </c>
      <c r="I1092" s="135"/>
    </row>
    <row r="1093" spans="1:9" ht="21.75" customHeight="1" x14ac:dyDescent="0.25">
      <c r="A1093" s="127">
        <v>44722</v>
      </c>
      <c r="B1093" s="128" t="s">
        <v>18922</v>
      </c>
      <c r="C1093" s="129" t="s">
        <v>16</v>
      </c>
      <c r="D1093" s="130">
        <v>15456</v>
      </c>
      <c r="E1093" s="131">
        <v>44722</v>
      </c>
      <c r="F1093" s="132">
        <v>15456</v>
      </c>
      <c r="G1093" s="133">
        <f>Tabla147[[#This Row],[Importe]]-Tabla147[[#This Row],[Pagado]]</f>
        <v>0</v>
      </c>
      <c r="H1093" s="134" t="s">
        <v>10</v>
      </c>
      <c r="I1093" s="135"/>
    </row>
    <row r="1094" spans="1:9" ht="21.75" customHeight="1" x14ac:dyDescent="0.25">
      <c r="A1094" s="127">
        <v>44722</v>
      </c>
      <c r="B1094" s="128" t="s">
        <v>18923</v>
      </c>
      <c r="C1094" s="129" t="s">
        <v>15039</v>
      </c>
      <c r="D1094" s="130">
        <v>3605</v>
      </c>
      <c r="E1094" s="131">
        <v>44722</v>
      </c>
      <c r="F1094" s="132">
        <v>3605</v>
      </c>
      <c r="G1094" s="133">
        <f>Tabla147[[#This Row],[Importe]]-Tabla147[[#This Row],[Pagado]]</f>
        <v>0</v>
      </c>
      <c r="H1094" s="134" t="s">
        <v>10</v>
      </c>
      <c r="I1094" s="135"/>
    </row>
    <row r="1095" spans="1:9" ht="21.75" customHeight="1" x14ac:dyDescent="0.25">
      <c r="A1095" s="127">
        <v>44722</v>
      </c>
      <c r="B1095" s="128" t="s">
        <v>18924</v>
      </c>
      <c r="C1095" s="129" t="s">
        <v>31</v>
      </c>
      <c r="D1095" s="130">
        <v>1992.4</v>
      </c>
      <c r="E1095" s="131">
        <v>44722</v>
      </c>
      <c r="F1095" s="132">
        <v>1992.4</v>
      </c>
      <c r="G1095" s="133">
        <f>Tabla147[[#This Row],[Importe]]-Tabla147[[#This Row],[Pagado]]</f>
        <v>0</v>
      </c>
      <c r="H1095" s="134" t="s">
        <v>10</v>
      </c>
      <c r="I1095" s="135"/>
    </row>
    <row r="1096" spans="1:9" ht="21.75" customHeight="1" x14ac:dyDescent="0.25">
      <c r="A1096" s="127">
        <v>44722</v>
      </c>
      <c r="B1096" s="128" t="s">
        <v>18925</v>
      </c>
      <c r="C1096" s="129" t="s">
        <v>9827</v>
      </c>
      <c r="D1096" s="130">
        <v>2216.8000000000002</v>
      </c>
      <c r="E1096" s="131">
        <v>44722</v>
      </c>
      <c r="F1096" s="132">
        <v>2216.8000000000002</v>
      </c>
      <c r="G1096" s="133">
        <f>Tabla147[[#This Row],[Importe]]-Tabla147[[#This Row],[Pagado]]</f>
        <v>0</v>
      </c>
      <c r="H1096" s="134" t="s">
        <v>10</v>
      </c>
      <c r="I1096" s="135"/>
    </row>
    <row r="1097" spans="1:9" ht="21.75" customHeight="1" x14ac:dyDescent="0.25">
      <c r="A1097" s="127">
        <v>44722</v>
      </c>
      <c r="B1097" s="128" t="s">
        <v>18926</v>
      </c>
      <c r="C1097" s="129" t="s">
        <v>56</v>
      </c>
      <c r="D1097" s="130">
        <v>2545.6</v>
      </c>
      <c r="E1097" s="131">
        <v>44722</v>
      </c>
      <c r="F1097" s="132">
        <v>2545.6</v>
      </c>
      <c r="G1097" s="133">
        <f>Tabla147[[#This Row],[Importe]]-Tabla147[[#This Row],[Pagado]]</f>
        <v>0</v>
      </c>
      <c r="H1097" s="134" t="s">
        <v>10</v>
      </c>
      <c r="I1097" s="135"/>
    </row>
    <row r="1098" spans="1:9" ht="21.75" customHeight="1" x14ac:dyDescent="0.25">
      <c r="A1098" s="127">
        <v>44722</v>
      </c>
      <c r="B1098" s="128" t="s">
        <v>18927</v>
      </c>
      <c r="C1098" s="129" t="s">
        <v>67</v>
      </c>
      <c r="D1098" s="130">
        <v>11134.3</v>
      </c>
      <c r="E1098" s="131">
        <v>44722</v>
      </c>
      <c r="F1098" s="132">
        <v>11134.3</v>
      </c>
      <c r="G1098" s="133">
        <f>Tabla147[[#This Row],[Importe]]-Tabla147[[#This Row],[Pagado]]</f>
        <v>0</v>
      </c>
      <c r="H1098" s="134" t="s">
        <v>10</v>
      </c>
      <c r="I1098" s="135"/>
    </row>
    <row r="1099" spans="1:9" ht="21.75" customHeight="1" x14ac:dyDescent="0.25">
      <c r="A1099" s="127">
        <v>44722</v>
      </c>
      <c r="B1099" s="128" t="s">
        <v>18928</v>
      </c>
      <c r="C1099" s="129" t="s">
        <v>56</v>
      </c>
      <c r="D1099" s="130">
        <v>4004.4</v>
      </c>
      <c r="E1099" s="131">
        <v>44722</v>
      </c>
      <c r="F1099" s="132">
        <v>4004.4</v>
      </c>
      <c r="G1099" s="133">
        <f>Tabla147[[#This Row],[Importe]]-Tabla147[[#This Row],[Pagado]]</f>
        <v>0</v>
      </c>
      <c r="H1099" s="134" t="s">
        <v>10</v>
      </c>
      <c r="I1099" s="135"/>
    </row>
    <row r="1100" spans="1:9" ht="21.75" customHeight="1" x14ac:dyDescent="0.25">
      <c r="A1100" s="127">
        <v>44722</v>
      </c>
      <c r="B1100" s="128" t="s">
        <v>18929</v>
      </c>
      <c r="C1100" s="129" t="s">
        <v>3747</v>
      </c>
      <c r="D1100" s="130">
        <v>17875.599999999999</v>
      </c>
      <c r="E1100" s="131">
        <v>44722</v>
      </c>
      <c r="F1100" s="132">
        <v>17875.599999999999</v>
      </c>
      <c r="G1100" s="133">
        <f>Tabla147[[#This Row],[Importe]]-Tabla147[[#This Row],[Pagado]]</f>
        <v>0</v>
      </c>
      <c r="H1100" s="134" t="s">
        <v>10</v>
      </c>
      <c r="I1100" s="135"/>
    </row>
    <row r="1101" spans="1:9" ht="21.75" customHeight="1" x14ac:dyDescent="0.25">
      <c r="A1101" s="127">
        <v>44722</v>
      </c>
      <c r="B1101" s="128" t="s">
        <v>18930</v>
      </c>
      <c r="C1101" s="129" t="s">
        <v>698</v>
      </c>
      <c r="D1101" s="130">
        <v>6102.6</v>
      </c>
      <c r="E1101" s="131">
        <v>44722</v>
      </c>
      <c r="F1101" s="132">
        <v>6102.6</v>
      </c>
      <c r="G1101" s="133">
        <f>Tabla147[[#This Row],[Importe]]-Tabla147[[#This Row],[Pagado]]</f>
        <v>0</v>
      </c>
      <c r="H1101" s="134" t="s">
        <v>10</v>
      </c>
      <c r="I1101" s="135"/>
    </row>
    <row r="1102" spans="1:9" ht="21.75" customHeight="1" x14ac:dyDescent="0.25">
      <c r="A1102" s="127">
        <v>44722</v>
      </c>
      <c r="B1102" s="128" t="s">
        <v>18931</v>
      </c>
      <c r="C1102" s="129" t="s">
        <v>58</v>
      </c>
      <c r="D1102" s="130">
        <v>3013.2</v>
      </c>
      <c r="E1102" s="131">
        <v>44722</v>
      </c>
      <c r="F1102" s="132">
        <v>3013.2</v>
      </c>
      <c r="G1102" s="133">
        <f>Tabla147[[#This Row],[Importe]]-Tabla147[[#This Row],[Pagado]]</f>
        <v>0</v>
      </c>
      <c r="H1102" s="134" t="s">
        <v>10</v>
      </c>
      <c r="I1102" s="135"/>
    </row>
    <row r="1103" spans="1:9" ht="21.75" customHeight="1" x14ac:dyDescent="0.25">
      <c r="A1103" s="127">
        <v>44722</v>
      </c>
      <c r="B1103" s="128" t="s">
        <v>18932</v>
      </c>
      <c r="C1103" s="129" t="s">
        <v>31</v>
      </c>
      <c r="D1103" s="130">
        <v>5223.3</v>
      </c>
      <c r="E1103" s="131">
        <v>44722</v>
      </c>
      <c r="F1103" s="132">
        <v>5223.3</v>
      </c>
      <c r="G1103" s="133">
        <f>Tabla147[[#This Row],[Importe]]-Tabla147[[#This Row],[Pagado]]</f>
        <v>0</v>
      </c>
      <c r="H1103" s="134" t="s">
        <v>10</v>
      </c>
      <c r="I1103" s="135"/>
    </row>
    <row r="1104" spans="1:9" ht="21.75" customHeight="1" x14ac:dyDescent="0.25">
      <c r="A1104" s="127">
        <v>44722</v>
      </c>
      <c r="B1104" s="128" t="s">
        <v>18933</v>
      </c>
      <c r="C1104" s="129" t="s">
        <v>4136</v>
      </c>
      <c r="D1104" s="130">
        <v>4005.2</v>
      </c>
      <c r="E1104" s="131">
        <v>44722</v>
      </c>
      <c r="F1104" s="132">
        <v>4005.2</v>
      </c>
      <c r="G1104" s="133">
        <f>Tabla147[[#This Row],[Importe]]-Tabla147[[#This Row],[Pagado]]</f>
        <v>0</v>
      </c>
      <c r="H1104" s="134" t="s">
        <v>10</v>
      </c>
      <c r="I1104" s="135"/>
    </row>
    <row r="1105" spans="1:9" ht="21.75" customHeight="1" x14ac:dyDescent="0.25">
      <c r="A1105" s="127">
        <v>44722</v>
      </c>
      <c r="B1105" s="128" t="s">
        <v>18934</v>
      </c>
      <c r="C1105" s="129" t="s">
        <v>244</v>
      </c>
      <c r="D1105" s="130">
        <v>1270.9000000000001</v>
      </c>
      <c r="E1105" s="131">
        <v>44722</v>
      </c>
      <c r="F1105" s="132">
        <v>1270.9000000000001</v>
      </c>
      <c r="G1105" s="133">
        <f>Tabla147[[#This Row],[Importe]]-Tabla147[[#This Row],[Pagado]]</f>
        <v>0</v>
      </c>
      <c r="H1105" s="134" t="s">
        <v>10</v>
      </c>
      <c r="I1105" s="135"/>
    </row>
    <row r="1106" spans="1:9" ht="21.75" customHeight="1" x14ac:dyDescent="0.25">
      <c r="A1106" s="127">
        <v>44722</v>
      </c>
      <c r="B1106" s="128" t="s">
        <v>18935</v>
      </c>
      <c r="C1106" s="129" t="s">
        <v>196</v>
      </c>
      <c r="D1106" s="130">
        <v>6456</v>
      </c>
      <c r="E1106" s="131">
        <v>44722</v>
      </c>
      <c r="F1106" s="132">
        <v>6456</v>
      </c>
      <c r="G1106" s="133">
        <f>Tabla147[[#This Row],[Importe]]-Tabla147[[#This Row],[Pagado]]</f>
        <v>0</v>
      </c>
      <c r="H1106" s="134" t="s">
        <v>10</v>
      </c>
      <c r="I1106" s="135"/>
    </row>
    <row r="1107" spans="1:9" ht="21.75" customHeight="1" x14ac:dyDescent="0.25">
      <c r="A1107" s="127">
        <v>44722</v>
      </c>
      <c r="B1107" s="128" t="s">
        <v>18936</v>
      </c>
      <c r="C1107" s="129" t="s">
        <v>107</v>
      </c>
      <c r="D1107" s="130">
        <v>15513</v>
      </c>
      <c r="E1107" s="131">
        <v>44722</v>
      </c>
      <c r="F1107" s="132">
        <v>15513</v>
      </c>
      <c r="G1107" s="133">
        <f>Tabla147[[#This Row],[Importe]]-Tabla147[[#This Row],[Pagado]]</f>
        <v>0</v>
      </c>
      <c r="H1107" s="134" t="s">
        <v>10</v>
      </c>
      <c r="I1107" s="135"/>
    </row>
    <row r="1108" spans="1:9" ht="21.75" customHeight="1" x14ac:dyDescent="0.25">
      <c r="A1108" s="127">
        <v>44722</v>
      </c>
      <c r="B1108" s="128" t="s">
        <v>18937</v>
      </c>
      <c r="C1108" s="129" t="s">
        <v>9827</v>
      </c>
      <c r="D1108" s="130">
        <v>2900.2</v>
      </c>
      <c r="E1108" s="131">
        <v>44722</v>
      </c>
      <c r="F1108" s="132">
        <v>2900.2</v>
      </c>
      <c r="G1108" s="133">
        <f>Tabla147[[#This Row],[Importe]]-Tabla147[[#This Row],[Pagado]]</f>
        <v>0</v>
      </c>
      <c r="H1108" s="134" t="s">
        <v>10</v>
      </c>
      <c r="I1108" s="135"/>
    </row>
    <row r="1109" spans="1:9" ht="21.75" customHeight="1" x14ac:dyDescent="0.25">
      <c r="A1109" s="127">
        <v>44722</v>
      </c>
      <c r="B1109" s="128" t="s">
        <v>18938</v>
      </c>
      <c r="C1109" s="129" t="s">
        <v>214</v>
      </c>
      <c r="D1109" s="130">
        <v>490</v>
      </c>
      <c r="E1109" s="131">
        <v>44722</v>
      </c>
      <c r="F1109" s="132">
        <v>490</v>
      </c>
      <c r="G1109" s="133">
        <f>Tabla147[[#This Row],[Importe]]-Tabla147[[#This Row],[Pagado]]</f>
        <v>0</v>
      </c>
      <c r="H1109" s="134" t="s">
        <v>10</v>
      </c>
      <c r="I1109" s="135"/>
    </row>
    <row r="1110" spans="1:9" ht="21.75" customHeight="1" x14ac:dyDescent="0.25">
      <c r="A1110" s="127">
        <v>44722</v>
      </c>
      <c r="B1110" s="128" t="s">
        <v>18939</v>
      </c>
      <c r="C1110" s="129" t="s">
        <v>654</v>
      </c>
      <c r="D1110" s="130">
        <v>7100.1</v>
      </c>
      <c r="E1110" s="131">
        <v>44722</v>
      </c>
      <c r="F1110" s="132">
        <v>7100.1</v>
      </c>
      <c r="G1110" s="133">
        <f>Tabla147[[#This Row],[Importe]]-Tabla147[[#This Row],[Pagado]]</f>
        <v>0</v>
      </c>
      <c r="H1110" s="134" t="s">
        <v>10</v>
      </c>
      <c r="I1110" s="135"/>
    </row>
    <row r="1111" spans="1:9" ht="21.75" customHeight="1" x14ac:dyDescent="0.25">
      <c r="A1111" s="127">
        <v>44722</v>
      </c>
      <c r="B1111" s="128" t="s">
        <v>18940</v>
      </c>
      <c r="C1111" s="129" t="s">
        <v>31</v>
      </c>
      <c r="D1111" s="130">
        <v>624.79999999999995</v>
      </c>
      <c r="E1111" s="131">
        <v>44722</v>
      </c>
      <c r="F1111" s="132">
        <v>624.79999999999995</v>
      </c>
      <c r="G1111" s="133">
        <f>Tabla147[[#This Row],[Importe]]-Tabla147[[#This Row],[Pagado]]</f>
        <v>0</v>
      </c>
      <c r="H1111" s="134" t="s">
        <v>10</v>
      </c>
      <c r="I1111" s="135"/>
    </row>
    <row r="1112" spans="1:9" ht="31.5" x14ac:dyDescent="0.25">
      <c r="A1112" s="127">
        <v>44722</v>
      </c>
      <c r="B1112" s="128" t="s">
        <v>18941</v>
      </c>
      <c r="C1112" s="129" t="s">
        <v>275</v>
      </c>
      <c r="D1112" s="130">
        <v>113042.23</v>
      </c>
      <c r="E1112" s="131" t="s">
        <v>18942</v>
      </c>
      <c r="F1112" s="132">
        <f>56520.7+56521.53</f>
        <v>113042.23</v>
      </c>
      <c r="G1112" s="133">
        <f>Tabla147[[#This Row],[Importe]]-Tabla147[[#This Row],[Pagado]]</f>
        <v>0</v>
      </c>
      <c r="H1112" s="134" t="s">
        <v>10</v>
      </c>
      <c r="I1112" s="135"/>
    </row>
    <row r="1113" spans="1:9" ht="21.75" customHeight="1" x14ac:dyDescent="0.25">
      <c r="A1113" s="127">
        <v>44722</v>
      </c>
      <c r="B1113" s="128" t="s">
        <v>18943</v>
      </c>
      <c r="C1113" s="129" t="s">
        <v>9</v>
      </c>
      <c r="D1113" s="130">
        <v>3779.4</v>
      </c>
      <c r="E1113" s="131">
        <v>44722</v>
      </c>
      <c r="F1113" s="132">
        <v>3779.4</v>
      </c>
      <c r="G1113" s="133">
        <f>Tabla147[[#This Row],[Importe]]-Tabla147[[#This Row],[Pagado]]</f>
        <v>0</v>
      </c>
      <c r="H1113" s="134" t="s">
        <v>10</v>
      </c>
      <c r="I1113" s="135"/>
    </row>
    <row r="1114" spans="1:9" ht="21.75" customHeight="1" x14ac:dyDescent="0.25">
      <c r="A1114" s="127">
        <v>44722</v>
      </c>
      <c r="B1114" s="128" t="s">
        <v>18944</v>
      </c>
      <c r="C1114" s="129" t="s">
        <v>470</v>
      </c>
      <c r="D1114" s="130">
        <v>18178.599999999999</v>
      </c>
      <c r="E1114" s="131">
        <v>44722</v>
      </c>
      <c r="F1114" s="132">
        <v>18178.599999999999</v>
      </c>
      <c r="G1114" s="133">
        <f>Tabla147[[#This Row],[Importe]]-Tabla147[[#This Row],[Pagado]]</f>
        <v>0</v>
      </c>
      <c r="H1114" s="134" t="s">
        <v>10</v>
      </c>
      <c r="I1114" s="135"/>
    </row>
    <row r="1115" spans="1:9" ht="21.75" customHeight="1" x14ac:dyDescent="0.25">
      <c r="A1115" s="127">
        <v>44722</v>
      </c>
      <c r="B1115" s="128" t="s">
        <v>18945</v>
      </c>
      <c r="C1115" s="129" t="s">
        <v>555</v>
      </c>
      <c r="D1115" s="130">
        <v>19947.599999999999</v>
      </c>
      <c r="E1115" s="131">
        <v>44722</v>
      </c>
      <c r="F1115" s="132">
        <v>19947.599999999999</v>
      </c>
      <c r="G1115" s="133">
        <f>Tabla147[[#This Row],[Importe]]-Tabla147[[#This Row],[Pagado]]</f>
        <v>0</v>
      </c>
      <c r="H1115" s="134" t="s">
        <v>10</v>
      </c>
      <c r="I1115" s="135"/>
    </row>
    <row r="1116" spans="1:9" ht="21.75" customHeight="1" x14ac:dyDescent="0.25">
      <c r="A1116" s="127">
        <v>44722</v>
      </c>
      <c r="B1116" s="128" t="s">
        <v>18946</v>
      </c>
      <c r="C1116" s="129" t="s">
        <v>53</v>
      </c>
      <c r="D1116" s="130">
        <v>2023.5</v>
      </c>
      <c r="E1116" s="131">
        <v>44722</v>
      </c>
      <c r="F1116" s="132">
        <v>2023.5</v>
      </c>
      <c r="G1116" s="133">
        <f>Tabla147[[#This Row],[Importe]]-Tabla147[[#This Row],[Pagado]]</f>
        <v>0</v>
      </c>
      <c r="H1116" s="134" t="s">
        <v>10</v>
      </c>
      <c r="I1116" s="135"/>
    </row>
    <row r="1117" spans="1:9" ht="21.75" customHeight="1" x14ac:dyDescent="0.25">
      <c r="A1117" s="127">
        <v>44722</v>
      </c>
      <c r="B1117" s="128" t="s">
        <v>18947</v>
      </c>
      <c r="C1117" s="129" t="s">
        <v>71</v>
      </c>
      <c r="D1117" s="130">
        <v>2337</v>
      </c>
      <c r="E1117" s="131">
        <v>44722</v>
      </c>
      <c r="F1117" s="132">
        <v>2337</v>
      </c>
      <c r="G1117" s="133">
        <f>Tabla147[[#This Row],[Importe]]-Tabla147[[#This Row],[Pagado]]</f>
        <v>0</v>
      </c>
      <c r="H1117" s="134" t="s">
        <v>10</v>
      </c>
      <c r="I1117" s="135"/>
    </row>
    <row r="1118" spans="1:9" ht="21.75" customHeight="1" x14ac:dyDescent="0.25">
      <c r="A1118" s="127">
        <v>44722</v>
      </c>
      <c r="B1118" s="128" t="s">
        <v>18948</v>
      </c>
      <c r="C1118" s="129" t="s">
        <v>10678</v>
      </c>
      <c r="D1118" s="130">
        <v>2265.1</v>
      </c>
      <c r="E1118" s="131">
        <v>44722</v>
      </c>
      <c r="F1118" s="132">
        <v>2265.1</v>
      </c>
      <c r="G1118" s="133">
        <f>Tabla147[[#This Row],[Importe]]-Tabla147[[#This Row],[Pagado]]</f>
        <v>0</v>
      </c>
      <c r="H1118" s="134" t="s">
        <v>10</v>
      </c>
      <c r="I1118" s="135"/>
    </row>
    <row r="1119" spans="1:9" ht="21.75" customHeight="1" x14ac:dyDescent="0.25">
      <c r="A1119" s="127">
        <v>44722</v>
      </c>
      <c r="B1119" s="128" t="s">
        <v>18949</v>
      </c>
      <c r="C1119" s="129" t="s">
        <v>22</v>
      </c>
      <c r="D1119" s="130">
        <v>5793.8</v>
      </c>
      <c r="E1119" s="131">
        <v>44723</v>
      </c>
      <c r="F1119" s="132">
        <v>5793.8</v>
      </c>
      <c r="G1119" s="133">
        <f>Tabla147[[#This Row],[Importe]]-Tabla147[[#This Row],[Pagado]]</f>
        <v>0</v>
      </c>
      <c r="H1119" s="134" t="s">
        <v>10</v>
      </c>
      <c r="I1119" s="135"/>
    </row>
    <row r="1120" spans="1:9" ht="21.75" customHeight="1" x14ac:dyDescent="0.25">
      <c r="A1120" s="127">
        <v>44722</v>
      </c>
      <c r="B1120" s="128" t="s">
        <v>18950</v>
      </c>
      <c r="C1120" s="129" t="s">
        <v>857</v>
      </c>
      <c r="D1120" s="130">
        <v>460.8</v>
      </c>
      <c r="E1120" s="131">
        <v>44722</v>
      </c>
      <c r="F1120" s="132">
        <v>460.8</v>
      </c>
      <c r="G1120" s="133">
        <f>Tabla147[[#This Row],[Importe]]-Tabla147[[#This Row],[Pagado]]</f>
        <v>0</v>
      </c>
      <c r="H1120" s="134" t="s">
        <v>10</v>
      </c>
      <c r="I1120" s="135"/>
    </row>
    <row r="1121" spans="1:9" ht="21.75" customHeight="1" x14ac:dyDescent="0.25">
      <c r="A1121" s="127">
        <v>44722</v>
      </c>
      <c r="B1121" s="128" t="s">
        <v>18951</v>
      </c>
      <c r="C1121" s="129" t="s">
        <v>275</v>
      </c>
      <c r="D1121" s="130">
        <v>96092.4</v>
      </c>
      <c r="E1121" s="131">
        <v>44736</v>
      </c>
      <c r="F1121" s="132">
        <v>96092.4</v>
      </c>
      <c r="G1121" s="133">
        <f>Tabla147[[#This Row],[Importe]]-Tabla147[[#This Row],[Pagado]]</f>
        <v>0</v>
      </c>
      <c r="H1121" s="134" t="s">
        <v>10</v>
      </c>
      <c r="I1121" s="135"/>
    </row>
    <row r="1122" spans="1:9" ht="21.75" customHeight="1" x14ac:dyDescent="0.25">
      <c r="A1122" s="127">
        <v>44722</v>
      </c>
      <c r="B1122" s="128" t="s">
        <v>18952</v>
      </c>
      <c r="C1122" s="129" t="s">
        <v>282</v>
      </c>
      <c r="D1122" s="130">
        <v>2142</v>
      </c>
      <c r="E1122" s="131">
        <v>44723</v>
      </c>
      <c r="F1122" s="132">
        <v>2142</v>
      </c>
      <c r="G1122" s="133">
        <f>Tabla147[[#This Row],[Importe]]-Tabla147[[#This Row],[Pagado]]</f>
        <v>0</v>
      </c>
      <c r="H1122" s="134" t="s">
        <v>10</v>
      </c>
      <c r="I1122" s="135"/>
    </row>
    <row r="1123" spans="1:9" ht="21.75" customHeight="1" x14ac:dyDescent="0.25">
      <c r="A1123" s="127">
        <v>44722</v>
      </c>
      <c r="B1123" s="128" t="s">
        <v>18953</v>
      </c>
      <c r="C1123" s="129" t="s">
        <v>284</v>
      </c>
      <c r="D1123" s="130">
        <v>12138</v>
      </c>
      <c r="E1123" s="131">
        <v>44723</v>
      </c>
      <c r="F1123" s="132">
        <v>12138</v>
      </c>
      <c r="G1123" s="133">
        <f>Tabla147[[#This Row],[Importe]]-Tabla147[[#This Row],[Pagado]]</f>
        <v>0</v>
      </c>
      <c r="H1123" s="134" t="s">
        <v>10</v>
      </c>
      <c r="I1123" s="135"/>
    </row>
    <row r="1124" spans="1:9" ht="21.75" customHeight="1" x14ac:dyDescent="0.25">
      <c r="A1124" s="127">
        <v>44722</v>
      </c>
      <c r="B1124" s="128" t="s">
        <v>18954</v>
      </c>
      <c r="C1124" s="129" t="s">
        <v>5345</v>
      </c>
      <c r="D1124" s="130">
        <v>7405.2</v>
      </c>
      <c r="E1124" s="131">
        <v>44723</v>
      </c>
      <c r="F1124" s="132">
        <v>7405.2</v>
      </c>
      <c r="G1124" s="133">
        <f>Tabla147[[#This Row],[Importe]]-Tabla147[[#This Row],[Pagado]]</f>
        <v>0</v>
      </c>
      <c r="H1124" s="134" t="s">
        <v>10</v>
      </c>
      <c r="I1124" s="135"/>
    </row>
    <row r="1125" spans="1:9" ht="21.75" customHeight="1" x14ac:dyDescent="0.25">
      <c r="A1125" s="127">
        <v>44722</v>
      </c>
      <c r="B1125" s="128" t="s">
        <v>18955</v>
      </c>
      <c r="C1125" s="129" t="s">
        <v>280</v>
      </c>
      <c r="D1125" s="130">
        <v>2658.8</v>
      </c>
      <c r="E1125" s="131">
        <v>44723</v>
      </c>
      <c r="F1125" s="132">
        <v>2658.8</v>
      </c>
      <c r="G1125" s="133">
        <f>Tabla147[[#This Row],[Importe]]-Tabla147[[#This Row],[Pagado]]</f>
        <v>0</v>
      </c>
      <c r="H1125" s="134" t="s">
        <v>10</v>
      </c>
      <c r="I1125" s="135"/>
    </row>
    <row r="1126" spans="1:9" ht="21.75" customHeight="1" x14ac:dyDescent="0.25">
      <c r="A1126" s="127">
        <v>44722</v>
      </c>
      <c r="B1126" s="128" t="s">
        <v>18956</v>
      </c>
      <c r="C1126" s="129" t="s">
        <v>431</v>
      </c>
      <c r="D1126" s="130">
        <v>727.6</v>
      </c>
      <c r="E1126" s="131">
        <v>44723</v>
      </c>
      <c r="F1126" s="132">
        <v>727.6</v>
      </c>
      <c r="G1126" s="133">
        <f>Tabla147[[#This Row],[Importe]]-Tabla147[[#This Row],[Pagado]]</f>
        <v>0</v>
      </c>
      <c r="H1126" s="134" t="s">
        <v>10</v>
      </c>
      <c r="I1126" s="135"/>
    </row>
    <row r="1127" spans="1:9" ht="21.75" customHeight="1" x14ac:dyDescent="0.25">
      <c r="A1127" s="127">
        <v>44722</v>
      </c>
      <c r="B1127" s="128" t="s">
        <v>18957</v>
      </c>
      <c r="C1127" s="129" t="s">
        <v>10819</v>
      </c>
      <c r="D1127" s="130">
        <v>700.4</v>
      </c>
      <c r="E1127" s="131">
        <v>44723</v>
      </c>
      <c r="F1127" s="132">
        <v>700.4</v>
      </c>
      <c r="G1127" s="133">
        <f>Tabla147[[#This Row],[Importe]]-Tabla147[[#This Row],[Pagado]]</f>
        <v>0</v>
      </c>
      <c r="H1127" s="134" t="s">
        <v>10</v>
      </c>
      <c r="I1127" s="135"/>
    </row>
    <row r="1128" spans="1:9" ht="21.75" customHeight="1" x14ac:dyDescent="0.25">
      <c r="A1128" s="127">
        <v>44722</v>
      </c>
      <c r="B1128" s="128" t="s">
        <v>18958</v>
      </c>
      <c r="C1128" s="129" t="s">
        <v>9587</v>
      </c>
      <c r="D1128" s="130">
        <v>9248.2000000000007</v>
      </c>
      <c r="E1128" s="131">
        <v>44722</v>
      </c>
      <c r="F1128" s="132">
        <v>9248.2000000000007</v>
      </c>
      <c r="G1128" s="133">
        <f>Tabla147[[#This Row],[Importe]]-Tabla147[[#This Row],[Pagado]]</f>
        <v>0</v>
      </c>
      <c r="H1128" s="134" t="s">
        <v>10</v>
      </c>
      <c r="I1128" s="135"/>
    </row>
    <row r="1129" spans="1:9" ht="21.75" customHeight="1" x14ac:dyDescent="0.25">
      <c r="A1129" s="127">
        <v>44722</v>
      </c>
      <c r="B1129" s="128" t="s">
        <v>18959</v>
      </c>
      <c r="C1129" s="129" t="s">
        <v>191</v>
      </c>
      <c r="D1129" s="130">
        <v>25301.200000000001</v>
      </c>
      <c r="E1129" s="131">
        <v>44723</v>
      </c>
      <c r="F1129" s="132">
        <v>25301.200000000001</v>
      </c>
      <c r="G1129" s="133">
        <f>Tabla147[[#This Row],[Importe]]-Tabla147[[#This Row],[Pagado]]</f>
        <v>0</v>
      </c>
      <c r="H1129" s="134" t="s">
        <v>10</v>
      </c>
      <c r="I1129" s="135"/>
    </row>
    <row r="1130" spans="1:9" ht="21.75" customHeight="1" x14ac:dyDescent="0.25">
      <c r="A1130" s="127">
        <v>44722</v>
      </c>
      <c r="B1130" s="128" t="s">
        <v>18960</v>
      </c>
      <c r="C1130" s="129" t="s">
        <v>461</v>
      </c>
      <c r="D1130" s="130">
        <v>152</v>
      </c>
      <c r="E1130" s="131">
        <v>44722</v>
      </c>
      <c r="F1130" s="132">
        <v>152</v>
      </c>
      <c r="G1130" s="133">
        <f>Tabla147[[#This Row],[Importe]]-Tabla147[[#This Row],[Pagado]]</f>
        <v>0</v>
      </c>
      <c r="H1130" s="134" t="s">
        <v>10</v>
      </c>
      <c r="I1130" s="135"/>
    </row>
    <row r="1131" spans="1:9" ht="21.75" customHeight="1" x14ac:dyDescent="0.25">
      <c r="A1131" s="127">
        <v>44722</v>
      </c>
      <c r="B1131" s="128" t="s">
        <v>18961</v>
      </c>
      <c r="C1131" s="129" t="s">
        <v>10678</v>
      </c>
      <c r="D1131" s="130">
        <v>340</v>
      </c>
      <c r="E1131" s="131">
        <v>44722</v>
      </c>
      <c r="F1131" s="132">
        <v>340</v>
      </c>
      <c r="G1131" s="133">
        <f>Tabla147[[#This Row],[Importe]]-Tabla147[[#This Row],[Pagado]]</f>
        <v>0</v>
      </c>
      <c r="H1131" s="134" t="s">
        <v>10</v>
      </c>
      <c r="I1131" s="135"/>
    </row>
    <row r="1132" spans="1:9" ht="21.75" customHeight="1" x14ac:dyDescent="0.25">
      <c r="A1132" s="127">
        <v>44722</v>
      </c>
      <c r="B1132" s="128" t="s">
        <v>18962</v>
      </c>
      <c r="C1132" s="129" t="s">
        <v>5694</v>
      </c>
      <c r="D1132" s="130">
        <v>3822</v>
      </c>
      <c r="E1132" s="131">
        <v>44722</v>
      </c>
      <c r="F1132" s="132">
        <v>3822</v>
      </c>
      <c r="G1132" s="133">
        <f>Tabla147[[#This Row],[Importe]]-Tabla147[[#This Row],[Pagado]]</f>
        <v>0</v>
      </c>
      <c r="H1132" s="134" t="s">
        <v>10</v>
      </c>
      <c r="I1132" s="135"/>
    </row>
    <row r="1133" spans="1:9" ht="21.75" customHeight="1" x14ac:dyDescent="0.25">
      <c r="A1133" s="127">
        <v>44722</v>
      </c>
      <c r="B1133" s="128" t="s">
        <v>18963</v>
      </c>
      <c r="C1133" s="129" t="s">
        <v>179</v>
      </c>
      <c r="D1133" s="130">
        <v>1366.8</v>
      </c>
      <c r="E1133" s="131">
        <v>44723</v>
      </c>
      <c r="F1133" s="132">
        <v>1366.8</v>
      </c>
      <c r="G1133" s="133">
        <f>Tabla147[[#This Row],[Importe]]-Tabla147[[#This Row],[Pagado]]</f>
        <v>0</v>
      </c>
      <c r="H1133" s="134" t="s">
        <v>10</v>
      </c>
      <c r="I1133" s="135"/>
    </row>
    <row r="1134" spans="1:9" ht="21.75" customHeight="1" x14ac:dyDescent="0.25">
      <c r="A1134" s="127">
        <v>44722</v>
      </c>
      <c r="B1134" s="128" t="s">
        <v>18964</v>
      </c>
      <c r="C1134" s="129" t="s">
        <v>7313</v>
      </c>
      <c r="D1134" s="130">
        <v>3966</v>
      </c>
      <c r="E1134" s="131">
        <v>44722</v>
      </c>
      <c r="F1134" s="132">
        <v>3966</v>
      </c>
      <c r="G1134" s="133">
        <f>Tabla147[[#This Row],[Importe]]-Tabla147[[#This Row],[Pagado]]</f>
        <v>0</v>
      </c>
      <c r="H1134" s="134" t="s">
        <v>10</v>
      </c>
      <c r="I1134" s="135"/>
    </row>
    <row r="1135" spans="1:9" ht="21.75" customHeight="1" x14ac:dyDescent="0.25">
      <c r="A1135" s="127">
        <v>44722</v>
      </c>
      <c r="B1135" s="128" t="s">
        <v>18965</v>
      </c>
      <c r="C1135" s="129" t="s">
        <v>470</v>
      </c>
      <c r="D1135" s="130">
        <v>7376.6</v>
      </c>
      <c r="E1135" s="131">
        <v>44723</v>
      </c>
      <c r="F1135" s="132">
        <v>7376.6</v>
      </c>
      <c r="G1135" s="133">
        <f>Tabla147[[#This Row],[Importe]]-Tabla147[[#This Row],[Pagado]]</f>
        <v>0</v>
      </c>
      <c r="H1135" s="134" t="s">
        <v>10</v>
      </c>
      <c r="I1135" s="135"/>
    </row>
    <row r="1136" spans="1:9" ht="21.75" customHeight="1" x14ac:dyDescent="0.25">
      <c r="A1136" s="127">
        <v>44722</v>
      </c>
      <c r="B1136" s="128" t="s">
        <v>18966</v>
      </c>
      <c r="C1136" s="129" t="s">
        <v>18967</v>
      </c>
      <c r="D1136" s="130">
        <v>0</v>
      </c>
      <c r="E1136" s="136" t="s">
        <v>189</v>
      </c>
      <c r="F1136" s="132">
        <v>0</v>
      </c>
      <c r="G1136" s="133">
        <f>Tabla147[[#This Row],[Importe]]-Tabla147[[#This Row],[Pagado]]</f>
        <v>0</v>
      </c>
      <c r="H1136" s="134" t="s">
        <v>189</v>
      </c>
      <c r="I1136" s="135"/>
    </row>
    <row r="1137" spans="1:9" ht="21.75" customHeight="1" x14ac:dyDescent="0.25">
      <c r="A1137" s="127">
        <v>44722</v>
      </c>
      <c r="B1137" s="128" t="s">
        <v>18968</v>
      </c>
      <c r="C1137" s="129" t="s">
        <v>7818</v>
      </c>
      <c r="D1137" s="130">
        <v>598.4</v>
      </c>
      <c r="E1137" s="131">
        <v>44723</v>
      </c>
      <c r="F1137" s="132">
        <v>598.4</v>
      </c>
      <c r="G1137" s="133">
        <f>Tabla147[[#This Row],[Importe]]-Tabla147[[#This Row],[Pagado]]</f>
        <v>0</v>
      </c>
      <c r="H1137" s="134" t="s">
        <v>10</v>
      </c>
      <c r="I1137" s="135"/>
    </row>
    <row r="1138" spans="1:9" ht="21.75" customHeight="1" x14ac:dyDescent="0.25">
      <c r="A1138" s="127">
        <v>44722</v>
      </c>
      <c r="B1138" s="128" t="s">
        <v>18969</v>
      </c>
      <c r="C1138" s="129" t="s">
        <v>843</v>
      </c>
      <c r="D1138" s="130">
        <v>11433.6</v>
      </c>
      <c r="E1138" s="131">
        <v>44723</v>
      </c>
      <c r="F1138" s="132">
        <v>11433.6</v>
      </c>
      <c r="G1138" s="133">
        <f>Tabla147[[#This Row],[Importe]]-Tabla147[[#This Row],[Pagado]]</f>
        <v>0</v>
      </c>
      <c r="H1138" s="134" t="s">
        <v>10</v>
      </c>
      <c r="I1138" s="135"/>
    </row>
    <row r="1139" spans="1:9" ht="31.5" x14ac:dyDescent="0.25">
      <c r="A1139" s="127">
        <v>44723</v>
      </c>
      <c r="B1139" s="128" t="s">
        <v>18970</v>
      </c>
      <c r="C1139" s="129" t="s">
        <v>475</v>
      </c>
      <c r="D1139" s="130">
        <v>97608</v>
      </c>
      <c r="E1139" s="131" t="s">
        <v>18971</v>
      </c>
      <c r="F1139" s="132">
        <f>63200+34408</f>
        <v>97608</v>
      </c>
      <c r="G1139" s="133">
        <f>Tabla147[[#This Row],[Importe]]-Tabla147[[#This Row],[Pagado]]</f>
        <v>0</v>
      </c>
      <c r="H1139" s="134" t="s">
        <v>10</v>
      </c>
      <c r="I1139" s="135"/>
    </row>
    <row r="1140" spans="1:9" ht="31.5" x14ac:dyDescent="0.25">
      <c r="A1140" s="127">
        <v>44723</v>
      </c>
      <c r="B1140" s="128" t="s">
        <v>18972</v>
      </c>
      <c r="C1140" s="129" t="s">
        <v>75</v>
      </c>
      <c r="D1140" s="130">
        <v>20454.400000000001</v>
      </c>
      <c r="E1140" s="131" t="s">
        <v>18973</v>
      </c>
      <c r="F1140" s="132">
        <f>8840+11614.4</f>
        <v>20454.400000000001</v>
      </c>
      <c r="G1140" s="133">
        <f>Tabla147[[#This Row],[Importe]]-Tabla147[[#This Row],[Pagado]]</f>
        <v>0</v>
      </c>
      <c r="H1140" s="134" t="s">
        <v>10</v>
      </c>
      <c r="I1140" s="135"/>
    </row>
    <row r="1141" spans="1:9" ht="31.5" x14ac:dyDescent="0.25">
      <c r="A1141" s="127">
        <v>44723</v>
      </c>
      <c r="B1141" s="128" t="s">
        <v>18974</v>
      </c>
      <c r="C1141" s="129" t="s">
        <v>22</v>
      </c>
      <c r="D1141" s="130">
        <v>57636.5</v>
      </c>
      <c r="E1141" s="131" t="s">
        <v>18971</v>
      </c>
      <c r="F1141" s="132">
        <f>40000+17636.5</f>
        <v>57636.5</v>
      </c>
      <c r="G1141" s="133">
        <f>Tabla147[[#This Row],[Importe]]-Tabla147[[#This Row],[Pagado]]</f>
        <v>0</v>
      </c>
      <c r="H1141" s="134" t="s">
        <v>10</v>
      </c>
      <c r="I1141" s="135"/>
    </row>
    <row r="1142" spans="1:9" ht="21.75" customHeight="1" x14ac:dyDescent="0.25">
      <c r="A1142" s="127">
        <v>44723</v>
      </c>
      <c r="B1142" s="128" t="s">
        <v>18975</v>
      </c>
      <c r="C1142" s="129" t="s">
        <v>2563</v>
      </c>
      <c r="D1142" s="130">
        <v>4764</v>
      </c>
      <c r="E1142" s="131">
        <v>44725</v>
      </c>
      <c r="F1142" s="132">
        <v>4764</v>
      </c>
      <c r="G1142" s="133">
        <f>Tabla147[[#This Row],[Importe]]-Tabla147[[#This Row],[Pagado]]</f>
        <v>0</v>
      </c>
      <c r="H1142" s="134" t="s">
        <v>10</v>
      </c>
      <c r="I1142" s="135"/>
    </row>
    <row r="1143" spans="1:9" ht="21.75" customHeight="1" x14ac:dyDescent="0.25">
      <c r="A1143" s="127">
        <v>44723</v>
      </c>
      <c r="B1143" s="128" t="s">
        <v>18976</v>
      </c>
      <c r="C1143" s="129" t="s">
        <v>60</v>
      </c>
      <c r="D1143" s="130">
        <v>4788</v>
      </c>
      <c r="E1143" s="131">
        <v>44727</v>
      </c>
      <c r="F1143" s="132">
        <v>4788</v>
      </c>
      <c r="G1143" s="133">
        <f>Tabla147[[#This Row],[Importe]]-Tabla147[[#This Row],[Pagado]]</f>
        <v>0</v>
      </c>
      <c r="H1143" s="134" t="s">
        <v>10</v>
      </c>
      <c r="I1143" s="135"/>
    </row>
    <row r="1144" spans="1:9" ht="21.75" customHeight="1" x14ac:dyDescent="0.25">
      <c r="A1144" s="127">
        <v>44723</v>
      </c>
      <c r="B1144" s="128" t="s">
        <v>18977</v>
      </c>
      <c r="C1144" s="129" t="s">
        <v>353</v>
      </c>
      <c r="D1144" s="130">
        <v>589.29999999999995</v>
      </c>
      <c r="E1144" s="131">
        <v>44723</v>
      </c>
      <c r="F1144" s="132">
        <v>589.29999999999995</v>
      </c>
      <c r="G1144" s="133">
        <f>Tabla147[[#This Row],[Importe]]-Tabla147[[#This Row],[Pagado]]</f>
        <v>0</v>
      </c>
      <c r="H1144" s="134" t="s">
        <v>10</v>
      </c>
      <c r="I1144" s="135"/>
    </row>
    <row r="1145" spans="1:9" ht="21.75" customHeight="1" x14ac:dyDescent="0.25">
      <c r="A1145" s="127">
        <v>44723</v>
      </c>
      <c r="B1145" s="128" t="s">
        <v>18978</v>
      </c>
      <c r="C1145" s="129" t="s">
        <v>481</v>
      </c>
      <c r="D1145" s="130">
        <v>1071.2</v>
      </c>
      <c r="E1145" s="131">
        <v>44723</v>
      </c>
      <c r="F1145" s="132">
        <v>1071.2</v>
      </c>
      <c r="G1145" s="133">
        <f>Tabla147[[#This Row],[Importe]]-Tabla147[[#This Row],[Pagado]]</f>
        <v>0</v>
      </c>
      <c r="H1145" s="134" t="s">
        <v>10</v>
      </c>
      <c r="I1145" s="135"/>
    </row>
    <row r="1146" spans="1:9" ht="21.75" customHeight="1" x14ac:dyDescent="0.25">
      <c r="A1146" s="127">
        <v>44723</v>
      </c>
      <c r="B1146" s="128" t="s">
        <v>18979</v>
      </c>
      <c r="C1146" s="129" t="s">
        <v>111</v>
      </c>
      <c r="D1146" s="130">
        <v>9587.4</v>
      </c>
      <c r="E1146" s="131">
        <v>44725</v>
      </c>
      <c r="F1146" s="132">
        <v>9587.4</v>
      </c>
      <c r="G1146" s="133">
        <f>Tabla147[[#This Row],[Importe]]-Tabla147[[#This Row],[Pagado]]</f>
        <v>0</v>
      </c>
      <c r="H1146" s="134" t="s">
        <v>10</v>
      </c>
      <c r="I1146" s="135"/>
    </row>
    <row r="1147" spans="1:9" ht="31.5" x14ac:dyDescent="0.25">
      <c r="A1147" s="127">
        <v>44723</v>
      </c>
      <c r="B1147" s="128" t="s">
        <v>18980</v>
      </c>
      <c r="C1147" s="129" t="s">
        <v>2151</v>
      </c>
      <c r="D1147" s="130">
        <v>28553.4</v>
      </c>
      <c r="E1147" s="131" t="s">
        <v>18856</v>
      </c>
      <c r="F1147" s="132">
        <f>8553.4+20000</f>
        <v>28553.4</v>
      </c>
      <c r="G1147" s="133">
        <f>Tabla147[[#This Row],[Importe]]-Tabla147[[#This Row],[Pagado]]</f>
        <v>0</v>
      </c>
      <c r="H1147" s="134" t="s">
        <v>10</v>
      </c>
      <c r="I1147" s="135"/>
    </row>
    <row r="1148" spans="1:9" ht="21.75" customHeight="1" x14ac:dyDescent="0.25">
      <c r="A1148" s="127">
        <v>44723</v>
      </c>
      <c r="B1148" s="128" t="s">
        <v>18981</v>
      </c>
      <c r="C1148" s="129" t="s">
        <v>5043</v>
      </c>
      <c r="D1148" s="130">
        <v>4380</v>
      </c>
      <c r="E1148" s="131">
        <v>44726</v>
      </c>
      <c r="F1148" s="132">
        <v>4380</v>
      </c>
      <c r="G1148" s="133">
        <f>Tabla147[[#This Row],[Importe]]-Tabla147[[#This Row],[Pagado]]</f>
        <v>0</v>
      </c>
      <c r="H1148" s="134" t="s">
        <v>10</v>
      </c>
      <c r="I1148" s="135"/>
    </row>
    <row r="1149" spans="1:9" ht="21.75" customHeight="1" x14ac:dyDescent="0.25">
      <c r="A1149" s="127">
        <v>44723</v>
      </c>
      <c r="B1149" s="128" t="s">
        <v>18982</v>
      </c>
      <c r="C1149" s="129" t="s">
        <v>97</v>
      </c>
      <c r="D1149" s="130">
        <v>9117.6</v>
      </c>
      <c r="E1149" s="131">
        <v>44725</v>
      </c>
      <c r="F1149" s="132">
        <v>9117.6</v>
      </c>
      <c r="G1149" s="133">
        <f>Tabla147[[#This Row],[Importe]]-Tabla147[[#This Row],[Pagado]]</f>
        <v>0</v>
      </c>
      <c r="H1149" s="134" t="s">
        <v>10</v>
      </c>
      <c r="I1149" s="135"/>
    </row>
    <row r="1150" spans="1:9" ht="21.75" customHeight="1" x14ac:dyDescent="0.25">
      <c r="A1150" s="127">
        <v>44723</v>
      </c>
      <c r="B1150" s="128" t="s">
        <v>18983</v>
      </c>
      <c r="C1150" s="129" t="s">
        <v>120</v>
      </c>
      <c r="D1150" s="130">
        <v>5172</v>
      </c>
      <c r="E1150" s="131">
        <v>44725</v>
      </c>
      <c r="F1150" s="132">
        <v>5172</v>
      </c>
      <c r="G1150" s="133">
        <f>Tabla147[[#This Row],[Importe]]-Tabla147[[#This Row],[Pagado]]</f>
        <v>0</v>
      </c>
      <c r="H1150" s="134" t="s">
        <v>10</v>
      </c>
      <c r="I1150" s="135"/>
    </row>
    <row r="1151" spans="1:9" ht="21.75" customHeight="1" x14ac:dyDescent="0.25">
      <c r="A1151" s="127">
        <v>44723</v>
      </c>
      <c r="B1151" s="128" t="s">
        <v>18984</v>
      </c>
      <c r="C1151" s="129" t="s">
        <v>116</v>
      </c>
      <c r="D1151" s="130">
        <v>4404</v>
      </c>
      <c r="E1151" s="131">
        <v>44725</v>
      </c>
      <c r="F1151" s="132">
        <v>4404</v>
      </c>
      <c r="G1151" s="133">
        <f>Tabla147[[#This Row],[Importe]]-Tabla147[[#This Row],[Pagado]]</f>
        <v>0</v>
      </c>
      <c r="H1151" s="134" t="s">
        <v>10</v>
      </c>
      <c r="I1151" s="135"/>
    </row>
    <row r="1152" spans="1:9" ht="21.75" customHeight="1" x14ac:dyDescent="0.25">
      <c r="A1152" s="127">
        <v>44723</v>
      </c>
      <c r="B1152" s="128" t="s">
        <v>18985</v>
      </c>
      <c r="C1152" s="129" t="s">
        <v>95</v>
      </c>
      <c r="D1152" s="130">
        <v>7194</v>
      </c>
      <c r="E1152" s="131">
        <v>44723</v>
      </c>
      <c r="F1152" s="132">
        <v>7194</v>
      </c>
      <c r="G1152" s="133">
        <f>Tabla147[[#This Row],[Importe]]-Tabla147[[#This Row],[Pagado]]</f>
        <v>0</v>
      </c>
      <c r="H1152" s="134" t="s">
        <v>10</v>
      </c>
      <c r="I1152" s="135"/>
    </row>
    <row r="1153" spans="1:9" ht="31.5" x14ac:dyDescent="0.25">
      <c r="A1153" s="127">
        <v>44723</v>
      </c>
      <c r="B1153" s="128" t="s">
        <v>18986</v>
      </c>
      <c r="C1153" s="129" t="s">
        <v>93</v>
      </c>
      <c r="D1153" s="130">
        <v>19170.2</v>
      </c>
      <c r="E1153" s="131" t="s">
        <v>18987</v>
      </c>
      <c r="F1153" s="132">
        <f>12000+7170.2</f>
        <v>19170.2</v>
      </c>
      <c r="G1153" s="133">
        <f>Tabla147[[#This Row],[Importe]]-Tabla147[[#This Row],[Pagado]]</f>
        <v>0</v>
      </c>
      <c r="H1153" s="134" t="s">
        <v>10</v>
      </c>
      <c r="I1153" s="135"/>
    </row>
    <row r="1154" spans="1:9" ht="21.75" customHeight="1" x14ac:dyDescent="0.25">
      <c r="A1154" s="127">
        <v>44723</v>
      </c>
      <c r="B1154" s="128" t="s">
        <v>18988</v>
      </c>
      <c r="C1154" s="129" t="s">
        <v>9</v>
      </c>
      <c r="D1154" s="130">
        <v>7842</v>
      </c>
      <c r="E1154" s="131">
        <v>44723</v>
      </c>
      <c r="F1154" s="132">
        <v>7842</v>
      </c>
      <c r="G1154" s="133">
        <f>Tabla147[[#This Row],[Importe]]-Tabla147[[#This Row],[Pagado]]</f>
        <v>0</v>
      </c>
      <c r="H1154" s="134" t="s">
        <v>10</v>
      </c>
      <c r="I1154" s="135"/>
    </row>
    <row r="1155" spans="1:9" ht="21.75" customHeight="1" x14ac:dyDescent="0.25">
      <c r="A1155" s="127">
        <v>44723</v>
      </c>
      <c r="B1155" s="128" t="s">
        <v>18989</v>
      </c>
      <c r="C1155" s="129" t="s">
        <v>89</v>
      </c>
      <c r="D1155" s="130">
        <v>13729.4</v>
      </c>
      <c r="E1155" s="131">
        <v>44725</v>
      </c>
      <c r="F1155" s="132">
        <v>13729.4</v>
      </c>
      <c r="G1155" s="133">
        <f>Tabla147[[#This Row],[Importe]]-Tabla147[[#This Row],[Pagado]]</f>
        <v>0</v>
      </c>
      <c r="H1155" s="134" t="s">
        <v>10</v>
      </c>
      <c r="I1155" s="135"/>
    </row>
    <row r="1156" spans="1:9" ht="21.75" customHeight="1" x14ac:dyDescent="0.25">
      <c r="A1156" s="127">
        <v>44723</v>
      </c>
      <c r="B1156" s="128" t="s">
        <v>18990</v>
      </c>
      <c r="C1156" s="129" t="s">
        <v>79</v>
      </c>
      <c r="D1156" s="130">
        <v>26241.599999999999</v>
      </c>
      <c r="E1156" s="131">
        <v>44723</v>
      </c>
      <c r="F1156" s="132">
        <v>26241.599999999999</v>
      </c>
      <c r="G1156" s="133">
        <f>Tabla147[[#This Row],[Importe]]-Tabla147[[#This Row],[Pagado]]</f>
        <v>0</v>
      </c>
      <c r="H1156" s="134" t="s">
        <v>10</v>
      </c>
      <c r="I1156" s="135"/>
    </row>
    <row r="1157" spans="1:9" ht="21.75" customHeight="1" x14ac:dyDescent="0.25">
      <c r="A1157" s="127">
        <v>44723</v>
      </c>
      <c r="B1157" s="128" t="s">
        <v>18991</v>
      </c>
      <c r="C1157" s="129" t="s">
        <v>64</v>
      </c>
      <c r="D1157" s="130">
        <v>9508.5</v>
      </c>
      <c r="E1157" s="131">
        <v>44726</v>
      </c>
      <c r="F1157" s="132">
        <v>9508.5</v>
      </c>
      <c r="G1157" s="133">
        <f>Tabla147[[#This Row],[Importe]]-Tabla147[[#This Row],[Pagado]]</f>
        <v>0</v>
      </c>
      <c r="H1157" s="134" t="s">
        <v>10</v>
      </c>
      <c r="I1157" s="135"/>
    </row>
    <row r="1158" spans="1:9" ht="21.75" customHeight="1" x14ac:dyDescent="0.25">
      <c r="A1158" s="127">
        <v>44723</v>
      </c>
      <c r="B1158" s="128" t="s">
        <v>18992</v>
      </c>
      <c r="C1158" s="129" t="s">
        <v>60</v>
      </c>
      <c r="D1158" s="130">
        <v>220.5</v>
      </c>
      <c r="E1158" s="131">
        <v>44727</v>
      </c>
      <c r="F1158" s="132">
        <v>220.5</v>
      </c>
      <c r="G1158" s="133">
        <f>Tabla147[[#This Row],[Importe]]-Tabla147[[#This Row],[Pagado]]</f>
        <v>0</v>
      </c>
      <c r="H1158" s="134" t="s">
        <v>10</v>
      </c>
      <c r="I1158" s="135"/>
    </row>
    <row r="1159" spans="1:9" ht="21.75" customHeight="1" x14ac:dyDescent="0.25">
      <c r="A1159" s="127">
        <v>44723</v>
      </c>
      <c r="B1159" s="128" t="s">
        <v>18993</v>
      </c>
      <c r="C1159" s="129" t="s">
        <v>326</v>
      </c>
      <c r="D1159" s="130">
        <v>12680.5</v>
      </c>
      <c r="E1159" s="131">
        <v>44725</v>
      </c>
      <c r="F1159" s="132">
        <v>12680.5</v>
      </c>
      <c r="G1159" s="133">
        <f>Tabla147[[#This Row],[Importe]]-Tabla147[[#This Row],[Pagado]]</f>
        <v>0</v>
      </c>
      <c r="H1159" s="134" t="s">
        <v>10</v>
      </c>
      <c r="I1159" s="135"/>
    </row>
    <row r="1160" spans="1:9" ht="21.75" customHeight="1" x14ac:dyDescent="0.25">
      <c r="A1160" s="127">
        <v>44723</v>
      </c>
      <c r="B1160" s="128" t="s">
        <v>18994</v>
      </c>
      <c r="C1160" s="129" t="s">
        <v>918</v>
      </c>
      <c r="D1160" s="130">
        <v>3675.8</v>
      </c>
      <c r="E1160" s="131">
        <v>44723</v>
      </c>
      <c r="F1160" s="132">
        <v>3675.8</v>
      </c>
      <c r="G1160" s="133">
        <f>Tabla147[[#This Row],[Importe]]-Tabla147[[#This Row],[Pagado]]</f>
        <v>0</v>
      </c>
      <c r="H1160" s="134" t="s">
        <v>10</v>
      </c>
      <c r="I1160" s="135"/>
    </row>
    <row r="1161" spans="1:9" ht="21.75" customHeight="1" x14ac:dyDescent="0.25">
      <c r="A1161" s="127">
        <v>44723</v>
      </c>
      <c r="B1161" s="128" t="s">
        <v>18995</v>
      </c>
      <c r="C1161" s="129" t="s">
        <v>114</v>
      </c>
      <c r="D1161" s="130">
        <v>11906.3</v>
      </c>
      <c r="E1161" s="131">
        <v>44725</v>
      </c>
      <c r="F1161" s="132">
        <v>11906.3</v>
      </c>
      <c r="G1161" s="133">
        <f>Tabla147[[#This Row],[Importe]]-Tabla147[[#This Row],[Pagado]]</f>
        <v>0</v>
      </c>
      <c r="H1161" s="134" t="s">
        <v>10</v>
      </c>
      <c r="I1161" s="135"/>
    </row>
    <row r="1162" spans="1:9" ht="21.75" customHeight="1" x14ac:dyDescent="0.25">
      <c r="A1162" s="127">
        <v>44723</v>
      </c>
      <c r="B1162" s="128" t="s">
        <v>18996</v>
      </c>
      <c r="C1162" s="129" t="s">
        <v>99</v>
      </c>
      <c r="D1162" s="130">
        <v>13376.8</v>
      </c>
      <c r="E1162" s="131">
        <v>44725</v>
      </c>
      <c r="F1162" s="132">
        <v>13376.8</v>
      </c>
      <c r="G1162" s="133">
        <f>Tabla147[[#This Row],[Importe]]-Tabla147[[#This Row],[Pagado]]</f>
        <v>0</v>
      </c>
      <c r="H1162" s="134" t="s">
        <v>10</v>
      </c>
      <c r="I1162" s="135"/>
    </row>
    <row r="1163" spans="1:9" ht="21.75" customHeight="1" x14ac:dyDescent="0.25">
      <c r="A1163" s="127">
        <v>44723</v>
      </c>
      <c r="B1163" s="128" t="s">
        <v>18997</v>
      </c>
      <c r="C1163" s="129" t="s">
        <v>105</v>
      </c>
      <c r="D1163" s="130">
        <v>17619.8</v>
      </c>
      <c r="E1163" s="131">
        <v>44725</v>
      </c>
      <c r="F1163" s="132">
        <v>17619.8</v>
      </c>
      <c r="G1163" s="133">
        <f>Tabla147[[#This Row],[Importe]]-Tabla147[[#This Row],[Pagado]]</f>
        <v>0</v>
      </c>
      <c r="H1163" s="134" t="s">
        <v>10</v>
      </c>
      <c r="I1163" s="135"/>
    </row>
    <row r="1164" spans="1:9" ht="21.75" customHeight="1" x14ac:dyDescent="0.25">
      <c r="A1164" s="127">
        <v>44723</v>
      </c>
      <c r="B1164" s="128" t="s">
        <v>18998</v>
      </c>
      <c r="C1164" s="129" t="s">
        <v>9666</v>
      </c>
      <c r="D1164" s="130">
        <v>0</v>
      </c>
      <c r="E1164" s="136" t="s">
        <v>189</v>
      </c>
      <c r="F1164" s="132">
        <v>0</v>
      </c>
      <c r="G1164" s="133">
        <f>Tabla147[[#This Row],[Importe]]-Tabla147[[#This Row],[Pagado]]</f>
        <v>0</v>
      </c>
      <c r="H1164" s="134" t="s">
        <v>189</v>
      </c>
      <c r="I1164" s="135"/>
    </row>
    <row r="1165" spans="1:9" ht="21.75" customHeight="1" x14ac:dyDescent="0.25">
      <c r="A1165" s="127">
        <v>44723</v>
      </c>
      <c r="B1165" s="128" t="s">
        <v>18999</v>
      </c>
      <c r="C1165" s="129" t="s">
        <v>31</v>
      </c>
      <c r="D1165" s="130">
        <v>5832</v>
      </c>
      <c r="E1165" s="131">
        <v>44723</v>
      </c>
      <c r="F1165" s="132">
        <v>5832</v>
      </c>
      <c r="G1165" s="133">
        <f>Tabla147[[#This Row],[Importe]]-Tabla147[[#This Row],[Pagado]]</f>
        <v>0</v>
      </c>
      <c r="H1165" s="134" t="s">
        <v>10</v>
      </c>
      <c r="I1165" s="135"/>
    </row>
    <row r="1166" spans="1:9" ht="21.75" customHeight="1" x14ac:dyDescent="0.25">
      <c r="A1166" s="127">
        <v>44723</v>
      </c>
      <c r="B1166" s="128" t="s">
        <v>19000</v>
      </c>
      <c r="C1166" s="129" t="s">
        <v>15039</v>
      </c>
      <c r="D1166" s="130">
        <v>4400.6000000000004</v>
      </c>
      <c r="E1166" s="131">
        <v>44723</v>
      </c>
      <c r="F1166" s="132">
        <v>4400.6000000000004</v>
      </c>
      <c r="G1166" s="133">
        <f>Tabla147[[#This Row],[Importe]]-Tabla147[[#This Row],[Pagado]]</f>
        <v>0</v>
      </c>
      <c r="H1166" s="134" t="s">
        <v>10</v>
      </c>
      <c r="I1166" s="135"/>
    </row>
    <row r="1167" spans="1:9" ht="21.75" customHeight="1" x14ac:dyDescent="0.25">
      <c r="A1167" s="127">
        <v>44723</v>
      </c>
      <c r="B1167" s="128" t="s">
        <v>19001</v>
      </c>
      <c r="C1167" s="129" t="s">
        <v>131</v>
      </c>
      <c r="D1167" s="130">
        <v>9825.6</v>
      </c>
      <c r="E1167" s="131">
        <v>44723</v>
      </c>
      <c r="F1167" s="132">
        <v>9825.6</v>
      </c>
      <c r="G1167" s="133">
        <f>Tabla147[[#This Row],[Importe]]-Tabla147[[#This Row],[Pagado]]</f>
        <v>0</v>
      </c>
      <c r="H1167" s="134" t="s">
        <v>10</v>
      </c>
      <c r="I1167" s="135"/>
    </row>
    <row r="1168" spans="1:9" ht="21.75" customHeight="1" x14ac:dyDescent="0.25">
      <c r="A1168" s="127">
        <v>44723</v>
      </c>
      <c r="B1168" s="128" t="s">
        <v>19002</v>
      </c>
      <c r="C1168" s="129" t="s">
        <v>16</v>
      </c>
      <c r="D1168" s="130">
        <v>6829.3</v>
      </c>
      <c r="E1168" s="131">
        <v>44723</v>
      </c>
      <c r="F1168" s="132">
        <v>6829.3</v>
      </c>
      <c r="G1168" s="133">
        <f>Tabla147[[#This Row],[Importe]]-Tabla147[[#This Row],[Pagado]]</f>
        <v>0</v>
      </c>
      <c r="H1168" s="134" t="s">
        <v>10</v>
      </c>
      <c r="I1168" s="135"/>
    </row>
    <row r="1169" spans="1:9" ht="21.75" customHeight="1" x14ac:dyDescent="0.25">
      <c r="A1169" s="127">
        <v>44723</v>
      </c>
      <c r="B1169" s="128" t="s">
        <v>19003</v>
      </c>
      <c r="C1169" s="129" t="s">
        <v>16</v>
      </c>
      <c r="D1169" s="130">
        <v>4329.6000000000004</v>
      </c>
      <c r="E1169" s="131">
        <v>44723</v>
      </c>
      <c r="F1169" s="132">
        <v>4329.6000000000004</v>
      </c>
      <c r="G1169" s="133">
        <f>Tabla147[[#This Row],[Importe]]-Tabla147[[#This Row],[Pagado]]</f>
        <v>0</v>
      </c>
      <c r="H1169" s="134" t="s">
        <v>10</v>
      </c>
      <c r="I1169" s="135"/>
    </row>
    <row r="1170" spans="1:9" ht="21.75" customHeight="1" x14ac:dyDescent="0.25">
      <c r="A1170" s="127">
        <v>44723</v>
      </c>
      <c r="B1170" s="128" t="s">
        <v>19004</v>
      </c>
      <c r="C1170" s="129" t="s">
        <v>16</v>
      </c>
      <c r="D1170" s="130">
        <v>367.2</v>
      </c>
      <c r="E1170" s="131">
        <v>44723</v>
      </c>
      <c r="F1170" s="132">
        <v>367.2</v>
      </c>
      <c r="G1170" s="133">
        <f>Tabla147[[#This Row],[Importe]]-Tabla147[[#This Row],[Pagado]]</f>
        <v>0</v>
      </c>
      <c r="H1170" s="134" t="s">
        <v>10</v>
      </c>
      <c r="I1170" s="135"/>
    </row>
    <row r="1171" spans="1:9" ht="21.75" customHeight="1" x14ac:dyDescent="0.25">
      <c r="A1171" s="127">
        <v>44723</v>
      </c>
      <c r="B1171" s="128" t="s">
        <v>19005</v>
      </c>
      <c r="C1171" s="129" t="s">
        <v>12202</v>
      </c>
      <c r="D1171" s="130">
        <v>6080</v>
      </c>
      <c r="E1171" s="131">
        <v>44723</v>
      </c>
      <c r="F1171" s="132">
        <v>6080</v>
      </c>
      <c r="G1171" s="133">
        <f>Tabla147[[#This Row],[Importe]]-Tabla147[[#This Row],[Pagado]]</f>
        <v>0</v>
      </c>
      <c r="H1171" s="134" t="s">
        <v>10</v>
      </c>
      <c r="I1171" s="135"/>
    </row>
    <row r="1172" spans="1:9" ht="21.75" customHeight="1" x14ac:dyDescent="0.25">
      <c r="A1172" s="127">
        <v>44723</v>
      </c>
      <c r="B1172" s="128" t="s">
        <v>19006</v>
      </c>
      <c r="C1172" s="129" t="s">
        <v>1064</v>
      </c>
      <c r="D1172" s="130">
        <v>11498.8</v>
      </c>
      <c r="E1172" s="131">
        <v>44723</v>
      </c>
      <c r="F1172" s="132">
        <v>11498.8</v>
      </c>
      <c r="G1172" s="133">
        <f>Tabla147[[#This Row],[Importe]]-Tabla147[[#This Row],[Pagado]]</f>
        <v>0</v>
      </c>
      <c r="H1172" s="134" t="s">
        <v>10</v>
      </c>
      <c r="I1172" s="135"/>
    </row>
    <row r="1173" spans="1:9" ht="21.75" customHeight="1" x14ac:dyDescent="0.25">
      <c r="A1173" s="127">
        <v>44723</v>
      </c>
      <c r="B1173" s="128" t="s">
        <v>19007</v>
      </c>
      <c r="C1173" s="129" t="s">
        <v>1239</v>
      </c>
      <c r="D1173" s="130">
        <v>12276</v>
      </c>
      <c r="E1173" s="131">
        <v>44723</v>
      </c>
      <c r="F1173" s="132">
        <v>12276</v>
      </c>
      <c r="G1173" s="133">
        <f>Tabla147[[#This Row],[Importe]]-Tabla147[[#This Row],[Pagado]]</f>
        <v>0</v>
      </c>
      <c r="H1173" s="134" t="s">
        <v>10</v>
      </c>
      <c r="I1173" s="135"/>
    </row>
    <row r="1174" spans="1:9" ht="21.75" customHeight="1" x14ac:dyDescent="0.25">
      <c r="A1174" s="127">
        <v>44723</v>
      </c>
      <c r="B1174" s="128" t="s">
        <v>19008</v>
      </c>
      <c r="C1174" s="129" t="s">
        <v>87</v>
      </c>
      <c r="D1174" s="130">
        <v>4245</v>
      </c>
      <c r="E1174" s="131">
        <v>44723</v>
      </c>
      <c r="F1174" s="132">
        <v>4245</v>
      </c>
      <c r="G1174" s="133">
        <f>Tabla147[[#This Row],[Importe]]-Tabla147[[#This Row],[Pagado]]</f>
        <v>0</v>
      </c>
      <c r="H1174" s="134" t="s">
        <v>10</v>
      </c>
      <c r="I1174" s="135"/>
    </row>
    <row r="1175" spans="1:9" ht="21.75" customHeight="1" x14ac:dyDescent="0.25">
      <c r="A1175" s="127">
        <v>44723</v>
      </c>
      <c r="B1175" s="128" t="s">
        <v>19009</v>
      </c>
      <c r="C1175" s="129" t="s">
        <v>314</v>
      </c>
      <c r="D1175" s="130">
        <v>5106.8</v>
      </c>
      <c r="E1175" s="131" t="s">
        <v>19010</v>
      </c>
      <c r="F1175" s="132">
        <v>5106.8</v>
      </c>
      <c r="G1175" s="133">
        <f>Tabla147[[#This Row],[Importe]]-Tabla147[[#This Row],[Pagado]]</f>
        <v>0</v>
      </c>
      <c r="H1175" s="134" t="s">
        <v>10</v>
      </c>
      <c r="I1175" s="135"/>
    </row>
    <row r="1176" spans="1:9" ht="21.75" customHeight="1" x14ac:dyDescent="0.25">
      <c r="A1176" s="127">
        <v>44723</v>
      </c>
      <c r="B1176" s="128" t="s">
        <v>19011</v>
      </c>
      <c r="C1176" s="129" t="s">
        <v>142</v>
      </c>
      <c r="D1176" s="130">
        <v>75251.399999999994</v>
      </c>
      <c r="E1176" s="131">
        <v>44769</v>
      </c>
      <c r="F1176" s="132">
        <v>75251.399999999994</v>
      </c>
      <c r="G1176" s="133">
        <f>Tabla147[[#This Row],[Importe]]-Tabla147[[#This Row],[Pagado]]</f>
        <v>0</v>
      </c>
      <c r="H1176" s="134" t="s">
        <v>10</v>
      </c>
      <c r="I1176" s="135"/>
    </row>
    <row r="1177" spans="1:9" ht="31.5" x14ac:dyDescent="0.25">
      <c r="A1177" s="127">
        <v>44723</v>
      </c>
      <c r="B1177" s="128" t="s">
        <v>19012</v>
      </c>
      <c r="C1177" s="129" t="s">
        <v>43</v>
      </c>
      <c r="D1177" s="130">
        <v>27855.599999999999</v>
      </c>
      <c r="E1177" s="131" t="s">
        <v>19013</v>
      </c>
      <c r="F1177" s="132">
        <f>6000+21855.6</f>
        <v>27855.599999999999</v>
      </c>
      <c r="G1177" s="133">
        <f>Tabla147[[#This Row],[Importe]]-Tabla147[[#This Row],[Pagado]]</f>
        <v>0</v>
      </c>
      <c r="H1177" s="134" t="s">
        <v>10</v>
      </c>
      <c r="I1177" s="135"/>
    </row>
    <row r="1178" spans="1:9" ht="21.75" customHeight="1" x14ac:dyDescent="0.25">
      <c r="A1178" s="127">
        <v>44723</v>
      </c>
      <c r="B1178" s="128" t="s">
        <v>19014</v>
      </c>
      <c r="C1178" s="129" t="s">
        <v>49</v>
      </c>
      <c r="D1178" s="130">
        <v>4033.5</v>
      </c>
      <c r="E1178" s="131">
        <v>44723</v>
      </c>
      <c r="F1178" s="132">
        <v>4033.5</v>
      </c>
      <c r="G1178" s="133">
        <f>Tabla147[[#This Row],[Importe]]-Tabla147[[#This Row],[Pagado]]</f>
        <v>0</v>
      </c>
      <c r="H1178" s="134" t="s">
        <v>10</v>
      </c>
      <c r="I1178" s="135"/>
    </row>
    <row r="1179" spans="1:9" ht="21.75" customHeight="1" x14ac:dyDescent="0.25">
      <c r="A1179" s="127">
        <v>44723</v>
      </c>
      <c r="B1179" s="128" t="s">
        <v>19015</v>
      </c>
      <c r="C1179" s="129" t="s">
        <v>804</v>
      </c>
      <c r="D1179" s="130">
        <v>15443.4</v>
      </c>
      <c r="E1179" s="131">
        <v>44723</v>
      </c>
      <c r="F1179" s="132">
        <v>15443.4</v>
      </c>
      <c r="G1179" s="133">
        <f>Tabla147[[#This Row],[Importe]]-Tabla147[[#This Row],[Pagado]]</f>
        <v>0</v>
      </c>
      <c r="H1179" s="134" t="s">
        <v>10</v>
      </c>
      <c r="I1179" s="135"/>
    </row>
    <row r="1180" spans="1:9" ht="21.75" customHeight="1" x14ac:dyDescent="0.25">
      <c r="A1180" s="127">
        <v>44723</v>
      </c>
      <c r="B1180" s="128" t="s">
        <v>19016</v>
      </c>
      <c r="C1180" s="129" t="s">
        <v>11033</v>
      </c>
      <c r="D1180" s="130">
        <v>1687</v>
      </c>
      <c r="E1180" s="131">
        <v>44723</v>
      </c>
      <c r="F1180" s="132">
        <v>1687</v>
      </c>
      <c r="G1180" s="133">
        <f>Tabla147[[#This Row],[Importe]]-Tabla147[[#This Row],[Pagado]]</f>
        <v>0</v>
      </c>
      <c r="H1180" s="134" t="s">
        <v>10</v>
      </c>
      <c r="I1180" s="135"/>
    </row>
    <row r="1181" spans="1:9" ht="21.75" customHeight="1" x14ac:dyDescent="0.25">
      <c r="A1181" s="127">
        <v>44723</v>
      </c>
      <c r="B1181" s="128" t="s">
        <v>19017</v>
      </c>
      <c r="C1181" s="129" t="s">
        <v>312</v>
      </c>
      <c r="D1181" s="130">
        <v>1285.0999999999999</v>
      </c>
      <c r="E1181" s="131">
        <v>44723</v>
      </c>
      <c r="F1181" s="132">
        <v>1285.0999999999999</v>
      </c>
      <c r="G1181" s="133">
        <f>Tabla147[[#This Row],[Importe]]-Tabla147[[#This Row],[Pagado]]</f>
        <v>0</v>
      </c>
      <c r="H1181" s="134" t="s">
        <v>10</v>
      </c>
      <c r="I1181" s="135"/>
    </row>
    <row r="1182" spans="1:9" ht="21.75" customHeight="1" x14ac:dyDescent="0.25">
      <c r="A1182" s="127">
        <v>44723</v>
      </c>
      <c r="B1182" s="128" t="s">
        <v>19018</v>
      </c>
      <c r="C1182" s="129" t="s">
        <v>107</v>
      </c>
      <c r="D1182" s="130">
        <v>30258.2</v>
      </c>
      <c r="E1182" s="131">
        <v>44723</v>
      </c>
      <c r="F1182" s="132">
        <v>30258.2</v>
      </c>
      <c r="G1182" s="133">
        <f>Tabla147[[#This Row],[Importe]]-Tabla147[[#This Row],[Pagado]]</f>
        <v>0</v>
      </c>
      <c r="H1182" s="134" t="s">
        <v>10</v>
      </c>
      <c r="I1182" s="135"/>
    </row>
    <row r="1183" spans="1:9" ht="21.75" customHeight="1" x14ac:dyDescent="0.25">
      <c r="A1183" s="127">
        <v>44723</v>
      </c>
      <c r="B1183" s="128" t="s">
        <v>19019</v>
      </c>
      <c r="C1183" s="129" t="s">
        <v>1362</v>
      </c>
      <c r="D1183" s="130">
        <v>5794.2</v>
      </c>
      <c r="E1183" s="131">
        <v>44723</v>
      </c>
      <c r="F1183" s="132">
        <v>5794.2</v>
      </c>
      <c r="G1183" s="133">
        <f>Tabla147[[#This Row],[Importe]]-Tabla147[[#This Row],[Pagado]]</f>
        <v>0</v>
      </c>
      <c r="H1183" s="134" t="s">
        <v>10</v>
      </c>
      <c r="I1183" s="135"/>
    </row>
    <row r="1184" spans="1:9" ht="21.75" customHeight="1" x14ac:dyDescent="0.25">
      <c r="A1184" s="127">
        <v>44723</v>
      </c>
      <c r="B1184" s="128" t="s">
        <v>19020</v>
      </c>
      <c r="C1184" s="129" t="s">
        <v>339</v>
      </c>
      <c r="D1184" s="130">
        <v>1178.5999999999999</v>
      </c>
      <c r="E1184" s="131">
        <v>44723</v>
      </c>
      <c r="F1184" s="132">
        <v>1178.5999999999999</v>
      </c>
      <c r="G1184" s="133">
        <f>Tabla147[[#This Row],[Importe]]-Tabla147[[#This Row],[Pagado]]</f>
        <v>0</v>
      </c>
      <c r="H1184" s="134" t="s">
        <v>10</v>
      </c>
      <c r="I1184" s="135"/>
    </row>
    <row r="1185" spans="1:9" ht="21.75" customHeight="1" x14ac:dyDescent="0.25">
      <c r="A1185" s="127">
        <v>44723</v>
      </c>
      <c r="B1185" s="128" t="s">
        <v>19021</v>
      </c>
      <c r="C1185" s="129" t="s">
        <v>140</v>
      </c>
      <c r="D1185" s="130">
        <v>1611.7</v>
      </c>
      <c r="E1185" s="131">
        <v>44723</v>
      </c>
      <c r="F1185" s="132">
        <v>1611.7</v>
      </c>
      <c r="G1185" s="133">
        <f>Tabla147[[#This Row],[Importe]]-Tabla147[[#This Row],[Pagado]]</f>
        <v>0</v>
      </c>
      <c r="H1185" s="134" t="s">
        <v>10</v>
      </c>
      <c r="I1185" s="135"/>
    </row>
    <row r="1186" spans="1:9" ht="21.75" customHeight="1" x14ac:dyDescent="0.25">
      <c r="A1186" s="127">
        <v>44723</v>
      </c>
      <c r="B1186" s="128" t="s">
        <v>19022</v>
      </c>
      <c r="C1186" s="129" t="s">
        <v>129</v>
      </c>
      <c r="D1186" s="130">
        <v>6158.8</v>
      </c>
      <c r="E1186" s="131">
        <v>44723</v>
      </c>
      <c r="F1186" s="132">
        <v>6158.8</v>
      </c>
      <c r="G1186" s="133">
        <f>Tabla147[[#This Row],[Importe]]-Tabla147[[#This Row],[Pagado]]</f>
        <v>0</v>
      </c>
      <c r="H1186" s="134" t="s">
        <v>10</v>
      </c>
      <c r="I1186" s="135"/>
    </row>
    <row r="1187" spans="1:9" ht="21.75" customHeight="1" x14ac:dyDescent="0.25">
      <c r="A1187" s="127">
        <v>44723</v>
      </c>
      <c r="B1187" s="128" t="s">
        <v>19023</v>
      </c>
      <c r="C1187" s="129" t="s">
        <v>230</v>
      </c>
      <c r="D1187" s="130">
        <v>7425.6</v>
      </c>
      <c r="E1187" s="131">
        <v>44723</v>
      </c>
      <c r="F1187" s="132">
        <v>7425.6</v>
      </c>
      <c r="G1187" s="133">
        <f>Tabla147[[#This Row],[Importe]]-Tabla147[[#This Row],[Pagado]]</f>
        <v>0</v>
      </c>
      <c r="H1187" s="134" t="s">
        <v>10</v>
      </c>
      <c r="I1187" s="135"/>
    </row>
    <row r="1188" spans="1:9" ht="21.75" customHeight="1" x14ac:dyDescent="0.25">
      <c r="A1188" s="127">
        <v>44723</v>
      </c>
      <c r="B1188" s="128" t="s">
        <v>19024</v>
      </c>
      <c r="C1188" s="129" t="s">
        <v>127</v>
      </c>
      <c r="D1188" s="130">
        <v>6457.4</v>
      </c>
      <c r="E1188" s="131">
        <v>44723</v>
      </c>
      <c r="F1188" s="132">
        <v>6457.4</v>
      </c>
      <c r="G1188" s="133">
        <f>Tabla147[[#This Row],[Importe]]-Tabla147[[#This Row],[Pagado]]</f>
        <v>0</v>
      </c>
      <c r="H1188" s="134" t="s">
        <v>10</v>
      </c>
      <c r="I1188" s="135"/>
    </row>
    <row r="1189" spans="1:9" ht="21.75" customHeight="1" x14ac:dyDescent="0.25">
      <c r="A1189" s="127">
        <v>44723</v>
      </c>
      <c r="B1189" s="128" t="s">
        <v>19025</v>
      </c>
      <c r="C1189" s="129" t="s">
        <v>670</v>
      </c>
      <c r="D1189" s="130">
        <v>3251.6</v>
      </c>
      <c r="E1189" s="131">
        <v>44723</v>
      </c>
      <c r="F1189" s="132">
        <v>3251.6</v>
      </c>
      <c r="G1189" s="133">
        <f>Tabla147[[#This Row],[Importe]]-Tabla147[[#This Row],[Pagado]]</f>
        <v>0</v>
      </c>
      <c r="H1189" s="134" t="s">
        <v>10</v>
      </c>
      <c r="I1189" s="135"/>
    </row>
    <row r="1190" spans="1:9" ht="21.75" customHeight="1" x14ac:dyDescent="0.25">
      <c r="A1190" s="127">
        <v>44723</v>
      </c>
      <c r="B1190" s="128" t="s">
        <v>19026</v>
      </c>
      <c r="C1190" s="129" t="s">
        <v>19027</v>
      </c>
      <c r="D1190" s="130">
        <v>0</v>
      </c>
      <c r="E1190" s="136" t="s">
        <v>189</v>
      </c>
      <c r="F1190" s="132">
        <v>0</v>
      </c>
      <c r="G1190" s="133">
        <f>Tabla147[[#This Row],[Importe]]-Tabla147[[#This Row],[Pagado]]</f>
        <v>0</v>
      </c>
      <c r="H1190" s="134" t="s">
        <v>189</v>
      </c>
      <c r="I1190" s="135"/>
    </row>
    <row r="1191" spans="1:9" ht="21.75" customHeight="1" x14ac:dyDescent="0.25">
      <c r="A1191" s="127">
        <v>44723</v>
      </c>
      <c r="B1191" s="128" t="s">
        <v>19028</v>
      </c>
      <c r="C1191" s="129" t="s">
        <v>459</v>
      </c>
      <c r="D1191" s="130">
        <v>213</v>
      </c>
      <c r="E1191" s="131">
        <v>44723</v>
      </c>
      <c r="F1191" s="132">
        <v>213</v>
      </c>
      <c r="G1191" s="133">
        <f>Tabla147[[#This Row],[Importe]]-Tabla147[[#This Row],[Pagado]]</f>
        <v>0</v>
      </c>
      <c r="H1191" s="134" t="s">
        <v>10</v>
      </c>
      <c r="I1191" s="135"/>
    </row>
    <row r="1192" spans="1:9" ht="21.75" customHeight="1" x14ac:dyDescent="0.25">
      <c r="A1192" s="127">
        <v>44723</v>
      </c>
      <c r="B1192" s="128" t="s">
        <v>19029</v>
      </c>
      <c r="C1192" s="129" t="s">
        <v>27</v>
      </c>
      <c r="D1192" s="130">
        <v>1743</v>
      </c>
      <c r="E1192" s="131">
        <v>44723</v>
      </c>
      <c r="F1192" s="132">
        <v>1743</v>
      </c>
      <c r="G1192" s="133">
        <f>Tabla147[[#This Row],[Importe]]-Tabla147[[#This Row],[Pagado]]</f>
        <v>0</v>
      </c>
      <c r="H1192" s="134" t="s">
        <v>10</v>
      </c>
      <c r="I1192" s="135"/>
    </row>
    <row r="1193" spans="1:9" ht="21.75" customHeight="1" x14ac:dyDescent="0.25">
      <c r="A1193" s="127">
        <v>44723</v>
      </c>
      <c r="B1193" s="128" t="s">
        <v>19030</v>
      </c>
      <c r="C1193" s="129" t="s">
        <v>459</v>
      </c>
      <c r="D1193" s="130">
        <v>794.6</v>
      </c>
      <c r="E1193" s="131">
        <v>44723</v>
      </c>
      <c r="F1193" s="132">
        <v>794.6</v>
      </c>
      <c r="G1193" s="133">
        <f>Tabla147[[#This Row],[Importe]]-Tabla147[[#This Row],[Pagado]]</f>
        <v>0</v>
      </c>
      <c r="H1193" s="134" t="s">
        <v>10</v>
      </c>
      <c r="I1193" s="135"/>
    </row>
    <row r="1194" spans="1:9" ht="21.75" customHeight="1" x14ac:dyDescent="0.25">
      <c r="A1194" s="127">
        <v>44723</v>
      </c>
      <c r="B1194" s="128" t="s">
        <v>19031</v>
      </c>
      <c r="C1194" s="129" t="s">
        <v>457</v>
      </c>
      <c r="D1194" s="130">
        <v>198</v>
      </c>
      <c r="E1194" s="131">
        <v>44723</v>
      </c>
      <c r="F1194" s="132">
        <v>198</v>
      </c>
      <c r="G1194" s="133">
        <f>Tabla147[[#This Row],[Importe]]-Tabla147[[#This Row],[Pagado]]</f>
        <v>0</v>
      </c>
      <c r="H1194" s="134" t="s">
        <v>10</v>
      </c>
      <c r="I1194" s="135"/>
    </row>
    <row r="1195" spans="1:9" ht="21.75" customHeight="1" x14ac:dyDescent="0.25">
      <c r="A1195" s="127">
        <v>44723</v>
      </c>
      <c r="B1195" s="128" t="s">
        <v>19032</v>
      </c>
      <c r="C1195" s="129" t="s">
        <v>230</v>
      </c>
      <c r="D1195" s="130">
        <v>1038.5999999999999</v>
      </c>
      <c r="E1195" s="131">
        <v>44723</v>
      </c>
      <c r="F1195" s="132">
        <v>1038.5999999999999</v>
      </c>
      <c r="G1195" s="133">
        <f>Tabla147[[#This Row],[Importe]]-Tabla147[[#This Row],[Pagado]]</f>
        <v>0</v>
      </c>
      <c r="H1195" s="134" t="s">
        <v>10</v>
      </c>
      <c r="I1195" s="135"/>
    </row>
    <row r="1196" spans="1:9" ht="21.75" customHeight="1" x14ac:dyDescent="0.25">
      <c r="A1196" s="127">
        <v>44723</v>
      </c>
      <c r="B1196" s="128" t="s">
        <v>19033</v>
      </c>
      <c r="C1196" s="129" t="s">
        <v>19034</v>
      </c>
      <c r="D1196" s="130">
        <v>0</v>
      </c>
      <c r="E1196" s="136" t="s">
        <v>189</v>
      </c>
      <c r="F1196" s="132">
        <v>0</v>
      </c>
      <c r="G1196" s="133">
        <f>Tabla147[[#This Row],[Importe]]-Tabla147[[#This Row],[Pagado]]</f>
        <v>0</v>
      </c>
      <c r="H1196" s="134" t="s">
        <v>189</v>
      </c>
      <c r="I1196" s="135"/>
    </row>
    <row r="1197" spans="1:9" ht="21.75" customHeight="1" x14ac:dyDescent="0.25">
      <c r="A1197" s="127">
        <v>44723</v>
      </c>
      <c r="B1197" s="128" t="s">
        <v>19035</v>
      </c>
      <c r="C1197" s="129" t="s">
        <v>24</v>
      </c>
      <c r="D1197" s="130">
        <v>5524.3</v>
      </c>
      <c r="E1197" s="131">
        <v>44723</v>
      </c>
      <c r="F1197" s="132">
        <v>5524.3</v>
      </c>
      <c r="G1197" s="133">
        <f>Tabla147[[#This Row],[Importe]]-Tabla147[[#This Row],[Pagado]]</f>
        <v>0</v>
      </c>
      <c r="H1197" s="134" t="s">
        <v>10</v>
      </c>
      <c r="I1197" s="135"/>
    </row>
    <row r="1198" spans="1:9" ht="21.75" customHeight="1" x14ac:dyDescent="0.25">
      <c r="A1198" s="127">
        <v>44723</v>
      </c>
      <c r="B1198" s="128" t="s">
        <v>19036</v>
      </c>
      <c r="C1198" s="129" t="s">
        <v>392</v>
      </c>
      <c r="D1198" s="130">
        <v>15655.3</v>
      </c>
      <c r="E1198" s="131">
        <v>44729</v>
      </c>
      <c r="F1198" s="132">
        <v>15655.3</v>
      </c>
      <c r="G1198" s="133">
        <f>Tabla147[[#This Row],[Importe]]-Tabla147[[#This Row],[Pagado]]</f>
        <v>0</v>
      </c>
      <c r="H1198" s="134" t="s">
        <v>10</v>
      </c>
      <c r="I1198" s="135"/>
    </row>
    <row r="1199" spans="1:9" ht="21.75" customHeight="1" x14ac:dyDescent="0.25">
      <c r="A1199" s="127">
        <v>44723</v>
      </c>
      <c r="B1199" s="128" t="s">
        <v>19037</v>
      </c>
      <c r="C1199" s="129" t="s">
        <v>442</v>
      </c>
      <c r="D1199" s="130">
        <v>7867.5</v>
      </c>
      <c r="E1199" s="131">
        <v>44723</v>
      </c>
      <c r="F1199" s="132">
        <v>7867.5</v>
      </c>
      <c r="G1199" s="133">
        <f>Tabla147[[#This Row],[Importe]]-Tabla147[[#This Row],[Pagado]]</f>
        <v>0</v>
      </c>
      <c r="H1199" s="134" t="s">
        <v>10</v>
      </c>
      <c r="I1199" s="135"/>
    </row>
    <row r="1200" spans="1:9" ht="21.75" customHeight="1" x14ac:dyDescent="0.25">
      <c r="A1200" s="127">
        <v>44723</v>
      </c>
      <c r="B1200" s="128" t="s">
        <v>19038</v>
      </c>
      <c r="C1200" s="129" t="s">
        <v>196</v>
      </c>
      <c r="D1200" s="130">
        <v>141561.31</v>
      </c>
      <c r="E1200" s="131">
        <v>44729</v>
      </c>
      <c r="F1200" s="132">
        <v>141561.31</v>
      </c>
      <c r="G1200" s="133">
        <f>Tabla147[[#This Row],[Importe]]-Tabla147[[#This Row],[Pagado]]</f>
        <v>0</v>
      </c>
      <c r="H1200" s="134" t="s">
        <v>10</v>
      </c>
      <c r="I1200" s="135"/>
    </row>
    <row r="1201" spans="1:9" ht="21.75" customHeight="1" x14ac:dyDescent="0.25">
      <c r="A1201" s="127">
        <v>44723</v>
      </c>
      <c r="B1201" s="128" t="s">
        <v>19039</v>
      </c>
      <c r="C1201" s="129" t="s">
        <v>1174</v>
      </c>
      <c r="D1201" s="130">
        <v>28662</v>
      </c>
      <c r="E1201" s="131">
        <v>44723</v>
      </c>
      <c r="F1201" s="132">
        <v>28662</v>
      </c>
      <c r="G1201" s="133">
        <f>Tabla147[[#This Row],[Importe]]-Tabla147[[#This Row],[Pagado]]</f>
        <v>0</v>
      </c>
      <c r="H1201" s="134" t="s">
        <v>10</v>
      </c>
      <c r="I1201" s="135"/>
    </row>
    <row r="1202" spans="1:9" ht="21.75" customHeight="1" x14ac:dyDescent="0.25">
      <c r="A1202" s="127">
        <v>44723</v>
      </c>
      <c r="B1202" s="128" t="s">
        <v>19040</v>
      </c>
      <c r="C1202" s="129" t="s">
        <v>233</v>
      </c>
      <c r="D1202" s="130">
        <v>4508</v>
      </c>
      <c r="E1202" s="131">
        <v>44723</v>
      </c>
      <c r="F1202" s="132">
        <v>4508</v>
      </c>
      <c r="G1202" s="133">
        <f>Tabla147[[#This Row],[Importe]]-Tabla147[[#This Row],[Pagado]]</f>
        <v>0</v>
      </c>
      <c r="H1202" s="134" t="s">
        <v>10</v>
      </c>
      <c r="I1202" s="135"/>
    </row>
    <row r="1203" spans="1:9" ht="21.75" customHeight="1" x14ac:dyDescent="0.25">
      <c r="A1203" s="127">
        <v>44723</v>
      </c>
      <c r="B1203" s="128" t="s">
        <v>19041</v>
      </c>
      <c r="C1203" s="129" t="s">
        <v>1174</v>
      </c>
      <c r="D1203" s="130">
        <v>1300</v>
      </c>
      <c r="E1203" s="131">
        <v>44723</v>
      </c>
      <c r="F1203" s="132">
        <v>1300</v>
      </c>
      <c r="G1203" s="133">
        <f>Tabla147[[#This Row],[Importe]]-Tabla147[[#This Row],[Pagado]]</f>
        <v>0</v>
      </c>
      <c r="H1203" s="134" t="s">
        <v>10</v>
      </c>
      <c r="I1203" s="135"/>
    </row>
    <row r="1204" spans="1:9" ht="21.75" customHeight="1" x14ac:dyDescent="0.25">
      <c r="A1204" s="127">
        <v>44723</v>
      </c>
      <c r="B1204" s="128" t="s">
        <v>19042</v>
      </c>
      <c r="C1204" s="129" t="s">
        <v>31</v>
      </c>
      <c r="D1204" s="130">
        <v>1162.8</v>
      </c>
      <c r="E1204" s="131">
        <v>44723</v>
      </c>
      <c r="F1204" s="132">
        <v>1162.8</v>
      </c>
      <c r="G1204" s="133">
        <f>Tabla147[[#This Row],[Importe]]-Tabla147[[#This Row],[Pagado]]</f>
        <v>0</v>
      </c>
      <c r="H1204" s="134" t="s">
        <v>10</v>
      </c>
      <c r="I1204" s="135"/>
    </row>
    <row r="1205" spans="1:9" ht="21.75" customHeight="1" x14ac:dyDescent="0.25">
      <c r="A1205" s="127">
        <v>44723</v>
      </c>
      <c r="B1205" s="128" t="s">
        <v>19043</v>
      </c>
      <c r="C1205" s="129" t="s">
        <v>520</v>
      </c>
      <c r="D1205" s="130">
        <v>17575.5</v>
      </c>
      <c r="E1205" s="131">
        <v>44723</v>
      </c>
      <c r="F1205" s="132">
        <v>17575.5</v>
      </c>
      <c r="G1205" s="133">
        <f>Tabla147[[#This Row],[Importe]]-Tabla147[[#This Row],[Pagado]]</f>
        <v>0</v>
      </c>
      <c r="H1205" s="134" t="s">
        <v>10</v>
      </c>
      <c r="I1205" s="135"/>
    </row>
    <row r="1206" spans="1:9" ht="21.75" customHeight="1" x14ac:dyDescent="0.25">
      <c r="A1206" s="127">
        <v>44723</v>
      </c>
      <c r="B1206" s="128" t="s">
        <v>19044</v>
      </c>
      <c r="C1206" s="129" t="s">
        <v>525</v>
      </c>
      <c r="D1206" s="130">
        <v>3691.5</v>
      </c>
      <c r="E1206" s="131">
        <v>44723</v>
      </c>
      <c r="F1206" s="132">
        <v>3691.5</v>
      </c>
      <c r="G1206" s="133">
        <f>Tabla147[[#This Row],[Importe]]-Tabla147[[#This Row],[Pagado]]</f>
        <v>0</v>
      </c>
      <c r="H1206" s="134" t="s">
        <v>10</v>
      </c>
      <c r="I1206" s="135"/>
    </row>
    <row r="1207" spans="1:9" ht="21.75" customHeight="1" x14ac:dyDescent="0.25">
      <c r="A1207" s="127">
        <v>44723</v>
      </c>
      <c r="B1207" s="128" t="s">
        <v>19045</v>
      </c>
      <c r="C1207" s="129" t="s">
        <v>85</v>
      </c>
      <c r="D1207" s="130">
        <v>2597.6</v>
      </c>
      <c r="E1207" s="131">
        <v>44723</v>
      </c>
      <c r="F1207" s="132">
        <v>2597.6</v>
      </c>
      <c r="G1207" s="133">
        <f>Tabla147[[#This Row],[Importe]]-Tabla147[[#This Row],[Pagado]]</f>
        <v>0</v>
      </c>
      <c r="H1207" s="134" t="s">
        <v>10</v>
      </c>
      <c r="I1207" s="135"/>
    </row>
    <row r="1208" spans="1:9" ht="21.75" customHeight="1" x14ac:dyDescent="0.25">
      <c r="A1208" s="127">
        <v>44723</v>
      </c>
      <c r="B1208" s="128" t="s">
        <v>19046</v>
      </c>
      <c r="C1208" s="129" t="s">
        <v>159</v>
      </c>
      <c r="D1208" s="130">
        <v>511.5</v>
      </c>
      <c r="E1208" s="131">
        <v>44723</v>
      </c>
      <c r="F1208" s="132">
        <v>511.5</v>
      </c>
      <c r="G1208" s="133">
        <f>Tabla147[[#This Row],[Importe]]-Tabla147[[#This Row],[Pagado]]</f>
        <v>0</v>
      </c>
      <c r="H1208" s="134" t="s">
        <v>10</v>
      </c>
      <c r="I1208" s="135"/>
    </row>
    <row r="1209" spans="1:9" ht="21.75" customHeight="1" x14ac:dyDescent="0.25">
      <c r="A1209" s="127">
        <v>44723</v>
      </c>
      <c r="B1209" s="128" t="s">
        <v>19047</v>
      </c>
      <c r="C1209" s="129" t="s">
        <v>97</v>
      </c>
      <c r="D1209" s="130">
        <v>11083.6</v>
      </c>
      <c r="E1209" s="131">
        <v>44723</v>
      </c>
      <c r="F1209" s="132">
        <v>11083.6</v>
      </c>
      <c r="G1209" s="133">
        <f>Tabla147[[#This Row],[Importe]]-Tabla147[[#This Row],[Pagado]]</f>
        <v>0</v>
      </c>
      <c r="H1209" s="134" t="s">
        <v>10</v>
      </c>
      <c r="I1209" s="135"/>
    </row>
    <row r="1210" spans="1:9" ht="21.75" customHeight="1" x14ac:dyDescent="0.25">
      <c r="A1210" s="127">
        <v>44723</v>
      </c>
      <c r="B1210" s="128" t="s">
        <v>19048</v>
      </c>
      <c r="C1210" s="129" t="s">
        <v>45</v>
      </c>
      <c r="D1210" s="130">
        <v>12256.1</v>
      </c>
      <c r="E1210" s="131">
        <v>44723</v>
      </c>
      <c r="F1210" s="132">
        <v>12256.1</v>
      </c>
      <c r="G1210" s="133">
        <f>Tabla147[[#This Row],[Importe]]-Tabla147[[#This Row],[Pagado]]</f>
        <v>0</v>
      </c>
      <c r="H1210" s="134" t="s">
        <v>10</v>
      </c>
      <c r="I1210" s="135"/>
    </row>
    <row r="1211" spans="1:9" ht="21.75" customHeight="1" x14ac:dyDescent="0.25">
      <c r="A1211" s="127">
        <v>44723</v>
      </c>
      <c r="B1211" s="128" t="s">
        <v>19049</v>
      </c>
      <c r="C1211" s="129" t="s">
        <v>382</v>
      </c>
      <c r="D1211" s="130">
        <v>3439.8</v>
      </c>
      <c r="E1211" s="131">
        <v>44723</v>
      </c>
      <c r="F1211" s="132">
        <v>3439.8</v>
      </c>
      <c r="G1211" s="133">
        <f>Tabla147[[#This Row],[Importe]]-Tabla147[[#This Row],[Pagado]]</f>
        <v>0</v>
      </c>
      <c r="H1211" s="134" t="s">
        <v>10</v>
      </c>
      <c r="I1211" s="135"/>
    </row>
    <row r="1212" spans="1:9" ht="21.75" customHeight="1" x14ac:dyDescent="0.25">
      <c r="A1212" s="127">
        <v>44723</v>
      </c>
      <c r="B1212" s="128" t="s">
        <v>19050</v>
      </c>
      <c r="C1212" s="129" t="s">
        <v>382</v>
      </c>
      <c r="D1212" s="130">
        <v>1019.2</v>
      </c>
      <c r="E1212" s="131">
        <v>44723</v>
      </c>
      <c r="F1212" s="132">
        <v>1019.2</v>
      </c>
      <c r="G1212" s="133">
        <f>Tabla147[[#This Row],[Importe]]-Tabla147[[#This Row],[Pagado]]</f>
        <v>0</v>
      </c>
      <c r="H1212" s="134" t="s">
        <v>10</v>
      </c>
      <c r="I1212" s="135"/>
    </row>
    <row r="1213" spans="1:9" ht="21.75" customHeight="1" x14ac:dyDescent="0.25">
      <c r="A1213" s="127">
        <v>44723</v>
      </c>
      <c r="B1213" s="128" t="s">
        <v>19051</v>
      </c>
      <c r="C1213" s="129" t="s">
        <v>31</v>
      </c>
      <c r="D1213" s="130">
        <v>2978.4</v>
      </c>
      <c r="E1213" s="131">
        <v>44723</v>
      </c>
      <c r="F1213" s="132">
        <v>2978.4</v>
      </c>
      <c r="G1213" s="133">
        <f>Tabla147[[#This Row],[Importe]]-Tabla147[[#This Row],[Pagado]]</f>
        <v>0</v>
      </c>
      <c r="H1213" s="134" t="s">
        <v>10</v>
      </c>
      <c r="I1213" s="135"/>
    </row>
    <row r="1214" spans="1:9" ht="21.75" customHeight="1" x14ac:dyDescent="0.25">
      <c r="A1214" s="127">
        <v>44723</v>
      </c>
      <c r="B1214" s="128" t="s">
        <v>19052</v>
      </c>
      <c r="C1214" s="129" t="s">
        <v>56</v>
      </c>
      <c r="D1214" s="130">
        <v>5424.4</v>
      </c>
      <c r="E1214" s="131">
        <v>44723</v>
      </c>
      <c r="F1214" s="132">
        <v>5424.4</v>
      </c>
      <c r="G1214" s="133">
        <f>Tabla147[[#This Row],[Importe]]-Tabla147[[#This Row],[Pagado]]</f>
        <v>0</v>
      </c>
      <c r="H1214" s="134" t="s">
        <v>10</v>
      </c>
      <c r="I1214" s="135"/>
    </row>
    <row r="1215" spans="1:9" ht="21.75" customHeight="1" x14ac:dyDescent="0.25">
      <c r="A1215" s="127">
        <v>44723</v>
      </c>
      <c r="B1215" s="128" t="s">
        <v>19053</v>
      </c>
      <c r="C1215" s="129" t="s">
        <v>56</v>
      </c>
      <c r="D1215" s="130">
        <v>26</v>
      </c>
      <c r="E1215" s="131">
        <v>44723</v>
      </c>
      <c r="F1215" s="132">
        <v>26</v>
      </c>
      <c r="G1215" s="133">
        <f>Tabla147[[#This Row],[Importe]]-Tabla147[[#This Row],[Pagado]]</f>
        <v>0</v>
      </c>
      <c r="H1215" s="134" t="s">
        <v>10</v>
      </c>
      <c r="I1215" s="135"/>
    </row>
    <row r="1216" spans="1:9" ht="21.75" customHeight="1" x14ac:dyDescent="0.25">
      <c r="A1216" s="127">
        <v>44723</v>
      </c>
      <c r="B1216" s="128" t="s">
        <v>19054</v>
      </c>
      <c r="C1216" s="129" t="s">
        <v>319</v>
      </c>
      <c r="D1216" s="130">
        <v>2751</v>
      </c>
      <c r="E1216" s="131">
        <v>44723</v>
      </c>
      <c r="F1216" s="132">
        <v>2751</v>
      </c>
      <c r="G1216" s="133">
        <f>Tabla147[[#This Row],[Importe]]-Tabla147[[#This Row],[Pagado]]</f>
        <v>0</v>
      </c>
      <c r="H1216" s="134" t="s">
        <v>10</v>
      </c>
      <c r="I1216" s="135"/>
    </row>
    <row r="1217" spans="1:9" ht="21.75" customHeight="1" x14ac:dyDescent="0.25">
      <c r="A1217" s="127">
        <v>44723</v>
      </c>
      <c r="B1217" s="128" t="s">
        <v>19055</v>
      </c>
      <c r="C1217" s="129" t="s">
        <v>518</v>
      </c>
      <c r="D1217" s="130">
        <v>1273.5999999999999</v>
      </c>
      <c r="E1217" s="131">
        <v>44723</v>
      </c>
      <c r="F1217" s="132">
        <v>1273.5999999999999</v>
      </c>
      <c r="G1217" s="133">
        <f>Tabla147[[#This Row],[Importe]]-Tabla147[[#This Row],[Pagado]]</f>
        <v>0</v>
      </c>
      <c r="H1217" s="134" t="s">
        <v>10</v>
      </c>
      <c r="I1217" s="135"/>
    </row>
    <row r="1218" spans="1:9" ht="21.75" customHeight="1" x14ac:dyDescent="0.25">
      <c r="A1218" s="127">
        <v>44723</v>
      </c>
      <c r="B1218" s="128" t="s">
        <v>19056</v>
      </c>
      <c r="C1218" s="129" t="s">
        <v>518</v>
      </c>
      <c r="D1218" s="130">
        <v>1787.2</v>
      </c>
      <c r="E1218" s="131">
        <v>44723</v>
      </c>
      <c r="F1218" s="132">
        <v>1787.2</v>
      </c>
      <c r="G1218" s="133">
        <f>Tabla147[[#This Row],[Importe]]-Tabla147[[#This Row],[Pagado]]</f>
        <v>0</v>
      </c>
      <c r="H1218" s="134" t="s">
        <v>10</v>
      </c>
      <c r="I1218" s="135"/>
    </row>
    <row r="1219" spans="1:9" ht="21.75" customHeight="1" x14ac:dyDescent="0.25">
      <c r="A1219" s="127">
        <v>44723</v>
      </c>
      <c r="B1219" s="128" t="s">
        <v>19057</v>
      </c>
      <c r="C1219" s="129" t="s">
        <v>157</v>
      </c>
      <c r="D1219" s="130">
        <v>5970.7</v>
      </c>
      <c r="E1219" s="131">
        <v>44723</v>
      </c>
      <c r="F1219" s="132">
        <v>5970.7</v>
      </c>
      <c r="G1219" s="133">
        <f>Tabla147[[#This Row],[Importe]]-Tabla147[[#This Row],[Pagado]]</f>
        <v>0</v>
      </c>
      <c r="H1219" s="134" t="s">
        <v>10</v>
      </c>
      <c r="I1219" s="135"/>
    </row>
    <row r="1220" spans="1:9" ht="21.75" customHeight="1" x14ac:dyDescent="0.25">
      <c r="A1220" s="127">
        <v>44723</v>
      </c>
      <c r="B1220" s="128" t="s">
        <v>19058</v>
      </c>
      <c r="C1220" s="129" t="s">
        <v>452</v>
      </c>
      <c r="D1220" s="130">
        <v>5547.6</v>
      </c>
      <c r="E1220" s="131">
        <v>44723</v>
      </c>
      <c r="F1220" s="132">
        <v>5547.6</v>
      </c>
      <c r="G1220" s="133">
        <f>Tabla147[[#This Row],[Importe]]-Tabla147[[#This Row],[Pagado]]</f>
        <v>0</v>
      </c>
      <c r="H1220" s="134" t="s">
        <v>10</v>
      </c>
      <c r="I1220" s="135"/>
    </row>
    <row r="1221" spans="1:9" ht="21.75" customHeight="1" x14ac:dyDescent="0.25">
      <c r="A1221" s="127">
        <v>44723</v>
      </c>
      <c r="B1221" s="128" t="s">
        <v>19059</v>
      </c>
      <c r="C1221" s="129" t="s">
        <v>10273</v>
      </c>
      <c r="D1221" s="130">
        <v>200</v>
      </c>
      <c r="E1221" s="131">
        <v>44744</v>
      </c>
      <c r="F1221" s="132">
        <v>200</v>
      </c>
      <c r="G1221" s="133">
        <f>Tabla147[[#This Row],[Importe]]-Tabla147[[#This Row],[Pagado]]</f>
        <v>0</v>
      </c>
      <c r="H1221" s="134" t="s">
        <v>10</v>
      </c>
      <c r="I1221" s="135"/>
    </row>
    <row r="1222" spans="1:9" ht="21.75" customHeight="1" x14ac:dyDescent="0.25">
      <c r="A1222" s="127">
        <v>44723</v>
      </c>
      <c r="B1222" s="128" t="s">
        <v>19060</v>
      </c>
      <c r="C1222" s="129" t="s">
        <v>419</v>
      </c>
      <c r="D1222" s="130">
        <v>7238.7</v>
      </c>
      <c r="E1222" s="131">
        <v>44723</v>
      </c>
      <c r="F1222" s="132">
        <v>7238.7</v>
      </c>
      <c r="G1222" s="133">
        <f>Tabla147[[#This Row],[Importe]]-Tabla147[[#This Row],[Pagado]]</f>
        <v>0</v>
      </c>
      <c r="H1222" s="134" t="s">
        <v>10</v>
      </c>
      <c r="I1222" s="135"/>
    </row>
    <row r="1223" spans="1:9" ht="21.75" customHeight="1" x14ac:dyDescent="0.25">
      <c r="A1223" s="127">
        <v>44723</v>
      </c>
      <c r="B1223" s="128" t="s">
        <v>19061</v>
      </c>
      <c r="C1223" s="129" t="s">
        <v>698</v>
      </c>
      <c r="D1223" s="130">
        <v>4729.7</v>
      </c>
      <c r="E1223" s="131">
        <v>44723</v>
      </c>
      <c r="F1223" s="132">
        <v>4729.7</v>
      </c>
      <c r="G1223" s="133">
        <f>Tabla147[[#This Row],[Importe]]-Tabla147[[#This Row],[Pagado]]</f>
        <v>0</v>
      </c>
      <c r="H1223" s="134" t="s">
        <v>10</v>
      </c>
      <c r="I1223" s="135"/>
    </row>
    <row r="1224" spans="1:9" ht="21.75" customHeight="1" x14ac:dyDescent="0.25">
      <c r="A1224" s="127">
        <v>44723</v>
      </c>
      <c r="B1224" s="128" t="s">
        <v>19062</v>
      </c>
      <c r="C1224" s="129" t="s">
        <v>380</v>
      </c>
      <c r="D1224" s="130">
        <v>4416</v>
      </c>
      <c r="E1224" s="131">
        <v>44723</v>
      </c>
      <c r="F1224" s="132">
        <v>4416</v>
      </c>
      <c r="G1224" s="133">
        <f>Tabla147[[#This Row],[Importe]]-Tabla147[[#This Row],[Pagado]]</f>
        <v>0</v>
      </c>
      <c r="H1224" s="134" t="s">
        <v>10</v>
      </c>
      <c r="I1224" s="135"/>
    </row>
    <row r="1225" spans="1:9" ht="21.75" customHeight="1" x14ac:dyDescent="0.25">
      <c r="A1225" s="127">
        <v>44723</v>
      </c>
      <c r="B1225" s="128" t="s">
        <v>19063</v>
      </c>
      <c r="C1225" s="129" t="s">
        <v>151</v>
      </c>
      <c r="D1225" s="130">
        <v>6933.6</v>
      </c>
      <c r="E1225" s="131">
        <v>44723</v>
      </c>
      <c r="F1225" s="132">
        <v>6933.6</v>
      </c>
      <c r="G1225" s="133">
        <f>Tabla147[[#This Row],[Importe]]-Tabla147[[#This Row],[Pagado]]</f>
        <v>0</v>
      </c>
      <c r="H1225" s="134" t="s">
        <v>10</v>
      </c>
      <c r="I1225" s="135"/>
    </row>
    <row r="1226" spans="1:9" ht="21.75" customHeight="1" x14ac:dyDescent="0.25">
      <c r="A1226" s="127">
        <v>44723</v>
      </c>
      <c r="B1226" s="128" t="s">
        <v>19064</v>
      </c>
      <c r="C1226" s="129" t="s">
        <v>10273</v>
      </c>
      <c r="D1226" s="130">
        <v>882.66</v>
      </c>
      <c r="E1226" s="131">
        <v>44744</v>
      </c>
      <c r="F1226" s="132">
        <v>882.66</v>
      </c>
      <c r="G1226" s="133">
        <f>Tabla147[[#This Row],[Importe]]-Tabla147[[#This Row],[Pagado]]</f>
        <v>0</v>
      </c>
      <c r="H1226" s="134" t="s">
        <v>10</v>
      </c>
      <c r="I1226" s="135"/>
    </row>
    <row r="1227" spans="1:9" ht="21.75" customHeight="1" x14ac:dyDescent="0.25">
      <c r="A1227" s="127">
        <v>44723</v>
      </c>
      <c r="B1227" s="128" t="s">
        <v>19065</v>
      </c>
      <c r="C1227" s="129" t="s">
        <v>53</v>
      </c>
      <c r="D1227" s="130">
        <v>3795.6</v>
      </c>
      <c r="E1227" s="131">
        <v>44723</v>
      </c>
      <c r="F1227" s="132">
        <v>3795.6</v>
      </c>
      <c r="G1227" s="133">
        <f>Tabla147[[#This Row],[Importe]]-Tabla147[[#This Row],[Pagado]]</f>
        <v>0</v>
      </c>
      <c r="H1227" s="134" t="s">
        <v>10</v>
      </c>
      <c r="I1227" s="135"/>
    </row>
    <row r="1228" spans="1:9" ht="21.75" customHeight="1" x14ac:dyDescent="0.25">
      <c r="A1228" s="127">
        <v>44723</v>
      </c>
      <c r="B1228" s="128" t="s">
        <v>19066</v>
      </c>
      <c r="C1228" s="129" t="s">
        <v>58</v>
      </c>
      <c r="D1228" s="130">
        <v>1630.8</v>
      </c>
      <c r="E1228" s="131">
        <v>44723</v>
      </c>
      <c r="F1228" s="132">
        <v>1630.8</v>
      </c>
      <c r="G1228" s="133">
        <f>Tabla147[[#This Row],[Importe]]-Tabla147[[#This Row],[Pagado]]</f>
        <v>0</v>
      </c>
      <c r="H1228" s="134" t="s">
        <v>10</v>
      </c>
      <c r="I1228" s="135"/>
    </row>
    <row r="1229" spans="1:9" ht="21.75" customHeight="1" x14ac:dyDescent="0.25">
      <c r="A1229" s="127">
        <v>44723</v>
      </c>
      <c r="B1229" s="128" t="s">
        <v>19067</v>
      </c>
      <c r="C1229" s="129" t="s">
        <v>58</v>
      </c>
      <c r="D1229" s="130">
        <v>3470.7</v>
      </c>
      <c r="E1229" s="131">
        <v>44723</v>
      </c>
      <c r="F1229" s="132">
        <v>3470.7</v>
      </c>
      <c r="G1229" s="133">
        <f>Tabla147[[#This Row],[Importe]]-Tabla147[[#This Row],[Pagado]]</f>
        <v>0</v>
      </c>
      <c r="H1229" s="134" t="s">
        <v>10</v>
      </c>
      <c r="I1229" s="135"/>
    </row>
    <row r="1230" spans="1:9" ht="21.75" customHeight="1" x14ac:dyDescent="0.25">
      <c r="A1230" s="127">
        <v>44723</v>
      </c>
      <c r="B1230" s="128" t="s">
        <v>19068</v>
      </c>
      <c r="C1230" s="129" t="s">
        <v>275</v>
      </c>
      <c r="D1230" s="130">
        <v>133985.41</v>
      </c>
      <c r="E1230" s="131">
        <v>44736</v>
      </c>
      <c r="F1230" s="132">
        <v>133985.41</v>
      </c>
      <c r="G1230" s="133">
        <f>Tabla147[[#This Row],[Importe]]-Tabla147[[#This Row],[Pagado]]</f>
        <v>0</v>
      </c>
      <c r="H1230" s="134" t="s">
        <v>10</v>
      </c>
      <c r="I1230" s="135"/>
    </row>
    <row r="1231" spans="1:9" ht="21.75" customHeight="1" x14ac:dyDescent="0.25">
      <c r="A1231" s="127">
        <v>44723</v>
      </c>
      <c r="B1231" s="128" t="s">
        <v>19069</v>
      </c>
      <c r="C1231" s="129" t="s">
        <v>555</v>
      </c>
      <c r="D1231" s="130">
        <v>28332</v>
      </c>
      <c r="E1231" s="131">
        <v>44724</v>
      </c>
      <c r="F1231" s="132">
        <v>28332</v>
      </c>
      <c r="G1231" s="133">
        <f>Tabla147[[#This Row],[Importe]]-Tabla147[[#This Row],[Pagado]]</f>
        <v>0</v>
      </c>
      <c r="H1231" s="134" t="s">
        <v>10</v>
      </c>
      <c r="I1231" s="135"/>
    </row>
    <row r="1232" spans="1:9" ht="21.75" customHeight="1" x14ac:dyDescent="0.25">
      <c r="A1232" s="127">
        <v>44723</v>
      </c>
      <c r="B1232" s="128" t="s">
        <v>19070</v>
      </c>
      <c r="C1232" s="129" t="s">
        <v>414</v>
      </c>
      <c r="D1232" s="130">
        <v>20536</v>
      </c>
      <c r="E1232" s="131">
        <v>44740</v>
      </c>
      <c r="F1232" s="132">
        <v>20536</v>
      </c>
      <c r="G1232" s="133">
        <f>Tabla147[[#This Row],[Importe]]-Tabla147[[#This Row],[Pagado]]</f>
        <v>0</v>
      </c>
      <c r="H1232" s="134" t="s">
        <v>10</v>
      </c>
      <c r="I1232" s="135"/>
    </row>
    <row r="1233" spans="1:9" ht="21.75" customHeight="1" x14ac:dyDescent="0.25">
      <c r="A1233" s="127">
        <v>44723</v>
      </c>
      <c r="B1233" s="128" t="s">
        <v>19071</v>
      </c>
      <c r="C1233" s="129" t="s">
        <v>872</v>
      </c>
      <c r="D1233" s="130">
        <v>3462.6</v>
      </c>
      <c r="E1233" s="131">
        <v>44723</v>
      </c>
      <c r="F1233" s="132">
        <v>3462.6</v>
      </c>
      <c r="G1233" s="133">
        <f>Tabla147[[#This Row],[Importe]]-Tabla147[[#This Row],[Pagado]]</f>
        <v>0</v>
      </c>
      <c r="H1233" s="134" t="s">
        <v>10</v>
      </c>
      <c r="I1233" s="135"/>
    </row>
    <row r="1234" spans="1:9" ht="21.75" customHeight="1" x14ac:dyDescent="0.25">
      <c r="A1234" s="127">
        <v>44723</v>
      </c>
      <c r="B1234" s="128" t="s">
        <v>19072</v>
      </c>
      <c r="C1234" s="129" t="s">
        <v>67</v>
      </c>
      <c r="D1234" s="130">
        <v>1654.4</v>
      </c>
      <c r="E1234" s="131">
        <v>44723</v>
      </c>
      <c r="F1234" s="132">
        <v>1654.4</v>
      </c>
      <c r="G1234" s="133">
        <f>Tabla147[[#This Row],[Importe]]-Tabla147[[#This Row],[Pagado]]</f>
        <v>0</v>
      </c>
      <c r="H1234" s="134" t="s">
        <v>10</v>
      </c>
      <c r="I1234" s="135"/>
    </row>
    <row r="1235" spans="1:9" ht="21.75" customHeight="1" x14ac:dyDescent="0.25">
      <c r="A1235" s="127">
        <v>44723</v>
      </c>
      <c r="B1235" s="128" t="s">
        <v>19073</v>
      </c>
      <c r="C1235" s="129" t="s">
        <v>11383</v>
      </c>
      <c r="D1235" s="130">
        <v>25156.5</v>
      </c>
      <c r="E1235" s="131">
        <v>44723</v>
      </c>
      <c r="F1235" s="132">
        <v>25156.5</v>
      </c>
      <c r="G1235" s="133">
        <f>Tabla147[[#This Row],[Importe]]-Tabla147[[#This Row],[Pagado]]</f>
        <v>0</v>
      </c>
      <c r="H1235" s="134" t="s">
        <v>10</v>
      </c>
      <c r="I1235" s="135"/>
    </row>
    <row r="1236" spans="1:9" ht="21.75" customHeight="1" x14ac:dyDescent="0.25">
      <c r="A1236" s="127">
        <v>44723</v>
      </c>
      <c r="B1236" s="128" t="s">
        <v>19074</v>
      </c>
      <c r="C1236" s="129" t="s">
        <v>53</v>
      </c>
      <c r="D1236" s="130">
        <v>2906.8</v>
      </c>
      <c r="E1236" s="131">
        <v>44723</v>
      </c>
      <c r="F1236" s="132">
        <v>2906.8</v>
      </c>
      <c r="G1236" s="133">
        <f>Tabla147[[#This Row],[Importe]]-Tabla147[[#This Row],[Pagado]]</f>
        <v>0</v>
      </c>
      <c r="H1236" s="134" t="s">
        <v>10</v>
      </c>
      <c r="I1236" s="135"/>
    </row>
    <row r="1237" spans="1:9" ht="21.75" customHeight="1" x14ac:dyDescent="0.25">
      <c r="A1237" s="127">
        <v>44723</v>
      </c>
      <c r="B1237" s="128" t="s">
        <v>19075</v>
      </c>
      <c r="C1237" s="129" t="s">
        <v>31</v>
      </c>
      <c r="D1237" s="130">
        <v>1088</v>
      </c>
      <c r="E1237" s="131">
        <v>44723</v>
      </c>
      <c r="F1237" s="132">
        <v>1088</v>
      </c>
      <c r="G1237" s="133">
        <f>Tabla147[[#This Row],[Importe]]-Tabla147[[#This Row],[Pagado]]</f>
        <v>0</v>
      </c>
      <c r="H1237" s="134" t="s">
        <v>10</v>
      </c>
      <c r="I1237" s="135"/>
    </row>
    <row r="1238" spans="1:9" ht="21.75" customHeight="1" x14ac:dyDescent="0.25">
      <c r="A1238" s="127">
        <v>44723</v>
      </c>
      <c r="B1238" s="128" t="s">
        <v>19076</v>
      </c>
      <c r="C1238" s="129" t="s">
        <v>409</v>
      </c>
      <c r="D1238" s="130">
        <v>9306</v>
      </c>
      <c r="E1238" s="131">
        <v>44730</v>
      </c>
      <c r="F1238" s="132">
        <v>9306</v>
      </c>
      <c r="G1238" s="133">
        <f>Tabla147[[#This Row],[Importe]]-Tabla147[[#This Row],[Pagado]]</f>
        <v>0</v>
      </c>
      <c r="H1238" s="134" t="s">
        <v>10</v>
      </c>
      <c r="I1238" s="135"/>
    </row>
    <row r="1239" spans="1:9" ht="21.75" customHeight="1" x14ac:dyDescent="0.25">
      <c r="A1239" s="127">
        <v>44723</v>
      </c>
      <c r="B1239" s="128" t="s">
        <v>19077</v>
      </c>
      <c r="C1239" s="129" t="s">
        <v>179</v>
      </c>
      <c r="D1239" s="130">
        <v>1080</v>
      </c>
      <c r="E1239" s="131">
        <v>44723</v>
      </c>
      <c r="F1239" s="132">
        <v>1080</v>
      </c>
      <c r="G1239" s="133">
        <f>Tabla147[[#This Row],[Importe]]-Tabla147[[#This Row],[Pagado]]</f>
        <v>0</v>
      </c>
      <c r="H1239" s="134" t="s">
        <v>10</v>
      </c>
      <c r="I1239" s="135"/>
    </row>
    <row r="1240" spans="1:9" ht="21.75" customHeight="1" x14ac:dyDescent="0.25">
      <c r="A1240" s="127">
        <v>44723</v>
      </c>
      <c r="B1240" s="128" t="s">
        <v>19078</v>
      </c>
      <c r="C1240" s="129" t="s">
        <v>62</v>
      </c>
      <c r="D1240" s="130">
        <v>3940.5</v>
      </c>
      <c r="E1240" s="131">
        <v>44723</v>
      </c>
      <c r="F1240" s="132">
        <v>3940.5</v>
      </c>
      <c r="G1240" s="133">
        <f>Tabla147[[#This Row],[Importe]]-Tabla147[[#This Row],[Pagado]]</f>
        <v>0</v>
      </c>
      <c r="H1240" s="134" t="s">
        <v>10</v>
      </c>
      <c r="I1240" s="135"/>
    </row>
    <row r="1241" spans="1:9" ht="21.75" customHeight="1" x14ac:dyDescent="0.25">
      <c r="A1241" s="127">
        <v>44723</v>
      </c>
      <c r="B1241" s="128" t="s">
        <v>19079</v>
      </c>
      <c r="C1241" s="129" t="s">
        <v>9827</v>
      </c>
      <c r="D1241" s="130">
        <v>8752.7999999999993</v>
      </c>
      <c r="E1241" s="131">
        <v>44723</v>
      </c>
      <c r="F1241" s="132">
        <v>8752.7999999999993</v>
      </c>
      <c r="G1241" s="133">
        <f>Tabla147[[#This Row],[Importe]]-Tabla147[[#This Row],[Pagado]]</f>
        <v>0</v>
      </c>
      <c r="H1241" s="134" t="s">
        <v>10</v>
      </c>
      <c r="I1241" s="135"/>
    </row>
    <row r="1242" spans="1:9" ht="21.75" customHeight="1" x14ac:dyDescent="0.25">
      <c r="A1242" s="127">
        <v>44723</v>
      </c>
      <c r="B1242" s="128" t="s">
        <v>19080</v>
      </c>
      <c r="C1242" s="129" t="s">
        <v>31</v>
      </c>
      <c r="D1242" s="130">
        <v>190</v>
      </c>
      <c r="E1242" s="131">
        <v>44723</v>
      </c>
      <c r="F1242" s="132">
        <v>190</v>
      </c>
      <c r="G1242" s="133">
        <f>Tabla147[[#This Row],[Importe]]-Tabla147[[#This Row],[Pagado]]</f>
        <v>0</v>
      </c>
      <c r="H1242" s="134" t="s">
        <v>10</v>
      </c>
      <c r="I1242" s="135"/>
    </row>
    <row r="1243" spans="1:9" ht="21.75" customHeight="1" x14ac:dyDescent="0.25">
      <c r="A1243" s="127">
        <v>44723</v>
      </c>
      <c r="B1243" s="128" t="s">
        <v>19081</v>
      </c>
      <c r="C1243" s="129" t="s">
        <v>10190</v>
      </c>
      <c r="D1243" s="130">
        <v>26736.6</v>
      </c>
      <c r="E1243" s="131">
        <v>44723</v>
      </c>
      <c r="F1243" s="132">
        <v>26736.6</v>
      </c>
      <c r="G1243" s="133">
        <f>Tabla147[[#This Row],[Importe]]-Tabla147[[#This Row],[Pagado]]</f>
        <v>0</v>
      </c>
      <c r="H1243" s="134" t="s">
        <v>10</v>
      </c>
      <c r="I1243" s="135"/>
    </row>
    <row r="1244" spans="1:9" ht="21.75" customHeight="1" x14ac:dyDescent="0.25">
      <c r="A1244" s="127">
        <v>44723</v>
      </c>
      <c r="B1244" s="128" t="s">
        <v>19082</v>
      </c>
      <c r="C1244" s="129" t="s">
        <v>275</v>
      </c>
      <c r="D1244" s="130">
        <v>98570.25</v>
      </c>
      <c r="E1244" s="131">
        <v>44736</v>
      </c>
      <c r="F1244" s="132">
        <v>98570.25</v>
      </c>
      <c r="G1244" s="133">
        <f>Tabla147[[#This Row],[Importe]]-Tabla147[[#This Row],[Pagado]]</f>
        <v>0</v>
      </c>
      <c r="H1244" s="134" t="s">
        <v>10</v>
      </c>
      <c r="I1244" s="135"/>
    </row>
    <row r="1245" spans="1:9" ht="21.75" customHeight="1" x14ac:dyDescent="0.25">
      <c r="A1245" s="127">
        <v>44723</v>
      </c>
      <c r="B1245" s="128" t="s">
        <v>19083</v>
      </c>
      <c r="C1245" s="129" t="s">
        <v>275</v>
      </c>
      <c r="D1245" s="130">
        <v>12811.2</v>
      </c>
      <c r="E1245" s="131">
        <v>44736</v>
      </c>
      <c r="F1245" s="132">
        <v>12811.2</v>
      </c>
      <c r="G1245" s="133">
        <f>Tabla147[[#This Row],[Importe]]-Tabla147[[#This Row],[Pagado]]</f>
        <v>0</v>
      </c>
      <c r="H1245" s="134" t="s">
        <v>10</v>
      </c>
      <c r="I1245" s="135"/>
    </row>
    <row r="1246" spans="1:9" ht="21.75" customHeight="1" x14ac:dyDescent="0.25">
      <c r="A1246" s="127">
        <v>44723</v>
      </c>
      <c r="B1246" s="128" t="s">
        <v>19084</v>
      </c>
      <c r="C1246" s="129" t="s">
        <v>275</v>
      </c>
      <c r="D1246" s="130">
        <v>1431</v>
      </c>
      <c r="E1246" s="131">
        <v>44736</v>
      </c>
      <c r="F1246" s="132">
        <v>1431</v>
      </c>
      <c r="G1246" s="133">
        <f>Tabla147[[#This Row],[Importe]]-Tabla147[[#This Row],[Pagado]]</f>
        <v>0</v>
      </c>
      <c r="H1246" s="134" t="s">
        <v>10</v>
      </c>
      <c r="I1246" s="135"/>
    </row>
    <row r="1247" spans="1:9" ht="21.75" customHeight="1" x14ac:dyDescent="0.25">
      <c r="A1247" s="127">
        <v>44723</v>
      </c>
      <c r="B1247" s="128" t="s">
        <v>19085</v>
      </c>
      <c r="C1247" s="129" t="s">
        <v>214</v>
      </c>
      <c r="D1247" s="130">
        <v>1468.8</v>
      </c>
      <c r="E1247" s="131">
        <v>44723</v>
      </c>
      <c r="F1247" s="132">
        <v>1468.8</v>
      </c>
      <c r="G1247" s="133">
        <f>Tabla147[[#This Row],[Importe]]-Tabla147[[#This Row],[Pagado]]</f>
        <v>0</v>
      </c>
      <c r="H1247" s="134" t="s">
        <v>10</v>
      </c>
      <c r="I1247" s="135"/>
    </row>
    <row r="1248" spans="1:9" ht="21.75" customHeight="1" x14ac:dyDescent="0.25">
      <c r="A1248" s="127">
        <v>44723</v>
      </c>
      <c r="B1248" s="128" t="s">
        <v>19086</v>
      </c>
      <c r="C1248" s="129" t="s">
        <v>200</v>
      </c>
      <c r="D1248" s="130">
        <v>1944.8</v>
      </c>
      <c r="E1248" s="131">
        <v>44723</v>
      </c>
      <c r="F1248" s="132">
        <v>1944.8</v>
      </c>
      <c r="G1248" s="133">
        <f>Tabla147[[#This Row],[Importe]]-Tabla147[[#This Row],[Pagado]]</f>
        <v>0</v>
      </c>
      <c r="H1248" s="134" t="s">
        <v>10</v>
      </c>
      <c r="I1248" s="135"/>
    </row>
    <row r="1249" spans="1:9" ht="21.75" customHeight="1" x14ac:dyDescent="0.25">
      <c r="A1249" s="127">
        <v>44723</v>
      </c>
      <c r="B1249" s="128" t="s">
        <v>19087</v>
      </c>
      <c r="C1249" s="129" t="s">
        <v>9</v>
      </c>
      <c r="D1249" s="130">
        <v>1569.2</v>
      </c>
      <c r="E1249" s="131">
        <v>44723</v>
      </c>
      <c r="F1249" s="132">
        <v>1569.2</v>
      </c>
      <c r="G1249" s="133">
        <f>Tabla147[[#This Row],[Importe]]-Tabla147[[#This Row],[Pagado]]</f>
        <v>0</v>
      </c>
      <c r="H1249" s="134" t="s">
        <v>10</v>
      </c>
      <c r="I1249" s="135"/>
    </row>
    <row r="1250" spans="1:9" ht="21.75" customHeight="1" x14ac:dyDescent="0.25">
      <c r="A1250" s="127">
        <v>44723</v>
      </c>
      <c r="B1250" s="128" t="s">
        <v>19088</v>
      </c>
      <c r="C1250" s="129" t="s">
        <v>31</v>
      </c>
      <c r="D1250" s="130">
        <v>2129.8000000000002</v>
      </c>
      <c r="E1250" s="131">
        <v>44723</v>
      </c>
      <c r="F1250" s="132">
        <v>2129.8000000000002</v>
      </c>
      <c r="G1250" s="133">
        <f>Tabla147[[#This Row],[Importe]]-Tabla147[[#This Row],[Pagado]]</f>
        <v>0</v>
      </c>
      <c r="H1250" s="134" t="s">
        <v>10</v>
      </c>
      <c r="I1250" s="135"/>
    </row>
    <row r="1251" spans="1:9" ht="21.75" customHeight="1" x14ac:dyDescent="0.25">
      <c r="A1251" s="127">
        <v>44723</v>
      </c>
      <c r="B1251" s="128" t="s">
        <v>19089</v>
      </c>
      <c r="C1251" s="129" t="s">
        <v>15449</v>
      </c>
      <c r="D1251" s="130">
        <v>898</v>
      </c>
      <c r="E1251" s="131">
        <v>44723</v>
      </c>
      <c r="F1251" s="132">
        <v>898</v>
      </c>
      <c r="G1251" s="133">
        <f>Tabla147[[#This Row],[Importe]]-Tabla147[[#This Row],[Pagado]]</f>
        <v>0</v>
      </c>
      <c r="H1251" s="134" t="s">
        <v>10</v>
      </c>
      <c r="I1251" s="135"/>
    </row>
    <row r="1252" spans="1:9" ht="21.75" customHeight="1" x14ac:dyDescent="0.25">
      <c r="A1252" s="127">
        <v>44723</v>
      </c>
      <c r="B1252" s="128" t="s">
        <v>19090</v>
      </c>
      <c r="C1252" s="129" t="s">
        <v>31</v>
      </c>
      <c r="D1252" s="130">
        <v>1180.7</v>
      </c>
      <c r="E1252" s="131">
        <v>44723</v>
      </c>
      <c r="F1252" s="132">
        <v>1180.7</v>
      </c>
      <c r="G1252" s="133">
        <f>Tabla147[[#This Row],[Importe]]-Tabla147[[#This Row],[Pagado]]</f>
        <v>0</v>
      </c>
      <c r="H1252" s="134" t="s">
        <v>10</v>
      </c>
      <c r="I1252" s="135"/>
    </row>
    <row r="1253" spans="1:9" ht="21.75" customHeight="1" x14ac:dyDescent="0.25">
      <c r="A1253" s="127">
        <v>44723</v>
      </c>
      <c r="B1253" s="128" t="s">
        <v>19091</v>
      </c>
      <c r="C1253" s="129" t="s">
        <v>31</v>
      </c>
      <c r="D1253" s="130">
        <v>4554</v>
      </c>
      <c r="E1253" s="131">
        <v>44723</v>
      </c>
      <c r="F1253" s="132">
        <v>4554</v>
      </c>
      <c r="G1253" s="133">
        <f>Tabla147[[#This Row],[Importe]]-Tabla147[[#This Row],[Pagado]]</f>
        <v>0</v>
      </c>
      <c r="H1253" s="134" t="s">
        <v>10</v>
      </c>
      <c r="I1253" s="135"/>
    </row>
    <row r="1254" spans="1:9" ht="21.75" customHeight="1" x14ac:dyDescent="0.25">
      <c r="A1254" s="127">
        <v>44723</v>
      </c>
      <c r="B1254" s="128" t="s">
        <v>19092</v>
      </c>
      <c r="C1254" s="129" t="s">
        <v>450</v>
      </c>
      <c r="D1254" s="130">
        <v>462</v>
      </c>
      <c r="E1254" s="131">
        <v>44723</v>
      </c>
      <c r="F1254" s="132">
        <v>462</v>
      </c>
      <c r="G1254" s="133">
        <f>Tabla147[[#This Row],[Importe]]-Tabla147[[#This Row],[Pagado]]</f>
        <v>0</v>
      </c>
      <c r="H1254" s="134" t="s">
        <v>10</v>
      </c>
      <c r="I1254" s="135"/>
    </row>
    <row r="1255" spans="1:9" ht="21.75" customHeight="1" x14ac:dyDescent="0.25">
      <c r="A1255" s="127">
        <v>44723</v>
      </c>
      <c r="B1255" s="128" t="s">
        <v>19093</v>
      </c>
      <c r="C1255" s="129" t="s">
        <v>31</v>
      </c>
      <c r="D1255" s="130">
        <v>1922.4</v>
      </c>
      <c r="E1255" s="131">
        <v>44723</v>
      </c>
      <c r="F1255" s="132">
        <v>1922.4</v>
      </c>
      <c r="G1255" s="133">
        <f>Tabla147[[#This Row],[Importe]]-Tabla147[[#This Row],[Pagado]]</f>
        <v>0</v>
      </c>
      <c r="H1255" s="134" t="s">
        <v>10</v>
      </c>
      <c r="I1255" s="135"/>
    </row>
    <row r="1256" spans="1:9" ht="21.75" customHeight="1" x14ac:dyDescent="0.25">
      <c r="A1256" s="127">
        <v>44723</v>
      </c>
      <c r="B1256" s="128" t="s">
        <v>19094</v>
      </c>
      <c r="C1256" s="129" t="s">
        <v>431</v>
      </c>
      <c r="D1256" s="130">
        <v>714</v>
      </c>
      <c r="E1256" s="131">
        <v>44725</v>
      </c>
      <c r="F1256" s="132">
        <v>714</v>
      </c>
      <c r="G1256" s="133">
        <f>Tabla147[[#This Row],[Importe]]-Tabla147[[#This Row],[Pagado]]</f>
        <v>0</v>
      </c>
      <c r="H1256" s="134" t="s">
        <v>10</v>
      </c>
      <c r="I1256" s="135"/>
    </row>
    <row r="1257" spans="1:9" ht="21.75" customHeight="1" x14ac:dyDescent="0.25">
      <c r="A1257" s="127">
        <v>44723</v>
      </c>
      <c r="B1257" s="128" t="s">
        <v>19095</v>
      </c>
      <c r="C1257" s="129" t="s">
        <v>280</v>
      </c>
      <c r="D1257" s="130">
        <v>1897.2</v>
      </c>
      <c r="E1257" s="131">
        <v>44725</v>
      </c>
      <c r="F1257" s="132">
        <v>1897.2</v>
      </c>
      <c r="G1257" s="133">
        <f>Tabla147[[#This Row],[Importe]]-Tabla147[[#This Row],[Pagado]]</f>
        <v>0</v>
      </c>
      <c r="H1257" s="134" t="s">
        <v>10</v>
      </c>
      <c r="I1257" s="135"/>
    </row>
    <row r="1258" spans="1:9" ht="21.75" customHeight="1" x14ac:dyDescent="0.25">
      <c r="A1258" s="127">
        <v>44723</v>
      </c>
      <c r="B1258" s="128" t="s">
        <v>19096</v>
      </c>
      <c r="C1258" s="129" t="s">
        <v>5345</v>
      </c>
      <c r="D1258" s="130">
        <v>2740.4</v>
      </c>
      <c r="E1258" s="131">
        <v>44725</v>
      </c>
      <c r="F1258" s="132">
        <v>2740.4</v>
      </c>
      <c r="G1258" s="133">
        <f>Tabla147[[#This Row],[Importe]]-Tabla147[[#This Row],[Pagado]]</f>
        <v>0</v>
      </c>
      <c r="H1258" s="134" t="s">
        <v>10</v>
      </c>
      <c r="I1258" s="135"/>
    </row>
    <row r="1259" spans="1:9" ht="21.75" customHeight="1" x14ac:dyDescent="0.25">
      <c r="A1259" s="127">
        <v>44723</v>
      </c>
      <c r="B1259" s="128" t="s">
        <v>19097</v>
      </c>
      <c r="C1259" s="129" t="s">
        <v>284</v>
      </c>
      <c r="D1259" s="130">
        <v>13912.8</v>
      </c>
      <c r="E1259" s="131">
        <v>44725</v>
      </c>
      <c r="F1259" s="132">
        <v>13912.8</v>
      </c>
      <c r="G1259" s="133">
        <f>Tabla147[[#This Row],[Importe]]-Tabla147[[#This Row],[Pagado]]</f>
        <v>0</v>
      </c>
      <c r="H1259" s="134" t="s">
        <v>10</v>
      </c>
      <c r="I1259" s="135"/>
    </row>
    <row r="1260" spans="1:9" ht="21.75" customHeight="1" x14ac:dyDescent="0.25">
      <c r="A1260" s="127">
        <v>44723</v>
      </c>
      <c r="B1260" s="128" t="s">
        <v>19098</v>
      </c>
      <c r="C1260" s="129" t="s">
        <v>282</v>
      </c>
      <c r="D1260" s="130">
        <v>7180.8</v>
      </c>
      <c r="E1260" s="131">
        <v>44725</v>
      </c>
      <c r="F1260" s="132">
        <v>7180.8</v>
      </c>
      <c r="G1260" s="133">
        <f>Tabla147[[#This Row],[Importe]]-Tabla147[[#This Row],[Pagado]]</f>
        <v>0</v>
      </c>
      <c r="H1260" s="134" t="s">
        <v>10</v>
      </c>
      <c r="I1260" s="135"/>
    </row>
    <row r="1261" spans="1:9" ht="21.75" customHeight="1" x14ac:dyDescent="0.25">
      <c r="A1261" s="127">
        <v>44723</v>
      </c>
      <c r="B1261" s="128" t="s">
        <v>19099</v>
      </c>
      <c r="C1261" s="129" t="s">
        <v>10819</v>
      </c>
      <c r="D1261" s="130">
        <v>1237.5999999999999</v>
      </c>
      <c r="E1261" s="131">
        <v>44725</v>
      </c>
      <c r="F1261" s="132">
        <v>1237.5999999999999</v>
      </c>
      <c r="G1261" s="133">
        <f>Tabla147[[#This Row],[Importe]]-Tabla147[[#This Row],[Pagado]]</f>
        <v>0</v>
      </c>
      <c r="H1261" s="134" t="s">
        <v>10</v>
      </c>
      <c r="I1261" s="135"/>
    </row>
    <row r="1262" spans="1:9" ht="21.75" customHeight="1" x14ac:dyDescent="0.25">
      <c r="A1262" s="127">
        <v>44723</v>
      </c>
      <c r="B1262" s="128" t="s">
        <v>19100</v>
      </c>
      <c r="C1262" s="129" t="s">
        <v>181</v>
      </c>
      <c r="D1262" s="130">
        <v>12306.4</v>
      </c>
      <c r="E1262" s="131">
        <v>44725</v>
      </c>
      <c r="F1262" s="132">
        <v>12306.4</v>
      </c>
      <c r="G1262" s="133">
        <f>Tabla147[[#This Row],[Importe]]-Tabla147[[#This Row],[Pagado]]</f>
        <v>0</v>
      </c>
      <c r="H1262" s="134" t="s">
        <v>10</v>
      </c>
      <c r="I1262" s="135"/>
    </row>
    <row r="1263" spans="1:9" ht="21.75" customHeight="1" x14ac:dyDescent="0.25">
      <c r="A1263" s="127">
        <v>44723</v>
      </c>
      <c r="B1263" s="128" t="s">
        <v>19101</v>
      </c>
      <c r="C1263" s="129" t="s">
        <v>426</v>
      </c>
      <c r="D1263" s="130">
        <v>13402.7</v>
      </c>
      <c r="E1263" s="131">
        <v>44725</v>
      </c>
      <c r="F1263" s="132">
        <v>13402.7</v>
      </c>
      <c r="G1263" s="133">
        <f>Tabla147[[#This Row],[Importe]]-Tabla147[[#This Row],[Pagado]]</f>
        <v>0</v>
      </c>
      <c r="H1263" s="134" t="s">
        <v>10</v>
      </c>
      <c r="I1263" s="135"/>
    </row>
    <row r="1264" spans="1:9" ht="21.75" customHeight="1" x14ac:dyDescent="0.25">
      <c r="A1264" s="127">
        <v>44723</v>
      </c>
      <c r="B1264" s="128" t="s">
        <v>19102</v>
      </c>
      <c r="C1264" s="129" t="s">
        <v>51</v>
      </c>
      <c r="D1264" s="130">
        <v>3906</v>
      </c>
      <c r="E1264" s="131">
        <v>44723</v>
      </c>
      <c r="F1264" s="132">
        <v>3906</v>
      </c>
      <c r="G1264" s="133">
        <f>Tabla147[[#This Row],[Importe]]-Tabla147[[#This Row],[Pagado]]</f>
        <v>0</v>
      </c>
      <c r="H1264" s="134" t="s">
        <v>10</v>
      </c>
      <c r="I1264" s="135"/>
    </row>
    <row r="1265" spans="1:9" ht="21.75" customHeight="1" x14ac:dyDescent="0.25">
      <c r="A1265" s="127">
        <v>44723</v>
      </c>
      <c r="B1265" s="128" t="s">
        <v>19103</v>
      </c>
      <c r="C1265" s="129" t="s">
        <v>857</v>
      </c>
      <c r="D1265" s="130">
        <v>2253</v>
      </c>
      <c r="E1265" s="131">
        <v>44723</v>
      </c>
      <c r="F1265" s="132">
        <v>2253</v>
      </c>
      <c r="G1265" s="133">
        <f>Tabla147[[#This Row],[Importe]]-Tabla147[[#This Row],[Pagado]]</f>
        <v>0</v>
      </c>
      <c r="H1265" s="134" t="s">
        <v>10</v>
      </c>
      <c r="I1265" s="135"/>
    </row>
    <row r="1266" spans="1:9" ht="21.75" customHeight="1" x14ac:dyDescent="0.25">
      <c r="A1266" s="127">
        <v>44723</v>
      </c>
      <c r="B1266" s="128" t="s">
        <v>19104</v>
      </c>
      <c r="C1266" s="129" t="s">
        <v>10840</v>
      </c>
      <c r="D1266" s="130">
        <v>8929.5</v>
      </c>
      <c r="E1266" s="131">
        <v>44723</v>
      </c>
      <c r="F1266" s="132">
        <v>8929.5</v>
      </c>
      <c r="G1266" s="133">
        <f>Tabla147[[#This Row],[Importe]]-Tabla147[[#This Row],[Pagado]]</f>
        <v>0</v>
      </c>
      <c r="H1266" s="134" t="s">
        <v>10</v>
      </c>
      <c r="I1266" s="135"/>
    </row>
    <row r="1267" spans="1:9" ht="21.75" customHeight="1" x14ac:dyDescent="0.25">
      <c r="A1267" s="127">
        <v>44723</v>
      </c>
      <c r="B1267" s="128" t="s">
        <v>19105</v>
      </c>
      <c r="C1267" s="129" t="s">
        <v>296</v>
      </c>
      <c r="D1267" s="130">
        <v>504</v>
      </c>
      <c r="E1267" s="131">
        <v>44723</v>
      </c>
      <c r="F1267" s="132">
        <v>504</v>
      </c>
      <c r="G1267" s="133">
        <f>Tabla147[[#This Row],[Importe]]-Tabla147[[#This Row],[Pagado]]</f>
        <v>0</v>
      </c>
      <c r="H1267" s="134" t="s">
        <v>10</v>
      </c>
      <c r="I1267" s="135"/>
    </row>
    <row r="1268" spans="1:9" ht="21.75" customHeight="1" x14ac:dyDescent="0.25">
      <c r="A1268" s="127">
        <v>44723</v>
      </c>
      <c r="B1268" s="128" t="s">
        <v>19106</v>
      </c>
      <c r="C1268" s="129" t="s">
        <v>69</v>
      </c>
      <c r="D1268" s="130">
        <v>5868</v>
      </c>
      <c r="E1268" s="131">
        <v>44723</v>
      </c>
      <c r="F1268" s="132">
        <v>5868</v>
      </c>
      <c r="G1268" s="133">
        <f>Tabla147[[#This Row],[Importe]]-Tabla147[[#This Row],[Pagado]]</f>
        <v>0</v>
      </c>
      <c r="H1268" s="134" t="s">
        <v>10</v>
      </c>
      <c r="I1268" s="135"/>
    </row>
    <row r="1269" spans="1:9" ht="21.75" customHeight="1" x14ac:dyDescent="0.25">
      <c r="A1269" s="127">
        <v>44723</v>
      </c>
      <c r="B1269" s="128" t="s">
        <v>19107</v>
      </c>
      <c r="C1269" s="129" t="s">
        <v>35</v>
      </c>
      <c r="D1269" s="130">
        <v>3744.5</v>
      </c>
      <c r="E1269" s="131">
        <v>44723</v>
      </c>
      <c r="F1269" s="132">
        <v>3744.5</v>
      </c>
      <c r="G1269" s="133">
        <f>Tabla147[[#This Row],[Importe]]-Tabla147[[#This Row],[Pagado]]</f>
        <v>0</v>
      </c>
      <c r="H1269" s="134" t="s">
        <v>10</v>
      </c>
      <c r="I1269" s="135"/>
    </row>
    <row r="1270" spans="1:9" ht="21.75" customHeight="1" x14ac:dyDescent="0.25">
      <c r="A1270" s="127">
        <v>44723</v>
      </c>
      <c r="B1270" s="128" t="s">
        <v>19108</v>
      </c>
      <c r="C1270" s="129" t="s">
        <v>31</v>
      </c>
      <c r="D1270" s="130">
        <v>20481.599999999999</v>
      </c>
      <c r="E1270" s="131">
        <v>44723</v>
      </c>
      <c r="F1270" s="132">
        <v>20481.599999999999</v>
      </c>
      <c r="G1270" s="133">
        <f>Tabla147[[#This Row],[Importe]]-Tabla147[[#This Row],[Pagado]]</f>
        <v>0</v>
      </c>
      <c r="H1270" s="134" t="s">
        <v>10</v>
      </c>
      <c r="I1270" s="135"/>
    </row>
    <row r="1271" spans="1:9" ht="21.75" customHeight="1" x14ac:dyDescent="0.25">
      <c r="A1271" s="127">
        <v>44723</v>
      </c>
      <c r="B1271" s="128" t="s">
        <v>19109</v>
      </c>
      <c r="C1271" s="129" t="s">
        <v>461</v>
      </c>
      <c r="D1271" s="130">
        <v>394</v>
      </c>
      <c r="E1271" s="131">
        <v>44724</v>
      </c>
      <c r="F1271" s="132">
        <v>394</v>
      </c>
      <c r="G1271" s="133">
        <f>Tabla147[[#This Row],[Importe]]-Tabla147[[#This Row],[Pagado]]</f>
        <v>0</v>
      </c>
      <c r="H1271" s="134" t="s">
        <v>10</v>
      </c>
      <c r="I1271" s="135"/>
    </row>
    <row r="1272" spans="1:9" ht="21.75" customHeight="1" x14ac:dyDescent="0.25">
      <c r="A1272" s="127">
        <v>44723</v>
      </c>
      <c r="B1272" s="128" t="s">
        <v>19110</v>
      </c>
      <c r="C1272" s="129" t="s">
        <v>463</v>
      </c>
      <c r="D1272" s="130">
        <v>550</v>
      </c>
      <c r="E1272" s="131">
        <v>44724</v>
      </c>
      <c r="F1272" s="132">
        <v>550</v>
      </c>
      <c r="G1272" s="133">
        <f>Tabla147[[#This Row],[Importe]]-Tabla147[[#This Row],[Pagado]]</f>
        <v>0</v>
      </c>
      <c r="H1272" s="134" t="s">
        <v>10</v>
      </c>
      <c r="I1272" s="135"/>
    </row>
    <row r="1273" spans="1:9" ht="21.75" customHeight="1" x14ac:dyDescent="0.25">
      <c r="A1273" s="127">
        <v>44723</v>
      </c>
      <c r="B1273" s="128" t="s">
        <v>19111</v>
      </c>
      <c r="C1273" s="129" t="s">
        <v>39</v>
      </c>
      <c r="D1273" s="130">
        <v>10167.6</v>
      </c>
      <c r="E1273" s="131">
        <v>44723</v>
      </c>
      <c r="F1273" s="132">
        <v>10167.6</v>
      </c>
      <c r="G1273" s="133">
        <f>Tabla147[[#This Row],[Importe]]-Tabla147[[#This Row],[Pagado]]</f>
        <v>0</v>
      </c>
      <c r="H1273" s="134" t="s">
        <v>10</v>
      </c>
      <c r="I1273" s="135"/>
    </row>
    <row r="1274" spans="1:9" ht="21.75" customHeight="1" x14ac:dyDescent="0.25">
      <c r="A1274" s="127">
        <v>44723</v>
      </c>
      <c r="B1274" s="128" t="s">
        <v>19112</v>
      </c>
      <c r="C1274" s="129" t="s">
        <v>654</v>
      </c>
      <c r="D1274" s="130">
        <v>3830.4</v>
      </c>
      <c r="E1274" s="131">
        <v>44723</v>
      </c>
      <c r="F1274" s="132">
        <v>3830.4</v>
      </c>
      <c r="G1274" s="133">
        <f>Tabla147[[#This Row],[Importe]]-Tabla147[[#This Row],[Pagado]]</f>
        <v>0</v>
      </c>
      <c r="H1274" s="134" t="s">
        <v>10</v>
      </c>
      <c r="I1274" s="135"/>
    </row>
    <row r="1275" spans="1:9" ht="21.75" customHeight="1" x14ac:dyDescent="0.25">
      <c r="A1275" s="127">
        <v>44723</v>
      </c>
      <c r="B1275" s="128" t="s">
        <v>19113</v>
      </c>
      <c r="C1275" s="129" t="s">
        <v>14</v>
      </c>
      <c r="D1275" s="130">
        <v>21825.5</v>
      </c>
      <c r="E1275" s="131">
        <v>44724</v>
      </c>
      <c r="F1275" s="132">
        <v>21825.5</v>
      </c>
      <c r="G1275" s="133">
        <f>Tabla147[[#This Row],[Importe]]-Tabla147[[#This Row],[Pagado]]</f>
        <v>0</v>
      </c>
      <c r="H1275" s="134" t="s">
        <v>10</v>
      </c>
      <c r="I1275" s="135"/>
    </row>
    <row r="1276" spans="1:9" ht="21.75" customHeight="1" x14ac:dyDescent="0.25">
      <c r="A1276" s="127">
        <v>44723</v>
      </c>
      <c r="B1276" s="128" t="s">
        <v>19114</v>
      </c>
      <c r="C1276" s="129" t="s">
        <v>107</v>
      </c>
      <c r="D1276" s="130">
        <v>1099</v>
      </c>
      <c r="E1276" s="131">
        <v>44725</v>
      </c>
      <c r="F1276" s="132">
        <v>1099</v>
      </c>
      <c r="G1276" s="133">
        <f>Tabla147[[#This Row],[Importe]]-Tabla147[[#This Row],[Pagado]]</f>
        <v>0</v>
      </c>
      <c r="H1276" s="134" t="s">
        <v>10</v>
      </c>
      <c r="I1276" s="135"/>
    </row>
    <row r="1277" spans="1:9" ht="21.75" customHeight="1" x14ac:dyDescent="0.25">
      <c r="A1277" s="127">
        <v>44724</v>
      </c>
      <c r="B1277" s="128" t="s">
        <v>19115</v>
      </c>
      <c r="C1277" s="129" t="s">
        <v>481</v>
      </c>
      <c r="D1277" s="130">
        <v>930.2</v>
      </c>
      <c r="E1277" s="131">
        <v>44724</v>
      </c>
      <c r="F1277" s="132">
        <v>930.2</v>
      </c>
      <c r="G1277" s="133">
        <f>Tabla147[[#This Row],[Importe]]-Tabla147[[#This Row],[Pagado]]</f>
        <v>0</v>
      </c>
      <c r="H1277" s="134" t="s">
        <v>10</v>
      </c>
      <c r="I1277" s="135"/>
    </row>
    <row r="1278" spans="1:9" ht="21.75" customHeight="1" x14ac:dyDescent="0.25">
      <c r="A1278" s="127">
        <v>44724</v>
      </c>
      <c r="B1278" s="128" t="s">
        <v>19116</v>
      </c>
      <c r="C1278" s="129" t="s">
        <v>1187</v>
      </c>
      <c r="D1278" s="130">
        <v>2412.6999999999998</v>
      </c>
      <c r="E1278" s="131">
        <v>44724</v>
      </c>
      <c r="F1278" s="132">
        <v>2412.6999999999998</v>
      </c>
      <c r="G1278" s="133">
        <f>Tabla147[[#This Row],[Importe]]-Tabla147[[#This Row],[Pagado]]</f>
        <v>0</v>
      </c>
      <c r="H1278" s="134" t="s">
        <v>10</v>
      </c>
      <c r="I1278" s="135"/>
    </row>
    <row r="1279" spans="1:9" ht="21.75" customHeight="1" x14ac:dyDescent="0.25">
      <c r="A1279" s="127">
        <v>44724</v>
      </c>
      <c r="B1279" s="128" t="s">
        <v>19117</v>
      </c>
      <c r="C1279" s="129" t="s">
        <v>9</v>
      </c>
      <c r="D1279" s="130">
        <v>7284.1</v>
      </c>
      <c r="E1279" s="131">
        <v>44724</v>
      </c>
      <c r="F1279" s="132">
        <v>7284.1</v>
      </c>
      <c r="G1279" s="133">
        <f>Tabla147[[#This Row],[Importe]]-Tabla147[[#This Row],[Pagado]]</f>
        <v>0</v>
      </c>
      <c r="H1279" s="134" t="s">
        <v>10</v>
      </c>
      <c r="I1279" s="135"/>
    </row>
    <row r="1280" spans="1:9" ht="21.75" customHeight="1" x14ac:dyDescent="0.25">
      <c r="A1280" s="127">
        <v>44724</v>
      </c>
      <c r="B1280" s="128" t="s">
        <v>19118</v>
      </c>
      <c r="C1280" s="129" t="s">
        <v>29</v>
      </c>
      <c r="D1280" s="130">
        <v>6813.6</v>
      </c>
      <c r="E1280" s="131">
        <v>44724</v>
      </c>
      <c r="F1280" s="132">
        <v>6813.6</v>
      </c>
      <c r="G1280" s="133">
        <f>Tabla147[[#This Row],[Importe]]-Tabla147[[#This Row],[Pagado]]</f>
        <v>0</v>
      </c>
      <c r="H1280" s="134" t="s">
        <v>10</v>
      </c>
      <c r="I1280" s="135"/>
    </row>
    <row r="1281" spans="1:9" ht="21.75" customHeight="1" x14ac:dyDescent="0.25">
      <c r="A1281" s="127">
        <v>44724</v>
      </c>
      <c r="B1281" s="128" t="s">
        <v>19119</v>
      </c>
      <c r="C1281" s="129" t="s">
        <v>475</v>
      </c>
      <c r="D1281" s="130">
        <v>54798</v>
      </c>
      <c r="E1281" s="131">
        <v>44725</v>
      </c>
      <c r="F1281" s="132">
        <v>54798</v>
      </c>
      <c r="G1281" s="133">
        <f>Tabla147[[#This Row],[Importe]]-Tabla147[[#This Row],[Pagado]]</f>
        <v>0</v>
      </c>
      <c r="H1281" s="134" t="s">
        <v>10</v>
      </c>
      <c r="I1281" s="135"/>
    </row>
    <row r="1282" spans="1:9" ht="21.75" customHeight="1" x14ac:dyDescent="0.25">
      <c r="A1282" s="127">
        <v>44724</v>
      </c>
      <c r="B1282" s="128" t="s">
        <v>19120</v>
      </c>
      <c r="C1282" s="129" t="s">
        <v>924</v>
      </c>
      <c r="D1282" s="130">
        <v>12280.4</v>
      </c>
      <c r="E1282" s="131">
        <v>44724</v>
      </c>
      <c r="F1282" s="132">
        <v>12280.4</v>
      </c>
      <c r="G1282" s="133">
        <f>Tabla147[[#This Row],[Importe]]-Tabla147[[#This Row],[Pagado]]</f>
        <v>0</v>
      </c>
      <c r="H1282" s="134" t="s">
        <v>10</v>
      </c>
      <c r="I1282" s="135"/>
    </row>
    <row r="1283" spans="1:9" ht="21.75" customHeight="1" x14ac:dyDescent="0.25">
      <c r="A1283" s="127">
        <v>44724</v>
      </c>
      <c r="B1283" s="128" t="s">
        <v>19121</v>
      </c>
      <c r="C1283" s="129" t="s">
        <v>15039</v>
      </c>
      <c r="D1283" s="130">
        <v>3657.6</v>
      </c>
      <c r="E1283" s="131">
        <v>44724</v>
      </c>
      <c r="F1283" s="132">
        <v>3657.6</v>
      </c>
      <c r="G1283" s="133">
        <f>Tabla147[[#This Row],[Importe]]-Tabla147[[#This Row],[Pagado]]</f>
        <v>0</v>
      </c>
      <c r="H1283" s="134" t="s">
        <v>10</v>
      </c>
      <c r="I1283" s="135"/>
    </row>
    <row r="1284" spans="1:9" ht="21.75" customHeight="1" x14ac:dyDescent="0.25">
      <c r="A1284" s="127">
        <v>44724</v>
      </c>
      <c r="B1284" s="128" t="s">
        <v>19122</v>
      </c>
      <c r="C1284" s="129" t="s">
        <v>365</v>
      </c>
      <c r="D1284" s="130">
        <v>621.5</v>
      </c>
      <c r="E1284" s="131">
        <v>44724</v>
      </c>
      <c r="F1284" s="132">
        <v>621.5</v>
      </c>
      <c r="G1284" s="133">
        <f>Tabla147[[#This Row],[Importe]]-Tabla147[[#This Row],[Pagado]]</f>
        <v>0</v>
      </c>
      <c r="H1284" s="134" t="s">
        <v>10</v>
      </c>
      <c r="I1284" s="135"/>
    </row>
    <row r="1285" spans="1:9" ht="21.75" customHeight="1" x14ac:dyDescent="0.25">
      <c r="A1285" s="127">
        <v>44724</v>
      </c>
      <c r="B1285" s="128" t="s">
        <v>19123</v>
      </c>
      <c r="C1285" s="129" t="s">
        <v>230</v>
      </c>
      <c r="D1285" s="130">
        <v>4135.8</v>
      </c>
      <c r="E1285" s="131">
        <v>44724</v>
      </c>
      <c r="F1285" s="132">
        <v>4135.8</v>
      </c>
      <c r="G1285" s="133">
        <f>Tabla147[[#This Row],[Importe]]-Tabla147[[#This Row],[Pagado]]</f>
        <v>0</v>
      </c>
      <c r="H1285" s="134" t="s">
        <v>10</v>
      </c>
      <c r="I1285" s="135"/>
    </row>
    <row r="1286" spans="1:9" ht="21.75" customHeight="1" x14ac:dyDescent="0.25">
      <c r="A1286" s="127">
        <v>44724</v>
      </c>
      <c r="B1286" s="128" t="s">
        <v>19124</v>
      </c>
      <c r="C1286" s="129" t="s">
        <v>22</v>
      </c>
      <c r="D1286" s="130">
        <v>43719</v>
      </c>
      <c r="E1286" s="131">
        <v>44726</v>
      </c>
      <c r="F1286" s="132">
        <v>43719</v>
      </c>
      <c r="G1286" s="133">
        <f>Tabla147[[#This Row],[Importe]]-Tabla147[[#This Row],[Pagado]]</f>
        <v>0</v>
      </c>
      <c r="H1286" s="134" t="s">
        <v>10</v>
      </c>
      <c r="I1286" s="135"/>
    </row>
    <row r="1287" spans="1:9" ht="21.75" customHeight="1" x14ac:dyDescent="0.25">
      <c r="A1287" s="127">
        <v>44724</v>
      </c>
      <c r="B1287" s="128" t="s">
        <v>19125</v>
      </c>
      <c r="C1287" s="129" t="s">
        <v>647</v>
      </c>
      <c r="D1287" s="130">
        <v>2437.4</v>
      </c>
      <c r="E1287" s="131">
        <v>44724</v>
      </c>
      <c r="F1287" s="132">
        <v>2437.4</v>
      </c>
      <c r="G1287" s="133">
        <f>Tabla147[[#This Row],[Importe]]-Tabla147[[#This Row],[Pagado]]</f>
        <v>0</v>
      </c>
      <c r="H1287" s="134" t="s">
        <v>10</v>
      </c>
      <c r="I1287" s="135"/>
    </row>
    <row r="1288" spans="1:9" ht="21.75" customHeight="1" x14ac:dyDescent="0.25">
      <c r="A1288" s="127">
        <v>44724</v>
      </c>
      <c r="B1288" s="128" t="s">
        <v>19126</v>
      </c>
      <c r="C1288" s="129" t="s">
        <v>224</v>
      </c>
      <c r="D1288" s="130">
        <v>4175</v>
      </c>
      <c r="E1288" s="131">
        <v>44724</v>
      </c>
      <c r="F1288" s="132">
        <v>4175</v>
      </c>
      <c r="G1288" s="133">
        <f>Tabla147[[#This Row],[Importe]]-Tabla147[[#This Row],[Pagado]]</f>
        <v>0</v>
      </c>
      <c r="H1288" s="134" t="s">
        <v>10</v>
      </c>
      <c r="I1288" s="135"/>
    </row>
    <row r="1289" spans="1:9" ht="21.75" customHeight="1" x14ac:dyDescent="0.25">
      <c r="A1289" s="127">
        <v>44724</v>
      </c>
      <c r="B1289" s="128" t="s">
        <v>19127</v>
      </c>
      <c r="C1289" s="129" t="s">
        <v>56</v>
      </c>
      <c r="D1289" s="130">
        <v>5346.3</v>
      </c>
      <c r="E1289" s="131">
        <v>44724</v>
      </c>
      <c r="F1289" s="132">
        <v>5346.3</v>
      </c>
      <c r="G1289" s="133">
        <f>Tabla147[[#This Row],[Importe]]-Tabla147[[#This Row],[Pagado]]</f>
        <v>0</v>
      </c>
      <c r="H1289" s="134" t="s">
        <v>10</v>
      </c>
      <c r="I1289" s="135"/>
    </row>
    <row r="1290" spans="1:9" ht="21.75" customHeight="1" x14ac:dyDescent="0.25">
      <c r="A1290" s="127">
        <v>44724</v>
      </c>
      <c r="B1290" s="128" t="s">
        <v>19128</v>
      </c>
      <c r="C1290" s="129" t="s">
        <v>56</v>
      </c>
      <c r="D1290" s="130">
        <v>5023.2</v>
      </c>
      <c r="E1290" s="131">
        <v>44724</v>
      </c>
      <c r="F1290" s="132">
        <v>5023.2</v>
      </c>
      <c r="G1290" s="133">
        <f>Tabla147[[#This Row],[Importe]]-Tabla147[[#This Row],[Pagado]]</f>
        <v>0</v>
      </c>
      <c r="H1290" s="134" t="s">
        <v>10</v>
      </c>
      <c r="I1290" s="135"/>
    </row>
    <row r="1291" spans="1:9" ht="21.75" customHeight="1" x14ac:dyDescent="0.25">
      <c r="A1291" s="127">
        <v>44724</v>
      </c>
      <c r="B1291" s="128" t="s">
        <v>19129</v>
      </c>
      <c r="C1291" s="129" t="s">
        <v>31</v>
      </c>
      <c r="D1291" s="130">
        <v>686.8</v>
      </c>
      <c r="E1291" s="131">
        <v>44724</v>
      </c>
      <c r="F1291" s="132">
        <v>686.8</v>
      </c>
      <c r="G1291" s="133">
        <f>Tabla147[[#This Row],[Importe]]-Tabla147[[#This Row],[Pagado]]</f>
        <v>0</v>
      </c>
      <c r="H1291" s="134" t="s">
        <v>10</v>
      </c>
      <c r="I1291" s="135"/>
    </row>
    <row r="1292" spans="1:9" ht="21.75" customHeight="1" x14ac:dyDescent="0.25">
      <c r="A1292" s="127">
        <v>44724</v>
      </c>
      <c r="B1292" s="128" t="s">
        <v>19130</v>
      </c>
      <c r="C1292" s="129" t="s">
        <v>33</v>
      </c>
      <c r="D1292" s="130">
        <v>23805</v>
      </c>
      <c r="E1292" s="131">
        <v>44724</v>
      </c>
      <c r="F1292" s="132">
        <v>23805</v>
      </c>
      <c r="G1292" s="133">
        <f>Tabla147[[#This Row],[Importe]]-Tabla147[[#This Row],[Pagado]]</f>
        <v>0</v>
      </c>
      <c r="H1292" s="134" t="s">
        <v>10</v>
      </c>
      <c r="I1292" s="135"/>
    </row>
    <row r="1293" spans="1:9" ht="21.75" customHeight="1" x14ac:dyDescent="0.25">
      <c r="A1293" s="127">
        <v>44724</v>
      </c>
      <c r="B1293" s="128" t="s">
        <v>19131</v>
      </c>
      <c r="C1293" s="129" t="s">
        <v>670</v>
      </c>
      <c r="D1293" s="130">
        <v>5502.2</v>
      </c>
      <c r="E1293" s="131">
        <v>44724</v>
      </c>
      <c r="F1293" s="132">
        <v>5502.2</v>
      </c>
      <c r="G1293" s="133">
        <f>Tabla147[[#This Row],[Importe]]-Tabla147[[#This Row],[Pagado]]</f>
        <v>0</v>
      </c>
      <c r="H1293" s="134" t="s">
        <v>10</v>
      </c>
      <c r="I1293" s="135"/>
    </row>
    <row r="1294" spans="1:9" ht="21.75" customHeight="1" x14ac:dyDescent="0.25">
      <c r="A1294" s="127">
        <v>44724</v>
      </c>
      <c r="B1294" s="128" t="s">
        <v>19132</v>
      </c>
      <c r="C1294" s="129" t="s">
        <v>216</v>
      </c>
      <c r="D1294" s="130">
        <v>3094</v>
      </c>
      <c r="E1294" s="131">
        <v>44724</v>
      </c>
      <c r="F1294" s="132">
        <v>3094</v>
      </c>
      <c r="G1294" s="133">
        <f>Tabla147[[#This Row],[Importe]]-Tabla147[[#This Row],[Pagado]]</f>
        <v>0</v>
      </c>
      <c r="H1294" s="134" t="s">
        <v>10</v>
      </c>
      <c r="I1294" s="135"/>
    </row>
    <row r="1295" spans="1:9" ht="21.75" customHeight="1" x14ac:dyDescent="0.25">
      <c r="A1295" s="127">
        <v>44724</v>
      </c>
      <c r="B1295" s="128" t="s">
        <v>19133</v>
      </c>
      <c r="C1295" s="129" t="s">
        <v>49</v>
      </c>
      <c r="D1295" s="130">
        <v>4345.5</v>
      </c>
      <c r="E1295" s="131">
        <v>44724</v>
      </c>
      <c r="F1295" s="132">
        <v>4345.5</v>
      </c>
      <c r="G1295" s="133">
        <f>Tabla147[[#This Row],[Importe]]-Tabla147[[#This Row],[Pagado]]</f>
        <v>0</v>
      </c>
      <c r="H1295" s="134" t="s">
        <v>10</v>
      </c>
      <c r="I1295" s="135"/>
    </row>
    <row r="1296" spans="1:9" ht="21.75" customHeight="1" x14ac:dyDescent="0.25">
      <c r="A1296" s="127">
        <v>44724</v>
      </c>
      <c r="B1296" s="128" t="s">
        <v>19134</v>
      </c>
      <c r="C1296" s="129" t="s">
        <v>31</v>
      </c>
      <c r="D1296" s="130">
        <v>4053.5</v>
      </c>
      <c r="E1296" s="131">
        <v>44724</v>
      </c>
      <c r="F1296" s="132">
        <v>4053.5</v>
      </c>
      <c r="G1296" s="133">
        <f>Tabla147[[#This Row],[Importe]]-Tabla147[[#This Row],[Pagado]]</f>
        <v>0</v>
      </c>
      <c r="H1296" s="134" t="s">
        <v>10</v>
      </c>
      <c r="I1296" s="135"/>
    </row>
    <row r="1297" spans="1:9" ht="21.75" customHeight="1" x14ac:dyDescent="0.25">
      <c r="A1297" s="127">
        <v>44724</v>
      </c>
      <c r="B1297" s="128" t="s">
        <v>19135</v>
      </c>
      <c r="C1297" s="129" t="s">
        <v>12</v>
      </c>
      <c r="D1297" s="130">
        <v>7448.8</v>
      </c>
      <c r="E1297" s="131">
        <v>44724</v>
      </c>
      <c r="F1297" s="132">
        <v>7448.8</v>
      </c>
      <c r="G1297" s="133">
        <f>Tabla147[[#This Row],[Importe]]-Tabla147[[#This Row],[Pagado]]</f>
        <v>0</v>
      </c>
      <c r="H1297" s="134" t="s">
        <v>10</v>
      </c>
      <c r="I1297" s="135"/>
    </row>
    <row r="1298" spans="1:9" ht="21.75" customHeight="1" x14ac:dyDescent="0.25">
      <c r="A1298" s="127">
        <v>44724</v>
      </c>
      <c r="B1298" s="128" t="s">
        <v>19136</v>
      </c>
      <c r="C1298" s="129" t="s">
        <v>53</v>
      </c>
      <c r="D1298" s="130">
        <v>3979.6</v>
      </c>
      <c r="E1298" s="131">
        <v>44724</v>
      </c>
      <c r="F1298" s="132">
        <v>3979.6</v>
      </c>
      <c r="G1298" s="133">
        <f>Tabla147[[#This Row],[Importe]]-Tabla147[[#This Row],[Pagado]]</f>
        <v>0</v>
      </c>
      <c r="H1298" s="134" t="s">
        <v>10</v>
      </c>
      <c r="I1298" s="135"/>
    </row>
    <row r="1299" spans="1:9" ht="21.75" customHeight="1" x14ac:dyDescent="0.25">
      <c r="A1299" s="127">
        <v>44724</v>
      </c>
      <c r="B1299" s="128" t="s">
        <v>19137</v>
      </c>
      <c r="C1299" s="129" t="s">
        <v>24</v>
      </c>
      <c r="D1299" s="130">
        <v>4444.8</v>
      </c>
      <c r="E1299" s="131">
        <v>44724</v>
      </c>
      <c r="F1299" s="132">
        <v>4444.8</v>
      </c>
      <c r="G1299" s="133">
        <f>Tabla147[[#This Row],[Importe]]-Tabla147[[#This Row],[Pagado]]</f>
        <v>0</v>
      </c>
      <c r="H1299" s="134" t="s">
        <v>10</v>
      </c>
      <c r="I1299" s="135"/>
    </row>
    <row r="1300" spans="1:9" ht="21.75" customHeight="1" x14ac:dyDescent="0.25">
      <c r="A1300" s="127">
        <v>44724</v>
      </c>
      <c r="B1300" s="128" t="s">
        <v>19138</v>
      </c>
      <c r="C1300" s="129" t="s">
        <v>97</v>
      </c>
      <c r="D1300" s="130">
        <v>6115.8</v>
      </c>
      <c r="E1300" s="131">
        <v>44724</v>
      </c>
      <c r="F1300" s="132">
        <v>6115.8</v>
      </c>
      <c r="G1300" s="133">
        <f>Tabla147[[#This Row],[Importe]]-Tabla147[[#This Row],[Pagado]]</f>
        <v>0</v>
      </c>
      <c r="H1300" s="134" t="s">
        <v>10</v>
      </c>
      <c r="I1300" s="135"/>
    </row>
    <row r="1301" spans="1:9" ht="21.75" customHeight="1" x14ac:dyDescent="0.25">
      <c r="A1301" s="127">
        <v>44724</v>
      </c>
      <c r="B1301" s="128" t="s">
        <v>19139</v>
      </c>
      <c r="C1301" s="129" t="s">
        <v>15449</v>
      </c>
      <c r="D1301" s="130">
        <v>1557</v>
      </c>
      <c r="E1301" s="131">
        <v>44724</v>
      </c>
      <c r="F1301" s="132">
        <v>1557</v>
      </c>
      <c r="G1301" s="133">
        <f>Tabla147[[#This Row],[Importe]]-Tabla147[[#This Row],[Pagado]]</f>
        <v>0</v>
      </c>
      <c r="H1301" s="134" t="s">
        <v>10</v>
      </c>
      <c r="I1301" s="135"/>
    </row>
    <row r="1302" spans="1:9" ht="21.75" customHeight="1" x14ac:dyDescent="0.25">
      <c r="A1302" s="127">
        <v>44724</v>
      </c>
      <c r="B1302" s="128" t="s">
        <v>19140</v>
      </c>
      <c r="C1302" s="129" t="s">
        <v>58</v>
      </c>
      <c r="D1302" s="130">
        <v>3790.8</v>
      </c>
      <c r="E1302" s="131">
        <v>44724</v>
      </c>
      <c r="F1302" s="132">
        <v>3790.8</v>
      </c>
      <c r="G1302" s="133">
        <f>Tabla147[[#This Row],[Importe]]-Tabla147[[#This Row],[Pagado]]</f>
        <v>0</v>
      </c>
      <c r="H1302" s="134" t="s">
        <v>10</v>
      </c>
      <c r="I1302" s="135"/>
    </row>
    <row r="1303" spans="1:9" ht="21.75" customHeight="1" x14ac:dyDescent="0.25">
      <c r="A1303" s="127">
        <v>44724</v>
      </c>
      <c r="B1303" s="128" t="s">
        <v>19141</v>
      </c>
      <c r="C1303" s="129" t="s">
        <v>45</v>
      </c>
      <c r="D1303" s="130">
        <v>8002.5</v>
      </c>
      <c r="E1303" s="131">
        <v>44724</v>
      </c>
      <c r="F1303" s="132">
        <v>8002.5</v>
      </c>
      <c r="G1303" s="133">
        <f>Tabla147[[#This Row],[Importe]]-Tabla147[[#This Row],[Pagado]]</f>
        <v>0</v>
      </c>
      <c r="H1303" s="134" t="s">
        <v>10</v>
      </c>
      <c r="I1303" s="135"/>
    </row>
    <row r="1304" spans="1:9" ht="21.75" customHeight="1" x14ac:dyDescent="0.25">
      <c r="A1304" s="127">
        <v>44724</v>
      </c>
      <c r="B1304" s="128" t="s">
        <v>19142</v>
      </c>
      <c r="C1304" s="129" t="s">
        <v>373</v>
      </c>
      <c r="D1304" s="130">
        <v>1673</v>
      </c>
      <c r="E1304" s="131">
        <v>44724</v>
      </c>
      <c r="F1304" s="132">
        <v>1673</v>
      </c>
      <c r="G1304" s="133">
        <f>Tabla147[[#This Row],[Importe]]-Tabla147[[#This Row],[Pagado]]</f>
        <v>0</v>
      </c>
      <c r="H1304" s="134" t="s">
        <v>10</v>
      </c>
      <c r="I1304" s="135"/>
    </row>
    <row r="1305" spans="1:9" ht="21.75" customHeight="1" x14ac:dyDescent="0.25">
      <c r="A1305" s="127">
        <v>44724</v>
      </c>
      <c r="B1305" s="128" t="s">
        <v>19143</v>
      </c>
      <c r="C1305" s="129" t="s">
        <v>4136</v>
      </c>
      <c r="D1305" s="130">
        <v>5030</v>
      </c>
      <c r="E1305" s="131">
        <v>44724</v>
      </c>
      <c r="F1305" s="132">
        <v>5030</v>
      </c>
      <c r="G1305" s="133">
        <f>Tabla147[[#This Row],[Importe]]-Tabla147[[#This Row],[Pagado]]</f>
        <v>0</v>
      </c>
      <c r="H1305" s="134" t="s">
        <v>10</v>
      </c>
      <c r="I1305" s="135"/>
    </row>
    <row r="1306" spans="1:9" ht="21.75" customHeight="1" x14ac:dyDescent="0.25">
      <c r="A1306" s="127">
        <v>44724</v>
      </c>
      <c r="B1306" s="128" t="s">
        <v>19144</v>
      </c>
      <c r="C1306" s="129" t="s">
        <v>31</v>
      </c>
      <c r="D1306" s="130">
        <v>727.6</v>
      </c>
      <c r="E1306" s="131">
        <v>44724</v>
      </c>
      <c r="F1306" s="132">
        <v>727.6</v>
      </c>
      <c r="G1306" s="133">
        <f>Tabla147[[#This Row],[Importe]]-Tabla147[[#This Row],[Pagado]]</f>
        <v>0</v>
      </c>
      <c r="H1306" s="134" t="s">
        <v>10</v>
      </c>
      <c r="I1306" s="135"/>
    </row>
    <row r="1307" spans="1:9" ht="21.75" customHeight="1" x14ac:dyDescent="0.25">
      <c r="A1307" s="127">
        <v>44724</v>
      </c>
      <c r="B1307" s="128" t="s">
        <v>19145</v>
      </c>
      <c r="C1307" s="129" t="s">
        <v>18363</v>
      </c>
      <c r="D1307" s="130">
        <v>5034.3999999999996</v>
      </c>
      <c r="E1307" s="131">
        <v>44724</v>
      </c>
      <c r="F1307" s="132">
        <v>5034.3999999999996</v>
      </c>
      <c r="G1307" s="133">
        <f>Tabla147[[#This Row],[Importe]]-Tabla147[[#This Row],[Pagado]]</f>
        <v>0</v>
      </c>
      <c r="H1307" s="134" t="s">
        <v>10</v>
      </c>
      <c r="I1307" s="135"/>
    </row>
    <row r="1308" spans="1:9" ht="21.75" customHeight="1" x14ac:dyDescent="0.25">
      <c r="A1308" s="127">
        <v>44724</v>
      </c>
      <c r="B1308" s="128" t="s">
        <v>19146</v>
      </c>
      <c r="C1308" s="129" t="s">
        <v>296</v>
      </c>
      <c r="D1308" s="130">
        <v>3988.8</v>
      </c>
      <c r="E1308" s="131">
        <v>44724</v>
      </c>
      <c r="F1308" s="132">
        <v>3988.8</v>
      </c>
      <c r="G1308" s="133">
        <f>Tabla147[[#This Row],[Importe]]-Tabla147[[#This Row],[Pagado]]</f>
        <v>0</v>
      </c>
      <c r="H1308" s="134" t="s">
        <v>10</v>
      </c>
      <c r="I1308" s="135"/>
    </row>
    <row r="1309" spans="1:9" ht="21.75" customHeight="1" x14ac:dyDescent="0.25">
      <c r="A1309" s="127">
        <v>44724</v>
      </c>
      <c r="B1309" s="128" t="s">
        <v>19147</v>
      </c>
      <c r="C1309" s="129" t="s">
        <v>647</v>
      </c>
      <c r="D1309" s="130">
        <v>6036.7</v>
      </c>
      <c r="E1309" s="131">
        <v>44724</v>
      </c>
      <c r="F1309" s="132">
        <v>6036.7</v>
      </c>
      <c r="G1309" s="133">
        <f>Tabla147[[#This Row],[Importe]]-Tabla147[[#This Row],[Pagado]]</f>
        <v>0</v>
      </c>
      <c r="H1309" s="134" t="s">
        <v>10</v>
      </c>
      <c r="I1309" s="135"/>
    </row>
    <row r="1310" spans="1:9" ht="21.75" customHeight="1" x14ac:dyDescent="0.25">
      <c r="A1310" s="127">
        <v>44724</v>
      </c>
      <c r="B1310" s="128" t="s">
        <v>19148</v>
      </c>
      <c r="C1310" s="129" t="s">
        <v>64</v>
      </c>
      <c r="D1310" s="130">
        <v>4802.3999999999996</v>
      </c>
      <c r="E1310" s="131">
        <v>44724</v>
      </c>
      <c r="F1310" s="132">
        <v>4802.3999999999996</v>
      </c>
      <c r="G1310" s="133">
        <f>Tabla147[[#This Row],[Importe]]-Tabla147[[#This Row],[Pagado]]</f>
        <v>0</v>
      </c>
      <c r="H1310" s="134" t="s">
        <v>10</v>
      </c>
      <c r="I1310" s="135"/>
    </row>
    <row r="1311" spans="1:9" ht="21.75" customHeight="1" x14ac:dyDescent="0.25">
      <c r="A1311" s="127">
        <v>44724</v>
      </c>
      <c r="B1311" s="128" t="s">
        <v>19149</v>
      </c>
      <c r="C1311" s="129" t="s">
        <v>20</v>
      </c>
      <c r="D1311" s="130">
        <v>10565.2</v>
      </c>
      <c r="E1311" s="131">
        <v>44724</v>
      </c>
      <c r="F1311" s="132">
        <v>10565.2</v>
      </c>
      <c r="G1311" s="133">
        <f>Tabla147[[#This Row],[Importe]]-Tabla147[[#This Row],[Pagado]]</f>
        <v>0</v>
      </c>
      <c r="H1311" s="134" t="s">
        <v>10</v>
      </c>
      <c r="I1311" s="135"/>
    </row>
    <row r="1312" spans="1:9" ht="21.75" customHeight="1" x14ac:dyDescent="0.25">
      <c r="A1312" s="127">
        <v>44724</v>
      </c>
      <c r="B1312" s="128" t="s">
        <v>19150</v>
      </c>
      <c r="C1312" s="129" t="s">
        <v>31</v>
      </c>
      <c r="D1312" s="130">
        <v>1672.8</v>
      </c>
      <c r="E1312" s="131">
        <v>44724</v>
      </c>
      <c r="F1312" s="132">
        <v>1672.8</v>
      </c>
      <c r="G1312" s="133">
        <f>Tabla147[[#This Row],[Importe]]-Tabla147[[#This Row],[Pagado]]</f>
        <v>0</v>
      </c>
      <c r="H1312" s="134" t="s">
        <v>10</v>
      </c>
      <c r="I1312" s="135"/>
    </row>
    <row r="1313" spans="1:9" ht="21.75" customHeight="1" x14ac:dyDescent="0.25">
      <c r="A1313" s="127">
        <v>44724</v>
      </c>
      <c r="B1313" s="128" t="s">
        <v>19151</v>
      </c>
      <c r="C1313" s="129" t="s">
        <v>214</v>
      </c>
      <c r="D1313" s="130">
        <v>1292</v>
      </c>
      <c r="E1313" s="131">
        <v>44724</v>
      </c>
      <c r="F1313" s="132">
        <v>1292</v>
      </c>
      <c r="G1313" s="133">
        <f>Tabla147[[#This Row],[Importe]]-Tabla147[[#This Row],[Pagado]]</f>
        <v>0</v>
      </c>
      <c r="H1313" s="134" t="s">
        <v>10</v>
      </c>
      <c r="I1313" s="135"/>
    </row>
    <row r="1314" spans="1:9" ht="21.75" customHeight="1" x14ac:dyDescent="0.25">
      <c r="A1314" s="127">
        <v>44724</v>
      </c>
      <c r="B1314" s="128" t="s">
        <v>19152</v>
      </c>
      <c r="C1314" s="129" t="s">
        <v>67</v>
      </c>
      <c r="D1314" s="130">
        <v>3814.4</v>
      </c>
      <c r="E1314" s="131">
        <v>44724</v>
      </c>
      <c r="F1314" s="132">
        <v>3814.4</v>
      </c>
      <c r="G1314" s="133">
        <f>Tabla147[[#This Row],[Importe]]-Tabla147[[#This Row],[Pagado]]</f>
        <v>0</v>
      </c>
      <c r="H1314" s="134" t="s">
        <v>10</v>
      </c>
      <c r="I1314" s="135"/>
    </row>
    <row r="1315" spans="1:9" ht="21.75" customHeight="1" x14ac:dyDescent="0.25">
      <c r="A1315" s="127">
        <v>44724</v>
      </c>
      <c r="B1315" s="128" t="s">
        <v>19153</v>
      </c>
      <c r="C1315" s="129" t="s">
        <v>244</v>
      </c>
      <c r="D1315" s="130">
        <v>1036.5999999999999</v>
      </c>
      <c r="E1315" s="131">
        <v>44724</v>
      </c>
      <c r="F1315" s="132">
        <v>1036.5999999999999</v>
      </c>
      <c r="G1315" s="133">
        <f>Tabla147[[#This Row],[Importe]]-Tabla147[[#This Row],[Pagado]]</f>
        <v>0</v>
      </c>
      <c r="H1315" s="134" t="s">
        <v>10</v>
      </c>
      <c r="I1315" s="135"/>
    </row>
    <row r="1316" spans="1:9" ht="21.75" customHeight="1" x14ac:dyDescent="0.25">
      <c r="A1316" s="127">
        <v>44724</v>
      </c>
      <c r="B1316" s="128" t="s">
        <v>19154</v>
      </c>
      <c r="C1316" s="129" t="s">
        <v>67</v>
      </c>
      <c r="D1316" s="130">
        <v>223.1</v>
      </c>
      <c r="E1316" s="131">
        <v>44724</v>
      </c>
      <c r="F1316" s="132">
        <v>223.1</v>
      </c>
      <c r="G1316" s="133">
        <f>Tabla147[[#This Row],[Importe]]-Tabla147[[#This Row],[Pagado]]</f>
        <v>0</v>
      </c>
      <c r="H1316" s="134" t="s">
        <v>10</v>
      </c>
      <c r="I1316" s="135"/>
    </row>
    <row r="1317" spans="1:9" ht="21.75" customHeight="1" x14ac:dyDescent="0.25">
      <c r="A1317" s="127">
        <v>44724</v>
      </c>
      <c r="B1317" s="128" t="s">
        <v>19155</v>
      </c>
      <c r="C1317" s="129" t="s">
        <v>71</v>
      </c>
      <c r="D1317" s="130">
        <v>1441.3</v>
      </c>
      <c r="E1317" s="131">
        <v>44724</v>
      </c>
      <c r="F1317" s="132">
        <v>1441.3</v>
      </c>
      <c r="G1317" s="133">
        <f>Tabla147[[#This Row],[Importe]]-Tabla147[[#This Row],[Pagado]]</f>
        <v>0</v>
      </c>
      <c r="H1317" s="134" t="s">
        <v>10</v>
      </c>
      <c r="I1317" s="135"/>
    </row>
    <row r="1318" spans="1:9" ht="21.75" customHeight="1" x14ac:dyDescent="0.25">
      <c r="A1318" s="127">
        <v>44724</v>
      </c>
      <c r="B1318" s="128" t="s">
        <v>19156</v>
      </c>
      <c r="C1318" s="129" t="s">
        <v>56</v>
      </c>
      <c r="D1318" s="130">
        <v>3599.7</v>
      </c>
      <c r="E1318" s="131">
        <v>44724</v>
      </c>
      <c r="F1318" s="132">
        <v>3599.7</v>
      </c>
      <c r="G1318" s="133">
        <f>Tabla147[[#This Row],[Importe]]-Tabla147[[#This Row],[Pagado]]</f>
        <v>0</v>
      </c>
      <c r="H1318" s="134" t="s">
        <v>10</v>
      </c>
      <c r="I1318" s="135"/>
    </row>
    <row r="1319" spans="1:9" ht="21.75" customHeight="1" x14ac:dyDescent="0.25">
      <c r="A1319" s="127">
        <v>44724</v>
      </c>
      <c r="B1319" s="128" t="s">
        <v>19157</v>
      </c>
      <c r="C1319" s="129" t="s">
        <v>56</v>
      </c>
      <c r="D1319" s="130">
        <v>3774.3</v>
      </c>
      <c r="E1319" s="131">
        <v>44724</v>
      </c>
      <c r="F1319" s="132">
        <v>3774.3</v>
      </c>
      <c r="G1319" s="133">
        <f>Tabla147[[#This Row],[Importe]]-Tabla147[[#This Row],[Pagado]]</f>
        <v>0</v>
      </c>
      <c r="H1319" s="134" t="s">
        <v>10</v>
      </c>
      <c r="I1319" s="135"/>
    </row>
    <row r="1320" spans="1:9" ht="21.75" customHeight="1" x14ac:dyDescent="0.25">
      <c r="A1320" s="127">
        <v>44724</v>
      </c>
      <c r="B1320" s="128" t="s">
        <v>19158</v>
      </c>
      <c r="C1320" s="129" t="s">
        <v>56</v>
      </c>
      <c r="D1320" s="130">
        <v>584.6</v>
      </c>
      <c r="E1320" s="131">
        <v>44724</v>
      </c>
      <c r="F1320" s="132">
        <v>584.6</v>
      </c>
      <c r="G1320" s="133">
        <f>Tabla147[[#This Row],[Importe]]-Tabla147[[#This Row],[Pagado]]</f>
        <v>0</v>
      </c>
      <c r="H1320" s="134" t="s">
        <v>10</v>
      </c>
      <c r="I1320" s="135"/>
    </row>
    <row r="1321" spans="1:9" ht="21.75" customHeight="1" x14ac:dyDescent="0.25">
      <c r="A1321" s="127">
        <v>44724</v>
      </c>
      <c r="B1321" s="128" t="s">
        <v>19159</v>
      </c>
      <c r="C1321" s="129" t="s">
        <v>226</v>
      </c>
      <c r="D1321" s="130">
        <v>16632</v>
      </c>
      <c r="E1321" s="131">
        <v>44724</v>
      </c>
      <c r="F1321" s="132">
        <v>16632</v>
      </c>
      <c r="G1321" s="133">
        <f>Tabla147[[#This Row],[Importe]]-Tabla147[[#This Row],[Pagado]]</f>
        <v>0</v>
      </c>
      <c r="H1321" s="134" t="s">
        <v>10</v>
      </c>
      <c r="I1321" s="135"/>
    </row>
    <row r="1322" spans="1:9" ht="21.75" customHeight="1" x14ac:dyDescent="0.25">
      <c r="A1322" s="127">
        <v>44724</v>
      </c>
      <c r="B1322" s="128" t="s">
        <v>19160</v>
      </c>
      <c r="C1322" s="129" t="s">
        <v>56</v>
      </c>
      <c r="D1322" s="130">
        <v>467.4</v>
      </c>
      <c r="E1322" s="131">
        <v>44724</v>
      </c>
      <c r="F1322" s="132">
        <v>467.4</v>
      </c>
      <c r="G1322" s="133">
        <f>Tabla147[[#This Row],[Importe]]-Tabla147[[#This Row],[Pagado]]</f>
        <v>0</v>
      </c>
      <c r="H1322" s="134" t="s">
        <v>10</v>
      </c>
      <c r="I1322" s="135"/>
    </row>
    <row r="1323" spans="1:9" ht="21.75" customHeight="1" x14ac:dyDescent="0.25">
      <c r="A1323" s="127">
        <v>44724</v>
      </c>
      <c r="B1323" s="128" t="s">
        <v>19161</v>
      </c>
      <c r="C1323" s="129" t="s">
        <v>18376</v>
      </c>
      <c r="D1323" s="130">
        <v>856.9</v>
      </c>
      <c r="E1323" s="131">
        <v>44724</v>
      </c>
      <c r="F1323" s="132">
        <v>856.9</v>
      </c>
      <c r="G1323" s="133">
        <f>Tabla147[[#This Row],[Importe]]-Tabla147[[#This Row],[Pagado]]</f>
        <v>0</v>
      </c>
      <c r="H1323" s="134" t="s">
        <v>10</v>
      </c>
      <c r="I1323" s="135"/>
    </row>
    <row r="1324" spans="1:9" ht="21.75" customHeight="1" x14ac:dyDescent="0.25">
      <c r="A1324" s="127">
        <v>44724</v>
      </c>
      <c r="B1324" s="128" t="s">
        <v>19162</v>
      </c>
      <c r="C1324" s="129" t="s">
        <v>296</v>
      </c>
      <c r="D1324" s="130">
        <v>2578.5</v>
      </c>
      <c r="E1324" s="131">
        <v>44724</v>
      </c>
      <c r="F1324" s="132">
        <v>2578.5</v>
      </c>
      <c r="G1324" s="133">
        <f>Tabla147[[#This Row],[Importe]]-Tabla147[[#This Row],[Pagado]]</f>
        <v>0</v>
      </c>
      <c r="H1324" s="134" t="s">
        <v>10</v>
      </c>
      <c r="I1324" s="135"/>
    </row>
    <row r="1325" spans="1:9" ht="21.75" customHeight="1" x14ac:dyDescent="0.25">
      <c r="A1325" s="127">
        <v>44724</v>
      </c>
      <c r="B1325" s="128" t="s">
        <v>19163</v>
      </c>
      <c r="C1325" s="129" t="s">
        <v>698</v>
      </c>
      <c r="D1325" s="130">
        <v>3727.5</v>
      </c>
      <c r="E1325" s="131">
        <v>44724</v>
      </c>
      <c r="F1325" s="132">
        <v>3727.5</v>
      </c>
      <c r="G1325" s="133">
        <f>Tabla147[[#This Row],[Importe]]-Tabla147[[#This Row],[Pagado]]</f>
        <v>0</v>
      </c>
      <c r="H1325" s="134" t="s">
        <v>10</v>
      </c>
      <c r="I1325" s="135"/>
    </row>
    <row r="1326" spans="1:9" ht="21.75" customHeight="1" x14ac:dyDescent="0.25">
      <c r="A1326" s="127">
        <v>44724</v>
      </c>
      <c r="B1326" s="128" t="s">
        <v>19164</v>
      </c>
      <c r="C1326" s="129" t="s">
        <v>67</v>
      </c>
      <c r="D1326" s="130">
        <v>1782.2</v>
      </c>
      <c r="E1326" s="131">
        <v>44724</v>
      </c>
      <c r="F1326" s="132">
        <v>1782.2</v>
      </c>
      <c r="G1326" s="133">
        <f>Tabla147[[#This Row],[Importe]]-Tabla147[[#This Row],[Pagado]]</f>
        <v>0</v>
      </c>
      <c r="H1326" s="134" t="s">
        <v>10</v>
      </c>
      <c r="I1326" s="135"/>
    </row>
    <row r="1327" spans="1:9" ht="21.75" customHeight="1" x14ac:dyDescent="0.25">
      <c r="A1327" s="127">
        <v>44724</v>
      </c>
      <c r="B1327" s="128" t="s">
        <v>19165</v>
      </c>
      <c r="C1327" s="129" t="s">
        <v>71</v>
      </c>
      <c r="D1327" s="130">
        <v>3801</v>
      </c>
      <c r="E1327" s="131">
        <v>44724</v>
      </c>
      <c r="F1327" s="132">
        <v>3801</v>
      </c>
      <c r="G1327" s="133">
        <f>Tabla147[[#This Row],[Importe]]-Tabla147[[#This Row],[Pagado]]</f>
        <v>0</v>
      </c>
      <c r="H1327" s="134" t="s">
        <v>10</v>
      </c>
      <c r="I1327" s="135"/>
    </row>
    <row r="1328" spans="1:9" ht="21.75" customHeight="1" x14ac:dyDescent="0.25">
      <c r="A1328" s="127">
        <v>44724</v>
      </c>
      <c r="B1328" s="128" t="s">
        <v>19166</v>
      </c>
      <c r="C1328" s="129" t="s">
        <v>15039</v>
      </c>
      <c r="D1328" s="130">
        <v>3664.8</v>
      </c>
      <c r="E1328" s="131">
        <v>44724</v>
      </c>
      <c r="F1328" s="132">
        <v>3664.8</v>
      </c>
      <c r="G1328" s="133">
        <f>Tabla147[[#This Row],[Importe]]-Tabla147[[#This Row],[Pagado]]</f>
        <v>0</v>
      </c>
      <c r="H1328" s="134" t="s">
        <v>10</v>
      </c>
      <c r="I1328" s="135"/>
    </row>
    <row r="1329" spans="1:9" ht="21.75" customHeight="1" x14ac:dyDescent="0.25">
      <c r="A1329" s="127">
        <v>44724</v>
      </c>
      <c r="B1329" s="128" t="s">
        <v>19167</v>
      </c>
      <c r="C1329" s="129" t="s">
        <v>296</v>
      </c>
      <c r="D1329" s="130">
        <v>1354.2</v>
      </c>
      <c r="E1329" s="131">
        <v>44724</v>
      </c>
      <c r="F1329" s="132">
        <v>1354.2</v>
      </c>
      <c r="G1329" s="133">
        <f>Tabla147[[#This Row],[Importe]]-Tabla147[[#This Row],[Pagado]]</f>
        <v>0</v>
      </c>
      <c r="H1329" s="134" t="s">
        <v>10</v>
      </c>
      <c r="I1329" s="135"/>
    </row>
    <row r="1330" spans="1:9" ht="21.75" customHeight="1" x14ac:dyDescent="0.25">
      <c r="A1330" s="127">
        <v>44724</v>
      </c>
      <c r="B1330" s="128" t="s">
        <v>19168</v>
      </c>
      <c r="C1330" s="129" t="s">
        <v>7745</v>
      </c>
      <c r="D1330" s="130">
        <v>22473</v>
      </c>
      <c r="E1330" s="131">
        <v>44724</v>
      </c>
      <c r="F1330" s="132">
        <v>22473</v>
      </c>
      <c r="G1330" s="133">
        <f>Tabla147[[#This Row],[Importe]]-Tabla147[[#This Row],[Pagado]]</f>
        <v>0</v>
      </c>
      <c r="H1330" s="134" t="s">
        <v>10</v>
      </c>
      <c r="I1330" s="135"/>
    </row>
    <row r="1331" spans="1:9" ht="21.75" customHeight="1" x14ac:dyDescent="0.25">
      <c r="A1331" s="127">
        <v>44724</v>
      </c>
      <c r="B1331" s="128" t="s">
        <v>19169</v>
      </c>
      <c r="C1331" s="129" t="s">
        <v>15449</v>
      </c>
      <c r="D1331" s="130">
        <v>1071</v>
      </c>
      <c r="E1331" s="131">
        <v>44724</v>
      </c>
      <c r="F1331" s="132">
        <v>1071</v>
      </c>
      <c r="G1331" s="133">
        <f>Tabla147[[#This Row],[Importe]]-Tabla147[[#This Row],[Pagado]]</f>
        <v>0</v>
      </c>
      <c r="H1331" s="134" t="s">
        <v>10</v>
      </c>
      <c r="I1331" s="135"/>
    </row>
    <row r="1332" spans="1:9" ht="31.5" x14ac:dyDescent="0.25">
      <c r="A1332" s="127">
        <v>44725</v>
      </c>
      <c r="B1332" s="128" t="s">
        <v>19170</v>
      </c>
      <c r="C1332" s="129" t="s">
        <v>475</v>
      </c>
      <c r="D1332" s="130">
        <v>153222</v>
      </c>
      <c r="E1332" s="131" t="s">
        <v>19171</v>
      </c>
      <c r="F1332" s="132">
        <f>117000+36222</f>
        <v>153222</v>
      </c>
      <c r="G1332" s="133">
        <f>Tabla147[[#This Row],[Importe]]-Tabla147[[#This Row],[Pagado]]</f>
        <v>0</v>
      </c>
      <c r="H1332" s="134" t="s">
        <v>10</v>
      </c>
      <c r="I1332" s="135"/>
    </row>
    <row r="1333" spans="1:9" ht="21.75" customHeight="1" x14ac:dyDescent="0.25">
      <c r="A1333" s="127">
        <v>44725</v>
      </c>
      <c r="B1333" s="128" t="s">
        <v>19172</v>
      </c>
      <c r="C1333" s="129" t="s">
        <v>1650</v>
      </c>
      <c r="D1333" s="130">
        <v>6711.6</v>
      </c>
      <c r="E1333" s="131">
        <v>44725</v>
      </c>
      <c r="F1333" s="132">
        <v>6711.6</v>
      </c>
      <c r="G1333" s="133">
        <f>Tabla147[[#This Row],[Importe]]-Tabla147[[#This Row],[Pagado]]</f>
        <v>0</v>
      </c>
      <c r="H1333" s="134" t="s">
        <v>10</v>
      </c>
      <c r="I1333" s="135"/>
    </row>
    <row r="1334" spans="1:9" ht="21.75" customHeight="1" x14ac:dyDescent="0.25">
      <c r="A1334" s="127">
        <v>44725</v>
      </c>
      <c r="B1334" s="128" t="s">
        <v>19173</v>
      </c>
      <c r="C1334" s="129" t="s">
        <v>924</v>
      </c>
      <c r="D1334" s="130">
        <v>1091.4000000000001</v>
      </c>
      <c r="E1334" s="131">
        <v>44725</v>
      </c>
      <c r="F1334" s="132">
        <v>1091.4000000000001</v>
      </c>
      <c r="G1334" s="133">
        <f>Tabla147[[#This Row],[Importe]]-Tabla147[[#This Row],[Pagado]]</f>
        <v>0</v>
      </c>
      <c r="H1334" s="134" t="s">
        <v>10</v>
      </c>
      <c r="I1334" s="135"/>
    </row>
    <row r="1335" spans="1:9" ht="21.75" customHeight="1" x14ac:dyDescent="0.25">
      <c r="A1335" s="127">
        <v>44725</v>
      </c>
      <c r="B1335" s="128" t="s">
        <v>19174</v>
      </c>
      <c r="C1335" s="129" t="s">
        <v>9</v>
      </c>
      <c r="D1335" s="130">
        <v>7707.3</v>
      </c>
      <c r="E1335" s="131">
        <v>44725</v>
      </c>
      <c r="F1335" s="132">
        <v>7707.3</v>
      </c>
      <c r="G1335" s="133">
        <f>Tabla147[[#This Row],[Importe]]-Tabla147[[#This Row],[Pagado]]</f>
        <v>0</v>
      </c>
      <c r="H1335" s="134" t="s">
        <v>10</v>
      </c>
      <c r="I1335" s="135"/>
    </row>
    <row r="1336" spans="1:9" ht="21.75" customHeight="1" x14ac:dyDescent="0.25">
      <c r="A1336" s="127">
        <v>44725</v>
      </c>
      <c r="B1336" s="128" t="s">
        <v>19175</v>
      </c>
      <c r="C1336" s="129" t="s">
        <v>85</v>
      </c>
      <c r="D1336" s="130">
        <v>1013.2</v>
      </c>
      <c r="E1336" s="131">
        <v>44725</v>
      </c>
      <c r="F1336" s="132">
        <v>1013.2</v>
      </c>
      <c r="G1336" s="133">
        <f>Tabla147[[#This Row],[Importe]]-Tabla147[[#This Row],[Pagado]]</f>
        <v>0</v>
      </c>
      <c r="H1336" s="134" t="s">
        <v>10</v>
      </c>
      <c r="I1336" s="135"/>
    </row>
    <row r="1337" spans="1:9" ht="21.75" customHeight="1" x14ac:dyDescent="0.25">
      <c r="A1337" s="127">
        <v>44725</v>
      </c>
      <c r="B1337" s="128" t="s">
        <v>19176</v>
      </c>
      <c r="C1337" s="129" t="s">
        <v>9993</v>
      </c>
      <c r="D1337" s="130">
        <v>5400</v>
      </c>
      <c r="E1337" s="131">
        <v>44725</v>
      </c>
      <c r="F1337" s="132">
        <v>5400</v>
      </c>
      <c r="G1337" s="133">
        <f>Tabla147[[#This Row],[Importe]]-Tabla147[[#This Row],[Pagado]]</f>
        <v>0</v>
      </c>
      <c r="H1337" s="134" t="s">
        <v>10</v>
      </c>
      <c r="I1337" s="135"/>
    </row>
    <row r="1338" spans="1:9" ht="21.75" customHeight="1" x14ac:dyDescent="0.25">
      <c r="A1338" s="127">
        <v>44725</v>
      </c>
      <c r="B1338" s="128" t="s">
        <v>19177</v>
      </c>
      <c r="C1338" s="129" t="s">
        <v>120</v>
      </c>
      <c r="D1338" s="130">
        <v>5118</v>
      </c>
      <c r="E1338" s="131">
        <v>44727</v>
      </c>
      <c r="F1338" s="132">
        <v>5118</v>
      </c>
      <c r="G1338" s="133">
        <f>Tabla147[[#This Row],[Importe]]-Tabla147[[#This Row],[Pagado]]</f>
        <v>0</v>
      </c>
      <c r="H1338" s="134" t="s">
        <v>10</v>
      </c>
      <c r="I1338" s="135"/>
    </row>
    <row r="1339" spans="1:9" ht="21.75" customHeight="1" x14ac:dyDescent="0.25">
      <c r="A1339" s="127">
        <v>44725</v>
      </c>
      <c r="B1339" s="128" t="s">
        <v>19178</v>
      </c>
      <c r="C1339" s="129" t="s">
        <v>93</v>
      </c>
      <c r="D1339" s="130">
        <v>8445</v>
      </c>
      <c r="E1339" s="131">
        <v>44728</v>
      </c>
      <c r="F1339" s="132">
        <v>8445</v>
      </c>
      <c r="G1339" s="133">
        <f>Tabla147[[#This Row],[Importe]]-Tabla147[[#This Row],[Pagado]]</f>
        <v>0</v>
      </c>
      <c r="H1339" s="134" t="s">
        <v>10</v>
      </c>
      <c r="I1339" s="135"/>
    </row>
    <row r="1340" spans="1:9" ht="21.75" customHeight="1" x14ac:dyDescent="0.25">
      <c r="A1340" s="127">
        <v>44725</v>
      </c>
      <c r="B1340" s="128" t="s">
        <v>19179</v>
      </c>
      <c r="C1340" s="129" t="s">
        <v>99</v>
      </c>
      <c r="D1340" s="130">
        <v>2275</v>
      </c>
      <c r="E1340" s="131">
        <v>44726</v>
      </c>
      <c r="F1340" s="132">
        <v>2275</v>
      </c>
      <c r="G1340" s="133">
        <f>Tabla147[[#This Row],[Importe]]-Tabla147[[#This Row],[Pagado]]</f>
        <v>0</v>
      </c>
      <c r="H1340" s="134" t="s">
        <v>10</v>
      </c>
      <c r="I1340" s="135"/>
    </row>
    <row r="1341" spans="1:9" ht="21.75" customHeight="1" x14ac:dyDescent="0.25">
      <c r="A1341" s="127">
        <v>44725</v>
      </c>
      <c r="B1341" s="128" t="s">
        <v>19180</v>
      </c>
      <c r="C1341" s="129" t="s">
        <v>99</v>
      </c>
      <c r="D1341" s="130">
        <v>1933.2</v>
      </c>
      <c r="E1341" s="131">
        <v>44726</v>
      </c>
      <c r="F1341" s="132">
        <v>1933.2</v>
      </c>
      <c r="G1341" s="133">
        <f>Tabla147[[#This Row],[Importe]]-Tabla147[[#This Row],[Pagado]]</f>
        <v>0</v>
      </c>
      <c r="H1341" s="134" t="s">
        <v>10</v>
      </c>
      <c r="I1341" s="135"/>
    </row>
    <row r="1342" spans="1:9" ht="60" x14ac:dyDescent="0.25">
      <c r="A1342" s="127">
        <v>44725</v>
      </c>
      <c r="B1342" s="128" t="s">
        <v>19181</v>
      </c>
      <c r="C1342" s="129" t="s">
        <v>39</v>
      </c>
      <c r="D1342" s="130">
        <v>25835.5</v>
      </c>
      <c r="E1342" s="11" t="s">
        <v>24623</v>
      </c>
      <c r="F1342" s="132">
        <f>5835+5000+4000+5000+3000+3000.5</f>
        <v>25835.5</v>
      </c>
      <c r="G1342" s="133">
        <f>Tabla147[[#This Row],[Importe]]-Tabla147[[#This Row],[Pagado]]</f>
        <v>0</v>
      </c>
      <c r="H1342" s="134" t="s">
        <v>10</v>
      </c>
      <c r="I1342" s="135"/>
    </row>
    <row r="1343" spans="1:9" ht="21.75" customHeight="1" x14ac:dyDescent="0.25">
      <c r="A1343" s="127">
        <v>44725</v>
      </c>
      <c r="B1343" s="128" t="s">
        <v>19182</v>
      </c>
      <c r="C1343" s="129" t="s">
        <v>131</v>
      </c>
      <c r="D1343" s="130">
        <v>10438.6</v>
      </c>
      <c r="E1343" s="131">
        <v>44725</v>
      </c>
      <c r="F1343" s="132">
        <v>10438.6</v>
      </c>
      <c r="G1343" s="133">
        <f>Tabla147[[#This Row],[Importe]]-Tabla147[[#This Row],[Pagado]]</f>
        <v>0</v>
      </c>
      <c r="H1343" s="134" t="s">
        <v>10</v>
      </c>
      <c r="I1343" s="135"/>
    </row>
    <row r="1344" spans="1:9" ht="21.75" customHeight="1" x14ac:dyDescent="0.25">
      <c r="A1344" s="127">
        <v>44725</v>
      </c>
      <c r="B1344" s="128" t="s">
        <v>19183</v>
      </c>
      <c r="C1344" s="129" t="s">
        <v>64</v>
      </c>
      <c r="D1344" s="130">
        <v>4944</v>
      </c>
      <c r="E1344" s="131">
        <v>44726</v>
      </c>
      <c r="F1344" s="132">
        <v>4944</v>
      </c>
      <c r="G1344" s="133">
        <f>Tabla147[[#This Row],[Importe]]-Tabla147[[#This Row],[Pagado]]</f>
        <v>0</v>
      </c>
      <c r="H1344" s="134" t="s">
        <v>10</v>
      </c>
      <c r="I1344" s="135"/>
    </row>
    <row r="1345" spans="1:9" ht="21.75" customHeight="1" x14ac:dyDescent="0.25">
      <c r="A1345" s="127">
        <v>44725</v>
      </c>
      <c r="B1345" s="128" t="s">
        <v>19184</v>
      </c>
      <c r="C1345" s="129" t="s">
        <v>60</v>
      </c>
      <c r="D1345" s="130">
        <v>5022</v>
      </c>
      <c r="E1345" s="131">
        <v>44729</v>
      </c>
      <c r="F1345" s="132">
        <v>5022</v>
      </c>
      <c r="G1345" s="133">
        <f>Tabla147[[#This Row],[Importe]]-Tabla147[[#This Row],[Pagado]]</f>
        <v>0</v>
      </c>
      <c r="H1345" s="134" t="s">
        <v>10</v>
      </c>
      <c r="I1345" s="135"/>
    </row>
    <row r="1346" spans="1:9" ht="21.75" customHeight="1" x14ac:dyDescent="0.25">
      <c r="A1346" s="127">
        <v>44725</v>
      </c>
      <c r="B1346" s="128" t="s">
        <v>19185</v>
      </c>
      <c r="C1346" s="129" t="s">
        <v>97</v>
      </c>
      <c r="D1346" s="130">
        <v>10138.4</v>
      </c>
      <c r="E1346" s="131">
        <v>44727</v>
      </c>
      <c r="F1346" s="132">
        <v>10138.4</v>
      </c>
      <c r="G1346" s="133">
        <f>Tabla147[[#This Row],[Importe]]-Tabla147[[#This Row],[Pagado]]</f>
        <v>0</v>
      </c>
      <c r="H1346" s="134" t="s">
        <v>10</v>
      </c>
      <c r="I1346" s="135"/>
    </row>
    <row r="1347" spans="1:9" ht="21.75" customHeight="1" x14ac:dyDescent="0.25">
      <c r="A1347" s="127">
        <v>44725</v>
      </c>
      <c r="B1347" s="128" t="s">
        <v>19186</v>
      </c>
      <c r="C1347" s="129" t="s">
        <v>116</v>
      </c>
      <c r="D1347" s="130">
        <v>4782</v>
      </c>
      <c r="E1347" s="131">
        <v>44726</v>
      </c>
      <c r="F1347" s="132">
        <v>4782</v>
      </c>
      <c r="G1347" s="133">
        <f>Tabla147[[#This Row],[Importe]]-Tabla147[[#This Row],[Pagado]]</f>
        <v>0</v>
      </c>
      <c r="H1347" s="134" t="s">
        <v>10</v>
      </c>
      <c r="I1347" s="135"/>
    </row>
    <row r="1348" spans="1:9" ht="21.75" customHeight="1" x14ac:dyDescent="0.25">
      <c r="A1348" s="127">
        <v>44725</v>
      </c>
      <c r="B1348" s="128" t="s">
        <v>19187</v>
      </c>
      <c r="C1348" s="129" t="s">
        <v>2563</v>
      </c>
      <c r="D1348" s="130">
        <v>4908</v>
      </c>
      <c r="E1348" s="131">
        <v>44726</v>
      </c>
      <c r="F1348" s="132">
        <v>4908</v>
      </c>
      <c r="G1348" s="133">
        <f>Tabla147[[#This Row],[Importe]]-Tabla147[[#This Row],[Pagado]]</f>
        <v>0</v>
      </c>
      <c r="H1348" s="134" t="s">
        <v>10</v>
      </c>
      <c r="I1348" s="135"/>
    </row>
    <row r="1349" spans="1:9" ht="21.75" customHeight="1" x14ac:dyDescent="0.25">
      <c r="A1349" s="127">
        <v>44725</v>
      </c>
      <c r="B1349" s="128" t="s">
        <v>19188</v>
      </c>
      <c r="C1349" s="129" t="s">
        <v>111</v>
      </c>
      <c r="D1349" s="130">
        <v>5251.3</v>
      </c>
      <c r="E1349" s="131">
        <v>44726</v>
      </c>
      <c r="F1349" s="132">
        <v>5251.3</v>
      </c>
      <c r="G1349" s="133">
        <f>Tabla147[[#This Row],[Importe]]-Tabla147[[#This Row],[Pagado]]</f>
        <v>0</v>
      </c>
      <c r="H1349" s="134" t="s">
        <v>10</v>
      </c>
      <c r="I1349" s="135"/>
    </row>
    <row r="1350" spans="1:9" ht="21.75" customHeight="1" x14ac:dyDescent="0.25">
      <c r="A1350" s="127">
        <v>44725</v>
      </c>
      <c r="B1350" s="128" t="s">
        <v>19189</v>
      </c>
      <c r="C1350" s="129" t="s">
        <v>89</v>
      </c>
      <c r="D1350" s="130">
        <v>10005</v>
      </c>
      <c r="E1350" s="131">
        <v>44726</v>
      </c>
      <c r="F1350" s="132">
        <v>10005</v>
      </c>
      <c r="G1350" s="133">
        <f>Tabla147[[#This Row],[Importe]]-Tabla147[[#This Row],[Pagado]]</f>
        <v>0</v>
      </c>
      <c r="H1350" s="134" t="s">
        <v>10</v>
      </c>
      <c r="I1350" s="135"/>
    </row>
    <row r="1351" spans="1:9" ht="21.75" customHeight="1" x14ac:dyDescent="0.25">
      <c r="A1351" s="127">
        <v>44725</v>
      </c>
      <c r="B1351" s="128" t="s">
        <v>19190</v>
      </c>
      <c r="C1351" s="129" t="s">
        <v>2151</v>
      </c>
      <c r="D1351" s="130">
        <v>16369.4</v>
      </c>
      <c r="E1351" s="131">
        <v>44725</v>
      </c>
      <c r="F1351" s="132">
        <v>16369.4</v>
      </c>
      <c r="G1351" s="133">
        <f>Tabla147[[#This Row],[Importe]]-Tabla147[[#This Row],[Pagado]]</f>
        <v>0</v>
      </c>
      <c r="H1351" s="134" t="s">
        <v>10</v>
      </c>
      <c r="I1351" s="135"/>
    </row>
    <row r="1352" spans="1:9" ht="21.75" customHeight="1" x14ac:dyDescent="0.25">
      <c r="A1352" s="127">
        <v>44725</v>
      </c>
      <c r="B1352" s="128" t="s">
        <v>19191</v>
      </c>
      <c r="C1352" s="129" t="s">
        <v>105</v>
      </c>
      <c r="D1352" s="130">
        <v>7918.2</v>
      </c>
      <c r="E1352" s="131">
        <v>44727</v>
      </c>
      <c r="F1352" s="132">
        <v>7918.2</v>
      </c>
      <c r="G1352" s="133">
        <f>Tabla147[[#This Row],[Importe]]-Tabla147[[#This Row],[Pagado]]</f>
        <v>0</v>
      </c>
      <c r="H1352" s="134" t="s">
        <v>10</v>
      </c>
      <c r="I1352" s="135"/>
    </row>
    <row r="1353" spans="1:9" ht="21.75" customHeight="1" x14ac:dyDescent="0.25">
      <c r="A1353" s="127">
        <v>44725</v>
      </c>
      <c r="B1353" s="128" t="s">
        <v>19192</v>
      </c>
      <c r="C1353" s="129" t="s">
        <v>87</v>
      </c>
      <c r="D1353" s="130">
        <v>3891.4</v>
      </c>
      <c r="E1353" s="131">
        <v>44725</v>
      </c>
      <c r="F1353" s="132">
        <v>3891.4</v>
      </c>
      <c r="G1353" s="133">
        <f>Tabla147[[#This Row],[Importe]]-Tabla147[[#This Row],[Pagado]]</f>
        <v>0</v>
      </c>
      <c r="H1353" s="134" t="s">
        <v>10</v>
      </c>
      <c r="I1353" s="135"/>
    </row>
    <row r="1354" spans="1:9" ht="21.75" customHeight="1" x14ac:dyDescent="0.25">
      <c r="A1354" s="127">
        <v>44725</v>
      </c>
      <c r="B1354" s="128" t="s">
        <v>19193</v>
      </c>
      <c r="C1354" s="129" t="s">
        <v>326</v>
      </c>
      <c r="D1354" s="130">
        <v>5821.5</v>
      </c>
      <c r="E1354" s="131">
        <v>44727</v>
      </c>
      <c r="F1354" s="132">
        <v>5821.5</v>
      </c>
      <c r="G1354" s="133">
        <f>Tabla147[[#This Row],[Importe]]-Tabla147[[#This Row],[Pagado]]</f>
        <v>0</v>
      </c>
      <c r="H1354" s="134" t="s">
        <v>10</v>
      </c>
      <c r="I1354" s="135"/>
    </row>
    <row r="1355" spans="1:9" ht="21.75" customHeight="1" x14ac:dyDescent="0.25">
      <c r="A1355" s="127">
        <v>44725</v>
      </c>
      <c r="B1355" s="128" t="s">
        <v>19194</v>
      </c>
      <c r="C1355" s="129" t="s">
        <v>109</v>
      </c>
      <c r="D1355" s="130">
        <v>5341.8</v>
      </c>
      <c r="E1355" s="131">
        <v>44726</v>
      </c>
      <c r="F1355" s="132">
        <v>5341.8</v>
      </c>
      <c r="G1355" s="133">
        <f>Tabla147[[#This Row],[Importe]]-Tabla147[[#This Row],[Pagado]]</f>
        <v>0</v>
      </c>
      <c r="H1355" s="134" t="s">
        <v>10</v>
      </c>
      <c r="I1355" s="135"/>
    </row>
    <row r="1356" spans="1:9" ht="21.75" customHeight="1" x14ac:dyDescent="0.25">
      <c r="A1356" s="127">
        <v>44725</v>
      </c>
      <c r="B1356" s="128" t="s">
        <v>19195</v>
      </c>
      <c r="C1356" s="129" t="s">
        <v>114</v>
      </c>
      <c r="D1356" s="130">
        <v>4721.2</v>
      </c>
      <c r="E1356" s="131">
        <v>44726</v>
      </c>
      <c r="F1356" s="132">
        <v>4721.2</v>
      </c>
      <c r="G1356" s="133">
        <f>Tabla147[[#This Row],[Importe]]-Tabla147[[#This Row],[Pagado]]</f>
        <v>0</v>
      </c>
      <c r="H1356" s="134" t="s">
        <v>10</v>
      </c>
      <c r="I1356" s="135"/>
    </row>
    <row r="1357" spans="1:9" ht="31.5" x14ac:dyDescent="0.25">
      <c r="A1357" s="127">
        <v>44725</v>
      </c>
      <c r="B1357" s="128" t="s">
        <v>19196</v>
      </c>
      <c r="C1357" s="129" t="s">
        <v>22</v>
      </c>
      <c r="D1357" s="130">
        <v>51933</v>
      </c>
      <c r="E1357" s="131" t="s">
        <v>19197</v>
      </c>
      <c r="F1357" s="132">
        <f>30000+21933</f>
        <v>51933</v>
      </c>
      <c r="G1357" s="133">
        <f>Tabla147[[#This Row],[Importe]]-Tabla147[[#This Row],[Pagado]]</f>
        <v>0</v>
      </c>
      <c r="H1357" s="134" t="s">
        <v>10</v>
      </c>
      <c r="I1357" s="135"/>
    </row>
    <row r="1358" spans="1:9" ht="21.75" customHeight="1" x14ac:dyDescent="0.25">
      <c r="A1358" s="127">
        <v>44725</v>
      </c>
      <c r="B1358" s="128" t="s">
        <v>19198</v>
      </c>
      <c r="C1358" s="129" t="s">
        <v>7005</v>
      </c>
      <c r="D1358" s="130">
        <v>0</v>
      </c>
      <c r="E1358" s="136" t="s">
        <v>189</v>
      </c>
      <c r="F1358" s="132">
        <v>0</v>
      </c>
      <c r="G1358" s="133">
        <f>Tabla147[[#This Row],[Importe]]-Tabla147[[#This Row],[Pagado]]</f>
        <v>0</v>
      </c>
      <c r="H1358" s="134" t="s">
        <v>189</v>
      </c>
      <c r="I1358" s="135"/>
    </row>
    <row r="1359" spans="1:9" ht="21.75" customHeight="1" x14ac:dyDescent="0.25">
      <c r="A1359" s="127">
        <v>44725</v>
      </c>
      <c r="B1359" s="128" t="s">
        <v>19199</v>
      </c>
      <c r="C1359" s="129" t="s">
        <v>83</v>
      </c>
      <c r="D1359" s="130">
        <v>10268</v>
      </c>
      <c r="E1359" s="131">
        <v>44725</v>
      </c>
      <c r="F1359" s="132">
        <v>10268</v>
      </c>
      <c r="G1359" s="133">
        <f>Tabla147[[#This Row],[Importe]]-Tabla147[[#This Row],[Pagado]]</f>
        <v>0</v>
      </c>
      <c r="H1359" s="134" t="s">
        <v>10</v>
      </c>
      <c r="I1359" s="135"/>
    </row>
    <row r="1360" spans="1:9" ht="21.75" customHeight="1" x14ac:dyDescent="0.25">
      <c r="A1360" s="127">
        <v>44725</v>
      </c>
      <c r="B1360" s="128" t="s">
        <v>19200</v>
      </c>
      <c r="C1360" s="129" t="s">
        <v>348</v>
      </c>
      <c r="D1360" s="130">
        <v>2025</v>
      </c>
      <c r="E1360" s="131">
        <v>44725</v>
      </c>
      <c r="F1360" s="132">
        <v>2025</v>
      </c>
      <c r="G1360" s="133">
        <f>Tabla147[[#This Row],[Importe]]-Tabla147[[#This Row],[Pagado]]</f>
        <v>0</v>
      </c>
      <c r="H1360" s="134" t="s">
        <v>10</v>
      </c>
      <c r="I1360" s="135"/>
    </row>
    <row r="1361" spans="1:9" ht="21.75" customHeight="1" x14ac:dyDescent="0.25">
      <c r="A1361" s="127">
        <v>44725</v>
      </c>
      <c r="B1361" s="128" t="s">
        <v>19201</v>
      </c>
      <c r="C1361" s="129" t="s">
        <v>12202</v>
      </c>
      <c r="D1361" s="130">
        <v>4575.2</v>
      </c>
      <c r="E1361" s="131">
        <v>44725</v>
      </c>
      <c r="F1361" s="132">
        <v>4575.2</v>
      </c>
      <c r="G1361" s="133">
        <f>Tabla147[[#This Row],[Importe]]-Tabla147[[#This Row],[Pagado]]</f>
        <v>0</v>
      </c>
      <c r="H1361" s="134" t="s">
        <v>10</v>
      </c>
      <c r="I1361" s="135"/>
    </row>
    <row r="1362" spans="1:9" ht="21.75" customHeight="1" x14ac:dyDescent="0.25">
      <c r="A1362" s="127">
        <v>44725</v>
      </c>
      <c r="B1362" s="128" t="s">
        <v>19202</v>
      </c>
      <c r="C1362" s="129" t="s">
        <v>11033</v>
      </c>
      <c r="D1362" s="130">
        <v>1757</v>
      </c>
      <c r="E1362" s="131">
        <v>44725</v>
      </c>
      <c r="F1362" s="132">
        <v>1757</v>
      </c>
      <c r="G1362" s="133">
        <f>Tabla147[[#This Row],[Importe]]-Tabla147[[#This Row],[Pagado]]</f>
        <v>0</v>
      </c>
      <c r="H1362" s="134" t="s">
        <v>10</v>
      </c>
      <c r="I1362" s="135"/>
    </row>
    <row r="1363" spans="1:9" ht="21.75" customHeight="1" x14ac:dyDescent="0.25">
      <c r="A1363" s="127">
        <v>44725</v>
      </c>
      <c r="B1363" s="128" t="s">
        <v>19203</v>
      </c>
      <c r="C1363" s="129" t="s">
        <v>137</v>
      </c>
      <c r="D1363" s="130">
        <v>1971.2</v>
      </c>
      <c r="E1363" s="131">
        <v>44725</v>
      </c>
      <c r="F1363" s="132">
        <v>1971.2</v>
      </c>
      <c r="G1363" s="133">
        <f>Tabla147[[#This Row],[Importe]]-Tabla147[[#This Row],[Pagado]]</f>
        <v>0</v>
      </c>
      <c r="H1363" s="134" t="s">
        <v>10</v>
      </c>
      <c r="I1363" s="135"/>
    </row>
    <row r="1364" spans="1:9" ht="21.75" customHeight="1" x14ac:dyDescent="0.25">
      <c r="A1364" s="127">
        <v>44725</v>
      </c>
      <c r="B1364" s="128" t="s">
        <v>19204</v>
      </c>
      <c r="C1364" s="129" t="s">
        <v>16434</v>
      </c>
      <c r="D1364" s="130">
        <v>0</v>
      </c>
      <c r="E1364" s="136" t="s">
        <v>189</v>
      </c>
      <c r="F1364" s="132">
        <v>0</v>
      </c>
      <c r="G1364" s="133">
        <f>Tabla147[[#This Row],[Importe]]-Tabla147[[#This Row],[Pagado]]</f>
        <v>0</v>
      </c>
      <c r="H1364" s="134" t="s">
        <v>189</v>
      </c>
      <c r="I1364" s="135"/>
    </row>
    <row r="1365" spans="1:9" ht="21.75" customHeight="1" x14ac:dyDescent="0.25">
      <c r="A1365" s="127">
        <v>44725</v>
      </c>
      <c r="B1365" s="128" t="s">
        <v>19205</v>
      </c>
      <c r="C1365" s="129" t="s">
        <v>146</v>
      </c>
      <c r="D1365" s="130">
        <v>3137.6</v>
      </c>
      <c r="E1365" s="131">
        <v>44725</v>
      </c>
      <c r="F1365" s="132">
        <v>3137.6</v>
      </c>
      <c r="G1365" s="133">
        <f>Tabla147[[#This Row],[Importe]]-Tabla147[[#This Row],[Pagado]]</f>
        <v>0</v>
      </c>
      <c r="H1365" s="134" t="s">
        <v>10</v>
      </c>
      <c r="I1365" s="135"/>
    </row>
    <row r="1366" spans="1:9" ht="21.75" customHeight="1" x14ac:dyDescent="0.25">
      <c r="A1366" s="127">
        <v>44725</v>
      </c>
      <c r="B1366" s="128" t="s">
        <v>19206</v>
      </c>
      <c r="C1366" s="129" t="s">
        <v>664</v>
      </c>
      <c r="D1366" s="130">
        <v>4787.8</v>
      </c>
      <c r="E1366" s="131">
        <v>44725</v>
      </c>
      <c r="F1366" s="132">
        <v>4787.8</v>
      </c>
      <c r="G1366" s="133">
        <f>Tabla147[[#This Row],[Importe]]-Tabla147[[#This Row],[Pagado]]</f>
        <v>0</v>
      </c>
      <c r="H1366" s="134" t="s">
        <v>10</v>
      </c>
      <c r="I1366" s="135"/>
    </row>
    <row r="1367" spans="1:9" ht="21.75" customHeight="1" x14ac:dyDescent="0.25">
      <c r="A1367" s="127">
        <v>44725</v>
      </c>
      <c r="B1367" s="128" t="s">
        <v>19207</v>
      </c>
      <c r="C1367" s="129" t="s">
        <v>196</v>
      </c>
      <c r="D1367" s="130">
        <v>88357.89</v>
      </c>
      <c r="E1367" s="131">
        <v>44729</v>
      </c>
      <c r="F1367" s="132">
        <v>88357.89</v>
      </c>
      <c r="G1367" s="133">
        <f>Tabla147[[#This Row],[Importe]]-Tabla147[[#This Row],[Pagado]]</f>
        <v>0</v>
      </c>
      <c r="H1367" s="134" t="s">
        <v>10</v>
      </c>
      <c r="I1367" s="135"/>
    </row>
    <row r="1368" spans="1:9" ht="21.75" customHeight="1" x14ac:dyDescent="0.25">
      <c r="A1368" s="127">
        <v>44725</v>
      </c>
      <c r="B1368" s="128" t="s">
        <v>19208</v>
      </c>
      <c r="C1368" s="129" t="s">
        <v>196</v>
      </c>
      <c r="D1368" s="130">
        <v>1800</v>
      </c>
      <c r="E1368" s="131">
        <v>44729</v>
      </c>
      <c r="F1368" s="132">
        <v>1800</v>
      </c>
      <c r="G1368" s="133">
        <f>Tabla147[[#This Row],[Importe]]-Tabla147[[#This Row],[Pagado]]</f>
        <v>0</v>
      </c>
      <c r="H1368" s="134" t="s">
        <v>10</v>
      </c>
      <c r="I1368" s="135"/>
    </row>
    <row r="1369" spans="1:9" ht="21.75" customHeight="1" x14ac:dyDescent="0.25">
      <c r="A1369" s="127">
        <v>44725</v>
      </c>
      <c r="B1369" s="128" t="s">
        <v>19209</v>
      </c>
      <c r="C1369" s="129" t="s">
        <v>230</v>
      </c>
      <c r="D1369" s="130">
        <v>4331.6000000000004</v>
      </c>
      <c r="E1369" s="131">
        <v>44725</v>
      </c>
      <c r="F1369" s="132">
        <v>4331.6000000000004</v>
      </c>
      <c r="G1369" s="133">
        <f>Tabla147[[#This Row],[Importe]]-Tabla147[[#This Row],[Pagado]]</f>
        <v>0</v>
      </c>
      <c r="H1369" s="134" t="s">
        <v>10</v>
      </c>
      <c r="I1369" s="135"/>
    </row>
    <row r="1370" spans="1:9" ht="21.75" customHeight="1" x14ac:dyDescent="0.25">
      <c r="A1370" s="127">
        <v>44725</v>
      </c>
      <c r="B1370" s="128" t="s">
        <v>19210</v>
      </c>
      <c r="C1370" s="129" t="s">
        <v>161</v>
      </c>
      <c r="D1370" s="130">
        <v>4271.1000000000004</v>
      </c>
      <c r="E1370" s="131">
        <v>44725</v>
      </c>
      <c r="F1370" s="132">
        <v>4271.1000000000004</v>
      </c>
      <c r="G1370" s="133">
        <f>Tabla147[[#This Row],[Importe]]-Tabla147[[#This Row],[Pagado]]</f>
        <v>0</v>
      </c>
      <c r="H1370" s="134" t="s">
        <v>10</v>
      </c>
      <c r="I1370" s="135"/>
    </row>
    <row r="1371" spans="1:9" ht="21.75" customHeight="1" x14ac:dyDescent="0.25">
      <c r="A1371" s="127">
        <v>44725</v>
      </c>
      <c r="B1371" s="128" t="s">
        <v>19211</v>
      </c>
      <c r="C1371" s="129" t="s">
        <v>27</v>
      </c>
      <c r="D1371" s="130">
        <v>3379.6</v>
      </c>
      <c r="E1371" s="131">
        <v>44725</v>
      </c>
      <c r="F1371" s="132">
        <v>3379.6</v>
      </c>
      <c r="G1371" s="133">
        <f>Tabla147[[#This Row],[Importe]]-Tabla147[[#This Row],[Pagado]]</f>
        <v>0</v>
      </c>
      <c r="H1371" s="134" t="s">
        <v>10</v>
      </c>
      <c r="I1371" s="135"/>
    </row>
    <row r="1372" spans="1:9" ht="21.75" customHeight="1" x14ac:dyDescent="0.25">
      <c r="A1372" s="127">
        <v>44725</v>
      </c>
      <c r="B1372" s="128" t="s">
        <v>19212</v>
      </c>
      <c r="C1372" s="129" t="s">
        <v>49</v>
      </c>
      <c r="D1372" s="130">
        <v>5902.5</v>
      </c>
      <c r="E1372" s="131">
        <v>44725</v>
      </c>
      <c r="F1372" s="132">
        <v>5902.5</v>
      </c>
      <c r="G1372" s="133">
        <f>Tabla147[[#This Row],[Importe]]-Tabla147[[#This Row],[Pagado]]</f>
        <v>0</v>
      </c>
      <c r="H1372" s="134" t="s">
        <v>10</v>
      </c>
      <c r="I1372" s="135"/>
    </row>
    <row r="1373" spans="1:9" ht="21.75" customHeight="1" x14ac:dyDescent="0.25">
      <c r="A1373" s="127">
        <v>44725</v>
      </c>
      <c r="B1373" s="128" t="s">
        <v>19213</v>
      </c>
      <c r="C1373" s="129" t="s">
        <v>56</v>
      </c>
      <c r="D1373" s="130">
        <v>7370.6</v>
      </c>
      <c r="E1373" s="131">
        <v>44725</v>
      </c>
      <c r="F1373" s="132">
        <v>7370.6</v>
      </c>
      <c r="G1373" s="133">
        <f>Tabla147[[#This Row],[Importe]]-Tabla147[[#This Row],[Pagado]]</f>
        <v>0</v>
      </c>
      <c r="H1373" s="134" t="s">
        <v>10</v>
      </c>
      <c r="I1373" s="135"/>
    </row>
    <row r="1374" spans="1:9" ht="21.75" customHeight="1" x14ac:dyDescent="0.25">
      <c r="A1374" s="127">
        <v>44725</v>
      </c>
      <c r="B1374" s="128" t="s">
        <v>19214</v>
      </c>
      <c r="C1374" s="129" t="s">
        <v>24</v>
      </c>
      <c r="D1374" s="130">
        <v>4129.2</v>
      </c>
      <c r="E1374" s="131">
        <v>44725</v>
      </c>
      <c r="F1374" s="132">
        <v>4129.2</v>
      </c>
      <c r="G1374" s="133">
        <f>Tabla147[[#This Row],[Importe]]-Tabla147[[#This Row],[Pagado]]</f>
        <v>0</v>
      </c>
      <c r="H1374" s="134" t="s">
        <v>10</v>
      </c>
      <c r="I1374" s="135"/>
    </row>
    <row r="1375" spans="1:9" ht="21.75" customHeight="1" x14ac:dyDescent="0.25">
      <c r="A1375" s="127">
        <v>44725</v>
      </c>
      <c r="B1375" s="128" t="s">
        <v>19215</v>
      </c>
      <c r="C1375" s="129" t="s">
        <v>31</v>
      </c>
      <c r="D1375" s="130">
        <v>1114.7</v>
      </c>
      <c r="E1375" s="131">
        <v>44725</v>
      </c>
      <c r="F1375" s="132">
        <v>1114.7</v>
      </c>
      <c r="G1375" s="133">
        <f>Tabla147[[#This Row],[Importe]]-Tabla147[[#This Row],[Pagado]]</f>
        <v>0</v>
      </c>
      <c r="H1375" s="134" t="s">
        <v>10</v>
      </c>
      <c r="I1375" s="135"/>
    </row>
    <row r="1376" spans="1:9" ht="21.75" customHeight="1" x14ac:dyDescent="0.25">
      <c r="A1376" s="127">
        <v>44725</v>
      </c>
      <c r="B1376" s="128" t="s">
        <v>19216</v>
      </c>
      <c r="C1376" s="129" t="s">
        <v>3971</v>
      </c>
      <c r="D1376" s="130">
        <v>4787.2</v>
      </c>
      <c r="E1376" s="131">
        <v>44725</v>
      </c>
      <c r="F1376" s="132">
        <v>4787.2</v>
      </c>
      <c r="G1376" s="133">
        <f>Tabla147[[#This Row],[Importe]]-Tabla147[[#This Row],[Pagado]]</f>
        <v>0</v>
      </c>
      <c r="H1376" s="134" t="s">
        <v>10</v>
      </c>
      <c r="I1376" s="135"/>
    </row>
    <row r="1377" spans="1:9" ht="21.75" customHeight="1" x14ac:dyDescent="0.25">
      <c r="A1377" s="127">
        <v>44725</v>
      </c>
      <c r="B1377" s="128" t="s">
        <v>19217</v>
      </c>
      <c r="C1377" s="129" t="s">
        <v>45</v>
      </c>
      <c r="D1377" s="130">
        <v>9457.1</v>
      </c>
      <c r="E1377" s="131">
        <v>44725</v>
      </c>
      <c r="F1377" s="132">
        <v>9457.1</v>
      </c>
      <c r="G1377" s="133">
        <f>Tabla147[[#This Row],[Importe]]-Tabla147[[#This Row],[Pagado]]</f>
        <v>0</v>
      </c>
      <c r="H1377" s="134" t="s">
        <v>10</v>
      </c>
      <c r="I1377" s="135"/>
    </row>
    <row r="1378" spans="1:9" ht="21.75" customHeight="1" x14ac:dyDescent="0.25">
      <c r="A1378" s="127">
        <v>44725</v>
      </c>
      <c r="B1378" s="128" t="s">
        <v>19218</v>
      </c>
      <c r="C1378" s="129" t="s">
        <v>647</v>
      </c>
      <c r="D1378" s="130">
        <v>5955.5</v>
      </c>
      <c r="E1378" s="131">
        <v>44725</v>
      </c>
      <c r="F1378" s="132">
        <v>5955.5</v>
      </c>
      <c r="G1378" s="133">
        <f>Tabla147[[#This Row],[Importe]]-Tabla147[[#This Row],[Pagado]]</f>
        <v>0</v>
      </c>
      <c r="H1378" s="134" t="s">
        <v>10</v>
      </c>
      <c r="I1378" s="135"/>
    </row>
    <row r="1379" spans="1:9" ht="21.75" customHeight="1" x14ac:dyDescent="0.25">
      <c r="A1379" s="127">
        <v>44725</v>
      </c>
      <c r="B1379" s="128" t="s">
        <v>19219</v>
      </c>
      <c r="C1379" s="129" t="s">
        <v>804</v>
      </c>
      <c r="D1379" s="130">
        <v>17782</v>
      </c>
      <c r="E1379" s="131">
        <v>44725</v>
      </c>
      <c r="F1379" s="132">
        <v>17782</v>
      </c>
      <c r="G1379" s="133">
        <f>Tabla147[[#This Row],[Importe]]-Tabla147[[#This Row],[Pagado]]</f>
        <v>0</v>
      </c>
      <c r="H1379" s="134" t="s">
        <v>10</v>
      </c>
      <c r="I1379" s="135"/>
    </row>
    <row r="1380" spans="1:9" ht="21.75" customHeight="1" x14ac:dyDescent="0.25">
      <c r="A1380" s="127">
        <v>44725</v>
      </c>
      <c r="B1380" s="128" t="s">
        <v>19220</v>
      </c>
      <c r="C1380" s="129" t="s">
        <v>222</v>
      </c>
      <c r="D1380" s="130">
        <v>11038.5</v>
      </c>
      <c r="E1380" s="131">
        <v>44725</v>
      </c>
      <c r="F1380" s="132">
        <v>11038.5</v>
      </c>
      <c r="G1380" s="133">
        <f>Tabla147[[#This Row],[Importe]]-Tabla147[[#This Row],[Pagado]]</f>
        <v>0</v>
      </c>
      <c r="H1380" s="134" t="s">
        <v>10</v>
      </c>
      <c r="I1380" s="135"/>
    </row>
    <row r="1381" spans="1:9" ht="21.75" customHeight="1" x14ac:dyDescent="0.25">
      <c r="A1381" s="127">
        <v>44725</v>
      </c>
      <c r="B1381" s="128" t="s">
        <v>19221</v>
      </c>
      <c r="C1381" s="129" t="s">
        <v>62</v>
      </c>
      <c r="D1381" s="130">
        <v>4764.1000000000004</v>
      </c>
      <c r="E1381" s="131">
        <v>44725</v>
      </c>
      <c r="F1381" s="132">
        <v>4764.1000000000004</v>
      </c>
      <c r="G1381" s="133">
        <f>Tabla147[[#This Row],[Importe]]-Tabla147[[#This Row],[Pagado]]</f>
        <v>0</v>
      </c>
      <c r="H1381" s="134" t="s">
        <v>10</v>
      </c>
      <c r="I1381" s="135"/>
    </row>
    <row r="1382" spans="1:9" ht="21.75" customHeight="1" x14ac:dyDescent="0.25">
      <c r="A1382" s="127">
        <v>44725</v>
      </c>
      <c r="B1382" s="128" t="s">
        <v>19222</v>
      </c>
      <c r="C1382" s="129" t="s">
        <v>142</v>
      </c>
      <c r="D1382" s="130">
        <v>59986.66</v>
      </c>
      <c r="E1382" s="131">
        <v>44769</v>
      </c>
      <c r="F1382" s="132">
        <v>59986.66</v>
      </c>
      <c r="G1382" s="133">
        <f>Tabla147[[#This Row],[Importe]]-Tabla147[[#This Row],[Pagado]]</f>
        <v>0</v>
      </c>
      <c r="H1382" s="134" t="s">
        <v>10</v>
      </c>
      <c r="I1382" s="135"/>
    </row>
    <row r="1383" spans="1:9" ht="21.75" customHeight="1" x14ac:dyDescent="0.25">
      <c r="A1383" s="127">
        <v>44725</v>
      </c>
      <c r="B1383" s="128" t="s">
        <v>19223</v>
      </c>
      <c r="C1383" s="129" t="s">
        <v>14</v>
      </c>
      <c r="D1383" s="130">
        <v>27930</v>
      </c>
      <c r="E1383" s="131">
        <v>44725</v>
      </c>
      <c r="F1383" s="132">
        <v>27930</v>
      </c>
      <c r="G1383" s="133">
        <f>Tabla147[[#This Row],[Importe]]-Tabla147[[#This Row],[Pagado]]</f>
        <v>0</v>
      </c>
      <c r="H1383" s="134" t="s">
        <v>10</v>
      </c>
      <c r="I1383" s="135"/>
    </row>
    <row r="1384" spans="1:9" ht="21.75" customHeight="1" x14ac:dyDescent="0.25">
      <c r="A1384" s="127">
        <v>44725</v>
      </c>
      <c r="B1384" s="128" t="s">
        <v>19224</v>
      </c>
      <c r="C1384" s="129" t="s">
        <v>312</v>
      </c>
      <c r="D1384" s="130">
        <v>5168</v>
      </c>
      <c r="E1384" s="131">
        <v>44725</v>
      </c>
      <c r="F1384" s="132">
        <v>5168</v>
      </c>
      <c r="G1384" s="133">
        <f>Tabla147[[#This Row],[Importe]]-Tabla147[[#This Row],[Pagado]]</f>
        <v>0</v>
      </c>
      <c r="H1384" s="134" t="s">
        <v>10</v>
      </c>
      <c r="I1384" s="135"/>
    </row>
    <row r="1385" spans="1:9" ht="21.75" customHeight="1" x14ac:dyDescent="0.25">
      <c r="A1385" s="127">
        <v>44725</v>
      </c>
      <c r="B1385" s="128" t="s">
        <v>19225</v>
      </c>
      <c r="C1385" s="129" t="s">
        <v>216</v>
      </c>
      <c r="D1385" s="130">
        <v>1870</v>
      </c>
      <c r="E1385" s="131">
        <v>44725</v>
      </c>
      <c r="F1385" s="132">
        <v>1870</v>
      </c>
      <c r="G1385" s="133">
        <f>Tabla147[[#This Row],[Importe]]-Tabla147[[#This Row],[Pagado]]</f>
        <v>0</v>
      </c>
      <c r="H1385" s="134" t="s">
        <v>10</v>
      </c>
      <c r="I1385" s="135"/>
    </row>
    <row r="1386" spans="1:9" ht="21.75" customHeight="1" x14ac:dyDescent="0.25">
      <c r="A1386" s="127">
        <v>44725</v>
      </c>
      <c r="B1386" s="128" t="s">
        <v>19226</v>
      </c>
      <c r="C1386" s="129" t="s">
        <v>857</v>
      </c>
      <c r="D1386" s="130">
        <v>396.6</v>
      </c>
      <c r="E1386" s="131">
        <v>44725</v>
      </c>
      <c r="F1386" s="132">
        <v>396.6</v>
      </c>
      <c r="G1386" s="133">
        <f>Tabla147[[#This Row],[Importe]]-Tabla147[[#This Row],[Pagado]]</f>
        <v>0</v>
      </c>
      <c r="H1386" s="134" t="s">
        <v>10</v>
      </c>
      <c r="I1386" s="135"/>
    </row>
    <row r="1387" spans="1:9" ht="21.75" customHeight="1" x14ac:dyDescent="0.25">
      <c r="A1387" s="127">
        <v>44725</v>
      </c>
      <c r="B1387" s="128" t="s">
        <v>19227</v>
      </c>
      <c r="C1387" s="129" t="s">
        <v>127</v>
      </c>
      <c r="D1387" s="130">
        <v>4805.8</v>
      </c>
      <c r="E1387" s="131">
        <v>44725</v>
      </c>
      <c r="F1387" s="132">
        <v>4805.8</v>
      </c>
      <c r="G1387" s="133">
        <f>Tabla147[[#This Row],[Importe]]-Tabla147[[#This Row],[Pagado]]</f>
        <v>0</v>
      </c>
      <c r="H1387" s="134" t="s">
        <v>10</v>
      </c>
      <c r="I1387" s="135"/>
    </row>
    <row r="1388" spans="1:9" ht="21.75" customHeight="1" x14ac:dyDescent="0.25">
      <c r="A1388" s="127">
        <v>44725</v>
      </c>
      <c r="B1388" s="128" t="s">
        <v>19228</v>
      </c>
      <c r="C1388" s="129" t="s">
        <v>140</v>
      </c>
      <c r="D1388" s="130">
        <v>719.2</v>
      </c>
      <c r="E1388" s="131">
        <v>44725</v>
      </c>
      <c r="F1388" s="132">
        <v>719.2</v>
      </c>
      <c r="G1388" s="133">
        <f>Tabla147[[#This Row],[Importe]]-Tabla147[[#This Row],[Pagado]]</f>
        <v>0</v>
      </c>
      <c r="H1388" s="134" t="s">
        <v>10</v>
      </c>
      <c r="I1388" s="135"/>
    </row>
    <row r="1389" spans="1:9" ht="21.75" customHeight="1" x14ac:dyDescent="0.25">
      <c r="A1389" s="127">
        <v>44725</v>
      </c>
      <c r="B1389" s="128" t="s">
        <v>19229</v>
      </c>
      <c r="C1389" s="129" t="s">
        <v>129</v>
      </c>
      <c r="D1389" s="130">
        <v>845</v>
      </c>
      <c r="E1389" s="131">
        <v>44725</v>
      </c>
      <c r="F1389" s="132">
        <v>845</v>
      </c>
      <c r="G1389" s="133">
        <f>Tabla147[[#This Row],[Importe]]-Tabla147[[#This Row],[Pagado]]</f>
        <v>0</v>
      </c>
      <c r="H1389" s="134" t="s">
        <v>10</v>
      </c>
      <c r="I1389" s="135"/>
    </row>
    <row r="1390" spans="1:9" ht="21.75" customHeight="1" x14ac:dyDescent="0.25">
      <c r="A1390" s="127">
        <v>44725</v>
      </c>
      <c r="B1390" s="128" t="s">
        <v>19230</v>
      </c>
      <c r="C1390" s="129" t="s">
        <v>357</v>
      </c>
      <c r="D1390" s="130">
        <v>393.9</v>
      </c>
      <c r="E1390" s="131">
        <v>44725</v>
      </c>
      <c r="F1390" s="132">
        <v>393.9</v>
      </c>
      <c r="G1390" s="133">
        <f>Tabla147[[#This Row],[Importe]]-Tabla147[[#This Row],[Pagado]]</f>
        <v>0</v>
      </c>
      <c r="H1390" s="134" t="s">
        <v>10</v>
      </c>
      <c r="I1390" s="135"/>
    </row>
    <row r="1391" spans="1:9" ht="21.75" customHeight="1" x14ac:dyDescent="0.25">
      <c r="A1391" s="127">
        <v>44725</v>
      </c>
      <c r="B1391" s="128" t="s">
        <v>19231</v>
      </c>
      <c r="C1391" s="129" t="s">
        <v>107</v>
      </c>
      <c r="D1391" s="130">
        <v>14748</v>
      </c>
      <c r="E1391" s="131">
        <v>44725</v>
      </c>
      <c r="F1391" s="132">
        <v>14748</v>
      </c>
      <c r="G1391" s="133">
        <f>Tabla147[[#This Row],[Importe]]-Tabla147[[#This Row],[Pagado]]</f>
        <v>0</v>
      </c>
      <c r="H1391" s="134" t="s">
        <v>10</v>
      </c>
      <c r="I1391" s="135"/>
    </row>
    <row r="1392" spans="1:9" ht="21.75" customHeight="1" x14ac:dyDescent="0.25">
      <c r="A1392" s="127">
        <v>44725</v>
      </c>
      <c r="B1392" s="128" t="s">
        <v>19232</v>
      </c>
      <c r="C1392" s="129" t="s">
        <v>357</v>
      </c>
      <c r="D1392" s="130">
        <v>1214.0999999999999</v>
      </c>
      <c r="E1392" s="131">
        <v>44725</v>
      </c>
      <c r="F1392" s="132">
        <v>1214.0999999999999</v>
      </c>
      <c r="G1392" s="133">
        <f>Tabla147[[#This Row],[Importe]]-Tabla147[[#This Row],[Pagado]]</f>
        <v>0</v>
      </c>
      <c r="H1392" s="134" t="s">
        <v>10</v>
      </c>
      <c r="I1392" s="135"/>
    </row>
    <row r="1393" spans="1:9" ht="21.75" customHeight="1" x14ac:dyDescent="0.25">
      <c r="A1393" s="127">
        <v>44725</v>
      </c>
      <c r="B1393" s="128" t="s">
        <v>19233</v>
      </c>
      <c r="C1393" s="129" t="s">
        <v>289</v>
      </c>
      <c r="D1393" s="130">
        <v>8678.6</v>
      </c>
      <c r="E1393" s="131">
        <v>44725</v>
      </c>
      <c r="F1393" s="132">
        <v>8678.6</v>
      </c>
      <c r="G1393" s="133">
        <f>Tabla147[[#This Row],[Importe]]-Tabla147[[#This Row],[Pagado]]</f>
        <v>0</v>
      </c>
      <c r="H1393" s="134" t="s">
        <v>10</v>
      </c>
      <c r="I1393" s="135"/>
    </row>
    <row r="1394" spans="1:9" ht="21.75" customHeight="1" x14ac:dyDescent="0.25">
      <c r="A1394" s="127">
        <v>44725</v>
      </c>
      <c r="B1394" s="128" t="s">
        <v>19234</v>
      </c>
      <c r="C1394" s="129" t="s">
        <v>240</v>
      </c>
      <c r="D1394" s="130">
        <v>7920</v>
      </c>
      <c r="E1394" s="131">
        <v>44725</v>
      </c>
      <c r="F1394" s="132">
        <v>7920</v>
      </c>
      <c r="G1394" s="133">
        <f>Tabla147[[#This Row],[Importe]]-Tabla147[[#This Row],[Pagado]]</f>
        <v>0</v>
      </c>
      <c r="H1394" s="134" t="s">
        <v>10</v>
      </c>
      <c r="I1394" s="135"/>
    </row>
    <row r="1395" spans="1:9" ht="21.75" customHeight="1" x14ac:dyDescent="0.25">
      <c r="A1395" s="127">
        <v>44725</v>
      </c>
      <c r="B1395" s="128" t="s">
        <v>19235</v>
      </c>
      <c r="C1395" s="129" t="s">
        <v>140</v>
      </c>
      <c r="D1395" s="130">
        <v>1171.5</v>
      </c>
      <c r="E1395" s="131">
        <v>44725</v>
      </c>
      <c r="F1395" s="132">
        <v>1171.5</v>
      </c>
      <c r="G1395" s="133">
        <f>Tabla147[[#This Row],[Importe]]-Tabla147[[#This Row],[Pagado]]</f>
        <v>0</v>
      </c>
      <c r="H1395" s="134" t="s">
        <v>10</v>
      </c>
      <c r="I1395" s="135"/>
    </row>
    <row r="1396" spans="1:9" ht="21.75" customHeight="1" x14ac:dyDescent="0.25">
      <c r="A1396" s="127">
        <v>44725</v>
      </c>
      <c r="B1396" s="128" t="s">
        <v>19236</v>
      </c>
      <c r="C1396" s="129" t="s">
        <v>129</v>
      </c>
      <c r="D1396" s="130">
        <v>1945.4</v>
      </c>
      <c r="E1396" s="131">
        <v>44725</v>
      </c>
      <c r="F1396" s="132">
        <v>1945.4</v>
      </c>
      <c r="G1396" s="133">
        <f>Tabla147[[#This Row],[Importe]]-Tabla147[[#This Row],[Pagado]]</f>
        <v>0</v>
      </c>
      <c r="H1396" s="134" t="s">
        <v>10</v>
      </c>
      <c r="I1396" s="135"/>
    </row>
    <row r="1397" spans="1:9" ht="21.75" customHeight="1" x14ac:dyDescent="0.25">
      <c r="A1397" s="127">
        <v>44725</v>
      </c>
      <c r="B1397" s="128" t="s">
        <v>19237</v>
      </c>
      <c r="C1397" s="129" t="s">
        <v>200</v>
      </c>
      <c r="D1397" s="130">
        <v>666.4</v>
      </c>
      <c r="E1397" s="131">
        <v>44726</v>
      </c>
      <c r="F1397" s="132">
        <v>666.4</v>
      </c>
      <c r="G1397" s="133">
        <f>Tabla147[[#This Row],[Importe]]-Tabla147[[#This Row],[Pagado]]</f>
        <v>0</v>
      </c>
      <c r="H1397" s="134" t="s">
        <v>10</v>
      </c>
      <c r="I1397" s="135"/>
    </row>
    <row r="1398" spans="1:9" ht="21.75" customHeight="1" x14ac:dyDescent="0.25">
      <c r="A1398" s="127">
        <v>44725</v>
      </c>
      <c r="B1398" s="128" t="s">
        <v>19238</v>
      </c>
      <c r="C1398" s="129" t="s">
        <v>1362</v>
      </c>
      <c r="D1398" s="130">
        <v>3550</v>
      </c>
      <c r="E1398" s="131">
        <v>44725</v>
      </c>
      <c r="F1398" s="132">
        <v>3550</v>
      </c>
      <c r="G1398" s="133">
        <f>Tabla147[[#This Row],[Importe]]-Tabla147[[#This Row],[Pagado]]</f>
        <v>0</v>
      </c>
      <c r="H1398" s="134" t="s">
        <v>10</v>
      </c>
      <c r="I1398" s="135"/>
    </row>
    <row r="1399" spans="1:9" ht="21.75" customHeight="1" x14ac:dyDescent="0.25">
      <c r="A1399" s="127">
        <v>44725</v>
      </c>
      <c r="B1399" s="128" t="s">
        <v>19239</v>
      </c>
      <c r="C1399" s="129" t="s">
        <v>214</v>
      </c>
      <c r="D1399" s="130">
        <v>12107.5</v>
      </c>
      <c r="E1399" s="131">
        <v>44725</v>
      </c>
      <c r="F1399" s="132">
        <v>12107.5</v>
      </c>
      <c r="G1399" s="133">
        <f>Tabla147[[#This Row],[Importe]]-Tabla147[[#This Row],[Pagado]]</f>
        <v>0</v>
      </c>
      <c r="H1399" s="134" t="s">
        <v>10</v>
      </c>
      <c r="I1399" s="135"/>
    </row>
    <row r="1400" spans="1:9" ht="21.75" customHeight="1" x14ac:dyDescent="0.25">
      <c r="A1400" s="127">
        <v>44725</v>
      </c>
      <c r="B1400" s="128" t="s">
        <v>19240</v>
      </c>
      <c r="C1400" s="129" t="s">
        <v>31</v>
      </c>
      <c r="D1400" s="130">
        <v>2092.4</v>
      </c>
      <c r="E1400" s="131">
        <v>44725</v>
      </c>
      <c r="F1400" s="132">
        <v>2092.4</v>
      </c>
      <c r="G1400" s="133">
        <f>Tabla147[[#This Row],[Importe]]-Tabla147[[#This Row],[Pagado]]</f>
        <v>0</v>
      </c>
      <c r="H1400" s="134" t="s">
        <v>10</v>
      </c>
      <c r="I1400" s="135"/>
    </row>
    <row r="1401" spans="1:9" ht="21.75" customHeight="1" x14ac:dyDescent="0.25">
      <c r="A1401" s="127">
        <v>44725</v>
      </c>
      <c r="B1401" s="128" t="s">
        <v>19241</v>
      </c>
      <c r="C1401" s="129" t="s">
        <v>3747</v>
      </c>
      <c r="D1401" s="130">
        <v>20756.2</v>
      </c>
      <c r="E1401" s="131">
        <v>44725</v>
      </c>
      <c r="F1401" s="132">
        <v>20756.2</v>
      </c>
      <c r="G1401" s="133">
        <f>Tabla147[[#This Row],[Importe]]-Tabla147[[#This Row],[Pagado]]</f>
        <v>0</v>
      </c>
      <c r="H1401" s="134" t="s">
        <v>10</v>
      </c>
      <c r="I1401" s="135"/>
    </row>
    <row r="1402" spans="1:9" ht="21.75" customHeight="1" x14ac:dyDescent="0.25">
      <c r="A1402" s="127">
        <v>44725</v>
      </c>
      <c r="B1402" s="128" t="s">
        <v>19242</v>
      </c>
      <c r="C1402" s="129" t="s">
        <v>419</v>
      </c>
      <c r="D1402" s="130">
        <v>8010.9</v>
      </c>
      <c r="E1402" s="131">
        <v>44725</v>
      </c>
      <c r="F1402" s="132">
        <v>8010.9</v>
      </c>
      <c r="G1402" s="133">
        <f>Tabla147[[#This Row],[Importe]]-Tabla147[[#This Row],[Pagado]]</f>
        <v>0</v>
      </c>
      <c r="H1402" s="134" t="s">
        <v>10</v>
      </c>
      <c r="I1402" s="135"/>
    </row>
    <row r="1403" spans="1:9" ht="21.75" customHeight="1" x14ac:dyDescent="0.25">
      <c r="A1403" s="127">
        <v>44725</v>
      </c>
      <c r="B1403" s="128" t="s">
        <v>19243</v>
      </c>
      <c r="C1403" s="129" t="s">
        <v>181</v>
      </c>
      <c r="D1403" s="130">
        <v>11489</v>
      </c>
      <c r="E1403" s="131">
        <v>44726</v>
      </c>
      <c r="F1403" s="132">
        <v>11489</v>
      </c>
      <c r="G1403" s="133">
        <f>Tabla147[[#This Row],[Importe]]-Tabla147[[#This Row],[Pagado]]</f>
        <v>0</v>
      </c>
      <c r="H1403" s="134" t="s">
        <v>10</v>
      </c>
      <c r="I1403" s="135"/>
    </row>
    <row r="1404" spans="1:9" ht="21.75" customHeight="1" x14ac:dyDescent="0.25">
      <c r="A1404" s="127">
        <v>44725</v>
      </c>
      <c r="B1404" s="128" t="s">
        <v>19244</v>
      </c>
      <c r="C1404" s="129" t="s">
        <v>359</v>
      </c>
      <c r="D1404" s="130">
        <v>1076.4000000000001</v>
      </c>
      <c r="E1404" s="131">
        <v>44726</v>
      </c>
      <c r="F1404" s="132">
        <v>1076.4000000000001</v>
      </c>
      <c r="G1404" s="133">
        <f>Tabla147[[#This Row],[Importe]]-Tabla147[[#This Row],[Pagado]]</f>
        <v>0</v>
      </c>
      <c r="H1404" s="134" t="s">
        <v>10</v>
      </c>
      <c r="I1404" s="135"/>
    </row>
    <row r="1405" spans="1:9" ht="21.75" customHeight="1" x14ac:dyDescent="0.25">
      <c r="A1405" s="127">
        <v>44725</v>
      </c>
      <c r="B1405" s="128" t="s">
        <v>19245</v>
      </c>
      <c r="C1405" s="129" t="s">
        <v>58</v>
      </c>
      <c r="D1405" s="130">
        <v>2689.2</v>
      </c>
      <c r="E1405" s="131">
        <v>44725</v>
      </c>
      <c r="F1405" s="132">
        <v>2689.2</v>
      </c>
      <c r="G1405" s="133">
        <f>Tabla147[[#This Row],[Importe]]-Tabla147[[#This Row],[Pagado]]</f>
        <v>0</v>
      </c>
      <c r="H1405" s="134" t="s">
        <v>10</v>
      </c>
      <c r="I1405" s="135"/>
    </row>
    <row r="1406" spans="1:9" ht="21.75" customHeight="1" x14ac:dyDescent="0.25">
      <c r="A1406" s="127">
        <v>44725</v>
      </c>
      <c r="B1406" s="128" t="s">
        <v>19246</v>
      </c>
      <c r="C1406" s="129" t="s">
        <v>3747</v>
      </c>
      <c r="D1406" s="130">
        <v>201.6</v>
      </c>
      <c r="E1406" s="131">
        <v>44725</v>
      </c>
      <c r="F1406" s="132">
        <v>201.6</v>
      </c>
      <c r="G1406" s="133">
        <f>Tabla147[[#This Row],[Importe]]-Tabla147[[#This Row],[Pagado]]</f>
        <v>0</v>
      </c>
      <c r="H1406" s="134" t="s">
        <v>10</v>
      </c>
      <c r="I1406" s="135"/>
    </row>
    <row r="1407" spans="1:9" ht="21.75" customHeight="1" x14ac:dyDescent="0.25">
      <c r="A1407" s="127">
        <v>44725</v>
      </c>
      <c r="B1407" s="128" t="s">
        <v>19247</v>
      </c>
      <c r="C1407" s="129" t="s">
        <v>5286</v>
      </c>
      <c r="D1407" s="130">
        <v>0</v>
      </c>
      <c r="E1407" s="136" t="s">
        <v>189</v>
      </c>
      <c r="F1407" s="132">
        <v>0</v>
      </c>
      <c r="G1407" s="133">
        <f>Tabla147[[#This Row],[Importe]]-Tabla147[[#This Row],[Pagado]]</f>
        <v>0</v>
      </c>
      <c r="H1407" s="134" t="s">
        <v>189</v>
      </c>
      <c r="I1407" s="135"/>
    </row>
    <row r="1408" spans="1:9" ht="21.75" customHeight="1" x14ac:dyDescent="0.25">
      <c r="A1408" s="127">
        <v>44725</v>
      </c>
      <c r="B1408" s="128" t="s">
        <v>19248</v>
      </c>
      <c r="C1408" s="129" t="s">
        <v>212</v>
      </c>
      <c r="D1408" s="130">
        <v>41890.800000000003</v>
      </c>
      <c r="E1408" s="131">
        <v>44727</v>
      </c>
      <c r="F1408" s="132">
        <v>41890.800000000003</v>
      </c>
      <c r="G1408" s="133">
        <f>Tabla147[[#This Row],[Importe]]-Tabla147[[#This Row],[Pagado]]</f>
        <v>0</v>
      </c>
      <c r="H1408" s="134" t="s">
        <v>10</v>
      </c>
      <c r="I1408" s="135"/>
    </row>
    <row r="1409" spans="1:9" ht="21.75" customHeight="1" x14ac:dyDescent="0.25">
      <c r="A1409" s="127">
        <v>44725</v>
      </c>
      <c r="B1409" s="128" t="s">
        <v>19249</v>
      </c>
      <c r="C1409" s="129" t="s">
        <v>5345</v>
      </c>
      <c r="D1409" s="130">
        <v>2495.6</v>
      </c>
      <c r="E1409" s="131">
        <v>44726</v>
      </c>
      <c r="F1409" s="132">
        <v>2495.6</v>
      </c>
      <c r="G1409" s="133">
        <f>Tabla147[[#This Row],[Importe]]-Tabla147[[#This Row],[Pagado]]</f>
        <v>0</v>
      </c>
      <c r="H1409" s="134" t="s">
        <v>10</v>
      </c>
      <c r="I1409" s="135"/>
    </row>
    <row r="1410" spans="1:9" ht="21.75" customHeight="1" x14ac:dyDescent="0.25">
      <c r="A1410" s="127">
        <v>44725</v>
      </c>
      <c r="B1410" s="128" t="s">
        <v>19250</v>
      </c>
      <c r="C1410" s="129" t="s">
        <v>284</v>
      </c>
      <c r="D1410" s="130">
        <v>3325.2</v>
      </c>
      <c r="E1410" s="131">
        <v>44726</v>
      </c>
      <c r="F1410" s="132">
        <v>3325.2</v>
      </c>
      <c r="G1410" s="133">
        <f>Tabla147[[#This Row],[Importe]]-Tabla147[[#This Row],[Pagado]]</f>
        <v>0</v>
      </c>
      <c r="H1410" s="134" t="s">
        <v>10</v>
      </c>
      <c r="I1410" s="135"/>
    </row>
    <row r="1411" spans="1:9" ht="21.75" customHeight="1" x14ac:dyDescent="0.25">
      <c r="A1411" s="127">
        <v>44725</v>
      </c>
      <c r="B1411" s="128" t="s">
        <v>19251</v>
      </c>
      <c r="C1411" s="129" t="s">
        <v>282</v>
      </c>
      <c r="D1411" s="130">
        <v>2774.4</v>
      </c>
      <c r="E1411" s="131">
        <v>44726</v>
      </c>
      <c r="F1411" s="132">
        <v>2774.4</v>
      </c>
      <c r="G1411" s="133">
        <f>Tabla147[[#This Row],[Importe]]-Tabla147[[#This Row],[Pagado]]</f>
        <v>0</v>
      </c>
      <c r="H1411" s="134" t="s">
        <v>10</v>
      </c>
      <c r="I1411" s="135"/>
    </row>
    <row r="1412" spans="1:9" ht="21.75" customHeight="1" x14ac:dyDescent="0.25">
      <c r="A1412" s="127">
        <v>44725</v>
      </c>
      <c r="B1412" s="128" t="s">
        <v>19252</v>
      </c>
      <c r="C1412" s="129" t="s">
        <v>280</v>
      </c>
      <c r="D1412" s="130">
        <v>625.6</v>
      </c>
      <c r="E1412" s="131">
        <v>44726</v>
      </c>
      <c r="F1412" s="132">
        <v>625.6</v>
      </c>
      <c r="G1412" s="133">
        <f>Tabla147[[#This Row],[Importe]]-Tabla147[[#This Row],[Pagado]]</f>
        <v>0</v>
      </c>
      <c r="H1412" s="134" t="s">
        <v>10</v>
      </c>
      <c r="I1412" s="135"/>
    </row>
    <row r="1413" spans="1:9" ht="21.75" customHeight="1" x14ac:dyDescent="0.25">
      <c r="A1413" s="127">
        <v>44725</v>
      </c>
      <c r="B1413" s="128" t="s">
        <v>19253</v>
      </c>
      <c r="C1413" s="129" t="s">
        <v>407</v>
      </c>
      <c r="D1413" s="130">
        <v>54849.8</v>
      </c>
      <c r="E1413" s="131">
        <v>44732</v>
      </c>
      <c r="F1413" s="132">
        <v>54849.8</v>
      </c>
      <c r="G1413" s="133">
        <f>Tabla147[[#This Row],[Importe]]-Tabla147[[#This Row],[Pagado]]</f>
        <v>0</v>
      </c>
      <c r="H1413" s="134" t="s">
        <v>10</v>
      </c>
      <c r="I1413" s="135"/>
    </row>
    <row r="1414" spans="1:9" ht="21.75" customHeight="1" x14ac:dyDescent="0.25">
      <c r="A1414" s="127">
        <v>44725</v>
      </c>
      <c r="B1414" s="128" t="s">
        <v>19254</v>
      </c>
      <c r="C1414" s="129" t="s">
        <v>31</v>
      </c>
      <c r="D1414" s="130">
        <v>1150</v>
      </c>
      <c r="E1414" s="131">
        <v>44725</v>
      </c>
      <c r="F1414" s="132">
        <v>1150</v>
      </c>
      <c r="G1414" s="133">
        <f>Tabla147[[#This Row],[Importe]]-Tabla147[[#This Row],[Pagado]]</f>
        <v>0</v>
      </c>
      <c r="H1414" s="134" t="s">
        <v>10</v>
      </c>
      <c r="I1414" s="135"/>
    </row>
    <row r="1415" spans="1:9" ht="21.75" customHeight="1" x14ac:dyDescent="0.25">
      <c r="A1415" s="127">
        <v>44725</v>
      </c>
      <c r="B1415" s="128" t="s">
        <v>19255</v>
      </c>
      <c r="C1415" s="129" t="s">
        <v>2114</v>
      </c>
      <c r="D1415" s="130">
        <v>1759.8</v>
      </c>
      <c r="E1415" s="131">
        <v>44725</v>
      </c>
      <c r="F1415" s="132">
        <v>1759.8</v>
      </c>
      <c r="G1415" s="133">
        <f>Tabla147[[#This Row],[Importe]]-Tabla147[[#This Row],[Pagado]]</f>
        <v>0</v>
      </c>
      <c r="H1415" s="134" t="s">
        <v>10</v>
      </c>
      <c r="I1415" s="135"/>
    </row>
    <row r="1416" spans="1:9" ht="21.75" customHeight="1" x14ac:dyDescent="0.25">
      <c r="A1416" s="127">
        <v>44725</v>
      </c>
      <c r="B1416" s="128" t="s">
        <v>19256</v>
      </c>
      <c r="C1416" s="129" t="s">
        <v>698</v>
      </c>
      <c r="D1416" s="130">
        <v>6041.7</v>
      </c>
      <c r="E1416" s="131">
        <v>44725</v>
      </c>
      <c r="F1416" s="132">
        <v>6041.7</v>
      </c>
      <c r="G1416" s="133">
        <f>Tabla147[[#This Row],[Importe]]-Tabla147[[#This Row],[Pagado]]</f>
        <v>0</v>
      </c>
      <c r="H1416" s="134" t="s">
        <v>10</v>
      </c>
      <c r="I1416" s="135"/>
    </row>
    <row r="1417" spans="1:9" ht="21.75" customHeight="1" x14ac:dyDescent="0.25">
      <c r="A1417" s="127">
        <v>44725</v>
      </c>
      <c r="B1417" s="128" t="s">
        <v>19257</v>
      </c>
      <c r="C1417" s="129" t="s">
        <v>67</v>
      </c>
      <c r="D1417" s="130">
        <v>618.79999999999995</v>
      </c>
      <c r="E1417" s="131">
        <v>44725</v>
      </c>
      <c r="F1417" s="132">
        <v>618.79999999999995</v>
      </c>
      <c r="G1417" s="133">
        <f>Tabla147[[#This Row],[Importe]]-Tabla147[[#This Row],[Pagado]]</f>
        <v>0</v>
      </c>
      <c r="H1417" s="134" t="s">
        <v>10</v>
      </c>
      <c r="I1417" s="135"/>
    </row>
    <row r="1418" spans="1:9" ht="21.75" customHeight="1" x14ac:dyDescent="0.25">
      <c r="A1418" s="127">
        <v>44725</v>
      </c>
      <c r="B1418" s="128" t="s">
        <v>19258</v>
      </c>
      <c r="C1418" s="129" t="s">
        <v>208</v>
      </c>
      <c r="D1418" s="130">
        <v>10587.1</v>
      </c>
      <c r="E1418" s="131">
        <v>44729</v>
      </c>
      <c r="F1418" s="132">
        <v>10587.1</v>
      </c>
      <c r="G1418" s="133">
        <f>Tabla147[[#This Row],[Importe]]-Tabla147[[#This Row],[Pagado]]</f>
        <v>0</v>
      </c>
      <c r="H1418" s="134" t="s">
        <v>10</v>
      </c>
      <c r="I1418" s="135"/>
    </row>
    <row r="1419" spans="1:9" ht="21.75" customHeight="1" x14ac:dyDescent="0.25">
      <c r="A1419" s="127">
        <v>44725</v>
      </c>
      <c r="B1419" s="128" t="s">
        <v>19259</v>
      </c>
      <c r="C1419" s="129" t="s">
        <v>681</v>
      </c>
      <c r="D1419" s="130">
        <v>10.75</v>
      </c>
      <c r="E1419" s="131">
        <v>44733</v>
      </c>
      <c r="F1419" s="132">
        <v>10.75</v>
      </c>
      <c r="G1419" s="133">
        <f>Tabla147[[#This Row],[Importe]]-Tabla147[[#This Row],[Pagado]]</f>
        <v>0</v>
      </c>
      <c r="H1419" s="134" t="s">
        <v>10</v>
      </c>
      <c r="I1419" s="135"/>
    </row>
    <row r="1420" spans="1:9" ht="21.75" customHeight="1" x14ac:dyDescent="0.25">
      <c r="A1420" s="127">
        <v>44725</v>
      </c>
      <c r="B1420" s="128" t="s">
        <v>19260</v>
      </c>
      <c r="C1420" s="129" t="s">
        <v>218</v>
      </c>
      <c r="D1420" s="130">
        <v>21438.1</v>
      </c>
      <c r="E1420" s="131">
        <v>44728</v>
      </c>
      <c r="F1420" s="132">
        <v>21438.1</v>
      </c>
      <c r="G1420" s="133">
        <f>Tabla147[[#This Row],[Importe]]-Tabla147[[#This Row],[Pagado]]</f>
        <v>0</v>
      </c>
      <c r="H1420" s="134" t="s">
        <v>10</v>
      </c>
      <c r="I1420" s="135"/>
    </row>
    <row r="1421" spans="1:9" ht="21.75" customHeight="1" x14ac:dyDescent="0.25">
      <c r="A1421" s="127">
        <v>44725</v>
      </c>
      <c r="B1421" s="128" t="s">
        <v>19261</v>
      </c>
      <c r="C1421" s="129" t="s">
        <v>10678</v>
      </c>
      <c r="D1421" s="130">
        <v>4423.1000000000004</v>
      </c>
      <c r="E1421" s="131">
        <v>44725</v>
      </c>
      <c r="F1421" s="132">
        <v>4423.1000000000004</v>
      </c>
      <c r="G1421" s="133">
        <f>Tabla147[[#This Row],[Importe]]-Tabla147[[#This Row],[Pagado]]</f>
        <v>0</v>
      </c>
      <c r="H1421" s="134" t="s">
        <v>10</v>
      </c>
      <c r="I1421" s="135"/>
    </row>
    <row r="1422" spans="1:9" ht="21.75" customHeight="1" x14ac:dyDescent="0.25">
      <c r="A1422" s="127">
        <v>44725</v>
      </c>
      <c r="B1422" s="128" t="s">
        <v>19262</v>
      </c>
      <c r="C1422" s="129" t="s">
        <v>654</v>
      </c>
      <c r="D1422" s="130">
        <v>1777</v>
      </c>
      <c r="E1422" s="131">
        <v>44729</v>
      </c>
      <c r="F1422" s="132">
        <v>1777</v>
      </c>
      <c r="G1422" s="133">
        <f>Tabla147[[#This Row],[Importe]]-Tabla147[[#This Row],[Pagado]]</f>
        <v>0</v>
      </c>
      <c r="H1422" s="134" t="s">
        <v>10</v>
      </c>
      <c r="I1422" s="135"/>
    </row>
    <row r="1423" spans="1:9" ht="21.75" customHeight="1" x14ac:dyDescent="0.25">
      <c r="A1423" s="127">
        <v>44725</v>
      </c>
      <c r="B1423" s="128" t="s">
        <v>19263</v>
      </c>
      <c r="C1423" s="129" t="s">
        <v>206</v>
      </c>
      <c r="D1423" s="130">
        <v>32937</v>
      </c>
      <c r="E1423" s="131">
        <v>44728</v>
      </c>
      <c r="F1423" s="132">
        <v>32937</v>
      </c>
      <c r="G1423" s="133">
        <f>Tabla147[[#This Row],[Importe]]-Tabla147[[#This Row],[Pagado]]</f>
        <v>0</v>
      </c>
      <c r="H1423" s="134" t="s">
        <v>10</v>
      </c>
      <c r="I1423" s="135"/>
    </row>
    <row r="1424" spans="1:9" ht="21.75" customHeight="1" x14ac:dyDescent="0.25">
      <c r="A1424" s="127">
        <v>44725</v>
      </c>
      <c r="B1424" s="128" t="s">
        <v>19264</v>
      </c>
      <c r="C1424" s="129" t="s">
        <v>135</v>
      </c>
      <c r="D1424" s="130">
        <v>1330.8</v>
      </c>
      <c r="E1424" s="131">
        <v>44725</v>
      </c>
      <c r="F1424" s="132">
        <v>1330.8</v>
      </c>
      <c r="G1424" s="133">
        <f>Tabla147[[#This Row],[Importe]]-Tabla147[[#This Row],[Pagado]]</f>
        <v>0</v>
      </c>
      <c r="H1424" s="134" t="s">
        <v>10</v>
      </c>
      <c r="I1424" s="135"/>
    </row>
    <row r="1425" spans="1:9" ht="21.75" customHeight="1" x14ac:dyDescent="0.25">
      <c r="A1425" s="127">
        <v>44725</v>
      </c>
      <c r="B1425" s="128" t="s">
        <v>19265</v>
      </c>
      <c r="C1425" s="129" t="s">
        <v>154</v>
      </c>
      <c r="D1425" s="130">
        <v>24777</v>
      </c>
      <c r="E1425" s="131">
        <v>44728</v>
      </c>
      <c r="F1425" s="132">
        <v>24777</v>
      </c>
      <c r="G1425" s="133">
        <f>Tabla147[[#This Row],[Importe]]-Tabla147[[#This Row],[Pagado]]</f>
        <v>0</v>
      </c>
      <c r="H1425" s="134" t="s">
        <v>10</v>
      </c>
      <c r="I1425" s="135"/>
    </row>
    <row r="1426" spans="1:9" ht="21.75" customHeight="1" x14ac:dyDescent="0.25">
      <c r="A1426" s="127">
        <v>44725</v>
      </c>
      <c r="B1426" s="128" t="s">
        <v>19266</v>
      </c>
      <c r="C1426" s="129" t="s">
        <v>53</v>
      </c>
      <c r="D1426" s="130">
        <v>2190.3000000000002</v>
      </c>
      <c r="E1426" s="131">
        <v>44725</v>
      </c>
      <c r="F1426" s="132">
        <v>2190.3000000000002</v>
      </c>
      <c r="G1426" s="133">
        <f>Tabla147[[#This Row],[Importe]]-Tabla147[[#This Row],[Pagado]]</f>
        <v>0</v>
      </c>
      <c r="H1426" s="134" t="s">
        <v>10</v>
      </c>
      <c r="I1426" s="135"/>
    </row>
    <row r="1427" spans="1:9" ht="21.75" customHeight="1" x14ac:dyDescent="0.25">
      <c r="A1427" s="127">
        <v>44725</v>
      </c>
      <c r="B1427" s="128" t="s">
        <v>19267</v>
      </c>
      <c r="C1427" s="129" t="s">
        <v>407</v>
      </c>
      <c r="D1427" s="130">
        <v>16650</v>
      </c>
      <c r="E1427" s="131">
        <v>44732</v>
      </c>
      <c r="F1427" s="132">
        <v>16650</v>
      </c>
      <c r="G1427" s="133">
        <f>Tabla147[[#This Row],[Importe]]-Tabla147[[#This Row],[Pagado]]</f>
        <v>0</v>
      </c>
      <c r="H1427" s="134" t="s">
        <v>10</v>
      </c>
      <c r="I1427" s="135"/>
    </row>
    <row r="1428" spans="1:9" ht="21.75" customHeight="1" x14ac:dyDescent="0.25">
      <c r="A1428" s="127">
        <v>44725</v>
      </c>
      <c r="B1428" s="128" t="s">
        <v>19268</v>
      </c>
      <c r="C1428" s="129" t="s">
        <v>16</v>
      </c>
      <c r="D1428" s="130">
        <v>657.6</v>
      </c>
      <c r="E1428" s="131">
        <v>44725</v>
      </c>
      <c r="F1428" s="132">
        <v>657.6</v>
      </c>
      <c r="G1428" s="133">
        <f>Tabla147[[#This Row],[Importe]]-Tabla147[[#This Row],[Pagado]]</f>
        <v>0</v>
      </c>
      <c r="H1428" s="134" t="s">
        <v>10</v>
      </c>
      <c r="I1428" s="135"/>
    </row>
    <row r="1429" spans="1:9" ht="21.75" customHeight="1" x14ac:dyDescent="0.25">
      <c r="A1429" s="127">
        <v>44725</v>
      </c>
      <c r="B1429" s="128" t="s">
        <v>19269</v>
      </c>
      <c r="C1429" s="129" t="s">
        <v>7295</v>
      </c>
      <c r="D1429" s="130">
        <v>7296.4</v>
      </c>
      <c r="E1429" s="131">
        <v>44725</v>
      </c>
      <c r="F1429" s="132">
        <v>7296.4</v>
      </c>
      <c r="G1429" s="133">
        <f>Tabla147[[#This Row],[Importe]]-Tabla147[[#This Row],[Pagado]]</f>
        <v>0</v>
      </c>
      <c r="H1429" s="134" t="s">
        <v>10</v>
      </c>
      <c r="I1429" s="135"/>
    </row>
    <row r="1430" spans="1:9" ht="21.75" customHeight="1" x14ac:dyDescent="0.25">
      <c r="A1430" s="127">
        <v>44725</v>
      </c>
      <c r="B1430" s="128" t="s">
        <v>19270</v>
      </c>
      <c r="C1430" s="129" t="s">
        <v>19271</v>
      </c>
      <c r="D1430" s="130">
        <v>45995</v>
      </c>
      <c r="E1430" s="131">
        <v>44725</v>
      </c>
      <c r="F1430" s="132">
        <v>45995</v>
      </c>
      <c r="G1430" s="133">
        <f>Tabla147[[#This Row],[Importe]]-Tabla147[[#This Row],[Pagado]]</f>
        <v>0</v>
      </c>
      <c r="H1430" s="134" t="s">
        <v>10</v>
      </c>
      <c r="I1430" s="135"/>
    </row>
    <row r="1431" spans="1:9" ht="21.75" customHeight="1" x14ac:dyDescent="0.25">
      <c r="A1431" s="127">
        <v>44725</v>
      </c>
      <c r="B1431" s="128" t="s">
        <v>19272</v>
      </c>
      <c r="C1431" s="129" t="s">
        <v>249</v>
      </c>
      <c r="D1431" s="130">
        <v>4714.3999999999996</v>
      </c>
      <c r="E1431" s="131">
        <v>44725</v>
      </c>
      <c r="F1431" s="132">
        <v>4714.3999999999996</v>
      </c>
      <c r="G1431" s="133">
        <f>Tabla147[[#This Row],[Importe]]-Tabla147[[#This Row],[Pagado]]</f>
        <v>0</v>
      </c>
      <c r="H1431" s="134" t="s">
        <v>10</v>
      </c>
      <c r="I1431" s="135"/>
    </row>
    <row r="1432" spans="1:9" ht="21.75" customHeight="1" x14ac:dyDescent="0.25">
      <c r="A1432" s="127">
        <v>44725</v>
      </c>
      <c r="B1432" s="128" t="s">
        <v>19273</v>
      </c>
      <c r="C1432" s="129" t="s">
        <v>275</v>
      </c>
      <c r="D1432" s="130">
        <v>86408.82</v>
      </c>
      <c r="E1432" s="131">
        <v>44736</v>
      </c>
      <c r="F1432" s="132">
        <v>86408.82</v>
      </c>
      <c r="G1432" s="133">
        <f>Tabla147[[#This Row],[Importe]]-Tabla147[[#This Row],[Pagado]]</f>
        <v>0</v>
      </c>
      <c r="H1432" s="134" t="s">
        <v>10</v>
      </c>
      <c r="I1432" s="135"/>
    </row>
    <row r="1433" spans="1:9" ht="21.75" customHeight="1" x14ac:dyDescent="0.25">
      <c r="A1433" s="127">
        <v>44725</v>
      </c>
      <c r="B1433" s="128" t="s">
        <v>19274</v>
      </c>
      <c r="C1433" s="129" t="s">
        <v>647</v>
      </c>
      <c r="D1433" s="130">
        <v>1265</v>
      </c>
      <c r="E1433" s="131">
        <v>44725</v>
      </c>
      <c r="F1433" s="132">
        <v>1265</v>
      </c>
      <c r="G1433" s="133">
        <f>Tabla147[[#This Row],[Importe]]-Tabla147[[#This Row],[Pagado]]</f>
        <v>0</v>
      </c>
      <c r="H1433" s="134" t="s">
        <v>10</v>
      </c>
      <c r="I1433" s="135"/>
    </row>
    <row r="1434" spans="1:9" ht="21.75" customHeight="1" x14ac:dyDescent="0.25">
      <c r="A1434" s="127">
        <v>44725</v>
      </c>
      <c r="B1434" s="128" t="s">
        <v>19275</v>
      </c>
      <c r="C1434" s="129" t="s">
        <v>53</v>
      </c>
      <c r="D1434" s="130">
        <v>2300.4</v>
      </c>
      <c r="E1434" s="131">
        <v>44725</v>
      </c>
      <c r="F1434" s="132">
        <v>2300.4</v>
      </c>
      <c r="G1434" s="133">
        <f>Tabla147[[#This Row],[Importe]]-Tabla147[[#This Row],[Pagado]]</f>
        <v>0</v>
      </c>
      <c r="H1434" s="134" t="s">
        <v>10</v>
      </c>
      <c r="I1434" s="135"/>
    </row>
    <row r="1435" spans="1:9" ht="21.75" customHeight="1" x14ac:dyDescent="0.25">
      <c r="A1435" s="127">
        <v>44725</v>
      </c>
      <c r="B1435" s="128" t="s">
        <v>19276</v>
      </c>
      <c r="C1435" s="129" t="s">
        <v>484</v>
      </c>
      <c r="D1435" s="130">
        <v>3657.6</v>
      </c>
      <c r="E1435" s="131">
        <v>44725</v>
      </c>
      <c r="F1435" s="132">
        <v>3657.6</v>
      </c>
      <c r="G1435" s="133">
        <f>Tabla147[[#This Row],[Importe]]-Tabla147[[#This Row],[Pagado]]</f>
        <v>0</v>
      </c>
      <c r="H1435" s="134" t="s">
        <v>10</v>
      </c>
      <c r="I1435" s="135"/>
    </row>
    <row r="1436" spans="1:9" ht="21.75" customHeight="1" x14ac:dyDescent="0.25">
      <c r="A1436" s="127">
        <v>44725</v>
      </c>
      <c r="B1436" s="128" t="s">
        <v>19277</v>
      </c>
      <c r="C1436" s="129" t="s">
        <v>1003</v>
      </c>
      <c r="D1436" s="130">
        <v>6555.7</v>
      </c>
      <c r="E1436" s="131">
        <v>44725</v>
      </c>
      <c r="F1436" s="132">
        <v>6555.7</v>
      </c>
      <c r="G1436" s="133">
        <f>Tabla147[[#This Row],[Importe]]-Tabla147[[#This Row],[Pagado]]</f>
        <v>0</v>
      </c>
      <c r="H1436" s="134" t="s">
        <v>10</v>
      </c>
      <c r="I1436" s="135"/>
    </row>
    <row r="1437" spans="1:9" ht="21.75" customHeight="1" x14ac:dyDescent="0.25">
      <c r="A1437" s="127">
        <v>44725</v>
      </c>
      <c r="B1437" s="128" t="s">
        <v>19278</v>
      </c>
      <c r="C1437" s="129" t="s">
        <v>10190</v>
      </c>
      <c r="D1437" s="130">
        <v>13054.8</v>
      </c>
      <c r="E1437" s="131">
        <v>44726</v>
      </c>
      <c r="F1437" s="132">
        <v>13054.8</v>
      </c>
      <c r="G1437" s="133">
        <f>Tabla147[[#This Row],[Importe]]-Tabla147[[#This Row],[Pagado]]</f>
        <v>0</v>
      </c>
      <c r="H1437" s="134" t="s">
        <v>10</v>
      </c>
      <c r="I1437" s="135"/>
    </row>
    <row r="1438" spans="1:9" ht="21.75" customHeight="1" x14ac:dyDescent="0.25">
      <c r="A1438" s="127">
        <v>44725</v>
      </c>
      <c r="B1438" s="128" t="s">
        <v>19279</v>
      </c>
      <c r="C1438" s="129" t="s">
        <v>175</v>
      </c>
      <c r="D1438" s="130">
        <v>15102.2</v>
      </c>
      <c r="E1438" s="131">
        <v>44726</v>
      </c>
      <c r="F1438" s="132">
        <v>15102.2</v>
      </c>
      <c r="G1438" s="133">
        <f>Tabla147[[#This Row],[Importe]]-Tabla147[[#This Row],[Pagado]]</f>
        <v>0</v>
      </c>
      <c r="H1438" s="134" t="s">
        <v>10</v>
      </c>
      <c r="I1438" s="135"/>
    </row>
    <row r="1439" spans="1:9" ht="21.75" customHeight="1" x14ac:dyDescent="0.25">
      <c r="A1439" s="127">
        <v>44725</v>
      </c>
      <c r="B1439" s="128" t="s">
        <v>19280</v>
      </c>
      <c r="C1439" s="129" t="s">
        <v>179</v>
      </c>
      <c r="D1439" s="130">
        <v>1468.8</v>
      </c>
      <c r="E1439" s="131">
        <v>44726</v>
      </c>
      <c r="F1439" s="132">
        <v>1468.8</v>
      </c>
      <c r="G1439" s="133">
        <f>Tabla147[[#This Row],[Importe]]-Tabla147[[#This Row],[Pagado]]</f>
        <v>0</v>
      </c>
      <c r="H1439" s="134" t="s">
        <v>10</v>
      </c>
      <c r="I1439" s="135"/>
    </row>
    <row r="1440" spans="1:9" ht="21.75" customHeight="1" x14ac:dyDescent="0.25">
      <c r="A1440" s="127">
        <v>44725</v>
      </c>
      <c r="B1440" s="128" t="s">
        <v>19281</v>
      </c>
      <c r="C1440" s="129" t="s">
        <v>1237</v>
      </c>
      <c r="D1440" s="130">
        <v>1825.08</v>
      </c>
      <c r="E1440" s="131">
        <v>44726</v>
      </c>
      <c r="F1440" s="132">
        <v>1825.08</v>
      </c>
      <c r="G1440" s="133">
        <f>Tabla147[[#This Row],[Importe]]-Tabla147[[#This Row],[Pagado]]</f>
        <v>0</v>
      </c>
      <c r="H1440" s="134" t="s">
        <v>10</v>
      </c>
      <c r="I1440" s="135"/>
    </row>
    <row r="1441" spans="1:9" ht="21.75" customHeight="1" x14ac:dyDescent="0.25">
      <c r="A1441" s="127">
        <v>44725</v>
      </c>
      <c r="B1441" s="128" t="s">
        <v>19282</v>
      </c>
      <c r="C1441" s="129" t="s">
        <v>296</v>
      </c>
      <c r="D1441" s="130">
        <v>2371.4</v>
      </c>
      <c r="E1441" s="131">
        <v>44725</v>
      </c>
      <c r="F1441" s="132">
        <v>2371.4</v>
      </c>
      <c r="G1441" s="133">
        <f>Tabla147[[#This Row],[Importe]]-Tabla147[[#This Row],[Pagado]]</f>
        <v>0</v>
      </c>
      <c r="H1441" s="134" t="s">
        <v>10</v>
      </c>
      <c r="I1441" s="135"/>
    </row>
    <row r="1442" spans="1:9" ht="31.5" x14ac:dyDescent="0.25">
      <c r="A1442" s="127">
        <v>44725</v>
      </c>
      <c r="B1442" s="128" t="s">
        <v>19283</v>
      </c>
      <c r="C1442" s="129" t="s">
        <v>10840</v>
      </c>
      <c r="D1442" s="130">
        <v>30594.1</v>
      </c>
      <c r="E1442" s="131" t="s">
        <v>19284</v>
      </c>
      <c r="F1442" s="132">
        <f>29500+1094.1</f>
        <v>30594.1</v>
      </c>
      <c r="G1442" s="133">
        <f>Tabla147[[#This Row],[Importe]]-Tabla147[[#This Row],[Pagado]]</f>
        <v>0</v>
      </c>
      <c r="H1442" s="134" t="s">
        <v>10</v>
      </c>
      <c r="I1442" s="135"/>
    </row>
    <row r="1443" spans="1:9" ht="21.75" customHeight="1" x14ac:dyDescent="0.25">
      <c r="A1443" s="127">
        <v>44725</v>
      </c>
      <c r="B1443" s="128" t="s">
        <v>19285</v>
      </c>
      <c r="C1443" s="129" t="s">
        <v>214</v>
      </c>
      <c r="D1443" s="130">
        <v>1353.2</v>
      </c>
      <c r="E1443" s="131">
        <v>44725</v>
      </c>
      <c r="F1443" s="132">
        <v>1353.2</v>
      </c>
      <c r="G1443" s="133">
        <f>Tabla147[[#This Row],[Importe]]-Tabla147[[#This Row],[Pagado]]</f>
        <v>0</v>
      </c>
      <c r="H1443" s="134" t="s">
        <v>10</v>
      </c>
      <c r="I1443" s="135"/>
    </row>
    <row r="1444" spans="1:9" ht="21.75" customHeight="1" x14ac:dyDescent="0.25">
      <c r="A1444" s="127">
        <v>44725</v>
      </c>
      <c r="B1444" s="128" t="s">
        <v>19286</v>
      </c>
      <c r="C1444" s="129" t="s">
        <v>31</v>
      </c>
      <c r="D1444" s="130">
        <v>5829.2</v>
      </c>
      <c r="E1444" s="131">
        <v>44725</v>
      </c>
      <c r="F1444" s="132">
        <v>5829.2</v>
      </c>
      <c r="G1444" s="133">
        <f>Tabla147[[#This Row],[Importe]]-Tabla147[[#This Row],[Pagado]]</f>
        <v>0</v>
      </c>
      <c r="H1444" s="134" t="s">
        <v>10</v>
      </c>
      <c r="I1444" s="135"/>
    </row>
    <row r="1445" spans="1:9" ht="21.75" customHeight="1" x14ac:dyDescent="0.25">
      <c r="A1445" s="127">
        <v>44725</v>
      </c>
      <c r="B1445" s="128" t="s">
        <v>19287</v>
      </c>
      <c r="C1445" s="129" t="s">
        <v>296</v>
      </c>
      <c r="D1445" s="130">
        <v>1810.5</v>
      </c>
      <c r="E1445" s="131">
        <v>44725</v>
      </c>
      <c r="F1445" s="132">
        <v>1810.5</v>
      </c>
      <c r="G1445" s="133">
        <f>Tabla147[[#This Row],[Importe]]-Tabla147[[#This Row],[Pagado]]</f>
        <v>0</v>
      </c>
      <c r="H1445" s="134" t="s">
        <v>10</v>
      </c>
      <c r="I1445" s="135"/>
    </row>
    <row r="1446" spans="1:9" ht="21.75" customHeight="1" x14ac:dyDescent="0.25">
      <c r="A1446" s="127">
        <v>44725</v>
      </c>
      <c r="B1446" s="128" t="s">
        <v>19288</v>
      </c>
      <c r="C1446" s="129" t="s">
        <v>2139</v>
      </c>
      <c r="D1446" s="130">
        <v>2114</v>
      </c>
      <c r="E1446" s="131">
        <v>44725</v>
      </c>
      <c r="F1446" s="132">
        <v>2114</v>
      </c>
      <c r="G1446" s="133">
        <f>Tabla147[[#This Row],[Importe]]-Tabla147[[#This Row],[Pagado]]</f>
        <v>0</v>
      </c>
      <c r="H1446" s="134" t="s">
        <v>10</v>
      </c>
      <c r="I1446" s="135"/>
    </row>
    <row r="1447" spans="1:9" ht="21.75" customHeight="1" x14ac:dyDescent="0.25">
      <c r="A1447" s="127">
        <v>44725</v>
      </c>
      <c r="B1447" s="128" t="s">
        <v>19289</v>
      </c>
      <c r="C1447" s="129" t="s">
        <v>10984</v>
      </c>
      <c r="D1447" s="130">
        <v>21357</v>
      </c>
      <c r="E1447" s="131">
        <v>44725</v>
      </c>
      <c r="F1447" s="132">
        <v>21357</v>
      </c>
      <c r="G1447" s="133">
        <f>Tabla147[[#This Row],[Importe]]-Tabla147[[#This Row],[Pagado]]</f>
        <v>0</v>
      </c>
      <c r="H1447" s="134" t="s">
        <v>10</v>
      </c>
      <c r="I1447" s="135"/>
    </row>
    <row r="1448" spans="1:9" ht="21.75" customHeight="1" x14ac:dyDescent="0.25">
      <c r="A1448" s="127">
        <v>44725</v>
      </c>
      <c r="B1448" s="128" t="s">
        <v>19290</v>
      </c>
      <c r="C1448" s="129" t="s">
        <v>246</v>
      </c>
      <c r="D1448" s="130">
        <v>56884.82</v>
      </c>
      <c r="E1448" s="131">
        <v>44726</v>
      </c>
      <c r="F1448" s="132">
        <v>56884.82</v>
      </c>
      <c r="G1448" s="133">
        <f>Tabla147[[#This Row],[Importe]]-Tabla147[[#This Row],[Pagado]]</f>
        <v>0</v>
      </c>
      <c r="H1448" s="134" t="s">
        <v>10</v>
      </c>
      <c r="I1448" s="135"/>
    </row>
    <row r="1449" spans="1:9" ht="21.75" customHeight="1" x14ac:dyDescent="0.25">
      <c r="A1449" s="127">
        <v>44726</v>
      </c>
      <c r="B1449" s="128" t="s">
        <v>19291</v>
      </c>
      <c r="C1449" s="129" t="s">
        <v>473</v>
      </c>
      <c r="D1449" s="130">
        <v>7480.2</v>
      </c>
      <c r="E1449" s="131">
        <v>44726</v>
      </c>
      <c r="F1449" s="132">
        <v>7480.2</v>
      </c>
      <c r="G1449" s="133">
        <f>Tabla147[[#This Row],[Importe]]-Tabla147[[#This Row],[Pagado]]</f>
        <v>0</v>
      </c>
      <c r="H1449" s="134" t="s">
        <v>10</v>
      </c>
      <c r="I1449" s="135"/>
    </row>
    <row r="1450" spans="1:9" ht="21.75" customHeight="1" x14ac:dyDescent="0.25">
      <c r="A1450" s="127">
        <v>44726</v>
      </c>
      <c r="B1450" s="128" t="s">
        <v>19292</v>
      </c>
      <c r="C1450" s="129" t="s">
        <v>1650</v>
      </c>
      <c r="D1450" s="130">
        <v>6215.2</v>
      </c>
      <c r="E1450" s="131">
        <v>44726</v>
      </c>
      <c r="F1450" s="132">
        <v>6215.2</v>
      </c>
      <c r="G1450" s="133">
        <f>Tabla147[[#This Row],[Importe]]-Tabla147[[#This Row],[Pagado]]</f>
        <v>0</v>
      </c>
      <c r="H1450" s="134" t="s">
        <v>10</v>
      </c>
      <c r="I1450" s="135"/>
    </row>
    <row r="1451" spans="1:9" ht="21.75" customHeight="1" x14ac:dyDescent="0.25">
      <c r="A1451" s="127">
        <v>44726</v>
      </c>
      <c r="B1451" s="128" t="s">
        <v>19293</v>
      </c>
      <c r="C1451" s="129" t="s">
        <v>85</v>
      </c>
      <c r="D1451" s="130">
        <v>1421.2</v>
      </c>
      <c r="E1451" s="131">
        <v>44726</v>
      </c>
      <c r="F1451" s="132">
        <v>1421.2</v>
      </c>
      <c r="G1451" s="133">
        <f>Tabla147[[#This Row],[Importe]]-Tabla147[[#This Row],[Pagado]]</f>
        <v>0</v>
      </c>
      <c r="H1451" s="134" t="s">
        <v>10</v>
      </c>
      <c r="I1451" s="135"/>
    </row>
    <row r="1452" spans="1:9" ht="21.75" customHeight="1" x14ac:dyDescent="0.25">
      <c r="A1452" s="127">
        <v>44726</v>
      </c>
      <c r="B1452" s="128" t="s">
        <v>19294</v>
      </c>
      <c r="C1452" s="129" t="s">
        <v>12202</v>
      </c>
      <c r="D1452" s="130">
        <v>3040</v>
      </c>
      <c r="E1452" s="131">
        <v>44726</v>
      </c>
      <c r="F1452" s="132">
        <v>3040</v>
      </c>
      <c r="G1452" s="133">
        <f>Tabla147[[#This Row],[Importe]]-Tabla147[[#This Row],[Pagado]]</f>
        <v>0</v>
      </c>
      <c r="H1452" s="134" t="s">
        <v>10</v>
      </c>
      <c r="I1452" s="135"/>
    </row>
    <row r="1453" spans="1:9" ht="31.5" x14ac:dyDescent="0.25">
      <c r="A1453" s="127">
        <v>44726</v>
      </c>
      <c r="B1453" s="128" t="s">
        <v>19295</v>
      </c>
      <c r="C1453" s="129" t="s">
        <v>99</v>
      </c>
      <c r="D1453" s="130">
        <v>5533.2</v>
      </c>
      <c r="E1453" s="131" t="s">
        <v>19296</v>
      </c>
      <c r="F1453" s="132">
        <f>4300+1233.2</f>
        <v>5533.2</v>
      </c>
      <c r="G1453" s="133">
        <f>Tabla147[[#This Row],[Importe]]-Tabla147[[#This Row],[Pagado]]</f>
        <v>0</v>
      </c>
      <c r="H1453" s="134" t="s">
        <v>10</v>
      </c>
      <c r="I1453" s="135"/>
    </row>
    <row r="1454" spans="1:9" ht="21.75" customHeight="1" x14ac:dyDescent="0.25">
      <c r="A1454" s="127">
        <v>44726</v>
      </c>
      <c r="B1454" s="128" t="s">
        <v>19297</v>
      </c>
      <c r="C1454" s="129" t="s">
        <v>64</v>
      </c>
      <c r="D1454" s="130">
        <v>4848</v>
      </c>
      <c r="E1454" s="131">
        <v>44727</v>
      </c>
      <c r="F1454" s="132">
        <v>4848</v>
      </c>
      <c r="G1454" s="133">
        <f>Tabla147[[#This Row],[Importe]]-Tabla147[[#This Row],[Pagado]]</f>
        <v>0</v>
      </c>
      <c r="H1454" s="134" t="s">
        <v>10</v>
      </c>
      <c r="I1454" s="135"/>
    </row>
    <row r="1455" spans="1:9" ht="21.75" customHeight="1" x14ac:dyDescent="0.25">
      <c r="A1455" s="127">
        <v>44726</v>
      </c>
      <c r="B1455" s="128" t="s">
        <v>19298</v>
      </c>
      <c r="C1455" s="129" t="s">
        <v>39</v>
      </c>
      <c r="D1455" s="130">
        <v>16126</v>
      </c>
      <c r="E1455" s="131">
        <v>44727</v>
      </c>
      <c r="F1455" s="132">
        <v>16126</v>
      </c>
      <c r="G1455" s="133">
        <f>Tabla147[[#This Row],[Importe]]-Tabla147[[#This Row],[Pagado]]</f>
        <v>0</v>
      </c>
      <c r="H1455" s="134" t="s">
        <v>10</v>
      </c>
      <c r="I1455" s="135"/>
    </row>
    <row r="1456" spans="1:9" ht="21.75" customHeight="1" x14ac:dyDescent="0.25">
      <c r="A1456" s="127">
        <v>44726</v>
      </c>
      <c r="B1456" s="128" t="s">
        <v>19299</v>
      </c>
      <c r="C1456" s="129" t="s">
        <v>348</v>
      </c>
      <c r="D1456" s="130">
        <v>1323</v>
      </c>
      <c r="E1456" s="131">
        <v>44726</v>
      </c>
      <c r="F1456" s="132">
        <v>1323</v>
      </c>
      <c r="G1456" s="133">
        <f>Tabla147[[#This Row],[Importe]]-Tabla147[[#This Row],[Pagado]]</f>
        <v>0</v>
      </c>
      <c r="H1456" s="134" t="s">
        <v>10</v>
      </c>
      <c r="I1456" s="135"/>
    </row>
    <row r="1457" spans="1:9" ht="21.75" customHeight="1" x14ac:dyDescent="0.25">
      <c r="A1457" s="127">
        <v>44726</v>
      </c>
      <c r="B1457" s="128" t="s">
        <v>19300</v>
      </c>
      <c r="C1457" s="129" t="s">
        <v>2151</v>
      </c>
      <c r="D1457" s="130">
        <v>11371.6</v>
      </c>
      <c r="E1457" s="131">
        <v>44726</v>
      </c>
      <c r="F1457" s="132">
        <v>11371.6</v>
      </c>
      <c r="G1457" s="133">
        <f>Tabla147[[#This Row],[Importe]]-Tabla147[[#This Row],[Pagado]]</f>
        <v>0</v>
      </c>
      <c r="H1457" s="134" t="s">
        <v>10</v>
      </c>
      <c r="I1457" s="135"/>
    </row>
    <row r="1458" spans="1:9" ht="21.75" customHeight="1" x14ac:dyDescent="0.25">
      <c r="A1458" s="127">
        <v>44726</v>
      </c>
      <c r="B1458" s="128" t="s">
        <v>19301</v>
      </c>
      <c r="C1458" s="129" t="s">
        <v>114</v>
      </c>
      <c r="D1458" s="130">
        <v>11206.6</v>
      </c>
      <c r="E1458" s="131">
        <v>44728</v>
      </c>
      <c r="F1458" s="132">
        <v>11206.6</v>
      </c>
      <c r="G1458" s="133">
        <f>Tabla147[[#This Row],[Importe]]-Tabla147[[#This Row],[Pagado]]</f>
        <v>0</v>
      </c>
      <c r="H1458" s="134" t="s">
        <v>10</v>
      </c>
      <c r="I1458" s="135"/>
    </row>
    <row r="1459" spans="1:9" ht="21.75" customHeight="1" x14ac:dyDescent="0.25">
      <c r="A1459" s="127">
        <v>44726</v>
      </c>
      <c r="B1459" s="128" t="s">
        <v>19302</v>
      </c>
      <c r="C1459" s="129" t="s">
        <v>89</v>
      </c>
      <c r="D1459" s="130">
        <v>3985.2</v>
      </c>
      <c r="E1459" s="131">
        <v>44727</v>
      </c>
      <c r="F1459" s="132">
        <v>3985.2</v>
      </c>
      <c r="G1459" s="133">
        <f>Tabla147[[#This Row],[Importe]]-Tabla147[[#This Row],[Pagado]]</f>
        <v>0</v>
      </c>
      <c r="H1459" s="134" t="s">
        <v>10</v>
      </c>
      <c r="I1459" s="135"/>
    </row>
    <row r="1460" spans="1:9" ht="21.75" customHeight="1" x14ac:dyDescent="0.25">
      <c r="A1460" s="127">
        <v>44726</v>
      </c>
      <c r="B1460" s="128" t="s">
        <v>19303</v>
      </c>
      <c r="C1460" s="129" t="s">
        <v>111</v>
      </c>
      <c r="D1460" s="130">
        <v>5092.3999999999996</v>
      </c>
      <c r="E1460" s="131">
        <v>44728</v>
      </c>
      <c r="F1460" s="132">
        <v>5092.3999999999996</v>
      </c>
      <c r="G1460" s="133">
        <f>Tabla147[[#This Row],[Importe]]-Tabla147[[#This Row],[Pagado]]</f>
        <v>0</v>
      </c>
      <c r="H1460" s="134" t="s">
        <v>10</v>
      </c>
      <c r="I1460" s="135"/>
    </row>
    <row r="1461" spans="1:9" ht="21.75" customHeight="1" x14ac:dyDescent="0.25">
      <c r="A1461" s="127">
        <v>44726</v>
      </c>
      <c r="B1461" s="128" t="s">
        <v>19304</v>
      </c>
      <c r="C1461" s="129" t="s">
        <v>93</v>
      </c>
      <c r="D1461" s="130">
        <v>1225.8</v>
      </c>
      <c r="E1461" s="131">
        <v>44727</v>
      </c>
      <c r="F1461" s="132">
        <v>1225.8</v>
      </c>
      <c r="G1461" s="133">
        <f>Tabla147[[#This Row],[Importe]]-Tabla147[[#This Row],[Pagado]]</f>
        <v>0</v>
      </c>
      <c r="H1461" s="134" t="s">
        <v>10</v>
      </c>
      <c r="I1461" s="135"/>
    </row>
    <row r="1462" spans="1:9" ht="21.75" customHeight="1" x14ac:dyDescent="0.25">
      <c r="A1462" s="127">
        <v>44726</v>
      </c>
      <c r="B1462" s="128" t="s">
        <v>19305</v>
      </c>
      <c r="C1462" s="129" t="s">
        <v>9418</v>
      </c>
      <c r="D1462" s="130">
        <v>0</v>
      </c>
      <c r="E1462" s="136" t="s">
        <v>189</v>
      </c>
      <c r="F1462" s="132">
        <v>0</v>
      </c>
      <c r="G1462" s="133">
        <f>Tabla147[[#This Row],[Importe]]-Tabla147[[#This Row],[Pagado]]</f>
        <v>0</v>
      </c>
      <c r="H1462" s="134" t="s">
        <v>189</v>
      </c>
      <c r="I1462" s="135"/>
    </row>
    <row r="1463" spans="1:9" ht="21.75" customHeight="1" x14ac:dyDescent="0.25">
      <c r="A1463" s="127">
        <v>44726</v>
      </c>
      <c r="B1463" s="128" t="s">
        <v>19306</v>
      </c>
      <c r="C1463" s="129" t="s">
        <v>345</v>
      </c>
      <c r="D1463" s="130">
        <v>1536.5</v>
      </c>
      <c r="E1463" s="131">
        <v>44726</v>
      </c>
      <c r="F1463" s="132">
        <v>1536.5</v>
      </c>
      <c r="G1463" s="133">
        <f>Tabla147[[#This Row],[Importe]]-Tabla147[[#This Row],[Pagado]]</f>
        <v>0</v>
      </c>
      <c r="H1463" s="134" t="s">
        <v>10</v>
      </c>
      <c r="I1463" s="135"/>
    </row>
    <row r="1464" spans="1:9" ht="21.75" customHeight="1" x14ac:dyDescent="0.25">
      <c r="A1464" s="127">
        <v>44726</v>
      </c>
      <c r="B1464" s="128" t="s">
        <v>19307</v>
      </c>
      <c r="C1464" s="129" t="s">
        <v>31</v>
      </c>
      <c r="D1464" s="130">
        <v>4532.3</v>
      </c>
      <c r="E1464" s="131">
        <v>44726</v>
      </c>
      <c r="F1464" s="132">
        <v>4532.3</v>
      </c>
      <c r="G1464" s="133">
        <f>Tabla147[[#This Row],[Importe]]-Tabla147[[#This Row],[Pagado]]</f>
        <v>0</v>
      </c>
      <c r="H1464" s="134" t="s">
        <v>10</v>
      </c>
      <c r="I1464" s="135"/>
    </row>
    <row r="1465" spans="1:9" ht="21.75" customHeight="1" x14ac:dyDescent="0.25">
      <c r="A1465" s="127">
        <v>44726</v>
      </c>
      <c r="B1465" s="128" t="s">
        <v>19308</v>
      </c>
      <c r="C1465" s="129" t="s">
        <v>111</v>
      </c>
      <c r="D1465" s="130">
        <v>1225</v>
      </c>
      <c r="E1465" s="131">
        <v>44727</v>
      </c>
      <c r="F1465" s="132">
        <v>1225</v>
      </c>
      <c r="G1465" s="133">
        <f>Tabla147[[#This Row],[Importe]]-Tabla147[[#This Row],[Pagado]]</f>
        <v>0</v>
      </c>
      <c r="H1465" s="134" t="s">
        <v>10</v>
      </c>
      <c r="I1465" s="135"/>
    </row>
    <row r="1466" spans="1:9" ht="21.75" customHeight="1" x14ac:dyDescent="0.25">
      <c r="A1466" s="127">
        <v>44726</v>
      </c>
      <c r="B1466" s="128" t="s">
        <v>19309</v>
      </c>
      <c r="C1466" s="129" t="s">
        <v>481</v>
      </c>
      <c r="D1466" s="130">
        <v>780.4</v>
      </c>
      <c r="E1466" s="131">
        <v>44726</v>
      </c>
      <c r="F1466" s="132">
        <v>780.4</v>
      </c>
      <c r="G1466" s="133">
        <f>Tabla147[[#This Row],[Importe]]-Tabla147[[#This Row],[Pagado]]</f>
        <v>0</v>
      </c>
      <c r="H1466" s="134" t="s">
        <v>10</v>
      </c>
      <c r="I1466" s="135"/>
    </row>
    <row r="1467" spans="1:9" ht="21.75" customHeight="1" x14ac:dyDescent="0.25">
      <c r="A1467" s="127">
        <v>44726</v>
      </c>
      <c r="B1467" s="128" t="s">
        <v>19310</v>
      </c>
      <c r="C1467" s="129" t="s">
        <v>353</v>
      </c>
      <c r="D1467" s="130">
        <v>673.4</v>
      </c>
      <c r="E1467" s="131">
        <v>44726</v>
      </c>
      <c r="F1467" s="132">
        <v>673.4</v>
      </c>
      <c r="G1467" s="133">
        <f>Tabla147[[#This Row],[Importe]]-Tabla147[[#This Row],[Pagado]]</f>
        <v>0</v>
      </c>
      <c r="H1467" s="134" t="s">
        <v>10</v>
      </c>
      <c r="I1467" s="135"/>
    </row>
    <row r="1468" spans="1:9" ht="21.75" customHeight="1" x14ac:dyDescent="0.25">
      <c r="A1468" s="127">
        <v>44726</v>
      </c>
      <c r="B1468" s="128" t="s">
        <v>19311</v>
      </c>
      <c r="C1468" s="129" t="s">
        <v>93</v>
      </c>
      <c r="D1468" s="130">
        <v>1330</v>
      </c>
      <c r="E1468" s="131">
        <v>44727</v>
      </c>
      <c r="F1468" s="132">
        <v>1330</v>
      </c>
      <c r="G1468" s="133">
        <f>Tabla147[[#This Row],[Importe]]-Tabla147[[#This Row],[Pagado]]</f>
        <v>0</v>
      </c>
      <c r="H1468" s="134" t="s">
        <v>10</v>
      </c>
      <c r="I1468" s="135"/>
    </row>
    <row r="1469" spans="1:9" ht="21.75" customHeight="1" x14ac:dyDescent="0.25">
      <c r="A1469" s="127">
        <v>44726</v>
      </c>
      <c r="B1469" s="128" t="s">
        <v>19312</v>
      </c>
      <c r="C1469" s="129" t="s">
        <v>9</v>
      </c>
      <c r="D1469" s="130">
        <v>6248.6</v>
      </c>
      <c r="E1469" s="131">
        <v>44726</v>
      </c>
      <c r="F1469" s="132">
        <v>6248.6</v>
      </c>
      <c r="G1469" s="133">
        <f>Tabla147[[#This Row],[Importe]]-Tabla147[[#This Row],[Pagado]]</f>
        <v>0</v>
      </c>
      <c r="H1469" s="134" t="s">
        <v>10</v>
      </c>
      <c r="I1469" s="135"/>
    </row>
    <row r="1470" spans="1:9" ht="21.75" customHeight="1" x14ac:dyDescent="0.25">
      <c r="A1470" s="127">
        <v>44726</v>
      </c>
      <c r="B1470" s="128" t="s">
        <v>19313</v>
      </c>
      <c r="C1470" s="129" t="s">
        <v>89</v>
      </c>
      <c r="D1470" s="130">
        <v>3486</v>
      </c>
      <c r="E1470" s="131">
        <v>44727</v>
      </c>
      <c r="F1470" s="132">
        <v>3486</v>
      </c>
      <c r="G1470" s="133">
        <f>Tabla147[[#This Row],[Importe]]-Tabla147[[#This Row],[Pagado]]</f>
        <v>0</v>
      </c>
      <c r="H1470" s="134" t="s">
        <v>10</v>
      </c>
      <c r="I1470" s="135"/>
    </row>
    <row r="1471" spans="1:9" ht="21.75" customHeight="1" x14ac:dyDescent="0.25">
      <c r="A1471" s="127">
        <v>44726</v>
      </c>
      <c r="B1471" s="128" t="s">
        <v>19314</v>
      </c>
      <c r="C1471" s="129" t="s">
        <v>140</v>
      </c>
      <c r="D1471" s="130">
        <v>4025.7</v>
      </c>
      <c r="E1471" s="131">
        <v>44726</v>
      </c>
      <c r="F1471" s="132">
        <v>4025.7</v>
      </c>
      <c r="G1471" s="133">
        <f>Tabla147[[#This Row],[Importe]]-Tabla147[[#This Row],[Pagado]]</f>
        <v>0</v>
      </c>
      <c r="H1471" s="134" t="s">
        <v>10</v>
      </c>
      <c r="I1471" s="135"/>
    </row>
    <row r="1472" spans="1:9" ht="21.75" customHeight="1" x14ac:dyDescent="0.25">
      <c r="A1472" s="127">
        <v>44726</v>
      </c>
      <c r="B1472" s="128" t="s">
        <v>19315</v>
      </c>
      <c r="C1472" s="129" t="s">
        <v>127</v>
      </c>
      <c r="D1472" s="130">
        <v>4366.5</v>
      </c>
      <c r="E1472" s="131">
        <v>44726</v>
      </c>
      <c r="F1472" s="132">
        <v>4366.5</v>
      </c>
      <c r="G1472" s="133">
        <f>Tabla147[[#This Row],[Importe]]-Tabla147[[#This Row],[Pagado]]</f>
        <v>0</v>
      </c>
      <c r="H1472" s="134" t="s">
        <v>10</v>
      </c>
      <c r="I1472" s="135"/>
    </row>
    <row r="1473" spans="1:9" ht="21.75" customHeight="1" x14ac:dyDescent="0.25">
      <c r="A1473" s="127">
        <v>44726</v>
      </c>
      <c r="B1473" s="128" t="s">
        <v>19316</v>
      </c>
      <c r="C1473" s="129" t="s">
        <v>129</v>
      </c>
      <c r="D1473" s="130">
        <v>4139.3</v>
      </c>
      <c r="E1473" s="131">
        <v>44726</v>
      </c>
      <c r="F1473" s="132">
        <v>4139.3</v>
      </c>
      <c r="G1473" s="133">
        <f>Tabla147[[#This Row],[Importe]]-Tabla147[[#This Row],[Pagado]]</f>
        <v>0</v>
      </c>
      <c r="H1473" s="134" t="s">
        <v>10</v>
      </c>
      <c r="I1473" s="135"/>
    </row>
    <row r="1474" spans="1:9" ht="21.75" customHeight="1" x14ac:dyDescent="0.25">
      <c r="A1474" s="127">
        <v>44726</v>
      </c>
      <c r="B1474" s="128" t="s">
        <v>19317</v>
      </c>
      <c r="C1474" s="129" t="s">
        <v>357</v>
      </c>
      <c r="D1474" s="130">
        <v>3848.2</v>
      </c>
      <c r="E1474" s="131">
        <v>44726</v>
      </c>
      <c r="F1474" s="132">
        <v>3848.2</v>
      </c>
      <c r="G1474" s="133">
        <f>Tabla147[[#This Row],[Importe]]-Tabla147[[#This Row],[Pagado]]</f>
        <v>0</v>
      </c>
      <c r="H1474" s="134" t="s">
        <v>10</v>
      </c>
      <c r="I1474" s="135"/>
    </row>
    <row r="1475" spans="1:9" ht="21.75" customHeight="1" x14ac:dyDescent="0.25">
      <c r="A1475" s="127">
        <v>44726</v>
      </c>
      <c r="B1475" s="128" t="s">
        <v>19318</v>
      </c>
      <c r="C1475" s="129" t="s">
        <v>339</v>
      </c>
      <c r="D1475" s="130">
        <v>754.8</v>
      </c>
      <c r="E1475" s="131">
        <v>44726</v>
      </c>
      <c r="F1475" s="132">
        <v>754.8</v>
      </c>
      <c r="G1475" s="133">
        <f>Tabla147[[#This Row],[Importe]]-Tabla147[[#This Row],[Pagado]]</f>
        <v>0</v>
      </c>
      <c r="H1475" s="134" t="s">
        <v>10</v>
      </c>
      <c r="I1475" s="135"/>
    </row>
    <row r="1476" spans="1:9" ht="21.75" customHeight="1" x14ac:dyDescent="0.25">
      <c r="A1476" s="127">
        <v>44726</v>
      </c>
      <c r="B1476" s="128" t="s">
        <v>19319</v>
      </c>
      <c r="C1476" s="129" t="s">
        <v>1362</v>
      </c>
      <c r="D1476" s="130">
        <v>5816.4</v>
      </c>
      <c r="E1476" s="131">
        <v>44726</v>
      </c>
      <c r="F1476" s="132">
        <v>5816.4</v>
      </c>
      <c r="G1476" s="133">
        <f>Tabla147[[#This Row],[Importe]]-Tabla147[[#This Row],[Pagado]]</f>
        <v>0</v>
      </c>
      <c r="H1476" s="134" t="s">
        <v>10</v>
      </c>
      <c r="I1476" s="135"/>
    </row>
    <row r="1477" spans="1:9" ht="21.75" customHeight="1" x14ac:dyDescent="0.25">
      <c r="A1477" s="127">
        <v>44726</v>
      </c>
      <c r="B1477" s="128" t="s">
        <v>19320</v>
      </c>
      <c r="C1477" s="129" t="s">
        <v>144</v>
      </c>
      <c r="D1477" s="130">
        <v>2520.8000000000002</v>
      </c>
      <c r="E1477" s="131">
        <v>44726</v>
      </c>
      <c r="F1477" s="132">
        <v>2520.8000000000002</v>
      </c>
      <c r="G1477" s="133">
        <f>Tabla147[[#This Row],[Importe]]-Tabla147[[#This Row],[Pagado]]</f>
        <v>0</v>
      </c>
      <c r="H1477" s="134" t="s">
        <v>10</v>
      </c>
      <c r="I1477" s="135"/>
    </row>
    <row r="1478" spans="1:9" ht="21.75" customHeight="1" x14ac:dyDescent="0.25">
      <c r="A1478" s="127">
        <v>44726</v>
      </c>
      <c r="B1478" s="128" t="s">
        <v>19321</v>
      </c>
      <c r="C1478" s="129" t="s">
        <v>146</v>
      </c>
      <c r="D1478" s="130">
        <v>2871.2</v>
      </c>
      <c r="E1478" s="131">
        <v>44726</v>
      </c>
      <c r="F1478" s="132">
        <v>2871.2</v>
      </c>
      <c r="G1478" s="133">
        <f>Tabla147[[#This Row],[Importe]]-Tabla147[[#This Row],[Pagado]]</f>
        <v>0</v>
      </c>
      <c r="H1478" s="134" t="s">
        <v>10</v>
      </c>
      <c r="I1478" s="135"/>
    </row>
    <row r="1479" spans="1:9" ht="21.75" customHeight="1" x14ac:dyDescent="0.25">
      <c r="A1479" s="127">
        <v>44726</v>
      </c>
      <c r="B1479" s="128" t="s">
        <v>19322</v>
      </c>
      <c r="C1479" s="129" t="s">
        <v>466</v>
      </c>
      <c r="D1479" s="130">
        <v>7500.8</v>
      </c>
      <c r="E1479" s="131">
        <v>44726</v>
      </c>
      <c r="F1479" s="132">
        <v>7500.8</v>
      </c>
      <c r="G1479" s="133">
        <f>Tabla147[[#This Row],[Importe]]-Tabla147[[#This Row],[Pagado]]</f>
        <v>0</v>
      </c>
      <c r="H1479" s="134" t="s">
        <v>10</v>
      </c>
      <c r="I1479" s="135"/>
    </row>
    <row r="1480" spans="1:9" ht="21.75" customHeight="1" x14ac:dyDescent="0.25">
      <c r="A1480" s="127">
        <v>44726</v>
      </c>
      <c r="B1480" s="128" t="s">
        <v>19323</v>
      </c>
      <c r="C1480" s="129" t="s">
        <v>22</v>
      </c>
      <c r="D1480" s="130">
        <v>49114.5</v>
      </c>
      <c r="E1480" s="131">
        <v>44727</v>
      </c>
      <c r="F1480" s="132">
        <v>49114.5</v>
      </c>
      <c r="G1480" s="133">
        <f>Tabla147[[#This Row],[Importe]]-Tabla147[[#This Row],[Pagado]]</f>
        <v>0</v>
      </c>
      <c r="H1480" s="134" t="s">
        <v>10</v>
      </c>
      <c r="I1480" s="135"/>
    </row>
    <row r="1481" spans="1:9" ht="21.75" customHeight="1" x14ac:dyDescent="0.25">
      <c r="A1481" s="127">
        <v>44726</v>
      </c>
      <c r="B1481" s="128" t="s">
        <v>19324</v>
      </c>
      <c r="C1481" s="129" t="s">
        <v>17556</v>
      </c>
      <c r="D1481" s="130">
        <v>3639.2</v>
      </c>
      <c r="E1481" s="131">
        <v>44726</v>
      </c>
      <c r="F1481" s="132">
        <v>3639.2</v>
      </c>
      <c r="G1481" s="133">
        <f>Tabla147[[#This Row],[Importe]]-Tabla147[[#This Row],[Pagado]]</f>
        <v>0</v>
      </c>
      <c r="H1481" s="134" t="s">
        <v>10</v>
      </c>
      <c r="I1481" s="135"/>
    </row>
    <row r="1482" spans="1:9" ht="21.75" customHeight="1" x14ac:dyDescent="0.25">
      <c r="A1482" s="127">
        <v>44726</v>
      </c>
      <c r="B1482" s="128" t="s">
        <v>19325</v>
      </c>
      <c r="C1482" s="129" t="s">
        <v>924</v>
      </c>
      <c r="D1482" s="130">
        <v>9648.2999999999993</v>
      </c>
      <c r="E1482" s="131">
        <v>44726</v>
      </c>
      <c r="F1482" s="132">
        <v>9648.2999999999993</v>
      </c>
      <c r="G1482" s="133">
        <f>Tabla147[[#This Row],[Importe]]-Tabla147[[#This Row],[Pagado]]</f>
        <v>0</v>
      </c>
      <c r="H1482" s="134" t="s">
        <v>10</v>
      </c>
      <c r="I1482" s="135"/>
    </row>
    <row r="1483" spans="1:9" ht="21.75" customHeight="1" x14ac:dyDescent="0.25">
      <c r="A1483" s="127">
        <v>44726</v>
      </c>
      <c r="B1483" s="128" t="s">
        <v>19326</v>
      </c>
      <c r="C1483" s="129" t="s">
        <v>19327</v>
      </c>
      <c r="D1483" s="130">
        <v>0</v>
      </c>
      <c r="E1483" s="136" t="s">
        <v>189</v>
      </c>
      <c r="F1483" s="132">
        <v>0</v>
      </c>
      <c r="G1483" s="133">
        <f>Tabla147[[#This Row],[Importe]]-Tabla147[[#This Row],[Pagado]]</f>
        <v>0</v>
      </c>
      <c r="H1483" s="137" t="s">
        <v>19328</v>
      </c>
      <c r="I1483" s="135"/>
    </row>
    <row r="1484" spans="1:9" ht="21.75" customHeight="1" x14ac:dyDescent="0.25">
      <c r="A1484" s="127">
        <v>44726</v>
      </c>
      <c r="B1484" s="128" t="s">
        <v>19329</v>
      </c>
      <c r="C1484" s="129" t="s">
        <v>518</v>
      </c>
      <c r="D1484" s="130">
        <v>1411.2</v>
      </c>
      <c r="E1484" s="131">
        <v>44726</v>
      </c>
      <c r="F1484" s="132">
        <v>1411.2</v>
      </c>
      <c r="G1484" s="133">
        <f>Tabla147[[#This Row],[Importe]]-Tabla147[[#This Row],[Pagado]]</f>
        <v>0</v>
      </c>
      <c r="H1484" s="134" t="s">
        <v>19330</v>
      </c>
      <c r="I1484" s="135"/>
    </row>
    <row r="1485" spans="1:9" ht="21.75" customHeight="1" x14ac:dyDescent="0.25">
      <c r="A1485" s="127">
        <v>44726</v>
      </c>
      <c r="B1485" s="128" t="s">
        <v>19331</v>
      </c>
      <c r="C1485" s="129" t="s">
        <v>157</v>
      </c>
      <c r="D1485" s="130">
        <v>7722.6</v>
      </c>
      <c r="E1485" s="131">
        <v>44726</v>
      </c>
      <c r="F1485" s="132">
        <v>7722.6</v>
      </c>
      <c r="G1485" s="133">
        <f>Tabla147[[#This Row],[Importe]]-Tabla147[[#This Row],[Pagado]]</f>
        <v>0</v>
      </c>
      <c r="H1485" s="134" t="s">
        <v>10</v>
      </c>
      <c r="I1485" s="135"/>
    </row>
    <row r="1486" spans="1:9" ht="21.75" customHeight="1" x14ac:dyDescent="0.25">
      <c r="A1486" s="127">
        <v>44726</v>
      </c>
      <c r="B1486" s="128" t="s">
        <v>19332</v>
      </c>
      <c r="C1486" s="129" t="s">
        <v>2961</v>
      </c>
      <c r="D1486" s="130">
        <v>62935.4</v>
      </c>
      <c r="E1486" s="131">
        <v>44727</v>
      </c>
      <c r="F1486" s="132">
        <v>62935.4</v>
      </c>
      <c r="G1486" s="133">
        <f>Tabla147[[#This Row],[Importe]]-Tabla147[[#This Row],[Pagado]]</f>
        <v>0</v>
      </c>
      <c r="H1486" s="134" t="s">
        <v>10</v>
      </c>
      <c r="I1486" s="135"/>
    </row>
    <row r="1487" spans="1:9" ht="21.75" customHeight="1" x14ac:dyDescent="0.25">
      <c r="A1487" s="127">
        <v>44726</v>
      </c>
      <c r="B1487" s="128" t="s">
        <v>19333</v>
      </c>
      <c r="C1487" s="129" t="s">
        <v>319</v>
      </c>
      <c r="D1487" s="130">
        <v>1403</v>
      </c>
      <c r="E1487" s="131">
        <v>44726</v>
      </c>
      <c r="F1487" s="132">
        <v>1403</v>
      </c>
      <c r="G1487" s="133">
        <f>Tabla147[[#This Row],[Importe]]-Tabla147[[#This Row],[Pagado]]</f>
        <v>0</v>
      </c>
      <c r="H1487" s="134" t="s">
        <v>10</v>
      </c>
      <c r="I1487" s="135"/>
    </row>
    <row r="1488" spans="1:9" ht="21.75" customHeight="1" x14ac:dyDescent="0.25">
      <c r="A1488" s="127">
        <v>44726</v>
      </c>
      <c r="B1488" s="128" t="s">
        <v>19334</v>
      </c>
      <c r="C1488" s="129" t="s">
        <v>314</v>
      </c>
      <c r="D1488" s="130">
        <v>2074</v>
      </c>
      <c r="E1488" s="131">
        <v>44726</v>
      </c>
      <c r="F1488" s="132">
        <v>2074</v>
      </c>
      <c r="G1488" s="133">
        <f>Tabla147[[#This Row],[Importe]]-Tabla147[[#This Row],[Pagado]]</f>
        <v>0</v>
      </c>
      <c r="H1488" s="134" t="s">
        <v>10</v>
      </c>
      <c r="I1488" s="135"/>
    </row>
    <row r="1489" spans="1:9" ht="21.75" customHeight="1" x14ac:dyDescent="0.25">
      <c r="A1489" s="127">
        <v>44726</v>
      </c>
      <c r="B1489" s="128" t="s">
        <v>19335</v>
      </c>
      <c r="C1489" s="129" t="s">
        <v>87</v>
      </c>
      <c r="D1489" s="130">
        <v>1954.2</v>
      </c>
      <c r="E1489" s="131">
        <v>44726</v>
      </c>
      <c r="F1489" s="132">
        <v>1954.2</v>
      </c>
      <c r="G1489" s="133">
        <f>Tabla147[[#This Row],[Importe]]-Tabla147[[#This Row],[Pagado]]</f>
        <v>0</v>
      </c>
      <c r="H1489" s="134" t="s">
        <v>10</v>
      </c>
      <c r="I1489" s="135"/>
    </row>
    <row r="1490" spans="1:9" ht="21.75" customHeight="1" x14ac:dyDescent="0.25">
      <c r="A1490" s="127">
        <v>44726</v>
      </c>
      <c r="B1490" s="128" t="s">
        <v>19336</v>
      </c>
      <c r="C1490" s="129" t="s">
        <v>83</v>
      </c>
      <c r="D1490" s="130">
        <v>14488.8</v>
      </c>
      <c r="E1490" s="131">
        <v>44726</v>
      </c>
      <c r="F1490" s="132">
        <v>14488.8</v>
      </c>
      <c r="G1490" s="133">
        <f>Tabla147[[#This Row],[Importe]]-Tabla147[[#This Row],[Pagado]]</f>
        <v>0</v>
      </c>
      <c r="H1490" s="134" t="s">
        <v>10</v>
      </c>
      <c r="I1490" s="135"/>
    </row>
    <row r="1491" spans="1:9" ht="21.75" customHeight="1" x14ac:dyDescent="0.25">
      <c r="A1491" s="127">
        <v>44726</v>
      </c>
      <c r="B1491" s="128" t="s">
        <v>19337</v>
      </c>
      <c r="C1491" s="129" t="s">
        <v>966</v>
      </c>
      <c r="D1491" s="130">
        <v>3450.08</v>
      </c>
      <c r="E1491" s="131">
        <v>44726</v>
      </c>
      <c r="F1491" s="132">
        <v>3450.08</v>
      </c>
      <c r="G1491" s="133">
        <f>Tabla147[[#This Row],[Importe]]-Tabla147[[#This Row],[Pagado]]</f>
        <v>0</v>
      </c>
      <c r="H1491" s="134" t="s">
        <v>10</v>
      </c>
      <c r="I1491" s="135"/>
    </row>
    <row r="1492" spans="1:9" ht="21.75" customHeight="1" x14ac:dyDescent="0.25">
      <c r="A1492" s="127">
        <v>44726</v>
      </c>
      <c r="B1492" s="128" t="s">
        <v>19338</v>
      </c>
      <c r="C1492" s="129" t="s">
        <v>319</v>
      </c>
      <c r="D1492" s="130">
        <v>1430</v>
      </c>
      <c r="E1492" s="131">
        <v>44726</v>
      </c>
      <c r="F1492" s="132">
        <v>1430</v>
      </c>
      <c r="G1492" s="133">
        <f>Tabla147[[#This Row],[Importe]]-Tabla147[[#This Row],[Pagado]]</f>
        <v>0</v>
      </c>
      <c r="H1492" s="134" t="s">
        <v>10</v>
      </c>
      <c r="I1492" s="135"/>
    </row>
    <row r="1493" spans="1:9" ht="21.75" customHeight="1" x14ac:dyDescent="0.25">
      <c r="A1493" s="127">
        <v>44726</v>
      </c>
      <c r="B1493" s="128" t="s">
        <v>19339</v>
      </c>
      <c r="C1493" s="129" t="s">
        <v>11033</v>
      </c>
      <c r="D1493" s="130">
        <v>3401.8</v>
      </c>
      <c r="E1493" s="131" t="s">
        <v>19340</v>
      </c>
      <c r="F1493" s="132">
        <v>3401.8</v>
      </c>
      <c r="G1493" s="133">
        <f>Tabla147[[#This Row],[Importe]]-Tabla147[[#This Row],[Pagado]]</f>
        <v>0</v>
      </c>
      <c r="H1493" s="134" t="s">
        <v>10</v>
      </c>
      <c r="I1493" s="135"/>
    </row>
    <row r="1494" spans="1:9" ht="21.75" customHeight="1" x14ac:dyDescent="0.25">
      <c r="A1494" s="127">
        <v>44726</v>
      </c>
      <c r="B1494" s="128" t="s">
        <v>19341</v>
      </c>
      <c r="C1494" s="129" t="s">
        <v>19342</v>
      </c>
      <c r="D1494" s="130">
        <v>0</v>
      </c>
      <c r="E1494" s="136" t="s">
        <v>189</v>
      </c>
      <c r="F1494" s="132">
        <v>0</v>
      </c>
      <c r="G1494" s="133">
        <f>Tabla147[[#This Row],[Importe]]-Tabla147[[#This Row],[Pagado]]</f>
        <v>0</v>
      </c>
      <c r="H1494" s="137" t="s">
        <v>19343</v>
      </c>
      <c r="I1494" s="135"/>
    </row>
    <row r="1495" spans="1:9" ht="21.75" customHeight="1" x14ac:dyDescent="0.25">
      <c r="A1495" s="127">
        <v>44726</v>
      </c>
      <c r="B1495" s="128" t="s">
        <v>19344</v>
      </c>
      <c r="C1495" s="129" t="s">
        <v>83</v>
      </c>
      <c r="D1495" s="130">
        <v>2176</v>
      </c>
      <c r="E1495" s="131">
        <v>44726</v>
      </c>
      <c r="F1495" s="132">
        <v>2176</v>
      </c>
      <c r="G1495" s="133">
        <f>Tabla147[[#This Row],[Importe]]-Tabla147[[#This Row],[Pagado]]</f>
        <v>0</v>
      </c>
      <c r="H1495" s="134" t="s">
        <v>10</v>
      </c>
      <c r="I1495" s="135"/>
    </row>
    <row r="1496" spans="1:9" ht="21.75" customHeight="1" x14ac:dyDescent="0.25">
      <c r="A1496" s="127">
        <v>44726</v>
      </c>
      <c r="B1496" s="128" t="s">
        <v>19345</v>
      </c>
      <c r="C1496" s="129" t="s">
        <v>19346</v>
      </c>
      <c r="D1496" s="130">
        <v>0</v>
      </c>
      <c r="E1496" s="136" t="s">
        <v>189</v>
      </c>
      <c r="F1496" s="132">
        <v>0</v>
      </c>
      <c r="G1496" s="133">
        <f>Tabla147[[#This Row],[Importe]]-Tabla147[[#This Row],[Pagado]]</f>
        <v>0</v>
      </c>
      <c r="H1496" s="134" t="s">
        <v>189</v>
      </c>
      <c r="I1496" s="135"/>
    </row>
    <row r="1497" spans="1:9" ht="21.75" customHeight="1" x14ac:dyDescent="0.25">
      <c r="A1497" s="127">
        <v>44726</v>
      </c>
      <c r="B1497" s="128" t="s">
        <v>19347</v>
      </c>
      <c r="C1497" s="129" t="s">
        <v>27</v>
      </c>
      <c r="D1497" s="130">
        <v>560</v>
      </c>
      <c r="E1497" s="131">
        <v>44726</v>
      </c>
      <c r="F1497" s="132">
        <v>560</v>
      </c>
      <c r="G1497" s="133">
        <f>Tabla147[[#This Row],[Importe]]-Tabla147[[#This Row],[Pagado]]</f>
        <v>0</v>
      </c>
      <c r="H1497" s="134" t="s">
        <v>10</v>
      </c>
      <c r="I1497" s="135"/>
    </row>
    <row r="1498" spans="1:9" ht="21.75" customHeight="1" x14ac:dyDescent="0.25">
      <c r="A1498" s="127">
        <v>44726</v>
      </c>
      <c r="B1498" s="128" t="s">
        <v>19348</v>
      </c>
      <c r="C1498" s="129" t="s">
        <v>151</v>
      </c>
      <c r="D1498" s="130">
        <v>11419.2</v>
      </c>
      <c r="E1498" s="131">
        <v>44726</v>
      </c>
      <c r="F1498" s="132">
        <v>11419.2</v>
      </c>
      <c r="G1498" s="133">
        <f>Tabla147[[#This Row],[Importe]]-Tabla147[[#This Row],[Pagado]]</f>
        <v>0</v>
      </c>
      <c r="H1498" s="134" t="s">
        <v>10</v>
      </c>
      <c r="I1498" s="135"/>
    </row>
    <row r="1499" spans="1:9" ht="21.75" customHeight="1" x14ac:dyDescent="0.25">
      <c r="A1499" s="127">
        <v>44726</v>
      </c>
      <c r="B1499" s="128" t="s">
        <v>19349</v>
      </c>
      <c r="C1499" s="129" t="s">
        <v>79</v>
      </c>
      <c r="D1499" s="130">
        <v>22685.599999999999</v>
      </c>
      <c r="E1499" s="131">
        <v>44726</v>
      </c>
      <c r="F1499" s="132">
        <v>22685.599999999999</v>
      </c>
      <c r="G1499" s="133">
        <f>Tabla147[[#This Row],[Importe]]-Tabla147[[#This Row],[Pagado]]</f>
        <v>0</v>
      </c>
      <c r="H1499" s="134" t="s">
        <v>10</v>
      </c>
      <c r="I1499" s="135"/>
    </row>
    <row r="1500" spans="1:9" ht="21.75" customHeight="1" x14ac:dyDescent="0.25">
      <c r="A1500" s="127">
        <v>44726</v>
      </c>
      <c r="B1500" s="128" t="s">
        <v>19350</v>
      </c>
      <c r="C1500" s="129" t="s">
        <v>1302</v>
      </c>
      <c r="D1500" s="130">
        <v>10001.1</v>
      </c>
      <c r="E1500" s="131">
        <v>44726</v>
      </c>
      <c r="F1500" s="132">
        <v>10001.1</v>
      </c>
      <c r="G1500" s="133">
        <f>Tabla147[[#This Row],[Importe]]-Tabla147[[#This Row],[Pagado]]</f>
        <v>0</v>
      </c>
      <c r="H1500" s="134" t="s">
        <v>10</v>
      </c>
      <c r="I1500" s="135"/>
    </row>
    <row r="1501" spans="1:9" ht="21.75" customHeight="1" x14ac:dyDescent="0.25">
      <c r="A1501" s="127">
        <v>44726</v>
      </c>
      <c r="B1501" s="128" t="s">
        <v>19351</v>
      </c>
      <c r="C1501" s="129" t="s">
        <v>365</v>
      </c>
      <c r="D1501" s="130">
        <v>427.8</v>
      </c>
      <c r="E1501" s="131">
        <v>44726</v>
      </c>
      <c r="F1501" s="132">
        <v>427.8</v>
      </c>
      <c r="G1501" s="133">
        <f>Tabla147[[#This Row],[Importe]]-Tabla147[[#This Row],[Pagado]]</f>
        <v>0</v>
      </c>
      <c r="H1501" s="134" t="s">
        <v>10</v>
      </c>
      <c r="I1501" s="135"/>
    </row>
    <row r="1502" spans="1:9" ht="21.75" customHeight="1" x14ac:dyDescent="0.25">
      <c r="A1502" s="127">
        <v>44726</v>
      </c>
      <c r="B1502" s="128" t="s">
        <v>19352</v>
      </c>
      <c r="C1502" s="129" t="s">
        <v>56</v>
      </c>
      <c r="D1502" s="130">
        <v>7185.8</v>
      </c>
      <c r="E1502" s="131">
        <v>44726</v>
      </c>
      <c r="F1502" s="132">
        <v>7185.8</v>
      </c>
      <c r="G1502" s="133">
        <f>Tabla147[[#This Row],[Importe]]-Tabla147[[#This Row],[Pagado]]</f>
        <v>0</v>
      </c>
      <c r="H1502" s="134" t="s">
        <v>10</v>
      </c>
      <c r="I1502" s="135"/>
    </row>
    <row r="1503" spans="1:9" ht="21.75" customHeight="1" x14ac:dyDescent="0.25">
      <c r="A1503" s="127">
        <v>44726</v>
      </c>
      <c r="B1503" s="128" t="s">
        <v>19353</v>
      </c>
      <c r="C1503" s="129" t="s">
        <v>142</v>
      </c>
      <c r="D1503" s="130">
        <v>28057.52</v>
      </c>
      <c r="E1503" s="131">
        <v>44769</v>
      </c>
      <c r="F1503" s="132">
        <v>28057.52</v>
      </c>
      <c r="G1503" s="133">
        <f>Tabla147[[#This Row],[Importe]]-Tabla147[[#This Row],[Pagado]]</f>
        <v>0</v>
      </c>
      <c r="H1503" s="134" t="s">
        <v>10</v>
      </c>
      <c r="I1503" s="135"/>
    </row>
    <row r="1504" spans="1:9" ht="21.75" customHeight="1" x14ac:dyDescent="0.25">
      <c r="A1504" s="127">
        <v>44726</v>
      </c>
      <c r="B1504" s="128" t="s">
        <v>19354</v>
      </c>
      <c r="C1504" s="129" t="s">
        <v>647</v>
      </c>
      <c r="D1504" s="130">
        <v>6148</v>
      </c>
      <c r="E1504" s="131">
        <v>44726</v>
      </c>
      <c r="F1504" s="132">
        <v>6148</v>
      </c>
      <c r="G1504" s="133">
        <f>Tabla147[[#This Row],[Importe]]-Tabla147[[#This Row],[Pagado]]</f>
        <v>0</v>
      </c>
      <c r="H1504" s="134" t="s">
        <v>10</v>
      </c>
      <c r="I1504" s="135"/>
    </row>
    <row r="1505" spans="1:9" ht="21.75" customHeight="1" x14ac:dyDescent="0.25">
      <c r="A1505" s="127">
        <v>44726</v>
      </c>
      <c r="B1505" s="128" t="s">
        <v>19355</v>
      </c>
      <c r="C1505" s="129" t="s">
        <v>159</v>
      </c>
      <c r="D1505" s="130">
        <v>1924.5</v>
      </c>
      <c r="E1505" s="131">
        <v>44726</v>
      </c>
      <c r="F1505" s="132">
        <v>1924.5</v>
      </c>
      <c r="G1505" s="133">
        <f>Tabla147[[#This Row],[Importe]]-Tabla147[[#This Row],[Pagado]]</f>
        <v>0</v>
      </c>
      <c r="H1505" s="134" t="s">
        <v>10</v>
      </c>
      <c r="I1505" s="135"/>
    </row>
    <row r="1506" spans="1:9" ht="21.75" customHeight="1" x14ac:dyDescent="0.25">
      <c r="A1506" s="127">
        <v>44726</v>
      </c>
      <c r="B1506" s="128" t="s">
        <v>19356</v>
      </c>
      <c r="C1506" s="129" t="s">
        <v>1239</v>
      </c>
      <c r="D1506" s="130">
        <v>10957.8</v>
      </c>
      <c r="E1506" s="131">
        <v>44726</v>
      </c>
      <c r="F1506" s="132">
        <v>10957.8</v>
      </c>
      <c r="G1506" s="133">
        <f>Tabla147[[#This Row],[Importe]]-Tabla147[[#This Row],[Pagado]]</f>
        <v>0</v>
      </c>
      <c r="H1506" s="134" t="s">
        <v>10</v>
      </c>
      <c r="I1506" s="135"/>
    </row>
    <row r="1507" spans="1:9" ht="21.75" customHeight="1" x14ac:dyDescent="0.25">
      <c r="A1507" s="127">
        <v>44726</v>
      </c>
      <c r="B1507" s="128" t="s">
        <v>19357</v>
      </c>
      <c r="C1507" s="129" t="s">
        <v>196</v>
      </c>
      <c r="D1507" s="130">
        <v>124846.39999999999</v>
      </c>
      <c r="E1507" s="131">
        <v>44729</v>
      </c>
      <c r="F1507" s="132">
        <v>124846.39999999999</v>
      </c>
      <c r="G1507" s="133">
        <f>Tabla147[[#This Row],[Importe]]-Tabla147[[#This Row],[Pagado]]</f>
        <v>0</v>
      </c>
      <c r="H1507" s="134" t="s">
        <v>10</v>
      </c>
      <c r="I1507" s="135"/>
    </row>
    <row r="1508" spans="1:9" ht="21.75" customHeight="1" x14ac:dyDescent="0.25">
      <c r="A1508" s="127">
        <v>44726</v>
      </c>
      <c r="B1508" s="128" t="s">
        <v>19358</v>
      </c>
      <c r="C1508" s="129" t="s">
        <v>348</v>
      </c>
      <c r="D1508" s="130">
        <v>3161.4</v>
      </c>
      <c r="E1508" s="131">
        <v>44726</v>
      </c>
      <c r="F1508" s="132">
        <v>3161.4</v>
      </c>
      <c r="G1508" s="133">
        <f>Tabla147[[#This Row],[Importe]]-Tabla147[[#This Row],[Pagado]]</f>
        <v>0</v>
      </c>
      <c r="H1508" s="134" t="s">
        <v>10</v>
      </c>
      <c r="I1508" s="135"/>
    </row>
    <row r="1509" spans="1:9" ht="21.75" customHeight="1" x14ac:dyDescent="0.25">
      <c r="A1509" s="127">
        <v>44726</v>
      </c>
      <c r="B1509" s="128" t="s">
        <v>19359</v>
      </c>
      <c r="C1509" s="129" t="s">
        <v>670</v>
      </c>
      <c r="D1509" s="130">
        <v>4459</v>
      </c>
      <c r="E1509" s="131">
        <v>44726</v>
      </c>
      <c r="F1509" s="132">
        <v>4459</v>
      </c>
      <c r="G1509" s="133">
        <f>Tabla147[[#This Row],[Importe]]-Tabla147[[#This Row],[Pagado]]</f>
        <v>0</v>
      </c>
      <c r="H1509" s="134" t="s">
        <v>10</v>
      </c>
      <c r="I1509" s="135"/>
    </row>
    <row r="1510" spans="1:9" ht="21.75" customHeight="1" x14ac:dyDescent="0.25">
      <c r="A1510" s="127">
        <v>44726</v>
      </c>
      <c r="B1510" s="128" t="s">
        <v>19360</v>
      </c>
      <c r="C1510" s="129" t="s">
        <v>45</v>
      </c>
      <c r="D1510" s="130">
        <v>9455.4</v>
      </c>
      <c r="E1510" s="131">
        <v>44726</v>
      </c>
      <c r="F1510" s="132">
        <v>9455.4</v>
      </c>
      <c r="G1510" s="133">
        <f>Tabla147[[#This Row],[Importe]]-Tabla147[[#This Row],[Pagado]]</f>
        <v>0</v>
      </c>
      <c r="H1510" s="134" t="s">
        <v>10</v>
      </c>
      <c r="I1510" s="135"/>
    </row>
    <row r="1511" spans="1:9" ht="21.75" customHeight="1" x14ac:dyDescent="0.25">
      <c r="A1511" s="127">
        <v>44726</v>
      </c>
      <c r="B1511" s="128" t="s">
        <v>19361</v>
      </c>
      <c r="C1511" s="129" t="s">
        <v>230</v>
      </c>
      <c r="D1511" s="130">
        <v>4894.3999999999996</v>
      </c>
      <c r="E1511" s="131">
        <v>44726</v>
      </c>
      <c r="F1511" s="132">
        <v>4894.3999999999996</v>
      </c>
      <c r="G1511" s="133">
        <f>Tabla147[[#This Row],[Importe]]-Tabla147[[#This Row],[Pagado]]</f>
        <v>0</v>
      </c>
      <c r="H1511" s="134" t="s">
        <v>10</v>
      </c>
      <c r="I1511" s="135"/>
    </row>
    <row r="1512" spans="1:9" ht="21.75" customHeight="1" x14ac:dyDescent="0.25">
      <c r="A1512" s="127">
        <v>44726</v>
      </c>
      <c r="B1512" s="128" t="s">
        <v>19362</v>
      </c>
      <c r="C1512" s="129" t="s">
        <v>24</v>
      </c>
      <c r="D1512" s="130">
        <v>2541.4</v>
      </c>
      <c r="E1512" s="131">
        <v>44726</v>
      </c>
      <c r="F1512" s="132">
        <v>2541.4</v>
      </c>
      <c r="G1512" s="133">
        <f>Tabla147[[#This Row],[Importe]]-Tabla147[[#This Row],[Pagado]]</f>
        <v>0</v>
      </c>
      <c r="H1512" s="134" t="s">
        <v>10</v>
      </c>
      <c r="I1512" s="135"/>
    </row>
    <row r="1513" spans="1:9" ht="21.75" customHeight="1" x14ac:dyDescent="0.25">
      <c r="A1513" s="127">
        <v>44726</v>
      </c>
      <c r="B1513" s="128" t="s">
        <v>19363</v>
      </c>
      <c r="C1513" s="129" t="s">
        <v>421</v>
      </c>
      <c r="D1513" s="130">
        <v>7084.5</v>
      </c>
      <c r="E1513" s="131">
        <v>44726</v>
      </c>
      <c r="F1513" s="132">
        <v>7084.5</v>
      </c>
      <c r="G1513" s="133">
        <f>Tabla147[[#This Row],[Importe]]-Tabla147[[#This Row],[Pagado]]</f>
        <v>0</v>
      </c>
      <c r="H1513" s="134" t="s">
        <v>10</v>
      </c>
      <c r="I1513" s="135"/>
    </row>
    <row r="1514" spans="1:9" ht="21.75" customHeight="1" x14ac:dyDescent="0.25">
      <c r="A1514" s="127">
        <v>44726</v>
      </c>
      <c r="B1514" s="128" t="s">
        <v>19364</v>
      </c>
      <c r="C1514" s="129" t="s">
        <v>520</v>
      </c>
      <c r="D1514" s="130">
        <v>20122</v>
      </c>
      <c r="E1514" s="131">
        <v>44726</v>
      </c>
      <c r="F1514" s="132">
        <v>20122</v>
      </c>
      <c r="G1514" s="133">
        <f>Tabla147[[#This Row],[Importe]]-Tabla147[[#This Row],[Pagado]]</f>
        <v>0</v>
      </c>
      <c r="H1514" s="134" t="s">
        <v>10</v>
      </c>
      <c r="I1514" s="135"/>
    </row>
    <row r="1515" spans="1:9" ht="21.75" customHeight="1" x14ac:dyDescent="0.25">
      <c r="A1515" s="127">
        <v>44726</v>
      </c>
      <c r="B1515" s="128" t="s">
        <v>19365</v>
      </c>
      <c r="C1515" s="129" t="s">
        <v>175</v>
      </c>
      <c r="D1515" s="130">
        <v>23934.9</v>
      </c>
      <c r="E1515" s="131">
        <v>44726</v>
      </c>
      <c r="F1515" s="132">
        <v>23934.9</v>
      </c>
      <c r="G1515" s="133">
        <f>Tabla147[[#This Row],[Importe]]-Tabla147[[#This Row],[Pagado]]</f>
        <v>0</v>
      </c>
      <c r="H1515" s="134" t="s">
        <v>10</v>
      </c>
      <c r="I1515" s="135"/>
    </row>
    <row r="1516" spans="1:9" ht="21.75" customHeight="1" x14ac:dyDescent="0.25">
      <c r="A1516" s="127">
        <v>44726</v>
      </c>
      <c r="B1516" s="128" t="s">
        <v>19366</v>
      </c>
      <c r="C1516" s="129" t="s">
        <v>216</v>
      </c>
      <c r="D1516" s="130">
        <v>1999.2</v>
      </c>
      <c r="E1516" s="131">
        <v>44726</v>
      </c>
      <c r="F1516" s="132">
        <v>1999.2</v>
      </c>
      <c r="G1516" s="133">
        <f>Tabla147[[#This Row],[Importe]]-Tabla147[[#This Row],[Pagado]]</f>
        <v>0</v>
      </c>
      <c r="H1516" s="134" t="s">
        <v>10</v>
      </c>
      <c r="I1516" s="135"/>
    </row>
    <row r="1517" spans="1:9" ht="21.75" customHeight="1" x14ac:dyDescent="0.25">
      <c r="A1517" s="127">
        <v>44726</v>
      </c>
      <c r="B1517" s="128" t="s">
        <v>19367</v>
      </c>
      <c r="C1517" s="129" t="s">
        <v>396</v>
      </c>
      <c r="D1517" s="130">
        <v>11479.6</v>
      </c>
      <c r="E1517" s="131">
        <v>44736</v>
      </c>
      <c r="F1517" s="132">
        <v>11479.6</v>
      </c>
      <c r="G1517" s="133">
        <f>Tabla147[[#This Row],[Importe]]-Tabla147[[#This Row],[Pagado]]</f>
        <v>0</v>
      </c>
      <c r="H1517" s="134" t="s">
        <v>10</v>
      </c>
      <c r="I1517" s="135"/>
    </row>
    <row r="1518" spans="1:9" ht="21.75" customHeight="1" x14ac:dyDescent="0.25">
      <c r="A1518" s="127">
        <v>44726</v>
      </c>
      <c r="B1518" s="128" t="s">
        <v>19368</v>
      </c>
      <c r="C1518" s="129" t="s">
        <v>414</v>
      </c>
      <c r="D1518" s="130">
        <v>21148</v>
      </c>
      <c r="E1518" s="131">
        <v>44726</v>
      </c>
      <c r="F1518" s="132">
        <v>21148</v>
      </c>
      <c r="G1518" s="133">
        <f>Tabla147[[#This Row],[Importe]]-Tabla147[[#This Row],[Pagado]]</f>
        <v>0</v>
      </c>
      <c r="H1518" s="134" t="s">
        <v>10</v>
      </c>
      <c r="I1518" s="135"/>
    </row>
    <row r="1519" spans="1:9" ht="21.75" customHeight="1" x14ac:dyDescent="0.25">
      <c r="A1519" s="127">
        <v>44726</v>
      </c>
      <c r="B1519" s="128" t="s">
        <v>19369</v>
      </c>
      <c r="C1519" s="129" t="s">
        <v>9587</v>
      </c>
      <c r="D1519" s="130">
        <v>1570.9</v>
      </c>
      <c r="E1519" s="131">
        <v>44726</v>
      </c>
      <c r="F1519" s="132">
        <v>1570.9</v>
      </c>
      <c r="G1519" s="133">
        <f>Tabla147[[#This Row],[Importe]]-Tabla147[[#This Row],[Pagado]]</f>
        <v>0</v>
      </c>
      <c r="H1519" s="134" t="s">
        <v>10</v>
      </c>
      <c r="I1519" s="135"/>
    </row>
    <row r="1520" spans="1:9" ht="21.75" customHeight="1" x14ac:dyDescent="0.25">
      <c r="A1520" s="127">
        <v>44726</v>
      </c>
      <c r="B1520" s="128" t="s">
        <v>19370</v>
      </c>
      <c r="C1520" s="129" t="s">
        <v>450</v>
      </c>
      <c r="D1520" s="130">
        <v>7263.5</v>
      </c>
      <c r="E1520" s="131">
        <v>44726</v>
      </c>
      <c r="F1520" s="132">
        <v>7263.5</v>
      </c>
      <c r="G1520" s="133">
        <f>Tabla147[[#This Row],[Importe]]-Tabla147[[#This Row],[Pagado]]</f>
        <v>0</v>
      </c>
      <c r="H1520" s="134" t="s">
        <v>10</v>
      </c>
      <c r="I1520" s="135"/>
    </row>
    <row r="1521" spans="1:9" ht="21.75" customHeight="1" x14ac:dyDescent="0.25">
      <c r="A1521" s="127">
        <v>44726</v>
      </c>
      <c r="B1521" s="128" t="s">
        <v>19371</v>
      </c>
      <c r="C1521" s="129" t="s">
        <v>15039</v>
      </c>
      <c r="D1521" s="130">
        <v>3190.1</v>
      </c>
      <c r="E1521" s="131">
        <v>44726</v>
      </c>
      <c r="F1521" s="132">
        <v>3190.1</v>
      </c>
      <c r="G1521" s="133">
        <f>Tabla147[[#This Row],[Importe]]-Tabla147[[#This Row],[Pagado]]</f>
        <v>0</v>
      </c>
      <c r="H1521" s="134" t="s">
        <v>10</v>
      </c>
      <c r="I1521" s="135"/>
    </row>
    <row r="1522" spans="1:9" ht="21.75" customHeight="1" x14ac:dyDescent="0.25">
      <c r="A1522" s="127">
        <v>44726</v>
      </c>
      <c r="B1522" s="128" t="s">
        <v>19372</v>
      </c>
      <c r="C1522" s="129" t="s">
        <v>31</v>
      </c>
      <c r="D1522" s="130">
        <v>12655</v>
      </c>
      <c r="E1522" s="131">
        <v>44726</v>
      </c>
      <c r="F1522" s="132">
        <v>12655</v>
      </c>
      <c r="G1522" s="133">
        <f>Tabla147[[#This Row],[Importe]]-Tabla147[[#This Row],[Pagado]]</f>
        <v>0</v>
      </c>
      <c r="H1522" s="134" t="s">
        <v>10</v>
      </c>
      <c r="I1522" s="135"/>
    </row>
    <row r="1523" spans="1:9" ht="21.75" customHeight="1" x14ac:dyDescent="0.25">
      <c r="A1523" s="127">
        <v>44726</v>
      </c>
      <c r="B1523" s="128" t="s">
        <v>19373</v>
      </c>
      <c r="C1523" s="129" t="s">
        <v>31</v>
      </c>
      <c r="D1523" s="130">
        <v>720</v>
      </c>
      <c r="E1523" s="131">
        <v>44726</v>
      </c>
      <c r="F1523" s="132">
        <v>720</v>
      </c>
      <c r="G1523" s="133">
        <f>Tabla147[[#This Row],[Importe]]-Tabla147[[#This Row],[Pagado]]</f>
        <v>0</v>
      </c>
      <c r="H1523" s="134" t="s">
        <v>10</v>
      </c>
      <c r="I1523" s="135"/>
    </row>
    <row r="1524" spans="1:9" ht="21.75" customHeight="1" x14ac:dyDescent="0.25">
      <c r="A1524" s="127">
        <v>44726</v>
      </c>
      <c r="B1524" s="128" t="s">
        <v>19374</v>
      </c>
      <c r="C1524" s="129" t="s">
        <v>698</v>
      </c>
      <c r="D1524" s="130">
        <v>8456.4</v>
      </c>
      <c r="E1524" s="131">
        <v>44726</v>
      </c>
      <c r="F1524" s="132">
        <v>8456.4</v>
      </c>
      <c r="G1524" s="133">
        <f>Tabla147[[#This Row],[Importe]]-Tabla147[[#This Row],[Pagado]]</f>
        <v>0</v>
      </c>
      <c r="H1524" s="134" t="s">
        <v>10</v>
      </c>
      <c r="I1524" s="135"/>
    </row>
    <row r="1525" spans="1:9" ht="21.75" customHeight="1" x14ac:dyDescent="0.25">
      <c r="A1525" s="127">
        <v>44726</v>
      </c>
      <c r="B1525" s="128" t="s">
        <v>19375</v>
      </c>
      <c r="C1525" s="129" t="s">
        <v>31</v>
      </c>
      <c r="D1525" s="130">
        <v>1686.4</v>
      </c>
      <c r="E1525" s="131">
        <v>44726</v>
      </c>
      <c r="F1525" s="132">
        <v>1686.4</v>
      </c>
      <c r="G1525" s="133">
        <f>Tabla147[[#This Row],[Importe]]-Tabla147[[#This Row],[Pagado]]</f>
        <v>0</v>
      </c>
      <c r="H1525" s="134" t="s">
        <v>10</v>
      </c>
      <c r="I1525" s="135"/>
    </row>
    <row r="1526" spans="1:9" ht="21.75" customHeight="1" x14ac:dyDescent="0.25">
      <c r="A1526" s="127">
        <v>44726</v>
      </c>
      <c r="B1526" s="128" t="s">
        <v>19376</v>
      </c>
      <c r="C1526" s="129" t="s">
        <v>31</v>
      </c>
      <c r="D1526" s="130">
        <v>46175</v>
      </c>
      <c r="E1526" s="131">
        <v>44726</v>
      </c>
      <c r="F1526" s="132">
        <v>46175</v>
      </c>
      <c r="G1526" s="133">
        <f>Tabla147[[#This Row],[Importe]]-Tabla147[[#This Row],[Pagado]]</f>
        <v>0</v>
      </c>
      <c r="H1526" s="134" t="s">
        <v>10</v>
      </c>
      <c r="I1526" s="135"/>
    </row>
    <row r="1527" spans="1:9" ht="21.75" customHeight="1" x14ac:dyDescent="0.25">
      <c r="A1527" s="127">
        <v>44726</v>
      </c>
      <c r="B1527" s="128" t="s">
        <v>19377</v>
      </c>
      <c r="C1527" s="129" t="s">
        <v>1265</v>
      </c>
      <c r="D1527" s="130">
        <v>732</v>
      </c>
      <c r="E1527" s="131">
        <v>44726</v>
      </c>
      <c r="F1527" s="132">
        <v>732</v>
      </c>
      <c r="G1527" s="133">
        <f>Tabla147[[#This Row],[Importe]]-Tabla147[[#This Row],[Pagado]]</f>
        <v>0</v>
      </c>
      <c r="H1527" s="134" t="s">
        <v>10</v>
      </c>
      <c r="I1527" s="135"/>
    </row>
    <row r="1528" spans="1:9" ht="21.75" customHeight="1" x14ac:dyDescent="0.25">
      <c r="A1528" s="127">
        <v>44726</v>
      </c>
      <c r="B1528" s="128" t="s">
        <v>19378</v>
      </c>
      <c r="C1528" s="129" t="s">
        <v>419</v>
      </c>
      <c r="D1528" s="130">
        <v>9652.1</v>
      </c>
      <c r="E1528" s="131">
        <v>44726</v>
      </c>
      <c r="F1528" s="132">
        <v>9652.1</v>
      </c>
      <c r="G1528" s="133">
        <f>Tabla147[[#This Row],[Importe]]-Tabla147[[#This Row],[Pagado]]</f>
        <v>0</v>
      </c>
      <c r="H1528" s="134" t="s">
        <v>10</v>
      </c>
      <c r="I1528" s="135"/>
    </row>
    <row r="1529" spans="1:9" ht="21.75" customHeight="1" x14ac:dyDescent="0.25">
      <c r="A1529" s="127">
        <v>44726</v>
      </c>
      <c r="B1529" s="128" t="s">
        <v>19379</v>
      </c>
      <c r="C1529" s="129" t="s">
        <v>58</v>
      </c>
      <c r="D1529" s="130">
        <v>5511.6</v>
      </c>
      <c r="E1529" s="131">
        <v>44726</v>
      </c>
      <c r="F1529" s="132">
        <v>5511.6</v>
      </c>
      <c r="G1529" s="133">
        <f>Tabla147[[#This Row],[Importe]]-Tabla147[[#This Row],[Pagado]]</f>
        <v>0</v>
      </c>
      <c r="H1529" s="134" t="s">
        <v>10</v>
      </c>
      <c r="I1529" s="135"/>
    </row>
    <row r="1530" spans="1:9" ht="21.75" customHeight="1" x14ac:dyDescent="0.25">
      <c r="A1530" s="127">
        <v>44726</v>
      </c>
      <c r="B1530" s="128" t="s">
        <v>19380</v>
      </c>
      <c r="C1530" s="129" t="s">
        <v>214</v>
      </c>
      <c r="D1530" s="130">
        <v>1292</v>
      </c>
      <c r="E1530" s="131">
        <v>44726</v>
      </c>
      <c r="F1530" s="132">
        <v>1292</v>
      </c>
      <c r="G1530" s="133">
        <f>Tabla147[[#This Row],[Importe]]-Tabla147[[#This Row],[Pagado]]</f>
        <v>0</v>
      </c>
      <c r="H1530" s="134" t="s">
        <v>10</v>
      </c>
      <c r="I1530" s="135"/>
    </row>
    <row r="1531" spans="1:9" ht="21.75" customHeight="1" x14ac:dyDescent="0.25">
      <c r="A1531" s="127">
        <v>44726</v>
      </c>
      <c r="B1531" s="128" t="s">
        <v>19381</v>
      </c>
      <c r="C1531" s="129" t="s">
        <v>31</v>
      </c>
      <c r="D1531" s="130">
        <v>1150.8</v>
      </c>
      <c r="E1531" s="131">
        <v>44726</v>
      </c>
      <c r="F1531" s="132">
        <v>1150.8</v>
      </c>
      <c r="G1531" s="133">
        <f>Tabla147[[#This Row],[Importe]]-Tabla147[[#This Row],[Pagado]]</f>
        <v>0</v>
      </c>
      <c r="H1531" s="134" t="s">
        <v>10</v>
      </c>
      <c r="I1531" s="135"/>
    </row>
    <row r="1532" spans="1:9" ht="21.75" customHeight="1" x14ac:dyDescent="0.25">
      <c r="A1532" s="127">
        <v>44726</v>
      </c>
      <c r="B1532" s="128" t="s">
        <v>19382</v>
      </c>
      <c r="C1532" s="129" t="s">
        <v>273</v>
      </c>
      <c r="D1532" s="130">
        <v>2287.1999999999998</v>
      </c>
      <c r="E1532" s="131">
        <v>44726</v>
      </c>
      <c r="F1532" s="132">
        <v>2287.1999999999998</v>
      </c>
      <c r="G1532" s="133">
        <f>Tabla147[[#This Row],[Importe]]-Tabla147[[#This Row],[Pagado]]</f>
        <v>0</v>
      </c>
      <c r="H1532" s="134" t="s">
        <v>10</v>
      </c>
      <c r="I1532" s="135"/>
    </row>
    <row r="1533" spans="1:9" ht="21.75" customHeight="1" x14ac:dyDescent="0.25">
      <c r="A1533" s="127">
        <v>44726</v>
      </c>
      <c r="B1533" s="128" t="s">
        <v>19383</v>
      </c>
      <c r="C1533" s="129" t="s">
        <v>433</v>
      </c>
      <c r="D1533" s="130">
        <v>34000</v>
      </c>
      <c r="E1533" s="131">
        <v>44726</v>
      </c>
      <c r="F1533" s="132">
        <v>34000</v>
      </c>
      <c r="G1533" s="133">
        <f>Tabla147[[#This Row],[Importe]]-Tabla147[[#This Row],[Pagado]]</f>
        <v>0</v>
      </c>
      <c r="H1533" s="134" t="s">
        <v>10</v>
      </c>
      <c r="I1533" s="135"/>
    </row>
    <row r="1534" spans="1:9" ht="21.75" customHeight="1" x14ac:dyDescent="0.25">
      <c r="A1534" s="127">
        <v>44726</v>
      </c>
      <c r="B1534" s="128" t="s">
        <v>19384</v>
      </c>
      <c r="C1534" s="129" t="s">
        <v>107</v>
      </c>
      <c r="D1534" s="130">
        <v>12037.2</v>
      </c>
      <c r="E1534" s="131">
        <v>44726</v>
      </c>
      <c r="F1534" s="132">
        <v>12037.2</v>
      </c>
      <c r="G1534" s="133">
        <f>Tabla147[[#This Row],[Importe]]-Tabla147[[#This Row],[Pagado]]</f>
        <v>0</v>
      </c>
      <c r="H1534" s="134" t="s">
        <v>10</v>
      </c>
      <c r="I1534" s="135"/>
    </row>
    <row r="1535" spans="1:9" ht="21.75" customHeight="1" x14ac:dyDescent="0.25">
      <c r="A1535" s="127">
        <v>44726</v>
      </c>
      <c r="B1535" s="128" t="s">
        <v>19385</v>
      </c>
      <c r="C1535" s="129" t="s">
        <v>67</v>
      </c>
      <c r="D1535" s="130">
        <v>2386.4</v>
      </c>
      <c r="E1535" s="131">
        <v>44726</v>
      </c>
      <c r="F1535" s="132">
        <v>2386.4</v>
      </c>
      <c r="G1535" s="133">
        <f>Tabla147[[#This Row],[Importe]]-Tabla147[[#This Row],[Pagado]]</f>
        <v>0</v>
      </c>
      <c r="H1535" s="134" t="s">
        <v>10</v>
      </c>
      <c r="I1535" s="135"/>
    </row>
    <row r="1536" spans="1:9" ht="21.75" customHeight="1" x14ac:dyDescent="0.25">
      <c r="A1536" s="127">
        <v>44726</v>
      </c>
      <c r="B1536" s="128" t="s">
        <v>19386</v>
      </c>
      <c r="C1536" s="129" t="s">
        <v>142</v>
      </c>
      <c r="D1536" s="130">
        <v>4554</v>
      </c>
      <c r="E1536" s="131">
        <v>44769</v>
      </c>
      <c r="F1536" s="132">
        <v>4554</v>
      </c>
      <c r="G1536" s="133">
        <f>Tabla147[[#This Row],[Importe]]-Tabla147[[#This Row],[Pagado]]</f>
        <v>0</v>
      </c>
      <c r="H1536" s="134" t="s">
        <v>10</v>
      </c>
      <c r="I1536" s="135"/>
    </row>
    <row r="1537" spans="1:9" ht="21.75" customHeight="1" x14ac:dyDescent="0.25">
      <c r="A1537" s="127">
        <v>44726</v>
      </c>
      <c r="B1537" s="128" t="s">
        <v>19387</v>
      </c>
      <c r="C1537" s="129" t="s">
        <v>296</v>
      </c>
      <c r="D1537" s="130">
        <v>5997.9</v>
      </c>
      <c r="E1537" s="131">
        <v>44726</v>
      </c>
      <c r="F1537" s="132">
        <v>5997.9</v>
      </c>
      <c r="G1537" s="133">
        <f>Tabla147[[#This Row],[Importe]]-Tabla147[[#This Row],[Pagado]]</f>
        <v>0</v>
      </c>
      <c r="H1537" s="134" t="s">
        <v>10</v>
      </c>
      <c r="I1537" s="135"/>
    </row>
    <row r="1538" spans="1:9" ht="21.75" customHeight="1" x14ac:dyDescent="0.25">
      <c r="A1538" s="127">
        <v>44726</v>
      </c>
      <c r="B1538" s="128" t="s">
        <v>19388</v>
      </c>
      <c r="C1538" s="129" t="s">
        <v>452</v>
      </c>
      <c r="D1538" s="130">
        <v>2354.4</v>
      </c>
      <c r="E1538" s="131">
        <v>44726</v>
      </c>
      <c r="F1538" s="132">
        <v>2354.4</v>
      </c>
      <c r="G1538" s="133">
        <f>Tabla147[[#This Row],[Importe]]-Tabla147[[#This Row],[Pagado]]</f>
        <v>0</v>
      </c>
      <c r="H1538" s="134" t="s">
        <v>10</v>
      </c>
      <c r="I1538" s="135"/>
    </row>
    <row r="1539" spans="1:9" ht="21.75" customHeight="1" x14ac:dyDescent="0.25">
      <c r="A1539" s="127">
        <v>44726</v>
      </c>
      <c r="B1539" s="128" t="s">
        <v>19389</v>
      </c>
      <c r="C1539" s="129" t="s">
        <v>275</v>
      </c>
      <c r="D1539" s="130">
        <v>74624.7</v>
      </c>
      <c r="E1539" s="131">
        <v>44736</v>
      </c>
      <c r="F1539" s="132">
        <v>74624.7</v>
      </c>
      <c r="G1539" s="133">
        <f>Tabla147[[#This Row],[Importe]]-Tabla147[[#This Row],[Pagado]]</f>
        <v>0</v>
      </c>
      <c r="H1539" s="134" t="s">
        <v>10</v>
      </c>
      <c r="I1539" s="135"/>
    </row>
    <row r="1540" spans="1:9" ht="21.75" customHeight="1" x14ac:dyDescent="0.25">
      <c r="A1540" s="127">
        <v>44726</v>
      </c>
      <c r="B1540" s="128" t="s">
        <v>19390</v>
      </c>
      <c r="C1540" s="129" t="s">
        <v>484</v>
      </c>
      <c r="D1540" s="130">
        <v>3769.2</v>
      </c>
      <c r="E1540" s="131">
        <v>44726</v>
      </c>
      <c r="F1540" s="132">
        <v>3769.2</v>
      </c>
      <c r="G1540" s="133">
        <f>Tabla147[[#This Row],[Importe]]-Tabla147[[#This Row],[Pagado]]</f>
        <v>0</v>
      </c>
      <c r="H1540" s="134" t="s">
        <v>10</v>
      </c>
      <c r="I1540" s="135"/>
    </row>
    <row r="1541" spans="1:9" ht="21.75" customHeight="1" x14ac:dyDescent="0.25">
      <c r="A1541" s="127">
        <v>44726</v>
      </c>
      <c r="B1541" s="128" t="s">
        <v>19391</v>
      </c>
      <c r="C1541" s="129" t="s">
        <v>31</v>
      </c>
      <c r="D1541" s="130">
        <v>26788.1</v>
      </c>
      <c r="E1541" s="131">
        <v>44726</v>
      </c>
      <c r="F1541" s="132">
        <v>26788.1</v>
      </c>
      <c r="G1541" s="133">
        <f>Tabla147[[#This Row],[Importe]]-Tabla147[[#This Row],[Pagado]]</f>
        <v>0</v>
      </c>
      <c r="H1541" s="134" t="s">
        <v>10</v>
      </c>
      <c r="I1541" s="135"/>
    </row>
    <row r="1542" spans="1:9" ht="21.75" customHeight="1" x14ac:dyDescent="0.25">
      <c r="A1542" s="127">
        <v>44726</v>
      </c>
      <c r="B1542" s="128" t="s">
        <v>19392</v>
      </c>
      <c r="C1542" s="129" t="s">
        <v>31</v>
      </c>
      <c r="D1542" s="130">
        <v>20393.8</v>
      </c>
      <c r="E1542" s="131">
        <v>44726</v>
      </c>
      <c r="F1542" s="132">
        <v>20393.8</v>
      </c>
      <c r="G1542" s="133">
        <f>Tabla147[[#This Row],[Importe]]-Tabla147[[#This Row],[Pagado]]</f>
        <v>0</v>
      </c>
      <c r="H1542" s="134" t="s">
        <v>10</v>
      </c>
      <c r="I1542" s="135"/>
    </row>
    <row r="1543" spans="1:9" ht="21.75" customHeight="1" x14ac:dyDescent="0.25">
      <c r="A1543" s="127">
        <v>44726</v>
      </c>
      <c r="B1543" s="128" t="s">
        <v>19393</v>
      </c>
      <c r="C1543" s="129" t="s">
        <v>284</v>
      </c>
      <c r="D1543" s="130">
        <v>8513.6</v>
      </c>
      <c r="E1543" s="131">
        <v>44727</v>
      </c>
      <c r="F1543" s="132">
        <v>8513.6</v>
      </c>
      <c r="G1543" s="133">
        <f>Tabla147[[#This Row],[Importe]]-Tabla147[[#This Row],[Pagado]]</f>
        <v>0</v>
      </c>
      <c r="H1543" s="134" t="s">
        <v>10</v>
      </c>
      <c r="I1543" s="135"/>
    </row>
    <row r="1544" spans="1:9" ht="21.75" customHeight="1" x14ac:dyDescent="0.25">
      <c r="A1544" s="127">
        <v>44726</v>
      </c>
      <c r="B1544" s="128" t="s">
        <v>19394</v>
      </c>
      <c r="C1544" s="129" t="s">
        <v>280</v>
      </c>
      <c r="D1544" s="130">
        <v>1162.8</v>
      </c>
      <c r="E1544" s="131">
        <v>44727</v>
      </c>
      <c r="F1544" s="132">
        <v>1162.8</v>
      </c>
      <c r="G1544" s="133">
        <f>Tabla147[[#This Row],[Importe]]-Tabla147[[#This Row],[Pagado]]</f>
        <v>0</v>
      </c>
      <c r="H1544" s="134" t="s">
        <v>10</v>
      </c>
      <c r="I1544" s="135"/>
    </row>
    <row r="1545" spans="1:9" ht="21.75" customHeight="1" x14ac:dyDescent="0.25">
      <c r="A1545" s="127">
        <v>44726</v>
      </c>
      <c r="B1545" s="128" t="s">
        <v>19395</v>
      </c>
      <c r="C1545" s="129" t="s">
        <v>10819</v>
      </c>
      <c r="D1545" s="130">
        <v>652.79999999999995</v>
      </c>
      <c r="E1545" s="131">
        <v>44727</v>
      </c>
      <c r="F1545" s="132">
        <v>652.79999999999995</v>
      </c>
      <c r="G1545" s="133">
        <f>Tabla147[[#This Row],[Importe]]-Tabla147[[#This Row],[Pagado]]</f>
        <v>0</v>
      </c>
      <c r="H1545" s="134" t="s">
        <v>10</v>
      </c>
      <c r="I1545" s="135"/>
    </row>
    <row r="1546" spans="1:9" ht="21.75" customHeight="1" x14ac:dyDescent="0.25">
      <c r="A1546" s="127">
        <v>44726</v>
      </c>
      <c r="B1546" s="128" t="s">
        <v>19396</v>
      </c>
      <c r="C1546" s="129" t="s">
        <v>5345</v>
      </c>
      <c r="D1546" s="130">
        <v>1203.5999999999999</v>
      </c>
      <c r="E1546" s="131">
        <v>44727</v>
      </c>
      <c r="F1546" s="132">
        <v>1203.5999999999999</v>
      </c>
      <c r="G1546" s="133">
        <f>Tabla147[[#This Row],[Importe]]-Tabla147[[#This Row],[Pagado]]</f>
        <v>0</v>
      </c>
      <c r="H1546" s="134" t="s">
        <v>10</v>
      </c>
      <c r="I1546" s="135"/>
    </row>
    <row r="1547" spans="1:9" ht="21.75" customHeight="1" x14ac:dyDescent="0.25">
      <c r="A1547" s="127">
        <v>44726</v>
      </c>
      <c r="B1547" s="128" t="s">
        <v>19397</v>
      </c>
      <c r="C1547" s="129" t="s">
        <v>263</v>
      </c>
      <c r="D1547" s="130">
        <v>17294.400000000001</v>
      </c>
      <c r="E1547" s="131">
        <v>44726</v>
      </c>
      <c r="F1547" s="132">
        <v>17294.400000000001</v>
      </c>
      <c r="G1547" s="133">
        <f>Tabla147[[#This Row],[Importe]]-Tabla147[[#This Row],[Pagado]]</f>
        <v>0</v>
      </c>
      <c r="H1547" s="134" t="s">
        <v>10</v>
      </c>
      <c r="I1547" s="135"/>
    </row>
    <row r="1548" spans="1:9" ht="21.75" customHeight="1" x14ac:dyDescent="0.25">
      <c r="A1548" s="127">
        <v>44726</v>
      </c>
      <c r="B1548" s="128" t="s">
        <v>19398</v>
      </c>
      <c r="C1548" s="129" t="s">
        <v>5620</v>
      </c>
      <c r="D1548" s="130">
        <v>33316.800000000003</v>
      </c>
      <c r="E1548" s="131">
        <v>44774</v>
      </c>
      <c r="F1548" s="132">
        <v>33316.800000000003</v>
      </c>
      <c r="G1548" s="133">
        <f>Tabla147[[#This Row],[Importe]]-Tabla147[[#This Row],[Pagado]]</f>
        <v>0</v>
      </c>
      <c r="H1548" s="134" t="s">
        <v>10</v>
      </c>
      <c r="I1548" s="135"/>
    </row>
    <row r="1549" spans="1:9" ht="21.75" customHeight="1" x14ac:dyDescent="0.25">
      <c r="A1549" s="127">
        <v>44726</v>
      </c>
      <c r="B1549" s="128" t="s">
        <v>19399</v>
      </c>
      <c r="C1549" s="129" t="s">
        <v>440</v>
      </c>
      <c r="D1549" s="130">
        <v>13667.08</v>
      </c>
      <c r="E1549" s="131">
        <v>44736</v>
      </c>
      <c r="F1549" s="132">
        <v>13667.08</v>
      </c>
      <c r="G1549" s="133">
        <f>Tabla147[[#This Row],[Importe]]-Tabla147[[#This Row],[Pagado]]</f>
        <v>0</v>
      </c>
      <c r="H1549" s="134" t="s">
        <v>10</v>
      </c>
      <c r="I1549" s="135"/>
    </row>
    <row r="1550" spans="1:9" ht="21.75" customHeight="1" x14ac:dyDescent="0.25">
      <c r="A1550" s="127">
        <v>44726</v>
      </c>
      <c r="B1550" s="128" t="s">
        <v>19400</v>
      </c>
      <c r="C1550" s="129" t="s">
        <v>2139</v>
      </c>
      <c r="D1550" s="130">
        <v>2319.9</v>
      </c>
      <c r="E1550" s="131">
        <v>44726</v>
      </c>
      <c r="F1550" s="132">
        <v>2319.9</v>
      </c>
      <c r="G1550" s="133">
        <f>Tabla147[[#This Row],[Importe]]-Tabla147[[#This Row],[Pagado]]</f>
        <v>0</v>
      </c>
      <c r="H1550" s="134" t="s">
        <v>10</v>
      </c>
      <c r="I1550" s="135"/>
    </row>
    <row r="1551" spans="1:9" ht="21.75" customHeight="1" x14ac:dyDescent="0.25">
      <c r="A1551" s="127">
        <v>44726</v>
      </c>
      <c r="B1551" s="128" t="s">
        <v>19401</v>
      </c>
      <c r="C1551" s="129" t="s">
        <v>10678</v>
      </c>
      <c r="D1551" s="130">
        <v>1758</v>
      </c>
      <c r="E1551" s="131">
        <v>44726</v>
      </c>
      <c r="F1551" s="132">
        <v>1758</v>
      </c>
      <c r="G1551" s="133">
        <f>Tabla147[[#This Row],[Importe]]-Tabla147[[#This Row],[Pagado]]</f>
        <v>0</v>
      </c>
      <c r="H1551" s="134" t="s">
        <v>10</v>
      </c>
      <c r="I1551" s="135"/>
    </row>
    <row r="1552" spans="1:9" ht="21.75" customHeight="1" x14ac:dyDescent="0.25">
      <c r="A1552" s="127">
        <v>44726</v>
      </c>
      <c r="B1552" s="128" t="s">
        <v>19402</v>
      </c>
      <c r="C1552" s="129" t="s">
        <v>19403</v>
      </c>
      <c r="D1552" s="130">
        <v>0</v>
      </c>
      <c r="E1552" s="136" t="s">
        <v>189</v>
      </c>
      <c r="F1552" s="132">
        <v>0</v>
      </c>
      <c r="G1552" s="133">
        <f>Tabla147[[#This Row],[Importe]]-Tabla147[[#This Row],[Pagado]]</f>
        <v>0</v>
      </c>
      <c r="H1552" s="137" t="s">
        <v>19404</v>
      </c>
      <c r="I1552" s="135"/>
    </row>
    <row r="1553" spans="1:9" ht="21.75" customHeight="1" x14ac:dyDescent="0.25">
      <c r="A1553" s="127">
        <v>44726</v>
      </c>
      <c r="B1553" s="128" t="s">
        <v>19405</v>
      </c>
      <c r="C1553" s="129" t="s">
        <v>179</v>
      </c>
      <c r="D1553" s="130">
        <v>1258</v>
      </c>
      <c r="E1553" s="131">
        <v>44727</v>
      </c>
      <c r="F1553" s="132">
        <v>1258</v>
      </c>
      <c r="G1553" s="133">
        <f>Tabla147[[#This Row],[Importe]]-Tabla147[[#This Row],[Pagado]]</f>
        <v>0</v>
      </c>
      <c r="H1553" s="134" t="s">
        <v>10</v>
      </c>
      <c r="I1553" s="135"/>
    </row>
    <row r="1554" spans="1:9" ht="21.75" customHeight="1" x14ac:dyDescent="0.25">
      <c r="A1554" s="127">
        <v>44726</v>
      </c>
      <c r="B1554" s="128" t="s">
        <v>19406</v>
      </c>
      <c r="C1554" s="129" t="s">
        <v>53</v>
      </c>
      <c r="D1554" s="130">
        <v>1793.8</v>
      </c>
      <c r="E1554" s="131">
        <v>44726</v>
      </c>
      <c r="F1554" s="132">
        <v>1793.8</v>
      </c>
      <c r="G1554" s="133">
        <f>Tabla147[[#This Row],[Importe]]-Tabla147[[#This Row],[Pagado]]</f>
        <v>0</v>
      </c>
      <c r="H1554" s="134" t="s">
        <v>10</v>
      </c>
      <c r="I1554" s="135"/>
    </row>
    <row r="1555" spans="1:9" ht="21.75" customHeight="1" x14ac:dyDescent="0.25">
      <c r="A1555" s="127">
        <v>44726</v>
      </c>
      <c r="B1555" s="128" t="s">
        <v>19407</v>
      </c>
      <c r="C1555" s="129" t="s">
        <v>843</v>
      </c>
      <c r="D1555" s="130">
        <v>33812.400000000001</v>
      </c>
      <c r="E1555" s="131">
        <v>44727</v>
      </c>
      <c r="F1555" s="132">
        <v>33812.400000000001</v>
      </c>
      <c r="G1555" s="133">
        <f>Tabla147[[#This Row],[Importe]]-Tabla147[[#This Row],[Pagado]]</f>
        <v>0</v>
      </c>
      <c r="H1555" s="134" t="s">
        <v>10</v>
      </c>
      <c r="I1555" s="135"/>
    </row>
    <row r="1556" spans="1:9" ht="21.75" customHeight="1" x14ac:dyDescent="0.25">
      <c r="A1556" s="127">
        <v>44726</v>
      </c>
      <c r="B1556" s="128" t="s">
        <v>19408</v>
      </c>
      <c r="C1556" s="129" t="s">
        <v>1706</v>
      </c>
      <c r="D1556" s="130">
        <v>9628.7999999999993</v>
      </c>
      <c r="E1556" s="131">
        <v>44726</v>
      </c>
      <c r="F1556" s="132">
        <v>9628.7999999999993</v>
      </c>
      <c r="G1556" s="133">
        <f>Tabla147[[#This Row],[Importe]]-Tabla147[[#This Row],[Pagado]]</f>
        <v>0</v>
      </c>
      <c r="H1556" s="134" t="s">
        <v>10</v>
      </c>
      <c r="I1556" s="135"/>
    </row>
    <row r="1557" spans="1:9" ht="21.75" customHeight="1" x14ac:dyDescent="0.25">
      <c r="A1557" s="127">
        <v>44726</v>
      </c>
      <c r="B1557" s="128" t="s">
        <v>19409</v>
      </c>
      <c r="C1557" s="129" t="s">
        <v>2027</v>
      </c>
      <c r="D1557" s="130">
        <v>17342</v>
      </c>
      <c r="E1557" s="131">
        <v>44727</v>
      </c>
      <c r="F1557" s="132">
        <v>17342</v>
      </c>
      <c r="G1557" s="133">
        <f>Tabla147[[#This Row],[Importe]]-Tabla147[[#This Row],[Pagado]]</f>
        <v>0</v>
      </c>
      <c r="H1557" s="134" t="s">
        <v>10</v>
      </c>
      <c r="I1557" s="135"/>
    </row>
    <row r="1558" spans="1:9" ht="21.75" customHeight="1" x14ac:dyDescent="0.25">
      <c r="A1558" s="127">
        <v>44726</v>
      </c>
      <c r="B1558" s="128" t="s">
        <v>19410</v>
      </c>
      <c r="C1558" s="129" t="s">
        <v>296</v>
      </c>
      <c r="D1558" s="130">
        <v>1435.6</v>
      </c>
      <c r="E1558" s="131">
        <v>44726</v>
      </c>
      <c r="F1558" s="132">
        <v>1435.6</v>
      </c>
      <c r="G1558" s="133">
        <f>Tabla147[[#This Row],[Importe]]-Tabla147[[#This Row],[Pagado]]</f>
        <v>0</v>
      </c>
      <c r="H1558" s="134" t="s">
        <v>10</v>
      </c>
      <c r="I1558" s="135"/>
    </row>
    <row r="1559" spans="1:9" ht="21.75" customHeight="1" x14ac:dyDescent="0.25">
      <c r="A1559" s="127">
        <v>44726</v>
      </c>
      <c r="B1559" s="128" t="s">
        <v>19411</v>
      </c>
      <c r="C1559" s="129" t="s">
        <v>463</v>
      </c>
      <c r="D1559" s="130">
        <v>75</v>
      </c>
      <c r="E1559" s="131">
        <v>44726</v>
      </c>
      <c r="F1559" s="132">
        <v>75</v>
      </c>
      <c r="G1559" s="133">
        <f>Tabla147[[#This Row],[Importe]]-Tabla147[[#This Row],[Pagado]]</f>
        <v>0</v>
      </c>
      <c r="H1559" s="134" t="s">
        <v>10</v>
      </c>
      <c r="I1559" s="135"/>
    </row>
    <row r="1560" spans="1:9" ht="21.75" customHeight="1" x14ac:dyDescent="0.25">
      <c r="A1560" s="127">
        <v>44726</v>
      </c>
      <c r="B1560" s="128" t="s">
        <v>19412</v>
      </c>
      <c r="C1560" s="129" t="s">
        <v>583</v>
      </c>
      <c r="D1560" s="130">
        <v>2970</v>
      </c>
      <c r="E1560" s="131">
        <v>44726</v>
      </c>
      <c r="F1560" s="132">
        <v>2970</v>
      </c>
      <c r="G1560" s="133">
        <f>Tabla147[[#This Row],[Importe]]-Tabla147[[#This Row],[Pagado]]</f>
        <v>0</v>
      </c>
      <c r="H1560" s="134" t="s">
        <v>10</v>
      </c>
      <c r="I1560" s="135"/>
    </row>
    <row r="1561" spans="1:9" ht="21.75" customHeight="1" x14ac:dyDescent="0.25">
      <c r="A1561" s="127">
        <v>44726</v>
      </c>
      <c r="B1561" s="128" t="s">
        <v>19413</v>
      </c>
      <c r="C1561" s="129" t="s">
        <v>373</v>
      </c>
      <c r="D1561" s="130">
        <v>70</v>
      </c>
      <c r="E1561" s="131">
        <v>44726</v>
      </c>
      <c r="F1561" s="132">
        <v>70</v>
      </c>
      <c r="G1561" s="133">
        <f>Tabla147[[#This Row],[Importe]]-Tabla147[[#This Row],[Pagado]]</f>
        <v>0</v>
      </c>
      <c r="H1561" s="134" t="s">
        <v>10</v>
      </c>
      <c r="I1561" s="135"/>
    </row>
    <row r="1562" spans="1:9" ht="21.75" customHeight="1" x14ac:dyDescent="0.25">
      <c r="A1562" s="127">
        <v>44726</v>
      </c>
      <c r="B1562" s="128" t="s">
        <v>19414</v>
      </c>
      <c r="C1562" s="129" t="s">
        <v>402</v>
      </c>
      <c r="D1562" s="130">
        <v>22460.6</v>
      </c>
      <c r="E1562" s="131">
        <v>44736</v>
      </c>
      <c r="F1562" s="132">
        <v>22460.6</v>
      </c>
      <c r="G1562" s="133">
        <f>Tabla147[[#This Row],[Importe]]-Tabla147[[#This Row],[Pagado]]</f>
        <v>0</v>
      </c>
      <c r="H1562" s="134" t="s">
        <v>10</v>
      </c>
      <c r="I1562" s="135"/>
    </row>
    <row r="1563" spans="1:9" ht="21.75" customHeight="1" x14ac:dyDescent="0.25">
      <c r="A1563" s="127">
        <v>44726</v>
      </c>
      <c r="B1563" s="128" t="s">
        <v>19415</v>
      </c>
      <c r="C1563" s="129" t="s">
        <v>400</v>
      </c>
      <c r="D1563" s="130">
        <v>10140.6</v>
      </c>
      <c r="E1563" s="131">
        <v>44736</v>
      </c>
      <c r="F1563" s="132">
        <v>10140.6</v>
      </c>
      <c r="G1563" s="133">
        <f>Tabla147[[#This Row],[Importe]]-Tabla147[[#This Row],[Pagado]]</f>
        <v>0</v>
      </c>
      <c r="H1563" s="134" t="s">
        <v>10</v>
      </c>
      <c r="I1563" s="135"/>
    </row>
    <row r="1564" spans="1:9" ht="21.75" customHeight="1" x14ac:dyDescent="0.25">
      <c r="A1564" s="127">
        <v>44726</v>
      </c>
      <c r="B1564" s="128" t="s">
        <v>19416</v>
      </c>
      <c r="C1564" s="129" t="s">
        <v>53</v>
      </c>
      <c r="D1564" s="130">
        <v>1314</v>
      </c>
      <c r="E1564" s="131">
        <v>44726</v>
      </c>
      <c r="F1564" s="132">
        <v>1314</v>
      </c>
      <c r="G1564" s="133">
        <f>Tabla147[[#This Row],[Importe]]-Tabla147[[#This Row],[Pagado]]</f>
        <v>0</v>
      </c>
      <c r="H1564" s="134" t="s">
        <v>10</v>
      </c>
      <c r="I1564" s="135"/>
    </row>
    <row r="1565" spans="1:9" ht="21.75" customHeight="1" x14ac:dyDescent="0.25">
      <c r="A1565" s="127">
        <v>44726</v>
      </c>
      <c r="B1565" s="128" t="s">
        <v>19417</v>
      </c>
      <c r="C1565" s="129" t="s">
        <v>4027</v>
      </c>
      <c r="D1565" s="130">
        <v>63</v>
      </c>
      <c r="E1565" s="131">
        <v>44726</v>
      </c>
      <c r="F1565" s="132">
        <v>63</v>
      </c>
      <c r="G1565" s="133">
        <f>Tabla147[[#This Row],[Importe]]-Tabla147[[#This Row],[Pagado]]</f>
        <v>0</v>
      </c>
      <c r="H1565" s="134" t="s">
        <v>10</v>
      </c>
      <c r="I1565" s="135"/>
    </row>
    <row r="1566" spans="1:9" ht="21.75" customHeight="1" x14ac:dyDescent="0.25">
      <c r="A1566" s="127">
        <v>44726</v>
      </c>
      <c r="B1566" s="128" t="s">
        <v>19418</v>
      </c>
      <c r="C1566" s="129" t="s">
        <v>31</v>
      </c>
      <c r="D1566" s="130">
        <v>537.6</v>
      </c>
      <c r="E1566" s="131">
        <v>44726</v>
      </c>
      <c r="F1566" s="132">
        <v>537.6</v>
      </c>
      <c r="G1566" s="133">
        <f>Tabla147[[#This Row],[Importe]]-Tabla147[[#This Row],[Pagado]]</f>
        <v>0</v>
      </c>
      <c r="H1566" s="134" t="s">
        <v>10</v>
      </c>
      <c r="I1566" s="135"/>
    </row>
    <row r="1567" spans="1:9" ht="21.75" customHeight="1" x14ac:dyDescent="0.25">
      <c r="A1567" s="127">
        <v>44726</v>
      </c>
      <c r="B1567" s="128" t="s">
        <v>19419</v>
      </c>
      <c r="C1567" s="129" t="s">
        <v>4027</v>
      </c>
      <c r="D1567" s="130">
        <v>473.6</v>
      </c>
      <c r="E1567" s="131">
        <v>44726</v>
      </c>
      <c r="F1567" s="132">
        <v>473.6</v>
      </c>
      <c r="G1567" s="133">
        <f>Tabla147[[#This Row],[Importe]]-Tabla147[[#This Row],[Pagado]]</f>
        <v>0</v>
      </c>
      <c r="H1567" s="134" t="s">
        <v>10</v>
      </c>
      <c r="I1567" s="135"/>
    </row>
    <row r="1568" spans="1:9" ht="21.75" customHeight="1" x14ac:dyDescent="0.25">
      <c r="A1568" s="127">
        <v>44726</v>
      </c>
      <c r="B1568" s="128" t="s">
        <v>19420</v>
      </c>
      <c r="C1568" s="129" t="s">
        <v>31</v>
      </c>
      <c r="D1568" s="130">
        <v>79.8</v>
      </c>
      <c r="E1568" s="131">
        <v>44727</v>
      </c>
      <c r="F1568" s="132">
        <v>79.8</v>
      </c>
      <c r="G1568" s="133">
        <f>Tabla147[[#This Row],[Importe]]-Tabla147[[#This Row],[Pagado]]</f>
        <v>0</v>
      </c>
      <c r="H1568" s="134" t="s">
        <v>10</v>
      </c>
      <c r="I1568" s="135"/>
    </row>
    <row r="1569" spans="1:9" ht="21.75" customHeight="1" x14ac:dyDescent="0.25">
      <c r="A1569" s="127">
        <v>44726</v>
      </c>
      <c r="B1569" s="128" t="s">
        <v>19421</v>
      </c>
      <c r="C1569" s="129" t="s">
        <v>2961</v>
      </c>
      <c r="D1569" s="130">
        <v>46428.800000000003</v>
      </c>
      <c r="E1569" s="131">
        <v>44727</v>
      </c>
      <c r="F1569" s="132">
        <v>46428.800000000003</v>
      </c>
      <c r="G1569" s="133">
        <f>Tabla147[[#This Row],[Importe]]-Tabla147[[#This Row],[Pagado]]</f>
        <v>0</v>
      </c>
      <c r="H1569" s="134" t="s">
        <v>10</v>
      </c>
      <c r="I1569" s="135"/>
    </row>
    <row r="1570" spans="1:9" ht="21.75" customHeight="1" x14ac:dyDescent="0.25">
      <c r="A1570" s="127">
        <v>44727</v>
      </c>
      <c r="B1570" s="128" t="s">
        <v>19422</v>
      </c>
      <c r="C1570" s="129" t="s">
        <v>475</v>
      </c>
      <c r="D1570" s="130">
        <v>52222.1</v>
      </c>
      <c r="E1570" s="131">
        <v>44728</v>
      </c>
      <c r="F1570" s="132">
        <v>52222.1</v>
      </c>
      <c r="G1570" s="133">
        <f>Tabla147[[#This Row],[Importe]]-Tabla147[[#This Row],[Pagado]]</f>
        <v>0</v>
      </c>
      <c r="H1570" s="134" t="s">
        <v>10</v>
      </c>
      <c r="I1570" s="135"/>
    </row>
    <row r="1571" spans="1:9" ht="21.75" customHeight="1" x14ac:dyDescent="0.25">
      <c r="A1571" s="127">
        <v>44727</v>
      </c>
      <c r="B1571" s="128" t="s">
        <v>19423</v>
      </c>
      <c r="C1571" s="129" t="s">
        <v>105</v>
      </c>
      <c r="D1571" s="130">
        <v>11233.5</v>
      </c>
      <c r="E1571" s="131">
        <v>44728</v>
      </c>
      <c r="F1571" s="132">
        <v>11233.5</v>
      </c>
      <c r="G1571" s="133">
        <f>Tabla147[[#This Row],[Importe]]-Tabla147[[#This Row],[Pagado]]</f>
        <v>0</v>
      </c>
      <c r="H1571" s="134" t="s">
        <v>10</v>
      </c>
      <c r="I1571" s="135"/>
    </row>
    <row r="1572" spans="1:9" ht="21.75" customHeight="1" x14ac:dyDescent="0.25">
      <c r="A1572" s="127">
        <v>44727</v>
      </c>
      <c r="B1572" s="128" t="s">
        <v>19424</v>
      </c>
      <c r="C1572" s="129" t="s">
        <v>60</v>
      </c>
      <c r="D1572" s="130">
        <v>4843.3999999999996</v>
      </c>
      <c r="E1572" s="131">
        <v>44732</v>
      </c>
      <c r="F1572" s="132">
        <v>4843.3999999999996</v>
      </c>
      <c r="G1572" s="133">
        <f>Tabla147[[#This Row],[Importe]]-Tabla147[[#This Row],[Pagado]]</f>
        <v>0</v>
      </c>
      <c r="H1572" s="134" t="s">
        <v>10</v>
      </c>
      <c r="I1572" s="135"/>
    </row>
    <row r="1573" spans="1:9" ht="21.75" customHeight="1" x14ac:dyDescent="0.25">
      <c r="A1573" s="127">
        <v>44727</v>
      </c>
      <c r="B1573" s="128" t="s">
        <v>19425</v>
      </c>
      <c r="C1573" s="129" t="s">
        <v>64</v>
      </c>
      <c r="D1573" s="130">
        <v>5563.2</v>
      </c>
      <c r="E1573" s="131">
        <v>44729</v>
      </c>
      <c r="F1573" s="132">
        <v>5563.2</v>
      </c>
      <c r="G1573" s="133">
        <f>Tabla147[[#This Row],[Importe]]-Tabla147[[#This Row],[Pagado]]</f>
        <v>0</v>
      </c>
      <c r="H1573" s="134" t="s">
        <v>10</v>
      </c>
      <c r="I1573" s="135"/>
    </row>
    <row r="1574" spans="1:9" ht="21.75" customHeight="1" x14ac:dyDescent="0.25">
      <c r="A1574" s="127">
        <v>44727</v>
      </c>
      <c r="B1574" s="128" t="s">
        <v>19426</v>
      </c>
      <c r="C1574" s="129" t="s">
        <v>114</v>
      </c>
      <c r="D1574" s="130">
        <v>5404.4</v>
      </c>
      <c r="E1574" s="131">
        <v>44728</v>
      </c>
      <c r="F1574" s="132">
        <v>5404.4</v>
      </c>
      <c r="G1574" s="133">
        <f>Tabla147[[#This Row],[Importe]]-Tabla147[[#This Row],[Pagado]]</f>
        <v>0</v>
      </c>
      <c r="H1574" s="134" t="s">
        <v>10</v>
      </c>
      <c r="I1574" s="135"/>
    </row>
    <row r="1575" spans="1:9" ht="21.75" customHeight="1" x14ac:dyDescent="0.25">
      <c r="A1575" s="127">
        <v>44727</v>
      </c>
      <c r="B1575" s="128" t="s">
        <v>19427</v>
      </c>
      <c r="C1575" s="129" t="s">
        <v>2563</v>
      </c>
      <c r="D1575" s="130">
        <v>5843.8</v>
      </c>
      <c r="E1575" s="131">
        <v>44728</v>
      </c>
      <c r="F1575" s="132">
        <v>5843.8</v>
      </c>
      <c r="G1575" s="133">
        <f>Tabla147[[#This Row],[Importe]]-Tabla147[[#This Row],[Pagado]]</f>
        <v>0</v>
      </c>
      <c r="H1575" s="134" t="s">
        <v>10</v>
      </c>
      <c r="I1575" s="135"/>
    </row>
    <row r="1576" spans="1:9" ht="21.75" customHeight="1" x14ac:dyDescent="0.25">
      <c r="A1576" s="127">
        <v>44727</v>
      </c>
      <c r="B1576" s="128" t="s">
        <v>19428</v>
      </c>
      <c r="C1576" s="129" t="s">
        <v>97</v>
      </c>
      <c r="D1576" s="130">
        <v>5793.8</v>
      </c>
      <c r="E1576" s="131">
        <v>44728</v>
      </c>
      <c r="F1576" s="132">
        <v>5793.8</v>
      </c>
      <c r="G1576" s="133">
        <f>Tabla147[[#This Row],[Importe]]-Tabla147[[#This Row],[Pagado]]</f>
        <v>0</v>
      </c>
      <c r="H1576" s="134" t="s">
        <v>10</v>
      </c>
      <c r="I1576" s="135"/>
    </row>
    <row r="1577" spans="1:9" ht="21.75" customHeight="1" x14ac:dyDescent="0.25">
      <c r="A1577" s="127">
        <v>44727</v>
      </c>
      <c r="B1577" s="128" t="s">
        <v>19429</v>
      </c>
      <c r="C1577" s="129" t="s">
        <v>326</v>
      </c>
      <c r="D1577" s="130">
        <v>10876.3</v>
      </c>
      <c r="E1577" s="131">
        <v>44729</v>
      </c>
      <c r="F1577" s="132">
        <v>10876.3</v>
      </c>
      <c r="G1577" s="133">
        <f>Tabla147[[#This Row],[Importe]]-Tabla147[[#This Row],[Pagado]]</f>
        <v>0</v>
      </c>
      <c r="H1577" s="134" t="s">
        <v>10</v>
      </c>
      <c r="I1577" s="135"/>
    </row>
    <row r="1578" spans="1:9" ht="21.75" customHeight="1" x14ac:dyDescent="0.25">
      <c r="A1578" s="127">
        <v>44727</v>
      </c>
      <c r="B1578" s="128" t="s">
        <v>19430</v>
      </c>
      <c r="C1578" s="129" t="s">
        <v>2151</v>
      </c>
      <c r="D1578" s="130">
        <v>11145.8</v>
      </c>
      <c r="E1578" s="131">
        <v>44727</v>
      </c>
      <c r="F1578" s="132">
        <v>11145.8</v>
      </c>
      <c r="G1578" s="133">
        <f>Tabla147[[#This Row],[Importe]]-Tabla147[[#This Row],[Pagado]]</f>
        <v>0</v>
      </c>
      <c r="H1578" s="134" t="s">
        <v>10</v>
      </c>
      <c r="I1578" s="135"/>
    </row>
    <row r="1579" spans="1:9" ht="21.75" customHeight="1" x14ac:dyDescent="0.25">
      <c r="A1579" s="127">
        <v>44727</v>
      </c>
      <c r="B1579" s="128" t="s">
        <v>19431</v>
      </c>
      <c r="C1579" s="129" t="s">
        <v>348</v>
      </c>
      <c r="D1579" s="130">
        <v>3817.8</v>
      </c>
      <c r="E1579" s="131">
        <v>44727</v>
      </c>
      <c r="F1579" s="132">
        <v>3817.8</v>
      </c>
      <c r="G1579" s="133">
        <f>Tabla147[[#This Row],[Importe]]-Tabla147[[#This Row],[Pagado]]</f>
        <v>0</v>
      </c>
      <c r="H1579" s="134" t="s">
        <v>10</v>
      </c>
      <c r="I1579" s="135"/>
    </row>
    <row r="1580" spans="1:9" ht="21.75" customHeight="1" x14ac:dyDescent="0.25">
      <c r="A1580" s="127">
        <v>44727</v>
      </c>
      <c r="B1580" s="128" t="s">
        <v>19432</v>
      </c>
      <c r="C1580" s="129" t="s">
        <v>31</v>
      </c>
      <c r="D1580" s="130">
        <v>7192.8</v>
      </c>
      <c r="E1580" s="131">
        <v>44727</v>
      </c>
      <c r="F1580" s="132">
        <v>7192.8</v>
      </c>
      <c r="G1580" s="133">
        <f>Tabla147[[#This Row],[Importe]]-Tabla147[[#This Row],[Pagado]]</f>
        <v>0</v>
      </c>
      <c r="H1580" s="134" t="s">
        <v>10</v>
      </c>
      <c r="I1580" s="135"/>
    </row>
    <row r="1581" spans="1:9" ht="21.75" customHeight="1" x14ac:dyDescent="0.25">
      <c r="A1581" s="127">
        <v>44727</v>
      </c>
      <c r="B1581" s="128" t="s">
        <v>19433</v>
      </c>
      <c r="C1581" s="129" t="s">
        <v>1650</v>
      </c>
      <c r="D1581" s="130">
        <v>3202.8</v>
      </c>
      <c r="E1581" s="131">
        <v>44727</v>
      </c>
      <c r="F1581" s="132">
        <v>3202.8</v>
      </c>
      <c r="G1581" s="133">
        <f>Tabla147[[#This Row],[Importe]]-Tabla147[[#This Row],[Pagado]]</f>
        <v>0</v>
      </c>
      <c r="H1581" s="134" t="s">
        <v>10</v>
      </c>
      <c r="I1581" s="135"/>
    </row>
    <row r="1582" spans="1:9" ht="31.5" x14ac:dyDescent="0.25">
      <c r="A1582" s="127">
        <v>44727</v>
      </c>
      <c r="B1582" s="128" t="s">
        <v>19434</v>
      </c>
      <c r="C1582" s="129" t="s">
        <v>99</v>
      </c>
      <c r="D1582" s="130">
        <v>3367.4</v>
      </c>
      <c r="E1582" s="131" t="s">
        <v>19435</v>
      </c>
      <c r="F1582" s="132">
        <f>2100+1267.4</f>
        <v>3367.4</v>
      </c>
      <c r="G1582" s="133">
        <f>Tabla147[[#This Row],[Importe]]-Tabla147[[#This Row],[Pagado]]</f>
        <v>0</v>
      </c>
      <c r="H1582" s="134" t="s">
        <v>10</v>
      </c>
      <c r="I1582" s="135"/>
    </row>
    <row r="1583" spans="1:9" ht="21.75" customHeight="1" x14ac:dyDescent="0.25">
      <c r="A1583" s="127">
        <v>44727</v>
      </c>
      <c r="B1583" s="128" t="s">
        <v>19436</v>
      </c>
      <c r="C1583" s="129" t="s">
        <v>89</v>
      </c>
      <c r="D1583" s="130">
        <v>9148</v>
      </c>
      <c r="E1583" s="131">
        <v>44728</v>
      </c>
      <c r="F1583" s="132">
        <v>9148</v>
      </c>
      <c r="G1583" s="133">
        <f>Tabla147[[#This Row],[Importe]]-Tabla147[[#This Row],[Pagado]]</f>
        <v>0</v>
      </c>
      <c r="H1583" s="134" t="s">
        <v>10</v>
      </c>
      <c r="I1583" s="135"/>
    </row>
    <row r="1584" spans="1:9" ht="21.75" customHeight="1" x14ac:dyDescent="0.25">
      <c r="A1584" s="127">
        <v>44727</v>
      </c>
      <c r="B1584" s="128" t="s">
        <v>19437</v>
      </c>
      <c r="C1584" s="129" t="s">
        <v>353</v>
      </c>
      <c r="D1584" s="130">
        <v>606.79999999999995</v>
      </c>
      <c r="E1584" s="131">
        <v>44727</v>
      </c>
      <c r="F1584" s="132">
        <v>606.79999999999995</v>
      </c>
      <c r="G1584" s="133">
        <f>Tabla147[[#This Row],[Importe]]-Tabla147[[#This Row],[Pagado]]</f>
        <v>0</v>
      </c>
      <c r="H1584" s="134" t="s">
        <v>10</v>
      </c>
      <c r="I1584" s="135"/>
    </row>
    <row r="1585" spans="1:9" ht="21.75" customHeight="1" x14ac:dyDescent="0.25">
      <c r="A1585" s="127">
        <v>44727</v>
      </c>
      <c r="B1585" s="128" t="s">
        <v>19438</v>
      </c>
      <c r="C1585" s="129" t="s">
        <v>481</v>
      </c>
      <c r="D1585" s="130">
        <v>712.6</v>
      </c>
      <c r="E1585" s="131">
        <v>44727</v>
      </c>
      <c r="F1585" s="132">
        <v>712.6</v>
      </c>
      <c r="G1585" s="133">
        <f>Tabla147[[#This Row],[Importe]]-Tabla147[[#This Row],[Pagado]]</f>
        <v>0</v>
      </c>
      <c r="H1585" s="134" t="s">
        <v>10</v>
      </c>
      <c r="I1585" s="135"/>
    </row>
    <row r="1586" spans="1:9" ht="21.75" customHeight="1" x14ac:dyDescent="0.25">
      <c r="A1586" s="127">
        <v>44727</v>
      </c>
      <c r="B1586" s="128" t="s">
        <v>19439</v>
      </c>
      <c r="C1586" s="129" t="s">
        <v>85</v>
      </c>
      <c r="D1586" s="130">
        <v>1513</v>
      </c>
      <c r="E1586" s="131">
        <v>44727</v>
      </c>
      <c r="F1586" s="132">
        <v>1513</v>
      </c>
      <c r="G1586" s="133">
        <f>Tabla147[[#This Row],[Importe]]-Tabla147[[#This Row],[Pagado]]</f>
        <v>0</v>
      </c>
      <c r="H1586" s="134" t="s">
        <v>10</v>
      </c>
      <c r="I1586" s="135"/>
    </row>
    <row r="1587" spans="1:9" ht="21.75" customHeight="1" x14ac:dyDescent="0.25">
      <c r="A1587" s="127">
        <v>44727</v>
      </c>
      <c r="B1587" s="128" t="s">
        <v>19440</v>
      </c>
      <c r="C1587" s="129" t="s">
        <v>333</v>
      </c>
      <c r="D1587" s="130">
        <v>1299.3</v>
      </c>
      <c r="E1587" s="131">
        <v>44727</v>
      </c>
      <c r="F1587" s="132">
        <v>1299.3</v>
      </c>
      <c r="G1587" s="133">
        <f>Tabla147[[#This Row],[Importe]]-Tabla147[[#This Row],[Pagado]]</f>
        <v>0</v>
      </c>
      <c r="H1587" s="134" t="s">
        <v>10</v>
      </c>
      <c r="I1587" s="135"/>
    </row>
    <row r="1588" spans="1:9" ht="21.75" customHeight="1" x14ac:dyDescent="0.25">
      <c r="A1588" s="127">
        <v>44727</v>
      </c>
      <c r="B1588" s="128" t="s">
        <v>19441</v>
      </c>
      <c r="C1588" s="129" t="s">
        <v>146</v>
      </c>
      <c r="D1588" s="130">
        <v>2701</v>
      </c>
      <c r="E1588" s="131">
        <v>44727</v>
      </c>
      <c r="F1588" s="132">
        <v>2701</v>
      </c>
      <c r="G1588" s="133">
        <f>Tabla147[[#This Row],[Importe]]-Tabla147[[#This Row],[Pagado]]</f>
        <v>0</v>
      </c>
      <c r="H1588" s="134" t="s">
        <v>10</v>
      </c>
      <c r="I1588" s="135"/>
    </row>
    <row r="1589" spans="1:9" ht="21.75" customHeight="1" x14ac:dyDescent="0.25">
      <c r="A1589" s="127">
        <v>44727</v>
      </c>
      <c r="B1589" s="128" t="s">
        <v>19442</v>
      </c>
      <c r="C1589" s="129" t="s">
        <v>357</v>
      </c>
      <c r="D1589" s="130">
        <v>592</v>
      </c>
      <c r="E1589" s="131">
        <v>44727</v>
      </c>
      <c r="F1589" s="132">
        <v>592</v>
      </c>
      <c r="G1589" s="133">
        <f>Tabla147[[#This Row],[Importe]]-Tabla147[[#This Row],[Pagado]]</f>
        <v>0</v>
      </c>
      <c r="H1589" s="134" t="s">
        <v>10</v>
      </c>
      <c r="I1589" s="135"/>
    </row>
    <row r="1590" spans="1:9" ht="21.75" customHeight="1" x14ac:dyDescent="0.25">
      <c r="A1590" s="127">
        <v>44727</v>
      </c>
      <c r="B1590" s="128" t="s">
        <v>19443</v>
      </c>
      <c r="C1590" s="129" t="s">
        <v>87</v>
      </c>
      <c r="D1590" s="130">
        <v>2633.4</v>
      </c>
      <c r="E1590" s="131">
        <v>44727</v>
      </c>
      <c r="F1590" s="132">
        <v>2633.4</v>
      </c>
      <c r="G1590" s="133">
        <f>Tabla147[[#This Row],[Importe]]-Tabla147[[#This Row],[Pagado]]</f>
        <v>0</v>
      </c>
      <c r="H1590" s="134" t="s">
        <v>10</v>
      </c>
      <c r="I1590" s="135"/>
    </row>
    <row r="1591" spans="1:9" ht="21.75" customHeight="1" x14ac:dyDescent="0.25">
      <c r="A1591" s="127">
        <v>44727</v>
      </c>
      <c r="B1591" s="128" t="s">
        <v>19444</v>
      </c>
      <c r="C1591" s="129" t="s">
        <v>9</v>
      </c>
      <c r="D1591" s="130">
        <v>7951.9</v>
      </c>
      <c r="E1591" s="131">
        <v>44727</v>
      </c>
      <c r="F1591" s="132">
        <v>7951.9</v>
      </c>
      <c r="G1591" s="133">
        <f>Tabla147[[#This Row],[Importe]]-Tabla147[[#This Row],[Pagado]]</f>
        <v>0</v>
      </c>
      <c r="H1591" s="134" t="s">
        <v>10</v>
      </c>
      <c r="I1591" s="135"/>
    </row>
    <row r="1592" spans="1:9" ht="21.75" customHeight="1" x14ac:dyDescent="0.25">
      <c r="A1592" s="127">
        <v>44727</v>
      </c>
      <c r="B1592" s="128" t="s">
        <v>19445</v>
      </c>
      <c r="C1592" s="129" t="s">
        <v>83</v>
      </c>
      <c r="D1592" s="130">
        <v>6807.2</v>
      </c>
      <c r="E1592" s="131">
        <v>44727</v>
      </c>
      <c r="F1592" s="132">
        <v>6807.2</v>
      </c>
      <c r="G1592" s="133">
        <f>Tabla147[[#This Row],[Importe]]-Tabla147[[#This Row],[Pagado]]</f>
        <v>0</v>
      </c>
      <c r="H1592" s="134" t="s">
        <v>10</v>
      </c>
      <c r="I1592" s="135"/>
    </row>
    <row r="1593" spans="1:9" ht="21.75" customHeight="1" x14ac:dyDescent="0.25">
      <c r="A1593" s="127">
        <v>44727</v>
      </c>
      <c r="B1593" s="128" t="s">
        <v>19446</v>
      </c>
      <c r="C1593" s="129" t="s">
        <v>83</v>
      </c>
      <c r="D1593" s="130">
        <v>3350</v>
      </c>
      <c r="E1593" s="131">
        <v>44727</v>
      </c>
      <c r="F1593" s="132">
        <v>3350</v>
      </c>
      <c r="G1593" s="133">
        <f>Tabla147[[#This Row],[Importe]]-Tabla147[[#This Row],[Pagado]]</f>
        <v>0</v>
      </c>
      <c r="H1593" s="134" t="s">
        <v>10</v>
      </c>
      <c r="I1593" s="135"/>
    </row>
    <row r="1594" spans="1:9" ht="21.75" customHeight="1" x14ac:dyDescent="0.25">
      <c r="A1594" s="127">
        <v>44727</v>
      </c>
      <c r="B1594" s="128" t="s">
        <v>19447</v>
      </c>
      <c r="C1594" s="129" t="s">
        <v>31</v>
      </c>
      <c r="D1594" s="130">
        <v>2595.4</v>
      </c>
      <c r="E1594" s="131">
        <v>44727</v>
      </c>
      <c r="F1594" s="132">
        <v>2595.4</v>
      </c>
      <c r="G1594" s="133">
        <f>Tabla147[[#This Row],[Importe]]-Tabla147[[#This Row],[Pagado]]</f>
        <v>0</v>
      </c>
      <c r="H1594" s="134" t="s">
        <v>10</v>
      </c>
      <c r="I1594" s="135"/>
    </row>
    <row r="1595" spans="1:9" ht="21.75" customHeight="1" x14ac:dyDescent="0.25">
      <c r="A1595" s="127">
        <v>44727</v>
      </c>
      <c r="B1595" s="128" t="s">
        <v>19448</v>
      </c>
      <c r="C1595" s="129" t="s">
        <v>19449</v>
      </c>
      <c r="D1595" s="130">
        <v>0</v>
      </c>
      <c r="E1595" s="136" t="s">
        <v>189</v>
      </c>
      <c r="F1595" s="132">
        <v>0</v>
      </c>
      <c r="G1595" s="133">
        <f>Tabla147[[#This Row],[Importe]]-Tabla147[[#This Row],[Pagado]]</f>
        <v>0</v>
      </c>
      <c r="H1595" s="134" t="s">
        <v>189</v>
      </c>
      <c r="I1595" s="135"/>
    </row>
    <row r="1596" spans="1:9" ht="21.75" customHeight="1" x14ac:dyDescent="0.25">
      <c r="A1596" s="127">
        <v>44727</v>
      </c>
      <c r="B1596" s="128" t="s">
        <v>19450</v>
      </c>
      <c r="C1596" s="129" t="s">
        <v>214</v>
      </c>
      <c r="D1596" s="130">
        <v>8356.7000000000007</v>
      </c>
      <c r="E1596" s="131">
        <v>44727</v>
      </c>
      <c r="F1596" s="132">
        <v>8356.7000000000007</v>
      </c>
      <c r="G1596" s="133">
        <f>Tabla147[[#This Row],[Importe]]-Tabla147[[#This Row],[Pagado]]</f>
        <v>0</v>
      </c>
      <c r="H1596" s="134" t="s">
        <v>10</v>
      </c>
      <c r="I1596" s="135"/>
    </row>
    <row r="1597" spans="1:9" ht="21.75" customHeight="1" x14ac:dyDescent="0.25">
      <c r="A1597" s="127">
        <v>44727</v>
      </c>
      <c r="B1597" s="128" t="s">
        <v>19451</v>
      </c>
      <c r="C1597" s="129" t="s">
        <v>127</v>
      </c>
      <c r="D1597" s="130">
        <v>4877.7</v>
      </c>
      <c r="E1597" s="131">
        <v>44727</v>
      </c>
      <c r="F1597" s="132">
        <v>4877.7</v>
      </c>
      <c r="G1597" s="133">
        <f>Tabla147[[#This Row],[Importe]]-Tabla147[[#This Row],[Pagado]]</f>
        <v>0</v>
      </c>
      <c r="H1597" s="134" t="s">
        <v>10</v>
      </c>
      <c r="I1597" s="135"/>
    </row>
    <row r="1598" spans="1:9" ht="21.75" customHeight="1" x14ac:dyDescent="0.25">
      <c r="A1598" s="127">
        <v>44727</v>
      </c>
      <c r="B1598" s="128" t="s">
        <v>19452</v>
      </c>
      <c r="C1598" s="129" t="s">
        <v>131</v>
      </c>
      <c r="D1598" s="130">
        <v>17236.2</v>
      </c>
      <c r="E1598" s="131">
        <v>44727</v>
      </c>
      <c r="F1598" s="132">
        <v>17236.2</v>
      </c>
      <c r="G1598" s="133">
        <f>Tabla147[[#This Row],[Importe]]-Tabla147[[#This Row],[Pagado]]</f>
        <v>0</v>
      </c>
      <c r="H1598" s="134" t="s">
        <v>10</v>
      </c>
      <c r="I1598" s="135"/>
    </row>
    <row r="1599" spans="1:9" ht="21.75" customHeight="1" x14ac:dyDescent="0.25">
      <c r="A1599" s="127">
        <v>44727</v>
      </c>
      <c r="B1599" s="128" t="s">
        <v>19453</v>
      </c>
      <c r="C1599" s="129" t="s">
        <v>173</v>
      </c>
      <c r="D1599" s="130">
        <v>20821.599999999999</v>
      </c>
      <c r="E1599" s="131">
        <v>44728</v>
      </c>
      <c r="F1599" s="132">
        <v>20821.599999999999</v>
      </c>
      <c r="G1599" s="133">
        <f>Tabla147[[#This Row],[Importe]]-Tabla147[[#This Row],[Pagado]]</f>
        <v>0</v>
      </c>
      <c r="H1599" s="134" t="s">
        <v>10</v>
      </c>
      <c r="I1599" s="135"/>
    </row>
    <row r="1600" spans="1:9" ht="21.75" customHeight="1" x14ac:dyDescent="0.25">
      <c r="A1600" s="127">
        <v>44727</v>
      </c>
      <c r="B1600" s="128" t="s">
        <v>19454</v>
      </c>
      <c r="C1600" s="129" t="s">
        <v>31</v>
      </c>
      <c r="D1600" s="130">
        <v>247.8</v>
      </c>
      <c r="E1600" s="131">
        <v>44727</v>
      </c>
      <c r="F1600" s="132">
        <v>247.8</v>
      </c>
      <c r="G1600" s="133">
        <f>Tabla147[[#This Row],[Importe]]-Tabla147[[#This Row],[Pagado]]</f>
        <v>0</v>
      </c>
      <c r="H1600" s="134" t="s">
        <v>10</v>
      </c>
      <c r="I1600" s="135"/>
    </row>
    <row r="1601" spans="1:9" ht="21.75" customHeight="1" x14ac:dyDescent="0.25">
      <c r="A1601" s="127">
        <v>44727</v>
      </c>
      <c r="B1601" s="128" t="s">
        <v>19455</v>
      </c>
      <c r="C1601" s="129" t="s">
        <v>107</v>
      </c>
      <c r="D1601" s="130">
        <v>10514.5</v>
      </c>
      <c r="E1601" s="131">
        <v>44727</v>
      </c>
      <c r="F1601" s="132">
        <v>10514.5</v>
      </c>
      <c r="G1601" s="133">
        <f>Tabla147[[#This Row],[Importe]]-Tabla147[[#This Row],[Pagado]]</f>
        <v>0</v>
      </c>
      <c r="H1601" s="134" t="s">
        <v>10</v>
      </c>
      <c r="I1601" s="135"/>
    </row>
    <row r="1602" spans="1:9" ht="21.75" customHeight="1" x14ac:dyDescent="0.25">
      <c r="A1602" s="127">
        <v>44727</v>
      </c>
      <c r="B1602" s="128" t="s">
        <v>19456</v>
      </c>
      <c r="C1602" s="129" t="s">
        <v>12202</v>
      </c>
      <c r="D1602" s="130">
        <v>13600</v>
      </c>
      <c r="E1602" s="131">
        <v>44727</v>
      </c>
      <c r="F1602" s="132">
        <v>13600</v>
      </c>
      <c r="G1602" s="133">
        <f>Tabla147[[#This Row],[Importe]]-Tabla147[[#This Row],[Pagado]]</f>
        <v>0</v>
      </c>
      <c r="H1602" s="134" t="s">
        <v>10</v>
      </c>
      <c r="I1602" s="135"/>
    </row>
    <row r="1603" spans="1:9" ht="21.75" customHeight="1" x14ac:dyDescent="0.25">
      <c r="A1603" s="127">
        <v>44727</v>
      </c>
      <c r="B1603" s="128" t="s">
        <v>19457</v>
      </c>
      <c r="C1603" s="129" t="s">
        <v>1237</v>
      </c>
      <c r="D1603" s="130">
        <v>44680</v>
      </c>
      <c r="E1603" s="131">
        <v>44727</v>
      </c>
      <c r="F1603" s="132">
        <v>44680</v>
      </c>
      <c r="G1603" s="133">
        <f>Tabla147[[#This Row],[Importe]]-Tabla147[[#This Row],[Pagado]]</f>
        <v>0</v>
      </c>
      <c r="H1603" s="134" t="s">
        <v>10</v>
      </c>
      <c r="I1603" s="135"/>
    </row>
    <row r="1604" spans="1:9" ht="21.75" customHeight="1" x14ac:dyDescent="0.25">
      <c r="A1604" s="127">
        <v>44727</v>
      </c>
      <c r="B1604" s="128" t="s">
        <v>19458</v>
      </c>
      <c r="C1604" s="129" t="s">
        <v>365</v>
      </c>
      <c r="D1604" s="130">
        <v>814.2</v>
      </c>
      <c r="E1604" s="131">
        <v>44727</v>
      </c>
      <c r="F1604" s="132">
        <v>814.2</v>
      </c>
      <c r="G1604" s="133">
        <f>Tabla147[[#This Row],[Importe]]-Tabla147[[#This Row],[Pagado]]</f>
        <v>0</v>
      </c>
      <c r="H1604" s="134" t="s">
        <v>10</v>
      </c>
      <c r="I1604" s="135"/>
    </row>
    <row r="1605" spans="1:9" ht="21.75" customHeight="1" x14ac:dyDescent="0.25">
      <c r="A1605" s="127">
        <v>44727</v>
      </c>
      <c r="B1605" s="128" t="s">
        <v>19459</v>
      </c>
      <c r="C1605" s="129" t="s">
        <v>154</v>
      </c>
      <c r="D1605" s="130">
        <v>36654</v>
      </c>
      <c r="E1605" s="131">
        <v>44729</v>
      </c>
      <c r="F1605" s="132">
        <v>36654</v>
      </c>
      <c r="G1605" s="133">
        <f>Tabla147[[#This Row],[Importe]]-Tabla147[[#This Row],[Pagado]]</f>
        <v>0</v>
      </c>
      <c r="H1605" s="134" t="s">
        <v>10</v>
      </c>
      <c r="I1605" s="135"/>
    </row>
    <row r="1606" spans="1:9" ht="21.75" customHeight="1" x14ac:dyDescent="0.25">
      <c r="A1606" s="127">
        <v>44727</v>
      </c>
      <c r="B1606" s="128" t="s">
        <v>19460</v>
      </c>
      <c r="C1606" s="129" t="s">
        <v>365</v>
      </c>
      <c r="D1606" s="130">
        <v>92</v>
      </c>
      <c r="E1606" s="131">
        <v>44727</v>
      </c>
      <c r="F1606" s="132">
        <v>92</v>
      </c>
      <c r="G1606" s="133">
        <f>Tabla147[[#This Row],[Importe]]-Tabla147[[#This Row],[Pagado]]</f>
        <v>0</v>
      </c>
      <c r="H1606" s="134" t="s">
        <v>10</v>
      </c>
      <c r="I1606" s="135"/>
    </row>
    <row r="1607" spans="1:9" ht="21.75" customHeight="1" x14ac:dyDescent="0.25">
      <c r="A1607" s="127">
        <v>44727</v>
      </c>
      <c r="B1607" s="128" t="s">
        <v>19461</v>
      </c>
      <c r="C1607" s="129" t="s">
        <v>33</v>
      </c>
      <c r="D1607" s="130">
        <v>12335.7</v>
      </c>
      <c r="E1607" s="131">
        <v>44727</v>
      </c>
      <c r="F1607" s="132">
        <v>12335.7</v>
      </c>
      <c r="G1607" s="133">
        <f>Tabla147[[#This Row],[Importe]]-Tabla147[[#This Row],[Pagado]]</f>
        <v>0</v>
      </c>
      <c r="H1607" s="134" t="s">
        <v>10</v>
      </c>
      <c r="I1607" s="135"/>
    </row>
    <row r="1608" spans="1:9" ht="21.75" customHeight="1" x14ac:dyDescent="0.25">
      <c r="A1608" s="127">
        <v>44727</v>
      </c>
      <c r="B1608" s="128" t="s">
        <v>19462</v>
      </c>
      <c r="C1608" s="129" t="s">
        <v>10157</v>
      </c>
      <c r="D1608" s="130">
        <v>43571.38</v>
      </c>
      <c r="E1608" s="131">
        <v>44736</v>
      </c>
      <c r="F1608" s="132">
        <v>43571.38</v>
      </c>
      <c r="G1608" s="133">
        <f>Tabla147[[#This Row],[Importe]]-Tabla147[[#This Row],[Pagado]]</f>
        <v>0</v>
      </c>
      <c r="H1608" s="134" t="s">
        <v>10</v>
      </c>
      <c r="I1608" s="135"/>
    </row>
    <row r="1609" spans="1:9" ht="21.75" customHeight="1" x14ac:dyDescent="0.25">
      <c r="A1609" s="127">
        <v>44727</v>
      </c>
      <c r="B1609" s="128" t="s">
        <v>19463</v>
      </c>
      <c r="C1609" s="129" t="s">
        <v>196</v>
      </c>
      <c r="D1609" s="130">
        <v>30517.4</v>
      </c>
      <c r="E1609" s="131">
        <v>44729</v>
      </c>
      <c r="F1609" s="132">
        <v>30517.4</v>
      </c>
      <c r="G1609" s="133">
        <f>Tabla147[[#This Row],[Importe]]-Tabla147[[#This Row],[Pagado]]</f>
        <v>0</v>
      </c>
      <c r="H1609" s="134" t="s">
        <v>10</v>
      </c>
      <c r="I1609" s="135"/>
    </row>
    <row r="1610" spans="1:9" ht="21.75" customHeight="1" x14ac:dyDescent="0.25">
      <c r="A1610" s="127">
        <v>44727</v>
      </c>
      <c r="B1610" s="128" t="s">
        <v>19464</v>
      </c>
      <c r="C1610" s="129" t="s">
        <v>27</v>
      </c>
      <c r="D1610" s="130">
        <v>1659.8</v>
      </c>
      <c r="E1610" s="131" t="s">
        <v>19465</v>
      </c>
      <c r="F1610" s="132">
        <v>1659.8</v>
      </c>
      <c r="G1610" s="133">
        <f>Tabla147[[#This Row],[Importe]]-Tabla147[[#This Row],[Pagado]]</f>
        <v>0</v>
      </c>
      <c r="H1610" s="134" t="s">
        <v>10</v>
      </c>
      <c r="I1610" s="135"/>
    </row>
    <row r="1611" spans="1:9" ht="21.75" customHeight="1" x14ac:dyDescent="0.25">
      <c r="A1611" s="127">
        <v>44727</v>
      </c>
      <c r="B1611" s="128" t="s">
        <v>19466</v>
      </c>
      <c r="C1611" s="129" t="s">
        <v>212</v>
      </c>
      <c r="D1611" s="130">
        <v>29206</v>
      </c>
      <c r="E1611" s="131">
        <v>44729</v>
      </c>
      <c r="F1611" s="132">
        <v>29206</v>
      </c>
      <c r="G1611" s="133">
        <f>Tabla147[[#This Row],[Importe]]-Tabla147[[#This Row],[Pagado]]</f>
        <v>0</v>
      </c>
      <c r="H1611" s="134" t="s">
        <v>10</v>
      </c>
      <c r="I1611" s="135"/>
    </row>
    <row r="1612" spans="1:9" ht="21.75" customHeight="1" x14ac:dyDescent="0.25">
      <c r="A1612" s="127">
        <v>44727</v>
      </c>
      <c r="B1612" s="128" t="s">
        <v>19467</v>
      </c>
      <c r="C1612" s="129" t="s">
        <v>218</v>
      </c>
      <c r="D1612" s="130">
        <v>21970.6</v>
      </c>
      <c r="E1612" s="131">
        <v>44732</v>
      </c>
      <c r="F1612" s="132">
        <v>21970.6</v>
      </c>
      <c r="G1612" s="133">
        <f>Tabla147[[#This Row],[Importe]]-Tabla147[[#This Row],[Pagado]]</f>
        <v>0</v>
      </c>
      <c r="H1612" s="134" t="s">
        <v>10</v>
      </c>
      <c r="I1612" s="135"/>
    </row>
    <row r="1613" spans="1:9" ht="21.75" customHeight="1" x14ac:dyDescent="0.25">
      <c r="A1613" s="127">
        <v>44727</v>
      </c>
      <c r="B1613" s="128" t="s">
        <v>19468</v>
      </c>
      <c r="C1613" s="129" t="s">
        <v>16</v>
      </c>
      <c r="D1613" s="130">
        <v>4239.3999999999996</v>
      </c>
      <c r="E1613" s="131">
        <v>44727</v>
      </c>
      <c r="F1613" s="132">
        <v>4239.3999999999996</v>
      </c>
      <c r="G1613" s="133">
        <f>Tabla147[[#This Row],[Importe]]-Tabla147[[#This Row],[Pagado]]</f>
        <v>0</v>
      </c>
      <c r="H1613" s="134" t="s">
        <v>10</v>
      </c>
      <c r="I1613" s="135"/>
    </row>
    <row r="1614" spans="1:9" ht="21.75" customHeight="1" x14ac:dyDescent="0.25">
      <c r="A1614" s="127">
        <v>44727</v>
      </c>
      <c r="B1614" s="128" t="s">
        <v>19469</v>
      </c>
      <c r="C1614" s="129" t="s">
        <v>206</v>
      </c>
      <c r="D1614" s="130">
        <v>35119</v>
      </c>
      <c r="E1614" s="131">
        <v>44732</v>
      </c>
      <c r="F1614" s="132">
        <v>35119</v>
      </c>
      <c r="G1614" s="133">
        <f>Tabla147[[#This Row],[Importe]]-Tabla147[[#This Row],[Pagado]]</f>
        <v>0</v>
      </c>
      <c r="H1614" s="134" t="s">
        <v>10</v>
      </c>
      <c r="I1614" s="135"/>
    </row>
    <row r="1615" spans="1:9" ht="21.75" customHeight="1" x14ac:dyDescent="0.25">
      <c r="A1615" s="127">
        <v>44727</v>
      </c>
      <c r="B1615" s="128" t="s">
        <v>19470</v>
      </c>
      <c r="C1615" s="129" t="s">
        <v>11383</v>
      </c>
      <c r="D1615" s="130">
        <v>33127</v>
      </c>
      <c r="E1615" s="131">
        <v>44727</v>
      </c>
      <c r="F1615" s="132">
        <v>33127</v>
      </c>
      <c r="G1615" s="133">
        <f>Tabla147[[#This Row],[Importe]]-Tabla147[[#This Row],[Pagado]]</f>
        <v>0</v>
      </c>
      <c r="H1615" s="134" t="s">
        <v>10</v>
      </c>
      <c r="I1615" s="135"/>
    </row>
    <row r="1616" spans="1:9" ht="21.75" customHeight="1" x14ac:dyDescent="0.25">
      <c r="A1616" s="127">
        <v>44727</v>
      </c>
      <c r="B1616" s="128" t="s">
        <v>19471</v>
      </c>
      <c r="C1616" s="129" t="s">
        <v>142</v>
      </c>
      <c r="D1616" s="130">
        <v>20506.8</v>
      </c>
      <c r="E1616" s="131">
        <v>44769</v>
      </c>
      <c r="F1616" s="132">
        <v>20506.8</v>
      </c>
      <c r="G1616" s="133">
        <f>Tabla147[[#This Row],[Importe]]-Tabla147[[#This Row],[Pagado]]</f>
        <v>0</v>
      </c>
      <c r="H1616" s="134" t="s">
        <v>10</v>
      </c>
      <c r="I1616" s="135"/>
    </row>
    <row r="1617" spans="1:9" ht="21.75" customHeight="1" x14ac:dyDescent="0.25">
      <c r="A1617" s="127">
        <v>44727</v>
      </c>
      <c r="B1617" s="128" t="s">
        <v>19472</v>
      </c>
      <c r="C1617" s="129" t="s">
        <v>291</v>
      </c>
      <c r="D1617" s="130">
        <v>4088.7</v>
      </c>
      <c r="E1617" s="131">
        <v>44727</v>
      </c>
      <c r="F1617" s="132">
        <v>4088.7</v>
      </c>
      <c r="G1617" s="133">
        <f>Tabla147[[#This Row],[Importe]]-Tabla147[[#This Row],[Pagado]]</f>
        <v>0</v>
      </c>
      <c r="H1617" s="134" t="s">
        <v>10</v>
      </c>
      <c r="I1617" s="135"/>
    </row>
    <row r="1618" spans="1:9" ht="21.75" customHeight="1" x14ac:dyDescent="0.25">
      <c r="A1618" s="127">
        <v>44727</v>
      </c>
      <c r="B1618" s="128" t="s">
        <v>19473</v>
      </c>
      <c r="C1618" s="129" t="s">
        <v>45</v>
      </c>
      <c r="D1618" s="130">
        <v>16873.2</v>
      </c>
      <c r="E1618" s="131">
        <v>44727</v>
      </c>
      <c r="F1618" s="132">
        <v>16873.2</v>
      </c>
      <c r="G1618" s="133">
        <f>Tabla147[[#This Row],[Importe]]-Tabla147[[#This Row],[Pagado]]</f>
        <v>0</v>
      </c>
      <c r="H1618" s="134" t="s">
        <v>10</v>
      </c>
      <c r="I1618" s="135"/>
    </row>
    <row r="1619" spans="1:9" ht="21.75" customHeight="1" x14ac:dyDescent="0.25">
      <c r="A1619" s="127">
        <v>44727</v>
      </c>
      <c r="B1619" s="128" t="s">
        <v>19474</v>
      </c>
      <c r="C1619" s="129" t="s">
        <v>291</v>
      </c>
      <c r="D1619" s="130">
        <v>372</v>
      </c>
      <c r="E1619" s="131">
        <v>44727</v>
      </c>
      <c r="F1619" s="132">
        <v>372</v>
      </c>
      <c r="G1619" s="133">
        <f>Tabla147[[#This Row],[Importe]]-Tabla147[[#This Row],[Pagado]]</f>
        <v>0</v>
      </c>
      <c r="H1619" s="134" t="s">
        <v>10</v>
      </c>
      <c r="I1619" s="135"/>
    </row>
    <row r="1620" spans="1:9" ht="21.75" customHeight="1" x14ac:dyDescent="0.25">
      <c r="A1620" s="127">
        <v>44727</v>
      </c>
      <c r="B1620" s="128" t="s">
        <v>19475</v>
      </c>
      <c r="C1620" s="129" t="s">
        <v>6585</v>
      </c>
      <c r="D1620" s="130">
        <v>8456</v>
      </c>
      <c r="E1620" s="131">
        <v>44728</v>
      </c>
      <c r="F1620" s="132">
        <v>8456</v>
      </c>
      <c r="G1620" s="133">
        <f>Tabla147[[#This Row],[Importe]]-Tabla147[[#This Row],[Pagado]]</f>
        <v>0</v>
      </c>
      <c r="H1620" s="134" t="s">
        <v>10</v>
      </c>
      <c r="I1620" s="135"/>
    </row>
    <row r="1621" spans="1:9" ht="21.75" customHeight="1" x14ac:dyDescent="0.25">
      <c r="A1621" s="127">
        <v>44727</v>
      </c>
      <c r="B1621" s="128" t="s">
        <v>19476</v>
      </c>
      <c r="C1621" s="129" t="s">
        <v>133</v>
      </c>
      <c r="D1621" s="130">
        <v>17640</v>
      </c>
      <c r="E1621" s="131">
        <v>44728</v>
      </c>
      <c r="F1621" s="132">
        <v>17640</v>
      </c>
      <c r="G1621" s="133">
        <f>Tabla147[[#This Row],[Importe]]-Tabla147[[#This Row],[Pagado]]</f>
        <v>0</v>
      </c>
      <c r="H1621" s="134" t="s">
        <v>10</v>
      </c>
      <c r="I1621" s="135"/>
    </row>
    <row r="1622" spans="1:9" ht="21.75" customHeight="1" x14ac:dyDescent="0.25">
      <c r="A1622" s="127">
        <v>44727</v>
      </c>
      <c r="B1622" s="128" t="s">
        <v>19477</v>
      </c>
      <c r="C1622" s="129" t="s">
        <v>91</v>
      </c>
      <c r="D1622" s="130">
        <v>13600</v>
      </c>
      <c r="E1622" s="131">
        <v>44727</v>
      </c>
      <c r="F1622" s="132">
        <v>13600</v>
      </c>
      <c r="G1622" s="133">
        <f>Tabla147[[#This Row],[Importe]]-Tabla147[[#This Row],[Pagado]]</f>
        <v>0</v>
      </c>
      <c r="H1622" s="134" t="s">
        <v>10</v>
      </c>
      <c r="I1622" s="135"/>
    </row>
    <row r="1623" spans="1:9" ht="21.75" customHeight="1" x14ac:dyDescent="0.25">
      <c r="A1623" s="127">
        <v>44727</v>
      </c>
      <c r="B1623" s="128" t="s">
        <v>19478</v>
      </c>
      <c r="C1623" s="129" t="s">
        <v>22</v>
      </c>
      <c r="D1623" s="130">
        <v>20355.7</v>
      </c>
      <c r="E1623" s="131">
        <v>44728</v>
      </c>
      <c r="F1623" s="132">
        <v>20355.7</v>
      </c>
      <c r="G1623" s="133">
        <f>Tabla147[[#This Row],[Importe]]-Tabla147[[#This Row],[Pagado]]</f>
        <v>0</v>
      </c>
      <c r="H1623" s="134" t="s">
        <v>10</v>
      </c>
      <c r="I1623" s="135"/>
    </row>
    <row r="1624" spans="1:9" ht="21.75" customHeight="1" x14ac:dyDescent="0.25">
      <c r="A1624" s="127">
        <v>44727</v>
      </c>
      <c r="B1624" s="128" t="s">
        <v>19479</v>
      </c>
      <c r="C1624" s="129" t="s">
        <v>49</v>
      </c>
      <c r="D1624" s="130">
        <v>3104.2</v>
      </c>
      <c r="E1624" s="131">
        <v>44727</v>
      </c>
      <c r="F1624" s="132">
        <v>3104.2</v>
      </c>
      <c r="G1624" s="133">
        <f>Tabla147[[#This Row],[Importe]]-Tabla147[[#This Row],[Pagado]]</f>
        <v>0</v>
      </c>
      <c r="H1624" s="134" t="s">
        <v>10</v>
      </c>
      <c r="I1624" s="135"/>
    </row>
    <row r="1625" spans="1:9" ht="21.75" customHeight="1" x14ac:dyDescent="0.25">
      <c r="A1625" s="127">
        <v>44727</v>
      </c>
      <c r="B1625" s="128" t="s">
        <v>19480</v>
      </c>
      <c r="C1625" s="129" t="s">
        <v>24</v>
      </c>
      <c r="D1625" s="130">
        <v>1158.8</v>
      </c>
      <c r="E1625" s="131">
        <v>44727</v>
      </c>
      <c r="F1625" s="132">
        <v>1158.8</v>
      </c>
      <c r="G1625" s="133">
        <f>Tabla147[[#This Row],[Importe]]-Tabla147[[#This Row],[Pagado]]</f>
        <v>0</v>
      </c>
      <c r="H1625" s="134" t="s">
        <v>10</v>
      </c>
      <c r="I1625" s="135"/>
    </row>
    <row r="1626" spans="1:9" ht="21.75" customHeight="1" x14ac:dyDescent="0.25">
      <c r="A1626" s="127">
        <v>44727</v>
      </c>
      <c r="B1626" s="128" t="s">
        <v>19481</v>
      </c>
      <c r="C1626" s="129" t="s">
        <v>24</v>
      </c>
      <c r="D1626" s="130">
        <v>5277.9</v>
      </c>
      <c r="E1626" s="131">
        <v>44727</v>
      </c>
      <c r="F1626" s="132">
        <v>5277.9</v>
      </c>
      <c r="G1626" s="133">
        <f>Tabla147[[#This Row],[Importe]]-Tabla147[[#This Row],[Pagado]]</f>
        <v>0</v>
      </c>
      <c r="H1626" s="134" t="s">
        <v>10</v>
      </c>
      <c r="I1626" s="135"/>
    </row>
    <row r="1627" spans="1:9" ht="21.75" customHeight="1" x14ac:dyDescent="0.25">
      <c r="A1627" s="127">
        <v>44727</v>
      </c>
      <c r="B1627" s="128" t="s">
        <v>19482</v>
      </c>
      <c r="C1627" s="129" t="s">
        <v>37</v>
      </c>
      <c r="D1627" s="130">
        <v>1867.3</v>
      </c>
      <c r="E1627" s="131">
        <v>44727</v>
      </c>
      <c r="F1627" s="132">
        <v>1867.3</v>
      </c>
      <c r="G1627" s="133">
        <f>Tabla147[[#This Row],[Importe]]-Tabla147[[#This Row],[Pagado]]</f>
        <v>0</v>
      </c>
      <c r="H1627" s="134" t="s">
        <v>10</v>
      </c>
      <c r="I1627" s="135"/>
    </row>
    <row r="1628" spans="1:9" ht="21.75" customHeight="1" x14ac:dyDescent="0.25">
      <c r="A1628" s="127">
        <v>44727</v>
      </c>
      <c r="B1628" s="128" t="s">
        <v>19483</v>
      </c>
      <c r="C1628" s="129" t="s">
        <v>1237</v>
      </c>
      <c r="D1628" s="130">
        <v>44360</v>
      </c>
      <c r="E1628" s="131">
        <v>44727</v>
      </c>
      <c r="F1628" s="132">
        <v>44360</v>
      </c>
      <c r="G1628" s="133">
        <f>Tabla147[[#This Row],[Importe]]-Tabla147[[#This Row],[Pagado]]</f>
        <v>0</v>
      </c>
      <c r="H1628" s="134" t="s">
        <v>10</v>
      </c>
      <c r="I1628" s="135"/>
    </row>
    <row r="1629" spans="1:9" ht="21.75" customHeight="1" x14ac:dyDescent="0.25">
      <c r="A1629" s="127">
        <v>44727</v>
      </c>
      <c r="B1629" s="128" t="s">
        <v>19484</v>
      </c>
      <c r="C1629" s="129" t="s">
        <v>1339</v>
      </c>
      <c r="D1629" s="130">
        <v>3556.3</v>
      </c>
      <c r="E1629" s="131">
        <v>44727</v>
      </c>
      <c r="F1629" s="132">
        <v>3556.3</v>
      </c>
      <c r="G1629" s="133">
        <f>Tabla147[[#This Row],[Importe]]-Tabla147[[#This Row],[Pagado]]</f>
        <v>0</v>
      </c>
      <c r="H1629" s="134" t="s">
        <v>10</v>
      </c>
      <c r="I1629" s="135"/>
    </row>
    <row r="1630" spans="1:9" ht="21.75" customHeight="1" x14ac:dyDescent="0.25">
      <c r="A1630" s="127">
        <v>44727</v>
      </c>
      <c r="B1630" s="128" t="s">
        <v>19485</v>
      </c>
      <c r="C1630" s="129" t="s">
        <v>216</v>
      </c>
      <c r="D1630" s="130">
        <v>2026.4</v>
      </c>
      <c r="E1630" s="131">
        <v>44727</v>
      </c>
      <c r="F1630" s="132">
        <v>2026.4</v>
      </c>
      <c r="G1630" s="133">
        <f>Tabla147[[#This Row],[Importe]]-Tabla147[[#This Row],[Pagado]]</f>
        <v>0</v>
      </c>
      <c r="H1630" s="134" t="s">
        <v>10</v>
      </c>
      <c r="I1630" s="135"/>
    </row>
    <row r="1631" spans="1:9" ht="21.75" customHeight="1" x14ac:dyDescent="0.25">
      <c r="A1631" s="127">
        <v>44727</v>
      </c>
      <c r="B1631" s="128" t="s">
        <v>19486</v>
      </c>
      <c r="C1631" s="129" t="s">
        <v>275</v>
      </c>
      <c r="D1631" s="130">
        <v>48122.5</v>
      </c>
      <c r="E1631" s="131">
        <v>44736</v>
      </c>
      <c r="F1631" s="132">
        <v>48122.5</v>
      </c>
      <c r="G1631" s="133">
        <f>Tabla147[[#This Row],[Importe]]-Tabla147[[#This Row],[Pagado]]</f>
        <v>0</v>
      </c>
      <c r="H1631" s="134" t="s">
        <v>10</v>
      </c>
      <c r="I1631" s="135"/>
    </row>
    <row r="1632" spans="1:9" ht="21.75" customHeight="1" x14ac:dyDescent="0.25">
      <c r="A1632" s="127">
        <v>44727</v>
      </c>
      <c r="B1632" s="128" t="s">
        <v>19487</v>
      </c>
      <c r="C1632" s="129" t="s">
        <v>135</v>
      </c>
      <c r="D1632" s="130">
        <v>1829.8</v>
      </c>
      <c r="E1632" s="131">
        <v>44727</v>
      </c>
      <c r="F1632" s="132">
        <v>1829.8</v>
      </c>
      <c r="G1632" s="133">
        <f>Tabla147[[#This Row],[Importe]]-Tabla147[[#This Row],[Pagado]]</f>
        <v>0</v>
      </c>
      <c r="H1632" s="134" t="s">
        <v>10</v>
      </c>
      <c r="I1632" s="135"/>
    </row>
    <row r="1633" spans="1:9" ht="21.75" customHeight="1" x14ac:dyDescent="0.25">
      <c r="A1633" s="127">
        <v>44727</v>
      </c>
      <c r="B1633" s="128" t="s">
        <v>19488</v>
      </c>
      <c r="C1633" s="129" t="s">
        <v>179</v>
      </c>
      <c r="D1633" s="130">
        <v>1394</v>
      </c>
      <c r="E1633" s="131">
        <v>44727</v>
      </c>
      <c r="F1633" s="132">
        <v>1394</v>
      </c>
      <c r="G1633" s="133">
        <f>Tabla147[[#This Row],[Importe]]-Tabla147[[#This Row],[Pagado]]</f>
        <v>0</v>
      </c>
      <c r="H1633" s="134" t="s">
        <v>10</v>
      </c>
      <c r="I1633" s="135"/>
    </row>
    <row r="1634" spans="1:9" ht="21.75" customHeight="1" x14ac:dyDescent="0.25">
      <c r="A1634" s="127">
        <v>44727</v>
      </c>
      <c r="B1634" s="128" t="s">
        <v>19489</v>
      </c>
      <c r="C1634" s="129" t="s">
        <v>1350</v>
      </c>
      <c r="D1634" s="130">
        <v>965.6</v>
      </c>
      <c r="E1634" s="131">
        <v>44727</v>
      </c>
      <c r="F1634" s="132">
        <v>965.6</v>
      </c>
      <c r="G1634" s="133">
        <f>Tabla147[[#This Row],[Importe]]-Tabla147[[#This Row],[Pagado]]</f>
        <v>0</v>
      </c>
      <c r="H1634" s="134" t="s">
        <v>10</v>
      </c>
      <c r="I1634" s="135"/>
    </row>
    <row r="1635" spans="1:9" ht="21.75" customHeight="1" x14ac:dyDescent="0.25">
      <c r="A1635" s="127">
        <v>44727</v>
      </c>
      <c r="B1635" s="128" t="s">
        <v>19490</v>
      </c>
      <c r="C1635" s="129" t="s">
        <v>230</v>
      </c>
      <c r="D1635" s="130">
        <v>712.8</v>
      </c>
      <c r="E1635" s="131">
        <v>44727</v>
      </c>
      <c r="F1635" s="132">
        <v>712.8</v>
      </c>
      <c r="G1635" s="133">
        <f>Tabla147[[#This Row],[Importe]]-Tabla147[[#This Row],[Pagado]]</f>
        <v>0</v>
      </c>
      <c r="H1635" s="134" t="s">
        <v>10</v>
      </c>
      <c r="I1635" s="135"/>
    </row>
    <row r="1636" spans="1:9" ht="31.5" x14ac:dyDescent="0.25">
      <c r="A1636" s="127">
        <v>44727</v>
      </c>
      <c r="B1636" s="128" t="s">
        <v>19491</v>
      </c>
      <c r="C1636" s="129" t="s">
        <v>555</v>
      </c>
      <c r="D1636" s="130">
        <v>43450.16</v>
      </c>
      <c r="E1636" s="131" t="s">
        <v>19492</v>
      </c>
      <c r="F1636" s="132">
        <f>35000+8450.16</f>
        <v>43450.16</v>
      </c>
      <c r="G1636" s="133">
        <f>Tabla147[[#This Row],[Importe]]-Tabla147[[#This Row],[Pagado]]</f>
        <v>0</v>
      </c>
      <c r="H1636" s="134" t="s">
        <v>10</v>
      </c>
      <c r="I1636" s="135"/>
    </row>
    <row r="1637" spans="1:9" ht="21.75" customHeight="1" x14ac:dyDescent="0.25">
      <c r="A1637" s="127">
        <v>44727</v>
      </c>
      <c r="B1637" s="128" t="s">
        <v>19493</v>
      </c>
      <c r="C1637" s="129" t="s">
        <v>840</v>
      </c>
      <c r="D1637" s="130">
        <v>18404.599999999999</v>
      </c>
      <c r="E1637" s="131">
        <v>44727</v>
      </c>
      <c r="F1637" s="132">
        <v>18404.599999999999</v>
      </c>
      <c r="G1637" s="133">
        <f>Tabla147[[#This Row],[Importe]]-Tabla147[[#This Row],[Pagado]]</f>
        <v>0</v>
      </c>
      <c r="H1637" s="134" t="s">
        <v>10</v>
      </c>
      <c r="I1637" s="135"/>
    </row>
    <row r="1638" spans="1:9" ht="21.75" customHeight="1" x14ac:dyDescent="0.25">
      <c r="A1638" s="127">
        <v>44727</v>
      </c>
      <c r="B1638" s="128" t="s">
        <v>19494</v>
      </c>
      <c r="C1638" s="129" t="s">
        <v>857</v>
      </c>
      <c r="D1638" s="130">
        <v>485.8</v>
      </c>
      <c r="E1638" s="131">
        <v>44727</v>
      </c>
      <c r="F1638" s="132">
        <v>485.8</v>
      </c>
      <c r="G1638" s="133">
        <f>Tabla147[[#This Row],[Importe]]-Tabla147[[#This Row],[Pagado]]</f>
        <v>0</v>
      </c>
      <c r="H1638" s="134" t="s">
        <v>10</v>
      </c>
      <c r="I1638" s="135"/>
    </row>
    <row r="1639" spans="1:9" ht="21.75" customHeight="1" x14ac:dyDescent="0.25">
      <c r="A1639" s="127">
        <v>44727</v>
      </c>
      <c r="B1639" s="128" t="s">
        <v>19495</v>
      </c>
      <c r="C1639" s="129" t="s">
        <v>31</v>
      </c>
      <c r="D1639" s="130">
        <v>673.2</v>
      </c>
      <c r="E1639" s="131">
        <v>44727</v>
      </c>
      <c r="F1639" s="132">
        <v>673.2</v>
      </c>
      <c r="G1639" s="133">
        <f>Tabla147[[#This Row],[Importe]]-Tabla147[[#This Row],[Pagado]]</f>
        <v>0</v>
      </c>
      <c r="H1639" s="134" t="s">
        <v>10</v>
      </c>
      <c r="I1639" s="135"/>
    </row>
    <row r="1640" spans="1:9" ht="21.75" customHeight="1" x14ac:dyDescent="0.25">
      <c r="A1640" s="127">
        <v>44727</v>
      </c>
      <c r="B1640" s="128" t="s">
        <v>19496</v>
      </c>
      <c r="C1640" s="129" t="s">
        <v>233</v>
      </c>
      <c r="D1640" s="130">
        <v>5243</v>
      </c>
      <c r="E1640" s="131">
        <v>44727</v>
      </c>
      <c r="F1640" s="132">
        <v>5243</v>
      </c>
      <c r="G1640" s="133">
        <f>Tabla147[[#This Row],[Importe]]-Tabla147[[#This Row],[Pagado]]</f>
        <v>0</v>
      </c>
      <c r="H1640" s="134" t="s">
        <v>10</v>
      </c>
      <c r="I1640" s="135"/>
    </row>
    <row r="1641" spans="1:9" ht="21.75" customHeight="1" x14ac:dyDescent="0.25">
      <c r="A1641" s="127">
        <v>44727</v>
      </c>
      <c r="B1641" s="128" t="s">
        <v>19497</v>
      </c>
      <c r="C1641" s="129" t="s">
        <v>419</v>
      </c>
      <c r="D1641" s="130">
        <v>9657.5</v>
      </c>
      <c r="E1641" s="131">
        <v>44727</v>
      </c>
      <c r="F1641" s="132">
        <v>9657.5</v>
      </c>
      <c r="G1641" s="133">
        <f>Tabla147[[#This Row],[Importe]]-Tabla147[[#This Row],[Pagado]]</f>
        <v>0</v>
      </c>
      <c r="H1641" s="134" t="s">
        <v>10</v>
      </c>
      <c r="I1641" s="135"/>
    </row>
    <row r="1642" spans="1:9" ht="21.75" customHeight="1" x14ac:dyDescent="0.25">
      <c r="A1642" s="127">
        <v>44727</v>
      </c>
      <c r="B1642" s="128" t="s">
        <v>19498</v>
      </c>
      <c r="C1642" s="129" t="s">
        <v>1275</v>
      </c>
      <c r="D1642" s="130">
        <v>13818</v>
      </c>
      <c r="E1642" s="131">
        <v>44727</v>
      </c>
      <c r="F1642" s="132">
        <v>13818</v>
      </c>
      <c r="G1642" s="133">
        <f>Tabla147[[#This Row],[Importe]]-Tabla147[[#This Row],[Pagado]]</f>
        <v>0</v>
      </c>
      <c r="H1642" s="134" t="s">
        <v>10</v>
      </c>
      <c r="I1642" s="135"/>
    </row>
    <row r="1643" spans="1:9" ht="21.75" customHeight="1" x14ac:dyDescent="0.25">
      <c r="A1643" s="127">
        <v>44727</v>
      </c>
      <c r="B1643" s="128" t="s">
        <v>19499</v>
      </c>
      <c r="C1643" s="129" t="s">
        <v>175</v>
      </c>
      <c r="D1643" s="130">
        <v>27930</v>
      </c>
      <c r="E1643" s="131">
        <v>44728</v>
      </c>
      <c r="F1643" s="132">
        <v>27930</v>
      </c>
      <c r="G1643" s="133">
        <f>Tabla147[[#This Row],[Importe]]-Tabla147[[#This Row],[Pagado]]</f>
        <v>0</v>
      </c>
      <c r="H1643" s="134" t="s">
        <v>10</v>
      </c>
      <c r="I1643" s="135"/>
    </row>
    <row r="1644" spans="1:9" ht="21.75" customHeight="1" x14ac:dyDescent="0.25">
      <c r="A1644" s="127">
        <v>44727</v>
      </c>
      <c r="B1644" s="128" t="s">
        <v>19500</v>
      </c>
      <c r="C1644" s="129" t="s">
        <v>426</v>
      </c>
      <c r="D1644" s="130">
        <v>5148.3999999999996</v>
      </c>
      <c r="E1644" s="131">
        <v>44728</v>
      </c>
      <c r="F1644" s="132">
        <v>5148.3999999999996</v>
      </c>
      <c r="G1644" s="133">
        <f>Tabla147[[#This Row],[Importe]]-Tabla147[[#This Row],[Pagado]]</f>
        <v>0</v>
      </c>
      <c r="H1644" s="134" t="s">
        <v>10</v>
      </c>
      <c r="I1644" s="135"/>
    </row>
    <row r="1645" spans="1:9" ht="21.75" customHeight="1" x14ac:dyDescent="0.25">
      <c r="A1645" s="127">
        <v>44727</v>
      </c>
      <c r="B1645" s="128" t="s">
        <v>19501</v>
      </c>
      <c r="C1645" s="129" t="s">
        <v>10819</v>
      </c>
      <c r="D1645" s="130">
        <v>1436</v>
      </c>
      <c r="E1645" s="131">
        <v>44728</v>
      </c>
      <c r="F1645" s="132">
        <v>1436</v>
      </c>
      <c r="G1645" s="133">
        <f>Tabla147[[#This Row],[Importe]]-Tabla147[[#This Row],[Pagado]]</f>
        <v>0</v>
      </c>
      <c r="H1645" s="134" t="s">
        <v>10</v>
      </c>
      <c r="I1645" s="135"/>
    </row>
    <row r="1646" spans="1:9" ht="21.75" customHeight="1" x14ac:dyDescent="0.25">
      <c r="A1646" s="127">
        <v>44727</v>
      </c>
      <c r="B1646" s="128" t="s">
        <v>19502</v>
      </c>
      <c r="C1646" s="129" t="s">
        <v>359</v>
      </c>
      <c r="D1646" s="130">
        <v>1829</v>
      </c>
      <c r="E1646" s="131">
        <v>44728</v>
      </c>
      <c r="F1646" s="132">
        <v>1829</v>
      </c>
      <c r="G1646" s="133">
        <f>Tabla147[[#This Row],[Importe]]-Tabla147[[#This Row],[Pagado]]</f>
        <v>0</v>
      </c>
      <c r="H1646" s="134" t="s">
        <v>10</v>
      </c>
      <c r="I1646" s="135"/>
    </row>
    <row r="1647" spans="1:9" ht="21.75" customHeight="1" x14ac:dyDescent="0.25">
      <c r="A1647" s="127">
        <v>44727</v>
      </c>
      <c r="B1647" s="128" t="s">
        <v>19503</v>
      </c>
      <c r="C1647" s="129" t="s">
        <v>5345</v>
      </c>
      <c r="D1647" s="130">
        <v>1550.4</v>
      </c>
      <c r="E1647" s="131">
        <v>44728</v>
      </c>
      <c r="F1647" s="132">
        <v>1550.4</v>
      </c>
      <c r="G1647" s="133">
        <f>Tabla147[[#This Row],[Importe]]-Tabla147[[#This Row],[Pagado]]</f>
        <v>0</v>
      </c>
      <c r="H1647" s="134" t="s">
        <v>10</v>
      </c>
      <c r="I1647" s="135"/>
    </row>
    <row r="1648" spans="1:9" ht="21.75" customHeight="1" x14ac:dyDescent="0.25">
      <c r="A1648" s="127">
        <v>44727</v>
      </c>
      <c r="B1648" s="128" t="s">
        <v>19504</v>
      </c>
      <c r="C1648" s="129" t="s">
        <v>284</v>
      </c>
      <c r="D1648" s="130">
        <v>6800</v>
      </c>
      <c r="E1648" s="131">
        <v>44728</v>
      </c>
      <c r="F1648" s="132">
        <v>6800</v>
      </c>
      <c r="G1648" s="133">
        <f>Tabla147[[#This Row],[Importe]]-Tabla147[[#This Row],[Pagado]]</f>
        <v>0</v>
      </c>
      <c r="H1648" s="134" t="s">
        <v>10</v>
      </c>
      <c r="I1648" s="135"/>
    </row>
    <row r="1649" spans="1:9" ht="21.75" customHeight="1" x14ac:dyDescent="0.25">
      <c r="A1649" s="127">
        <v>44727</v>
      </c>
      <c r="B1649" s="128" t="s">
        <v>19505</v>
      </c>
      <c r="C1649" s="129" t="s">
        <v>409</v>
      </c>
      <c r="D1649" s="130">
        <v>8315.4</v>
      </c>
      <c r="E1649" s="131">
        <v>44730</v>
      </c>
      <c r="F1649" s="132">
        <v>8315.4</v>
      </c>
      <c r="G1649" s="133">
        <f>Tabla147[[#This Row],[Importe]]-Tabla147[[#This Row],[Pagado]]</f>
        <v>0</v>
      </c>
      <c r="H1649" s="134" t="s">
        <v>10</v>
      </c>
      <c r="I1649" s="135"/>
    </row>
    <row r="1650" spans="1:9" ht="21.75" customHeight="1" x14ac:dyDescent="0.25">
      <c r="A1650" s="127">
        <v>44727</v>
      </c>
      <c r="B1650" s="128" t="s">
        <v>19506</v>
      </c>
      <c r="C1650" s="129" t="s">
        <v>698</v>
      </c>
      <c r="D1650" s="130">
        <v>5888.4</v>
      </c>
      <c r="E1650" s="131">
        <v>44727</v>
      </c>
      <c r="F1650" s="132">
        <v>5888.4</v>
      </c>
      <c r="G1650" s="133">
        <f>Tabla147[[#This Row],[Importe]]-Tabla147[[#This Row],[Pagado]]</f>
        <v>0</v>
      </c>
      <c r="H1650" s="134" t="s">
        <v>10</v>
      </c>
      <c r="I1650" s="135"/>
    </row>
    <row r="1651" spans="1:9" ht="21.75" customHeight="1" x14ac:dyDescent="0.25">
      <c r="A1651" s="127">
        <v>44727</v>
      </c>
      <c r="B1651" s="128" t="s">
        <v>19507</v>
      </c>
      <c r="C1651" s="129" t="s">
        <v>31</v>
      </c>
      <c r="D1651" s="130">
        <v>1987</v>
      </c>
      <c r="E1651" s="131">
        <v>44727</v>
      </c>
      <c r="F1651" s="132">
        <v>1987</v>
      </c>
      <c r="G1651" s="133">
        <f>Tabla147[[#This Row],[Importe]]-Tabla147[[#This Row],[Pagado]]</f>
        <v>0</v>
      </c>
      <c r="H1651" s="134" t="s">
        <v>10</v>
      </c>
      <c r="I1651" s="135"/>
    </row>
    <row r="1652" spans="1:9" ht="21.75" customHeight="1" x14ac:dyDescent="0.25">
      <c r="A1652" s="127">
        <v>44727</v>
      </c>
      <c r="B1652" s="128" t="s">
        <v>19508</v>
      </c>
      <c r="C1652" s="129" t="s">
        <v>918</v>
      </c>
      <c r="D1652" s="130">
        <v>6127.2</v>
      </c>
      <c r="E1652" s="131">
        <v>44727</v>
      </c>
      <c r="F1652" s="132">
        <v>6127.2</v>
      </c>
      <c r="G1652" s="133">
        <f>Tabla147[[#This Row],[Importe]]-Tabla147[[#This Row],[Pagado]]</f>
        <v>0</v>
      </c>
      <c r="H1652" s="134" t="s">
        <v>10</v>
      </c>
      <c r="I1652" s="135"/>
    </row>
    <row r="1653" spans="1:9" ht="21.75" customHeight="1" x14ac:dyDescent="0.25">
      <c r="A1653" s="127">
        <v>44727</v>
      </c>
      <c r="B1653" s="128" t="s">
        <v>19509</v>
      </c>
      <c r="C1653" s="129" t="s">
        <v>69</v>
      </c>
      <c r="D1653" s="130">
        <v>5263.2</v>
      </c>
      <c r="E1653" s="131">
        <v>44727</v>
      </c>
      <c r="F1653" s="132">
        <v>5263.2</v>
      </c>
      <c r="G1653" s="133">
        <f>Tabla147[[#This Row],[Importe]]-Tabla147[[#This Row],[Pagado]]</f>
        <v>0</v>
      </c>
      <c r="H1653" s="134" t="s">
        <v>10</v>
      </c>
      <c r="I1653" s="135"/>
    </row>
    <row r="1654" spans="1:9" ht="21.75" customHeight="1" x14ac:dyDescent="0.25">
      <c r="A1654" s="127">
        <v>44727</v>
      </c>
      <c r="B1654" s="128" t="s">
        <v>19510</v>
      </c>
      <c r="C1654" s="129" t="s">
        <v>31</v>
      </c>
      <c r="D1654" s="130">
        <v>3614.4</v>
      </c>
      <c r="E1654" s="131">
        <v>44727</v>
      </c>
      <c r="F1654" s="132">
        <v>3614.4</v>
      </c>
      <c r="G1654" s="133">
        <f>Tabla147[[#This Row],[Importe]]-Tabla147[[#This Row],[Pagado]]</f>
        <v>0</v>
      </c>
      <c r="H1654" s="134" t="s">
        <v>10</v>
      </c>
      <c r="I1654" s="135"/>
    </row>
    <row r="1655" spans="1:9" ht="21.75" customHeight="1" x14ac:dyDescent="0.25">
      <c r="A1655" s="127">
        <v>44727</v>
      </c>
      <c r="B1655" s="128" t="s">
        <v>19511</v>
      </c>
      <c r="C1655" s="129" t="s">
        <v>1237</v>
      </c>
      <c r="D1655" s="130">
        <v>45675</v>
      </c>
      <c r="E1655" s="131">
        <v>44728</v>
      </c>
      <c r="F1655" s="132">
        <v>45675</v>
      </c>
      <c r="G1655" s="133">
        <f>Tabla147[[#This Row],[Importe]]-Tabla147[[#This Row],[Pagado]]</f>
        <v>0</v>
      </c>
      <c r="H1655" s="134" t="s">
        <v>10</v>
      </c>
      <c r="I1655" s="135"/>
    </row>
    <row r="1656" spans="1:9" ht="21.75" customHeight="1" x14ac:dyDescent="0.25">
      <c r="A1656" s="127">
        <v>44727</v>
      </c>
      <c r="B1656" s="128" t="s">
        <v>19512</v>
      </c>
      <c r="C1656" s="129" t="s">
        <v>31</v>
      </c>
      <c r="D1656" s="130">
        <v>840</v>
      </c>
      <c r="E1656" s="131">
        <v>44727</v>
      </c>
      <c r="F1656" s="132">
        <v>840</v>
      </c>
      <c r="G1656" s="133">
        <f>Tabla147[[#This Row],[Importe]]-Tabla147[[#This Row],[Pagado]]</f>
        <v>0</v>
      </c>
      <c r="H1656" s="134" t="s">
        <v>10</v>
      </c>
      <c r="I1656" s="135"/>
    </row>
    <row r="1657" spans="1:9" ht="21.75" customHeight="1" x14ac:dyDescent="0.25">
      <c r="A1657" s="127">
        <v>44727</v>
      </c>
      <c r="B1657" s="128" t="s">
        <v>19513</v>
      </c>
      <c r="C1657" s="129" t="s">
        <v>407</v>
      </c>
      <c r="D1657" s="130">
        <v>14350</v>
      </c>
      <c r="E1657" s="131">
        <v>44740</v>
      </c>
      <c r="F1657" s="132">
        <f>600+13750</f>
        <v>14350</v>
      </c>
      <c r="G1657" s="133">
        <f>Tabla147[[#This Row],[Importe]]-Tabla147[[#This Row],[Pagado]]</f>
        <v>0</v>
      </c>
      <c r="H1657" s="134" t="s">
        <v>10</v>
      </c>
      <c r="I1657" s="135"/>
    </row>
    <row r="1658" spans="1:9" ht="21.75" customHeight="1" x14ac:dyDescent="0.25">
      <c r="A1658" s="127">
        <v>44727</v>
      </c>
      <c r="B1658" s="128" t="s">
        <v>19514</v>
      </c>
      <c r="C1658" s="129" t="s">
        <v>1174</v>
      </c>
      <c r="D1658" s="130">
        <v>33424</v>
      </c>
      <c r="E1658" s="131">
        <v>44727</v>
      </c>
      <c r="F1658" s="132">
        <v>33424</v>
      </c>
      <c r="G1658" s="133">
        <f>Tabla147[[#This Row],[Importe]]-Tabla147[[#This Row],[Pagado]]</f>
        <v>0</v>
      </c>
      <c r="H1658" s="134" t="s">
        <v>10</v>
      </c>
      <c r="I1658" s="135"/>
    </row>
    <row r="1659" spans="1:9" ht="21.75" customHeight="1" x14ac:dyDescent="0.25">
      <c r="A1659" s="127">
        <v>44727</v>
      </c>
      <c r="B1659" s="128" t="s">
        <v>19515</v>
      </c>
      <c r="C1659" s="129" t="s">
        <v>15306</v>
      </c>
      <c r="D1659" s="130">
        <v>8140</v>
      </c>
      <c r="E1659" s="131">
        <v>44727</v>
      </c>
      <c r="F1659" s="132">
        <v>8140</v>
      </c>
      <c r="G1659" s="133">
        <f>Tabla147[[#This Row],[Importe]]-Tabla147[[#This Row],[Pagado]]</f>
        <v>0</v>
      </c>
      <c r="H1659" s="134" t="s">
        <v>10</v>
      </c>
      <c r="I1659" s="135"/>
    </row>
    <row r="1660" spans="1:9" ht="21.75" customHeight="1" x14ac:dyDescent="0.25">
      <c r="A1660" s="127">
        <v>44727</v>
      </c>
      <c r="B1660" s="128" t="s">
        <v>19516</v>
      </c>
      <c r="C1660" s="129" t="s">
        <v>67</v>
      </c>
      <c r="D1660" s="130">
        <v>5927.6</v>
      </c>
      <c r="E1660" s="131">
        <v>44727</v>
      </c>
      <c r="F1660" s="132">
        <v>5927.6</v>
      </c>
      <c r="G1660" s="133">
        <f>Tabla147[[#This Row],[Importe]]-Tabla147[[#This Row],[Pagado]]</f>
        <v>0</v>
      </c>
      <c r="H1660" s="134" t="s">
        <v>10</v>
      </c>
      <c r="I1660" s="135"/>
    </row>
    <row r="1661" spans="1:9" ht="21.75" customHeight="1" x14ac:dyDescent="0.25">
      <c r="A1661" s="127">
        <v>44727</v>
      </c>
      <c r="B1661" s="128" t="s">
        <v>19517</v>
      </c>
      <c r="C1661" s="129" t="s">
        <v>3823</v>
      </c>
      <c r="D1661" s="130">
        <v>0</v>
      </c>
      <c r="E1661" s="136" t="s">
        <v>189</v>
      </c>
      <c r="F1661" s="132">
        <v>0</v>
      </c>
      <c r="G1661" s="133">
        <f>Tabla147[[#This Row],[Importe]]-Tabla147[[#This Row],[Pagado]]</f>
        <v>0</v>
      </c>
      <c r="H1661" s="134" t="s">
        <v>189</v>
      </c>
      <c r="I1661" s="135"/>
    </row>
    <row r="1662" spans="1:9" ht="21.75" customHeight="1" x14ac:dyDescent="0.25">
      <c r="A1662" s="127">
        <v>44727</v>
      </c>
      <c r="B1662" s="128" t="s">
        <v>19518</v>
      </c>
      <c r="C1662" s="129" t="s">
        <v>31</v>
      </c>
      <c r="D1662" s="130">
        <v>11162.8</v>
      </c>
      <c r="E1662" s="131">
        <v>44727</v>
      </c>
      <c r="F1662" s="132">
        <v>11162.8</v>
      </c>
      <c r="G1662" s="133">
        <f>Tabla147[[#This Row],[Importe]]-Tabla147[[#This Row],[Pagado]]</f>
        <v>0</v>
      </c>
      <c r="H1662" s="134" t="s">
        <v>10</v>
      </c>
      <c r="I1662" s="135"/>
    </row>
    <row r="1663" spans="1:9" ht="21.75" customHeight="1" x14ac:dyDescent="0.25">
      <c r="A1663" s="127">
        <v>44727</v>
      </c>
      <c r="B1663" s="128" t="s">
        <v>19519</v>
      </c>
      <c r="C1663" s="129" t="s">
        <v>9577</v>
      </c>
      <c r="D1663" s="130">
        <v>22841.599999999999</v>
      </c>
      <c r="E1663" s="131">
        <v>44728</v>
      </c>
      <c r="F1663" s="132">
        <v>22841.599999999999</v>
      </c>
      <c r="G1663" s="133">
        <f>Tabla147[[#This Row],[Importe]]-Tabla147[[#This Row],[Pagado]]</f>
        <v>0</v>
      </c>
      <c r="H1663" s="134" t="s">
        <v>10</v>
      </c>
      <c r="I1663" s="135"/>
    </row>
    <row r="1664" spans="1:9" ht="21.75" customHeight="1" x14ac:dyDescent="0.25">
      <c r="A1664" s="127">
        <v>44727</v>
      </c>
      <c r="B1664" s="128" t="s">
        <v>19520</v>
      </c>
      <c r="C1664" s="129" t="s">
        <v>31</v>
      </c>
      <c r="D1664" s="130">
        <v>727.2</v>
      </c>
      <c r="E1664" s="131">
        <v>44728</v>
      </c>
      <c r="F1664" s="132">
        <v>727.2</v>
      </c>
      <c r="G1664" s="133">
        <f>Tabla147[[#This Row],[Importe]]-Tabla147[[#This Row],[Pagado]]</f>
        <v>0</v>
      </c>
      <c r="H1664" s="134" t="s">
        <v>10</v>
      </c>
      <c r="I1664" s="135"/>
    </row>
    <row r="1665" spans="1:9" ht="21.75" customHeight="1" x14ac:dyDescent="0.25">
      <c r="A1665" s="127">
        <v>44727</v>
      </c>
      <c r="B1665" s="128" t="s">
        <v>19521</v>
      </c>
      <c r="C1665" s="129" t="s">
        <v>1558</v>
      </c>
      <c r="D1665" s="130">
        <v>1373.5</v>
      </c>
      <c r="E1665" s="131">
        <v>44727</v>
      </c>
      <c r="F1665" s="132">
        <v>1373.5</v>
      </c>
      <c r="G1665" s="133">
        <f>Tabla147[[#This Row],[Importe]]-Tabla147[[#This Row],[Pagado]]</f>
        <v>0</v>
      </c>
      <c r="H1665" s="134" t="s">
        <v>10</v>
      </c>
      <c r="I1665" s="135"/>
    </row>
    <row r="1666" spans="1:9" ht="21.75" customHeight="1" x14ac:dyDescent="0.25">
      <c r="A1666" s="127">
        <v>44727</v>
      </c>
      <c r="B1666" s="128" t="s">
        <v>19522</v>
      </c>
      <c r="C1666" s="129" t="s">
        <v>53</v>
      </c>
      <c r="D1666" s="130">
        <v>2357.1999999999998</v>
      </c>
      <c r="E1666" s="131">
        <v>44727</v>
      </c>
      <c r="F1666" s="132">
        <v>2357.1999999999998</v>
      </c>
      <c r="G1666" s="133">
        <f>Tabla147[[#This Row],[Importe]]-Tabla147[[#This Row],[Pagado]]</f>
        <v>0</v>
      </c>
      <c r="H1666" s="134" t="s">
        <v>10</v>
      </c>
      <c r="I1666" s="135"/>
    </row>
    <row r="1667" spans="1:9" ht="21.75" customHeight="1" x14ac:dyDescent="0.25">
      <c r="A1667" s="127">
        <v>44727</v>
      </c>
      <c r="B1667" s="128" t="s">
        <v>19523</v>
      </c>
      <c r="C1667" s="129" t="s">
        <v>450</v>
      </c>
      <c r="D1667" s="130">
        <v>7519.8</v>
      </c>
      <c r="E1667" s="131">
        <v>44727</v>
      </c>
      <c r="F1667" s="132">
        <v>7519.8</v>
      </c>
      <c r="G1667" s="133">
        <f>Tabla147[[#This Row],[Importe]]-Tabla147[[#This Row],[Pagado]]</f>
        <v>0</v>
      </c>
      <c r="H1667" s="134" t="s">
        <v>10</v>
      </c>
      <c r="I1667" s="135"/>
    </row>
    <row r="1668" spans="1:9" ht="21.75" customHeight="1" x14ac:dyDescent="0.25">
      <c r="A1668" s="127">
        <v>44727</v>
      </c>
      <c r="B1668" s="128" t="s">
        <v>19524</v>
      </c>
      <c r="C1668" s="129" t="s">
        <v>56</v>
      </c>
      <c r="D1668" s="130">
        <v>1924</v>
      </c>
      <c r="E1668" s="131">
        <v>44727</v>
      </c>
      <c r="F1668" s="132">
        <v>1924</v>
      </c>
      <c r="G1668" s="133">
        <f>Tabla147[[#This Row],[Importe]]-Tabla147[[#This Row],[Pagado]]</f>
        <v>0</v>
      </c>
      <c r="H1668" s="134" t="s">
        <v>10</v>
      </c>
      <c r="I1668" s="135"/>
    </row>
    <row r="1669" spans="1:9" ht="21.75" customHeight="1" x14ac:dyDescent="0.25">
      <c r="A1669" s="127">
        <v>44727</v>
      </c>
      <c r="B1669" s="128" t="s">
        <v>19525</v>
      </c>
      <c r="C1669" s="129" t="s">
        <v>1339</v>
      </c>
      <c r="D1669" s="130">
        <v>370</v>
      </c>
      <c r="E1669" s="131">
        <v>44727</v>
      </c>
      <c r="F1669" s="132">
        <v>370</v>
      </c>
      <c r="G1669" s="133">
        <f>Tabla147[[#This Row],[Importe]]-Tabla147[[#This Row],[Pagado]]</f>
        <v>0</v>
      </c>
      <c r="H1669" s="134" t="s">
        <v>10</v>
      </c>
      <c r="I1669" s="135"/>
    </row>
    <row r="1670" spans="1:9" ht="21.75" customHeight="1" x14ac:dyDescent="0.25">
      <c r="A1670" s="127">
        <v>44727</v>
      </c>
      <c r="B1670" s="128" t="s">
        <v>19526</v>
      </c>
      <c r="C1670" s="129" t="s">
        <v>461</v>
      </c>
      <c r="D1670" s="130">
        <v>287</v>
      </c>
      <c r="E1670" s="131">
        <v>44727</v>
      </c>
      <c r="F1670" s="132">
        <v>287</v>
      </c>
      <c r="G1670" s="133">
        <f>Tabla147[[#This Row],[Importe]]-Tabla147[[#This Row],[Pagado]]</f>
        <v>0</v>
      </c>
      <c r="H1670" s="134" t="s">
        <v>10</v>
      </c>
      <c r="I1670" s="135"/>
    </row>
    <row r="1671" spans="1:9" ht="21.75" customHeight="1" x14ac:dyDescent="0.25">
      <c r="A1671" s="127">
        <v>44727</v>
      </c>
      <c r="B1671" s="128" t="s">
        <v>19527</v>
      </c>
      <c r="C1671" s="129" t="s">
        <v>31</v>
      </c>
      <c r="D1671" s="130">
        <v>1902.8</v>
      </c>
      <c r="E1671" s="131">
        <v>44727</v>
      </c>
      <c r="F1671" s="132">
        <v>1902.8</v>
      </c>
      <c r="G1671" s="133">
        <f>Tabla147[[#This Row],[Importe]]-Tabla147[[#This Row],[Pagado]]</f>
        <v>0</v>
      </c>
      <c r="H1671" s="134" t="s">
        <v>10</v>
      </c>
      <c r="I1671" s="135"/>
    </row>
    <row r="1672" spans="1:9" ht="21.75" customHeight="1" x14ac:dyDescent="0.25">
      <c r="A1672" s="127">
        <v>44727</v>
      </c>
      <c r="B1672" s="128" t="s">
        <v>19528</v>
      </c>
      <c r="C1672" s="129" t="s">
        <v>296</v>
      </c>
      <c r="D1672" s="130">
        <v>2671.4</v>
      </c>
      <c r="E1672" s="131">
        <v>44727</v>
      </c>
      <c r="F1672" s="132">
        <v>2671.4</v>
      </c>
      <c r="G1672" s="133">
        <f>Tabla147[[#This Row],[Importe]]-Tabla147[[#This Row],[Pagado]]</f>
        <v>0</v>
      </c>
      <c r="H1672" s="134" t="s">
        <v>10</v>
      </c>
      <c r="I1672" s="135"/>
    </row>
    <row r="1673" spans="1:9" ht="21.75" customHeight="1" x14ac:dyDescent="0.25">
      <c r="A1673" s="127">
        <v>44727</v>
      </c>
      <c r="B1673" s="128" t="s">
        <v>19529</v>
      </c>
      <c r="C1673" s="129" t="s">
        <v>289</v>
      </c>
      <c r="D1673" s="130">
        <v>11400.1</v>
      </c>
      <c r="E1673" s="131">
        <v>44727</v>
      </c>
      <c r="F1673" s="132">
        <v>11400.1</v>
      </c>
      <c r="G1673" s="133">
        <f>Tabla147[[#This Row],[Importe]]-Tabla147[[#This Row],[Pagado]]</f>
        <v>0</v>
      </c>
      <c r="H1673" s="134" t="s">
        <v>10</v>
      </c>
      <c r="I1673" s="135"/>
    </row>
    <row r="1674" spans="1:9" ht="21.75" customHeight="1" x14ac:dyDescent="0.25">
      <c r="A1674" s="127">
        <v>44727</v>
      </c>
      <c r="B1674" s="128" t="s">
        <v>19530</v>
      </c>
      <c r="C1674" s="129" t="s">
        <v>2961</v>
      </c>
      <c r="D1674" s="130">
        <v>80418.8</v>
      </c>
      <c r="E1674" s="131">
        <v>44732</v>
      </c>
      <c r="F1674" s="132">
        <v>80418.8</v>
      </c>
      <c r="G1674" s="133">
        <f>Tabla147[[#This Row],[Importe]]-Tabla147[[#This Row],[Pagado]]</f>
        <v>0</v>
      </c>
      <c r="H1674" s="134" t="s">
        <v>10</v>
      </c>
      <c r="I1674" s="135"/>
    </row>
    <row r="1675" spans="1:9" ht="21.75" customHeight="1" x14ac:dyDescent="0.25">
      <c r="A1675" s="127">
        <v>44727</v>
      </c>
      <c r="B1675" s="128" t="s">
        <v>19531</v>
      </c>
      <c r="C1675" s="129" t="s">
        <v>10324</v>
      </c>
      <c r="D1675" s="130">
        <v>4501</v>
      </c>
      <c r="E1675" s="131">
        <v>44727</v>
      </c>
      <c r="F1675" s="132">
        <v>4501</v>
      </c>
      <c r="G1675" s="133">
        <f>Tabla147[[#This Row],[Importe]]-Tabla147[[#This Row],[Pagado]]</f>
        <v>0</v>
      </c>
      <c r="H1675" s="134" t="s">
        <v>10</v>
      </c>
      <c r="I1675" s="135"/>
    </row>
    <row r="1676" spans="1:9" ht="21.75" customHeight="1" x14ac:dyDescent="0.25">
      <c r="A1676" s="127">
        <v>44727</v>
      </c>
      <c r="B1676" s="128" t="s">
        <v>19532</v>
      </c>
      <c r="C1676" s="129" t="s">
        <v>14</v>
      </c>
      <c r="D1676" s="130">
        <v>11853.6</v>
      </c>
      <c r="E1676" s="131">
        <v>44727</v>
      </c>
      <c r="F1676" s="132">
        <v>11853.6</v>
      </c>
      <c r="G1676" s="133">
        <f>Tabla147[[#This Row],[Importe]]-Tabla147[[#This Row],[Pagado]]</f>
        <v>0</v>
      </c>
      <c r="H1676" s="134" t="s">
        <v>10</v>
      </c>
      <c r="I1676" s="135"/>
    </row>
    <row r="1677" spans="1:9" ht="21.75" customHeight="1" x14ac:dyDescent="0.25">
      <c r="A1677" s="127">
        <v>44727</v>
      </c>
      <c r="B1677" s="128" t="s">
        <v>19533</v>
      </c>
      <c r="C1677" s="129" t="s">
        <v>31</v>
      </c>
      <c r="D1677" s="130">
        <v>1189</v>
      </c>
      <c r="E1677" s="131">
        <v>44727</v>
      </c>
      <c r="F1677" s="132">
        <v>1189</v>
      </c>
      <c r="G1677" s="133">
        <f>Tabla147[[#This Row],[Importe]]-Tabla147[[#This Row],[Pagado]]</f>
        <v>0</v>
      </c>
      <c r="H1677" s="134" t="s">
        <v>10</v>
      </c>
      <c r="I1677" s="135"/>
    </row>
    <row r="1678" spans="1:9" ht="21.75" customHeight="1" x14ac:dyDescent="0.25">
      <c r="A1678" s="127">
        <v>44727</v>
      </c>
      <c r="B1678" s="128" t="s">
        <v>19534</v>
      </c>
      <c r="C1678" s="129" t="s">
        <v>1437</v>
      </c>
      <c r="D1678" s="130">
        <v>18115.2</v>
      </c>
      <c r="E1678" s="131">
        <v>44728</v>
      </c>
      <c r="F1678" s="132">
        <v>18115.2</v>
      </c>
      <c r="G1678" s="133">
        <f>Tabla147[[#This Row],[Importe]]-Tabla147[[#This Row],[Pagado]]</f>
        <v>0</v>
      </c>
      <c r="H1678" s="134" t="s">
        <v>10</v>
      </c>
      <c r="I1678" s="135"/>
    </row>
    <row r="1679" spans="1:9" ht="21.75" customHeight="1" x14ac:dyDescent="0.25">
      <c r="A1679" s="127">
        <v>44727</v>
      </c>
      <c r="B1679" s="128" t="s">
        <v>19535</v>
      </c>
      <c r="C1679" s="129" t="s">
        <v>31</v>
      </c>
      <c r="D1679" s="130">
        <v>34231.199999999997</v>
      </c>
      <c r="E1679" s="131">
        <v>44728</v>
      </c>
      <c r="F1679" s="132">
        <v>34231.199999999997</v>
      </c>
      <c r="G1679" s="133">
        <f>Tabla147[[#This Row],[Importe]]-Tabla147[[#This Row],[Pagado]]</f>
        <v>0</v>
      </c>
      <c r="H1679" s="134" t="s">
        <v>10</v>
      </c>
      <c r="I1679" s="135"/>
    </row>
    <row r="1680" spans="1:9" ht="21.75" customHeight="1" x14ac:dyDescent="0.25">
      <c r="A1680" s="127">
        <v>44728</v>
      </c>
      <c r="B1680" s="128" t="s">
        <v>19536</v>
      </c>
      <c r="C1680" s="129" t="s">
        <v>20</v>
      </c>
      <c r="D1680" s="130">
        <v>836.1</v>
      </c>
      <c r="E1680" s="131">
        <v>44728</v>
      </c>
      <c r="F1680" s="132">
        <v>836.1</v>
      </c>
      <c r="G1680" s="133">
        <f>Tabla147[[#This Row],[Importe]]-Tabla147[[#This Row],[Pagado]]</f>
        <v>0</v>
      </c>
      <c r="H1680" s="134" t="s">
        <v>10</v>
      </c>
      <c r="I1680" s="135"/>
    </row>
    <row r="1681" spans="1:9" ht="21.75" customHeight="1" x14ac:dyDescent="0.25">
      <c r="A1681" s="127">
        <v>44728</v>
      </c>
      <c r="B1681" s="128" t="s">
        <v>19537</v>
      </c>
      <c r="C1681" s="129" t="s">
        <v>22</v>
      </c>
      <c r="D1681" s="130">
        <v>54713</v>
      </c>
      <c r="E1681" s="131">
        <v>44730</v>
      </c>
      <c r="F1681" s="132">
        <v>54713</v>
      </c>
      <c r="G1681" s="133">
        <f>Tabla147[[#This Row],[Importe]]-Tabla147[[#This Row],[Pagado]]</f>
        <v>0</v>
      </c>
      <c r="H1681" s="134" t="s">
        <v>10</v>
      </c>
      <c r="I1681" s="135"/>
    </row>
    <row r="1682" spans="1:9" ht="21.75" customHeight="1" x14ac:dyDescent="0.25">
      <c r="A1682" s="127">
        <v>44728</v>
      </c>
      <c r="B1682" s="128" t="s">
        <v>19538</v>
      </c>
      <c r="C1682" s="129" t="s">
        <v>475</v>
      </c>
      <c r="D1682" s="130">
        <v>71485.899999999994</v>
      </c>
      <c r="E1682" s="131">
        <v>44729</v>
      </c>
      <c r="F1682" s="132">
        <v>71485.899999999994</v>
      </c>
      <c r="G1682" s="133">
        <f>Tabla147[[#This Row],[Importe]]-Tabla147[[#This Row],[Pagado]]</f>
        <v>0</v>
      </c>
      <c r="H1682" s="134" t="s">
        <v>10</v>
      </c>
      <c r="I1682" s="135"/>
    </row>
    <row r="1683" spans="1:9" ht="21.75" customHeight="1" x14ac:dyDescent="0.25">
      <c r="A1683" s="127">
        <v>44728</v>
      </c>
      <c r="B1683" s="128" t="s">
        <v>19539</v>
      </c>
      <c r="C1683" s="129" t="s">
        <v>484</v>
      </c>
      <c r="D1683" s="130">
        <v>3477.6</v>
      </c>
      <c r="E1683" s="131">
        <v>44728</v>
      </c>
      <c r="F1683" s="132">
        <v>3477.6</v>
      </c>
      <c r="G1683" s="133">
        <f>Tabla147[[#This Row],[Importe]]-Tabla147[[#This Row],[Pagado]]</f>
        <v>0</v>
      </c>
      <c r="H1683" s="134" t="s">
        <v>10</v>
      </c>
      <c r="I1683" s="135"/>
    </row>
    <row r="1684" spans="1:9" ht="21.75" customHeight="1" x14ac:dyDescent="0.25">
      <c r="A1684" s="127">
        <v>44728</v>
      </c>
      <c r="B1684" s="128" t="s">
        <v>19540</v>
      </c>
      <c r="C1684" s="129" t="s">
        <v>116</v>
      </c>
      <c r="D1684" s="130">
        <v>5069.1000000000004</v>
      </c>
      <c r="E1684" s="131">
        <v>44730</v>
      </c>
      <c r="F1684" s="132">
        <v>5069.1000000000004</v>
      </c>
      <c r="G1684" s="133">
        <f>Tabla147[[#This Row],[Importe]]-Tabla147[[#This Row],[Pagado]]</f>
        <v>0</v>
      </c>
      <c r="H1684" s="134" t="s">
        <v>10</v>
      </c>
      <c r="I1684" s="135"/>
    </row>
    <row r="1685" spans="1:9" ht="21.75" customHeight="1" x14ac:dyDescent="0.25">
      <c r="A1685" s="127">
        <v>44728</v>
      </c>
      <c r="B1685" s="128" t="s">
        <v>19541</v>
      </c>
      <c r="C1685" s="129" t="s">
        <v>109</v>
      </c>
      <c r="D1685" s="130">
        <v>5652.2</v>
      </c>
      <c r="E1685" s="131">
        <v>44729</v>
      </c>
      <c r="F1685" s="132">
        <v>5652.2</v>
      </c>
      <c r="G1685" s="133">
        <f>Tabla147[[#This Row],[Importe]]-Tabla147[[#This Row],[Pagado]]</f>
        <v>0</v>
      </c>
      <c r="H1685" s="134" t="s">
        <v>10</v>
      </c>
      <c r="I1685" s="135"/>
    </row>
    <row r="1686" spans="1:9" ht="21.75" customHeight="1" x14ac:dyDescent="0.25">
      <c r="A1686" s="127">
        <v>44728</v>
      </c>
      <c r="B1686" s="128" t="s">
        <v>19542</v>
      </c>
      <c r="C1686" s="129" t="s">
        <v>31</v>
      </c>
      <c r="D1686" s="130">
        <v>673.2</v>
      </c>
      <c r="E1686" s="131">
        <v>44728</v>
      </c>
      <c r="F1686" s="132">
        <v>673.2</v>
      </c>
      <c r="G1686" s="133">
        <f>Tabla147[[#This Row],[Importe]]-Tabla147[[#This Row],[Pagado]]</f>
        <v>0</v>
      </c>
      <c r="H1686" s="134" t="s">
        <v>10</v>
      </c>
      <c r="I1686" s="135"/>
    </row>
    <row r="1687" spans="1:9" ht="21.75" customHeight="1" x14ac:dyDescent="0.25">
      <c r="A1687" s="127">
        <v>44728</v>
      </c>
      <c r="B1687" s="128" t="s">
        <v>19543</v>
      </c>
      <c r="C1687" s="129" t="s">
        <v>64</v>
      </c>
      <c r="D1687" s="130">
        <v>10693.3</v>
      </c>
      <c r="E1687" s="131">
        <v>44729</v>
      </c>
      <c r="F1687" s="132">
        <v>10693.3</v>
      </c>
      <c r="G1687" s="133">
        <f>Tabla147[[#This Row],[Importe]]-Tabla147[[#This Row],[Pagado]]</f>
        <v>0</v>
      </c>
      <c r="H1687" s="134" t="s">
        <v>10</v>
      </c>
      <c r="I1687" s="135"/>
    </row>
    <row r="1688" spans="1:9" ht="21.75" customHeight="1" x14ac:dyDescent="0.25">
      <c r="A1688" s="127">
        <v>44728</v>
      </c>
      <c r="B1688" s="128" t="s">
        <v>19544</v>
      </c>
      <c r="C1688" s="129" t="s">
        <v>97</v>
      </c>
      <c r="D1688" s="130">
        <v>11156.9</v>
      </c>
      <c r="E1688" s="131">
        <v>44729</v>
      </c>
      <c r="F1688" s="132">
        <v>11156.9</v>
      </c>
      <c r="G1688" s="133">
        <f>Tabla147[[#This Row],[Importe]]-Tabla147[[#This Row],[Pagado]]</f>
        <v>0</v>
      </c>
      <c r="H1688" s="134" t="s">
        <v>10</v>
      </c>
      <c r="I1688" s="135"/>
    </row>
    <row r="1689" spans="1:9" ht="21.75" customHeight="1" x14ac:dyDescent="0.25">
      <c r="A1689" s="127">
        <v>44728</v>
      </c>
      <c r="B1689" s="128" t="s">
        <v>19545</v>
      </c>
      <c r="C1689" s="129" t="s">
        <v>39</v>
      </c>
      <c r="D1689" s="130">
        <v>15872.2</v>
      </c>
      <c r="E1689" s="131">
        <v>44732</v>
      </c>
      <c r="F1689" s="132">
        <v>15872.2</v>
      </c>
      <c r="G1689" s="133">
        <f>Tabla147[[#This Row],[Importe]]-Tabla147[[#This Row],[Pagado]]</f>
        <v>0</v>
      </c>
      <c r="H1689" s="134" t="s">
        <v>10</v>
      </c>
      <c r="I1689" s="135"/>
    </row>
    <row r="1690" spans="1:9" ht="21.75" customHeight="1" x14ac:dyDescent="0.25">
      <c r="A1690" s="127">
        <v>44728</v>
      </c>
      <c r="B1690" s="128" t="s">
        <v>19546</v>
      </c>
      <c r="C1690" s="129" t="s">
        <v>120</v>
      </c>
      <c r="D1690" s="130">
        <v>5331.4</v>
      </c>
      <c r="E1690" s="131">
        <v>44730</v>
      </c>
      <c r="F1690" s="132">
        <v>5331.4</v>
      </c>
      <c r="G1690" s="133">
        <f>Tabla147[[#This Row],[Importe]]-Tabla147[[#This Row],[Pagado]]</f>
        <v>0</v>
      </c>
      <c r="H1690" s="134" t="s">
        <v>10</v>
      </c>
      <c r="I1690" s="135"/>
    </row>
    <row r="1691" spans="1:9" ht="21.75" customHeight="1" x14ac:dyDescent="0.25">
      <c r="A1691" s="127">
        <v>44728</v>
      </c>
      <c r="B1691" s="128" t="s">
        <v>19547</v>
      </c>
      <c r="C1691" s="129" t="s">
        <v>114</v>
      </c>
      <c r="D1691" s="130">
        <v>4277.5</v>
      </c>
      <c r="E1691" s="131">
        <v>44732</v>
      </c>
      <c r="F1691" s="132">
        <v>4277.5</v>
      </c>
      <c r="G1691" s="133">
        <f>Tabla147[[#This Row],[Importe]]-Tabla147[[#This Row],[Pagado]]</f>
        <v>0</v>
      </c>
      <c r="H1691" s="134" t="s">
        <v>10</v>
      </c>
      <c r="I1691" s="135"/>
    </row>
    <row r="1692" spans="1:9" ht="21.75" customHeight="1" x14ac:dyDescent="0.25">
      <c r="A1692" s="127">
        <v>44728</v>
      </c>
      <c r="B1692" s="128" t="s">
        <v>19548</v>
      </c>
      <c r="C1692" s="129" t="s">
        <v>618</v>
      </c>
      <c r="D1692" s="130">
        <v>9652.4</v>
      </c>
      <c r="E1692" s="131">
        <v>44728</v>
      </c>
      <c r="F1692" s="132">
        <v>9652.4</v>
      </c>
      <c r="G1692" s="133">
        <f>Tabla147[[#This Row],[Importe]]-Tabla147[[#This Row],[Pagado]]</f>
        <v>0</v>
      </c>
      <c r="H1692" s="134" t="s">
        <v>10</v>
      </c>
      <c r="I1692" s="135"/>
    </row>
    <row r="1693" spans="1:9" ht="21.75" customHeight="1" x14ac:dyDescent="0.25">
      <c r="A1693" s="127">
        <v>44728</v>
      </c>
      <c r="B1693" s="128" t="s">
        <v>19549</v>
      </c>
      <c r="C1693" s="129" t="s">
        <v>353</v>
      </c>
      <c r="D1693" s="130">
        <v>1062.4000000000001</v>
      </c>
      <c r="E1693" s="131">
        <v>44728</v>
      </c>
      <c r="F1693" s="132">
        <v>1062.4000000000001</v>
      </c>
      <c r="G1693" s="133">
        <f>Tabla147[[#This Row],[Importe]]-Tabla147[[#This Row],[Pagado]]</f>
        <v>0</v>
      </c>
      <c r="H1693" s="134" t="s">
        <v>10</v>
      </c>
      <c r="I1693" s="135"/>
    </row>
    <row r="1694" spans="1:9" ht="21.75" customHeight="1" x14ac:dyDescent="0.25">
      <c r="A1694" s="127">
        <v>44728</v>
      </c>
      <c r="B1694" s="128" t="s">
        <v>19550</v>
      </c>
      <c r="C1694" s="129" t="s">
        <v>481</v>
      </c>
      <c r="D1694" s="130">
        <v>768.2</v>
      </c>
      <c r="E1694" s="131">
        <v>44728</v>
      </c>
      <c r="F1694" s="132">
        <v>768.2</v>
      </c>
      <c r="G1694" s="133">
        <f>Tabla147[[#This Row],[Importe]]-Tabla147[[#This Row],[Pagado]]</f>
        <v>0</v>
      </c>
      <c r="H1694" s="134" t="s">
        <v>10</v>
      </c>
      <c r="I1694" s="135"/>
    </row>
    <row r="1695" spans="1:9" ht="21.75" customHeight="1" x14ac:dyDescent="0.25">
      <c r="A1695" s="127">
        <v>44728</v>
      </c>
      <c r="B1695" s="128" t="s">
        <v>19551</v>
      </c>
      <c r="C1695" s="129" t="s">
        <v>473</v>
      </c>
      <c r="D1695" s="130">
        <v>8225.2000000000007</v>
      </c>
      <c r="E1695" s="131">
        <v>44728</v>
      </c>
      <c r="F1695" s="132">
        <v>8225.2000000000007</v>
      </c>
      <c r="G1695" s="133">
        <f>Tabla147[[#This Row],[Importe]]-Tabla147[[#This Row],[Pagado]]</f>
        <v>0</v>
      </c>
      <c r="H1695" s="134" t="s">
        <v>10</v>
      </c>
      <c r="I1695" s="135"/>
    </row>
    <row r="1696" spans="1:9" ht="21.75" customHeight="1" x14ac:dyDescent="0.25">
      <c r="A1696" s="127">
        <v>44728</v>
      </c>
      <c r="B1696" s="128" t="s">
        <v>19552</v>
      </c>
      <c r="C1696" s="129" t="s">
        <v>85</v>
      </c>
      <c r="D1696" s="130">
        <v>1533.4</v>
      </c>
      <c r="E1696" s="131">
        <v>44728</v>
      </c>
      <c r="F1696" s="132">
        <v>1533.4</v>
      </c>
      <c r="G1696" s="133">
        <f>Tabla147[[#This Row],[Importe]]-Tabla147[[#This Row],[Pagado]]</f>
        <v>0</v>
      </c>
      <c r="H1696" s="134" t="s">
        <v>10</v>
      </c>
      <c r="I1696" s="135"/>
    </row>
    <row r="1697" spans="1:9" ht="21.75" customHeight="1" x14ac:dyDescent="0.25">
      <c r="A1697" s="127">
        <v>44728</v>
      </c>
      <c r="B1697" s="128" t="s">
        <v>19553</v>
      </c>
      <c r="C1697" s="129" t="s">
        <v>95</v>
      </c>
      <c r="D1697" s="130">
        <v>26205.3</v>
      </c>
      <c r="E1697" s="131">
        <v>44728</v>
      </c>
      <c r="F1697" s="132">
        <v>26205.3</v>
      </c>
      <c r="G1697" s="133">
        <f>Tabla147[[#This Row],[Importe]]-Tabla147[[#This Row],[Pagado]]</f>
        <v>0</v>
      </c>
      <c r="H1697" s="134" t="s">
        <v>10</v>
      </c>
      <c r="I1697" s="135"/>
    </row>
    <row r="1698" spans="1:9" ht="21.75" customHeight="1" x14ac:dyDescent="0.25">
      <c r="A1698" s="127">
        <v>44728</v>
      </c>
      <c r="B1698" s="128" t="s">
        <v>19554</v>
      </c>
      <c r="C1698" s="129" t="s">
        <v>89</v>
      </c>
      <c r="D1698" s="130">
        <v>9427.7999999999993</v>
      </c>
      <c r="E1698" s="131">
        <v>44729</v>
      </c>
      <c r="F1698" s="132">
        <v>9427.7999999999993</v>
      </c>
      <c r="G1698" s="133">
        <f>Tabla147[[#This Row],[Importe]]-Tabla147[[#This Row],[Pagado]]</f>
        <v>0</v>
      </c>
      <c r="H1698" s="134" t="s">
        <v>10</v>
      </c>
      <c r="I1698" s="135"/>
    </row>
    <row r="1699" spans="1:9" ht="21.75" customHeight="1" x14ac:dyDescent="0.25">
      <c r="A1699" s="127">
        <v>44728</v>
      </c>
      <c r="B1699" s="128" t="s">
        <v>19555</v>
      </c>
      <c r="C1699" s="129" t="s">
        <v>131</v>
      </c>
      <c r="D1699" s="130">
        <v>13951.8</v>
      </c>
      <c r="E1699" s="131">
        <v>44728</v>
      </c>
      <c r="F1699" s="132">
        <v>13951.8</v>
      </c>
      <c r="G1699" s="133">
        <f>Tabla147[[#This Row],[Importe]]-Tabla147[[#This Row],[Pagado]]</f>
        <v>0</v>
      </c>
      <c r="H1699" s="134" t="s">
        <v>10</v>
      </c>
      <c r="I1699" s="135"/>
    </row>
    <row r="1700" spans="1:9" ht="21.75" customHeight="1" x14ac:dyDescent="0.25">
      <c r="A1700" s="127">
        <v>44728</v>
      </c>
      <c r="B1700" s="128" t="s">
        <v>19556</v>
      </c>
      <c r="C1700" s="129" t="s">
        <v>135</v>
      </c>
      <c r="D1700" s="130">
        <v>1263.8</v>
      </c>
      <c r="E1700" s="131">
        <v>44728</v>
      </c>
      <c r="F1700" s="132">
        <v>1263.8</v>
      </c>
      <c r="G1700" s="133">
        <f>Tabla147[[#This Row],[Importe]]-Tabla147[[#This Row],[Pagado]]</f>
        <v>0</v>
      </c>
      <c r="H1700" s="134" t="s">
        <v>10</v>
      </c>
      <c r="I1700" s="135"/>
    </row>
    <row r="1701" spans="1:9" ht="21.75" customHeight="1" x14ac:dyDescent="0.25">
      <c r="A1701" s="127">
        <v>44728</v>
      </c>
      <c r="B1701" s="128" t="s">
        <v>19557</v>
      </c>
      <c r="C1701" s="129" t="s">
        <v>179</v>
      </c>
      <c r="D1701" s="130">
        <v>1346.4</v>
      </c>
      <c r="E1701" s="131">
        <v>44728</v>
      </c>
      <c r="F1701" s="132">
        <v>1346.4</v>
      </c>
      <c r="G1701" s="133">
        <f>Tabla147[[#This Row],[Importe]]-Tabla147[[#This Row],[Pagado]]</f>
        <v>0</v>
      </c>
      <c r="H1701" s="134" t="s">
        <v>10</v>
      </c>
      <c r="I1701" s="135"/>
    </row>
    <row r="1702" spans="1:9" ht="31.5" x14ac:dyDescent="0.25">
      <c r="A1702" s="127">
        <v>44728</v>
      </c>
      <c r="B1702" s="128" t="s">
        <v>19558</v>
      </c>
      <c r="C1702" s="129" t="s">
        <v>93</v>
      </c>
      <c r="D1702" s="130">
        <v>9582.5</v>
      </c>
      <c r="E1702" s="131" t="s">
        <v>19559</v>
      </c>
      <c r="F1702" s="132">
        <f>5000+4582.5</f>
        <v>9582.5</v>
      </c>
      <c r="G1702" s="133">
        <f>Tabla147[[#This Row],[Importe]]-Tabla147[[#This Row],[Pagado]]</f>
        <v>0</v>
      </c>
      <c r="H1702" s="134" t="s">
        <v>10</v>
      </c>
      <c r="I1702" s="135"/>
    </row>
    <row r="1703" spans="1:9" ht="31.5" x14ac:dyDescent="0.25">
      <c r="A1703" s="127">
        <v>44728</v>
      </c>
      <c r="B1703" s="128" t="s">
        <v>19560</v>
      </c>
      <c r="C1703" s="129" t="s">
        <v>99</v>
      </c>
      <c r="D1703" s="130">
        <v>7840.7</v>
      </c>
      <c r="E1703" s="131" t="s">
        <v>19559</v>
      </c>
      <c r="F1703" s="132">
        <f>6000+1840.7</f>
        <v>7840.7</v>
      </c>
      <c r="G1703" s="133">
        <f>Tabla147[[#This Row],[Importe]]-Tabla147[[#This Row],[Pagado]]</f>
        <v>0</v>
      </c>
      <c r="H1703" s="134" t="s">
        <v>10</v>
      </c>
      <c r="I1703" s="135"/>
    </row>
    <row r="1704" spans="1:9" ht="21.75" customHeight="1" x14ac:dyDescent="0.25">
      <c r="A1704" s="127">
        <v>44728</v>
      </c>
      <c r="B1704" s="128" t="s">
        <v>19561</v>
      </c>
      <c r="C1704" s="129" t="s">
        <v>484</v>
      </c>
      <c r="D1704" s="130">
        <v>4924.8</v>
      </c>
      <c r="E1704" s="131">
        <v>44728</v>
      </c>
      <c r="F1704" s="132">
        <v>4924.8</v>
      </c>
      <c r="G1704" s="133">
        <f>Tabla147[[#This Row],[Importe]]-Tabla147[[#This Row],[Pagado]]</f>
        <v>0</v>
      </c>
      <c r="H1704" s="134" t="s">
        <v>10</v>
      </c>
      <c r="I1704" s="135"/>
    </row>
    <row r="1705" spans="1:9" ht="21.75" customHeight="1" x14ac:dyDescent="0.25">
      <c r="A1705" s="127">
        <v>44728</v>
      </c>
      <c r="B1705" s="128" t="s">
        <v>19562</v>
      </c>
      <c r="C1705" s="129" t="s">
        <v>1650</v>
      </c>
      <c r="D1705" s="130">
        <v>6528</v>
      </c>
      <c r="E1705" s="131">
        <v>44728</v>
      </c>
      <c r="F1705" s="132">
        <v>6528</v>
      </c>
      <c r="G1705" s="133">
        <f>Tabla147[[#This Row],[Importe]]-Tabla147[[#This Row],[Pagado]]</f>
        <v>0</v>
      </c>
      <c r="H1705" s="134" t="s">
        <v>10</v>
      </c>
      <c r="I1705" s="135"/>
    </row>
    <row r="1706" spans="1:9" ht="21.75" customHeight="1" x14ac:dyDescent="0.25">
      <c r="A1706" s="127">
        <v>44728</v>
      </c>
      <c r="B1706" s="128" t="s">
        <v>19563</v>
      </c>
      <c r="C1706" s="129" t="s">
        <v>105</v>
      </c>
      <c r="D1706" s="130">
        <v>7227.9</v>
      </c>
      <c r="E1706" s="131">
        <v>44729</v>
      </c>
      <c r="F1706" s="132">
        <v>7227.9</v>
      </c>
      <c r="G1706" s="133">
        <f>Tabla147[[#This Row],[Importe]]-Tabla147[[#This Row],[Pagado]]</f>
        <v>0</v>
      </c>
      <c r="H1706" s="134" t="s">
        <v>10</v>
      </c>
      <c r="I1706" s="135"/>
    </row>
    <row r="1707" spans="1:9" ht="21.75" customHeight="1" x14ac:dyDescent="0.25">
      <c r="A1707" s="127">
        <v>44728</v>
      </c>
      <c r="B1707" s="128" t="s">
        <v>19564</v>
      </c>
      <c r="C1707" s="129" t="s">
        <v>2151</v>
      </c>
      <c r="D1707" s="130">
        <v>16099.3</v>
      </c>
      <c r="E1707" s="131">
        <v>44728</v>
      </c>
      <c r="F1707" s="132">
        <v>16099.3</v>
      </c>
      <c r="G1707" s="133">
        <f>Tabla147[[#This Row],[Importe]]-Tabla147[[#This Row],[Pagado]]</f>
        <v>0</v>
      </c>
      <c r="H1707" s="134" t="s">
        <v>10</v>
      </c>
      <c r="I1707" s="135"/>
    </row>
    <row r="1708" spans="1:9" ht="21.75" customHeight="1" x14ac:dyDescent="0.25">
      <c r="A1708" s="127">
        <v>44728</v>
      </c>
      <c r="B1708" s="128" t="s">
        <v>19565</v>
      </c>
      <c r="C1708" s="129" t="s">
        <v>56</v>
      </c>
      <c r="D1708" s="130">
        <v>8733.6</v>
      </c>
      <c r="E1708" s="131">
        <v>44728</v>
      </c>
      <c r="F1708" s="132">
        <v>8733.6</v>
      </c>
      <c r="G1708" s="133">
        <f>Tabla147[[#This Row],[Importe]]-Tabla147[[#This Row],[Pagado]]</f>
        <v>0</v>
      </c>
      <c r="H1708" s="134" t="s">
        <v>10</v>
      </c>
      <c r="I1708" s="135"/>
    </row>
    <row r="1709" spans="1:9" ht="21.75" customHeight="1" x14ac:dyDescent="0.25">
      <c r="A1709" s="127">
        <v>44728</v>
      </c>
      <c r="B1709" s="128" t="s">
        <v>19566</v>
      </c>
      <c r="C1709" s="129" t="s">
        <v>9</v>
      </c>
      <c r="D1709" s="130">
        <v>7411.9</v>
      </c>
      <c r="E1709" s="131">
        <v>44728</v>
      </c>
      <c r="F1709" s="132">
        <v>7411.9</v>
      </c>
      <c r="G1709" s="133">
        <f>Tabla147[[#This Row],[Importe]]-Tabla147[[#This Row],[Pagado]]</f>
        <v>0</v>
      </c>
      <c r="H1709" s="134" t="s">
        <v>10</v>
      </c>
      <c r="I1709" s="135"/>
    </row>
    <row r="1710" spans="1:9" ht="21.75" customHeight="1" x14ac:dyDescent="0.25">
      <c r="A1710" s="127">
        <v>44728</v>
      </c>
      <c r="B1710" s="128" t="s">
        <v>19567</v>
      </c>
      <c r="C1710" s="129" t="s">
        <v>111</v>
      </c>
      <c r="D1710" s="130">
        <v>5156.6000000000004</v>
      </c>
      <c r="E1710" s="131">
        <v>44729</v>
      </c>
      <c r="F1710" s="132">
        <v>5156.6000000000004</v>
      </c>
      <c r="G1710" s="133">
        <f>Tabla147[[#This Row],[Importe]]-Tabla147[[#This Row],[Pagado]]</f>
        <v>0</v>
      </c>
      <c r="H1710" s="134" t="s">
        <v>10</v>
      </c>
      <c r="I1710" s="135"/>
    </row>
    <row r="1711" spans="1:9" ht="21.75" customHeight="1" x14ac:dyDescent="0.25">
      <c r="A1711" s="127">
        <v>44728</v>
      </c>
      <c r="B1711" s="128" t="s">
        <v>19568</v>
      </c>
      <c r="C1711" s="129" t="s">
        <v>87</v>
      </c>
      <c r="D1711" s="130">
        <v>2918.8</v>
      </c>
      <c r="E1711" s="131">
        <v>44728</v>
      </c>
      <c r="F1711" s="132">
        <v>2918.8</v>
      </c>
      <c r="G1711" s="133">
        <f>Tabla147[[#This Row],[Importe]]-Tabla147[[#This Row],[Pagado]]</f>
        <v>0</v>
      </c>
      <c r="H1711" s="134" t="s">
        <v>10</v>
      </c>
      <c r="I1711" s="135"/>
    </row>
    <row r="1712" spans="1:9" ht="21.75" customHeight="1" x14ac:dyDescent="0.25">
      <c r="A1712" s="127">
        <v>44728</v>
      </c>
      <c r="B1712" s="128" t="s">
        <v>19569</v>
      </c>
      <c r="C1712" s="129" t="s">
        <v>12716</v>
      </c>
      <c r="D1712" s="130">
        <v>0</v>
      </c>
      <c r="E1712" s="136" t="s">
        <v>189</v>
      </c>
      <c r="F1712" s="132">
        <v>0</v>
      </c>
      <c r="G1712" s="133">
        <f>Tabla147[[#This Row],[Importe]]-Tabla147[[#This Row],[Pagado]]</f>
        <v>0</v>
      </c>
      <c r="H1712" s="134" t="s">
        <v>189</v>
      </c>
      <c r="I1712" s="135"/>
    </row>
    <row r="1713" spans="1:9" ht="21.75" customHeight="1" x14ac:dyDescent="0.25">
      <c r="A1713" s="127">
        <v>44728</v>
      </c>
      <c r="B1713" s="128" t="s">
        <v>19570</v>
      </c>
      <c r="C1713" s="129" t="s">
        <v>198</v>
      </c>
      <c r="D1713" s="130">
        <v>4430.3999999999996</v>
      </c>
      <c r="E1713" s="131">
        <v>44728</v>
      </c>
      <c r="F1713" s="132">
        <v>4430.3999999999996</v>
      </c>
      <c r="G1713" s="133">
        <f>Tabla147[[#This Row],[Importe]]-Tabla147[[#This Row],[Pagado]]</f>
        <v>0</v>
      </c>
      <c r="H1713" s="134" t="s">
        <v>10</v>
      </c>
      <c r="I1713" s="135"/>
    </row>
    <row r="1714" spans="1:9" ht="21.75" customHeight="1" x14ac:dyDescent="0.25">
      <c r="A1714" s="127">
        <v>44728</v>
      </c>
      <c r="B1714" s="128" t="s">
        <v>19571</v>
      </c>
      <c r="C1714" s="129" t="s">
        <v>312</v>
      </c>
      <c r="D1714" s="130">
        <v>5382.7</v>
      </c>
      <c r="E1714" s="131">
        <v>44728</v>
      </c>
      <c r="F1714" s="132">
        <v>5382.7</v>
      </c>
      <c r="G1714" s="133">
        <f>Tabla147[[#This Row],[Importe]]-Tabla147[[#This Row],[Pagado]]</f>
        <v>0</v>
      </c>
      <c r="H1714" s="134" t="s">
        <v>10</v>
      </c>
      <c r="I1714" s="135"/>
    </row>
    <row r="1715" spans="1:9" ht="21.75" customHeight="1" x14ac:dyDescent="0.25">
      <c r="A1715" s="127">
        <v>44728</v>
      </c>
      <c r="B1715" s="128" t="s">
        <v>19572</v>
      </c>
      <c r="C1715" s="129" t="s">
        <v>83</v>
      </c>
      <c r="D1715" s="130">
        <v>6820.6</v>
      </c>
      <c r="E1715" s="131">
        <v>44728</v>
      </c>
      <c r="F1715" s="132">
        <v>6820.6</v>
      </c>
      <c r="G1715" s="133">
        <f>Tabla147[[#This Row],[Importe]]-Tabla147[[#This Row],[Pagado]]</f>
        <v>0</v>
      </c>
      <c r="H1715" s="134" t="s">
        <v>10</v>
      </c>
      <c r="I1715" s="135"/>
    </row>
    <row r="1716" spans="1:9" ht="21.75" customHeight="1" x14ac:dyDescent="0.25">
      <c r="A1716" s="127">
        <v>44728</v>
      </c>
      <c r="B1716" s="128" t="s">
        <v>19573</v>
      </c>
      <c r="C1716" s="129" t="s">
        <v>442</v>
      </c>
      <c r="D1716" s="130">
        <v>4035.15</v>
      </c>
      <c r="E1716" s="131">
        <v>44728</v>
      </c>
      <c r="F1716" s="132">
        <v>4035.15</v>
      </c>
      <c r="G1716" s="133">
        <f>Tabla147[[#This Row],[Importe]]-Tabla147[[#This Row],[Pagado]]</f>
        <v>0</v>
      </c>
      <c r="H1716" s="134" t="s">
        <v>10</v>
      </c>
      <c r="I1716" s="135"/>
    </row>
    <row r="1717" spans="1:9" ht="21.75" customHeight="1" x14ac:dyDescent="0.25">
      <c r="A1717" s="127">
        <v>44728</v>
      </c>
      <c r="B1717" s="128" t="s">
        <v>19574</v>
      </c>
      <c r="C1717" s="129" t="s">
        <v>275</v>
      </c>
      <c r="D1717" s="130">
        <v>85579.01</v>
      </c>
      <c r="E1717" s="131">
        <v>44736</v>
      </c>
      <c r="F1717" s="132">
        <v>85579.01</v>
      </c>
      <c r="G1717" s="133">
        <f>Tabla147[[#This Row],[Importe]]-Tabla147[[#This Row],[Pagado]]</f>
        <v>0</v>
      </c>
      <c r="H1717" s="134" t="s">
        <v>10</v>
      </c>
      <c r="I1717" s="135"/>
    </row>
    <row r="1718" spans="1:9" ht="21.75" customHeight="1" x14ac:dyDescent="0.25">
      <c r="A1718" s="127">
        <v>44728</v>
      </c>
      <c r="B1718" s="128" t="s">
        <v>19575</v>
      </c>
      <c r="C1718" s="129" t="s">
        <v>146</v>
      </c>
      <c r="D1718" s="130">
        <v>2952.6</v>
      </c>
      <c r="E1718" s="131">
        <v>44728</v>
      </c>
      <c r="F1718" s="132">
        <v>2952.6</v>
      </c>
      <c r="G1718" s="133">
        <f>Tabla147[[#This Row],[Importe]]-Tabla147[[#This Row],[Pagado]]</f>
        <v>0</v>
      </c>
      <c r="H1718" s="134" t="s">
        <v>10</v>
      </c>
      <c r="I1718" s="135"/>
    </row>
    <row r="1719" spans="1:9" ht="21.75" customHeight="1" x14ac:dyDescent="0.25">
      <c r="A1719" s="127">
        <v>44728</v>
      </c>
      <c r="B1719" s="128" t="s">
        <v>19576</v>
      </c>
      <c r="C1719" s="129" t="s">
        <v>357</v>
      </c>
      <c r="D1719" s="130">
        <v>673.4</v>
      </c>
      <c r="E1719" s="131">
        <v>44728</v>
      </c>
      <c r="F1719" s="132">
        <v>673.4</v>
      </c>
      <c r="G1719" s="133">
        <f>Tabla147[[#This Row],[Importe]]-Tabla147[[#This Row],[Pagado]]</f>
        <v>0</v>
      </c>
      <c r="H1719" s="134" t="s">
        <v>10</v>
      </c>
      <c r="I1719" s="135"/>
    </row>
    <row r="1720" spans="1:9" ht="21.75" customHeight="1" x14ac:dyDescent="0.25">
      <c r="A1720" s="127">
        <v>44728</v>
      </c>
      <c r="B1720" s="128" t="s">
        <v>19577</v>
      </c>
      <c r="C1720" s="129" t="s">
        <v>140</v>
      </c>
      <c r="D1720" s="130">
        <v>2157.4</v>
      </c>
      <c r="E1720" s="131">
        <v>44728</v>
      </c>
      <c r="F1720" s="132">
        <v>2157.4</v>
      </c>
      <c r="G1720" s="133">
        <f>Tabla147[[#This Row],[Importe]]-Tabla147[[#This Row],[Pagado]]</f>
        <v>0</v>
      </c>
      <c r="H1720" s="134" t="s">
        <v>10</v>
      </c>
      <c r="I1720" s="135"/>
    </row>
    <row r="1721" spans="1:9" ht="21.75" customHeight="1" x14ac:dyDescent="0.25">
      <c r="A1721" s="127">
        <v>44728</v>
      </c>
      <c r="B1721" s="128" t="s">
        <v>19578</v>
      </c>
      <c r="C1721" s="129" t="s">
        <v>129</v>
      </c>
      <c r="D1721" s="130">
        <v>6396.6</v>
      </c>
      <c r="E1721" s="131">
        <v>44728</v>
      </c>
      <c r="F1721" s="132">
        <v>6396.6</v>
      </c>
      <c r="G1721" s="133">
        <f>Tabla147[[#This Row],[Importe]]-Tabla147[[#This Row],[Pagado]]</f>
        <v>0</v>
      </c>
      <c r="H1721" s="134" t="s">
        <v>10</v>
      </c>
      <c r="I1721" s="135"/>
    </row>
    <row r="1722" spans="1:9" ht="21.75" customHeight="1" x14ac:dyDescent="0.25">
      <c r="A1722" s="127">
        <v>44728</v>
      </c>
      <c r="B1722" s="128" t="s">
        <v>19579</v>
      </c>
      <c r="C1722" s="129" t="s">
        <v>127</v>
      </c>
      <c r="D1722" s="130">
        <v>1901.8</v>
      </c>
      <c r="E1722" s="131">
        <v>44728</v>
      </c>
      <c r="F1722" s="132">
        <v>1901.8</v>
      </c>
      <c r="G1722" s="133">
        <f>Tabla147[[#This Row],[Importe]]-Tabla147[[#This Row],[Pagado]]</f>
        <v>0</v>
      </c>
      <c r="H1722" s="134" t="s">
        <v>10</v>
      </c>
      <c r="I1722" s="135"/>
    </row>
    <row r="1723" spans="1:9" ht="21.75" customHeight="1" x14ac:dyDescent="0.25">
      <c r="A1723" s="127">
        <v>44728</v>
      </c>
      <c r="B1723" s="128" t="s">
        <v>19580</v>
      </c>
      <c r="C1723" s="129" t="s">
        <v>11033</v>
      </c>
      <c r="D1723" s="130">
        <v>3737.6</v>
      </c>
      <c r="E1723" s="131">
        <v>44728</v>
      </c>
      <c r="F1723" s="132">
        <v>3737.6</v>
      </c>
      <c r="G1723" s="133">
        <f>Tabla147[[#This Row],[Importe]]-Tabla147[[#This Row],[Pagado]]</f>
        <v>0</v>
      </c>
      <c r="H1723" s="134" t="s">
        <v>10</v>
      </c>
      <c r="I1723" s="135"/>
    </row>
    <row r="1724" spans="1:9" ht="21.75" customHeight="1" x14ac:dyDescent="0.25">
      <c r="A1724" s="127">
        <v>44728</v>
      </c>
      <c r="B1724" s="128" t="s">
        <v>19581</v>
      </c>
      <c r="C1724" s="129" t="s">
        <v>19582</v>
      </c>
      <c r="D1724" s="130">
        <v>0</v>
      </c>
      <c r="E1724" s="136" t="s">
        <v>189</v>
      </c>
      <c r="F1724" s="132">
        <v>0</v>
      </c>
      <c r="G1724" s="133">
        <f>Tabla147[[#This Row],[Importe]]-Tabla147[[#This Row],[Pagado]]</f>
        <v>0</v>
      </c>
      <c r="H1724" s="137" t="s">
        <v>19583</v>
      </c>
      <c r="I1724" s="135"/>
    </row>
    <row r="1725" spans="1:9" ht="21.75" customHeight="1" x14ac:dyDescent="0.25">
      <c r="A1725" s="127">
        <v>44728</v>
      </c>
      <c r="B1725" s="128" t="s">
        <v>19584</v>
      </c>
      <c r="C1725" s="129" t="s">
        <v>1362</v>
      </c>
      <c r="D1725" s="130">
        <v>4465.8999999999996</v>
      </c>
      <c r="E1725" s="131">
        <v>44728</v>
      </c>
      <c r="F1725" s="132">
        <v>4465.8999999999996</v>
      </c>
      <c r="G1725" s="133">
        <f>Tabla147[[#This Row],[Importe]]-Tabla147[[#This Row],[Pagado]]</f>
        <v>0</v>
      </c>
      <c r="H1725" s="134" t="s">
        <v>10</v>
      </c>
      <c r="I1725" s="135"/>
    </row>
    <row r="1726" spans="1:9" ht="21.75" customHeight="1" x14ac:dyDescent="0.25">
      <c r="A1726" s="127">
        <v>44728</v>
      </c>
      <c r="B1726" s="128" t="s">
        <v>19585</v>
      </c>
      <c r="C1726" s="129" t="s">
        <v>291</v>
      </c>
      <c r="D1726" s="130">
        <v>930</v>
      </c>
      <c r="E1726" s="131">
        <v>44728</v>
      </c>
      <c r="F1726" s="132">
        <v>930</v>
      </c>
      <c r="G1726" s="133">
        <f>Tabla147[[#This Row],[Importe]]-Tabla147[[#This Row],[Pagado]]</f>
        <v>0</v>
      </c>
      <c r="H1726" s="134" t="s">
        <v>10</v>
      </c>
      <c r="I1726" s="135"/>
    </row>
    <row r="1727" spans="1:9" ht="21.75" customHeight="1" x14ac:dyDescent="0.25">
      <c r="A1727" s="127">
        <v>44728</v>
      </c>
      <c r="B1727" s="128" t="s">
        <v>19586</v>
      </c>
      <c r="C1727" s="129" t="s">
        <v>49</v>
      </c>
      <c r="D1727" s="130">
        <v>4650.3</v>
      </c>
      <c r="E1727" s="131">
        <v>44728</v>
      </c>
      <c r="F1727" s="132">
        <v>4650.3</v>
      </c>
      <c r="G1727" s="133">
        <f>Tabla147[[#This Row],[Importe]]-Tabla147[[#This Row],[Pagado]]</f>
        <v>0</v>
      </c>
      <c r="H1727" s="134" t="s">
        <v>10</v>
      </c>
      <c r="I1727" s="135"/>
    </row>
    <row r="1728" spans="1:9" ht="21.75" customHeight="1" x14ac:dyDescent="0.25">
      <c r="A1728" s="127">
        <v>44728</v>
      </c>
      <c r="B1728" s="128" t="s">
        <v>19587</v>
      </c>
      <c r="C1728" s="129" t="s">
        <v>151</v>
      </c>
      <c r="D1728" s="130">
        <v>11448</v>
      </c>
      <c r="E1728" s="131">
        <v>44728</v>
      </c>
      <c r="F1728" s="132">
        <v>11448</v>
      </c>
      <c r="G1728" s="133">
        <f>Tabla147[[#This Row],[Importe]]-Tabla147[[#This Row],[Pagado]]</f>
        <v>0</v>
      </c>
      <c r="H1728" s="134" t="s">
        <v>10</v>
      </c>
      <c r="I1728" s="135"/>
    </row>
    <row r="1729" spans="1:9" ht="21.75" customHeight="1" x14ac:dyDescent="0.25">
      <c r="A1729" s="127">
        <v>44728</v>
      </c>
      <c r="B1729" s="128" t="s">
        <v>19588</v>
      </c>
      <c r="C1729" s="129" t="s">
        <v>53</v>
      </c>
      <c r="D1729" s="130">
        <v>1237.5999999999999</v>
      </c>
      <c r="E1729" s="131">
        <v>44728</v>
      </c>
      <c r="F1729" s="132">
        <v>1237.5999999999999</v>
      </c>
      <c r="G1729" s="133">
        <f>Tabla147[[#This Row],[Importe]]-Tabla147[[#This Row],[Pagado]]</f>
        <v>0</v>
      </c>
      <c r="H1729" s="134" t="s">
        <v>10</v>
      </c>
      <c r="I1729" s="135"/>
    </row>
    <row r="1730" spans="1:9" ht="21.75" customHeight="1" x14ac:dyDescent="0.25">
      <c r="A1730" s="127">
        <v>44728</v>
      </c>
      <c r="B1730" s="128" t="s">
        <v>19589</v>
      </c>
      <c r="C1730" s="129" t="s">
        <v>161</v>
      </c>
      <c r="D1730" s="130">
        <v>4347</v>
      </c>
      <c r="E1730" s="131">
        <v>44728</v>
      </c>
      <c r="F1730" s="132">
        <v>4347</v>
      </c>
      <c r="G1730" s="133">
        <f>Tabla147[[#This Row],[Importe]]-Tabla147[[#This Row],[Pagado]]</f>
        <v>0</v>
      </c>
      <c r="H1730" s="134" t="s">
        <v>10</v>
      </c>
      <c r="I1730" s="135"/>
    </row>
    <row r="1731" spans="1:9" ht="21.75" customHeight="1" x14ac:dyDescent="0.25">
      <c r="A1731" s="127">
        <v>44728</v>
      </c>
      <c r="B1731" s="128" t="s">
        <v>19590</v>
      </c>
      <c r="C1731" s="129" t="s">
        <v>53</v>
      </c>
      <c r="D1731" s="130">
        <v>1888.6</v>
      </c>
      <c r="E1731" s="131">
        <v>44728</v>
      </c>
      <c r="F1731" s="132">
        <v>1888.6</v>
      </c>
      <c r="G1731" s="133">
        <f>Tabla147[[#This Row],[Importe]]-Tabla147[[#This Row],[Pagado]]</f>
        <v>0</v>
      </c>
      <c r="H1731" s="134" t="s">
        <v>10</v>
      </c>
      <c r="I1731" s="135"/>
    </row>
    <row r="1732" spans="1:9" ht="21.75" customHeight="1" x14ac:dyDescent="0.25">
      <c r="A1732" s="127">
        <v>44728</v>
      </c>
      <c r="B1732" s="128" t="s">
        <v>19591</v>
      </c>
      <c r="C1732" s="129" t="s">
        <v>45</v>
      </c>
      <c r="D1732" s="130">
        <v>13543.2</v>
      </c>
      <c r="E1732" s="131">
        <v>44728</v>
      </c>
      <c r="F1732" s="132">
        <v>13543.2</v>
      </c>
      <c r="G1732" s="133">
        <f>Tabla147[[#This Row],[Importe]]-Tabla147[[#This Row],[Pagado]]</f>
        <v>0</v>
      </c>
      <c r="H1732" s="134" t="s">
        <v>10</v>
      </c>
      <c r="I1732" s="135"/>
    </row>
    <row r="1733" spans="1:9" ht="21.75" customHeight="1" x14ac:dyDescent="0.25">
      <c r="A1733" s="127">
        <v>44728</v>
      </c>
      <c r="B1733" s="128" t="s">
        <v>19592</v>
      </c>
      <c r="C1733" s="129" t="s">
        <v>520</v>
      </c>
      <c r="D1733" s="130">
        <v>16980</v>
      </c>
      <c r="E1733" s="131">
        <v>44728</v>
      </c>
      <c r="F1733" s="132">
        <v>16980</v>
      </c>
      <c r="G1733" s="133">
        <f>Tabla147[[#This Row],[Importe]]-Tabla147[[#This Row],[Pagado]]</f>
        <v>0</v>
      </c>
      <c r="H1733" s="134" t="s">
        <v>10</v>
      </c>
      <c r="I1733" s="135"/>
    </row>
    <row r="1734" spans="1:9" ht="21.75" customHeight="1" x14ac:dyDescent="0.25">
      <c r="A1734" s="127">
        <v>44728</v>
      </c>
      <c r="B1734" s="128" t="s">
        <v>19593</v>
      </c>
      <c r="C1734" s="129" t="s">
        <v>79</v>
      </c>
      <c r="D1734" s="130">
        <v>14459.9</v>
      </c>
      <c r="E1734" s="131">
        <v>44728</v>
      </c>
      <c r="F1734" s="132">
        <v>14459.9</v>
      </c>
      <c r="G1734" s="133">
        <f>Tabla147[[#This Row],[Importe]]-Tabla147[[#This Row],[Pagado]]</f>
        <v>0</v>
      </c>
      <c r="H1734" s="134" t="s">
        <v>10</v>
      </c>
      <c r="I1734" s="135"/>
    </row>
    <row r="1735" spans="1:9" ht="21.75" customHeight="1" x14ac:dyDescent="0.25">
      <c r="A1735" s="127">
        <v>44728</v>
      </c>
      <c r="B1735" s="128" t="s">
        <v>19594</v>
      </c>
      <c r="C1735" s="129" t="s">
        <v>518</v>
      </c>
      <c r="D1735" s="130">
        <v>197.2</v>
      </c>
      <c r="E1735" s="131">
        <v>44728</v>
      </c>
      <c r="F1735" s="132">
        <v>197.2</v>
      </c>
      <c r="G1735" s="133">
        <f>Tabla147[[#This Row],[Importe]]-Tabla147[[#This Row],[Pagado]]</f>
        <v>0</v>
      </c>
      <c r="H1735" s="134" t="s">
        <v>10</v>
      </c>
      <c r="I1735" s="135"/>
    </row>
    <row r="1736" spans="1:9" ht="21.75" customHeight="1" x14ac:dyDescent="0.25">
      <c r="A1736" s="127">
        <v>44728</v>
      </c>
      <c r="B1736" s="128" t="s">
        <v>19595</v>
      </c>
      <c r="C1736" s="129" t="s">
        <v>157</v>
      </c>
      <c r="D1736" s="130">
        <v>5760.6</v>
      </c>
      <c r="E1736" s="131">
        <v>44728</v>
      </c>
      <c r="F1736" s="132">
        <v>5760.6</v>
      </c>
      <c r="G1736" s="133">
        <f>Tabla147[[#This Row],[Importe]]-Tabla147[[#This Row],[Pagado]]</f>
        <v>0</v>
      </c>
      <c r="H1736" s="134" t="s">
        <v>10</v>
      </c>
      <c r="I1736" s="135"/>
    </row>
    <row r="1737" spans="1:9" ht="21.75" customHeight="1" x14ac:dyDescent="0.25">
      <c r="A1737" s="127">
        <v>44728</v>
      </c>
      <c r="B1737" s="128" t="s">
        <v>19596</v>
      </c>
      <c r="C1737" s="129" t="s">
        <v>142</v>
      </c>
      <c r="D1737" s="130">
        <v>70754.91</v>
      </c>
      <c r="E1737" s="131">
        <v>44769</v>
      </c>
      <c r="F1737" s="132">
        <v>70754.91</v>
      </c>
      <c r="G1737" s="133">
        <f>Tabla147[[#This Row],[Importe]]-Tabla147[[#This Row],[Pagado]]</f>
        <v>0</v>
      </c>
      <c r="H1737" s="134" t="s">
        <v>10</v>
      </c>
      <c r="I1737" s="135"/>
    </row>
    <row r="1738" spans="1:9" ht="21.75" customHeight="1" x14ac:dyDescent="0.25">
      <c r="A1738" s="127">
        <v>44728</v>
      </c>
      <c r="B1738" s="128" t="s">
        <v>19597</v>
      </c>
      <c r="C1738" s="129" t="s">
        <v>230</v>
      </c>
      <c r="D1738" s="130">
        <v>6161.8</v>
      </c>
      <c r="E1738" s="131">
        <v>44728</v>
      </c>
      <c r="F1738" s="132">
        <v>6161.8</v>
      </c>
      <c r="G1738" s="133">
        <f>Tabla147[[#This Row],[Importe]]-Tabla147[[#This Row],[Pagado]]</f>
        <v>0</v>
      </c>
      <c r="H1738" s="134" t="s">
        <v>10</v>
      </c>
      <c r="I1738" s="135"/>
    </row>
    <row r="1739" spans="1:9" ht="21.75" customHeight="1" x14ac:dyDescent="0.25">
      <c r="A1739" s="127">
        <v>44728</v>
      </c>
      <c r="B1739" s="128" t="s">
        <v>19598</v>
      </c>
      <c r="C1739" s="129" t="s">
        <v>2114</v>
      </c>
      <c r="D1739" s="130">
        <v>1989.6</v>
      </c>
      <c r="E1739" s="131">
        <v>44728</v>
      </c>
      <c r="F1739" s="132">
        <v>1989.6</v>
      </c>
      <c r="G1739" s="133">
        <f>Tabla147[[#This Row],[Importe]]-Tabla147[[#This Row],[Pagado]]</f>
        <v>0</v>
      </c>
      <c r="H1739" s="134" t="s">
        <v>10</v>
      </c>
      <c r="I1739" s="135"/>
    </row>
    <row r="1740" spans="1:9" ht="21.75" customHeight="1" x14ac:dyDescent="0.25">
      <c r="A1740" s="127">
        <v>44728</v>
      </c>
      <c r="B1740" s="128" t="s">
        <v>19599</v>
      </c>
      <c r="C1740" s="129" t="s">
        <v>319</v>
      </c>
      <c r="D1740" s="130">
        <v>1909.6</v>
      </c>
      <c r="E1740" s="131">
        <v>44728</v>
      </c>
      <c r="F1740" s="132">
        <v>1909.6</v>
      </c>
      <c r="G1740" s="133">
        <f>Tabla147[[#This Row],[Importe]]-Tabla147[[#This Row],[Pagado]]</f>
        <v>0</v>
      </c>
      <c r="H1740" s="134" t="s">
        <v>10</v>
      </c>
      <c r="I1740" s="135"/>
    </row>
    <row r="1741" spans="1:9" ht="21.75" customHeight="1" x14ac:dyDescent="0.25">
      <c r="A1741" s="127">
        <v>44728</v>
      </c>
      <c r="B1741" s="128" t="s">
        <v>19600</v>
      </c>
      <c r="C1741" s="129" t="s">
        <v>29</v>
      </c>
      <c r="D1741" s="130">
        <v>8139.6</v>
      </c>
      <c r="E1741" s="131">
        <v>44728</v>
      </c>
      <c r="F1741" s="132">
        <v>8139.6</v>
      </c>
      <c r="G1741" s="133">
        <f>Tabla147[[#This Row],[Importe]]-Tabla147[[#This Row],[Pagado]]</f>
        <v>0</v>
      </c>
      <c r="H1741" s="134" t="s">
        <v>10</v>
      </c>
      <c r="I1741" s="135"/>
    </row>
    <row r="1742" spans="1:9" ht="21.75" customHeight="1" x14ac:dyDescent="0.25">
      <c r="A1742" s="127">
        <v>44728</v>
      </c>
      <c r="B1742" s="128" t="s">
        <v>19601</v>
      </c>
      <c r="C1742" s="129" t="s">
        <v>392</v>
      </c>
      <c r="D1742" s="130">
        <v>1237.5999999999999</v>
      </c>
      <c r="E1742" s="131">
        <v>44728</v>
      </c>
      <c r="F1742" s="132">
        <v>1237.5999999999999</v>
      </c>
      <c r="G1742" s="133">
        <f>Tabla147[[#This Row],[Importe]]-Tabla147[[#This Row],[Pagado]]</f>
        <v>0</v>
      </c>
      <c r="H1742" s="134" t="s">
        <v>10</v>
      </c>
      <c r="I1742" s="135"/>
    </row>
    <row r="1743" spans="1:9" ht="21.75" customHeight="1" x14ac:dyDescent="0.25">
      <c r="A1743" s="127">
        <v>44728</v>
      </c>
      <c r="B1743" s="128" t="s">
        <v>19602</v>
      </c>
      <c r="C1743" s="129" t="s">
        <v>214</v>
      </c>
      <c r="D1743" s="130">
        <v>1679.6</v>
      </c>
      <c r="E1743" s="131">
        <v>44728</v>
      </c>
      <c r="F1743" s="132">
        <v>1679.6</v>
      </c>
      <c r="G1743" s="133">
        <f>Tabla147[[#This Row],[Importe]]-Tabla147[[#This Row],[Pagado]]</f>
        <v>0</v>
      </c>
      <c r="H1743" s="134" t="s">
        <v>10</v>
      </c>
      <c r="I1743" s="135"/>
    </row>
    <row r="1744" spans="1:9" ht="21.75" customHeight="1" x14ac:dyDescent="0.25">
      <c r="A1744" s="127">
        <v>44728</v>
      </c>
      <c r="B1744" s="128" t="s">
        <v>19603</v>
      </c>
      <c r="C1744" s="129" t="s">
        <v>14613</v>
      </c>
      <c r="D1744" s="130">
        <v>6162</v>
      </c>
      <c r="E1744" s="131">
        <v>44728</v>
      </c>
      <c r="F1744" s="132">
        <v>6162</v>
      </c>
      <c r="G1744" s="133">
        <f>Tabla147[[#This Row],[Importe]]-Tabla147[[#This Row],[Pagado]]</f>
        <v>0</v>
      </c>
      <c r="H1744" s="134" t="s">
        <v>10</v>
      </c>
      <c r="I1744" s="135"/>
    </row>
    <row r="1745" spans="1:9" ht="21.75" customHeight="1" x14ac:dyDescent="0.25">
      <c r="A1745" s="127">
        <v>44728</v>
      </c>
      <c r="B1745" s="128" t="s">
        <v>19604</v>
      </c>
      <c r="C1745" s="129" t="s">
        <v>191</v>
      </c>
      <c r="D1745" s="130">
        <v>2654.4</v>
      </c>
      <c r="E1745" s="131">
        <v>44728</v>
      </c>
      <c r="F1745" s="132">
        <v>2654.4</v>
      </c>
      <c r="G1745" s="133">
        <f>Tabla147[[#This Row],[Importe]]-Tabla147[[#This Row],[Pagado]]</f>
        <v>0</v>
      </c>
      <c r="H1745" s="134" t="s">
        <v>10</v>
      </c>
      <c r="I1745" s="135"/>
    </row>
    <row r="1746" spans="1:9" ht="21.75" customHeight="1" x14ac:dyDescent="0.25">
      <c r="A1746" s="127">
        <v>44728</v>
      </c>
      <c r="B1746" s="128" t="s">
        <v>19605</v>
      </c>
      <c r="C1746" s="129" t="s">
        <v>1265</v>
      </c>
      <c r="D1746" s="130">
        <v>3455.5</v>
      </c>
      <c r="E1746" s="131">
        <v>44728</v>
      </c>
      <c r="F1746" s="132">
        <v>3455.5</v>
      </c>
      <c r="G1746" s="133">
        <f>Tabla147[[#This Row],[Importe]]-Tabla147[[#This Row],[Pagado]]</f>
        <v>0</v>
      </c>
      <c r="H1746" s="134" t="s">
        <v>10</v>
      </c>
      <c r="I1746" s="135"/>
    </row>
    <row r="1747" spans="1:9" ht="21.75" customHeight="1" x14ac:dyDescent="0.25">
      <c r="A1747" s="127">
        <v>44728</v>
      </c>
      <c r="B1747" s="128" t="s">
        <v>19606</v>
      </c>
      <c r="C1747" s="129" t="s">
        <v>382</v>
      </c>
      <c r="D1747" s="130">
        <v>2737</v>
      </c>
      <c r="E1747" s="131">
        <v>44728</v>
      </c>
      <c r="F1747" s="132">
        <v>2737</v>
      </c>
      <c r="G1747" s="133">
        <f>Tabla147[[#This Row],[Importe]]-Tabla147[[#This Row],[Pagado]]</f>
        <v>0</v>
      </c>
      <c r="H1747" s="134" t="s">
        <v>10</v>
      </c>
      <c r="I1747" s="135"/>
    </row>
    <row r="1748" spans="1:9" ht="21.75" customHeight="1" x14ac:dyDescent="0.25">
      <c r="A1748" s="127">
        <v>44728</v>
      </c>
      <c r="B1748" s="128" t="s">
        <v>19607</v>
      </c>
      <c r="C1748" s="129" t="s">
        <v>24</v>
      </c>
      <c r="D1748" s="130">
        <v>4762.3</v>
      </c>
      <c r="E1748" s="131">
        <v>44728</v>
      </c>
      <c r="F1748" s="132">
        <v>4762.3</v>
      </c>
      <c r="G1748" s="133">
        <f>Tabla147[[#This Row],[Importe]]-Tabla147[[#This Row],[Pagado]]</f>
        <v>0</v>
      </c>
      <c r="H1748" s="134" t="s">
        <v>10</v>
      </c>
      <c r="I1748" s="135"/>
    </row>
    <row r="1749" spans="1:9" ht="21.75" customHeight="1" x14ac:dyDescent="0.25">
      <c r="A1749" s="127">
        <v>44728</v>
      </c>
      <c r="B1749" s="128" t="s">
        <v>19608</v>
      </c>
      <c r="C1749" s="129" t="s">
        <v>670</v>
      </c>
      <c r="D1749" s="130">
        <v>1915.2</v>
      </c>
      <c r="E1749" s="131">
        <v>44728</v>
      </c>
      <c r="F1749" s="132">
        <v>1915.2</v>
      </c>
      <c r="G1749" s="133">
        <f>Tabla147[[#This Row],[Importe]]-Tabla147[[#This Row],[Pagado]]</f>
        <v>0</v>
      </c>
      <c r="H1749" s="134" t="s">
        <v>10</v>
      </c>
      <c r="I1749" s="135"/>
    </row>
    <row r="1750" spans="1:9" ht="21.75" customHeight="1" x14ac:dyDescent="0.25">
      <c r="A1750" s="127">
        <v>44728</v>
      </c>
      <c r="B1750" s="128" t="s">
        <v>19609</v>
      </c>
      <c r="C1750" s="129" t="s">
        <v>222</v>
      </c>
      <c r="D1750" s="130">
        <v>1744.7</v>
      </c>
      <c r="E1750" s="131">
        <v>44728</v>
      </c>
      <c r="F1750" s="132">
        <v>1744.7</v>
      </c>
      <c r="G1750" s="133">
        <f>Tabla147[[#This Row],[Importe]]-Tabla147[[#This Row],[Pagado]]</f>
        <v>0</v>
      </c>
      <c r="H1750" s="134" t="s">
        <v>10</v>
      </c>
      <c r="I1750" s="135"/>
    </row>
    <row r="1751" spans="1:9" ht="21.75" customHeight="1" x14ac:dyDescent="0.25">
      <c r="A1751" s="127">
        <v>44728</v>
      </c>
      <c r="B1751" s="128" t="s">
        <v>19610</v>
      </c>
      <c r="C1751" s="129" t="s">
        <v>12202</v>
      </c>
      <c r="D1751" s="130">
        <v>7600</v>
      </c>
      <c r="E1751" s="131">
        <v>44728</v>
      </c>
      <c r="F1751" s="132">
        <v>7600</v>
      </c>
      <c r="G1751" s="133">
        <f>Tabla147[[#This Row],[Importe]]-Tabla147[[#This Row],[Pagado]]</f>
        <v>0</v>
      </c>
      <c r="H1751" s="134" t="s">
        <v>10</v>
      </c>
      <c r="I1751" s="135"/>
    </row>
    <row r="1752" spans="1:9" ht="21.75" customHeight="1" x14ac:dyDescent="0.25">
      <c r="A1752" s="127">
        <v>44728</v>
      </c>
      <c r="B1752" s="128" t="s">
        <v>19611</v>
      </c>
      <c r="C1752" s="129" t="s">
        <v>15039</v>
      </c>
      <c r="D1752" s="130">
        <v>4555.2</v>
      </c>
      <c r="E1752" s="131">
        <v>44728</v>
      </c>
      <c r="F1752" s="132">
        <v>4555.2</v>
      </c>
      <c r="G1752" s="133">
        <f>Tabla147[[#This Row],[Importe]]-Tabla147[[#This Row],[Pagado]]</f>
        <v>0</v>
      </c>
      <c r="H1752" s="134" t="s">
        <v>10</v>
      </c>
      <c r="I1752" s="135"/>
    </row>
    <row r="1753" spans="1:9" ht="21.75" customHeight="1" x14ac:dyDescent="0.25">
      <c r="A1753" s="127">
        <v>44728</v>
      </c>
      <c r="B1753" s="128" t="s">
        <v>19612</v>
      </c>
      <c r="C1753" s="129" t="s">
        <v>562</v>
      </c>
      <c r="D1753" s="130">
        <v>3278</v>
      </c>
      <c r="E1753" s="131">
        <v>44728</v>
      </c>
      <c r="F1753" s="132">
        <v>3278</v>
      </c>
      <c r="G1753" s="133">
        <f>Tabla147[[#This Row],[Importe]]-Tabla147[[#This Row],[Pagado]]</f>
        <v>0</v>
      </c>
      <c r="H1753" s="134" t="s">
        <v>10</v>
      </c>
      <c r="I1753" s="135"/>
    </row>
    <row r="1754" spans="1:9" ht="21.75" customHeight="1" x14ac:dyDescent="0.25">
      <c r="A1754" s="127">
        <v>44728</v>
      </c>
      <c r="B1754" s="128" t="s">
        <v>19613</v>
      </c>
      <c r="C1754" s="129" t="s">
        <v>222</v>
      </c>
      <c r="D1754" s="130">
        <v>11936.4</v>
      </c>
      <c r="E1754" s="131">
        <v>44728</v>
      </c>
      <c r="F1754" s="132">
        <v>11936.4</v>
      </c>
      <c r="G1754" s="133">
        <f>Tabla147[[#This Row],[Importe]]-Tabla147[[#This Row],[Pagado]]</f>
        <v>0</v>
      </c>
      <c r="H1754" s="134" t="s">
        <v>10</v>
      </c>
      <c r="I1754" s="135"/>
    </row>
    <row r="1755" spans="1:9" ht="21.75" customHeight="1" x14ac:dyDescent="0.25">
      <c r="A1755" s="127">
        <v>44728</v>
      </c>
      <c r="B1755" s="128" t="s">
        <v>19614</v>
      </c>
      <c r="C1755" s="129" t="s">
        <v>196</v>
      </c>
      <c r="D1755" s="130">
        <v>105168.4</v>
      </c>
      <c r="E1755" s="131">
        <v>44729</v>
      </c>
      <c r="F1755" s="132">
        <v>105168.4</v>
      </c>
      <c r="G1755" s="133">
        <f>Tabla147[[#This Row],[Importe]]-Tabla147[[#This Row],[Pagado]]</f>
        <v>0</v>
      </c>
      <c r="H1755" s="134" t="s">
        <v>10</v>
      </c>
      <c r="I1755" s="135"/>
    </row>
    <row r="1756" spans="1:9" ht="21.75" customHeight="1" x14ac:dyDescent="0.25">
      <c r="A1756" s="127">
        <v>44728</v>
      </c>
      <c r="B1756" s="128" t="s">
        <v>19615</v>
      </c>
      <c r="C1756" s="129" t="s">
        <v>31</v>
      </c>
      <c r="D1756" s="130">
        <v>1094.8</v>
      </c>
      <c r="E1756" s="131">
        <v>44728</v>
      </c>
      <c r="F1756" s="132">
        <v>1094.8</v>
      </c>
      <c r="G1756" s="133">
        <f>Tabla147[[#This Row],[Importe]]-Tabla147[[#This Row],[Pagado]]</f>
        <v>0</v>
      </c>
      <c r="H1756" s="134" t="s">
        <v>10</v>
      </c>
      <c r="I1756" s="135"/>
    </row>
    <row r="1757" spans="1:9" ht="21.75" customHeight="1" x14ac:dyDescent="0.25">
      <c r="A1757" s="127">
        <v>44728</v>
      </c>
      <c r="B1757" s="128" t="s">
        <v>19616</v>
      </c>
      <c r="C1757" s="129" t="s">
        <v>698</v>
      </c>
      <c r="D1757" s="130">
        <v>6182.1</v>
      </c>
      <c r="E1757" s="131">
        <v>44728</v>
      </c>
      <c r="F1757" s="132">
        <v>6182.1</v>
      </c>
      <c r="G1757" s="133">
        <f>Tabla147[[#This Row],[Importe]]-Tabla147[[#This Row],[Pagado]]</f>
        <v>0</v>
      </c>
      <c r="H1757" s="134" t="s">
        <v>10</v>
      </c>
      <c r="I1757" s="135"/>
    </row>
    <row r="1758" spans="1:9" ht="21.75" customHeight="1" x14ac:dyDescent="0.25">
      <c r="A1758" s="127">
        <v>44728</v>
      </c>
      <c r="B1758" s="128" t="s">
        <v>19617</v>
      </c>
      <c r="C1758" s="129" t="s">
        <v>196</v>
      </c>
      <c r="D1758" s="130">
        <v>1901.8</v>
      </c>
      <c r="E1758" s="131">
        <v>44729</v>
      </c>
      <c r="F1758" s="132">
        <v>1901.8</v>
      </c>
      <c r="G1758" s="133">
        <f>Tabla147[[#This Row],[Importe]]-Tabla147[[#This Row],[Pagado]]</f>
        <v>0</v>
      </c>
      <c r="H1758" s="134" t="s">
        <v>10</v>
      </c>
      <c r="I1758" s="135"/>
    </row>
    <row r="1759" spans="1:9" ht="21.75" customHeight="1" x14ac:dyDescent="0.25">
      <c r="A1759" s="127">
        <v>44728</v>
      </c>
      <c r="B1759" s="128" t="s">
        <v>19618</v>
      </c>
      <c r="C1759" s="129" t="s">
        <v>31</v>
      </c>
      <c r="D1759" s="130">
        <v>3250.7</v>
      </c>
      <c r="E1759" s="131">
        <v>44728</v>
      </c>
      <c r="F1759" s="132">
        <v>3250.7</v>
      </c>
      <c r="G1759" s="133">
        <f>Tabla147[[#This Row],[Importe]]-Tabla147[[#This Row],[Pagado]]</f>
        <v>0</v>
      </c>
      <c r="H1759" s="134" t="s">
        <v>10</v>
      </c>
      <c r="I1759" s="135"/>
    </row>
    <row r="1760" spans="1:9" ht="21.75" customHeight="1" x14ac:dyDescent="0.25">
      <c r="A1760" s="127">
        <v>44728</v>
      </c>
      <c r="B1760" s="128" t="s">
        <v>19619</v>
      </c>
      <c r="C1760" s="129" t="s">
        <v>804</v>
      </c>
      <c r="D1760" s="130">
        <v>20834.7</v>
      </c>
      <c r="E1760" s="131">
        <v>44728</v>
      </c>
      <c r="F1760" s="132">
        <v>20834.7</v>
      </c>
      <c r="G1760" s="133">
        <f>Tabla147[[#This Row],[Importe]]-Tabla147[[#This Row],[Pagado]]</f>
        <v>0</v>
      </c>
      <c r="H1760" s="134" t="s">
        <v>10</v>
      </c>
      <c r="I1760" s="135"/>
    </row>
    <row r="1761" spans="1:9" ht="21.75" customHeight="1" x14ac:dyDescent="0.25">
      <c r="A1761" s="127">
        <v>44728</v>
      </c>
      <c r="B1761" s="128" t="s">
        <v>19620</v>
      </c>
      <c r="C1761" s="129" t="s">
        <v>244</v>
      </c>
      <c r="D1761" s="130">
        <v>5689.2</v>
      </c>
      <c r="E1761" s="131">
        <v>44728</v>
      </c>
      <c r="F1761" s="132">
        <v>5689.2</v>
      </c>
      <c r="G1761" s="133">
        <f>Tabla147[[#This Row],[Importe]]-Tabla147[[#This Row],[Pagado]]</f>
        <v>0</v>
      </c>
      <c r="H1761" s="134" t="s">
        <v>10</v>
      </c>
      <c r="I1761" s="135"/>
    </row>
    <row r="1762" spans="1:9" ht="21.75" customHeight="1" x14ac:dyDescent="0.25">
      <c r="A1762" s="127">
        <v>44728</v>
      </c>
      <c r="B1762" s="128" t="s">
        <v>19621</v>
      </c>
      <c r="C1762" s="129" t="s">
        <v>1239</v>
      </c>
      <c r="D1762" s="130">
        <v>11704</v>
      </c>
      <c r="E1762" s="131">
        <v>44728</v>
      </c>
      <c r="F1762" s="132">
        <v>11704</v>
      </c>
      <c r="G1762" s="133">
        <f>Tabla147[[#This Row],[Importe]]-Tabla147[[#This Row],[Pagado]]</f>
        <v>0</v>
      </c>
      <c r="H1762" s="134" t="s">
        <v>10</v>
      </c>
      <c r="I1762" s="135"/>
    </row>
    <row r="1763" spans="1:9" ht="21.75" customHeight="1" x14ac:dyDescent="0.25">
      <c r="A1763" s="127">
        <v>44728</v>
      </c>
      <c r="B1763" s="128" t="s">
        <v>19622</v>
      </c>
      <c r="C1763" s="129" t="s">
        <v>58</v>
      </c>
      <c r="D1763" s="130">
        <v>3463</v>
      </c>
      <c r="E1763" s="131">
        <v>44728</v>
      </c>
      <c r="F1763" s="132">
        <v>3463</v>
      </c>
      <c r="G1763" s="133">
        <f>Tabla147[[#This Row],[Importe]]-Tabla147[[#This Row],[Pagado]]</f>
        <v>0</v>
      </c>
      <c r="H1763" s="134" t="s">
        <v>10</v>
      </c>
      <c r="I1763" s="135"/>
    </row>
    <row r="1764" spans="1:9" ht="21.75" customHeight="1" x14ac:dyDescent="0.25">
      <c r="A1764" s="127">
        <v>44728</v>
      </c>
      <c r="B1764" s="128" t="s">
        <v>19623</v>
      </c>
      <c r="C1764" s="129" t="s">
        <v>10190</v>
      </c>
      <c r="D1764" s="130">
        <v>8624</v>
      </c>
      <c r="E1764" s="131">
        <v>44728</v>
      </c>
      <c r="F1764" s="132">
        <v>8624</v>
      </c>
      <c r="G1764" s="133">
        <f>Tabla147[[#This Row],[Importe]]-Tabla147[[#This Row],[Pagado]]</f>
        <v>0</v>
      </c>
      <c r="H1764" s="134" t="s">
        <v>10</v>
      </c>
      <c r="I1764" s="135"/>
    </row>
    <row r="1765" spans="1:9" ht="21.75" customHeight="1" x14ac:dyDescent="0.25">
      <c r="A1765" s="127">
        <v>44728</v>
      </c>
      <c r="B1765" s="128" t="s">
        <v>19624</v>
      </c>
      <c r="C1765" s="129" t="s">
        <v>244</v>
      </c>
      <c r="D1765" s="130">
        <v>1171</v>
      </c>
      <c r="E1765" s="131">
        <v>44728</v>
      </c>
      <c r="F1765" s="132">
        <v>1171</v>
      </c>
      <c r="G1765" s="133">
        <f>Tabla147[[#This Row],[Importe]]-Tabla147[[#This Row],[Pagado]]</f>
        <v>0</v>
      </c>
      <c r="H1765" s="134" t="s">
        <v>10</v>
      </c>
      <c r="I1765" s="135"/>
    </row>
    <row r="1766" spans="1:9" ht="21.75" customHeight="1" x14ac:dyDescent="0.25">
      <c r="A1766" s="127">
        <v>44728</v>
      </c>
      <c r="B1766" s="128" t="s">
        <v>19625</v>
      </c>
      <c r="C1766" s="129" t="s">
        <v>587</v>
      </c>
      <c r="D1766" s="130">
        <v>1199.3</v>
      </c>
      <c r="E1766" s="131">
        <v>44728</v>
      </c>
      <c r="F1766" s="132">
        <v>1199.3</v>
      </c>
      <c r="G1766" s="133">
        <f>Tabla147[[#This Row],[Importe]]-Tabla147[[#This Row],[Pagado]]</f>
        <v>0</v>
      </c>
      <c r="H1766" s="134" t="s">
        <v>10</v>
      </c>
      <c r="I1766" s="135"/>
    </row>
    <row r="1767" spans="1:9" ht="21.75" customHeight="1" x14ac:dyDescent="0.25">
      <c r="A1767" s="127">
        <v>44728</v>
      </c>
      <c r="B1767" s="128" t="s">
        <v>19626</v>
      </c>
      <c r="C1767" s="129" t="s">
        <v>587</v>
      </c>
      <c r="D1767" s="130">
        <v>3650.16</v>
      </c>
      <c r="E1767" s="131">
        <v>44728</v>
      </c>
      <c r="F1767" s="132">
        <v>3650.16</v>
      </c>
      <c r="G1767" s="133">
        <f>Tabla147[[#This Row],[Importe]]-Tabla147[[#This Row],[Pagado]]</f>
        <v>0</v>
      </c>
      <c r="H1767" s="134" t="s">
        <v>10</v>
      </c>
      <c r="I1767" s="135"/>
    </row>
    <row r="1768" spans="1:9" ht="21.75" customHeight="1" x14ac:dyDescent="0.25">
      <c r="A1768" s="127">
        <v>44728</v>
      </c>
      <c r="B1768" s="128" t="s">
        <v>19627</v>
      </c>
      <c r="C1768" s="129" t="s">
        <v>843</v>
      </c>
      <c r="D1768" s="130">
        <v>18374.400000000001</v>
      </c>
      <c r="E1768" s="131">
        <v>44728</v>
      </c>
      <c r="F1768" s="132">
        <v>18374.400000000001</v>
      </c>
      <c r="G1768" s="133">
        <f>Tabla147[[#This Row],[Importe]]-Tabla147[[#This Row],[Pagado]]</f>
        <v>0</v>
      </c>
      <c r="H1768" s="134" t="s">
        <v>10</v>
      </c>
      <c r="I1768" s="135"/>
    </row>
    <row r="1769" spans="1:9" ht="21.75" customHeight="1" x14ac:dyDescent="0.25">
      <c r="A1769" s="127">
        <v>44728</v>
      </c>
      <c r="B1769" s="128" t="s">
        <v>19628</v>
      </c>
      <c r="C1769" s="129" t="s">
        <v>16</v>
      </c>
      <c r="D1769" s="130">
        <v>2655.3</v>
      </c>
      <c r="E1769" s="131">
        <v>44728</v>
      </c>
      <c r="F1769" s="132">
        <v>2655.3</v>
      </c>
      <c r="G1769" s="133">
        <f>Tabla147[[#This Row],[Importe]]-Tabla147[[#This Row],[Pagado]]</f>
        <v>0</v>
      </c>
      <c r="H1769" s="134" t="s">
        <v>10</v>
      </c>
      <c r="I1769" s="135"/>
    </row>
    <row r="1770" spans="1:9" ht="21.75" customHeight="1" x14ac:dyDescent="0.25">
      <c r="A1770" s="127">
        <v>44728</v>
      </c>
      <c r="B1770" s="128" t="s">
        <v>19629</v>
      </c>
      <c r="C1770" s="129" t="s">
        <v>1378</v>
      </c>
      <c r="D1770" s="130">
        <v>71031.3</v>
      </c>
      <c r="E1770" s="131">
        <v>44729</v>
      </c>
      <c r="F1770" s="132">
        <v>71031.3</v>
      </c>
      <c r="G1770" s="133">
        <f>Tabla147[[#This Row],[Importe]]-Tabla147[[#This Row],[Pagado]]</f>
        <v>0</v>
      </c>
      <c r="H1770" s="134" t="s">
        <v>10</v>
      </c>
      <c r="I1770" s="135"/>
    </row>
    <row r="1771" spans="1:9" ht="21.75" customHeight="1" x14ac:dyDescent="0.25">
      <c r="A1771" s="127">
        <v>44728</v>
      </c>
      <c r="B1771" s="128" t="s">
        <v>19630</v>
      </c>
      <c r="C1771" s="129" t="s">
        <v>175</v>
      </c>
      <c r="D1771" s="130">
        <v>35323.699999999997</v>
      </c>
      <c r="E1771" s="131">
        <v>44728</v>
      </c>
      <c r="F1771" s="132">
        <v>35323.699999999997</v>
      </c>
      <c r="G1771" s="133">
        <f>Tabla147[[#This Row],[Importe]]-Tabla147[[#This Row],[Pagado]]</f>
        <v>0</v>
      </c>
      <c r="H1771" s="134" t="s">
        <v>10</v>
      </c>
      <c r="I1771" s="135"/>
    </row>
    <row r="1772" spans="1:9" ht="21.75" customHeight="1" x14ac:dyDescent="0.25">
      <c r="A1772" s="127">
        <v>44728</v>
      </c>
      <c r="B1772" s="128" t="s">
        <v>19631</v>
      </c>
      <c r="C1772" s="129" t="s">
        <v>10678</v>
      </c>
      <c r="D1772" s="130">
        <v>3535.2</v>
      </c>
      <c r="E1772" s="131">
        <v>44728</v>
      </c>
      <c r="F1772" s="132">
        <v>3535.2</v>
      </c>
      <c r="G1772" s="133">
        <f>Tabla147[[#This Row],[Importe]]-Tabla147[[#This Row],[Pagado]]</f>
        <v>0</v>
      </c>
      <c r="H1772" s="134" t="s">
        <v>10</v>
      </c>
      <c r="I1772" s="135"/>
    </row>
    <row r="1773" spans="1:9" ht="21.75" customHeight="1" x14ac:dyDescent="0.25">
      <c r="A1773" s="127">
        <v>44728</v>
      </c>
      <c r="B1773" s="128" t="s">
        <v>19632</v>
      </c>
      <c r="C1773" s="129" t="s">
        <v>9827</v>
      </c>
      <c r="D1773" s="130">
        <v>3142.4</v>
      </c>
      <c r="E1773" s="131">
        <v>44728</v>
      </c>
      <c r="F1773" s="132">
        <v>3142.4</v>
      </c>
      <c r="G1773" s="133">
        <f>Tabla147[[#This Row],[Importe]]-Tabla147[[#This Row],[Pagado]]</f>
        <v>0</v>
      </c>
      <c r="H1773" s="134" t="s">
        <v>10</v>
      </c>
      <c r="I1773" s="135"/>
    </row>
    <row r="1774" spans="1:9" ht="21.75" customHeight="1" x14ac:dyDescent="0.25">
      <c r="A1774" s="127">
        <v>44728</v>
      </c>
      <c r="B1774" s="128" t="s">
        <v>19633</v>
      </c>
      <c r="C1774" s="129" t="s">
        <v>10190</v>
      </c>
      <c r="D1774" s="130">
        <v>19264.8</v>
      </c>
      <c r="E1774" s="131">
        <v>44728</v>
      </c>
      <c r="F1774" s="132">
        <v>19264.8</v>
      </c>
      <c r="G1774" s="133">
        <f>Tabla147[[#This Row],[Importe]]-Tabla147[[#This Row],[Pagado]]</f>
        <v>0</v>
      </c>
      <c r="H1774" s="134" t="s">
        <v>10</v>
      </c>
      <c r="I1774" s="135"/>
    </row>
    <row r="1775" spans="1:9" ht="21.75" customHeight="1" x14ac:dyDescent="0.25">
      <c r="A1775" s="127">
        <v>44728</v>
      </c>
      <c r="B1775" s="128" t="s">
        <v>19634</v>
      </c>
      <c r="C1775" s="129" t="s">
        <v>200</v>
      </c>
      <c r="D1775" s="130">
        <v>1067.5999999999999</v>
      </c>
      <c r="E1775" s="131">
        <v>44728</v>
      </c>
      <c r="F1775" s="132">
        <v>1067.5999999999999</v>
      </c>
      <c r="G1775" s="133">
        <f>Tabla147[[#This Row],[Importe]]-Tabla147[[#This Row],[Pagado]]</f>
        <v>0</v>
      </c>
      <c r="H1775" s="134" t="s">
        <v>10</v>
      </c>
      <c r="I1775" s="135"/>
    </row>
    <row r="1776" spans="1:9" ht="21.75" customHeight="1" x14ac:dyDescent="0.25">
      <c r="A1776" s="127">
        <v>44728</v>
      </c>
      <c r="B1776" s="128" t="s">
        <v>19635</v>
      </c>
      <c r="C1776" s="129" t="s">
        <v>359</v>
      </c>
      <c r="D1776" s="130">
        <v>1890.3</v>
      </c>
      <c r="E1776" s="131">
        <v>44728</v>
      </c>
      <c r="F1776" s="132">
        <v>1890.3</v>
      </c>
      <c r="G1776" s="133">
        <f>Tabla147[[#This Row],[Importe]]-Tabla147[[#This Row],[Pagado]]</f>
        <v>0</v>
      </c>
      <c r="H1776" s="134" t="s">
        <v>10</v>
      </c>
      <c r="I1776" s="135"/>
    </row>
    <row r="1777" spans="1:9" ht="21.75" customHeight="1" x14ac:dyDescent="0.25">
      <c r="A1777" s="127">
        <v>44728</v>
      </c>
      <c r="B1777" s="128" t="s">
        <v>19636</v>
      </c>
      <c r="C1777" s="129" t="s">
        <v>19637</v>
      </c>
      <c r="D1777" s="130">
        <v>13416.6</v>
      </c>
      <c r="E1777" s="131">
        <v>44736</v>
      </c>
      <c r="F1777" s="132">
        <v>13416.6</v>
      </c>
      <c r="G1777" s="133">
        <f>Tabla147[[#This Row],[Importe]]-Tabla147[[#This Row],[Pagado]]</f>
        <v>0</v>
      </c>
      <c r="H1777" s="134" t="s">
        <v>10</v>
      </c>
      <c r="I1777" s="135"/>
    </row>
    <row r="1778" spans="1:9" ht="21.75" customHeight="1" x14ac:dyDescent="0.25">
      <c r="A1778" s="127">
        <v>44728</v>
      </c>
      <c r="B1778" s="128" t="s">
        <v>19638</v>
      </c>
      <c r="C1778" s="129" t="s">
        <v>1481</v>
      </c>
      <c r="D1778" s="130">
        <v>1810</v>
      </c>
      <c r="E1778" s="131">
        <v>44728</v>
      </c>
      <c r="F1778" s="132">
        <v>1810</v>
      </c>
      <c r="G1778" s="133">
        <f>Tabla147[[#This Row],[Importe]]-Tabla147[[#This Row],[Pagado]]</f>
        <v>0</v>
      </c>
      <c r="H1778" s="134" t="s">
        <v>10</v>
      </c>
      <c r="I1778" s="135"/>
    </row>
    <row r="1779" spans="1:9" ht="21.75" customHeight="1" x14ac:dyDescent="0.25">
      <c r="A1779" s="127">
        <v>44728</v>
      </c>
      <c r="B1779" s="128" t="s">
        <v>19639</v>
      </c>
      <c r="C1779" s="129" t="s">
        <v>14</v>
      </c>
      <c r="D1779" s="130">
        <v>17812.099999999999</v>
      </c>
      <c r="E1779" s="131">
        <v>44728</v>
      </c>
      <c r="F1779" s="132">
        <v>17812.099999999999</v>
      </c>
      <c r="G1779" s="133">
        <f>Tabla147[[#This Row],[Importe]]-Tabla147[[#This Row],[Pagado]]</f>
        <v>0</v>
      </c>
      <c r="H1779" s="134" t="s">
        <v>10</v>
      </c>
      <c r="I1779" s="135"/>
    </row>
    <row r="1780" spans="1:9" ht="21.75" customHeight="1" x14ac:dyDescent="0.25">
      <c r="A1780" s="127">
        <v>44728</v>
      </c>
      <c r="B1780" s="128" t="s">
        <v>19640</v>
      </c>
      <c r="C1780" s="129" t="s">
        <v>2151</v>
      </c>
      <c r="D1780" s="130">
        <v>1448</v>
      </c>
      <c r="E1780" s="131">
        <v>44728</v>
      </c>
      <c r="F1780" s="132">
        <v>1448</v>
      </c>
      <c r="G1780" s="133">
        <f>Tabla147[[#This Row],[Importe]]-Tabla147[[#This Row],[Pagado]]</f>
        <v>0</v>
      </c>
      <c r="H1780" s="134" t="s">
        <v>10</v>
      </c>
      <c r="I1780" s="135"/>
    </row>
    <row r="1781" spans="1:9" ht="21.75" customHeight="1" x14ac:dyDescent="0.25">
      <c r="A1781" s="127">
        <v>44728</v>
      </c>
      <c r="B1781" s="128" t="s">
        <v>19641</v>
      </c>
      <c r="C1781" s="129" t="s">
        <v>31</v>
      </c>
      <c r="D1781" s="130">
        <v>1251</v>
      </c>
      <c r="E1781" s="131">
        <v>44728</v>
      </c>
      <c r="F1781" s="132">
        <v>1251</v>
      </c>
      <c r="G1781" s="133">
        <f>Tabla147[[#This Row],[Importe]]-Tabla147[[#This Row],[Pagado]]</f>
        <v>0</v>
      </c>
      <c r="H1781" s="134" t="s">
        <v>10</v>
      </c>
      <c r="I1781" s="135"/>
    </row>
    <row r="1782" spans="1:9" ht="21.75" customHeight="1" x14ac:dyDescent="0.25">
      <c r="A1782" s="127">
        <v>44728</v>
      </c>
      <c r="B1782" s="128" t="s">
        <v>19642</v>
      </c>
      <c r="C1782" s="129" t="s">
        <v>9</v>
      </c>
      <c r="D1782" s="130">
        <v>1761.6</v>
      </c>
      <c r="E1782" s="131">
        <v>44728</v>
      </c>
      <c r="F1782" s="132">
        <v>1761.6</v>
      </c>
      <c r="G1782" s="133">
        <f>Tabla147[[#This Row],[Importe]]-Tabla147[[#This Row],[Pagado]]</f>
        <v>0</v>
      </c>
      <c r="H1782" s="134" t="s">
        <v>10</v>
      </c>
      <c r="I1782" s="135"/>
    </row>
    <row r="1783" spans="1:9" ht="21.75" customHeight="1" x14ac:dyDescent="0.25">
      <c r="A1783" s="127">
        <v>44728</v>
      </c>
      <c r="B1783" s="128" t="s">
        <v>19643</v>
      </c>
      <c r="C1783" s="129" t="s">
        <v>857</v>
      </c>
      <c r="D1783" s="130">
        <v>216</v>
      </c>
      <c r="E1783" s="131">
        <v>44728</v>
      </c>
      <c r="F1783" s="132">
        <v>216</v>
      </c>
      <c r="G1783" s="133">
        <f>Tabla147[[#This Row],[Importe]]-Tabla147[[#This Row],[Pagado]]</f>
        <v>0</v>
      </c>
      <c r="H1783" s="134" t="s">
        <v>10</v>
      </c>
      <c r="I1783" s="135"/>
    </row>
    <row r="1784" spans="1:9" ht="21.75" customHeight="1" x14ac:dyDescent="0.25">
      <c r="A1784" s="127">
        <v>44728</v>
      </c>
      <c r="B1784" s="128" t="s">
        <v>19644</v>
      </c>
      <c r="C1784" s="129" t="s">
        <v>2139</v>
      </c>
      <c r="D1784" s="130">
        <v>2314.6</v>
      </c>
      <c r="E1784" s="131">
        <v>44728</v>
      </c>
      <c r="F1784" s="132">
        <v>2314.6</v>
      </c>
      <c r="G1784" s="133">
        <f>Tabla147[[#This Row],[Importe]]-Tabla147[[#This Row],[Pagado]]</f>
        <v>0</v>
      </c>
      <c r="H1784" s="134" t="s">
        <v>10</v>
      </c>
      <c r="I1784" s="135"/>
    </row>
    <row r="1785" spans="1:9" ht="21.75" customHeight="1" x14ac:dyDescent="0.25">
      <c r="A1785" s="127">
        <v>44728</v>
      </c>
      <c r="B1785" s="128" t="s">
        <v>19645</v>
      </c>
      <c r="C1785" s="129" t="s">
        <v>296</v>
      </c>
      <c r="D1785" s="130">
        <v>3952.8</v>
      </c>
      <c r="E1785" s="131">
        <v>44728</v>
      </c>
      <c r="F1785" s="132">
        <v>3952.8</v>
      </c>
      <c r="G1785" s="133">
        <f>Tabla147[[#This Row],[Importe]]-Tabla147[[#This Row],[Pagado]]</f>
        <v>0</v>
      </c>
      <c r="H1785" s="134" t="s">
        <v>10</v>
      </c>
      <c r="I1785" s="135"/>
    </row>
    <row r="1786" spans="1:9" ht="21.75" customHeight="1" x14ac:dyDescent="0.25">
      <c r="A1786" s="127">
        <v>44728</v>
      </c>
      <c r="B1786" s="128" t="s">
        <v>19646</v>
      </c>
      <c r="C1786" s="129" t="s">
        <v>53</v>
      </c>
      <c r="D1786" s="130">
        <v>1831.8</v>
      </c>
      <c r="E1786" s="131">
        <v>44728</v>
      </c>
      <c r="F1786" s="132">
        <v>1831.8</v>
      </c>
      <c r="G1786" s="133">
        <f>Tabla147[[#This Row],[Importe]]-Tabla147[[#This Row],[Pagado]]</f>
        <v>0</v>
      </c>
      <c r="H1786" s="134" t="s">
        <v>10</v>
      </c>
      <c r="I1786" s="135"/>
    </row>
    <row r="1787" spans="1:9" ht="21.75" customHeight="1" x14ac:dyDescent="0.25">
      <c r="A1787" s="127">
        <v>44728</v>
      </c>
      <c r="B1787" s="128" t="s">
        <v>19647</v>
      </c>
      <c r="C1787" s="129" t="s">
        <v>296</v>
      </c>
      <c r="D1787" s="130">
        <v>255.6</v>
      </c>
      <c r="E1787" s="131">
        <v>44728</v>
      </c>
      <c r="F1787" s="132">
        <v>255.6</v>
      </c>
      <c r="G1787" s="133">
        <f>Tabla147[[#This Row],[Importe]]-Tabla147[[#This Row],[Pagado]]</f>
        <v>0</v>
      </c>
      <c r="H1787" s="134" t="s">
        <v>10</v>
      </c>
      <c r="I1787" s="135"/>
    </row>
    <row r="1788" spans="1:9" ht="21.75" customHeight="1" x14ac:dyDescent="0.25">
      <c r="A1788" s="127">
        <v>44728</v>
      </c>
      <c r="B1788" s="128" t="s">
        <v>19648</v>
      </c>
      <c r="C1788" s="129" t="s">
        <v>284</v>
      </c>
      <c r="D1788" s="130">
        <v>10329.200000000001</v>
      </c>
      <c r="E1788" s="131">
        <v>44729</v>
      </c>
      <c r="F1788" s="132">
        <v>10329.200000000001</v>
      </c>
      <c r="G1788" s="133">
        <f>Tabla147[[#This Row],[Importe]]-Tabla147[[#This Row],[Pagado]]</f>
        <v>0</v>
      </c>
      <c r="H1788" s="134" t="s">
        <v>10</v>
      </c>
      <c r="I1788" s="135"/>
    </row>
    <row r="1789" spans="1:9" ht="21.75" customHeight="1" x14ac:dyDescent="0.25">
      <c r="A1789" s="127">
        <v>44728</v>
      </c>
      <c r="B1789" s="128" t="s">
        <v>19649</v>
      </c>
      <c r="C1789" s="129" t="s">
        <v>5345</v>
      </c>
      <c r="D1789" s="130">
        <v>2665.6</v>
      </c>
      <c r="E1789" s="131">
        <v>44729</v>
      </c>
      <c r="F1789" s="132">
        <v>2665.6</v>
      </c>
      <c r="G1789" s="133">
        <f>Tabla147[[#This Row],[Importe]]-Tabla147[[#This Row],[Pagado]]</f>
        <v>0</v>
      </c>
      <c r="H1789" s="134" t="s">
        <v>10</v>
      </c>
      <c r="I1789" s="135"/>
    </row>
    <row r="1790" spans="1:9" ht="21.75" customHeight="1" x14ac:dyDescent="0.25">
      <c r="A1790" s="127">
        <v>44728</v>
      </c>
      <c r="B1790" s="128" t="s">
        <v>19650</v>
      </c>
      <c r="C1790" s="129" t="s">
        <v>282</v>
      </c>
      <c r="D1790" s="130">
        <v>1326</v>
      </c>
      <c r="E1790" s="131">
        <v>44729</v>
      </c>
      <c r="F1790" s="132">
        <v>1326</v>
      </c>
      <c r="G1790" s="133">
        <f>Tabla147[[#This Row],[Importe]]-Tabla147[[#This Row],[Pagado]]</f>
        <v>0</v>
      </c>
      <c r="H1790" s="134" t="s">
        <v>10</v>
      </c>
      <c r="I1790" s="135"/>
    </row>
    <row r="1791" spans="1:9" ht="21.75" customHeight="1" x14ac:dyDescent="0.25">
      <c r="A1791" s="127">
        <v>44728</v>
      </c>
      <c r="B1791" s="128" t="s">
        <v>19651</v>
      </c>
      <c r="C1791" s="129" t="s">
        <v>280</v>
      </c>
      <c r="D1791" s="130">
        <v>1149.2</v>
      </c>
      <c r="E1791" s="131">
        <v>44729</v>
      </c>
      <c r="F1791" s="132">
        <v>1149.2</v>
      </c>
      <c r="G1791" s="133">
        <f>Tabla147[[#This Row],[Importe]]-Tabla147[[#This Row],[Pagado]]</f>
        <v>0</v>
      </c>
      <c r="H1791" s="134" t="s">
        <v>10</v>
      </c>
      <c r="I1791" s="135"/>
    </row>
    <row r="1792" spans="1:9" ht="21.75" customHeight="1" x14ac:dyDescent="0.25">
      <c r="A1792" s="127">
        <v>44728</v>
      </c>
      <c r="B1792" s="128" t="s">
        <v>19652</v>
      </c>
      <c r="C1792" s="129" t="s">
        <v>729</v>
      </c>
      <c r="D1792" s="130">
        <v>27984.5</v>
      </c>
      <c r="E1792" s="131">
        <v>44729</v>
      </c>
      <c r="F1792" s="132">
        <v>27984.5</v>
      </c>
      <c r="G1792" s="133">
        <f>Tabla147[[#This Row],[Importe]]-Tabla147[[#This Row],[Pagado]]</f>
        <v>0</v>
      </c>
      <c r="H1792" s="134" t="s">
        <v>10</v>
      </c>
      <c r="I1792" s="135"/>
    </row>
    <row r="1793" spans="1:9" ht="21.75" customHeight="1" x14ac:dyDescent="0.25">
      <c r="A1793" s="127">
        <v>44728</v>
      </c>
      <c r="B1793" s="128" t="s">
        <v>19653</v>
      </c>
      <c r="C1793" s="129" t="s">
        <v>273</v>
      </c>
      <c r="D1793" s="130">
        <v>4470</v>
      </c>
      <c r="E1793" s="131">
        <v>44729</v>
      </c>
      <c r="F1793" s="132">
        <v>4470</v>
      </c>
      <c r="G1793" s="133">
        <f>Tabla147[[#This Row],[Importe]]-Tabla147[[#This Row],[Pagado]]</f>
        <v>0</v>
      </c>
      <c r="H1793" s="134" t="s">
        <v>10</v>
      </c>
      <c r="I1793" s="135"/>
    </row>
    <row r="1794" spans="1:9" ht="21.75" customHeight="1" x14ac:dyDescent="0.25">
      <c r="A1794" s="127">
        <v>44728</v>
      </c>
      <c r="B1794" s="128" t="s">
        <v>19654</v>
      </c>
      <c r="C1794" s="129" t="s">
        <v>31</v>
      </c>
      <c r="D1794" s="130">
        <v>399</v>
      </c>
      <c r="E1794" s="131">
        <v>44728</v>
      </c>
      <c r="F1794" s="132">
        <v>399</v>
      </c>
      <c r="G1794" s="133">
        <f>Tabla147[[#This Row],[Importe]]-Tabla147[[#This Row],[Pagado]]</f>
        <v>0</v>
      </c>
      <c r="H1794" s="134" t="s">
        <v>10</v>
      </c>
      <c r="I1794" s="135"/>
    </row>
    <row r="1795" spans="1:9" ht="21.75" customHeight="1" x14ac:dyDescent="0.25">
      <c r="A1795" s="127">
        <v>44728</v>
      </c>
      <c r="B1795" s="128" t="s">
        <v>19655</v>
      </c>
      <c r="C1795" s="129" t="s">
        <v>2961</v>
      </c>
      <c r="D1795" s="130">
        <v>72949.8</v>
      </c>
      <c r="E1795" s="131">
        <v>44732</v>
      </c>
      <c r="F1795" s="132">
        <v>72949.8</v>
      </c>
      <c r="G1795" s="133">
        <f>Tabla147[[#This Row],[Importe]]-Tabla147[[#This Row],[Pagado]]</f>
        <v>0</v>
      </c>
      <c r="H1795" s="134" t="s">
        <v>10</v>
      </c>
      <c r="I1795" s="135"/>
    </row>
    <row r="1796" spans="1:9" ht="21.75" customHeight="1" x14ac:dyDescent="0.25">
      <c r="A1796" s="127">
        <v>44728</v>
      </c>
      <c r="B1796" s="128" t="s">
        <v>19656</v>
      </c>
      <c r="C1796" s="129" t="s">
        <v>4027</v>
      </c>
      <c r="D1796" s="130">
        <v>508</v>
      </c>
      <c r="E1796" s="131">
        <v>44728</v>
      </c>
      <c r="F1796" s="132">
        <v>508</v>
      </c>
      <c r="G1796" s="133">
        <f>Tabla147[[#This Row],[Importe]]-Tabla147[[#This Row],[Pagado]]</f>
        <v>0</v>
      </c>
      <c r="H1796" s="134" t="s">
        <v>10</v>
      </c>
      <c r="I1796" s="135"/>
    </row>
    <row r="1797" spans="1:9" ht="21.75" customHeight="1" x14ac:dyDescent="0.25">
      <c r="A1797" s="127">
        <v>44728</v>
      </c>
      <c r="B1797" s="128" t="s">
        <v>19657</v>
      </c>
      <c r="C1797" s="129" t="s">
        <v>373</v>
      </c>
      <c r="D1797" s="130">
        <v>624.79999999999995</v>
      </c>
      <c r="E1797" s="131">
        <v>44728</v>
      </c>
      <c r="F1797" s="132">
        <v>624.79999999999995</v>
      </c>
      <c r="G1797" s="133">
        <f>Tabla147[[#This Row],[Importe]]-Tabla147[[#This Row],[Pagado]]</f>
        <v>0</v>
      </c>
      <c r="H1797" s="134" t="s">
        <v>10</v>
      </c>
      <c r="I1797" s="135"/>
    </row>
    <row r="1798" spans="1:9" ht="21.75" customHeight="1" x14ac:dyDescent="0.25">
      <c r="A1798" s="127">
        <v>44728</v>
      </c>
      <c r="B1798" s="128" t="s">
        <v>19658</v>
      </c>
      <c r="C1798" s="129" t="s">
        <v>461</v>
      </c>
      <c r="D1798" s="130">
        <v>317</v>
      </c>
      <c r="E1798" s="131">
        <v>44729</v>
      </c>
      <c r="F1798" s="132">
        <v>317</v>
      </c>
      <c r="G1798" s="133">
        <f>Tabla147[[#This Row],[Importe]]-Tabla147[[#This Row],[Pagado]]</f>
        <v>0</v>
      </c>
      <c r="H1798" s="134" t="s">
        <v>10</v>
      </c>
      <c r="I1798" s="135"/>
    </row>
    <row r="1799" spans="1:9" ht="21.75" customHeight="1" x14ac:dyDescent="0.25">
      <c r="A1799" s="127">
        <v>44728</v>
      </c>
      <c r="B1799" s="128" t="s">
        <v>19659</v>
      </c>
      <c r="C1799" s="129" t="s">
        <v>9418</v>
      </c>
      <c r="D1799" s="130">
        <v>0</v>
      </c>
      <c r="E1799" s="136" t="s">
        <v>189</v>
      </c>
      <c r="F1799" s="132">
        <v>0</v>
      </c>
      <c r="G1799" s="133">
        <f>Tabla147[[#This Row],[Importe]]-Tabla147[[#This Row],[Pagado]]</f>
        <v>0</v>
      </c>
      <c r="H1799" s="137" t="s">
        <v>19660</v>
      </c>
      <c r="I1799" s="135"/>
    </row>
    <row r="1800" spans="1:9" ht="21.75" customHeight="1" x14ac:dyDescent="0.25">
      <c r="A1800" s="127">
        <v>44728</v>
      </c>
      <c r="B1800" s="128" t="s">
        <v>19661</v>
      </c>
      <c r="C1800" s="129" t="s">
        <v>107</v>
      </c>
      <c r="D1800" s="130">
        <v>10906.8</v>
      </c>
      <c r="E1800" s="131">
        <v>44728</v>
      </c>
      <c r="F1800" s="132">
        <v>10906.8</v>
      </c>
      <c r="G1800" s="133">
        <f>Tabla147[[#This Row],[Importe]]-Tabla147[[#This Row],[Pagado]]</f>
        <v>0</v>
      </c>
      <c r="H1800" s="134" t="s">
        <v>10</v>
      </c>
      <c r="I1800" s="135"/>
    </row>
    <row r="1801" spans="1:9" ht="21.75" customHeight="1" x14ac:dyDescent="0.25">
      <c r="A1801" s="127">
        <v>44728</v>
      </c>
      <c r="B1801" s="128" t="s">
        <v>19662</v>
      </c>
      <c r="C1801" s="129" t="s">
        <v>31</v>
      </c>
      <c r="D1801" s="130">
        <v>126</v>
      </c>
      <c r="E1801" s="131">
        <v>44729</v>
      </c>
      <c r="F1801" s="132">
        <v>126</v>
      </c>
      <c r="G1801" s="133">
        <f>Tabla147[[#This Row],[Importe]]-Tabla147[[#This Row],[Pagado]]</f>
        <v>0</v>
      </c>
      <c r="H1801" s="134" t="s">
        <v>10</v>
      </c>
      <c r="I1801" s="135"/>
    </row>
    <row r="1802" spans="1:9" ht="31.5" x14ac:dyDescent="0.25">
      <c r="A1802" s="127">
        <v>44729</v>
      </c>
      <c r="B1802" s="128" t="s">
        <v>19663</v>
      </c>
      <c r="C1802" s="129" t="s">
        <v>22</v>
      </c>
      <c r="D1802" s="130">
        <v>76278.600000000006</v>
      </c>
      <c r="E1802" s="131" t="s">
        <v>19664</v>
      </c>
      <c r="F1802" s="132">
        <f>48000+28278.6</f>
        <v>76278.600000000006</v>
      </c>
      <c r="G1802" s="133">
        <f>Tabla147[[#This Row],[Importe]]-Tabla147[[#This Row],[Pagado]]</f>
        <v>0</v>
      </c>
      <c r="H1802" s="134" t="s">
        <v>10</v>
      </c>
      <c r="I1802" s="135"/>
    </row>
    <row r="1803" spans="1:9" ht="31.5" x14ac:dyDescent="0.25">
      <c r="A1803" s="127">
        <v>44729</v>
      </c>
      <c r="B1803" s="128" t="s">
        <v>19665</v>
      </c>
      <c r="C1803" s="129" t="s">
        <v>475</v>
      </c>
      <c r="D1803" s="130">
        <v>66296.600000000006</v>
      </c>
      <c r="E1803" s="131" t="s">
        <v>19664</v>
      </c>
      <c r="F1803" s="132">
        <f>60000+6296.6</f>
        <v>66296.600000000006</v>
      </c>
      <c r="G1803" s="133">
        <f>Tabla147[[#This Row],[Importe]]-Tabla147[[#This Row],[Pagado]]</f>
        <v>0</v>
      </c>
      <c r="H1803" s="134" t="s">
        <v>10</v>
      </c>
      <c r="I1803" s="135"/>
    </row>
    <row r="1804" spans="1:9" ht="21.75" customHeight="1" x14ac:dyDescent="0.25">
      <c r="A1804" s="127">
        <v>44729</v>
      </c>
      <c r="B1804" s="128" t="s">
        <v>19666</v>
      </c>
      <c r="C1804" s="129" t="s">
        <v>22</v>
      </c>
      <c r="D1804" s="130">
        <v>1431.5</v>
      </c>
      <c r="E1804" s="131">
        <v>44730</v>
      </c>
      <c r="F1804" s="132">
        <v>1431.5</v>
      </c>
      <c r="G1804" s="133">
        <f>Tabla147[[#This Row],[Importe]]-Tabla147[[#This Row],[Pagado]]</f>
        <v>0</v>
      </c>
      <c r="H1804" s="134" t="s">
        <v>10</v>
      </c>
      <c r="I1804" s="135"/>
    </row>
    <row r="1805" spans="1:9" ht="21.75" customHeight="1" x14ac:dyDescent="0.25">
      <c r="A1805" s="127">
        <v>44729</v>
      </c>
      <c r="B1805" s="128" t="s">
        <v>19667</v>
      </c>
      <c r="C1805" s="129" t="s">
        <v>473</v>
      </c>
      <c r="D1805" s="130">
        <v>2109.8000000000002</v>
      </c>
      <c r="E1805" s="131">
        <v>44729</v>
      </c>
      <c r="F1805" s="132">
        <v>2109.8000000000002</v>
      </c>
      <c r="G1805" s="133">
        <f>Tabla147[[#This Row],[Importe]]-Tabla147[[#This Row],[Pagado]]</f>
        <v>0</v>
      </c>
      <c r="H1805" s="134" t="s">
        <v>10</v>
      </c>
      <c r="I1805" s="135"/>
    </row>
    <row r="1806" spans="1:9" ht="21.75" customHeight="1" x14ac:dyDescent="0.25">
      <c r="A1806" s="127">
        <v>44729</v>
      </c>
      <c r="B1806" s="128" t="s">
        <v>19668</v>
      </c>
      <c r="C1806" s="129" t="s">
        <v>85</v>
      </c>
      <c r="D1806" s="130">
        <v>2543.1999999999998</v>
      </c>
      <c r="E1806" s="131">
        <v>44729</v>
      </c>
      <c r="F1806" s="132">
        <v>2543.1999999999998</v>
      </c>
      <c r="G1806" s="133">
        <f>Tabla147[[#This Row],[Importe]]-Tabla147[[#This Row],[Pagado]]</f>
        <v>0</v>
      </c>
      <c r="H1806" s="134" t="s">
        <v>10</v>
      </c>
      <c r="I1806" s="135"/>
    </row>
    <row r="1807" spans="1:9" ht="21.75" customHeight="1" x14ac:dyDescent="0.25">
      <c r="A1807" s="127">
        <v>44729</v>
      </c>
      <c r="B1807" s="128" t="s">
        <v>19669</v>
      </c>
      <c r="C1807" s="129" t="s">
        <v>1650</v>
      </c>
      <c r="D1807" s="130">
        <v>6385.2</v>
      </c>
      <c r="E1807" s="131">
        <v>44729</v>
      </c>
      <c r="F1807" s="132">
        <v>6385.2</v>
      </c>
      <c r="G1807" s="133">
        <f>Tabla147[[#This Row],[Importe]]-Tabla147[[#This Row],[Pagado]]</f>
        <v>0</v>
      </c>
      <c r="H1807" s="134" t="s">
        <v>10</v>
      </c>
      <c r="I1807" s="135"/>
    </row>
    <row r="1808" spans="1:9" ht="21.75" customHeight="1" x14ac:dyDescent="0.25">
      <c r="A1808" s="127">
        <v>44729</v>
      </c>
      <c r="B1808" s="128" t="s">
        <v>19670</v>
      </c>
      <c r="C1808" s="129" t="s">
        <v>2151</v>
      </c>
      <c r="D1808" s="130">
        <v>6486</v>
      </c>
      <c r="E1808" s="131">
        <v>44729</v>
      </c>
      <c r="F1808" s="132">
        <v>6486</v>
      </c>
      <c r="G1808" s="133">
        <f>Tabla147[[#This Row],[Importe]]-Tabla147[[#This Row],[Pagado]]</f>
        <v>0</v>
      </c>
      <c r="H1808" s="134" t="s">
        <v>10</v>
      </c>
      <c r="I1808" s="135"/>
    </row>
    <row r="1809" spans="1:9" ht="21.75" customHeight="1" x14ac:dyDescent="0.25">
      <c r="A1809" s="127">
        <v>44729</v>
      </c>
      <c r="B1809" s="128" t="s">
        <v>19671</v>
      </c>
      <c r="C1809" s="129" t="s">
        <v>97</v>
      </c>
      <c r="D1809" s="130">
        <v>5009.6000000000004</v>
      </c>
      <c r="E1809" s="131">
        <v>44730</v>
      </c>
      <c r="F1809" s="132">
        <v>5009.6000000000004</v>
      </c>
      <c r="G1809" s="133">
        <f>Tabla147[[#This Row],[Importe]]-Tabla147[[#This Row],[Pagado]]</f>
        <v>0</v>
      </c>
      <c r="H1809" s="134" t="s">
        <v>10</v>
      </c>
      <c r="I1809" s="135"/>
    </row>
    <row r="1810" spans="1:9" ht="21.75" customHeight="1" x14ac:dyDescent="0.25">
      <c r="A1810" s="127">
        <v>44729</v>
      </c>
      <c r="B1810" s="128" t="s">
        <v>19672</v>
      </c>
      <c r="C1810" s="129" t="s">
        <v>60</v>
      </c>
      <c r="D1810" s="130">
        <v>5728.8</v>
      </c>
      <c r="E1810" s="131">
        <v>44732</v>
      </c>
      <c r="F1810" s="132">
        <v>5728.8</v>
      </c>
      <c r="G1810" s="133">
        <f>Tabla147[[#This Row],[Importe]]-Tabla147[[#This Row],[Pagado]]</f>
        <v>0</v>
      </c>
      <c r="H1810" s="134" t="s">
        <v>10</v>
      </c>
      <c r="I1810" s="135"/>
    </row>
    <row r="1811" spans="1:9" ht="21.75" customHeight="1" x14ac:dyDescent="0.25">
      <c r="A1811" s="127">
        <v>44729</v>
      </c>
      <c r="B1811" s="128" t="s">
        <v>19673</v>
      </c>
      <c r="C1811" s="129" t="s">
        <v>114</v>
      </c>
      <c r="D1811" s="130">
        <v>11694</v>
      </c>
      <c r="E1811" s="131">
        <v>44732</v>
      </c>
      <c r="F1811" s="132">
        <v>11694</v>
      </c>
      <c r="G1811" s="133">
        <f>Tabla147[[#This Row],[Importe]]-Tabla147[[#This Row],[Pagado]]</f>
        <v>0</v>
      </c>
      <c r="H1811" s="134" t="s">
        <v>10</v>
      </c>
      <c r="I1811" s="135"/>
    </row>
    <row r="1812" spans="1:9" ht="21.75" customHeight="1" x14ac:dyDescent="0.25">
      <c r="A1812" s="127">
        <v>44729</v>
      </c>
      <c r="B1812" s="128" t="s">
        <v>19674</v>
      </c>
      <c r="C1812" s="129" t="s">
        <v>16819</v>
      </c>
      <c r="D1812" s="130">
        <v>5394</v>
      </c>
      <c r="E1812" s="131">
        <v>44729</v>
      </c>
      <c r="F1812" s="132">
        <v>5394</v>
      </c>
      <c r="G1812" s="133">
        <f>Tabla147[[#This Row],[Importe]]-Tabla147[[#This Row],[Pagado]]</f>
        <v>0</v>
      </c>
      <c r="H1812" s="134" t="s">
        <v>10</v>
      </c>
      <c r="I1812" s="135"/>
    </row>
    <row r="1813" spans="1:9" ht="21.75" customHeight="1" x14ac:dyDescent="0.25">
      <c r="A1813" s="127">
        <v>44729</v>
      </c>
      <c r="B1813" s="128" t="s">
        <v>19675</v>
      </c>
      <c r="C1813" s="129" t="s">
        <v>64</v>
      </c>
      <c r="D1813" s="130">
        <v>11126.8</v>
      </c>
      <c r="E1813" s="131">
        <v>44730</v>
      </c>
      <c r="F1813" s="132">
        <v>11126.8</v>
      </c>
      <c r="G1813" s="133">
        <f>Tabla147[[#This Row],[Importe]]-Tabla147[[#This Row],[Pagado]]</f>
        <v>0</v>
      </c>
      <c r="H1813" s="134" t="s">
        <v>10</v>
      </c>
      <c r="I1813" s="135"/>
    </row>
    <row r="1814" spans="1:9" ht="21.75" customHeight="1" x14ac:dyDescent="0.25">
      <c r="A1814" s="127">
        <v>44729</v>
      </c>
      <c r="B1814" s="128" t="s">
        <v>19676</v>
      </c>
      <c r="C1814" s="129" t="s">
        <v>89</v>
      </c>
      <c r="D1814" s="130">
        <v>12167.2</v>
      </c>
      <c r="E1814" s="131">
        <v>44730</v>
      </c>
      <c r="F1814" s="132">
        <v>12167.2</v>
      </c>
      <c r="G1814" s="133">
        <f>Tabla147[[#This Row],[Importe]]-Tabla147[[#This Row],[Pagado]]</f>
        <v>0</v>
      </c>
      <c r="H1814" s="134" t="s">
        <v>10</v>
      </c>
      <c r="I1814" s="135"/>
    </row>
    <row r="1815" spans="1:9" ht="31.5" x14ac:dyDescent="0.25">
      <c r="A1815" s="127">
        <v>44729</v>
      </c>
      <c r="B1815" s="128" t="s">
        <v>19677</v>
      </c>
      <c r="C1815" s="129" t="s">
        <v>93</v>
      </c>
      <c r="D1815" s="130">
        <v>10608.4</v>
      </c>
      <c r="E1815" s="131" t="s">
        <v>19678</v>
      </c>
      <c r="F1815" s="132">
        <f>4417.4+6191</f>
        <v>10608.4</v>
      </c>
      <c r="G1815" s="133">
        <f>Tabla147[[#This Row],[Importe]]-Tabla147[[#This Row],[Pagado]]</f>
        <v>0</v>
      </c>
      <c r="H1815" s="134" t="s">
        <v>10</v>
      </c>
      <c r="I1815" s="135"/>
    </row>
    <row r="1816" spans="1:9" ht="21.75" customHeight="1" x14ac:dyDescent="0.25">
      <c r="A1816" s="127">
        <v>44729</v>
      </c>
      <c r="B1816" s="128" t="s">
        <v>19679</v>
      </c>
      <c r="C1816" s="129" t="s">
        <v>348</v>
      </c>
      <c r="D1816" s="130">
        <v>2165.4</v>
      </c>
      <c r="E1816" s="131">
        <v>44729</v>
      </c>
      <c r="F1816" s="132">
        <v>2165.4</v>
      </c>
      <c r="G1816" s="133">
        <f>Tabla147[[#This Row],[Importe]]-Tabla147[[#This Row],[Pagado]]</f>
        <v>0</v>
      </c>
      <c r="H1816" s="134" t="s">
        <v>10</v>
      </c>
      <c r="I1816" s="135"/>
    </row>
    <row r="1817" spans="1:9" ht="21.75" customHeight="1" x14ac:dyDescent="0.25">
      <c r="A1817" s="127">
        <v>44729</v>
      </c>
      <c r="B1817" s="128" t="s">
        <v>19680</v>
      </c>
      <c r="C1817" s="129" t="s">
        <v>99</v>
      </c>
      <c r="D1817" s="130">
        <v>6872</v>
      </c>
      <c r="E1817" s="131">
        <v>44730</v>
      </c>
      <c r="F1817" s="132">
        <v>6872</v>
      </c>
      <c r="G1817" s="133">
        <f>Tabla147[[#This Row],[Importe]]-Tabla147[[#This Row],[Pagado]]</f>
        <v>0</v>
      </c>
      <c r="H1817" s="134" t="s">
        <v>10</v>
      </c>
      <c r="I1817" s="135"/>
    </row>
    <row r="1818" spans="1:9" ht="21.75" customHeight="1" x14ac:dyDescent="0.25">
      <c r="A1818" s="127">
        <v>44729</v>
      </c>
      <c r="B1818" s="128" t="s">
        <v>19681</v>
      </c>
      <c r="C1818" s="129" t="s">
        <v>105</v>
      </c>
      <c r="D1818" s="130">
        <v>7563</v>
      </c>
      <c r="E1818" s="131">
        <v>44730</v>
      </c>
      <c r="F1818" s="132">
        <v>7563</v>
      </c>
      <c r="G1818" s="133">
        <f>Tabla147[[#This Row],[Importe]]-Tabla147[[#This Row],[Pagado]]</f>
        <v>0</v>
      </c>
      <c r="H1818" s="134" t="s">
        <v>10</v>
      </c>
      <c r="I1818" s="135"/>
    </row>
    <row r="1819" spans="1:9" ht="21.75" customHeight="1" x14ac:dyDescent="0.25">
      <c r="A1819" s="127">
        <v>44729</v>
      </c>
      <c r="B1819" s="128" t="s">
        <v>19682</v>
      </c>
      <c r="C1819" s="129" t="s">
        <v>111</v>
      </c>
      <c r="D1819" s="130">
        <v>5334</v>
      </c>
      <c r="E1819" s="131">
        <v>44730</v>
      </c>
      <c r="F1819" s="132">
        <v>5334</v>
      </c>
      <c r="G1819" s="133">
        <f>Tabla147[[#This Row],[Importe]]-Tabla147[[#This Row],[Pagado]]</f>
        <v>0</v>
      </c>
      <c r="H1819" s="134" t="s">
        <v>10</v>
      </c>
      <c r="I1819" s="135"/>
    </row>
    <row r="1820" spans="1:9" ht="21.75" customHeight="1" x14ac:dyDescent="0.25">
      <c r="A1820" s="127">
        <v>44729</v>
      </c>
      <c r="B1820" s="128" t="s">
        <v>19683</v>
      </c>
      <c r="C1820" s="129" t="s">
        <v>481</v>
      </c>
      <c r="D1820" s="130">
        <v>1991.8</v>
      </c>
      <c r="E1820" s="131">
        <v>44729</v>
      </c>
      <c r="F1820" s="132">
        <v>1991.8</v>
      </c>
      <c r="G1820" s="133">
        <f>Tabla147[[#This Row],[Importe]]-Tabla147[[#This Row],[Pagado]]</f>
        <v>0</v>
      </c>
      <c r="H1820" s="134" t="s">
        <v>10</v>
      </c>
      <c r="I1820" s="135"/>
    </row>
    <row r="1821" spans="1:9" ht="21.75" customHeight="1" x14ac:dyDescent="0.25">
      <c r="A1821" s="127">
        <v>44729</v>
      </c>
      <c r="B1821" s="128" t="s">
        <v>19684</v>
      </c>
      <c r="C1821" s="129" t="s">
        <v>326</v>
      </c>
      <c r="D1821" s="130">
        <v>3640</v>
      </c>
      <c r="E1821" s="131">
        <v>44730</v>
      </c>
      <c r="F1821" s="132">
        <v>3640</v>
      </c>
      <c r="G1821" s="133">
        <f>Tabla147[[#This Row],[Importe]]-Tabla147[[#This Row],[Pagado]]</f>
        <v>0</v>
      </c>
      <c r="H1821" s="134" t="s">
        <v>10</v>
      </c>
      <c r="I1821" s="135"/>
    </row>
    <row r="1822" spans="1:9" ht="21.75" customHeight="1" x14ac:dyDescent="0.25">
      <c r="A1822" s="127">
        <v>44729</v>
      </c>
      <c r="B1822" s="128" t="s">
        <v>19685</v>
      </c>
      <c r="C1822" s="129" t="s">
        <v>2151</v>
      </c>
      <c r="D1822" s="130">
        <v>16338</v>
      </c>
      <c r="E1822" s="131">
        <v>44729</v>
      </c>
      <c r="F1822" s="132">
        <v>16338</v>
      </c>
      <c r="G1822" s="133">
        <f>Tabla147[[#This Row],[Importe]]-Tabla147[[#This Row],[Pagado]]</f>
        <v>0</v>
      </c>
      <c r="H1822" s="134" t="s">
        <v>10</v>
      </c>
      <c r="I1822" s="135"/>
    </row>
    <row r="1823" spans="1:9" ht="21.75" customHeight="1" x14ac:dyDescent="0.25">
      <c r="A1823" s="127">
        <v>44729</v>
      </c>
      <c r="B1823" s="128" t="s">
        <v>19686</v>
      </c>
      <c r="C1823" s="129" t="s">
        <v>196</v>
      </c>
      <c r="D1823" s="130">
        <v>21748.2</v>
      </c>
      <c r="E1823" s="131">
        <v>44729</v>
      </c>
      <c r="F1823" s="132">
        <v>21748.2</v>
      </c>
      <c r="G1823" s="133">
        <f>Tabla147[[#This Row],[Importe]]-Tabla147[[#This Row],[Pagado]]</f>
        <v>0</v>
      </c>
      <c r="H1823" s="134" t="s">
        <v>10</v>
      </c>
      <c r="I1823" s="135"/>
    </row>
    <row r="1824" spans="1:9" ht="21.75" customHeight="1" x14ac:dyDescent="0.25">
      <c r="A1824" s="127">
        <v>44729</v>
      </c>
      <c r="B1824" s="128" t="s">
        <v>19687</v>
      </c>
      <c r="C1824" s="129" t="s">
        <v>9</v>
      </c>
      <c r="D1824" s="130">
        <v>5184.3</v>
      </c>
      <c r="E1824" s="131">
        <v>44729</v>
      </c>
      <c r="F1824" s="132">
        <v>5184.3</v>
      </c>
      <c r="G1824" s="133">
        <f>Tabla147[[#This Row],[Importe]]-Tabla147[[#This Row],[Pagado]]</f>
        <v>0</v>
      </c>
      <c r="H1824" s="134" t="s">
        <v>10</v>
      </c>
      <c r="I1824" s="135"/>
    </row>
    <row r="1825" spans="1:9" ht="21.75" customHeight="1" x14ac:dyDescent="0.25">
      <c r="A1825" s="127">
        <v>44729</v>
      </c>
      <c r="B1825" s="128" t="s">
        <v>19688</v>
      </c>
      <c r="C1825" s="129" t="s">
        <v>918</v>
      </c>
      <c r="D1825" s="130">
        <v>1003.6</v>
      </c>
      <c r="E1825" s="131">
        <v>44729</v>
      </c>
      <c r="F1825" s="132">
        <v>1003.6</v>
      </c>
      <c r="G1825" s="133">
        <f>Tabla147[[#This Row],[Importe]]-Tabla147[[#This Row],[Pagado]]</f>
        <v>0</v>
      </c>
      <c r="H1825" s="134" t="s">
        <v>10</v>
      </c>
      <c r="I1825" s="135"/>
    </row>
    <row r="1826" spans="1:9" ht="21.75" customHeight="1" x14ac:dyDescent="0.25">
      <c r="A1826" s="127">
        <v>44729</v>
      </c>
      <c r="B1826" s="128" t="s">
        <v>19689</v>
      </c>
      <c r="C1826" s="129" t="s">
        <v>33</v>
      </c>
      <c r="D1826" s="130">
        <v>13114.4</v>
      </c>
      <c r="E1826" s="131">
        <v>44729</v>
      </c>
      <c r="F1826" s="132">
        <v>13114.4</v>
      </c>
      <c r="G1826" s="133">
        <f>Tabla147[[#This Row],[Importe]]-Tabla147[[#This Row],[Pagado]]</f>
        <v>0</v>
      </c>
      <c r="H1826" s="134" t="s">
        <v>10</v>
      </c>
      <c r="I1826" s="135"/>
    </row>
    <row r="1827" spans="1:9" ht="21.75" customHeight="1" x14ac:dyDescent="0.25">
      <c r="A1827" s="127">
        <v>44729</v>
      </c>
      <c r="B1827" s="128" t="s">
        <v>19690</v>
      </c>
      <c r="C1827" s="129" t="s">
        <v>196</v>
      </c>
      <c r="D1827" s="130">
        <v>63869.33</v>
      </c>
      <c r="E1827" s="131">
        <v>44729</v>
      </c>
      <c r="F1827" s="132">
        <v>63869.33</v>
      </c>
      <c r="G1827" s="133">
        <f>Tabla147[[#This Row],[Importe]]-Tabla147[[#This Row],[Pagado]]</f>
        <v>0</v>
      </c>
      <c r="H1827" s="134" t="s">
        <v>10</v>
      </c>
      <c r="I1827" s="135"/>
    </row>
    <row r="1828" spans="1:9" ht="21.75" customHeight="1" x14ac:dyDescent="0.25">
      <c r="A1828" s="127">
        <v>44729</v>
      </c>
      <c r="B1828" s="128" t="s">
        <v>19691</v>
      </c>
      <c r="C1828" s="129" t="s">
        <v>196</v>
      </c>
      <c r="D1828" s="130">
        <v>2726.4</v>
      </c>
      <c r="E1828" s="131">
        <v>44729</v>
      </c>
      <c r="F1828" s="132">
        <v>2726.4</v>
      </c>
      <c r="G1828" s="133">
        <f>Tabla147[[#This Row],[Importe]]-Tabla147[[#This Row],[Pagado]]</f>
        <v>0</v>
      </c>
      <c r="H1828" s="134" t="s">
        <v>10</v>
      </c>
      <c r="I1828" s="135"/>
    </row>
    <row r="1829" spans="1:9" ht="21.75" customHeight="1" x14ac:dyDescent="0.25">
      <c r="A1829" s="127">
        <v>44729</v>
      </c>
      <c r="B1829" s="128" t="s">
        <v>19692</v>
      </c>
      <c r="C1829" s="129" t="s">
        <v>31</v>
      </c>
      <c r="D1829" s="130">
        <v>2652.3</v>
      </c>
      <c r="E1829" s="131">
        <v>44729</v>
      </c>
      <c r="F1829" s="132">
        <v>2652.3</v>
      </c>
      <c r="G1829" s="133">
        <f>Tabla147[[#This Row],[Importe]]-Tabla147[[#This Row],[Pagado]]</f>
        <v>0</v>
      </c>
      <c r="H1829" s="134" t="s">
        <v>10</v>
      </c>
      <c r="I1829" s="135"/>
    </row>
    <row r="1830" spans="1:9" ht="21.75" customHeight="1" x14ac:dyDescent="0.25">
      <c r="A1830" s="127">
        <v>44729</v>
      </c>
      <c r="B1830" s="128" t="s">
        <v>19693</v>
      </c>
      <c r="C1830" s="129" t="s">
        <v>39</v>
      </c>
      <c r="D1830" s="130">
        <v>10614</v>
      </c>
      <c r="E1830" s="131">
        <v>44729</v>
      </c>
      <c r="F1830" s="132">
        <v>10614</v>
      </c>
      <c r="G1830" s="133">
        <f>Tabla147[[#This Row],[Importe]]-Tabla147[[#This Row],[Pagado]]</f>
        <v>0</v>
      </c>
      <c r="H1830" s="134" t="s">
        <v>10</v>
      </c>
      <c r="I1830" s="135"/>
    </row>
    <row r="1831" spans="1:9" ht="21.75" customHeight="1" x14ac:dyDescent="0.25">
      <c r="A1831" s="127">
        <v>44729</v>
      </c>
      <c r="B1831" s="128" t="s">
        <v>19694</v>
      </c>
      <c r="C1831" s="129" t="s">
        <v>12202</v>
      </c>
      <c r="D1831" s="130">
        <v>6080</v>
      </c>
      <c r="E1831" s="131">
        <v>44729</v>
      </c>
      <c r="F1831" s="132">
        <v>6080</v>
      </c>
      <c r="G1831" s="133">
        <f>Tabla147[[#This Row],[Importe]]-Tabla147[[#This Row],[Pagado]]</f>
        <v>0</v>
      </c>
      <c r="H1831" s="134" t="s">
        <v>10</v>
      </c>
      <c r="I1831" s="135"/>
    </row>
    <row r="1832" spans="1:9" ht="21.75" customHeight="1" x14ac:dyDescent="0.25">
      <c r="A1832" s="127">
        <v>44729</v>
      </c>
      <c r="B1832" s="128" t="s">
        <v>19695</v>
      </c>
      <c r="C1832" s="129" t="s">
        <v>212</v>
      </c>
      <c r="D1832" s="130">
        <v>90646.6</v>
      </c>
      <c r="E1832" s="131">
        <v>44733</v>
      </c>
      <c r="F1832" s="132">
        <v>90646.6</v>
      </c>
      <c r="G1832" s="133">
        <f>Tabla147[[#This Row],[Importe]]-Tabla147[[#This Row],[Pagado]]</f>
        <v>0</v>
      </c>
      <c r="H1832" s="134" t="s">
        <v>10</v>
      </c>
      <c r="I1832" s="135"/>
    </row>
    <row r="1833" spans="1:9" ht="21.75" customHeight="1" x14ac:dyDescent="0.25">
      <c r="A1833" s="127">
        <v>44729</v>
      </c>
      <c r="B1833" s="128" t="s">
        <v>19696</v>
      </c>
      <c r="C1833" s="129" t="s">
        <v>154</v>
      </c>
      <c r="D1833" s="130">
        <v>64365.8</v>
      </c>
      <c r="E1833" s="131">
        <v>44733</v>
      </c>
      <c r="F1833" s="132">
        <v>64365.8</v>
      </c>
      <c r="G1833" s="133">
        <f>Tabla147[[#This Row],[Importe]]-Tabla147[[#This Row],[Pagado]]</f>
        <v>0</v>
      </c>
      <c r="H1833" s="134" t="s">
        <v>10</v>
      </c>
      <c r="I1833" s="135"/>
    </row>
    <row r="1834" spans="1:9" ht="21.75" customHeight="1" x14ac:dyDescent="0.25">
      <c r="A1834" s="127">
        <v>44729</v>
      </c>
      <c r="B1834" s="128" t="s">
        <v>19697</v>
      </c>
      <c r="C1834" s="129" t="s">
        <v>31</v>
      </c>
      <c r="D1834" s="130">
        <v>439.2</v>
      </c>
      <c r="E1834" s="131">
        <v>44729</v>
      </c>
      <c r="F1834" s="132">
        <v>439.2</v>
      </c>
      <c r="G1834" s="133">
        <f>Tabla147[[#This Row],[Importe]]-Tabla147[[#This Row],[Pagado]]</f>
        <v>0</v>
      </c>
      <c r="H1834" s="134" t="s">
        <v>10</v>
      </c>
      <c r="I1834" s="135"/>
    </row>
    <row r="1835" spans="1:9" ht="21.75" customHeight="1" x14ac:dyDescent="0.25">
      <c r="A1835" s="127">
        <v>44729</v>
      </c>
      <c r="B1835" s="128" t="s">
        <v>19698</v>
      </c>
      <c r="C1835" s="129" t="s">
        <v>142</v>
      </c>
      <c r="D1835" s="130">
        <v>102195.9</v>
      </c>
      <c r="E1835" s="131">
        <v>44769</v>
      </c>
      <c r="F1835" s="132">
        <v>102195.9</v>
      </c>
      <c r="G1835" s="133">
        <f>Tabla147[[#This Row],[Importe]]-Tabla147[[#This Row],[Pagado]]</f>
        <v>0</v>
      </c>
      <c r="H1835" s="134" t="s">
        <v>10</v>
      </c>
      <c r="I1835" s="135"/>
    </row>
    <row r="1836" spans="1:9" ht="21.75" customHeight="1" x14ac:dyDescent="0.25">
      <c r="A1836" s="127">
        <v>44729</v>
      </c>
      <c r="B1836" s="128" t="s">
        <v>19699</v>
      </c>
      <c r="C1836" s="129" t="s">
        <v>131</v>
      </c>
      <c r="D1836" s="130">
        <v>8583.6</v>
      </c>
      <c r="E1836" s="131">
        <v>44729</v>
      </c>
      <c r="F1836" s="132">
        <v>8583.6</v>
      </c>
      <c r="G1836" s="133">
        <f>Tabla147[[#This Row],[Importe]]-Tabla147[[#This Row],[Pagado]]</f>
        <v>0</v>
      </c>
      <c r="H1836" s="134" t="s">
        <v>10</v>
      </c>
      <c r="I1836" s="135"/>
    </row>
    <row r="1837" spans="1:9" ht="21.75" customHeight="1" x14ac:dyDescent="0.25">
      <c r="A1837" s="127">
        <v>44729</v>
      </c>
      <c r="B1837" s="128" t="s">
        <v>19700</v>
      </c>
      <c r="C1837" s="129" t="s">
        <v>924</v>
      </c>
      <c r="D1837" s="130">
        <v>13753.4</v>
      </c>
      <c r="E1837" s="131">
        <v>44729</v>
      </c>
      <c r="F1837" s="132">
        <v>13753.4</v>
      </c>
      <c r="G1837" s="133">
        <f>Tabla147[[#This Row],[Importe]]-Tabla147[[#This Row],[Pagado]]</f>
        <v>0</v>
      </c>
      <c r="H1837" s="134" t="s">
        <v>10</v>
      </c>
      <c r="I1837" s="135"/>
    </row>
    <row r="1838" spans="1:9" ht="21.75" customHeight="1" x14ac:dyDescent="0.25">
      <c r="A1838" s="127">
        <v>44729</v>
      </c>
      <c r="B1838" s="128" t="s">
        <v>19701</v>
      </c>
      <c r="C1838" s="129" t="s">
        <v>107</v>
      </c>
      <c r="D1838" s="130">
        <v>16342.8</v>
      </c>
      <c r="E1838" s="131">
        <v>44729</v>
      </c>
      <c r="F1838" s="132">
        <v>16342.8</v>
      </c>
      <c r="G1838" s="133">
        <f>Tabla147[[#This Row],[Importe]]-Tabla147[[#This Row],[Pagado]]</f>
        <v>0</v>
      </c>
      <c r="H1838" s="134" t="s">
        <v>10</v>
      </c>
      <c r="I1838" s="135"/>
    </row>
    <row r="1839" spans="1:9" ht="21.75" customHeight="1" x14ac:dyDescent="0.25">
      <c r="A1839" s="127">
        <v>44729</v>
      </c>
      <c r="B1839" s="128" t="s">
        <v>19702</v>
      </c>
      <c r="C1839" s="129" t="s">
        <v>31</v>
      </c>
      <c r="D1839" s="130">
        <v>95</v>
      </c>
      <c r="E1839" s="131">
        <v>44729</v>
      </c>
      <c r="F1839" s="132">
        <v>95</v>
      </c>
      <c r="G1839" s="133">
        <f>Tabla147[[#This Row],[Importe]]-Tabla147[[#This Row],[Pagado]]</f>
        <v>0</v>
      </c>
      <c r="H1839" s="134" t="s">
        <v>10</v>
      </c>
      <c r="I1839" s="135"/>
    </row>
    <row r="1840" spans="1:9" ht="21.75" customHeight="1" x14ac:dyDescent="0.25">
      <c r="A1840" s="127">
        <v>44729</v>
      </c>
      <c r="B1840" s="128" t="s">
        <v>19703</v>
      </c>
      <c r="C1840" s="129" t="s">
        <v>146</v>
      </c>
      <c r="D1840" s="130">
        <v>13926.8</v>
      </c>
      <c r="E1840" s="131">
        <v>44729</v>
      </c>
      <c r="F1840" s="132">
        <v>13926.8</v>
      </c>
      <c r="G1840" s="133">
        <f>Tabla147[[#This Row],[Importe]]-Tabla147[[#This Row],[Pagado]]</f>
        <v>0</v>
      </c>
      <c r="H1840" s="134" t="s">
        <v>10</v>
      </c>
      <c r="I1840" s="135"/>
    </row>
    <row r="1841" spans="1:9" ht="21.75" customHeight="1" x14ac:dyDescent="0.25">
      <c r="A1841" s="127">
        <v>44729</v>
      </c>
      <c r="B1841" s="128" t="s">
        <v>19704</v>
      </c>
      <c r="C1841" s="129" t="s">
        <v>56</v>
      </c>
      <c r="D1841" s="130">
        <v>5745.1</v>
      </c>
      <c r="E1841" s="131">
        <v>44729</v>
      </c>
      <c r="F1841" s="132">
        <v>5745.1</v>
      </c>
      <c r="G1841" s="133">
        <f>Tabla147[[#This Row],[Importe]]-Tabla147[[#This Row],[Pagado]]</f>
        <v>0</v>
      </c>
      <c r="H1841" s="134" t="s">
        <v>10</v>
      </c>
      <c r="I1841" s="135"/>
    </row>
    <row r="1842" spans="1:9" ht="21.75" customHeight="1" x14ac:dyDescent="0.25">
      <c r="A1842" s="127">
        <v>44729</v>
      </c>
      <c r="B1842" s="128" t="s">
        <v>19705</v>
      </c>
      <c r="C1842" s="129" t="s">
        <v>87</v>
      </c>
      <c r="D1842" s="130">
        <v>3218.2</v>
      </c>
      <c r="E1842" s="131">
        <v>44729</v>
      </c>
      <c r="F1842" s="132">
        <v>3218.2</v>
      </c>
      <c r="G1842" s="133">
        <f>Tabla147[[#This Row],[Importe]]-Tabla147[[#This Row],[Pagado]]</f>
        <v>0</v>
      </c>
      <c r="H1842" s="134" t="s">
        <v>10</v>
      </c>
      <c r="I1842" s="135"/>
    </row>
    <row r="1843" spans="1:9" ht="21.75" customHeight="1" x14ac:dyDescent="0.25">
      <c r="A1843" s="127">
        <v>44729</v>
      </c>
      <c r="B1843" s="128" t="s">
        <v>19706</v>
      </c>
      <c r="C1843" s="129" t="s">
        <v>314</v>
      </c>
      <c r="D1843" s="130">
        <v>4794</v>
      </c>
      <c r="E1843" s="131">
        <v>44729</v>
      </c>
      <c r="F1843" s="132">
        <v>4794</v>
      </c>
      <c r="G1843" s="133">
        <f>Tabla147[[#This Row],[Importe]]-Tabla147[[#This Row],[Pagado]]</f>
        <v>0</v>
      </c>
      <c r="H1843" s="134" t="s">
        <v>10</v>
      </c>
      <c r="I1843" s="135"/>
    </row>
    <row r="1844" spans="1:9" ht="21.75" customHeight="1" x14ac:dyDescent="0.25">
      <c r="A1844" s="127">
        <v>44729</v>
      </c>
      <c r="B1844" s="128" t="s">
        <v>19707</v>
      </c>
      <c r="C1844" s="129" t="s">
        <v>3823</v>
      </c>
      <c r="D1844" s="130">
        <v>0</v>
      </c>
      <c r="E1844" s="136" t="s">
        <v>189</v>
      </c>
      <c r="F1844" s="132">
        <v>0</v>
      </c>
      <c r="G1844" s="133">
        <f>Tabla147[[#This Row],[Importe]]-Tabla147[[#This Row],[Pagado]]</f>
        <v>0</v>
      </c>
      <c r="H1844" s="137" t="s">
        <v>19708</v>
      </c>
      <c r="I1844" s="135"/>
    </row>
    <row r="1845" spans="1:9" ht="21.75" customHeight="1" x14ac:dyDescent="0.25">
      <c r="A1845" s="127">
        <v>44729</v>
      </c>
      <c r="B1845" s="128" t="s">
        <v>19709</v>
      </c>
      <c r="C1845" s="129" t="s">
        <v>1362</v>
      </c>
      <c r="D1845" s="130">
        <v>8114</v>
      </c>
      <c r="E1845" s="131">
        <v>44729</v>
      </c>
      <c r="F1845" s="132">
        <v>8114</v>
      </c>
      <c r="G1845" s="133">
        <f>Tabla147[[#This Row],[Importe]]-Tabla147[[#This Row],[Pagado]]</f>
        <v>0</v>
      </c>
      <c r="H1845" s="134" t="s">
        <v>10</v>
      </c>
      <c r="I1845" s="135"/>
    </row>
    <row r="1846" spans="1:9" ht="21.75" customHeight="1" x14ac:dyDescent="0.25">
      <c r="A1846" s="127">
        <v>44729</v>
      </c>
      <c r="B1846" s="128" t="s">
        <v>19710</v>
      </c>
      <c r="C1846" s="129" t="s">
        <v>35</v>
      </c>
      <c r="D1846" s="130">
        <v>3666</v>
      </c>
      <c r="E1846" s="131">
        <v>44729</v>
      </c>
      <c r="F1846" s="132">
        <v>3666</v>
      </c>
      <c r="G1846" s="133">
        <f>Tabla147[[#This Row],[Importe]]-Tabla147[[#This Row],[Pagado]]</f>
        <v>0</v>
      </c>
      <c r="H1846" s="134" t="s">
        <v>10</v>
      </c>
      <c r="I1846" s="135"/>
    </row>
    <row r="1847" spans="1:9" ht="21.75" customHeight="1" x14ac:dyDescent="0.25">
      <c r="A1847" s="127">
        <v>44729</v>
      </c>
      <c r="B1847" s="128" t="s">
        <v>19711</v>
      </c>
      <c r="C1847" s="129" t="s">
        <v>357</v>
      </c>
      <c r="D1847" s="130">
        <v>1005.4</v>
      </c>
      <c r="E1847" s="131">
        <v>44729</v>
      </c>
      <c r="F1847" s="132">
        <v>1005.4</v>
      </c>
      <c r="G1847" s="133">
        <f>Tabla147[[#This Row],[Importe]]-Tabla147[[#This Row],[Pagado]]</f>
        <v>0</v>
      </c>
      <c r="H1847" s="134" t="s">
        <v>10</v>
      </c>
      <c r="I1847" s="135"/>
    </row>
    <row r="1848" spans="1:9" ht="21.75" customHeight="1" x14ac:dyDescent="0.25">
      <c r="A1848" s="127">
        <v>44729</v>
      </c>
      <c r="B1848" s="128" t="s">
        <v>19712</v>
      </c>
      <c r="C1848" s="129" t="s">
        <v>45</v>
      </c>
      <c r="D1848" s="130">
        <v>13289.2</v>
      </c>
      <c r="E1848" s="131">
        <v>44729</v>
      </c>
      <c r="F1848" s="132">
        <v>13289.2</v>
      </c>
      <c r="G1848" s="133">
        <f>Tabla147[[#This Row],[Importe]]-Tabla147[[#This Row],[Pagado]]</f>
        <v>0</v>
      </c>
      <c r="H1848" s="134" t="s">
        <v>10</v>
      </c>
      <c r="I1848" s="135"/>
    </row>
    <row r="1849" spans="1:9" ht="21.75" customHeight="1" x14ac:dyDescent="0.25">
      <c r="A1849" s="127">
        <v>44729</v>
      </c>
      <c r="B1849" s="128" t="s">
        <v>19713</v>
      </c>
      <c r="C1849" s="129" t="s">
        <v>179</v>
      </c>
      <c r="D1849" s="130">
        <v>1428</v>
      </c>
      <c r="E1849" s="131">
        <v>44729</v>
      </c>
      <c r="F1849" s="132">
        <v>1428</v>
      </c>
      <c r="G1849" s="133">
        <f>Tabla147[[#This Row],[Importe]]-Tabla147[[#This Row],[Pagado]]</f>
        <v>0</v>
      </c>
      <c r="H1849" s="134" t="s">
        <v>10</v>
      </c>
      <c r="I1849" s="135"/>
    </row>
    <row r="1850" spans="1:9" ht="21.75" customHeight="1" x14ac:dyDescent="0.25">
      <c r="A1850" s="127">
        <v>44729</v>
      </c>
      <c r="B1850" s="128" t="s">
        <v>19714</v>
      </c>
      <c r="C1850" s="129" t="s">
        <v>339</v>
      </c>
      <c r="D1850" s="130">
        <v>1077.4000000000001</v>
      </c>
      <c r="E1850" s="131">
        <v>44729</v>
      </c>
      <c r="F1850" s="132">
        <v>1077.4000000000001</v>
      </c>
      <c r="G1850" s="133">
        <f>Tabla147[[#This Row],[Importe]]-Tabla147[[#This Row],[Pagado]]</f>
        <v>0</v>
      </c>
      <c r="H1850" s="134" t="s">
        <v>10</v>
      </c>
      <c r="I1850" s="135"/>
    </row>
    <row r="1851" spans="1:9" ht="21.75" customHeight="1" x14ac:dyDescent="0.25">
      <c r="A1851" s="127">
        <v>44729</v>
      </c>
      <c r="B1851" s="128" t="s">
        <v>19715</v>
      </c>
      <c r="C1851" s="129" t="s">
        <v>140</v>
      </c>
      <c r="D1851" s="130">
        <v>1500.4</v>
      </c>
      <c r="E1851" s="131">
        <v>44729</v>
      </c>
      <c r="F1851" s="132">
        <v>1500.4</v>
      </c>
      <c r="G1851" s="133">
        <f>Tabla147[[#This Row],[Importe]]-Tabla147[[#This Row],[Pagado]]</f>
        <v>0</v>
      </c>
      <c r="H1851" s="134" t="s">
        <v>10</v>
      </c>
      <c r="I1851" s="135"/>
    </row>
    <row r="1852" spans="1:9" ht="21.75" customHeight="1" x14ac:dyDescent="0.25">
      <c r="A1852" s="127">
        <v>44729</v>
      </c>
      <c r="B1852" s="128" t="s">
        <v>19716</v>
      </c>
      <c r="C1852" s="129" t="s">
        <v>127</v>
      </c>
      <c r="D1852" s="130">
        <v>5976.8</v>
      </c>
      <c r="E1852" s="131">
        <v>44729</v>
      </c>
      <c r="F1852" s="132">
        <v>5976.8</v>
      </c>
      <c r="G1852" s="133">
        <f>Tabla147[[#This Row],[Importe]]-Tabla147[[#This Row],[Pagado]]</f>
        <v>0</v>
      </c>
      <c r="H1852" s="134" t="s">
        <v>10</v>
      </c>
      <c r="I1852" s="135"/>
    </row>
    <row r="1853" spans="1:9" ht="21.75" customHeight="1" x14ac:dyDescent="0.25">
      <c r="A1853" s="127">
        <v>44729</v>
      </c>
      <c r="B1853" s="128" t="s">
        <v>19717</v>
      </c>
      <c r="C1853" s="129" t="s">
        <v>129</v>
      </c>
      <c r="D1853" s="130">
        <v>6863.2</v>
      </c>
      <c r="E1853" s="131">
        <v>44729</v>
      </c>
      <c r="F1853" s="132">
        <v>6863.2</v>
      </c>
      <c r="G1853" s="133">
        <f>Tabla147[[#This Row],[Importe]]-Tabla147[[#This Row],[Pagado]]</f>
        <v>0</v>
      </c>
      <c r="H1853" s="134" t="s">
        <v>10</v>
      </c>
      <c r="I1853" s="135"/>
    </row>
    <row r="1854" spans="1:9" ht="21.75" customHeight="1" x14ac:dyDescent="0.25">
      <c r="A1854" s="127">
        <v>44729</v>
      </c>
      <c r="B1854" s="128" t="s">
        <v>19718</v>
      </c>
      <c r="C1854" s="129" t="s">
        <v>27</v>
      </c>
      <c r="D1854" s="130">
        <v>2193.6</v>
      </c>
      <c r="E1854" s="131">
        <v>44729</v>
      </c>
      <c r="F1854" s="132">
        <v>2193.6</v>
      </c>
      <c r="G1854" s="133">
        <f>Tabla147[[#This Row],[Importe]]-Tabla147[[#This Row],[Pagado]]</f>
        <v>0</v>
      </c>
      <c r="H1854" s="134" t="s">
        <v>10</v>
      </c>
      <c r="I1854" s="135"/>
    </row>
    <row r="1855" spans="1:9" ht="21.75" customHeight="1" x14ac:dyDescent="0.25">
      <c r="A1855" s="127">
        <v>44729</v>
      </c>
      <c r="B1855" s="128" t="s">
        <v>19719</v>
      </c>
      <c r="C1855" s="129" t="s">
        <v>83</v>
      </c>
      <c r="D1855" s="130">
        <v>17372.8</v>
      </c>
      <c r="E1855" s="131">
        <v>44729</v>
      </c>
      <c r="F1855" s="132">
        <v>17372.8</v>
      </c>
      <c r="G1855" s="133">
        <f>Tabla147[[#This Row],[Importe]]-Tabla147[[#This Row],[Pagado]]</f>
        <v>0</v>
      </c>
      <c r="H1855" s="134" t="s">
        <v>10</v>
      </c>
      <c r="I1855" s="135"/>
    </row>
    <row r="1856" spans="1:9" ht="21.75" customHeight="1" x14ac:dyDescent="0.25">
      <c r="A1856" s="127">
        <v>44729</v>
      </c>
      <c r="B1856" s="128" t="s">
        <v>19720</v>
      </c>
      <c r="C1856" s="129" t="s">
        <v>206</v>
      </c>
      <c r="D1856" s="130">
        <v>44651.6</v>
      </c>
      <c r="E1856" s="131">
        <v>44734</v>
      </c>
      <c r="F1856" s="132">
        <v>44651.6</v>
      </c>
      <c r="G1856" s="133">
        <f>Tabla147[[#This Row],[Importe]]-Tabla147[[#This Row],[Pagado]]</f>
        <v>0</v>
      </c>
      <c r="H1856" s="134" t="s">
        <v>10</v>
      </c>
      <c r="I1856" s="135"/>
    </row>
    <row r="1857" spans="1:9" ht="21.75" customHeight="1" x14ac:dyDescent="0.25">
      <c r="A1857" s="127">
        <v>44729</v>
      </c>
      <c r="B1857" s="128" t="s">
        <v>19721</v>
      </c>
      <c r="C1857" s="129" t="s">
        <v>31</v>
      </c>
      <c r="D1857" s="130">
        <v>8657.1</v>
      </c>
      <c r="E1857" s="131">
        <v>44729</v>
      </c>
      <c r="F1857" s="132">
        <v>8657.1</v>
      </c>
      <c r="G1857" s="133">
        <f>Tabla147[[#This Row],[Importe]]-Tabla147[[#This Row],[Pagado]]</f>
        <v>0</v>
      </c>
      <c r="H1857" s="134" t="s">
        <v>10</v>
      </c>
      <c r="I1857" s="135"/>
    </row>
    <row r="1858" spans="1:9" ht="21.75" customHeight="1" x14ac:dyDescent="0.25">
      <c r="A1858" s="127">
        <v>44729</v>
      </c>
      <c r="B1858" s="128" t="s">
        <v>19722</v>
      </c>
      <c r="C1858" s="129" t="s">
        <v>62</v>
      </c>
      <c r="D1858" s="130">
        <v>4044.2</v>
      </c>
      <c r="E1858" s="131">
        <v>44729</v>
      </c>
      <c r="F1858" s="132">
        <v>4044.2</v>
      </c>
      <c r="G1858" s="133">
        <f>Tabla147[[#This Row],[Importe]]-Tabla147[[#This Row],[Pagado]]</f>
        <v>0</v>
      </c>
      <c r="H1858" s="134" t="s">
        <v>10</v>
      </c>
      <c r="I1858" s="135"/>
    </row>
    <row r="1859" spans="1:9" ht="21.75" customHeight="1" x14ac:dyDescent="0.25">
      <c r="A1859" s="127">
        <v>44729</v>
      </c>
      <c r="B1859" s="128" t="s">
        <v>19723</v>
      </c>
      <c r="C1859" s="129" t="s">
        <v>647</v>
      </c>
      <c r="D1859" s="130">
        <v>2962.9</v>
      </c>
      <c r="E1859" s="131">
        <v>44729</v>
      </c>
      <c r="F1859" s="132">
        <v>2962.9</v>
      </c>
      <c r="G1859" s="133">
        <f>Tabla147[[#This Row],[Importe]]-Tabla147[[#This Row],[Pagado]]</f>
        <v>0</v>
      </c>
      <c r="H1859" s="134" t="s">
        <v>10</v>
      </c>
      <c r="I1859" s="135"/>
    </row>
    <row r="1860" spans="1:9" ht="21.75" customHeight="1" x14ac:dyDescent="0.25">
      <c r="A1860" s="127">
        <v>44729</v>
      </c>
      <c r="B1860" s="128" t="s">
        <v>19724</v>
      </c>
      <c r="C1860" s="129" t="s">
        <v>208</v>
      </c>
      <c r="D1860" s="130">
        <v>32327.16</v>
      </c>
      <c r="E1860" s="131">
        <v>44734</v>
      </c>
      <c r="F1860" s="132">
        <v>32327.16</v>
      </c>
      <c r="G1860" s="133">
        <f>Tabla147[[#This Row],[Importe]]-Tabla147[[#This Row],[Pagado]]</f>
        <v>0</v>
      </c>
      <c r="H1860" s="134" t="s">
        <v>10</v>
      </c>
      <c r="I1860" s="135"/>
    </row>
    <row r="1861" spans="1:9" ht="21.75" customHeight="1" x14ac:dyDescent="0.25">
      <c r="A1861" s="127">
        <v>44729</v>
      </c>
      <c r="B1861" s="128" t="s">
        <v>19725</v>
      </c>
      <c r="C1861" s="129" t="s">
        <v>470</v>
      </c>
      <c r="D1861" s="130">
        <v>12586</v>
      </c>
      <c r="E1861" s="131">
        <v>44729</v>
      </c>
      <c r="F1861" s="132">
        <v>12586</v>
      </c>
      <c r="G1861" s="133">
        <f>Tabla147[[#This Row],[Importe]]-Tabla147[[#This Row],[Pagado]]</f>
        <v>0</v>
      </c>
      <c r="H1861" s="134" t="s">
        <v>10</v>
      </c>
      <c r="I1861" s="135"/>
    </row>
    <row r="1862" spans="1:9" ht="21.75" customHeight="1" x14ac:dyDescent="0.25">
      <c r="A1862" s="127">
        <v>44729</v>
      </c>
      <c r="B1862" s="128" t="s">
        <v>19726</v>
      </c>
      <c r="C1862" s="129" t="s">
        <v>333</v>
      </c>
      <c r="D1862" s="130">
        <v>626.52</v>
      </c>
      <c r="E1862" s="131">
        <v>44729</v>
      </c>
      <c r="F1862" s="132">
        <v>626.52</v>
      </c>
      <c r="G1862" s="133">
        <f>Tabla147[[#This Row],[Importe]]-Tabla147[[#This Row],[Pagado]]</f>
        <v>0</v>
      </c>
      <c r="H1862" s="134" t="s">
        <v>10</v>
      </c>
      <c r="I1862" s="135"/>
    </row>
    <row r="1863" spans="1:9" ht="21.75" customHeight="1" x14ac:dyDescent="0.25">
      <c r="A1863" s="127">
        <v>44729</v>
      </c>
      <c r="B1863" s="128" t="s">
        <v>19727</v>
      </c>
      <c r="C1863" s="129" t="s">
        <v>214</v>
      </c>
      <c r="D1863" s="130">
        <v>8351.2999999999993</v>
      </c>
      <c r="E1863" s="131">
        <v>44729</v>
      </c>
      <c r="F1863" s="132">
        <v>8351.2999999999993</v>
      </c>
      <c r="G1863" s="133">
        <f>Tabla147[[#This Row],[Importe]]-Tabla147[[#This Row],[Pagado]]</f>
        <v>0</v>
      </c>
      <c r="H1863" s="134" t="s">
        <v>10</v>
      </c>
      <c r="I1863" s="135"/>
    </row>
    <row r="1864" spans="1:9" ht="21.75" customHeight="1" x14ac:dyDescent="0.25">
      <c r="A1864" s="127">
        <v>44729</v>
      </c>
      <c r="B1864" s="128" t="s">
        <v>19728</v>
      </c>
      <c r="C1864" s="129" t="s">
        <v>647</v>
      </c>
      <c r="D1864" s="130">
        <v>612</v>
      </c>
      <c r="E1864" s="131">
        <v>44729</v>
      </c>
      <c r="F1864" s="132">
        <v>612</v>
      </c>
      <c r="G1864" s="133">
        <f>Tabla147[[#This Row],[Importe]]-Tabla147[[#This Row],[Pagado]]</f>
        <v>0</v>
      </c>
      <c r="H1864" s="134" t="s">
        <v>10</v>
      </c>
      <c r="I1864" s="135"/>
    </row>
    <row r="1865" spans="1:9" ht="21.75" customHeight="1" x14ac:dyDescent="0.25">
      <c r="A1865" s="127">
        <v>44729</v>
      </c>
      <c r="B1865" s="128" t="s">
        <v>19729</v>
      </c>
      <c r="C1865" s="129" t="s">
        <v>31</v>
      </c>
      <c r="D1865" s="130">
        <v>3542.4</v>
      </c>
      <c r="E1865" s="131">
        <v>44729</v>
      </c>
      <c r="F1865" s="132">
        <v>3542.4</v>
      </c>
      <c r="G1865" s="133">
        <f>Tabla147[[#This Row],[Importe]]-Tabla147[[#This Row],[Pagado]]</f>
        <v>0</v>
      </c>
      <c r="H1865" s="134" t="s">
        <v>10</v>
      </c>
      <c r="I1865" s="135"/>
    </row>
    <row r="1866" spans="1:9" ht="31.5" x14ac:dyDescent="0.25">
      <c r="A1866" s="127">
        <v>44729</v>
      </c>
      <c r="B1866" s="128" t="s">
        <v>19730</v>
      </c>
      <c r="C1866" s="129" t="s">
        <v>670</v>
      </c>
      <c r="D1866" s="130">
        <v>7010.7</v>
      </c>
      <c r="E1866" s="131" t="s">
        <v>19559</v>
      </c>
      <c r="F1866" s="132">
        <f>6000+1010.7</f>
        <v>7010.7</v>
      </c>
      <c r="G1866" s="133">
        <f>Tabla147[[#This Row],[Importe]]-Tabla147[[#This Row],[Pagado]]</f>
        <v>0</v>
      </c>
      <c r="H1866" s="134" t="s">
        <v>10</v>
      </c>
      <c r="I1866" s="135"/>
    </row>
    <row r="1867" spans="1:9" ht="21.75" customHeight="1" x14ac:dyDescent="0.25">
      <c r="A1867" s="127">
        <v>44729</v>
      </c>
      <c r="B1867" s="128" t="s">
        <v>19731</v>
      </c>
      <c r="C1867" s="129" t="s">
        <v>348</v>
      </c>
      <c r="D1867" s="130">
        <v>4290.6000000000004</v>
      </c>
      <c r="E1867" s="131">
        <v>44729</v>
      </c>
      <c r="F1867" s="132">
        <v>4290.6000000000004</v>
      </c>
      <c r="G1867" s="133">
        <f>Tabla147[[#This Row],[Importe]]-Tabla147[[#This Row],[Pagado]]</f>
        <v>0</v>
      </c>
      <c r="H1867" s="134" t="s">
        <v>10</v>
      </c>
      <c r="I1867" s="135"/>
    </row>
    <row r="1868" spans="1:9" ht="21.75" customHeight="1" x14ac:dyDescent="0.25">
      <c r="A1868" s="127">
        <v>44729</v>
      </c>
      <c r="B1868" s="128" t="s">
        <v>19732</v>
      </c>
      <c r="C1868" s="129" t="s">
        <v>2114</v>
      </c>
      <c r="D1868" s="130">
        <v>1767</v>
      </c>
      <c r="E1868" s="131">
        <v>44729</v>
      </c>
      <c r="F1868" s="132">
        <v>1767</v>
      </c>
      <c r="G1868" s="133">
        <f>Tabla147[[#This Row],[Importe]]-Tabla147[[#This Row],[Pagado]]</f>
        <v>0</v>
      </c>
      <c r="H1868" s="134" t="s">
        <v>10</v>
      </c>
      <c r="I1868" s="135"/>
    </row>
    <row r="1869" spans="1:9" ht="21.75" customHeight="1" x14ac:dyDescent="0.25">
      <c r="A1869" s="127">
        <v>44729</v>
      </c>
      <c r="B1869" s="128" t="s">
        <v>19733</v>
      </c>
      <c r="C1869" s="129" t="s">
        <v>216</v>
      </c>
      <c r="D1869" s="130">
        <v>1978.8</v>
      </c>
      <c r="E1869" s="131">
        <v>44729</v>
      </c>
      <c r="F1869" s="132">
        <v>1978.8</v>
      </c>
      <c r="G1869" s="133">
        <f>Tabla147[[#This Row],[Importe]]-Tabla147[[#This Row],[Pagado]]</f>
        <v>0</v>
      </c>
      <c r="H1869" s="134" t="s">
        <v>10</v>
      </c>
      <c r="I1869" s="135"/>
    </row>
    <row r="1870" spans="1:9" ht="21.75" customHeight="1" x14ac:dyDescent="0.25">
      <c r="A1870" s="127">
        <v>44729</v>
      </c>
      <c r="B1870" s="128" t="s">
        <v>19734</v>
      </c>
      <c r="C1870" s="129" t="s">
        <v>218</v>
      </c>
      <c r="D1870" s="130">
        <v>32301.4</v>
      </c>
      <c r="E1870" s="131">
        <v>44734</v>
      </c>
      <c r="F1870" s="132">
        <v>32301.4</v>
      </c>
      <c r="G1870" s="133">
        <f>Tabla147[[#This Row],[Importe]]-Tabla147[[#This Row],[Pagado]]</f>
        <v>0</v>
      </c>
      <c r="H1870" s="134" t="s">
        <v>10</v>
      </c>
      <c r="I1870" s="135"/>
    </row>
    <row r="1871" spans="1:9" ht="21.75" customHeight="1" x14ac:dyDescent="0.25">
      <c r="A1871" s="127">
        <v>44729</v>
      </c>
      <c r="B1871" s="128" t="s">
        <v>19735</v>
      </c>
      <c r="C1871" s="129" t="s">
        <v>53</v>
      </c>
      <c r="D1871" s="130">
        <v>1265.3</v>
      </c>
      <c r="E1871" s="131">
        <v>44729</v>
      </c>
      <c r="F1871" s="132">
        <v>1265.3</v>
      </c>
      <c r="G1871" s="133">
        <f>Tabla147[[#This Row],[Importe]]-Tabla147[[#This Row],[Pagado]]</f>
        <v>0</v>
      </c>
      <c r="H1871" s="134" t="s">
        <v>10</v>
      </c>
      <c r="I1871" s="135"/>
    </row>
    <row r="1872" spans="1:9" ht="21.75" customHeight="1" x14ac:dyDescent="0.25">
      <c r="A1872" s="127">
        <v>44729</v>
      </c>
      <c r="B1872" s="128" t="s">
        <v>19736</v>
      </c>
      <c r="C1872" s="129" t="s">
        <v>24</v>
      </c>
      <c r="D1872" s="130">
        <v>2445.1999999999998</v>
      </c>
      <c r="E1872" s="131">
        <v>44729</v>
      </c>
      <c r="F1872" s="132">
        <v>2445.1999999999998</v>
      </c>
      <c r="G1872" s="133">
        <f>Tabla147[[#This Row],[Importe]]-Tabla147[[#This Row],[Pagado]]</f>
        <v>0</v>
      </c>
      <c r="H1872" s="134" t="s">
        <v>10</v>
      </c>
      <c r="I1872" s="135"/>
    </row>
    <row r="1873" spans="1:9" ht="21.75" customHeight="1" x14ac:dyDescent="0.25">
      <c r="A1873" s="127">
        <v>44729</v>
      </c>
      <c r="B1873" s="128" t="s">
        <v>19737</v>
      </c>
      <c r="C1873" s="129" t="s">
        <v>1237</v>
      </c>
      <c r="D1873" s="130">
        <v>45003.4</v>
      </c>
      <c r="E1873" s="131">
        <v>44729</v>
      </c>
      <c r="F1873" s="132">
        <v>45003.4</v>
      </c>
      <c r="G1873" s="133">
        <f>Tabla147[[#This Row],[Importe]]-Tabla147[[#This Row],[Pagado]]</f>
        <v>0</v>
      </c>
      <c r="H1873" s="134" t="s">
        <v>10</v>
      </c>
      <c r="I1873" s="135"/>
    </row>
    <row r="1874" spans="1:9" ht="21.75" customHeight="1" x14ac:dyDescent="0.25">
      <c r="A1874" s="127">
        <v>44729</v>
      </c>
      <c r="B1874" s="128" t="s">
        <v>19738</v>
      </c>
      <c r="C1874" s="129" t="s">
        <v>67</v>
      </c>
      <c r="D1874" s="130">
        <v>11452.2</v>
      </c>
      <c r="E1874" s="131">
        <v>44729</v>
      </c>
      <c r="F1874" s="132">
        <v>11452.2</v>
      </c>
      <c r="G1874" s="133">
        <f>Tabla147[[#This Row],[Importe]]-Tabla147[[#This Row],[Pagado]]</f>
        <v>0</v>
      </c>
      <c r="H1874" s="134" t="s">
        <v>10</v>
      </c>
      <c r="I1874" s="135"/>
    </row>
    <row r="1875" spans="1:9" ht="21.75" customHeight="1" x14ac:dyDescent="0.25">
      <c r="A1875" s="127">
        <v>44729</v>
      </c>
      <c r="B1875" s="128" t="s">
        <v>19739</v>
      </c>
      <c r="C1875" s="129" t="s">
        <v>1003</v>
      </c>
      <c r="D1875" s="130">
        <v>3648.4</v>
      </c>
      <c r="E1875" s="131">
        <v>44735</v>
      </c>
      <c r="F1875" s="132">
        <v>3648.4</v>
      </c>
      <c r="G1875" s="133">
        <f>Tabla147[[#This Row],[Importe]]-Tabla147[[#This Row],[Pagado]]</f>
        <v>0</v>
      </c>
      <c r="H1875" s="134" t="s">
        <v>10</v>
      </c>
      <c r="I1875" s="135"/>
    </row>
    <row r="1876" spans="1:9" ht="21.75" customHeight="1" x14ac:dyDescent="0.25">
      <c r="A1876" s="127">
        <v>44729</v>
      </c>
      <c r="B1876" s="128" t="s">
        <v>19740</v>
      </c>
      <c r="C1876" s="129" t="s">
        <v>58</v>
      </c>
      <c r="D1876" s="130">
        <v>3909.6</v>
      </c>
      <c r="E1876" s="131">
        <v>44729</v>
      </c>
      <c r="F1876" s="132">
        <v>3909.6</v>
      </c>
      <c r="G1876" s="133">
        <f>Tabla147[[#This Row],[Importe]]-Tabla147[[#This Row],[Pagado]]</f>
        <v>0</v>
      </c>
      <c r="H1876" s="134" t="s">
        <v>10</v>
      </c>
      <c r="I1876" s="135"/>
    </row>
    <row r="1877" spans="1:9" ht="21.75" customHeight="1" x14ac:dyDescent="0.25">
      <c r="A1877" s="127">
        <v>44729</v>
      </c>
      <c r="B1877" s="128" t="s">
        <v>19741</v>
      </c>
      <c r="C1877" s="129" t="s">
        <v>9827</v>
      </c>
      <c r="D1877" s="130">
        <v>3718</v>
      </c>
      <c r="E1877" s="131">
        <v>44729</v>
      </c>
      <c r="F1877" s="132">
        <v>3718</v>
      </c>
      <c r="G1877" s="133">
        <f>Tabla147[[#This Row],[Importe]]-Tabla147[[#This Row],[Pagado]]</f>
        <v>0</v>
      </c>
      <c r="H1877" s="134" t="s">
        <v>10</v>
      </c>
      <c r="I1877" s="135"/>
    </row>
    <row r="1878" spans="1:9" ht="21.75" customHeight="1" x14ac:dyDescent="0.25">
      <c r="A1878" s="127">
        <v>44729</v>
      </c>
      <c r="B1878" s="128" t="s">
        <v>19742</v>
      </c>
      <c r="C1878" s="129" t="s">
        <v>541</v>
      </c>
      <c r="D1878" s="130">
        <v>76586</v>
      </c>
      <c r="E1878" s="131">
        <v>44732</v>
      </c>
      <c r="F1878" s="132">
        <v>76586</v>
      </c>
      <c r="G1878" s="133">
        <f>Tabla147[[#This Row],[Importe]]-Tabla147[[#This Row],[Pagado]]</f>
        <v>0</v>
      </c>
      <c r="H1878" s="134" t="s">
        <v>10</v>
      </c>
      <c r="I1878" s="135"/>
    </row>
    <row r="1879" spans="1:9" ht="21.75" customHeight="1" x14ac:dyDescent="0.25">
      <c r="A1879" s="127">
        <v>44729</v>
      </c>
      <c r="B1879" s="128" t="s">
        <v>19743</v>
      </c>
      <c r="C1879" s="129" t="s">
        <v>849</v>
      </c>
      <c r="D1879" s="130">
        <v>3502.8</v>
      </c>
      <c r="E1879" s="131">
        <v>44729</v>
      </c>
      <c r="F1879" s="132">
        <v>3502.8</v>
      </c>
      <c r="G1879" s="133">
        <f>Tabla147[[#This Row],[Importe]]-Tabla147[[#This Row],[Pagado]]</f>
        <v>0</v>
      </c>
      <c r="H1879" s="134" t="s">
        <v>10</v>
      </c>
      <c r="I1879" s="135"/>
    </row>
    <row r="1880" spans="1:9" ht="21.75" customHeight="1" x14ac:dyDescent="0.25">
      <c r="A1880" s="127">
        <v>44729</v>
      </c>
      <c r="B1880" s="128" t="s">
        <v>19744</v>
      </c>
      <c r="C1880" s="129" t="s">
        <v>51</v>
      </c>
      <c r="D1880" s="130">
        <v>3543.4</v>
      </c>
      <c r="E1880" s="131">
        <v>44729</v>
      </c>
      <c r="F1880" s="132">
        <v>3543.4</v>
      </c>
      <c r="G1880" s="133">
        <f>Tabla147[[#This Row],[Importe]]-Tabla147[[#This Row],[Pagado]]</f>
        <v>0</v>
      </c>
      <c r="H1880" s="134" t="s">
        <v>10</v>
      </c>
      <c r="I1880" s="135"/>
    </row>
    <row r="1881" spans="1:9" ht="21.75" customHeight="1" x14ac:dyDescent="0.25">
      <c r="A1881" s="127">
        <v>44729</v>
      </c>
      <c r="B1881" s="128" t="s">
        <v>19745</v>
      </c>
      <c r="C1881" s="129" t="s">
        <v>133</v>
      </c>
      <c r="D1881" s="130">
        <v>21266</v>
      </c>
      <c r="E1881" s="131">
        <v>44730</v>
      </c>
      <c r="F1881" s="132">
        <v>21266</v>
      </c>
      <c r="G1881" s="133">
        <f>Tabla147[[#This Row],[Importe]]-Tabla147[[#This Row],[Pagado]]</f>
        <v>0</v>
      </c>
      <c r="H1881" s="134" t="s">
        <v>10</v>
      </c>
      <c r="I1881" s="135"/>
    </row>
    <row r="1882" spans="1:9" ht="21.75" customHeight="1" x14ac:dyDescent="0.25">
      <c r="A1882" s="127">
        <v>44729</v>
      </c>
      <c r="B1882" s="128" t="s">
        <v>19746</v>
      </c>
      <c r="C1882" s="129" t="s">
        <v>592</v>
      </c>
      <c r="D1882" s="130">
        <v>37194</v>
      </c>
      <c r="E1882" s="131">
        <v>44744</v>
      </c>
      <c r="F1882" s="132">
        <v>37194</v>
      </c>
      <c r="G1882" s="133">
        <f>Tabla147[[#This Row],[Importe]]-Tabla147[[#This Row],[Pagado]]</f>
        <v>0</v>
      </c>
      <c r="H1882" s="134" t="s">
        <v>10</v>
      </c>
      <c r="I1882" s="135"/>
    </row>
    <row r="1883" spans="1:9" ht="21.75" customHeight="1" x14ac:dyDescent="0.25">
      <c r="A1883" s="127">
        <v>44729</v>
      </c>
      <c r="B1883" s="128" t="s">
        <v>19747</v>
      </c>
      <c r="C1883" s="129" t="s">
        <v>392</v>
      </c>
      <c r="D1883" s="130">
        <v>23423.599999999999</v>
      </c>
      <c r="E1883" s="131">
        <v>44735</v>
      </c>
      <c r="F1883" s="132">
        <v>23423.599999999999</v>
      </c>
      <c r="G1883" s="133">
        <f>Tabla147[[#This Row],[Importe]]-Tabla147[[#This Row],[Pagado]]</f>
        <v>0</v>
      </c>
      <c r="H1883" s="134" t="s">
        <v>10</v>
      </c>
      <c r="I1883" s="135"/>
    </row>
    <row r="1884" spans="1:9" ht="21.75" customHeight="1" x14ac:dyDescent="0.25">
      <c r="A1884" s="127">
        <v>44729</v>
      </c>
      <c r="B1884" s="128" t="s">
        <v>19748</v>
      </c>
      <c r="C1884" s="129" t="s">
        <v>173</v>
      </c>
      <c r="D1884" s="130">
        <v>24983.200000000001</v>
      </c>
      <c r="E1884" s="131">
        <v>44730</v>
      </c>
      <c r="F1884" s="132">
        <v>24983.200000000001</v>
      </c>
      <c r="G1884" s="133">
        <f>Tabla147[[#This Row],[Importe]]-Tabla147[[#This Row],[Pagado]]</f>
        <v>0</v>
      </c>
      <c r="H1884" s="134" t="s">
        <v>10</v>
      </c>
      <c r="I1884" s="135"/>
    </row>
    <row r="1885" spans="1:9" ht="21.75" customHeight="1" x14ac:dyDescent="0.25">
      <c r="A1885" s="127">
        <v>44729</v>
      </c>
      <c r="B1885" s="128" t="s">
        <v>19749</v>
      </c>
      <c r="C1885" s="129" t="s">
        <v>15039</v>
      </c>
      <c r="D1885" s="130">
        <v>4321.6000000000004</v>
      </c>
      <c r="E1885" s="131">
        <v>44729</v>
      </c>
      <c r="F1885" s="132">
        <v>4321.6000000000004</v>
      </c>
      <c r="G1885" s="133">
        <f>Tabla147[[#This Row],[Importe]]-Tabla147[[#This Row],[Pagado]]</f>
        <v>0</v>
      </c>
      <c r="H1885" s="134" t="s">
        <v>10</v>
      </c>
      <c r="I1885" s="135"/>
    </row>
    <row r="1886" spans="1:9" ht="21.75" customHeight="1" x14ac:dyDescent="0.25">
      <c r="A1886" s="127">
        <v>44729</v>
      </c>
      <c r="B1886" s="128" t="s">
        <v>19750</v>
      </c>
      <c r="C1886" s="129" t="s">
        <v>31</v>
      </c>
      <c r="D1886" s="130">
        <v>714</v>
      </c>
      <c r="E1886" s="131">
        <v>44729</v>
      </c>
      <c r="F1886" s="132">
        <v>714</v>
      </c>
      <c r="G1886" s="133">
        <f>Tabla147[[#This Row],[Importe]]-Tabla147[[#This Row],[Pagado]]</f>
        <v>0</v>
      </c>
      <c r="H1886" s="134" t="s">
        <v>10</v>
      </c>
      <c r="I1886" s="135"/>
    </row>
    <row r="1887" spans="1:9" ht="21.75" customHeight="1" x14ac:dyDescent="0.25">
      <c r="A1887" s="127">
        <v>44729</v>
      </c>
      <c r="B1887" s="128" t="s">
        <v>19751</v>
      </c>
      <c r="C1887" s="129" t="s">
        <v>181</v>
      </c>
      <c r="D1887" s="130">
        <v>11546.4</v>
      </c>
      <c r="E1887" s="131">
        <v>44729</v>
      </c>
      <c r="F1887" s="132">
        <v>11546.4</v>
      </c>
      <c r="G1887" s="133">
        <f>Tabla147[[#This Row],[Importe]]-Tabla147[[#This Row],[Pagado]]</f>
        <v>0</v>
      </c>
      <c r="H1887" s="134" t="s">
        <v>10</v>
      </c>
      <c r="I1887" s="135"/>
    </row>
    <row r="1888" spans="1:9" ht="21.75" customHeight="1" x14ac:dyDescent="0.25">
      <c r="A1888" s="127">
        <v>44729</v>
      </c>
      <c r="B1888" s="128" t="s">
        <v>19752</v>
      </c>
      <c r="C1888" s="129" t="s">
        <v>10826</v>
      </c>
      <c r="D1888" s="130">
        <v>10130.4</v>
      </c>
      <c r="E1888" s="131">
        <v>44729</v>
      </c>
      <c r="F1888" s="132">
        <v>10130.4</v>
      </c>
      <c r="G1888" s="133">
        <f>Tabla147[[#This Row],[Importe]]-Tabla147[[#This Row],[Pagado]]</f>
        <v>0</v>
      </c>
      <c r="H1888" s="134" t="s">
        <v>10</v>
      </c>
      <c r="I1888" s="135"/>
    </row>
    <row r="1889" spans="1:9" ht="21.75" customHeight="1" x14ac:dyDescent="0.25">
      <c r="A1889" s="127">
        <v>44729</v>
      </c>
      <c r="B1889" s="128" t="s">
        <v>19753</v>
      </c>
      <c r="C1889" s="129" t="s">
        <v>62</v>
      </c>
      <c r="D1889" s="130">
        <v>1000</v>
      </c>
      <c r="E1889" s="131">
        <v>44729</v>
      </c>
      <c r="F1889" s="132">
        <v>1000</v>
      </c>
      <c r="G1889" s="133">
        <f>Tabla147[[#This Row],[Importe]]-Tabla147[[#This Row],[Pagado]]</f>
        <v>0</v>
      </c>
      <c r="H1889" s="134" t="s">
        <v>10</v>
      </c>
      <c r="I1889" s="135"/>
    </row>
    <row r="1890" spans="1:9" ht="21.75" customHeight="1" x14ac:dyDescent="0.25">
      <c r="A1890" s="127">
        <v>44729</v>
      </c>
      <c r="B1890" s="128" t="s">
        <v>19754</v>
      </c>
      <c r="C1890" s="129" t="s">
        <v>175</v>
      </c>
      <c r="D1890" s="130">
        <v>40591.599999999999</v>
      </c>
      <c r="E1890" s="131">
        <v>44730</v>
      </c>
      <c r="F1890" s="132">
        <v>40591.599999999999</v>
      </c>
      <c r="G1890" s="133">
        <f>Tabla147[[#This Row],[Importe]]-Tabla147[[#This Row],[Pagado]]</f>
        <v>0</v>
      </c>
      <c r="H1890" s="134" t="s">
        <v>10</v>
      </c>
      <c r="I1890" s="135"/>
    </row>
    <row r="1891" spans="1:9" ht="31.5" x14ac:dyDescent="0.25">
      <c r="A1891" s="127">
        <v>44729</v>
      </c>
      <c r="B1891" s="128" t="s">
        <v>19755</v>
      </c>
      <c r="C1891" s="129" t="s">
        <v>275</v>
      </c>
      <c r="D1891" s="130">
        <v>135797.85</v>
      </c>
      <c r="E1891" s="131" t="s">
        <v>21259</v>
      </c>
      <c r="F1891" s="132">
        <f>97741.18+38056.67</f>
        <v>135797.84999999998</v>
      </c>
      <c r="G1891" s="133">
        <f>Tabla147[[#This Row],[Importe]]-Tabla147[[#This Row],[Pagado]]</f>
        <v>0</v>
      </c>
      <c r="H1891" s="134" t="s">
        <v>10</v>
      </c>
      <c r="I1891" s="135"/>
    </row>
    <row r="1892" spans="1:9" ht="21.75" customHeight="1" x14ac:dyDescent="0.25">
      <c r="A1892" s="127">
        <v>44729</v>
      </c>
      <c r="B1892" s="128" t="s">
        <v>19756</v>
      </c>
      <c r="C1892" s="129" t="s">
        <v>175</v>
      </c>
      <c r="D1892" s="130">
        <v>6750</v>
      </c>
      <c r="E1892" s="131">
        <v>44730</v>
      </c>
      <c r="F1892" s="132">
        <v>6750</v>
      </c>
      <c r="G1892" s="133">
        <f>Tabla147[[#This Row],[Importe]]-Tabla147[[#This Row],[Pagado]]</f>
        <v>0</v>
      </c>
      <c r="H1892" s="134" t="s">
        <v>10</v>
      </c>
      <c r="I1892" s="135"/>
    </row>
    <row r="1893" spans="1:9" ht="21.75" customHeight="1" x14ac:dyDescent="0.25">
      <c r="A1893" s="127">
        <v>44729</v>
      </c>
      <c r="B1893" s="128" t="s">
        <v>19757</v>
      </c>
      <c r="C1893" s="129" t="s">
        <v>275</v>
      </c>
      <c r="D1893" s="130">
        <v>2792</v>
      </c>
      <c r="E1893" s="131">
        <v>44743</v>
      </c>
      <c r="F1893" s="132">
        <v>2792</v>
      </c>
      <c r="G1893" s="133">
        <f>Tabla147[[#This Row],[Importe]]-Tabla147[[#This Row],[Pagado]]</f>
        <v>0</v>
      </c>
      <c r="H1893" s="134" t="s">
        <v>10</v>
      </c>
      <c r="I1893" s="135"/>
    </row>
    <row r="1894" spans="1:9" ht="21.75" customHeight="1" x14ac:dyDescent="0.25">
      <c r="A1894" s="127">
        <v>44729</v>
      </c>
      <c r="B1894" s="128" t="s">
        <v>19758</v>
      </c>
      <c r="C1894" s="129" t="s">
        <v>365</v>
      </c>
      <c r="D1894" s="130">
        <v>777.4</v>
      </c>
      <c r="E1894" s="131">
        <v>44729</v>
      </c>
      <c r="F1894" s="132">
        <v>777.4</v>
      </c>
      <c r="G1894" s="133">
        <f>Tabla147[[#This Row],[Importe]]-Tabla147[[#This Row],[Pagado]]</f>
        <v>0</v>
      </c>
      <c r="H1894" s="134" t="s">
        <v>10</v>
      </c>
      <c r="I1894" s="135"/>
    </row>
    <row r="1895" spans="1:9" ht="21.75" customHeight="1" x14ac:dyDescent="0.25">
      <c r="A1895" s="127">
        <v>44729</v>
      </c>
      <c r="B1895" s="128" t="s">
        <v>19759</v>
      </c>
      <c r="C1895" s="129" t="s">
        <v>289</v>
      </c>
      <c r="D1895" s="130">
        <v>9874.6</v>
      </c>
      <c r="E1895" s="131">
        <v>44729</v>
      </c>
      <c r="F1895" s="132">
        <v>9874.6</v>
      </c>
      <c r="G1895" s="133">
        <f>Tabla147[[#This Row],[Importe]]-Tabla147[[#This Row],[Pagado]]</f>
        <v>0</v>
      </c>
      <c r="H1895" s="134" t="s">
        <v>10</v>
      </c>
      <c r="I1895" s="135"/>
    </row>
    <row r="1896" spans="1:9" ht="21.75" customHeight="1" x14ac:dyDescent="0.25">
      <c r="A1896" s="127">
        <v>44729</v>
      </c>
      <c r="B1896" s="128" t="s">
        <v>19760</v>
      </c>
      <c r="C1896" s="129" t="s">
        <v>31</v>
      </c>
      <c r="D1896" s="130">
        <v>3233.8</v>
      </c>
      <c r="E1896" s="131">
        <v>44729</v>
      </c>
      <c r="F1896" s="132">
        <v>3233.8</v>
      </c>
      <c r="G1896" s="133">
        <f>Tabla147[[#This Row],[Importe]]-Tabla147[[#This Row],[Pagado]]</f>
        <v>0</v>
      </c>
      <c r="H1896" s="134" t="s">
        <v>10</v>
      </c>
      <c r="I1896" s="135"/>
    </row>
    <row r="1897" spans="1:9" ht="21.75" customHeight="1" x14ac:dyDescent="0.25">
      <c r="A1897" s="127">
        <v>44729</v>
      </c>
      <c r="B1897" s="128" t="s">
        <v>19761</v>
      </c>
      <c r="C1897" s="129" t="s">
        <v>289</v>
      </c>
      <c r="D1897" s="130">
        <v>77.900000000000006</v>
      </c>
      <c r="E1897" s="131">
        <v>44729</v>
      </c>
      <c r="F1897" s="132">
        <v>77.900000000000006</v>
      </c>
      <c r="G1897" s="133">
        <f>Tabla147[[#This Row],[Importe]]-Tabla147[[#This Row],[Pagado]]</f>
        <v>0</v>
      </c>
      <c r="H1897" s="134" t="s">
        <v>10</v>
      </c>
      <c r="I1897" s="135"/>
    </row>
    <row r="1898" spans="1:9" ht="21.75" customHeight="1" x14ac:dyDescent="0.25">
      <c r="A1898" s="127">
        <v>44729</v>
      </c>
      <c r="B1898" s="128" t="s">
        <v>19762</v>
      </c>
      <c r="C1898" s="129" t="s">
        <v>214</v>
      </c>
      <c r="D1898" s="130">
        <v>1190</v>
      </c>
      <c r="E1898" s="131">
        <v>44729</v>
      </c>
      <c r="F1898" s="132">
        <v>1190</v>
      </c>
      <c r="G1898" s="133">
        <f>Tabla147[[#This Row],[Importe]]-Tabla147[[#This Row],[Pagado]]</f>
        <v>0</v>
      </c>
      <c r="H1898" s="134" t="s">
        <v>10</v>
      </c>
      <c r="I1898" s="135"/>
    </row>
    <row r="1899" spans="1:9" ht="21.75" customHeight="1" x14ac:dyDescent="0.25">
      <c r="A1899" s="127">
        <v>44729</v>
      </c>
      <c r="B1899" s="128" t="s">
        <v>19763</v>
      </c>
      <c r="C1899" s="129" t="s">
        <v>296</v>
      </c>
      <c r="D1899" s="130">
        <v>2193.8000000000002</v>
      </c>
      <c r="E1899" s="131">
        <v>44729</v>
      </c>
      <c r="F1899" s="132">
        <v>2193.8000000000002</v>
      </c>
      <c r="G1899" s="133">
        <f>Tabla147[[#This Row],[Importe]]-Tabla147[[#This Row],[Pagado]]</f>
        <v>0</v>
      </c>
      <c r="H1899" s="134" t="s">
        <v>10</v>
      </c>
      <c r="I1899" s="135"/>
    </row>
    <row r="1900" spans="1:9" ht="21.75" customHeight="1" x14ac:dyDescent="0.25">
      <c r="A1900" s="127">
        <v>44729</v>
      </c>
      <c r="B1900" s="128" t="s">
        <v>19764</v>
      </c>
      <c r="C1900" s="129" t="s">
        <v>698</v>
      </c>
      <c r="D1900" s="130">
        <v>4328.8999999999996</v>
      </c>
      <c r="E1900" s="131">
        <v>44729</v>
      </c>
      <c r="F1900" s="132">
        <v>4328.8999999999996</v>
      </c>
      <c r="G1900" s="133">
        <f>Tabla147[[#This Row],[Importe]]-Tabla147[[#This Row],[Pagado]]</f>
        <v>0</v>
      </c>
      <c r="H1900" s="134" t="s">
        <v>10</v>
      </c>
      <c r="I1900" s="135"/>
    </row>
    <row r="1901" spans="1:9" ht="21.75" customHeight="1" x14ac:dyDescent="0.25">
      <c r="A1901" s="127">
        <v>44729</v>
      </c>
      <c r="B1901" s="128" t="s">
        <v>19765</v>
      </c>
      <c r="C1901" s="129" t="s">
        <v>6112</v>
      </c>
      <c r="D1901" s="130">
        <v>3629.4</v>
      </c>
      <c r="E1901" s="131">
        <v>44729</v>
      </c>
      <c r="F1901" s="132">
        <v>3629.4</v>
      </c>
      <c r="G1901" s="133">
        <f>Tabla147[[#This Row],[Importe]]-Tabla147[[#This Row],[Pagado]]</f>
        <v>0</v>
      </c>
      <c r="H1901" s="134" t="s">
        <v>10</v>
      </c>
      <c r="I1901" s="135"/>
    </row>
    <row r="1902" spans="1:9" ht="21.75" customHeight="1" x14ac:dyDescent="0.25">
      <c r="A1902" s="127">
        <v>44729</v>
      </c>
      <c r="B1902" s="128" t="s">
        <v>19766</v>
      </c>
      <c r="C1902" s="129" t="s">
        <v>31</v>
      </c>
      <c r="D1902" s="130">
        <v>126</v>
      </c>
      <c r="E1902" s="131">
        <v>44729</v>
      </c>
      <c r="F1902" s="132">
        <v>126</v>
      </c>
      <c r="G1902" s="133">
        <f>Tabla147[[#This Row],[Importe]]-Tabla147[[#This Row],[Pagado]]</f>
        <v>0</v>
      </c>
      <c r="H1902" s="134" t="s">
        <v>10</v>
      </c>
      <c r="I1902" s="135"/>
    </row>
    <row r="1903" spans="1:9" ht="21.75" customHeight="1" x14ac:dyDescent="0.25">
      <c r="A1903" s="127">
        <v>44729</v>
      </c>
      <c r="B1903" s="128" t="s">
        <v>19767</v>
      </c>
      <c r="C1903" s="129" t="s">
        <v>555</v>
      </c>
      <c r="D1903" s="130">
        <v>30268.6</v>
      </c>
      <c r="E1903" s="131">
        <v>44729</v>
      </c>
      <c r="F1903" s="132">
        <v>30268.6</v>
      </c>
      <c r="G1903" s="133">
        <f>Tabla147[[#This Row],[Importe]]-Tabla147[[#This Row],[Pagado]]</f>
        <v>0</v>
      </c>
      <c r="H1903" s="134" t="s">
        <v>10</v>
      </c>
      <c r="I1903" s="135"/>
    </row>
    <row r="1904" spans="1:9" ht="21.75" customHeight="1" x14ac:dyDescent="0.25">
      <c r="A1904" s="127">
        <v>44729</v>
      </c>
      <c r="B1904" s="128" t="s">
        <v>19768</v>
      </c>
      <c r="C1904" s="129" t="s">
        <v>31</v>
      </c>
      <c r="D1904" s="130">
        <v>1390.2</v>
      </c>
      <c r="E1904" s="131">
        <v>44729</v>
      </c>
      <c r="F1904" s="132">
        <v>1390.2</v>
      </c>
      <c r="G1904" s="133">
        <f>Tabla147[[#This Row],[Importe]]-Tabla147[[#This Row],[Pagado]]</f>
        <v>0</v>
      </c>
      <c r="H1904" s="134" t="s">
        <v>10</v>
      </c>
      <c r="I1904" s="135"/>
    </row>
    <row r="1905" spans="1:9" ht="21.75" customHeight="1" x14ac:dyDescent="0.25">
      <c r="A1905" s="127">
        <v>44729</v>
      </c>
      <c r="B1905" s="128" t="s">
        <v>19769</v>
      </c>
      <c r="C1905" s="129" t="s">
        <v>9</v>
      </c>
      <c r="D1905" s="130">
        <v>6807.2</v>
      </c>
      <c r="E1905" s="131">
        <v>44729</v>
      </c>
      <c r="F1905" s="132">
        <v>6807.2</v>
      </c>
      <c r="G1905" s="133">
        <f>Tabla147[[#This Row],[Importe]]-Tabla147[[#This Row],[Pagado]]</f>
        <v>0</v>
      </c>
      <c r="H1905" s="134" t="s">
        <v>10</v>
      </c>
      <c r="I1905" s="135"/>
    </row>
    <row r="1906" spans="1:9" ht="21.75" customHeight="1" x14ac:dyDescent="0.25">
      <c r="A1906" s="127">
        <v>44729</v>
      </c>
      <c r="B1906" s="128" t="s">
        <v>19770</v>
      </c>
      <c r="C1906" s="129" t="s">
        <v>15868</v>
      </c>
      <c r="D1906" s="130">
        <v>35336</v>
      </c>
      <c r="E1906" s="131">
        <v>44730</v>
      </c>
      <c r="F1906" s="132">
        <v>35336</v>
      </c>
      <c r="G1906" s="133">
        <f>Tabla147[[#This Row],[Importe]]-Tabla147[[#This Row],[Pagado]]</f>
        <v>0</v>
      </c>
      <c r="H1906" s="134" t="s">
        <v>10</v>
      </c>
      <c r="I1906" s="135"/>
    </row>
    <row r="1907" spans="1:9" ht="21.75" customHeight="1" x14ac:dyDescent="0.25">
      <c r="A1907" s="127">
        <v>44729</v>
      </c>
      <c r="B1907" s="128" t="s">
        <v>19771</v>
      </c>
      <c r="C1907" s="129" t="s">
        <v>1378</v>
      </c>
      <c r="D1907" s="130">
        <v>41331</v>
      </c>
      <c r="E1907" s="131">
        <v>44730</v>
      </c>
      <c r="F1907" s="132">
        <v>41331</v>
      </c>
      <c r="G1907" s="133">
        <f>Tabla147[[#This Row],[Importe]]-Tabla147[[#This Row],[Pagado]]</f>
        <v>0</v>
      </c>
      <c r="H1907" s="134" t="s">
        <v>10</v>
      </c>
      <c r="I1907" s="135"/>
    </row>
    <row r="1908" spans="1:9" ht="21.75" customHeight="1" x14ac:dyDescent="0.25">
      <c r="A1908" s="127">
        <v>44729</v>
      </c>
      <c r="B1908" s="128" t="s">
        <v>19772</v>
      </c>
      <c r="C1908" s="129" t="s">
        <v>191</v>
      </c>
      <c r="D1908" s="130">
        <v>418.6</v>
      </c>
      <c r="E1908" s="131">
        <v>44729</v>
      </c>
      <c r="F1908" s="132">
        <v>418.6</v>
      </c>
      <c r="G1908" s="133">
        <f>Tabla147[[#This Row],[Importe]]-Tabla147[[#This Row],[Pagado]]</f>
        <v>0</v>
      </c>
      <c r="H1908" s="134" t="s">
        <v>10</v>
      </c>
      <c r="I1908" s="135"/>
    </row>
    <row r="1909" spans="1:9" ht="21.75" customHeight="1" x14ac:dyDescent="0.25">
      <c r="A1909" s="127">
        <v>44729</v>
      </c>
      <c r="B1909" s="128" t="s">
        <v>19773</v>
      </c>
      <c r="C1909" s="129" t="s">
        <v>31</v>
      </c>
      <c r="D1909" s="130">
        <v>360</v>
      </c>
      <c r="E1909" s="131">
        <v>44729</v>
      </c>
      <c r="F1909" s="132">
        <v>360</v>
      </c>
      <c r="G1909" s="133">
        <f>Tabla147[[#This Row],[Importe]]-Tabla147[[#This Row],[Pagado]]</f>
        <v>0</v>
      </c>
      <c r="H1909" s="134" t="s">
        <v>10</v>
      </c>
      <c r="I1909" s="135"/>
    </row>
    <row r="1910" spans="1:9" ht="21.75" customHeight="1" x14ac:dyDescent="0.25">
      <c r="A1910" s="127">
        <v>44729</v>
      </c>
      <c r="B1910" s="128" t="s">
        <v>19774</v>
      </c>
      <c r="C1910" s="129" t="s">
        <v>857</v>
      </c>
      <c r="D1910" s="130">
        <v>762.2</v>
      </c>
      <c r="E1910" s="131">
        <v>44729</v>
      </c>
      <c r="F1910" s="132">
        <v>762.2</v>
      </c>
      <c r="G1910" s="133">
        <f>Tabla147[[#This Row],[Importe]]-Tabla147[[#This Row],[Pagado]]</f>
        <v>0</v>
      </c>
      <c r="H1910" s="134" t="s">
        <v>10</v>
      </c>
      <c r="I1910" s="135"/>
    </row>
    <row r="1911" spans="1:9" ht="21.75" customHeight="1" x14ac:dyDescent="0.25">
      <c r="A1911" s="127">
        <v>44729</v>
      </c>
      <c r="B1911" s="128" t="s">
        <v>19775</v>
      </c>
      <c r="C1911" s="129" t="s">
        <v>31</v>
      </c>
      <c r="D1911" s="130">
        <v>7113.6</v>
      </c>
      <c r="E1911" s="131">
        <v>44729</v>
      </c>
      <c r="F1911" s="132">
        <v>7113.6</v>
      </c>
      <c r="G1911" s="133">
        <f>Tabla147[[#This Row],[Importe]]-Tabla147[[#This Row],[Pagado]]</f>
        <v>0</v>
      </c>
      <c r="H1911" s="134" t="s">
        <v>10</v>
      </c>
      <c r="I1911" s="135"/>
    </row>
    <row r="1912" spans="1:9" ht="21.75" customHeight="1" x14ac:dyDescent="0.25">
      <c r="A1912" s="127">
        <v>44729</v>
      </c>
      <c r="B1912" s="128" t="s">
        <v>19776</v>
      </c>
      <c r="C1912" s="129" t="s">
        <v>15449</v>
      </c>
      <c r="D1912" s="130">
        <v>558</v>
      </c>
      <c r="E1912" s="131">
        <v>44729</v>
      </c>
      <c r="F1912" s="132">
        <v>558</v>
      </c>
      <c r="G1912" s="133">
        <f>Tabla147[[#This Row],[Importe]]-Tabla147[[#This Row],[Pagado]]</f>
        <v>0</v>
      </c>
      <c r="H1912" s="134" t="s">
        <v>10</v>
      </c>
      <c r="I1912" s="135"/>
    </row>
    <row r="1913" spans="1:9" ht="21.75" customHeight="1" x14ac:dyDescent="0.25">
      <c r="A1913" s="127">
        <v>44729</v>
      </c>
      <c r="B1913" s="128" t="s">
        <v>19777</v>
      </c>
      <c r="C1913" s="129" t="s">
        <v>654</v>
      </c>
      <c r="D1913" s="130">
        <v>6787.1</v>
      </c>
      <c r="E1913" s="131">
        <v>44731</v>
      </c>
      <c r="F1913" s="132">
        <v>6787.1</v>
      </c>
      <c r="G1913" s="133">
        <f>Tabla147[[#This Row],[Importe]]-Tabla147[[#This Row],[Pagado]]</f>
        <v>0</v>
      </c>
      <c r="H1913" s="134" t="s">
        <v>10</v>
      </c>
      <c r="I1913" s="135"/>
    </row>
    <row r="1914" spans="1:9" ht="21.75" customHeight="1" x14ac:dyDescent="0.25">
      <c r="A1914" s="127">
        <v>44729</v>
      </c>
      <c r="B1914" s="128" t="s">
        <v>19778</v>
      </c>
      <c r="C1914" s="129" t="s">
        <v>246</v>
      </c>
      <c r="D1914" s="130">
        <v>4008</v>
      </c>
      <c r="E1914" s="131">
        <v>44729</v>
      </c>
      <c r="F1914" s="132">
        <v>4008</v>
      </c>
      <c r="G1914" s="133">
        <f>Tabla147[[#This Row],[Importe]]-Tabla147[[#This Row],[Pagado]]</f>
        <v>0</v>
      </c>
      <c r="H1914" s="134" t="s">
        <v>10</v>
      </c>
      <c r="I1914" s="135"/>
    </row>
    <row r="1915" spans="1:9" ht="21.75" customHeight="1" x14ac:dyDescent="0.25">
      <c r="A1915" s="127">
        <v>44729</v>
      </c>
      <c r="B1915" s="128" t="s">
        <v>19779</v>
      </c>
      <c r="C1915" s="129" t="s">
        <v>53</v>
      </c>
      <c r="D1915" s="130">
        <v>1597.5</v>
      </c>
      <c r="E1915" s="131">
        <v>44729</v>
      </c>
      <c r="F1915" s="132">
        <v>1597.5</v>
      </c>
      <c r="G1915" s="133">
        <f>Tabla147[[#This Row],[Importe]]-Tabla147[[#This Row],[Pagado]]</f>
        <v>0</v>
      </c>
      <c r="H1915" s="134" t="s">
        <v>10</v>
      </c>
      <c r="I1915" s="135"/>
    </row>
    <row r="1916" spans="1:9" ht="21.75" customHeight="1" x14ac:dyDescent="0.25">
      <c r="A1916" s="127">
        <v>44729</v>
      </c>
      <c r="B1916" s="128" t="s">
        <v>19780</v>
      </c>
      <c r="C1916" s="129" t="s">
        <v>431</v>
      </c>
      <c r="D1916" s="130">
        <v>639.20000000000005</v>
      </c>
      <c r="E1916" s="131">
        <v>44730</v>
      </c>
      <c r="F1916" s="132">
        <v>639.20000000000005</v>
      </c>
      <c r="G1916" s="133">
        <f>Tabla147[[#This Row],[Importe]]-Tabla147[[#This Row],[Pagado]]</f>
        <v>0</v>
      </c>
      <c r="H1916" s="134" t="s">
        <v>10</v>
      </c>
      <c r="I1916" s="135"/>
    </row>
    <row r="1917" spans="1:9" ht="21.75" customHeight="1" x14ac:dyDescent="0.25">
      <c r="A1917" s="127">
        <v>44729</v>
      </c>
      <c r="B1917" s="128" t="s">
        <v>19781</v>
      </c>
      <c r="C1917" s="129" t="s">
        <v>280</v>
      </c>
      <c r="D1917" s="130">
        <v>2536.4</v>
      </c>
      <c r="E1917" s="131">
        <v>44730</v>
      </c>
      <c r="F1917" s="132">
        <v>2536.4</v>
      </c>
      <c r="G1917" s="133">
        <f>Tabla147[[#This Row],[Importe]]-Tabla147[[#This Row],[Pagado]]</f>
        <v>0</v>
      </c>
      <c r="H1917" s="134" t="s">
        <v>10</v>
      </c>
      <c r="I1917" s="135"/>
    </row>
    <row r="1918" spans="1:9" ht="21.75" customHeight="1" x14ac:dyDescent="0.25">
      <c r="A1918" s="127">
        <v>44729</v>
      </c>
      <c r="B1918" s="128" t="s">
        <v>19782</v>
      </c>
      <c r="C1918" s="129" t="s">
        <v>5345</v>
      </c>
      <c r="D1918" s="130">
        <v>1278.4000000000001</v>
      </c>
      <c r="E1918" s="131">
        <v>44730</v>
      </c>
      <c r="F1918" s="132">
        <v>1278.4000000000001</v>
      </c>
      <c r="G1918" s="133">
        <f>Tabla147[[#This Row],[Importe]]-Tabla147[[#This Row],[Pagado]]</f>
        <v>0</v>
      </c>
      <c r="H1918" s="134" t="s">
        <v>10</v>
      </c>
      <c r="I1918" s="135"/>
    </row>
    <row r="1919" spans="1:9" ht="21.75" customHeight="1" x14ac:dyDescent="0.25">
      <c r="A1919" s="127">
        <v>44729</v>
      </c>
      <c r="B1919" s="128" t="s">
        <v>19783</v>
      </c>
      <c r="C1919" s="129" t="s">
        <v>284</v>
      </c>
      <c r="D1919" s="130">
        <v>8350.4</v>
      </c>
      <c r="E1919" s="131">
        <v>44730</v>
      </c>
      <c r="F1919" s="132">
        <v>8350.4</v>
      </c>
      <c r="G1919" s="133">
        <f>Tabla147[[#This Row],[Importe]]-Tabla147[[#This Row],[Pagado]]</f>
        <v>0</v>
      </c>
      <c r="H1919" s="134" t="s">
        <v>10</v>
      </c>
      <c r="I1919" s="135"/>
    </row>
    <row r="1920" spans="1:9" ht="21.75" customHeight="1" x14ac:dyDescent="0.25">
      <c r="A1920" s="127">
        <v>44729</v>
      </c>
      <c r="B1920" s="128" t="s">
        <v>19784</v>
      </c>
      <c r="C1920" s="129" t="s">
        <v>282</v>
      </c>
      <c r="D1920" s="130">
        <v>8216</v>
      </c>
      <c r="E1920" s="131">
        <v>44730</v>
      </c>
      <c r="F1920" s="132">
        <v>8216</v>
      </c>
      <c r="G1920" s="133">
        <f>Tabla147[[#This Row],[Importe]]-Tabla147[[#This Row],[Pagado]]</f>
        <v>0</v>
      </c>
      <c r="H1920" s="134" t="s">
        <v>10</v>
      </c>
      <c r="I1920" s="135"/>
    </row>
    <row r="1921" spans="1:9" ht="21.75" customHeight="1" x14ac:dyDescent="0.25">
      <c r="A1921" s="127">
        <v>44729</v>
      </c>
      <c r="B1921" s="128" t="s">
        <v>19785</v>
      </c>
      <c r="C1921" s="129" t="s">
        <v>421</v>
      </c>
      <c r="D1921" s="130">
        <v>6650.3</v>
      </c>
      <c r="E1921" s="131">
        <v>44729</v>
      </c>
      <c r="F1921" s="132">
        <v>6650.3</v>
      </c>
      <c r="G1921" s="133">
        <f>Tabla147[[#This Row],[Importe]]-Tabla147[[#This Row],[Pagado]]</f>
        <v>0</v>
      </c>
      <c r="H1921" s="134" t="s">
        <v>10</v>
      </c>
      <c r="I1921" s="135"/>
    </row>
    <row r="1922" spans="1:9" ht="21.75" customHeight="1" x14ac:dyDescent="0.25">
      <c r="A1922" s="127">
        <v>44729</v>
      </c>
      <c r="B1922" s="128" t="s">
        <v>19786</v>
      </c>
      <c r="C1922" s="129" t="s">
        <v>10819</v>
      </c>
      <c r="D1922" s="130">
        <v>632.4</v>
      </c>
      <c r="E1922" s="131">
        <v>44730</v>
      </c>
      <c r="F1922" s="132">
        <v>632.4</v>
      </c>
      <c r="G1922" s="133">
        <f>Tabla147[[#This Row],[Importe]]-Tabla147[[#This Row],[Pagado]]</f>
        <v>0</v>
      </c>
      <c r="H1922" s="134" t="s">
        <v>10</v>
      </c>
      <c r="I1922" s="135"/>
    </row>
    <row r="1923" spans="1:9" ht="21.75" customHeight="1" x14ac:dyDescent="0.25">
      <c r="A1923" s="127">
        <v>44729</v>
      </c>
      <c r="B1923" s="128" t="s">
        <v>19787</v>
      </c>
      <c r="C1923" s="129" t="s">
        <v>31</v>
      </c>
      <c r="D1923" s="130">
        <v>344.4</v>
      </c>
      <c r="E1923" s="131">
        <v>44729</v>
      </c>
      <c r="F1923" s="132">
        <v>344.4</v>
      </c>
      <c r="G1923" s="133">
        <f>Tabla147[[#This Row],[Importe]]-Tabla147[[#This Row],[Pagado]]</f>
        <v>0</v>
      </c>
      <c r="H1923" s="134" t="s">
        <v>10</v>
      </c>
      <c r="I1923" s="135"/>
    </row>
    <row r="1924" spans="1:9" ht="21.75" customHeight="1" x14ac:dyDescent="0.25">
      <c r="A1924" s="127">
        <v>44729</v>
      </c>
      <c r="B1924" s="128" t="s">
        <v>19788</v>
      </c>
      <c r="C1924" s="129" t="s">
        <v>31</v>
      </c>
      <c r="D1924" s="130">
        <v>5310.9</v>
      </c>
      <c r="E1924" s="131">
        <v>44729</v>
      </c>
      <c r="F1924" s="132">
        <v>5310.9</v>
      </c>
      <c r="G1924" s="133">
        <f>Tabla147[[#This Row],[Importe]]-Tabla147[[#This Row],[Pagado]]</f>
        <v>0</v>
      </c>
      <c r="H1924" s="134" t="s">
        <v>10</v>
      </c>
      <c r="I1924" s="135"/>
    </row>
    <row r="1925" spans="1:9" ht="21.75" customHeight="1" x14ac:dyDescent="0.25">
      <c r="A1925" s="127">
        <v>44729</v>
      </c>
      <c r="B1925" s="128" t="s">
        <v>19789</v>
      </c>
      <c r="C1925" s="129" t="s">
        <v>463</v>
      </c>
      <c r="D1925" s="130">
        <v>550</v>
      </c>
      <c r="E1925" s="131">
        <v>44746</v>
      </c>
      <c r="F1925" s="132">
        <v>550</v>
      </c>
      <c r="G1925" s="133">
        <f>Tabla147[[#This Row],[Importe]]-Tabla147[[#This Row],[Pagado]]</f>
        <v>0</v>
      </c>
      <c r="H1925" s="134" t="s">
        <v>10</v>
      </c>
      <c r="I1925" s="135"/>
    </row>
    <row r="1926" spans="1:9" ht="21.75" customHeight="1" x14ac:dyDescent="0.25">
      <c r="A1926" s="127">
        <v>44729</v>
      </c>
      <c r="B1926" s="128" t="s">
        <v>19790</v>
      </c>
      <c r="C1926" s="129" t="s">
        <v>461</v>
      </c>
      <c r="D1926" s="130">
        <v>394</v>
      </c>
      <c r="E1926" s="131">
        <v>44731</v>
      </c>
      <c r="F1926" s="132">
        <v>394</v>
      </c>
      <c r="G1926" s="133">
        <f>Tabla147[[#This Row],[Importe]]-Tabla147[[#This Row],[Pagado]]</f>
        <v>0</v>
      </c>
      <c r="H1926" s="134" t="s">
        <v>10</v>
      </c>
      <c r="I1926" s="135"/>
    </row>
    <row r="1927" spans="1:9" ht="21.75" customHeight="1" x14ac:dyDescent="0.25">
      <c r="A1927" s="127">
        <v>44729</v>
      </c>
      <c r="B1927" s="128" t="s">
        <v>19791</v>
      </c>
      <c r="C1927" s="129" t="s">
        <v>459</v>
      </c>
      <c r="D1927" s="130">
        <v>213</v>
      </c>
      <c r="E1927" s="131">
        <v>44730</v>
      </c>
      <c r="F1927" s="132">
        <v>213</v>
      </c>
      <c r="G1927" s="133">
        <f>Tabla147[[#This Row],[Importe]]-Tabla147[[#This Row],[Pagado]]</f>
        <v>0</v>
      </c>
      <c r="H1927" s="134" t="s">
        <v>10</v>
      </c>
      <c r="I1927" s="135"/>
    </row>
    <row r="1928" spans="1:9" ht="21.75" customHeight="1" x14ac:dyDescent="0.25">
      <c r="A1928" s="127">
        <v>44729</v>
      </c>
      <c r="B1928" s="128" t="s">
        <v>19792</v>
      </c>
      <c r="C1928" s="129" t="s">
        <v>457</v>
      </c>
      <c r="D1928" s="130">
        <v>198</v>
      </c>
      <c r="E1928" s="131">
        <v>44730</v>
      </c>
      <c r="F1928" s="132">
        <v>198</v>
      </c>
      <c r="G1928" s="133">
        <f>Tabla147[[#This Row],[Importe]]-Tabla147[[#This Row],[Pagado]]</f>
        <v>0</v>
      </c>
      <c r="H1928" s="134" t="s">
        <v>10</v>
      </c>
      <c r="I1928" s="135"/>
    </row>
    <row r="1929" spans="1:9" ht="21.75" customHeight="1" x14ac:dyDescent="0.25">
      <c r="A1929" s="127">
        <v>44729</v>
      </c>
      <c r="B1929" s="128" t="s">
        <v>19793</v>
      </c>
      <c r="C1929" s="129" t="s">
        <v>414</v>
      </c>
      <c r="D1929" s="130">
        <v>21012</v>
      </c>
      <c r="E1929" s="131">
        <v>44748</v>
      </c>
      <c r="F1929" s="132">
        <v>21012</v>
      </c>
      <c r="G1929" s="133">
        <f>Tabla147[[#This Row],[Importe]]-Tabla147[[#This Row],[Pagado]]</f>
        <v>0</v>
      </c>
      <c r="H1929" s="134" t="s">
        <v>10</v>
      </c>
      <c r="I1929" s="135"/>
    </row>
    <row r="1930" spans="1:9" ht="21.75" customHeight="1" x14ac:dyDescent="0.25">
      <c r="A1930" s="127">
        <v>44729</v>
      </c>
      <c r="B1930" s="128" t="s">
        <v>19794</v>
      </c>
      <c r="C1930" s="129" t="s">
        <v>454</v>
      </c>
      <c r="D1930" s="130">
        <v>4124</v>
      </c>
      <c r="E1930" s="131">
        <v>44729</v>
      </c>
      <c r="F1930" s="132">
        <v>4124</v>
      </c>
      <c r="G1930" s="133">
        <f>Tabla147[[#This Row],[Importe]]-Tabla147[[#This Row],[Pagado]]</f>
        <v>0</v>
      </c>
      <c r="H1930" s="134" t="s">
        <v>10</v>
      </c>
      <c r="I1930" s="135"/>
    </row>
    <row r="1931" spans="1:9" ht="21.75" customHeight="1" x14ac:dyDescent="0.25">
      <c r="A1931" s="127">
        <v>44729</v>
      </c>
      <c r="B1931" s="128" t="s">
        <v>19795</v>
      </c>
      <c r="C1931" s="129" t="s">
        <v>373</v>
      </c>
      <c r="D1931" s="130">
        <v>1773.9</v>
      </c>
      <c r="E1931" s="131">
        <v>44729</v>
      </c>
      <c r="F1931" s="132">
        <v>1773.9</v>
      </c>
      <c r="G1931" s="133">
        <f>Tabla147[[#This Row],[Importe]]-Tabla147[[#This Row],[Pagado]]</f>
        <v>0</v>
      </c>
      <c r="H1931" s="134" t="s">
        <v>10</v>
      </c>
      <c r="I1931" s="135"/>
    </row>
    <row r="1932" spans="1:9" ht="21.75" customHeight="1" x14ac:dyDescent="0.25">
      <c r="A1932" s="127">
        <v>44729</v>
      </c>
      <c r="B1932" s="128" t="s">
        <v>19796</v>
      </c>
      <c r="C1932" s="129" t="s">
        <v>10678</v>
      </c>
      <c r="D1932" s="130">
        <v>3196.8</v>
      </c>
      <c r="E1932" s="131">
        <v>44729</v>
      </c>
      <c r="F1932" s="132">
        <v>3196.8</v>
      </c>
      <c r="G1932" s="133">
        <f>Tabla147[[#This Row],[Importe]]-Tabla147[[#This Row],[Pagado]]</f>
        <v>0</v>
      </c>
      <c r="H1932" s="134" t="s">
        <v>10</v>
      </c>
      <c r="I1932" s="135"/>
    </row>
    <row r="1933" spans="1:9" ht="21.75" customHeight="1" x14ac:dyDescent="0.25">
      <c r="A1933" s="127">
        <v>44729</v>
      </c>
      <c r="B1933" s="128" t="s">
        <v>19797</v>
      </c>
      <c r="C1933" s="129" t="s">
        <v>31</v>
      </c>
      <c r="D1933" s="130">
        <v>2314.6999999999998</v>
      </c>
      <c r="E1933" s="131">
        <v>44729</v>
      </c>
      <c r="F1933" s="132">
        <v>2314.6999999999998</v>
      </c>
      <c r="G1933" s="133">
        <f>Tabla147[[#This Row],[Importe]]-Tabla147[[#This Row],[Pagado]]</f>
        <v>0</v>
      </c>
      <c r="H1933" s="134" t="s">
        <v>10</v>
      </c>
      <c r="I1933" s="135"/>
    </row>
    <row r="1934" spans="1:9" ht="21.75" customHeight="1" x14ac:dyDescent="0.25">
      <c r="A1934" s="127">
        <v>44729</v>
      </c>
      <c r="B1934" s="128" t="s">
        <v>19798</v>
      </c>
      <c r="C1934" s="129" t="s">
        <v>5694</v>
      </c>
      <c r="D1934" s="130">
        <v>4611</v>
      </c>
      <c r="E1934" s="131">
        <v>44729</v>
      </c>
      <c r="F1934" s="132">
        <v>4611</v>
      </c>
      <c r="G1934" s="133">
        <f>Tabla147[[#This Row],[Importe]]-Tabla147[[#This Row],[Pagado]]</f>
        <v>0</v>
      </c>
      <c r="H1934" s="134" t="s">
        <v>10</v>
      </c>
      <c r="I1934" s="135"/>
    </row>
    <row r="1935" spans="1:9" ht="21.75" customHeight="1" x14ac:dyDescent="0.25">
      <c r="A1935" s="127">
        <v>44729</v>
      </c>
      <c r="B1935" s="128" t="s">
        <v>19799</v>
      </c>
      <c r="C1935" s="129" t="s">
        <v>31</v>
      </c>
      <c r="D1935" s="130">
        <v>3828.2</v>
      </c>
      <c r="E1935" s="131">
        <v>44729</v>
      </c>
      <c r="F1935" s="132">
        <v>3828.2</v>
      </c>
      <c r="G1935" s="133">
        <f>Tabla147[[#This Row],[Importe]]-Tabla147[[#This Row],[Pagado]]</f>
        <v>0</v>
      </c>
      <c r="H1935" s="134" t="s">
        <v>10</v>
      </c>
      <c r="I1935" s="135"/>
    </row>
    <row r="1936" spans="1:9" ht="21.75" customHeight="1" x14ac:dyDescent="0.25">
      <c r="A1936" s="127">
        <v>44729</v>
      </c>
      <c r="B1936" s="128" t="s">
        <v>19800</v>
      </c>
      <c r="C1936" s="129" t="s">
        <v>14</v>
      </c>
      <c r="D1936" s="130">
        <v>16896</v>
      </c>
      <c r="E1936" s="131">
        <v>44730</v>
      </c>
      <c r="F1936" s="132">
        <v>16896</v>
      </c>
      <c r="G1936" s="133">
        <f>Tabla147[[#This Row],[Importe]]-Tabla147[[#This Row],[Pagado]]</f>
        <v>0</v>
      </c>
      <c r="H1936" s="134" t="s">
        <v>10</v>
      </c>
      <c r="I1936" s="135"/>
    </row>
    <row r="1937" spans="1:9" ht="21.75" customHeight="1" x14ac:dyDescent="0.25">
      <c r="A1937" s="127">
        <v>44729</v>
      </c>
      <c r="B1937" s="128" t="s">
        <v>19801</v>
      </c>
      <c r="C1937" s="129" t="s">
        <v>31</v>
      </c>
      <c r="D1937" s="130">
        <v>684</v>
      </c>
      <c r="E1937" s="131">
        <v>44729</v>
      </c>
      <c r="F1937" s="132">
        <v>684</v>
      </c>
      <c r="G1937" s="133">
        <f>Tabla147[[#This Row],[Importe]]-Tabla147[[#This Row],[Pagado]]</f>
        <v>0</v>
      </c>
      <c r="H1937" s="134" t="s">
        <v>10</v>
      </c>
      <c r="I1937" s="135"/>
    </row>
    <row r="1938" spans="1:9" ht="21.75" customHeight="1" x14ac:dyDescent="0.25">
      <c r="A1938" s="127">
        <v>44729</v>
      </c>
      <c r="B1938" s="128" t="s">
        <v>19802</v>
      </c>
      <c r="C1938" s="129" t="s">
        <v>31</v>
      </c>
      <c r="D1938" s="130">
        <v>6153.6</v>
      </c>
      <c r="E1938" s="131">
        <v>44730</v>
      </c>
      <c r="F1938" s="132">
        <v>6153.6</v>
      </c>
      <c r="G1938" s="133">
        <f>Tabla147[[#This Row],[Importe]]-Tabla147[[#This Row],[Pagado]]</f>
        <v>0</v>
      </c>
      <c r="H1938" s="134" t="s">
        <v>10</v>
      </c>
      <c r="I1938" s="135"/>
    </row>
    <row r="1939" spans="1:9" ht="21.75" customHeight="1" x14ac:dyDescent="0.25">
      <c r="A1939" s="127">
        <v>44729</v>
      </c>
      <c r="B1939" s="128" t="s">
        <v>19803</v>
      </c>
      <c r="C1939" s="129" t="s">
        <v>452</v>
      </c>
      <c r="D1939" s="130">
        <v>7308</v>
      </c>
      <c r="E1939" s="131">
        <v>44730</v>
      </c>
      <c r="F1939" s="132">
        <v>7308</v>
      </c>
      <c r="G1939" s="133">
        <f>Tabla147[[#This Row],[Importe]]-Tabla147[[#This Row],[Pagado]]</f>
        <v>0</v>
      </c>
      <c r="H1939" s="134" t="s">
        <v>10</v>
      </c>
      <c r="I1939" s="135"/>
    </row>
    <row r="1940" spans="1:9" ht="21.75" customHeight="1" x14ac:dyDescent="0.25">
      <c r="A1940" s="127">
        <v>44729</v>
      </c>
      <c r="B1940" s="128" t="s">
        <v>19804</v>
      </c>
      <c r="C1940" s="129" t="s">
        <v>31</v>
      </c>
      <c r="D1940" s="130">
        <v>592.20000000000005</v>
      </c>
      <c r="E1940" s="131">
        <v>44730</v>
      </c>
      <c r="F1940" s="132">
        <v>592.20000000000005</v>
      </c>
      <c r="G1940" s="133">
        <f>Tabla147[[#This Row],[Importe]]-Tabla147[[#This Row],[Pagado]]</f>
        <v>0</v>
      </c>
      <c r="H1940" s="134" t="s">
        <v>10</v>
      </c>
      <c r="I1940" s="135"/>
    </row>
    <row r="1941" spans="1:9" ht="21.75" customHeight="1" x14ac:dyDescent="0.25">
      <c r="A1941" s="127">
        <v>44729</v>
      </c>
      <c r="B1941" s="128" t="s">
        <v>19805</v>
      </c>
      <c r="C1941" s="129" t="s">
        <v>19637</v>
      </c>
      <c r="D1941" s="130">
        <v>11795.4</v>
      </c>
      <c r="E1941" s="131">
        <v>44736</v>
      </c>
      <c r="F1941" s="132">
        <v>11795.4</v>
      </c>
      <c r="G1941" s="133">
        <f>Tabla147[[#This Row],[Importe]]-Tabla147[[#This Row],[Pagado]]</f>
        <v>0</v>
      </c>
      <c r="H1941" s="134" t="s">
        <v>10</v>
      </c>
      <c r="I1941" s="135"/>
    </row>
    <row r="1942" spans="1:9" ht="21.75" customHeight="1" x14ac:dyDescent="0.25">
      <c r="A1942" s="127">
        <v>44729</v>
      </c>
      <c r="B1942" s="128" t="s">
        <v>19806</v>
      </c>
      <c r="C1942" s="129" t="s">
        <v>407</v>
      </c>
      <c r="D1942" s="130">
        <v>17600</v>
      </c>
      <c r="E1942" s="131">
        <v>44732</v>
      </c>
      <c r="F1942" s="132">
        <v>17600</v>
      </c>
      <c r="G1942" s="133">
        <f>Tabla147[[#This Row],[Importe]]-Tabla147[[#This Row],[Pagado]]</f>
        <v>0</v>
      </c>
      <c r="H1942" s="134" t="s">
        <v>10</v>
      </c>
      <c r="I1942" s="135"/>
    </row>
    <row r="1943" spans="1:9" ht="31.5" x14ac:dyDescent="0.25">
      <c r="A1943" s="127">
        <v>44730</v>
      </c>
      <c r="B1943" s="128" t="s">
        <v>19807</v>
      </c>
      <c r="C1943" s="129" t="s">
        <v>475</v>
      </c>
      <c r="D1943" s="130">
        <v>93961</v>
      </c>
      <c r="E1943" s="131" t="s">
        <v>19808</v>
      </c>
      <c r="F1943" s="132">
        <f>74800+19161</f>
        <v>93961</v>
      </c>
      <c r="G1943" s="133">
        <f>Tabla147[[#This Row],[Importe]]-Tabla147[[#This Row],[Pagado]]</f>
        <v>0</v>
      </c>
      <c r="H1943" s="134" t="s">
        <v>10</v>
      </c>
      <c r="I1943" s="135"/>
    </row>
    <row r="1944" spans="1:9" ht="21.75" customHeight="1" x14ac:dyDescent="0.25">
      <c r="A1944" s="127">
        <v>44730</v>
      </c>
      <c r="B1944" s="128" t="s">
        <v>19809</v>
      </c>
      <c r="C1944" s="129" t="s">
        <v>85</v>
      </c>
      <c r="D1944" s="130">
        <v>2509.1999999999998</v>
      </c>
      <c r="E1944" s="131">
        <v>44730</v>
      </c>
      <c r="F1944" s="132">
        <v>2509.1999999999998</v>
      </c>
      <c r="G1944" s="133">
        <f>Tabla147[[#This Row],[Importe]]-Tabla147[[#This Row],[Pagado]]</f>
        <v>0</v>
      </c>
      <c r="H1944" s="134" t="s">
        <v>10</v>
      </c>
      <c r="I1944" s="135"/>
    </row>
    <row r="1945" spans="1:9" ht="21.75" customHeight="1" x14ac:dyDescent="0.25">
      <c r="A1945" s="127">
        <v>44730</v>
      </c>
      <c r="B1945" s="128" t="s">
        <v>19810</v>
      </c>
      <c r="C1945" s="129" t="s">
        <v>85</v>
      </c>
      <c r="D1945" s="130">
        <v>163.19999999999999</v>
      </c>
      <c r="E1945" s="131">
        <v>44730</v>
      </c>
      <c r="F1945" s="132">
        <v>163.19999999999999</v>
      </c>
      <c r="G1945" s="133">
        <f>Tabla147[[#This Row],[Importe]]-Tabla147[[#This Row],[Pagado]]</f>
        <v>0</v>
      </c>
      <c r="H1945" s="134" t="s">
        <v>10</v>
      </c>
      <c r="I1945" s="135"/>
    </row>
    <row r="1946" spans="1:9" ht="21.75" customHeight="1" x14ac:dyDescent="0.25">
      <c r="A1946" s="127">
        <v>44730</v>
      </c>
      <c r="B1946" s="128" t="s">
        <v>19811</v>
      </c>
      <c r="C1946" s="129" t="s">
        <v>31</v>
      </c>
      <c r="D1946" s="130">
        <v>2076</v>
      </c>
      <c r="E1946" s="131">
        <v>44730</v>
      </c>
      <c r="F1946" s="132">
        <v>2076</v>
      </c>
      <c r="G1946" s="133">
        <f>Tabla147[[#This Row],[Importe]]-Tabla147[[#This Row],[Pagado]]</f>
        <v>0</v>
      </c>
      <c r="H1946" s="134" t="s">
        <v>10</v>
      </c>
      <c r="I1946" s="135"/>
    </row>
    <row r="1947" spans="1:9" ht="21.75" customHeight="1" x14ac:dyDescent="0.25">
      <c r="A1947" s="127">
        <v>44730</v>
      </c>
      <c r="B1947" s="128" t="s">
        <v>19812</v>
      </c>
      <c r="C1947" s="129" t="s">
        <v>20</v>
      </c>
      <c r="D1947" s="130">
        <v>1804.7</v>
      </c>
      <c r="E1947" s="131">
        <v>44730</v>
      </c>
      <c r="F1947" s="132">
        <v>1804.7</v>
      </c>
      <c r="G1947" s="133">
        <f>Tabla147[[#This Row],[Importe]]-Tabla147[[#This Row],[Pagado]]</f>
        <v>0</v>
      </c>
      <c r="H1947" s="134" t="s">
        <v>10</v>
      </c>
      <c r="I1947" s="135"/>
    </row>
    <row r="1948" spans="1:9" ht="21.75" customHeight="1" x14ac:dyDescent="0.25">
      <c r="A1948" s="127">
        <v>44730</v>
      </c>
      <c r="B1948" s="128" t="s">
        <v>19813</v>
      </c>
      <c r="C1948" s="129" t="s">
        <v>31</v>
      </c>
      <c r="D1948" s="130">
        <v>4749.2</v>
      </c>
      <c r="E1948" s="131">
        <v>44730</v>
      </c>
      <c r="F1948" s="132">
        <v>4749.2</v>
      </c>
      <c r="G1948" s="133">
        <f>Tabla147[[#This Row],[Importe]]-Tabla147[[#This Row],[Pagado]]</f>
        <v>0</v>
      </c>
      <c r="H1948" s="134" t="s">
        <v>10</v>
      </c>
      <c r="I1948" s="135"/>
    </row>
    <row r="1949" spans="1:9" ht="21.75" customHeight="1" x14ac:dyDescent="0.25">
      <c r="A1949" s="127">
        <v>44730</v>
      </c>
      <c r="B1949" s="128" t="s">
        <v>19814</v>
      </c>
      <c r="C1949" s="129" t="s">
        <v>481</v>
      </c>
      <c r="D1949" s="130">
        <v>2659</v>
      </c>
      <c r="E1949" s="131">
        <v>44730</v>
      </c>
      <c r="F1949" s="132">
        <v>2659</v>
      </c>
      <c r="G1949" s="133">
        <f>Tabla147[[#This Row],[Importe]]-Tabla147[[#This Row],[Pagado]]</f>
        <v>0</v>
      </c>
      <c r="H1949" s="134" t="s">
        <v>10</v>
      </c>
      <c r="I1949" s="135"/>
    </row>
    <row r="1950" spans="1:9" ht="21.75" customHeight="1" x14ac:dyDescent="0.25">
      <c r="A1950" s="127">
        <v>44730</v>
      </c>
      <c r="B1950" s="128" t="s">
        <v>19815</v>
      </c>
      <c r="C1950" s="129" t="s">
        <v>49</v>
      </c>
      <c r="D1950" s="130">
        <v>5158.5</v>
      </c>
      <c r="E1950" s="131">
        <v>44730</v>
      </c>
      <c r="F1950" s="132">
        <v>5158.5</v>
      </c>
      <c r="G1950" s="133">
        <f>Tabla147[[#This Row],[Importe]]-Tabla147[[#This Row],[Pagado]]</f>
        <v>0</v>
      </c>
      <c r="H1950" s="134" t="s">
        <v>10</v>
      </c>
      <c r="I1950" s="135"/>
    </row>
    <row r="1951" spans="1:9" ht="47.25" x14ac:dyDescent="0.25">
      <c r="A1951" s="127">
        <v>44730</v>
      </c>
      <c r="B1951" s="128" t="s">
        <v>19816</v>
      </c>
      <c r="C1951" s="129" t="s">
        <v>99</v>
      </c>
      <c r="D1951" s="130">
        <v>15547</v>
      </c>
      <c r="E1951" s="131" t="s">
        <v>19817</v>
      </c>
      <c r="F1951" s="132">
        <f>8000+3100+4447</f>
        <v>15547</v>
      </c>
      <c r="G1951" s="133">
        <f>Tabla147[[#This Row],[Importe]]-Tabla147[[#This Row],[Pagado]]</f>
        <v>0</v>
      </c>
      <c r="H1951" s="134" t="s">
        <v>10</v>
      </c>
      <c r="I1951" s="135"/>
    </row>
    <row r="1952" spans="1:9" ht="21.75" customHeight="1" x14ac:dyDescent="0.25">
      <c r="A1952" s="127">
        <v>44730</v>
      </c>
      <c r="B1952" s="128" t="s">
        <v>19818</v>
      </c>
      <c r="C1952" s="129" t="s">
        <v>93</v>
      </c>
      <c r="D1952" s="130">
        <v>18151.400000000001</v>
      </c>
      <c r="E1952" s="131">
        <v>44732</v>
      </c>
      <c r="F1952" s="132">
        <v>18151.400000000001</v>
      </c>
      <c r="G1952" s="133">
        <f>Tabla147[[#This Row],[Importe]]-Tabla147[[#This Row],[Pagado]]</f>
        <v>0</v>
      </c>
      <c r="H1952" s="134" t="s">
        <v>10</v>
      </c>
      <c r="I1952" s="135"/>
    </row>
    <row r="1953" spans="1:9" ht="21.75" customHeight="1" x14ac:dyDescent="0.25">
      <c r="A1953" s="127">
        <v>44730</v>
      </c>
      <c r="B1953" s="128" t="s">
        <v>19819</v>
      </c>
      <c r="C1953" s="129" t="s">
        <v>348</v>
      </c>
      <c r="D1953" s="130">
        <v>3024</v>
      </c>
      <c r="E1953" s="131">
        <v>44730</v>
      </c>
      <c r="F1953" s="132">
        <v>3024</v>
      </c>
      <c r="G1953" s="133">
        <f>Tabla147[[#This Row],[Importe]]-Tabla147[[#This Row],[Pagado]]</f>
        <v>0</v>
      </c>
      <c r="H1953" s="134" t="s">
        <v>10</v>
      </c>
      <c r="I1953" s="135"/>
    </row>
    <row r="1954" spans="1:9" ht="21.75" customHeight="1" x14ac:dyDescent="0.25">
      <c r="A1954" s="127">
        <v>44730</v>
      </c>
      <c r="B1954" s="128" t="s">
        <v>19820</v>
      </c>
      <c r="C1954" s="129" t="s">
        <v>120</v>
      </c>
      <c r="D1954" s="130">
        <v>5102.6000000000004</v>
      </c>
      <c r="E1954" s="131">
        <v>44732</v>
      </c>
      <c r="F1954" s="132">
        <v>5102.6000000000004</v>
      </c>
      <c r="G1954" s="133">
        <f>Tabla147[[#This Row],[Importe]]-Tabla147[[#This Row],[Pagado]]</f>
        <v>0</v>
      </c>
      <c r="H1954" s="134" t="s">
        <v>10</v>
      </c>
      <c r="I1954" s="135"/>
    </row>
    <row r="1955" spans="1:9" ht="21.75" customHeight="1" x14ac:dyDescent="0.25">
      <c r="A1955" s="127">
        <v>44730</v>
      </c>
      <c r="B1955" s="128" t="s">
        <v>19821</v>
      </c>
      <c r="C1955" s="129" t="s">
        <v>18045</v>
      </c>
      <c r="D1955" s="130">
        <v>0</v>
      </c>
      <c r="E1955" s="136" t="s">
        <v>189</v>
      </c>
      <c r="F1955" s="132">
        <v>0</v>
      </c>
      <c r="G1955" s="133">
        <f>Tabla147[[#This Row],[Importe]]-Tabla147[[#This Row],[Pagado]]</f>
        <v>0</v>
      </c>
      <c r="H1955" s="137" t="s">
        <v>19822</v>
      </c>
      <c r="I1955" s="135"/>
    </row>
    <row r="1956" spans="1:9" ht="21.75" customHeight="1" x14ac:dyDescent="0.25">
      <c r="A1956" s="127">
        <v>44730</v>
      </c>
      <c r="B1956" s="128" t="s">
        <v>19823</v>
      </c>
      <c r="C1956" s="129" t="s">
        <v>111</v>
      </c>
      <c r="D1956" s="130">
        <v>11100</v>
      </c>
      <c r="E1956" s="131">
        <v>44732</v>
      </c>
      <c r="F1956" s="132">
        <v>11100</v>
      </c>
      <c r="G1956" s="133">
        <f>Tabla147[[#This Row],[Importe]]-Tabla147[[#This Row],[Pagado]]</f>
        <v>0</v>
      </c>
      <c r="H1956" s="134" t="s">
        <v>10</v>
      </c>
      <c r="I1956" s="135"/>
    </row>
    <row r="1957" spans="1:9" ht="21.75" customHeight="1" x14ac:dyDescent="0.25">
      <c r="A1957" s="127">
        <v>44730</v>
      </c>
      <c r="B1957" s="128" t="s">
        <v>19824</v>
      </c>
      <c r="C1957" s="129" t="s">
        <v>5043</v>
      </c>
      <c r="D1957" s="130">
        <v>6032.6</v>
      </c>
      <c r="E1957" s="131">
        <v>44733</v>
      </c>
      <c r="F1957" s="132">
        <v>6032.6</v>
      </c>
      <c r="G1957" s="133">
        <f>Tabla147[[#This Row],[Importe]]-Tabla147[[#This Row],[Pagado]]</f>
        <v>0</v>
      </c>
      <c r="H1957" s="134" t="s">
        <v>10</v>
      </c>
      <c r="I1957" s="135"/>
    </row>
    <row r="1958" spans="1:9" ht="21.75" customHeight="1" x14ac:dyDescent="0.25">
      <c r="A1958" s="127">
        <v>44730</v>
      </c>
      <c r="B1958" s="128" t="s">
        <v>19825</v>
      </c>
      <c r="C1958" s="129" t="s">
        <v>2563</v>
      </c>
      <c r="D1958" s="130">
        <v>5735</v>
      </c>
      <c r="E1958" s="131">
        <v>44732</v>
      </c>
      <c r="F1958" s="132">
        <v>5735</v>
      </c>
      <c r="G1958" s="133">
        <f>Tabla147[[#This Row],[Importe]]-Tabla147[[#This Row],[Pagado]]</f>
        <v>0</v>
      </c>
      <c r="H1958" s="134" t="s">
        <v>10</v>
      </c>
      <c r="I1958" s="135"/>
    </row>
    <row r="1959" spans="1:9" ht="21.75" customHeight="1" x14ac:dyDescent="0.25">
      <c r="A1959" s="127">
        <v>44730</v>
      </c>
      <c r="B1959" s="128" t="s">
        <v>19826</v>
      </c>
      <c r="C1959" s="129" t="s">
        <v>109</v>
      </c>
      <c r="D1959" s="130">
        <v>5220</v>
      </c>
      <c r="E1959" s="131">
        <v>44732</v>
      </c>
      <c r="F1959" s="132">
        <v>5220</v>
      </c>
      <c r="G1959" s="133">
        <f>Tabla147[[#This Row],[Importe]]-Tabla147[[#This Row],[Pagado]]</f>
        <v>0</v>
      </c>
      <c r="H1959" s="134" t="s">
        <v>10</v>
      </c>
      <c r="I1959" s="135"/>
    </row>
    <row r="1960" spans="1:9" ht="21.75" customHeight="1" x14ac:dyDescent="0.25">
      <c r="A1960" s="127">
        <v>44730</v>
      </c>
      <c r="B1960" s="128" t="s">
        <v>19827</v>
      </c>
      <c r="C1960" s="129" t="s">
        <v>105</v>
      </c>
      <c r="D1960" s="130">
        <v>19529.400000000001</v>
      </c>
      <c r="E1960" s="131">
        <v>44732</v>
      </c>
      <c r="F1960" s="132">
        <v>19529.400000000001</v>
      </c>
      <c r="G1960" s="133">
        <f>Tabla147[[#This Row],[Importe]]-Tabla147[[#This Row],[Pagado]]</f>
        <v>0</v>
      </c>
      <c r="H1960" s="134" t="s">
        <v>10</v>
      </c>
      <c r="I1960" s="135"/>
    </row>
    <row r="1961" spans="1:9" ht="21.75" customHeight="1" x14ac:dyDescent="0.25">
      <c r="A1961" s="127">
        <v>44730</v>
      </c>
      <c r="B1961" s="128" t="s">
        <v>19828</v>
      </c>
      <c r="C1961" s="129" t="s">
        <v>64</v>
      </c>
      <c r="D1961" s="130">
        <v>10239.4</v>
      </c>
      <c r="E1961" s="131">
        <v>44732</v>
      </c>
      <c r="F1961" s="132">
        <v>10239.4</v>
      </c>
      <c r="G1961" s="133">
        <f>Tabla147[[#This Row],[Importe]]-Tabla147[[#This Row],[Pagado]]</f>
        <v>0</v>
      </c>
      <c r="H1961" s="134" t="s">
        <v>10</v>
      </c>
      <c r="I1961" s="135"/>
    </row>
    <row r="1962" spans="1:9" ht="21.75" customHeight="1" x14ac:dyDescent="0.25">
      <c r="A1962" s="127">
        <v>44730</v>
      </c>
      <c r="B1962" s="128" t="s">
        <v>19829</v>
      </c>
      <c r="C1962" s="129" t="s">
        <v>60</v>
      </c>
      <c r="D1962" s="130">
        <v>6528.3</v>
      </c>
      <c r="E1962" s="131">
        <v>44737</v>
      </c>
      <c r="F1962" s="132">
        <v>6528.3</v>
      </c>
      <c r="G1962" s="133">
        <f>Tabla147[[#This Row],[Importe]]-Tabla147[[#This Row],[Pagado]]</f>
        <v>0</v>
      </c>
      <c r="H1962" s="134" t="s">
        <v>10</v>
      </c>
      <c r="I1962" s="135"/>
    </row>
    <row r="1963" spans="1:9" ht="21.75" customHeight="1" x14ac:dyDescent="0.25">
      <c r="A1963" s="127">
        <v>44730</v>
      </c>
      <c r="B1963" s="128" t="s">
        <v>19830</v>
      </c>
      <c r="C1963" s="129" t="s">
        <v>97</v>
      </c>
      <c r="D1963" s="130">
        <v>10397.4</v>
      </c>
      <c r="E1963" s="131">
        <v>44733</v>
      </c>
      <c r="F1963" s="132">
        <v>10397.4</v>
      </c>
      <c r="G1963" s="133">
        <f>Tabla147[[#This Row],[Importe]]-Tabla147[[#This Row],[Pagado]]</f>
        <v>0</v>
      </c>
      <c r="H1963" s="134" t="s">
        <v>10</v>
      </c>
      <c r="I1963" s="135"/>
    </row>
    <row r="1964" spans="1:9" ht="21.75" customHeight="1" x14ac:dyDescent="0.25">
      <c r="A1964" s="127">
        <v>44730</v>
      </c>
      <c r="B1964" s="128" t="s">
        <v>19831</v>
      </c>
      <c r="C1964" s="129" t="s">
        <v>2151</v>
      </c>
      <c r="D1964" s="130">
        <v>42942</v>
      </c>
      <c r="E1964" s="131">
        <v>44730</v>
      </c>
      <c r="F1964" s="132">
        <v>42942</v>
      </c>
      <c r="G1964" s="133">
        <f>Tabla147[[#This Row],[Importe]]-Tabla147[[#This Row],[Pagado]]</f>
        <v>0</v>
      </c>
      <c r="H1964" s="134" t="s">
        <v>10</v>
      </c>
      <c r="I1964" s="135"/>
    </row>
    <row r="1965" spans="1:9" ht="21.75" customHeight="1" x14ac:dyDescent="0.25">
      <c r="A1965" s="127">
        <v>44730</v>
      </c>
      <c r="B1965" s="128" t="s">
        <v>19832</v>
      </c>
      <c r="C1965" s="129" t="s">
        <v>89</v>
      </c>
      <c r="D1965" s="130">
        <v>14567.8</v>
      </c>
      <c r="E1965" s="131">
        <v>44732</v>
      </c>
      <c r="F1965" s="132">
        <v>14567.8</v>
      </c>
      <c r="G1965" s="133">
        <f>Tabla147[[#This Row],[Importe]]-Tabla147[[#This Row],[Pagado]]</f>
        <v>0</v>
      </c>
      <c r="H1965" s="134" t="s">
        <v>10</v>
      </c>
      <c r="I1965" s="135"/>
    </row>
    <row r="1966" spans="1:9" ht="21.75" customHeight="1" x14ac:dyDescent="0.25">
      <c r="A1966" s="127">
        <v>44730</v>
      </c>
      <c r="B1966" s="128" t="s">
        <v>19833</v>
      </c>
      <c r="C1966" s="129" t="s">
        <v>326</v>
      </c>
      <c r="D1966" s="130">
        <v>16181.1</v>
      </c>
      <c r="E1966" s="131">
        <v>44733</v>
      </c>
      <c r="F1966" s="132">
        <v>16181.1</v>
      </c>
      <c r="G1966" s="133">
        <f>Tabla147[[#This Row],[Importe]]-Tabla147[[#This Row],[Pagado]]</f>
        <v>0</v>
      </c>
      <c r="H1966" s="134" t="s">
        <v>10</v>
      </c>
      <c r="I1966" s="135"/>
    </row>
    <row r="1967" spans="1:9" ht="21.75" customHeight="1" x14ac:dyDescent="0.25">
      <c r="A1967" s="127">
        <v>44730</v>
      </c>
      <c r="B1967" s="128" t="s">
        <v>19834</v>
      </c>
      <c r="C1967" s="129" t="s">
        <v>97</v>
      </c>
      <c r="D1967" s="130">
        <v>333.5</v>
      </c>
      <c r="E1967" s="131">
        <v>44733</v>
      </c>
      <c r="F1967" s="132">
        <v>333.5</v>
      </c>
      <c r="G1967" s="133">
        <f>Tabla147[[#This Row],[Importe]]-Tabla147[[#This Row],[Pagado]]</f>
        <v>0</v>
      </c>
      <c r="H1967" s="134" t="s">
        <v>10</v>
      </c>
      <c r="I1967" s="135"/>
    </row>
    <row r="1968" spans="1:9" ht="21.75" customHeight="1" x14ac:dyDescent="0.25">
      <c r="A1968" s="127">
        <v>44730</v>
      </c>
      <c r="B1968" s="128" t="s">
        <v>19835</v>
      </c>
      <c r="C1968" s="129" t="s">
        <v>918</v>
      </c>
      <c r="D1968" s="130">
        <v>304.5</v>
      </c>
      <c r="E1968" s="131">
        <v>44730</v>
      </c>
      <c r="F1968" s="132">
        <v>304.5</v>
      </c>
      <c r="G1968" s="133">
        <f>Tabla147[[#This Row],[Importe]]-Tabla147[[#This Row],[Pagado]]</f>
        <v>0</v>
      </c>
      <c r="H1968" s="134" t="s">
        <v>10</v>
      </c>
      <c r="I1968" s="135"/>
    </row>
    <row r="1969" spans="1:9" ht="21.75" customHeight="1" x14ac:dyDescent="0.25">
      <c r="A1969" s="127">
        <v>44730</v>
      </c>
      <c r="B1969" s="128" t="s">
        <v>19836</v>
      </c>
      <c r="C1969" s="129" t="s">
        <v>9</v>
      </c>
      <c r="D1969" s="130">
        <v>15212.4</v>
      </c>
      <c r="E1969" s="131">
        <v>44730</v>
      </c>
      <c r="F1969" s="132">
        <v>15212.4</v>
      </c>
      <c r="G1969" s="133">
        <f>Tabla147[[#This Row],[Importe]]-Tabla147[[#This Row],[Pagado]]</f>
        <v>0</v>
      </c>
      <c r="H1969" s="134" t="s">
        <v>10</v>
      </c>
      <c r="I1969" s="135"/>
    </row>
    <row r="1970" spans="1:9" ht="21.75" customHeight="1" x14ac:dyDescent="0.25">
      <c r="A1970" s="127">
        <v>44730</v>
      </c>
      <c r="B1970" s="128" t="s">
        <v>19837</v>
      </c>
      <c r="C1970" s="129" t="s">
        <v>31</v>
      </c>
      <c r="D1970" s="130">
        <v>1287</v>
      </c>
      <c r="E1970" s="131">
        <v>44730</v>
      </c>
      <c r="F1970" s="132">
        <v>1287</v>
      </c>
      <c r="G1970" s="133">
        <f>Tabla147[[#This Row],[Importe]]-Tabla147[[#This Row],[Pagado]]</f>
        <v>0</v>
      </c>
      <c r="H1970" s="134" t="s">
        <v>10</v>
      </c>
      <c r="I1970" s="135"/>
    </row>
    <row r="1971" spans="1:9" ht="21.75" customHeight="1" x14ac:dyDescent="0.25">
      <c r="A1971" s="127">
        <v>44730</v>
      </c>
      <c r="B1971" s="128" t="s">
        <v>19838</v>
      </c>
      <c r="C1971" s="129" t="s">
        <v>14321</v>
      </c>
      <c r="D1971" s="130">
        <v>0</v>
      </c>
      <c r="E1971" s="136" t="s">
        <v>189</v>
      </c>
      <c r="F1971" s="132">
        <v>0</v>
      </c>
      <c r="G1971" s="133">
        <f>Tabla147[[#This Row],[Importe]]-Tabla147[[#This Row],[Pagado]]</f>
        <v>0</v>
      </c>
      <c r="H1971" s="134" t="s">
        <v>189</v>
      </c>
      <c r="I1971" s="135"/>
    </row>
    <row r="1972" spans="1:9" ht="21.75" customHeight="1" x14ac:dyDescent="0.25">
      <c r="A1972" s="127">
        <v>44730</v>
      </c>
      <c r="B1972" s="128" t="s">
        <v>19839</v>
      </c>
      <c r="C1972" s="129" t="s">
        <v>407</v>
      </c>
      <c r="D1972" s="130">
        <v>34678</v>
      </c>
      <c r="E1972" s="131">
        <v>44733</v>
      </c>
      <c r="F1972" s="132">
        <v>34678</v>
      </c>
      <c r="G1972" s="133">
        <f>Tabla147[[#This Row],[Importe]]-Tabla147[[#This Row],[Pagado]]</f>
        <v>0</v>
      </c>
      <c r="H1972" s="134" t="s">
        <v>10</v>
      </c>
      <c r="I1972" s="135"/>
    </row>
    <row r="1973" spans="1:9" ht="21.75" customHeight="1" x14ac:dyDescent="0.25">
      <c r="A1973" s="127">
        <v>44730</v>
      </c>
      <c r="B1973" s="128" t="s">
        <v>19840</v>
      </c>
      <c r="C1973" s="129" t="s">
        <v>31</v>
      </c>
      <c r="D1973" s="130">
        <v>8125.2</v>
      </c>
      <c r="E1973" s="131">
        <v>44730</v>
      </c>
      <c r="F1973" s="132">
        <v>8125.2</v>
      </c>
      <c r="G1973" s="133">
        <f>Tabla147[[#This Row],[Importe]]-Tabla147[[#This Row],[Pagado]]</f>
        <v>0</v>
      </c>
      <c r="H1973" s="134" t="s">
        <v>10</v>
      </c>
      <c r="I1973" s="135"/>
    </row>
    <row r="1974" spans="1:9" ht="31.5" x14ac:dyDescent="0.25">
      <c r="A1974" s="127">
        <v>44730</v>
      </c>
      <c r="B1974" s="128" t="s">
        <v>19841</v>
      </c>
      <c r="C1974" s="129" t="s">
        <v>22</v>
      </c>
      <c r="D1974" s="130">
        <v>70787.100000000006</v>
      </c>
      <c r="E1974" s="131" t="s">
        <v>19808</v>
      </c>
      <c r="F1974" s="132">
        <f>55803.7+14983.4</f>
        <v>70787.099999999991</v>
      </c>
      <c r="G1974" s="133">
        <f>Tabla147[[#This Row],[Importe]]-Tabla147[[#This Row],[Pagado]]</f>
        <v>0</v>
      </c>
      <c r="H1974" s="134" t="s">
        <v>10</v>
      </c>
      <c r="I1974" s="135"/>
    </row>
    <row r="1975" spans="1:9" ht="21.75" customHeight="1" x14ac:dyDescent="0.25">
      <c r="A1975" s="127">
        <v>44730</v>
      </c>
      <c r="B1975" s="128" t="s">
        <v>19842</v>
      </c>
      <c r="C1975" s="129" t="s">
        <v>131</v>
      </c>
      <c r="D1975" s="130">
        <v>10736.4</v>
      </c>
      <c r="E1975" s="131">
        <v>44730</v>
      </c>
      <c r="F1975" s="132">
        <v>10736.4</v>
      </c>
      <c r="G1975" s="133">
        <f>Tabla147[[#This Row],[Importe]]-Tabla147[[#This Row],[Pagado]]</f>
        <v>0</v>
      </c>
      <c r="H1975" s="134" t="s">
        <v>10</v>
      </c>
      <c r="I1975" s="135"/>
    </row>
    <row r="1976" spans="1:9" ht="21.75" customHeight="1" x14ac:dyDescent="0.25">
      <c r="A1976" s="127">
        <v>44730</v>
      </c>
      <c r="B1976" s="128" t="s">
        <v>19843</v>
      </c>
      <c r="C1976" s="129" t="s">
        <v>12202</v>
      </c>
      <c r="D1976" s="130">
        <v>6840</v>
      </c>
      <c r="E1976" s="131">
        <v>44730</v>
      </c>
      <c r="F1976" s="132">
        <v>6840</v>
      </c>
      <c r="G1976" s="133">
        <f>Tabla147[[#This Row],[Importe]]-Tabla147[[#This Row],[Pagado]]</f>
        <v>0</v>
      </c>
      <c r="H1976" s="134" t="s">
        <v>10</v>
      </c>
      <c r="I1976" s="135"/>
    </row>
    <row r="1977" spans="1:9" ht="21.75" customHeight="1" x14ac:dyDescent="0.25">
      <c r="A1977" s="127">
        <v>44730</v>
      </c>
      <c r="B1977" s="128" t="s">
        <v>19844</v>
      </c>
      <c r="C1977" s="129" t="s">
        <v>31</v>
      </c>
      <c r="D1977" s="130">
        <v>532.5</v>
      </c>
      <c r="E1977" s="131">
        <v>44730</v>
      </c>
      <c r="F1977" s="132">
        <v>532.5</v>
      </c>
      <c r="G1977" s="133">
        <f>Tabla147[[#This Row],[Importe]]-Tabla147[[#This Row],[Pagado]]</f>
        <v>0</v>
      </c>
      <c r="H1977" s="134" t="s">
        <v>10</v>
      </c>
      <c r="I1977" s="135"/>
    </row>
    <row r="1978" spans="1:9" ht="21.75" customHeight="1" x14ac:dyDescent="0.25">
      <c r="A1978" s="127">
        <v>44730</v>
      </c>
      <c r="B1978" s="128" t="s">
        <v>19845</v>
      </c>
      <c r="C1978" s="129" t="s">
        <v>79</v>
      </c>
      <c r="D1978" s="130">
        <v>29208.1</v>
      </c>
      <c r="E1978" s="131">
        <v>44730</v>
      </c>
      <c r="F1978" s="132">
        <v>29208.1</v>
      </c>
      <c r="G1978" s="133">
        <f>Tabla147[[#This Row],[Importe]]-Tabla147[[#This Row],[Pagado]]</f>
        <v>0</v>
      </c>
      <c r="H1978" s="134" t="s">
        <v>10</v>
      </c>
      <c r="I1978" s="135"/>
    </row>
    <row r="1979" spans="1:9" ht="21.75" customHeight="1" x14ac:dyDescent="0.25">
      <c r="A1979" s="127">
        <v>44730</v>
      </c>
      <c r="B1979" s="128" t="s">
        <v>19846</v>
      </c>
      <c r="C1979" s="129" t="s">
        <v>333</v>
      </c>
      <c r="D1979" s="130">
        <v>1590.4</v>
      </c>
      <c r="E1979" s="131">
        <v>44730</v>
      </c>
      <c r="F1979" s="132">
        <v>1590.4</v>
      </c>
      <c r="G1979" s="133">
        <f>Tabla147[[#This Row],[Importe]]-Tabla147[[#This Row],[Pagado]]</f>
        <v>0</v>
      </c>
      <c r="H1979" s="134" t="s">
        <v>10</v>
      </c>
      <c r="I1979" s="135"/>
    </row>
    <row r="1980" spans="1:9" ht="21.75" customHeight="1" x14ac:dyDescent="0.25">
      <c r="A1980" s="127">
        <v>44730</v>
      </c>
      <c r="B1980" s="128" t="s">
        <v>19847</v>
      </c>
      <c r="C1980" s="129" t="s">
        <v>19848</v>
      </c>
      <c r="D1980" s="130">
        <v>0</v>
      </c>
      <c r="E1980" s="136" t="s">
        <v>189</v>
      </c>
      <c r="F1980" s="132">
        <v>0</v>
      </c>
      <c r="G1980" s="133">
        <f>Tabla147[[#This Row],[Importe]]-Tabla147[[#This Row],[Pagado]]</f>
        <v>0</v>
      </c>
      <c r="H1980" s="134" t="s">
        <v>189</v>
      </c>
      <c r="I1980" s="135"/>
    </row>
    <row r="1981" spans="1:9" ht="21.75" customHeight="1" x14ac:dyDescent="0.25">
      <c r="A1981" s="127">
        <v>44730</v>
      </c>
      <c r="B1981" s="128" t="s">
        <v>19849</v>
      </c>
      <c r="C1981" s="129" t="s">
        <v>804</v>
      </c>
      <c r="D1981" s="130">
        <v>19301.8</v>
      </c>
      <c r="E1981" s="131">
        <v>44730</v>
      </c>
      <c r="F1981" s="132">
        <v>19301.8</v>
      </c>
      <c r="G1981" s="133">
        <f>Tabla147[[#This Row],[Importe]]-Tabla147[[#This Row],[Pagado]]</f>
        <v>0</v>
      </c>
      <c r="H1981" s="134" t="s">
        <v>10</v>
      </c>
      <c r="I1981" s="135"/>
    </row>
    <row r="1982" spans="1:9" ht="21.75" customHeight="1" x14ac:dyDescent="0.25">
      <c r="A1982" s="127">
        <v>44730</v>
      </c>
      <c r="B1982" s="128" t="s">
        <v>19850</v>
      </c>
      <c r="C1982" s="129" t="s">
        <v>1362</v>
      </c>
      <c r="D1982" s="130">
        <v>8375.2000000000007</v>
      </c>
      <c r="E1982" s="131">
        <v>44730</v>
      </c>
      <c r="F1982" s="132">
        <v>8375.2000000000007</v>
      </c>
      <c r="G1982" s="133">
        <f>Tabla147[[#This Row],[Importe]]-Tabla147[[#This Row],[Pagado]]</f>
        <v>0</v>
      </c>
      <c r="H1982" s="134" t="s">
        <v>10</v>
      </c>
      <c r="I1982" s="135"/>
    </row>
    <row r="1983" spans="1:9" ht="21.75" customHeight="1" x14ac:dyDescent="0.25">
      <c r="A1983" s="127">
        <v>44730</v>
      </c>
      <c r="B1983" s="128" t="s">
        <v>19851</v>
      </c>
      <c r="C1983" s="129" t="s">
        <v>11033</v>
      </c>
      <c r="D1983" s="130">
        <v>3574.2</v>
      </c>
      <c r="E1983" s="131">
        <v>44730</v>
      </c>
      <c r="F1983" s="132">
        <v>3574.2</v>
      </c>
      <c r="G1983" s="133">
        <f>Tabla147[[#This Row],[Importe]]-Tabla147[[#This Row],[Pagado]]</f>
        <v>0</v>
      </c>
      <c r="H1983" s="134" t="s">
        <v>10</v>
      </c>
      <c r="I1983" s="135"/>
    </row>
    <row r="1984" spans="1:9" ht="21.75" customHeight="1" x14ac:dyDescent="0.25">
      <c r="A1984" s="127">
        <v>44730</v>
      </c>
      <c r="B1984" s="128" t="s">
        <v>19852</v>
      </c>
      <c r="C1984" s="129" t="s">
        <v>314</v>
      </c>
      <c r="D1984" s="130">
        <v>3488.4</v>
      </c>
      <c r="E1984" s="131">
        <v>44730</v>
      </c>
      <c r="F1984" s="132">
        <v>3488.4</v>
      </c>
      <c r="G1984" s="133">
        <f>Tabla147[[#This Row],[Importe]]-Tabla147[[#This Row],[Pagado]]</f>
        <v>0</v>
      </c>
      <c r="H1984" s="134" t="s">
        <v>10</v>
      </c>
      <c r="I1984" s="135"/>
    </row>
    <row r="1985" spans="1:9" ht="31.5" x14ac:dyDescent="0.25">
      <c r="A1985" s="127">
        <v>44730</v>
      </c>
      <c r="B1985" s="128" t="s">
        <v>19853</v>
      </c>
      <c r="C1985" s="129" t="s">
        <v>75</v>
      </c>
      <c r="D1985" s="130">
        <v>20583.599999999999</v>
      </c>
      <c r="E1985" s="131" t="s">
        <v>19664</v>
      </c>
      <c r="F1985" s="132">
        <f>9560.5+11023.1</f>
        <v>20583.599999999999</v>
      </c>
      <c r="G1985" s="133">
        <f>Tabla147[[#This Row],[Importe]]-Tabla147[[#This Row],[Pagado]]</f>
        <v>0</v>
      </c>
      <c r="H1985" s="134" t="s">
        <v>10</v>
      </c>
      <c r="I1985" s="135"/>
    </row>
    <row r="1986" spans="1:9" ht="21.75" customHeight="1" x14ac:dyDescent="0.25">
      <c r="A1986" s="127">
        <v>44730</v>
      </c>
      <c r="B1986" s="128" t="s">
        <v>19854</v>
      </c>
      <c r="C1986" s="129" t="s">
        <v>87</v>
      </c>
      <c r="D1986" s="130">
        <v>4356.8999999999996</v>
      </c>
      <c r="E1986" s="131">
        <v>44730</v>
      </c>
      <c r="F1986" s="132">
        <v>4356.8999999999996</v>
      </c>
      <c r="G1986" s="133">
        <f>Tabla147[[#This Row],[Importe]]-Tabla147[[#This Row],[Pagado]]</f>
        <v>0</v>
      </c>
      <c r="H1986" s="134" t="s">
        <v>10</v>
      </c>
      <c r="I1986" s="135"/>
    </row>
    <row r="1987" spans="1:9" ht="21.75" customHeight="1" x14ac:dyDescent="0.25">
      <c r="A1987" s="127">
        <v>44730</v>
      </c>
      <c r="B1987" s="128" t="s">
        <v>19855</v>
      </c>
      <c r="C1987" s="129" t="s">
        <v>473</v>
      </c>
      <c r="D1987" s="130">
        <v>6435.5</v>
      </c>
      <c r="E1987" s="131">
        <v>44730</v>
      </c>
      <c r="F1987" s="132">
        <v>6435.5</v>
      </c>
      <c r="G1987" s="133">
        <f>Tabla147[[#This Row],[Importe]]-Tabla147[[#This Row],[Pagado]]</f>
        <v>0</v>
      </c>
      <c r="H1987" s="134" t="s">
        <v>10</v>
      </c>
      <c r="I1987" s="135"/>
    </row>
    <row r="1988" spans="1:9" ht="21.75" customHeight="1" x14ac:dyDescent="0.25">
      <c r="A1988" s="127">
        <v>44730</v>
      </c>
      <c r="B1988" s="128" t="s">
        <v>19856</v>
      </c>
      <c r="C1988" s="129" t="s">
        <v>518</v>
      </c>
      <c r="D1988" s="130">
        <v>1092</v>
      </c>
      <c r="E1988" s="131">
        <v>44730</v>
      </c>
      <c r="F1988" s="132">
        <v>1092</v>
      </c>
      <c r="G1988" s="133">
        <f>Tabla147[[#This Row],[Importe]]-Tabla147[[#This Row],[Pagado]]</f>
        <v>0</v>
      </c>
      <c r="H1988" s="134" t="s">
        <v>10</v>
      </c>
      <c r="I1988" s="135"/>
    </row>
    <row r="1989" spans="1:9" ht="21.75" customHeight="1" x14ac:dyDescent="0.25">
      <c r="A1989" s="127">
        <v>44730</v>
      </c>
      <c r="B1989" s="128" t="s">
        <v>19857</v>
      </c>
      <c r="C1989" s="129" t="s">
        <v>664</v>
      </c>
      <c r="D1989" s="130">
        <v>3960</v>
      </c>
      <c r="E1989" s="131">
        <v>44730</v>
      </c>
      <c r="F1989" s="132">
        <v>3960</v>
      </c>
      <c r="G1989" s="133">
        <f>Tabla147[[#This Row],[Importe]]-Tabla147[[#This Row],[Pagado]]</f>
        <v>0</v>
      </c>
      <c r="H1989" s="134" t="s">
        <v>10</v>
      </c>
      <c r="I1989" s="135"/>
    </row>
    <row r="1990" spans="1:9" ht="21.75" customHeight="1" x14ac:dyDescent="0.25">
      <c r="A1990" s="127">
        <v>44730</v>
      </c>
      <c r="B1990" s="128" t="s">
        <v>19858</v>
      </c>
      <c r="C1990" s="129" t="s">
        <v>518</v>
      </c>
      <c r="D1990" s="130">
        <v>1134</v>
      </c>
      <c r="E1990" s="131">
        <v>44730</v>
      </c>
      <c r="F1990" s="132">
        <v>1134</v>
      </c>
      <c r="G1990" s="133">
        <f>Tabla147[[#This Row],[Importe]]-Tabla147[[#This Row],[Pagado]]</f>
        <v>0</v>
      </c>
      <c r="H1990" s="134" t="s">
        <v>10</v>
      </c>
      <c r="I1990" s="135"/>
    </row>
    <row r="1991" spans="1:9" ht="21.75" customHeight="1" x14ac:dyDescent="0.25">
      <c r="A1991" s="127">
        <v>44730</v>
      </c>
      <c r="B1991" s="128" t="s">
        <v>19859</v>
      </c>
      <c r="C1991" s="129" t="s">
        <v>56</v>
      </c>
      <c r="D1991" s="130">
        <v>9980.4</v>
      </c>
      <c r="E1991" s="131">
        <v>44730</v>
      </c>
      <c r="F1991" s="132">
        <v>9980.4</v>
      </c>
      <c r="G1991" s="133">
        <f>Tabla147[[#This Row],[Importe]]-Tabla147[[#This Row],[Pagado]]</f>
        <v>0</v>
      </c>
      <c r="H1991" s="134" t="s">
        <v>10</v>
      </c>
      <c r="I1991" s="135"/>
    </row>
    <row r="1992" spans="1:9" ht="21.75" customHeight="1" x14ac:dyDescent="0.25">
      <c r="A1992" s="127">
        <v>44730</v>
      </c>
      <c r="B1992" s="128" t="s">
        <v>19860</v>
      </c>
      <c r="C1992" s="129" t="s">
        <v>157</v>
      </c>
      <c r="D1992" s="130">
        <v>4891.2</v>
      </c>
      <c r="E1992" s="131">
        <v>44730</v>
      </c>
      <c r="F1992" s="132">
        <v>4891.2</v>
      </c>
      <c r="G1992" s="133">
        <f>Tabla147[[#This Row],[Importe]]-Tabla147[[#This Row],[Pagado]]</f>
        <v>0</v>
      </c>
      <c r="H1992" s="134" t="s">
        <v>10</v>
      </c>
      <c r="I1992" s="135"/>
    </row>
    <row r="1993" spans="1:9" ht="21.75" customHeight="1" x14ac:dyDescent="0.25">
      <c r="A1993" s="127">
        <v>44730</v>
      </c>
      <c r="B1993" s="128" t="s">
        <v>19861</v>
      </c>
      <c r="C1993" s="129" t="s">
        <v>1064</v>
      </c>
      <c r="D1993" s="130">
        <v>8316.4</v>
      </c>
      <c r="E1993" s="131">
        <v>44730</v>
      </c>
      <c r="F1993" s="132">
        <v>8316.4</v>
      </c>
      <c r="G1993" s="133">
        <f>Tabla147[[#This Row],[Importe]]-Tabla147[[#This Row],[Pagado]]</f>
        <v>0</v>
      </c>
      <c r="H1993" s="134" t="s">
        <v>10</v>
      </c>
      <c r="I1993" s="135"/>
    </row>
    <row r="1994" spans="1:9" ht="21.75" customHeight="1" x14ac:dyDescent="0.25">
      <c r="A1994" s="127">
        <v>44730</v>
      </c>
      <c r="B1994" s="128" t="s">
        <v>19862</v>
      </c>
      <c r="C1994" s="129" t="s">
        <v>1239</v>
      </c>
      <c r="D1994" s="130">
        <v>11756.8</v>
      </c>
      <c r="E1994" s="131">
        <v>44730</v>
      </c>
      <c r="F1994" s="132">
        <v>11756.8</v>
      </c>
      <c r="G1994" s="133">
        <f>Tabla147[[#This Row],[Importe]]-Tabla147[[#This Row],[Pagado]]</f>
        <v>0</v>
      </c>
      <c r="H1994" s="134" t="s">
        <v>10</v>
      </c>
      <c r="I1994" s="135"/>
    </row>
    <row r="1995" spans="1:9" ht="21.75" customHeight="1" x14ac:dyDescent="0.25">
      <c r="A1995" s="127">
        <v>44730</v>
      </c>
      <c r="B1995" s="128" t="s">
        <v>19863</v>
      </c>
      <c r="C1995" s="129" t="s">
        <v>159</v>
      </c>
      <c r="D1995" s="130">
        <v>3528</v>
      </c>
      <c r="E1995" s="131">
        <v>44730</v>
      </c>
      <c r="F1995" s="132">
        <v>3528</v>
      </c>
      <c r="G1995" s="133">
        <f>Tabla147[[#This Row],[Importe]]-Tabla147[[#This Row],[Pagado]]</f>
        <v>0</v>
      </c>
      <c r="H1995" s="134" t="s">
        <v>10</v>
      </c>
      <c r="I1995" s="135"/>
    </row>
    <row r="1996" spans="1:9" ht="21.75" customHeight="1" x14ac:dyDescent="0.25">
      <c r="A1996" s="127">
        <v>44730</v>
      </c>
      <c r="B1996" s="128" t="s">
        <v>19864</v>
      </c>
      <c r="C1996" s="129" t="s">
        <v>15039</v>
      </c>
      <c r="D1996" s="130">
        <v>5530.2</v>
      </c>
      <c r="E1996" s="131">
        <v>44730</v>
      </c>
      <c r="F1996" s="132">
        <v>5530.2</v>
      </c>
      <c r="G1996" s="133">
        <f>Tabla147[[#This Row],[Importe]]-Tabla147[[#This Row],[Pagado]]</f>
        <v>0</v>
      </c>
      <c r="H1996" s="134" t="s">
        <v>10</v>
      </c>
      <c r="I1996" s="135"/>
    </row>
    <row r="1997" spans="1:9" ht="21.75" customHeight="1" x14ac:dyDescent="0.25">
      <c r="A1997" s="127">
        <v>44730</v>
      </c>
      <c r="B1997" s="128" t="s">
        <v>19865</v>
      </c>
      <c r="C1997" s="129" t="s">
        <v>230</v>
      </c>
      <c r="D1997" s="130">
        <v>9495.7000000000007</v>
      </c>
      <c r="E1997" s="131">
        <v>44730</v>
      </c>
      <c r="F1997" s="132">
        <v>9495.7000000000007</v>
      </c>
      <c r="G1997" s="133">
        <f>Tabla147[[#This Row],[Importe]]-Tabla147[[#This Row],[Pagado]]</f>
        <v>0</v>
      </c>
      <c r="H1997" s="134" t="s">
        <v>10</v>
      </c>
      <c r="I1997" s="135"/>
    </row>
    <row r="1998" spans="1:9" ht="21.75" customHeight="1" x14ac:dyDescent="0.25">
      <c r="A1998" s="127">
        <v>44730</v>
      </c>
      <c r="B1998" s="128" t="s">
        <v>19866</v>
      </c>
      <c r="C1998" s="129" t="s">
        <v>1239</v>
      </c>
      <c r="D1998" s="130">
        <v>29.96</v>
      </c>
      <c r="E1998" s="131">
        <v>44730</v>
      </c>
      <c r="F1998" s="132">
        <v>29.96</v>
      </c>
      <c r="G1998" s="133">
        <f>Tabla147[[#This Row],[Importe]]-Tabla147[[#This Row],[Pagado]]</f>
        <v>0</v>
      </c>
      <c r="H1998" s="134" t="s">
        <v>10</v>
      </c>
      <c r="I1998" s="135"/>
    </row>
    <row r="1999" spans="1:9" ht="21.75" customHeight="1" x14ac:dyDescent="0.25">
      <c r="A1999" s="127">
        <v>44730</v>
      </c>
      <c r="B1999" s="128" t="s">
        <v>19867</v>
      </c>
      <c r="C1999" s="129" t="s">
        <v>392</v>
      </c>
      <c r="D1999" s="130">
        <v>3057.2</v>
      </c>
      <c r="E1999" s="131">
        <v>44730</v>
      </c>
      <c r="F1999" s="132">
        <v>3057.2</v>
      </c>
      <c r="G1999" s="133">
        <f>Tabla147[[#This Row],[Importe]]-Tabla147[[#This Row],[Pagado]]</f>
        <v>0</v>
      </c>
      <c r="H1999" s="134" t="s">
        <v>10</v>
      </c>
      <c r="I1999" s="135"/>
    </row>
    <row r="2000" spans="1:9" ht="21.75" customHeight="1" x14ac:dyDescent="0.25">
      <c r="A2000" s="127">
        <v>44730</v>
      </c>
      <c r="B2000" s="128" t="s">
        <v>19868</v>
      </c>
      <c r="C2000" s="129" t="s">
        <v>196</v>
      </c>
      <c r="D2000" s="130">
        <v>144028.64000000001</v>
      </c>
      <c r="E2000" s="131">
        <v>44736</v>
      </c>
      <c r="F2000" s="132">
        <v>144028.64000000001</v>
      </c>
      <c r="G2000" s="133">
        <f>Tabla147[[#This Row],[Importe]]-Tabla147[[#This Row],[Pagado]]</f>
        <v>0</v>
      </c>
      <c r="H2000" s="134" t="s">
        <v>10</v>
      </c>
      <c r="I2000" s="135"/>
    </row>
    <row r="2001" spans="1:9" ht="21.75" customHeight="1" x14ac:dyDescent="0.25">
      <c r="A2001" s="127">
        <v>44730</v>
      </c>
      <c r="B2001" s="128" t="s">
        <v>19869</v>
      </c>
      <c r="C2001" s="129" t="s">
        <v>525</v>
      </c>
      <c r="D2001" s="130">
        <v>3870.9</v>
      </c>
      <c r="E2001" s="131">
        <v>44730</v>
      </c>
      <c r="F2001" s="132">
        <v>3870.9</v>
      </c>
      <c r="G2001" s="133">
        <f>Tabla147[[#This Row],[Importe]]-Tabla147[[#This Row],[Pagado]]</f>
        <v>0</v>
      </c>
      <c r="H2001" s="134" t="s">
        <v>10</v>
      </c>
      <c r="I2001" s="135"/>
    </row>
    <row r="2002" spans="1:9" ht="21.75" customHeight="1" x14ac:dyDescent="0.25">
      <c r="A2002" s="127">
        <v>44730</v>
      </c>
      <c r="B2002" s="128" t="s">
        <v>19870</v>
      </c>
      <c r="C2002" s="129" t="s">
        <v>47</v>
      </c>
      <c r="D2002" s="130">
        <v>42007.9</v>
      </c>
      <c r="E2002" s="131">
        <v>44730</v>
      </c>
      <c r="F2002" s="132">
        <v>42007.9</v>
      </c>
      <c r="G2002" s="133">
        <f>Tabla147[[#This Row],[Importe]]-Tabla147[[#This Row],[Pagado]]</f>
        <v>0</v>
      </c>
      <c r="H2002" s="134" t="s">
        <v>10</v>
      </c>
      <c r="I2002" s="135"/>
    </row>
    <row r="2003" spans="1:9" ht="21.75" customHeight="1" x14ac:dyDescent="0.25">
      <c r="A2003" s="127">
        <v>44730</v>
      </c>
      <c r="B2003" s="128" t="s">
        <v>19871</v>
      </c>
      <c r="C2003" s="129" t="s">
        <v>47</v>
      </c>
      <c r="D2003" s="130">
        <v>13810</v>
      </c>
      <c r="E2003" s="131">
        <v>44730</v>
      </c>
      <c r="F2003" s="132">
        <v>13810</v>
      </c>
      <c r="G2003" s="133">
        <f>Tabla147[[#This Row],[Importe]]-Tabla147[[#This Row],[Pagado]]</f>
        <v>0</v>
      </c>
      <c r="H2003" s="134" t="s">
        <v>10</v>
      </c>
      <c r="I2003" s="135"/>
    </row>
    <row r="2004" spans="1:9" ht="21.75" customHeight="1" x14ac:dyDescent="0.25">
      <c r="A2004" s="127">
        <v>44730</v>
      </c>
      <c r="B2004" s="128" t="s">
        <v>19872</v>
      </c>
      <c r="C2004" s="129" t="s">
        <v>39</v>
      </c>
      <c r="D2004" s="130">
        <v>5640</v>
      </c>
      <c r="E2004" s="131">
        <v>44730</v>
      </c>
      <c r="F2004" s="132">
        <v>5640</v>
      </c>
      <c r="G2004" s="133">
        <f>Tabla147[[#This Row],[Importe]]-Tabla147[[#This Row],[Pagado]]</f>
        <v>0</v>
      </c>
      <c r="H2004" s="134" t="s">
        <v>10</v>
      </c>
      <c r="I2004" s="135"/>
    </row>
    <row r="2005" spans="1:9" ht="21.75" customHeight="1" x14ac:dyDescent="0.25">
      <c r="A2005" s="127">
        <v>44730</v>
      </c>
      <c r="B2005" s="128" t="s">
        <v>19873</v>
      </c>
      <c r="C2005" s="129" t="s">
        <v>2114</v>
      </c>
      <c r="D2005" s="130">
        <v>1722</v>
      </c>
      <c r="E2005" s="131">
        <v>44730</v>
      </c>
      <c r="F2005" s="132">
        <v>1722</v>
      </c>
      <c r="G2005" s="133">
        <f>Tabla147[[#This Row],[Importe]]-Tabla147[[#This Row],[Pagado]]</f>
        <v>0</v>
      </c>
      <c r="H2005" s="134" t="s">
        <v>10</v>
      </c>
      <c r="I2005" s="135"/>
    </row>
    <row r="2006" spans="1:9" ht="21.75" customHeight="1" x14ac:dyDescent="0.25">
      <c r="A2006" s="127">
        <v>44730</v>
      </c>
      <c r="B2006" s="128" t="s">
        <v>19874</v>
      </c>
      <c r="C2006" s="129" t="s">
        <v>62</v>
      </c>
      <c r="D2006" s="130">
        <v>4168.3</v>
      </c>
      <c r="E2006" s="131">
        <v>44730</v>
      </c>
      <c r="F2006" s="132">
        <v>4168.3</v>
      </c>
      <c r="G2006" s="133">
        <f>Tabla147[[#This Row],[Importe]]-Tabla147[[#This Row],[Pagado]]</f>
        <v>0</v>
      </c>
      <c r="H2006" s="134" t="s">
        <v>10</v>
      </c>
      <c r="I2006" s="135"/>
    </row>
    <row r="2007" spans="1:9" ht="21.75" customHeight="1" x14ac:dyDescent="0.25">
      <c r="A2007" s="127">
        <v>44730</v>
      </c>
      <c r="B2007" s="128" t="s">
        <v>19875</v>
      </c>
      <c r="C2007" s="129" t="s">
        <v>45</v>
      </c>
      <c r="D2007" s="130">
        <v>9656.1</v>
      </c>
      <c r="E2007" s="131">
        <v>44730</v>
      </c>
      <c r="F2007" s="132">
        <v>9656.1</v>
      </c>
      <c r="G2007" s="133">
        <f>Tabla147[[#This Row],[Importe]]-Tabla147[[#This Row],[Pagado]]</f>
        <v>0</v>
      </c>
      <c r="H2007" s="134" t="s">
        <v>10</v>
      </c>
      <c r="I2007" s="135"/>
    </row>
    <row r="2008" spans="1:9" ht="21.75" customHeight="1" x14ac:dyDescent="0.25">
      <c r="A2008" s="127">
        <v>44730</v>
      </c>
      <c r="B2008" s="128" t="s">
        <v>19876</v>
      </c>
      <c r="C2008" s="129" t="s">
        <v>142</v>
      </c>
      <c r="D2008" s="130">
        <v>64559.72</v>
      </c>
      <c r="E2008" s="131">
        <v>44769</v>
      </c>
      <c r="F2008" s="132">
        <v>64559.72</v>
      </c>
      <c r="G2008" s="133">
        <f>Tabla147[[#This Row],[Importe]]-Tabla147[[#This Row],[Pagado]]</f>
        <v>0</v>
      </c>
      <c r="H2008" s="134" t="s">
        <v>10</v>
      </c>
      <c r="I2008" s="135"/>
    </row>
    <row r="2009" spans="1:9" ht="21.75" customHeight="1" x14ac:dyDescent="0.25">
      <c r="A2009" s="127">
        <v>44730</v>
      </c>
      <c r="B2009" s="128" t="s">
        <v>19877</v>
      </c>
      <c r="C2009" s="129" t="s">
        <v>409</v>
      </c>
      <c r="D2009" s="130">
        <v>4920</v>
      </c>
      <c r="E2009" s="131">
        <v>44741</v>
      </c>
      <c r="F2009" s="132">
        <v>4920</v>
      </c>
      <c r="G2009" s="133">
        <f>Tabla147[[#This Row],[Importe]]-Tabla147[[#This Row],[Pagado]]</f>
        <v>0</v>
      </c>
      <c r="H2009" s="134" t="s">
        <v>10</v>
      </c>
      <c r="I2009" s="135"/>
    </row>
    <row r="2010" spans="1:9" ht="21.75" customHeight="1" x14ac:dyDescent="0.25">
      <c r="A2010" s="127">
        <v>44730</v>
      </c>
      <c r="B2010" s="128" t="s">
        <v>19878</v>
      </c>
      <c r="C2010" s="129" t="s">
        <v>19879</v>
      </c>
      <c r="D2010" s="130">
        <v>0</v>
      </c>
      <c r="E2010" s="136" t="s">
        <v>189</v>
      </c>
      <c r="F2010" s="132">
        <v>0</v>
      </c>
      <c r="G2010" s="133">
        <f>Tabla147[[#This Row],[Importe]]-Tabla147[[#This Row],[Pagado]]</f>
        <v>0</v>
      </c>
      <c r="H2010" s="137" t="s">
        <v>19880</v>
      </c>
      <c r="I2010" s="135"/>
    </row>
    <row r="2011" spans="1:9" ht="21.75" customHeight="1" x14ac:dyDescent="0.25">
      <c r="A2011" s="127">
        <v>44730</v>
      </c>
      <c r="B2011" s="128" t="s">
        <v>19881</v>
      </c>
      <c r="C2011" s="129" t="s">
        <v>698</v>
      </c>
      <c r="D2011" s="130">
        <v>7220.8</v>
      </c>
      <c r="E2011" s="131">
        <v>44730</v>
      </c>
      <c r="F2011" s="132">
        <v>7220.8</v>
      </c>
      <c r="G2011" s="133">
        <f>Tabla147[[#This Row],[Importe]]-Tabla147[[#This Row],[Pagado]]</f>
        <v>0</v>
      </c>
      <c r="H2011" s="134" t="s">
        <v>10</v>
      </c>
      <c r="I2011" s="135"/>
    </row>
    <row r="2012" spans="1:9" ht="21.75" customHeight="1" x14ac:dyDescent="0.25">
      <c r="A2012" s="127">
        <v>44730</v>
      </c>
      <c r="B2012" s="128" t="s">
        <v>19882</v>
      </c>
      <c r="C2012" s="129" t="s">
        <v>56</v>
      </c>
      <c r="D2012" s="130">
        <v>1980</v>
      </c>
      <c r="E2012" s="131">
        <v>44730</v>
      </c>
      <c r="F2012" s="132">
        <v>1980</v>
      </c>
      <c r="G2012" s="133">
        <f>Tabla147[[#This Row],[Importe]]-Tabla147[[#This Row],[Pagado]]</f>
        <v>0</v>
      </c>
      <c r="H2012" s="134" t="s">
        <v>10</v>
      </c>
      <c r="I2012" s="135"/>
    </row>
    <row r="2013" spans="1:9" ht="21.75" customHeight="1" x14ac:dyDescent="0.25">
      <c r="A2013" s="127">
        <v>44730</v>
      </c>
      <c r="B2013" s="128" t="s">
        <v>19883</v>
      </c>
      <c r="C2013" s="129" t="s">
        <v>8190</v>
      </c>
      <c r="D2013" s="130">
        <v>3404</v>
      </c>
      <c r="E2013" s="131">
        <v>44730</v>
      </c>
      <c r="F2013" s="132">
        <v>3404</v>
      </c>
      <c r="G2013" s="133">
        <f>Tabla147[[#This Row],[Importe]]-Tabla147[[#This Row],[Pagado]]</f>
        <v>0</v>
      </c>
      <c r="H2013" s="134" t="s">
        <v>10</v>
      </c>
      <c r="I2013" s="135"/>
    </row>
    <row r="2014" spans="1:9" ht="21.75" customHeight="1" x14ac:dyDescent="0.25">
      <c r="A2014" s="127">
        <v>44730</v>
      </c>
      <c r="B2014" s="128" t="s">
        <v>19884</v>
      </c>
      <c r="C2014" s="129" t="s">
        <v>670</v>
      </c>
      <c r="D2014" s="130">
        <v>1710.4</v>
      </c>
      <c r="E2014" s="131">
        <v>44730</v>
      </c>
      <c r="F2014" s="132">
        <v>1710.4</v>
      </c>
      <c r="G2014" s="133">
        <f>Tabla147[[#This Row],[Importe]]-Tabla147[[#This Row],[Pagado]]</f>
        <v>0</v>
      </c>
      <c r="H2014" s="134" t="s">
        <v>10</v>
      </c>
      <c r="I2014" s="135"/>
    </row>
    <row r="2015" spans="1:9" ht="21.75" customHeight="1" x14ac:dyDescent="0.25">
      <c r="A2015" s="127">
        <v>44730</v>
      </c>
      <c r="B2015" s="128" t="s">
        <v>19885</v>
      </c>
      <c r="C2015" s="129" t="s">
        <v>4136</v>
      </c>
      <c r="D2015" s="130">
        <v>4056</v>
      </c>
      <c r="E2015" s="131">
        <v>44730</v>
      </c>
      <c r="F2015" s="132">
        <v>4056</v>
      </c>
      <c r="G2015" s="133">
        <f>Tabla147[[#This Row],[Importe]]-Tabla147[[#This Row],[Pagado]]</f>
        <v>0</v>
      </c>
      <c r="H2015" s="134" t="s">
        <v>10</v>
      </c>
      <c r="I2015" s="135"/>
    </row>
    <row r="2016" spans="1:9" ht="21.75" customHeight="1" x14ac:dyDescent="0.25">
      <c r="A2016" s="127">
        <v>44730</v>
      </c>
      <c r="B2016" s="128" t="s">
        <v>19886</v>
      </c>
      <c r="C2016" s="129" t="s">
        <v>53</v>
      </c>
      <c r="D2016" s="130">
        <v>1796.3</v>
      </c>
      <c r="E2016" s="131">
        <v>44730</v>
      </c>
      <c r="F2016" s="132">
        <v>1796.3</v>
      </c>
      <c r="G2016" s="133">
        <f>Tabla147[[#This Row],[Importe]]-Tabla147[[#This Row],[Pagado]]</f>
        <v>0</v>
      </c>
      <c r="H2016" s="134" t="s">
        <v>10</v>
      </c>
      <c r="I2016" s="135"/>
    </row>
    <row r="2017" spans="1:9" ht="21.75" customHeight="1" x14ac:dyDescent="0.25">
      <c r="A2017" s="127">
        <v>44730</v>
      </c>
      <c r="B2017" s="128" t="s">
        <v>19887</v>
      </c>
      <c r="C2017" s="129" t="s">
        <v>24</v>
      </c>
      <c r="D2017" s="130">
        <v>4330</v>
      </c>
      <c r="E2017" s="131">
        <v>44730</v>
      </c>
      <c r="F2017" s="132">
        <v>4330</v>
      </c>
      <c r="G2017" s="133">
        <f>Tabla147[[#This Row],[Importe]]-Tabla147[[#This Row],[Pagado]]</f>
        <v>0</v>
      </c>
      <c r="H2017" s="134" t="s">
        <v>10</v>
      </c>
      <c r="I2017" s="135"/>
    </row>
    <row r="2018" spans="1:9" ht="21.75" customHeight="1" x14ac:dyDescent="0.25">
      <c r="A2018" s="127">
        <v>44730</v>
      </c>
      <c r="B2018" s="128" t="s">
        <v>19888</v>
      </c>
      <c r="C2018" s="129" t="s">
        <v>442</v>
      </c>
      <c r="D2018" s="130">
        <v>6817.2</v>
      </c>
      <c r="E2018" s="131">
        <v>44730</v>
      </c>
      <c r="F2018" s="132">
        <v>6817.2</v>
      </c>
      <c r="G2018" s="133">
        <f>Tabla147[[#This Row],[Importe]]-Tabla147[[#This Row],[Pagado]]</f>
        <v>0</v>
      </c>
      <c r="H2018" s="134" t="s">
        <v>10</v>
      </c>
      <c r="I2018" s="135"/>
    </row>
    <row r="2019" spans="1:9" ht="21.75" customHeight="1" x14ac:dyDescent="0.25">
      <c r="A2019" s="127">
        <v>44730</v>
      </c>
      <c r="B2019" s="128" t="s">
        <v>19889</v>
      </c>
      <c r="C2019" s="129" t="s">
        <v>1174</v>
      </c>
      <c r="D2019" s="130">
        <v>32846.400000000001</v>
      </c>
      <c r="E2019" s="131">
        <v>44730</v>
      </c>
      <c r="F2019" s="132">
        <v>32846.400000000001</v>
      </c>
      <c r="G2019" s="133">
        <f>Tabla147[[#This Row],[Importe]]-Tabla147[[#This Row],[Pagado]]</f>
        <v>0</v>
      </c>
      <c r="H2019" s="134" t="s">
        <v>10</v>
      </c>
      <c r="I2019" s="135"/>
    </row>
    <row r="2020" spans="1:9" ht="21.75" customHeight="1" x14ac:dyDescent="0.25">
      <c r="A2020" s="127">
        <v>44730</v>
      </c>
      <c r="B2020" s="128" t="s">
        <v>19890</v>
      </c>
      <c r="C2020" s="129" t="s">
        <v>9827</v>
      </c>
      <c r="D2020" s="130">
        <v>8072</v>
      </c>
      <c r="E2020" s="131">
        <v>44730</v>
      </c>
      <c r="F2020" s="132">
        <v>8072</v>
      </c>
      <c r="G2020" s="133">
        <f>Tabla147[[#This Row],[Importe]]-Tabla147[[#This Row],[Pagado]]</f>
        <v>0</v>
      </c>
      <c r="H2020" s="134" t="s">
        <v>10</v>
      </c>
      <c r="I2020" s="135"/>
    </row>
    <row r="2021" spans="1:9" ht="21.75" customHeight="1" x14ac:dyDescent="0.25">
      <c r="A2021" s="127">
        <v>44730</v>
      </c>
      <c r="B2021" s="128" t="s">
        <v>19891</v>
      </c>
      <c r="C2021" s="129" t="s">
        <v>296</v>
      </c>
      <c r="D2021" s="130">
        <v>3088.6</v>
      </c>
      <c r="E2021" s="131">
        <v>44730</v>
      </c>
      <c r="F2021" s="132">
        <v>3088.6</v>
      </c>
      <c r="G2021" s="133">
        <f>Tabla147[[#This Row],[Importe]]-Tabla147[[#This Row],[Pagado]]</f>
        <v>0</v>
      </c>
      <c r="H2021" s="134" t="s">
        <v>10</v>
      </c>
      <c r="I2021" s="135"/>
    </row>
    <row r="2022" spans="1:9" ht="21.75" customHeight="1" x14ac:dyDescent="0.25">
      <c r="A2022" s="127">
        <v>44730</v>
      </c>
      <c r="B2022" s="128" t="s">
        <v>19892</v>
      </c>
      <c r="C2022" s="129" t="s">
        <v>9780</v>
      </c>
      <c r="D2022" s="130">
        <v>18603.599999999999</v>
      </c>
      <c r="E2022" s="131">
        <v>44776</v>
      </c>
      <c r="F2022" s="162">
        <v>18603.599999999999</v>
      </c>
      <c r="G2022" s="133">
        <f>Tabla147[[#This Row],[Importe]]-Tabla147[[#This Row],[Pagado]]</f>
        <v>0</v>
      </c>
      <c r="H2022" s="134" t="s">
        <v>10</v>
      </c>
      <c r="I2022" s="135"/>
    </row>
    <row r="2023" spans="1:9" ht="21.75" customHeight="1" x14ac:dyDescent="0.25">
      <c r="A2023" s="127">
        <v>44730</v>
      </c>
      <c r="B2023" s="128" t="s">
        <v>19893</v>
      </c>
      <c r="C2023" s="129" t="s">
        <v>233</v>
      </c>
      <c r="D2023" s="130">
        <v>4424</v>
      </c>
      <c r="E2023" s="131">
        <v>44730</v>
      </c>
      <c r="F2023" s="132">
        <v>4424</v>
      </c>
      <c r="G2023" s="133">
        <f>Tabla147[[#This Row],[Importe]]-Tabla147[[#This Row],[Pagado]]</f>
        <v>0</v>
      </c>
      <c r="H2023" s="134" t="s">
        <v>10</v>
      </c>
      <c r="I2023" s="135"/>
    </row>
    <row r="2024" spans="1:9" ht="21.75" customHeight="1" x14ac:dyDescent="0.25">
      <c r="A2024" s="127">
        <v>44730</v>
      </c>
      <c r="B2024" s="128" t="s">
        <v>19894</v>
      </c>
      <c r="C2024" s="129" t="s">
        <v>31</v>
      </c>
      <c r="D2024" s="130">
        <v>1431</v>
      </c>
      <c r="E2024" s="131">
        <v>44730</v>
      </c>
      <c r="F2024" s="132">
        <v>1431</v>
      </c>
      <c r="G2024" s="133">
        <f>Tabla147[[#This Row],[Importe]]-Tabla147[[#This Row],[Pagado]]</f>
        <v>0</v>
      </c>
      <c r="H2024" s="134" t="s">
        <v>10</v>
      </c>
      <c r="I2024" s="135"/>
    </row>
    <row r="2025" spans="1:9" ht="21.75" customHeight="1" x14ac:dyDescent="0.25">
      <c r="A2025" s="127">
        <v>44730</v>
      </c>
      <c r="B2025" s="128" t="s">
        <v>19895</v>
      </c>
      <c r="C2025" s="129" t="s">
        <v>107</v>
      </c>
      <c r="D2025" s="130">
        <v>36602.199999999997</v>
      </c>
      <c r="E2025" s="131">
        <v>44730</v>
      </c>
      <c r="F2025" s="132">
        <v>36602.199999999997</v>
      </c>
      <c r="G2025" s="133">
        <f>Tabla147[[#This Row],[Importe]]-Tabla147[[#This Row],[Pagado]]</f>
        <v>0</v>
      </c>
      <c r="H2025" s="134" t="s">
        <v>10</v>
      </c>
      <c r="I2025" s="135"/>
    </row>
    <row r="2026" spans="1:9" ht="21.75" customHeight="1" x14ac:dyDescent="0.25">
      <c r="A2026" s="127">
        <v>44730</v>
      </c>
      <c r="B2026" s="128" t="s">
        <v>19896</v>
      </c>
      <c r="C2026" s="129" t="s">
        <v>140</v>
      </c>
      <c r="D2026" s="130">
        <v>5982</v>
      </c>
      <c r="E2026" s="131">
        <v>44730</v>
      </c>
      <c r="F2026" s="132">
        <v>5982</v>
      </c>
      <c r="G2026" s="133">
        <f>Tabla147[[#This Row],[Importe]]-Tabla147[[#This Row],[Pagado]]</f>
        <v>0</v>
      </c>
      <c r="H2026" s="134" t="s">
        <v>10</v>
      </c>
      <c r="I2026" s="135"/>
    </row>
    <row r="2027" spans="1:9" ht="21.75" customHeight="1" x14ac:dyDescent="0.25">
      <c r="A2027" s="127">
        <v>44730</v>
      </c>
      <c r="B2027" s="128" t="s">
        <v>19897</v>
      </c>
      <c r="C2027" s="129" t="s">
        <v>357</v>
      </c>
      <c r="D2027" s="130">
        <v>1573.2</v>
      </c>
      <c r="E2027" s="131">
        <v>44730</v>
      </c>
      <c r="F2027" s="132">
        <v>1573.2</v>
      </c>
      <c r="G2027" s="133">
        <f>Tabla147[[#This Row],[Importe]]-Tabla147[[#This Row],[Pagado]]</f>
        <v>0</v>
      </c>
      <c r="H2027" s="134" t="s">
        <v>10</v>
      </c>
      <c r="I2027" s="135"/>
    </row>
    <row r="2028" spans="1:9" ht="21.75" customHeight="1" x14ac:dyDescent="0.25">
      <c r="A2028" s="127">
        <v>44730</v>
      </c>
      <c r="B2028" s="128" t="s">
        <v>19898</v>
      </c>
      <c r="C2028" s="129" t="s">
        <v>129</v>
      </c>
      <c r="D2028" s="130">
        <v>2226.8000000000002</v>
      </c>
      <c r="E2028" s="131">
        <v>44730</v>
      </c>
      <c r="F2028" s="132">
        <v>2226.8000000000002</v>
      </c>
      <c r="G2028" s="133">
        <f>Tabla147[[#This Row],[Importe]]-Tabla147[[#This Row],[Pagado]]</f>
        <v>0</v>
      </c>
      <c r="H2028" s="134" t="s">
        <v>10</v>
      </c>
      <c r="I2028" s="135"/>
    </row>
    <row r="2029" spans="1:9" ht="21.75" customHeight="1" x14ac:dyDescent="0.25">
      <c r="A2029" s="127">
        <v>44730</v>
      </c>
      <c r="B2029" s="128" t="s">
        <v>19899</v>
      </c>
      <c r="C2029" s="129" t="s">
        <v>3687</v>
      </c>
      <c r="D2029" s="130">
        <v>0</v>
      </c>
      <c r="E2029" s="136" t="s">
        <v>189</v>
      </c>
      <c r="F2029" s="132">
        <v>0</v>
      </c>
      <c r="G2029" s="133">
        <f>Tabla147[[#This Row],[Importe]]-Tabla147[[#This Row],[Pagado]]</f>
        <v>0</v>
      </c>
      <c r="H2029" s="137" t="s">
        <v>19900</v>
      </c>
      <c r="I2029" s="135"/>
    </row>
    <row r="2030" spans="1:9" ht="21.75" customHeight="1" x14ac:dyDescent="0.25">
      <c r="A2030" s="127">
        <v>44730</v>
      </c>
      <c r="B2030" s="128" t="s">
        <v>19901</v>
      </c>
      <c r="C2030" s="129" t="s">
        <v>127</v>
      </c>
      <c r="D2030" s="130">
        <v>6949.6</v>
      </c>
      <c r="E2030" s="131">
        <v>44730</v>
      </c>
      <c r="F2030" s="132">
        <v>6949.6</v>
      </c>
      <c r="G2030" s="133">
        <f>Tabla147[[#This Row],[Importe]]-Tabla147[[#This Row],[Pagado]]</f>
        <v>0</v>
      </c>
      <c r="H2030" s="134" t="s">
        <v>10</v>
      </c>
      <c r="I2030" s="135"/>
    </row>
    <row r="2031" spans="1:9" ht="21.75" customHeight="1" x14ac:dyDescent="0.25">
      <c r="A2031" s="127">
        <v>44730</v>
      </c>
      <c r="B2031" s="128" t="s">
        <v>19902</v>
      </c>
      <c r="C2031" s="129" t="s">
        <v>179</v>
      </c>
      <c r="D2031" s="130">
        <v>1298.8</v>
      </c>
      <c r="E2031" s="131">
        <v>44730</v>
      </c>
      <c r="F2031" s="132">
        <v>1298.8</v>
      </c>
      <c r="G2031" s="133">
        <f>Tabla147[[#This Row],[Importe]]-Tabla147[[#This Row],[Pagado]]</f>
        <v>0</v>
      </c>
      <c r="H2031" s="134" t="s">
        <v>10</v>
      </c>
      <c r="I2031" s="135"/>
    </row>
    <row r="2032" spans="1:9" ht="21.75" customHeight="1" x14ac:dyDescent="0.25">
      <c r="A2032" s="127">
        <v>44730</v>
      </c>
      <c r="B2032" s="128" t="s">
        <v>19903</v>
      </c>
      <c r="C2032" s="129" t="s">
        <v>14375</v>
      </c>
      <c r="D2032" s="130">
        <v>0</v>
      </c>
      <c r="E2032" s="136" t="s">
        <v>189</v>
      </c>
      <c r="F2032" s="132">
        <v>0</v>
      </c>
      <c r="G2032" s="133">
        <f>Tabla147[[#This Row],[Importe]]-Tabla147[[#This Row],[Pagado]]</f>
        <v>0</v>
      </c>
      <c r="H2032" s="137" t="s">
        <v>19904</v>
      </c>
      <c r="I2032" s="135"/>
    </row>
    <row r="2033" spans="1:9" ht="21.75" customHeight="1" x14ac:dyDescent="0.25">
      <c r="A2033" s="127">
        <v>44730</v>
      </c>
      <c r="B2033" s="128" t="s">
        <v>19905</v>
      </c>
      <c r="C2033" s="129" t="s">
        <v>31</v>
      </c>
      <c r="D2033" s="130">
        <v>4665.6000000000004</v>
      </c>
      <c r="E2033" s="131">
        <v>44730</v>
      </c>
      <c r="F2033" s="132">
        <v>4665.6000000000004</v>
      </c>
      <c r="G2033" s="133">
        <f>Tabla147[[#This Row],[Importe]]-Tabla147[[#This Row],[Pagado]]</f>
        <v>0</v>
      </c>
      <c r="H2033" s="134" t="s">
        <v>10</v>
      </c>
      <c r="I2033" s="135"/>
    </row>
    <row r="2034" spans="1:9" ht="21.75" customHeight="1" x14ac:dyDescent="0.25">
      <c r="A2034" s="127">
        <v>44730</v>
      </c>
      <c r="B2034" s="128" t="s">
        <v>19906</v>
      </c>
      <c r="C2034" s="129" t="s">
        <v>11383</v>
      </c>
      <c r="D2034" s="130">
        <v>18918</v>
      </c>
      <c r="E2034" s="131">
        <v>44730</v>
      </c>
      <c r="F2034" s="132">
        <v>18918</v>
      </c>
      <c r="G2034" s="133">
        <f>Tabla147[[#This Row],[Importe]]-Tabla147[[#This Row],[Pagado]]</f>
        <v>0</v>
      </c>
      <c r="H2034" s="134" t="s">
        <v>10</v>
      </c>
      <c r="I2034" s="135"/>
    </row>
    <row r="2035" spans="1:9" ht="21.75" customHeight="1" x14ac:dyDescent="0.25">
      <c r="A2035" s="127">
        <v>44730</v>
      </c>
      <c r="B2035" s="128" t="s">
        <v>19907</v>
      </c>
      <c r="C2035" s="129" t="s">
        <v>214</v>
      </c>
      <c r="D2035" s="130">
        <v>1196.8</v>
      </c>
      <c r="E2035" s="131">
        <v>44730</v>
      </c>
      <c r="F2035" s="132">
        <v>1196.8</v>
      </c>
      <c r="G2035" s="133">
        <f>Tabla147[[#This Row],[Importe]]-Tabla147[[#This Row],[Pagado]]</f>
        <v>0</v>
      </c>
      <c r="H2035" s="134" t="s">
        <v>10</v>
      </c>
      <c r="I2035" s="135"/>
    </row>
    <row r="2036" spans="1:9" ht="21.75" customHeight="1" x14ac:dyDescent="0.25">
      <c r="A2036" s="127">
        <v>44730</v>
      </c>
      <c r="B2036" s="128" t="s">
        <v>19908</v>
      </c>
      <c r="C2036" s="129" t="s">
        <v>442</v>
      </c>
      <c r="D2036" s="130">
        <v>13393.6</v>
      </c>
      <c r="E2036" s="131">
        <v>44730</v>
      </c>
      <c r="F2036" s="132">
        <v>13393.6</v>
      </c>
      <c r="G2036" s="133">
        <f>Tabla147[[#This Row],[Importe]]-Tabla147[[#This Row],[Pagado]]</f>
        <v>0</v>
      </c>
      <c r="H2036" s="134" t="s">
        <v>10</v>
      </c>
      <c r="I2036" s="135"/>
    </row>
    <row r="2037" spans="1:9" ht="21.75" customHeight="1" x14ac:dyDescent="0.25">
      <c r="A2037" s="127">
        <v>44730</v>
      </c>
      <c r="B2037" s="128" t="s">
        <v>19909</v>
      </c>
      <c r="C2037" s="129" t="s">
        <v>994</v>
      </c>
      <c r="D2037" s="130">
        <v>2127</v>
      </c>
      <c r="E2037" s="131">
        <v>44730</v>
      </c>
      <c r="F2037" s="132">
        <v>2127</v>
      </c>
      <c r="G2037" s="133">
        <f>Tabla147[[#This Row],[Importe]]-Tabla147[[#This Row],[Pagado]]</f>
        <v>0</v>
      </c>
      <c r="H2037" s="134" t="s">
        <v>10</v>
      </c>
      <c r="I2037" s="135"/>
    </row>
    <row r="2038" spans="1:9" ht="21.75" customHeight="1" x14ac:dyDescent="0.25">
      <c r="A2038" s="127">
        <v>44730</v>
      </c>
      <c r="B2038" s="128" t="s">
        <v>19910</v>
      </c>
      <c r="C2038" s="129" t="s">
        <v>31</v>
      </c>
      <c r="D2038" s="130">
        <v>1808.8</v>
      </c>
      <c r="E2038" s="131">
        <v>44730</v>
      </c>
      <c r="F2038" s="132">
        <v>1808.8</v>
      </c>
      <c r="G2038" s="133">
        <f>Tabla147[[#This Row],[Importe]]-Tabla147[[#This Row],[Pagado]]</f>
        <v>0</v>
      </c>
      <c r="H2038" s="134" t="s">
        <v>10</v>
      </c>
      <c r="I2038" s="135"/>
    </row>
    <row r="2039" spans="1:9" ht="21.75" customHeight="1" x14ac:dyDescent="0.25">
      <c r="A2039" s="127">
        <v>44730</v>
      </c>
      <c r="B2039" s="128" t="s">
        <v>19911</v>
      </c>
      <c r="C2039" s="129" t="s">
        <v>419</v>
      </c>
      <c r="D2039" s="130">
        <v>7423.9</v>
      </c>
      <c r="E2039" s="131">
        <v>44730</v>
      </c>
      <c r="F2039" s="132">
        <v>7423.9</v>
      </c>
      <c r="G2039" s="133">
        <f>Tabla147[[#This Row],[Importe]]-Tabla147[[#This Row],[Pagado]]</f>
        <v>0</v>
      </c>
      <c r="H2039" s="134" t="s">
        <v>10</v>
      </c>
      <c r="I2039" s="135"/>
    </row>
    <row r="2040" spans="1:9" ht="21.75" customHeight="1" x14ac:dyDescent="0.25">
      <c r="A2040" s="127">
        <v>44730</v>
      </c>
      <c r="B2040" s="128" t="s">
        <v>19912</v>
      </c>
      <c r="C2040" s="129" t="s">
        <v>275</v>
      </c>
      <c r="D2040" s="130">
        <v>194297.08</v>
      </c>
      <c r="E2040" s="131">
        <v>44743</v>
      </c>
      <c r="F2040" s="132">
        <v>194297.08</v>
      </c>
      <c r="G2040" s="133">
        <f>Tabla147[[#This Row],[Importe]]-Tabla147[[#This Row],[Pagado]]</f>
        <v>0</v>
      </c>
      <c r="H2040" s="134" t="s">
        <v>10</v>
      </c>
      <c r="I2040" s="135"/>
    </row>
    <row r="2041" spans="1:9" ht="21.75" customHeight="1" x14ac:dyDescent="0.25">
      <c r="A2041" s="127">
        <v>44730</v>
      </c>
      <c r="B2041" s="128" t="s">
        <v>19913</v>
      </c>
      <c r="C2041" s="129" t="s">
        <v>67</v>
      </c>
      <c r="D2041" s="130">
        <v>3224</v>
      </c>
      <c r="E2041" s="131">
        <v>44730</v>
      </c>
      <c r="F2041" s="132">
        <v>3224</v>
      </c>
      <c r="G2041" s="133">
        <f>Tabla147[[#This Row],[Importe]]-Tabla147[[#This Row],[Pagado]]</f>
        <v>0</v>
      </c>
      <c r="H2041" s="134" t="s">
        <v>10</v>
      </c>
      <c r="I2041" s="135"/>
    </row>
    <row r="2042" spans="1:9" ht="21.75" customHeight="1" x14ac:dyDescent="0.25">
      <c r="A2042" s="127">
        <v>44730</v>
      </c>
      <c r="B2042" s="128" t="s">
        <v>19914</v>
      </c>
      <c r="C2042" s="129" t="s">
        <v>67</v>
      </c>
      <c r="D2042" s="130">
        <v>282.89999999999998</v>
      </c>
      <c r="E2042" s="131">
        <v>44730</v>
      </c>
      <c r="F2042" s="132">
        <v>282.89999999999998</v>
      </c>
      <c r="G2042" s="133">
        <f>Tabla147[[#This Row],[Importe]]-Tabla147[[#This Row],[Pagado]]</f>
        <v>0</v>
      </c>
      <c r="H2042" s="134" t="s">
        <v>10</v>
      </c>
      <c r="I2042" s="135"/>
    </row>
    <row r="2043" spans="1:9" ht="21.75" customHeight="1" x14ac:dyDescent="0.25">
      <c r="A2043" s="127">
        <v>44730</v>
      </c>
      <c r="B2043" s="128" t="s">
        <v>19915</v>
      </c>
      <c r="C2043" s="129" t="s">
        <v>484</v>
      </c>
      <c r="D2043" s="130">
        <v>2630.7</v>
      </c>
      <c r="E2043" s="131">
        <v>44730</v>
      </c>
      <c r="F2043" s="132">
        <v>2630.7</v>
      </c>
      <c r="G2043" s="133">
        <f>Tabla147[[#This Row],[Importe]]-Tabla147[[#This Row],[Pagado]]</f>
        <v>0</v>
      </c>
      <c r="H2043" s="134" t="s">
        <v>10</v>
      </c>
      <c r="I2043" s="135"/>
    </row>
    <row r="2044" spans="1:9" ht="21.75" customHeight="1" x14ac:dyDescent="0.25">
      <c r="A2044" s="127">
        <v>44730</v>
      </c>
      <c r="B2044" s="128" t="s">
        <v>19916</v>
      </c>
      <c r="C2044" s="129" t="s">
        <v>10190</v>
      </c>
      <c r="D2044" s="130">
        <v>25580.799999999999</v>
      </c>
      <c r="E2044" s="131">
        <v>44730</v>
      </c>
      <c r="F2044" s="132">
        <v>25580.799999999999</v>
      </c>
      <c r="G2044" s="133">
        <f>Tabla147[[#This Row],[Importe]]-Tabla147[[#This Row],[Pagado]]</f>
        <v>0</v>
      </c>
      <c r="H2044" s="134" t="s">
        <v>10</v>
      </c>
      <c r="I2044" s="135"/>
    </row>
    <row r="2045" spans="1:9" ht="21.75" customHeight="1" x14ac:dyDescent="0.25">
      <c r="A2045" s="127">
        <v>44730</v>
      </c>
      <c r="B2045" s="128" t="s">
        <v>19917</v>
      </c>
      <c r="C2045" s="129" t="s">
        <v>275</v>
      </c>
      <c r="D2045" s="130">
        <v>26075</v>
      </c>
      <c r="E2045" s="131">
        <v>44743</v>
      </c>
      <c r="F2045" s="132">
        <v>26075</v>
      </c>
      <c r="G2045" s="133">
        <f>Tabla147[[#This Row],[Importe]]-Tabla147[[#This Row],[Pagado]]</f>
        <v>0</v>
      </c>
      <c r="H2045" s="134" t="s">
        <v>10</v>
      </c>
      <c r="I2045" s="135"/>
    </row>
    <row r="2046" spans="1:9" ht="21.75" customHeight="1" x14ac:dyDescent="0.25">
      <c r="A2046" s="127">
        <v>44730</v>
      </c>
      <c r="B2046" s="128" t="s">
        <v>19918</v>
      </c>
      <c r="C2046" s="129" t="s">
        <v>31</v>
      </c>
      <c r="D2046" s="130">
        <v>1069.5</v>
      </c>
      <c r="E2046" s="131">
        <v>44730</v>
      </c>
      <c r="F2046" s="132">
        <v>1069.5</v>
      </c>
      <c r="G2046" s="133">
        <f>Tabla147[[#This Row],[Importe]]-Tabla147[[#This Row],[Pagado]]</f>
        <v>0</v>
      </c>
      <c r="H2046" s="134" t="s">
        <v>10</v>
      </c>
      <c r="I2046" s="135"/>
    </row>
    <row r="2047" spans="1:9" ht="21.75" customHeight="1" x14ac:dyDescent="0.25">
      <c r="A2047" s="127">
        <v>44730</v>
      </c>
      <c r="B2047" s="128" t="s">
        <v>19919</v>
      </c>
      <c r="C2047" s="129" t="s">
        <v>520</v>
      </c>
      <c r="D2047" s="130">
        <v>12776</v>
      </c>
      <c r="E2047" s="131">
        <v>44731</v>
      </c>
      <c r="F2047" s="132">
        <v>12776</v>
      </c>
      <c r="G2047" s="133">
        <f>Tabla147[[#This Row],[Importe]]-Tabla147[[#This Row],[Pagado]]</f>
        <v>0</v>
      </c>
      <c r="H2047" s="134" t="s">
        <v>10</v>
      </c>
      <c r="I2047" s="135"/>
    </row>
    <row r="2048" spans="1:9" ht="21.75" customHeight="1" x14ac:dyDescent="0.25">
      <c r="A2048" s="127">
        <v>44730</v>
      </c>
      <c r="B2048" s="128" t="s">
        <v>19920</v>
      </c>
      <c r="C2048" s="129" t="s">
        <v>151</v>
      </c>
      <c r="D2048" s="130">
        <v>10529.2</v>
      </c>
      <c r="E2048" s="131">
        <v>44731</v>
      </c>
      <c r="F2048" s="132">
        <v>10529.2</v>
      </c>
      <c r="G2048" s="133">
        <f>Tabla147[[#This Row],[Importe]]-Tabla147[[#This Row],[Pagado]]</f>
        <v>0</v>
      </c>
      <c r="H2048" s="134" t="s">
        <v>10</v>
      </c>
      <c r="I2048" s="135"/>
    </row>
    <row r="2049" spans="1:9" ht="21.75" customHeight="1" x14ac:dyDescent="0.25">
      <c r="A2049" s="127">
        <v>44730</v>
      </c>
      <c r="B2049" s="128" t="s">
        <v>19921</v>
      </c>
      <c r="C2049" s="129" t="s">
        <v>319</v>
      </c>
      <c r="D2049" s="130">
        <v>12976.42</v>
      </c>
      <c r="E2049" s="131">
        <v>44731</v>
      </c>
      <c r="F2049" s="132">
        <v>12976.42</v>
      </c>
      <c r="G2049" s="133">
        <f>Tabla147[[#This Row],[Importe]]-Tabla147[[#This Row],[Pagado]]</f>
        <v>0</v>
      </c>
      <c r="H2049" s="134" t="s">
        <v>10</v>
      </c>
      <c r="I2049" s="135"/>
    </row>
    <row r="2050" spans="1:9" ht="21.75" customHeight="1" x14ac:dyDescent="0.25">
      <c r="A2050" s="127">
        <v>44730</v>
      </c>
      <c r="B2050" s="128" t="s">
        <v>19922</v>
      </c>
      <c r="C2050" s="129" t="s">
        <v>263</v>
      </c>
      <c r="D2050" s="130">
        <v>41580.800000000003</v>
      </c>
      <c r="E2050" s="131">
        <v>44734</v>
      </c>
      <c r="F2050" s="132">
        <v>41580.800000000003</v>
      </c>
      <c r="G2050" s="133">
        <f>Tabla147[[#This Row],[Importe]]-Tabla147[[#This Row],[Pagado]]</f>
        <v>0</v>
      </c>
      <c r="H2050" s="134" t="s">
        <v>10</v>
      </c>
      <c r="I2050" s="135"/>
    </row>
    <row r="2051" spans="1:9" ht="21.75" customHeight="1" x14ac:dyDescent="0.25">
      <c r="A2051" s="127">
        <v>44730</v>
      </c>
      <c r="B2051" s="128" t="s">
        <v>19923</v>
      </c>
      <c r="C2051" s="129" t="s">
        <v>53</v>
      </c>
      <c r="D2051" s="130">
        <v>2527.6</v>
      </c>
      <c r="E2051" s="131">
        <v>44730</v>
      </c>
      <c r="F2051" s="132">
        <v>2527.6</v>
      </c>
      <c r="G2051" s="133">
        <f>Tabla147[[#This Row],[Importe]]-Tabla147[[#This Row],[Pagado]]</f>
        <v>0</v>
      </c>
      <c r="H2051" s="134" t="s">
        <v>10</v>
      </c>
      <c r="I2051" s="135"/>
    </row>
    <row r="2052" spans="1:9" ht="21.75" customHeight="1" x14ac:dyDescent="0.25">
      <c r="A2052" s="127">
        <v>44730</v>
      </c>
      <c r="B2052" s="128" t="s">
        <v>19924</v>
      </c>
      <c r="C2052" s="129" t="s">
        <v>114</v>
      </c>
      <c r="D2052" s="130">
        <v>6186</v>
      </c>
      <c r="E2052" s="131">
        <v>44732</v>
      </c>
      <c r="F2052" s="132">
        <v>6186</v>
      </c>
      <c r="G2052" s="133">
        <f>Tabla147[[#This Row],[Importe]]-Tabla147[[#This Row],[Pagado]]</f>
        <v>0</v>
      </c>
      <c r="H2052" s="134" t="s">
        <v>10</v>
      </c>
      <c r="I2052" s="135"/>
    </row>
    <row r="2053" spans="1:9" ht="21.75" customHeight="1" x14ac:dyDescent="0.25">
      <c r="A2053" s="127">
        <v>44730</v>
      </c>
      <c r="B2053" s="128" t="s">
        <v>19925</v>
      </c>
      <c r="C2053" s="129" t="s">
        <v>1706</v>
      </c>
      <c r="D2053" s="130">
        <v>9513.6</v>
      </c>
      <c r="E2053" s="131">
        <v>44730</v>
      </c>
      <c r="F2053" s="132">
        <v>9513.6</v>
      </c>
      <c r="G2053" s="133">
        <f>Tabla147[[#This Row],[Importe]]-Tabla147[[#This Row],[Pagado]]</f>
        <v>0</v>
      </c>
      <c r="H2053" s="134" t="s">
        <v>10</v>
      </c>
      <c r="I2053" s="135"/>
    </row>
    <row r="2054" spans="1:9" ht="21.75" customHeight="1" x14ac:dyDescent="0.25">
      <c r="A2054" s="127">
        <v>44730</v>
      </c>
      <c r="B2054" s="128" t="s">
        <v>19926</v>
      </c>
      <c r="C2054" s="129" t="s">
        <v>244</v>
      </c>
      <c r="D2054" s="130">
        <v>2242.1</v>
      </c>
      <c r="E2054" s="131">
        <v>44730</v>
      </c>
      <c r="F2054" s="132">
        <v>2242.1</v>
      </c>
      <c r="G2054" s="133">
        <f>Tabla147[[#This Row],[Importe]]-Tabla147[[#This Row],[Pagado]]</f>
        <v>0</v>
      </c>
      <c r="H2054" s="134" t="s">
        <v>10</v>
      </c>
      <c r="I2054" s="135"/>
    </row>
    <row r="2055" spans="1:9" ht="21.75" customHeight="1" x14ac:dyDescent="0.25">
      <c r="A2055" s="127">
        <v>44730</v>
      </c>
      <c r="B2055" s="128" t="s">
        <v>19927</v>
      </c>
      <c r="C2055" s="129" t="s">
        <v>31</v>
      </c>
      <c r="D2055" s="130">
        <v>1854</v>
      </c>
      <c r="E2055" s="131">
        <v>44730</v>
      </c>
      <c r="F2055" s="132">
        <v>1854</v>
      </c>
      <c r="G2055" s="133">
        <f>Tabla147[[#This Row],[Importe]]-Tabla147[[#This Row],[Pagado]]</f>
        <v>0</v>
      </c>
      <c r="H2055" s="134" t="s">
        <v>10</v>
      </c>
      <c r="I2055" s="135"/>
    </row>
    <row r="2056" spans="1:9" ht="21.75" customHeight="1" x14ac:dyDescent="0.25">
      <c r="A2056" s="127">
        <v>44730</v>
      </c>
      <c r="B2056" s="128" t="s">
        <v>19928</v>
      </c>
      <c r="C2056" s="129" t="s">
        <v>135</v>
      </c>
      <c r="D2056" s="130">
        <v>1666.5</v>
      </c>
      <c r="E2056" s="131">
        <v>44730</v>
      </c>
      <c r="F2056" s="132">
        <v>1666.5</v>
      </c>
      <c r="G2056" s="133">
        <f>Tabla147[[#This Row],[Importe]]-Tabla147[[#This Row],[Pagado]]</f>
        <v>0</v>
      </c>
      <c r="H2056" s="134" t="s">
        <v>10</v>
      </c>
      <c r="I2056" s="135"/>
    </row>
    <row r="2057" spans="1:9" ht="21.75" customHeight="1" x14ac:dyDescent="0.25">
      <c r="A2057" s="127">
        <v>44730</v>
      </c>
      <c r="B2057" s="128" t="s">
        <v>19929</v>
      </c>
      <c r="C2057" s="129" t="s">
        <v>426</v>
      </c>
      <c r="D2057" s="130">
        <v>5076</v>
      </c>
      <c r="E2057" s="131">
        <v>44733</v>
      </c>
      <c r="F2057" s="132">
        <v>5076</v>
      </c>
      <c r="G2057" s="133">
        <f>Tabla147[[#This Row],[Importe]]-Tabla147[[#This Row],[Pagado]]</f>
        <v>0</v>
      </c>
      <c r="H2057" s="134" t="s">
        <v>10</v>
      </c>
      <c r="I2057" s="135"/>
    </row>
    <row r="2058" spans="1:9" ht="21.75" customHeight="1" x14ac:dyDescent="0.25">
      <c r="A2058" s="127">
        <v>44730</v>
      </c>
      <c r="B2058" s="128" t="s">
        <v>19930</v>
      </c>
      <c r="C2058" s="129" t="s">
        <v>284</v>
      </c>
      <c r="D2058" s="130">
        <v>13810.8</v>
      </c>
      <c r="E2058" s="131">
        <v>44733</v>
      </c>
      <c r="F2058" s="132">
        <v>13810.8</v>
      </c>
      <c r="G2058" s="133">
        <f>Tabla147[[#This Row],[Importe]]-Tabla147[[#This Row],[Pagado]]</f>
        <v>0</v>
      </c>
      <c r="H2058" s="134" t="s">
        <v>10</v>
      </c>
      <c r="I2058" s="135"/>
    </row>
    <row r="2059" spans="1:9" ht="21.75" customHeight="1" x14ac:dyDescent="0.25">
      <c r="A2059" s="127">
        <v>44730</v>
      </c>
      <c r="B2059" s="128" t="s">
        <v>19931</v>
      </c>
      <c r="C2059" s="129" t="s">
        <v>5345</v>
      </c>
      <c r="D2059" s="130">
        <v>8173.6</v>
      </c>
      <c r="E2059" s="131">
        <v>44733</v>
      </c>
      <c r="F2059" s="132">
        <v>8173.6</v>
      </c>
      <c r="G2059" s="133">
        <f>Tabla147[[#This Row],[Importe]]-Tabla147[[#This Row],[Pagado]]</f>
        <v>0</v>
      </c>
      <c r="H2059" s="134" t="s">
        <v>10</v>
      </c>
      <c r="I2059" s="135"/>
    </row>
    <row r="2060" spans="1:9" ht="21.75" customHeight="1" x14ac:dyDescent="0.25">
      <c r="A2060" s="127">
        <v>44730</v>
      </c>
      <c r="B2060" s="128" t="s">
        <v>19932</v>
      </c>
      <c r="C2060" s="129" t="s">
        <v>282</v>
      </c>
      <c r="D2060" s="130">
        <v>2781.2</v>
      </c>
      <c r="E2060" s="131">
        <v>44733</v>
      </c>
      <c r="F2060" s="132">
        <v>2781.2</v>
      </c>
      <c r="G2060" s="133">
        <f>Tabla147[[#This Row],[Importe]]-Tabla147[[#This Row],[Pagado]]</f>
        <v>0</v>
      </c>
      <c r="H2060" s="134" t="s">
        <v>10</v>
      </c>
      <c r="I2060" s="135"/>
    </row>
    <row r="2061" spans="1:9" ht="21.75" customHeight="1" x14ac:dyDescent="0.25">
      <c r="A2061" s="127">
        <v>44730</v>
      </c>
      <c r="B2061" s="128" t="s">
        <v>19933</v>
      </c>
      <c r="C2061" s="129" t="s">
        <v>10819</v>
      </c>
      <c r="D2061" s="130">
        <v>1108.4000000000001</v>
      </c>
      <c r="E2061" s="131">
        <v>44733</v>
      </c>
      <c r="F2061" s="132">
        <v>1108.4000000000001</v>
      </c>
      <c r="G2061" s="133">
        <f>Tabla147[[#This Row],[Importe]]-Tabla147[[#This Row],[Pagado]]</f>
        <v>0</v>
      </c>
      <c r="H2061" s="134" t="s">
        <v>10</v>
      </c>
      <c r="I2061" s="135"/>
    </row>
    <row r="2062" spans="1:9" ht="21.75" customHeight="1" x14ac:dyDescent="0.25">
      <c r="A2062" s="127">
        <v>44730</v>
      </c>
      <c r="B2062" s="128" t="s">
        <v>19934</v>
      </c>
      <c r="C2062" s="129" t="s">
        <v>280</v>
      </c>
      <c r="D2062" s="130">
        <v>2380</v>
      </c>
      <c r="E2062" s="131">
        <v>44733</v>
      </c>
      <c r="F2062" s="132">
        <v>2380</v>
      </c>
      <c r="G2062" s="133">
        <f>Tabla147[[#This Row],[Importe]]-Tabla147[[#This Row],[Pagado]]</f>
        <v>0</v>
      </c>
      <c r="H2062" s="134" t="s">
        <v>10</v>
      </c>
      <c r="I2062" s="135"/>
    </row>
    <row r="2063" spans="1:9" ht="21.75" customHeight="1" x14ac:dyDescent="0.25">
      <c r="A2063" s="127">
        <v>44730</v>
      </c>
      <c r="B2063" s="128" t="s">
        <v>19935</v>
      </c>
      <c r="C2063" s="129" t="s">
        <v>200</v>
      </c>
      <c r="D2063" s="130">
        <v>1591.2</v>
      </c>
      <c r="E2063" s="131">
        <v>44733</v>
      </c>
      <c r="F2063" s="132">
        <v>1591.2</v>
      </c>
      <c r="G2063" s="133">
        <f>Tabla147[[#This Row],[Importe]]-Tabla147[[#This Row],[Pagado]]</f>
        <v>0</v>
      </c>
      <c r="H2063" s="134" t="s">
        <v>10</v>
      </c>
      <c r="I2063" s="135"/>
    </row>
    <row r="2064" spans="1:9" ht="21.75" customHeight="1" x14ac:dyDescent="0.25">
      <c r="A2064" s="127">
        <v>44730</v>
      </c>
      <c r="B2064" s="128" t="s">
        <v>19936</v>
      </c>
      <c r="C2064" s="129" t="s">
        <v>175</v>
      </c>
      <c r="D2064" s="130">
        <v>22648.9</v>
      </c>
      <c r="E2064" s="131">
        <v>44733</v>
      </c>
      <c r="F2064" s="132">
        <v>22648.9</v>
      </c>
      <c r="G2064" s="133">
        <f>Tabla147[[#This Row],[Importe]]-Tabla147[[#This Row],[Pagado]]</f>
        <v>0</v>
      </c>
      <c r="H2064" s="134" t="s">
        <v>10</v>
      </c>
      <c r="I2064" s="135"/>
    </row>
    <row r="2065" spans="1:9" ht="21.75" customHeight="1" x14ac:dyDescent="0.25">
      <c r="A2065" s="127">
        <v>44730</v>
      </c>
      <c r="B2065" s="128" t="s">
        <v>19937</v>
      </c>
      <c r="C2065" s="129" t="s">
        <v>181</v>
      </c>
      <c r="D2065" s="130">
        <v>9727.2000000000007</v>
      </c>
      <c r="E2065" s="131">
        <v>44733</v>
      </c>
      <c r="F2065" s="132">
        <v>9727.2000000000007</v>
      </c>
      <c r="G2065" s="133">
        <f>Tabla147[[#This Row],[Importe]]-Tabla147[[#This Row],[Pagado]]</f>
        <v>0</v>
      </c>
      <c r="H2065" s="134" t="s">
        <v>10</v>
      </c>
      <c r="I2065" s="135"/>
    </row>
    <row r="2066" spans="1:9" ht="21.75" customHeight="1" x14ac:dyDescent="0.25">
      <c r="A2066" s="127">
        <v>44730</v>
      </c>
      <c r="B2066" s="128" t="s">
        <v>19938</v>
      </c>
      <c r="C2066" s="129" t="s">
        <v>22</v>
      </c>
      <c r="D2066" s="130">
        <v>5917.5</v>
      </c>
      <c r="E2066" s="131">
        <v>44731</v>
      </c>
      <c r="F2066" s="132">
        <v>5917.5</v>
      </c>
      <c r="G2066" s="133">
        <f>Tabla147[[#This Row],[Importe]]-Tabla147[[#This Row],[Pagado]]</f>
        <v>0</v>
      </c>
      <c r="H2066" s="134" t="s">
        <v>10</v>
      </c>
      <c r="I2066" s="135"/>
    </row>
    <row r="2067" spans="1:9" ht="21.75" customHeight="1" x14ac:dyDescent="0.25">
      <c r="A2067" s="127">
        <v>44730</v>
      </c>
      <c r="B2067" s="128" t="s">
        <v>19939</v>
      </c>
      <c r="C2067" s="129" t="s">
        <v>31</v>
      </c>
      <c r="D2067" s="130">
        <v>117</v>
      </c>
      <c r="E2067" s="131">
        <v>44730</v>
      </c>
      <c r="F2067" s="132">
        <v>117</v>
      </c>
      <c r="G2067" s="133">
        <f>Tabla147[[#This Row],[Importe]]-Tabla147[[#This Row],[Pagado]]</f>
        <v>0</v>
      </c>
      <c r="H2067" s="134" t="s">
        <v>10</v>
      </c>
      <c r="I2067" s="135"/>
    </row>
    <row r="2068" spans="1:9" ht="21.75" customHeight="1" x14ac:dyDescent="0.25">
      <c r="A2068" s="127">
        <v>44730</v>
      </c>
      <c r="B2068" s="128" t="s">
        <v>19940</v>
      </c>
      <c r="C2068" s="129" t="s">
        <v>31</v>
      </c>
      <c r="D2068" s="130">
        <v>3304.8</v>
      </c>
      <c r="E2068" s="131">
        <v>44730</v>
      </c>
      <c r="F2068" s="132">
        <v>3304.8</v>
      </c>
      <c r="G2068" s="133">
        <f>Tabla147[[#This Row],[Importe]]-Tabla147[[#This Row],[Pagado]]</f>
        <v>0</v>
      </c>
      <c r="H2068" s="134" t="s">
        <v>10</v>
      </c>
      <c r="I2068" s="135"/>
    </row>
    <row r="2069" spans="1:9" ht="21.75" customHeight="1" x14ac:dyDescent="0.25">
      <c r="A2069" s="127">
        <v>44730</v>
      </c>
      <c r="B2069" s="128" t="s">
        <v>19941</v>
      </c>
      <c r="C2069" s="129" t="s">
        <v>35</v>
      </c>
      <c r="D2069" s="130">
        <v>2846.4</v>
      </c>
      <c r="E2069" s="131">
        <v>44730</v>
      </c>
      <c r="F2069" s="132">
        <v>2846.4</v>
      </c>
      <c r="G2069" s="133">
        <f>Tabla147[[#This Row],[Importe]]-Tabla147[[#This Row],[Pagado]]</f>
        <v>0</v>
      </c>
      <c r="H2069" s="134" t="s">
        <v>10</v>
      </c>
      <c r="I2069" s="135"/>
    </row>
    <row r="2070" spans="1:9" ht="21.75" customHeight="1" x14ac:dyDescent="0.25">
      <c r="A2070" s="127">
        <v>44730</v>
      </c>
      <c r="B2070" s="128" t="s">
        <v>19942</v>
      </c>
      <c r="C2070" s="129" t="s">
        <v>31</v>
      </c>
      <c r="D2070" s="130">
        <v>4787.8</v>
      </c>
      <c r="E2070" s="131">
        <v>44730</v>
      </c>
      <c r="F2070" s="132">
        <v>4787.8</v>
      </c>
      <c r="G2070" s="133">
        <f>Tabla147[[#This Row],[Importe]]-Tabla147[[#This Row],[Pagado]]</f>
        <v>0</v>
      </c>
      <c r="H2070" s="134" t="s">
        <v>10</v>
      </c>
      <c r="I2070" s="135"/>
    </row>
    <row r="2071" spans="1:9" ht="21.75" customHeight="1" x14ac:dyDescent="0.25">
      <c r="A2071" s="127">
        <v>44730</v>
      </c>
      <c r="B2071" s="128" t="s">
        <v>19943</v>
      </c>
      <c r="C2071" s="129" t="s">
        <v>31</v>
      </c>
      <c r="D2071" s="130">
        <v>204</v>
      </c>
      <c r="E2071" s="131">
        <v>44730</v>
      </c>
      <c r="F2071" s="132">
        <v>204</v>
      </c>
      <c r="G2071" s="133">
        <f>Tabla147[[#This Row],[Importe]]-Tabla147[[#This Row],[Pagado]]</f>
        <v>0</v>
      </c>
      <c r="H2071" s="134" t="s">
        <v>10</v>
      </c>
      <c r="I2071" s="135"/>
    </row>
    <row r="2072" spans="1:9" ht="21.75" customHeight="1" x14ac:dyDescent="0.25">
      <c r="A2072" s="127">
        <v>44730</v>
      </c>
      <c r="B2072" s="128" t="s">
        <v>19944</v>
      </c>
      <c r="C2072" s="129" t="s">
        <v>31</v>
      </c>
      <c r="D2072" s="130">
        <v>7261.2</v>
      </c>
      <c r="E2072" s="131">
        <v>44730</v>
      </c>
      <c r="F2072" s="132">
        <v>7261.2</v>
      </c>
      <c r="G2072" s="133">
        <f>Tabla147[[#This Row],[Importe]]-Tabla147[[#This Row],[Pagado]]</f>
        <v>0</v>
      </c>
      <c r="H2072" s="134" t="s">
        <v>10</v>
      </c>
      <c r="I2072" s="135"/>
    </row>
    <row r="2073" spans="1:9" ht="21.75" customHeight="1" x14ac:dyDescent="0.25">
      <c r="A2073" s="127">
        <v>44730</v>
      </c>
      <c r="B2073" s="128" t="s">
        <v>19945</v>
      </c>
      <c r="C2073" s="129" t="s">
        <v>857</v>
      </c>
      <c r="D2073" s="130">
        <v>1930.2</v>
      </c>
      <c r="E2073" s="131">
        <v>44730</v>
      </c>
      <c r="F2073" s="132">
        <v>1930.2</v>
      </c>
      <c r="G2073" s="133">
        <f>Tabla147[[#This Row],[Importe]]-Tabla147[[#This Row],[Pagado]]</f>
        <v>0</v>
      </c>
      <c r="H2073" s="134" t="s">
        <v>10</v>
      </c>
      <c r="I2073" s="135"/>
    </row>
    <row r="2074" spans="1:9" ht="21.75" customHeight="1" x14ac:dyDescent="0.25">
      <c r="A2074" s="127">
        <v>44730</v>
      </c>
      <c r="B2074" s="128" t="s">
        <v>19946</v>
      </c>
      <c r="C2074" s="129" t="s">
        <v>31</v>
      </c>
      <c r="D2074" s="130">
        <v>237.6</v>
      </c>
      <c r="E2074" s="131">
        <v>44730</v>
      </c>
      <c r="F2074" s="132">
        <v>237.6</v>
      </c>
      <c r="G2074" s="133">
        <f>Tabla147[[#This Row],[Importe]]-Tabla147[[#This Row],[Pagado]]</f>
        <v>0</v>
      </c>
      <c r="H2074" s="134" t="s">
        <v>10</v>
      </c>
      <c r="I2074" s="135"/>
    </row>
    <row r="2075" spans="1:9" ht="21.75" customHeight="1" x14ac:dyDescent="0.25">
      <c r="A2075" s="127">
        <v>44730</v>
      </c>
      <c r="B2075" s="128" t="s">
        <v>19947</v>
      </c>
      <c r="C2075" s="129" t="s">
        <v>31</v>
      </c>
      <c r="D2075" s="130">
        <v>7.5</v>
      </c>
      <c r="E2075" s="131">
        <v>44730</v>
      </c>
      <c r="F2075" s="132">
        <v>7.5</v>
      </c>
      <c r="G2075" s="133">
        <f>Tabla147[[#This Row],[Importe]]-Tabla147[[#This Row],[Pagado]]</f>
        <v>0</v>
      </c>
      <c r="H2075" s="134" t="s">
        <v>10</v>
      </c>
      <c r="I2075" s="135"/>
    </row>
    <row r="2076" spans="1:9" ht="21.75" customHeight="1" x14ac:dyDescent="0.25">
      <c r="A2076" s="127">
        <v>44730</v>
      </c>
      <c r="B2076" s="128" t="s">
        <v>19948</v>
      </c>
      <c r="C2076" s="129" t="s">
        <v>555</v>
      </c>
      <c r="D2076" s="130">
        <v>39168</v>
      </c>
      <c r="E2076" s="131">
        <v>44732</v>
      </c>
      <c r="F2076" s="132">
        <v>39168</v>
      </c>
      <c r="G2076" s="133">
        <f>Tabla147[[#This Row],[Importe]]-Tabla147[[#This Row],[Pagado]]</f>
        <v>0</v>
      </c>
      <c r="H2076" s="134" t="s">
        <v>10</v>
      </c>
      <c r="I2076" s="135"/>
    </row>
    <row r="2077" spans="1:9" ht="21.75" customHeight="1" x14ac:dyDescent="0.25">
      <c r="A2077" s="127">
        <v>44730</v>
      </c>
      <c r="B2077" s="128" t="s">
        <v>19949</v>
      </c>
      <c r="C2077" s="129" t="s">
        <v>51</v>
      </c>
      <c r="D2077" s="130">
        <v>4172.3999999999996</v>
      </c>
      <c r="E2077" s="131">
        <v>44731</v>
      </c>
      <c r="F2077" s="132">
        <v>4172.3999999999996</v>
      </c>
      <c r="G2077" s="133">
        <f>Tabla147[[#This Row],[Importe]]-Tabla147[[#This Row],[Pagado]]</f>
        <v>0</v>
      </c>
      <c r="H2077" s="134" t="s">
        <v>10</v>
      </c>
      <c r="I2077" s="135"/>
    </row>
    <row r="2078" spans="1:9" ht="21.75" customHeight="1" x14ac:dyDescent="0.25">
      <c r="A2078" s="127">
        <v>44730</v>
      </c>
      <c r="B2078" s="128" t="s">
        <v>19950</v>
      </c>
      <c r="C2078" s="129" t="s">
        <v>31</v>
      </c>
      <c r="D2078" s="130">
        <v>140</v>
      </c>
      <c r="E2078" s="131">
        <v>44732</v>
      </c>
      <c r="F2078" s="132">
        <v>140</v>
      </c>
      <c r="G2078" s="133">
        <f>Tabla147[[#This Row],[Importe]]-Tabla147[[#This Row],[Pagado]]</f>
        <v>0</v>
      </c>
      <c r="H2078" s="134" t="s">
        <v>10</v>
      </c>
      <c r="I2078" s="135"/>
    </row>
    <row r="2079" spans="1:9" ht="21.75" customHeight="1" x14ac:dyDescent="0.25">
      <c r="A2079" s="127">
        <v>44730</v>
      </c>
      <c r="B2079" s="128" t="s">
        <v>19951</v>
      </c>
      <c r="C2079" s="129" t="s">
        <v>31</v>
      </c>
      <c r="D2079" s="130">
        <v>3872</v>
      </c>
      <c r="E2079" s="131">
        <v>44731</v>
      </c>
      <c r="F2079" s="132">
        <v>3872</v>
      </c>
      <c r="G2079" s="133">
        <f>Tabla147[[#This Row],[Importe]]-Tabla147[[#This Row],[Pagado]]</f>
        <v>0</v>
      </c>
      <c r="H2079" s="134" t="s">
        <v>10</v>
      </c>
      <c r="I2079" s="135"/>
    </row>
    <row r="2080" spans="1:9" ht="21.75" customHeight="1" x14ac:dyDescent="0.25">
      <c r="A2080" s="127">
        <v>44730</v>
      </c>
      <c r="B2080" s="128" t="s">
        <v>19952</v>
      </c>
      <c r="C2080" s="129" t="s">
        <v>454</v>
      </c>
      <c r="D2080" s="130">
        <v>4040</v>
      </c>
      <c r="E2080" s="131">
        <v>44731</v>
      </c>
      <c r="F2080" s="132">
        <v>4040</v>
      </c>
      <c r="G2080" s="133">
        <f>Tabla147[[#This Row],[Importe]]-Tabla147[[#This Row],[Pagado]]</f>
        <v>0</v>
      </c>
      <c r="H2080" s="134" t="s">
        <v>10</v>
      </c>
      <c r="I2080" s="135"/>
    </row>
    <row r="2081" spans="1:9" ht="21.75" customHeight="1" x14ac:dyDescent="0.25">
      <c r="A2081" s="127">
        <v>44730</v>
      </c>
      <c r="B2081" s="128" t="s">
        <v>19953</v>
      </c>
      <c r="C2081" s="129" t="s">
        <v>296</v>
      </c>
      <c r="D2081" s="130">
        <v>1065</v>
      </c>
      <c r="E2081" s="131">
        <v>44731</v>
      </c>
      <c r="F2081" s="132">
        <v>1065</v>
      </c>
      <c r="G2081" s="133">
        <f>Tabla147[[#This Row],[Importe]]-Tabla147[[#This Row],[Pagado]]</f>
        <v>0</v>
      </c>
      <c r="H2081" s="134" t="s">
        <v>10</v>
      </c>
      <c r="I2081" s="135"/>
    </row>
    <row r="2082" spans="1:9" ht="21.75" customHeight="1" x14ac:dyDescent="0.25">
      <c r="A2082" s="127">
        <v>44730</v>
      </c>
      <c r="B2082" s="128" t="s">
        <v>19954</v>
      </c>
      <c r="C2082" s="129" t="s">
        <v>6252</v>
      </c>
      <c r="D2082" s="130">
        <v>0</v>
      </c>
      <c r="E2082" s="136" t="s">
        <v>189</v>
      </c>
      <c r="F2082" s="132">
        <v>0</v>
      </c>
      <c r="G2082" s="133">
        <f>Tabla147[[#This Row],[Importe]]-Tabla147[[#This Row],[Pagado]]</f>
        <v>0</v>
      </c>
      <c r="H2082" s="134" t="s">
        <v>189</v>
      </c>
      <c r="I2082" s="135"/>
    </row>
    <row r="2083" spans="1:9" ht="21.75" customHeight="1" x14ac:dyDescent="0.25">
      <c r="A2083" s="127">
        <v>44730</v>
      </c>
      <c r="B2083" s="128" t="s">
        <v>19955</v>
      </c>
      <c r="C2083" s="129" t="s">
        <v>31</v>
      </c>
      <c r="D2083" s="130">
        <v>285.60000000000002</v>
      </c>
      <c r="E2083" s="131">
        <v>44731</v>
      </c>
      <c r="F2083" s="132">
        <v>285.60000000000002</v>
      </c>
      <c r="G2083" s="133">
        <f>Tabla147[[#This Row],[Importe]]-Tabla147[[#This Row],[Pagado]]</f>
        <v>0</v>
      </c>
      <c r="H2083" s="134" t="s">
        <v>10</v>
      </c>
      <c r="I2083" s="135"/>
    </row>
    <row r="2084" spans="1:9" ht="21.75" customHeight="1" x14ac:dyDescent="0.25">
      <c r="A2084" s="127">
        <v>44730</v>
      </c>
      <c r="B2084" s="128" t="s">
        <v>19956</v>
      </c>
      <c r="C2084" s="129" t="s">
        <v>53</v>
      </c>
      <c r="D2084" s="130">
        <v>1469.7</v>
      </c>
      <c r="E2084" s="131">
        <v>44731</v>
      </c>
      <c r="F2084" s="132">
        <v>1469.7</v>
      </c>
      <c r="G2084" s="133">
        <f>Tabla147[[#This Row],[Importe]]-Tabla147[[#This Row],[Pagado]]</f>
        <v>0</v>
      </c>
      <c r="H2084" s="134" t="s">
        <v>10</v>
      </c>
      <c r="I2084" s="135"/>
    </row>
    <row r="2085" spans="1:9" ht="21.75" customHeight="1" x14ac:dyDescent="0.25">
      <c r="A2085" s="127">
        <v>44730</v>
      </c>
      <c r="B2085" s="128" t="s">
        <v>19957</v>
      </c>
      <c r="C2085" s="129" t="s">
        <v>31</v>
      </c>
      <c r="D2085" s="130">
        <v>265</v>
      </c>
      <c r="E2085" s="131">
        <v>44731</v>
      </c>
      <c r="F2085" s="132">
        <v>265</v>
      </c>
      <c r="G2085" s="133">
        <f>Tabla147[[#This Row],[Importe]]-Tabla147[[#This Row],[Pagado]]</f>
        <v>0</v>
      </c>
      <c r="H2085" s="134" t="s">
        <v>10</v>
      </c>
      <c r="I2085" s="135"/>
    </row>
    <row r="2086" spans="1:9" ht="21.75" customHeight="1" x14ac:dyDescent="0.25">
      <c r="A2086" s="127">
        <v>44730</v>
      </c>
      <c r="B2086" s="128" t="s">
        <v>19958</v>
      </c>
      <c r="C2086" s="129" t="s">
        <v>14</v>
      </c>
      <c r="D2086" s="130">
        <v>26318</v>
      </c>
      <c r="E2086" s="131">
        <v>44731</v>
      </c>
      <c r="F2086" s="132">
        <v>26318</v>
      </c>
      <c r="G2086" s="133">
        <f>Tabla147[[#This Row],[Importe]]-Tabla147[[#This Row],[Pagado]]</f>
        <v>0</v>
      </c>
      <c r="H2086" s="134" t="s">
        <v>10</v>
      </c>
      <c r="I2086" s="135"/>
    </row>
    <row r="2087" spans="1:9" ht="21.75" customHeight="1" x14ac:dyDescent="0.25">
      <c r="A2087" s="127">
        <v>44730</v>
      </c>
      <c r="B2087" s="128" t="s">
        <v>19959</v>
      </c>
      <c r="C2087" s="129" t="s">
        <v>12</v>
      </c>
      <c r="D2087" s="130">
        <v>113</v>
      </c>
      <c r="E2087" s="131">
        <v>44731</v>
      </c>
      <c r="F2087" s="132">
        <v>113</v>
      </c>
      <c r="G2087" s="133">
        <f>Tabla147[[#This Row],[Importe]]-Tabla147[[#This Row],[Pagado]]</f>
        <v>0</v>
      </c>
      <c r="H2087" s="134" t="s">
        <v>10</v>
      </c>
      <c r="I2087" s="135"/>
    </row>
    <row r="2088" spans="1:9" ht="21.75" customHeight="1" x14ac:dyDescent="0.25">
      <c r="A2088" s="127">
        <v>44730</v>
      </c>
      <c r="B2088" s="128" t="s">
        <v>19960</v>
      </c>
      <c r="C2088" s="129" t="s">
        <v>69</v>
      </c>
      <c r="D2088" s="130">
        <v>3201.6</v>
      </c>
      <c r="E2088" s="131">
        <v>44731</v>
      </c>
      <c r="F2088" s="132">
        <v>3201.6</v>
      </c>
      <c r="G2088" s="133">
        <f>Tabla147[[#This Row],[Importe]]-Tabla147[[#This Row],[Pagado]]</f>
        <v>0</v>
      </c>
      <c r="H2088" s="134" t="s">
        <v>10</v>
      </c>
      <c r="I2088" s="135"/>
    </row>
    <row r="2089" spans="1:9" ht="21.75" customHeight="1" x14ac:dyDescent="0.25">
      <c r="A2089" s="127">
        <v>44730</v>
      </c>
      <c r="B2089" s="128" t="s">
        <v>19961</v>
      </c>
      <c r="C2089" s="129" t="s">
        <v>31</v>
      </c>
      <c r="D2089" s="130">
        <v>1346.2</v>
      </c>
      <c r="E2089" s="131">
        <v>44732</v>
      </c>
      <c r="F2089" s="132">
        <v>1346.2</v>
      </c>
      <c r="G2089" s="133">
        <f>Tabla147[[#This Row],[Importe]]-Tabla147[[#This Row],[Pagado]]</f>
        <v>0</v>
      </c>
      <c r="H2089" s="134" t="s">
        <v>10</v>
      </c>
      <c r="I2089" s="135"/>
    </row>
    <row r="2090" spans="1:9" ht="21.75" customHeight="1" x14ac:dyDescent="0.25">
      <c r="A2090" s="127">
        <v>44731</v>
      </c>
      <c r="B2090" s="128" t="s">
        <v>19962</v>
      </c>
      <c r="C2090" s="129" t="s">
        <v>1187</v>
      </c>
      <c r="D2090" s="130">
        <v>2671.2</v>
      </c>
      <c r="E2090" s="131">
        <v>44731</v>
      </c>
      <c r="F2090" s="132">
        <v>2671.2</v>
      </c>
      <c r="G2090" s="133">
        <f>Tabla147[[#This Row],[Importe]]-Tabla147[[#This Row],[Pagado]]</f>
        <v>0</v>
      </c>
      <c r="H2090" s="134" t="s">
        <v>10</v>
      </c>
      <c r="I2090" s="135"/>
    </row>
    <row r="2091" spans="1:9" ht="21.75" customHeight="1" x14ac:dyDescent="0.25">
      <c r="A2091" s="127">
        <v>44731</v>
      </c>
      <c r="B2091" s="128" t="s">
        <v>19963</v>
      </c>
      <c r="C2091" s="129" t="s">
        <v>481</v>
      </c>
      <c r="D2091" s="130">
        <v>1053.8</v>
      </c>
      <c r="E2091" s="131">
        <v>44731</v>
      </c>
      <c r="F2091" s="132">
        <v>1053.8</v>
      </c>
      <c r="G2091" s="133">
        <f>Tabla147[[#This Row],[Importe]]-Tabla147[[#This Row],[Pagado]]</f>
        <v>0</v>
      </c>
      <c r="H2091" s="134" t="s">
        <v>10</v>
      </c>
      <c r="I2091" s="135"/>
    </row>
    <row r="2092" spans="1:9" ht="21.75" customHeight="1" x14ac:dyDescent="0.25">
      <c r="A2092" s="127">
        <v>44731</v>
      </c>
      <c r="B2092" s="128" t="s">
        <v>19964</v>
      </c>
      <c r="C2092" s="129" t="s">
        <v>9</v>
      </c>
      <c r="D2092" s="130">
        <v>10803.2</v>
      </c>
      <c r="E2092" s="131">
        <v>44731</v>
      </c>
      <c r="F2092" s="132">
        <v>10803.2</v>
      </c>
      <c r="G2092" s="133">
        <f>Tabla147[[#This Row],[Importe]]-Tabla147[[#This Row],[Pagado]]</f>
        <v>0</v>
      </c>
      <c r="H2092" s="134" t="s">
        <v>10</v>
      </c>
      <c r="I2092" s="135"/>
    </row>
    <row r="2093" spans="1:9" ht="21.75" customHeight="1" x14ac:dyDescent="0.25">
      <c r="A2093" s="127">
        <v>44731</v>
      </c>
      <c r="B2093" s="128" t="s">
        <v>19965</v>
      </c>
      <c r="C2093" s="129" t="s">
        <v>31</v>
      </c>
      <c r="D2093" s="130">
        <v>5386.5</v>
      </c>
      <c r="E2093" s="131">
        <v>44731</v>
      </c>
      <c r="F2093" s="132">
        <v>5386.5</v>
      </c>
      <c r="G2093" s="133">
        <f>Tabla147[[#This Row],[Importe]]-Tabla147[[#This Row],[Pagado]]</f>
        <v>0</v>
      </c>
      <c r="H2093" s="134" t="s">
        <v>10</v>
      </c>
      <c r="I2093" s="135"/>
    </row>
    <row r="2094" spans="1:9" ht="21.75" customHeight="1" x14ac:dyDescent="0.25">
      <c r="A2094" s="127">
        <v>44731</v>
      </c>
      <c r="B2094" s="128" t="s">
        <v>19966</v>
      </c>
      <c r="C2094" s="129" t="s">
        <v>12</v>
      </c>
      <c r="D2094" s="130">
        <v>7875.4</v>
      </c>
      <c r="E2094" s="131">
        <v>44731</v>
      </c>
      <c r="F2094" s="132">
        <v>7875.4</v>
      </c>
      <c r="G2094" s="133">
        <f>Tabla147[[#This Row],[Importe]]-Tabla147[[#This Row],[Pagado]]</f>
        <v>0</v>
      </c>
      <c r="H2094" s="134" t="s">
        <v>10</v>
      </c>
      <c r="I2094" s="135"/>
    </row>
    <row r="2095" spans="1:9" ht="31.5" x14ac:dyDescent="0.25">
      <c r="A2095" s="127">
        <v>44731</v>
      </c>
      <c r="B2095" s="128" t="s">
        <v>19967</v>
      </c>
      <c r="C2095" s="129" t="s">
        <v>475</v>
      </c>
      <c r="D2095" s="130">
        <v>53003.8</v>
      </c>
      <c r="E2095" s="131" t="s">
        <v>19284</v>
      </c>
      <c r="F2095" s="132">
        <f>46000+7003.8</f>
        <v>53003.8</v>
      </c>
      <c r="G2095" s="133">
        <f>Tabla147[[#This Row],[Importe]]-Tabla147[[#This Row],[Pagado]]</f>
        <v>0</v>
      </c>
      <c r="H2095" s="134" t="s">
        <v>10</v>
      </c>
      <c r="I2095" s="135"/>
    </row>
    <row r="2096" spans="1:9" ht="21.75" customHeight="1" x14ac:dyDescent="0.25">
      <c r="A2096" s="127">
        <v>44731</v>
      </c>
      <c r="B2096" s="128" t="s">
        <v>19968</v>
      </c>
      <c r="C2096" s="129" t="s">
        <v>31</v>
      </c>
      <c r="D2096" s="130">
        <v>9301.2000000000007</v>
      </c>
      <c r="E2096" s="131">
        <v>44731</v>
      </c>
      <c r="F2096" s="132">
        <v>9301.2000000000007</v>
      </c>
      <c r="G2096" s="133">
        <f>Tabla147[[#This Row],[Importe]]-Tabla147[[#This Row],[Pagado]]</f>
        <v>0</v>
      </c>
      <c r="H2096" s="134" t="s">
        <v>10</v>
      </c>
      <c r="I2096" s="135"/>
    </row>
    <row r="2097" spans="1:9" ht="21.75" customHeight="1" x14ac:dyDescent="0.25">
      <c r="A2097" s="127">
        <v>44731</v>
      </c>
      <c r="B2097" s="128" t="s">
        <v>19969</v>
      </c>
      <c r="C2097" s="129" t="s">
        <v>16</v>
      </c>
      <c r="D2097" s="130">
        <v>3938</v>
      </c>
      <c r="E2097" s="131">
        <v>44731</v>
      </c>
      <c r="F2097" s="132">
        <v>3938</v>
      </c>
      <c r="G2097" s="133">
        <f>Tabla147[[#This Row],[Importe]]-Tabla147[[#This Row],[Pagado]]</f>
        <v>0</v>
      </c>
      <c r="H2097" s="134" t="s">
        <v>10</v>
      </c>
      <c r="I2097" s="135"/>
    </row>
    <row r="2098" spans="1:9" ht="21.75" customHeight="1" x14ac:dyDescent="0.25">
      <c r="A2098" s="127">
        <v>44731</v>
      </c>
      <c r="B2098" s="128" t="s">
        <v>19970</v>
      </c>
      <c r="C2098" s="129" t="s">
        <v>20</v>
      </c>
      <c r="D2098" s="130">
        <v>10777.9</v>
      </c>
      <c r="E2098" s="131">
        <v>44731</v>
      </c>
      <c r="F2098" s="132">
        <v>10777.9</v>
      </c>
      <c r="G2098" s="133">
        <f>Tabla147[[#This Row],[Importe]]-Tabla147[[#This Row],[Pagado]]</f>
        <v>0</v>
      </c>
      <c r="H2098" s="134" t="s">
        <v>10</v>
      </c>
      <c r="I2098" s="135"/>
    </row>
    <row r="2099" spans="1:9" ht="21.75" customHeight="1" x14ac:dyDescent="0.25">
      <c r="A2099" s="127">
        <v>44731</v>
      </c>
      <c r="B2099" s="128" t="s">
        <v>19971</v>
      </c>
      <c r="C2099" s="129" t="s">
        <v>924</v>
      </c>
      <c r="D2099" s="130">
        <v>10895.2</v>
      </c>
      <c r="E2099" s="131">
        <v>44731</v>
      </c>
      <c r="F2099" s="132">
        <v>10895.2</v>
      </c>
      <c r="G2099" s="133">
        <f>Tabla147[[#This Row],[Importe]]-Tabla147[[#This Row],[Pagado]]</f>
        <v>0</v>
      </c>
      <c r="H2099" s="134" t="s">
        <v>10</v>
      </c>
      <c r="I2099" s="135"/>
    </row>
    <row r="2100" spans="1:9" ht="21.75" customHeight="1" x14ac:dyDescent="0.25">
      <c r="A2100" s="127">
        <v>44731</v>
      </c>
      <c r="B2100" s="128" t="s">
        <v>19972</v>
      </c>
      <c r="C2100" s="129" t="s">
        <v>22</v>
      </c>
      <c r="D2100" s="130">
        <v>62170.3</v>
      </c>
      <c r="E2100" s="131">
        <v>44734</v>
      </c>
      <c r="F2100" s="132">
        <v>62170.3</v>
      </c>
      <c r="G2100" s="133">
        <f>Tabla147[[#This Row],[Importe]]-Tabla147[[#This Row],[Pagado]]</f>
        <v>0</v>
      </c>
      <c r="H2100" s="134" t="s">
        <v>10</v>
      </c>
      <c r="I2100" s="135"/>
    </row>
    <row r="2101" spans="1:9" ht="21.75" customHeight="1" x14ac:dyDescent="0.25">
      <c r="A2101" s="127">
        <v>44731</v>
      </c>
      <c r="B2101" s="128" t="s">
        <v>19973</v>
      </c>
      <c r="C2101" s="129" t="s">
        <v>47</v>
      </c>
      <c r="D2101" s="130">
        <v>50987.6</v>
      </c>
      <c r="E2101" s="131">
        <v>44731</v>
      </c>
      <c r="F2101" s="132">
        <v>50987.6</v>
      </c>
      <c r="G2101" s="133">
        <f>Tabla147[[#This Row],[Importe]]-Tabla147[[#This Row],[Pagado]]</f>
        <v>0</v>
      </c>
      <c r="H2101" s="134" t="s">
        <v>10</v>
      </c>
      <c r="I2101" s="135"/>
    </row>
    <row r="2102" spans="1:9" ht="21.75" customHeight="1" x14ac:dyDescent="0.25">
      <c r="A2102" s="127">
        <v>44731</v>
      </c>
      <c r="B2102" s="128" t="s">
        <v>19974</v>
      </c>
      <c r="C2102" s="129" t="s">
        <v>670</v>
      </c>
      <c r="D2102" s="130">
        <v>3757.6</v>
      </c>
      <c r="E2102" s="131">
        <v>44731</v>
      </c>
      <c r="F2102" s="132">
        <v>3757.6</v>
      </c>
      <c r="G2102" s="133">
        <f>Tabla147[[#This Row],[Importe]]-Tabla147[[#This Row],[Pagado]]</f>
        <v>0</v>
      </c>
      <c r="H2102" s="134" t="s">
        <v>10</v>
      </c>
      <c r="I2102" s="135"/>
    </row>
    <row r="2103" spans="1:9" ht="21.75" customHeight="1" x14ac:dyDescent="0.25">
      <c r="A2103" s="127">
        <v>44731</v>
      </c>
      <c r="B2103" s="128" t="s">
        <v>19975</v>
      </c>
      <c r="C2103" s="129" t="s">
        <v>105</v>
      </c>
      <c r="D2103" s="130">
        <v>2830.6</v>
      </c>
      <c r="E2103" s="131">
        <v>44731</v>
      </c>
      <c r="F2103" s="132">
        <v>2830.6</v>
      </c>
      <c r="G2103" s="133">
        <f>Tabla147[[#This Row],[Importe]]-Tabla147[[#This Row],[Pagado]]</f>
        <v>0</v>
      </c>
      <c r="H2103" s="134" t="s">
        <v>10</v>
      </c>
      <c r="I2103" s="135"/>
    </row>
    <row r="2104" spans="1:9" ht="21.75" customHeight="1" x14ac:dyDescent="0.25">
      <c r="A2104" s="127">
        <v>44731</v>
      </c>
      <c r="B2104" s="128" t="s">
        <v>19976</v>
      </c>
      <c r="C2104" s="129" t="s">
        <v>33</v>
      </c>
      <c r="D2104" s="130">
        <v>11583.8</v>
      </c>
      <c r="E2104" s="131">
        <v>44731</v>
      </c>
      <c r="F2104" s="132">
        <v>11583.8</v>
      </c>
      <c r="G2104" s="133">
        <f>Tabla147[[#This Row],[Importe]]-Tabla147[[#This Row],[Pagado]]</f>
        <v>0</v>
      </c>
      <c r="H2104" s="134" t="s">
        <v>10</v>
      </c>
      <c r="I2104" s="135"/>
    </row>
    <row r="2105" spans="1:9" ht="21.75" customHeight="1" x14ac:dyDescent="0.25">
      <c r="A2105" s="127">
        <v>44731</v>
      </c>
      <c r="B2105" s="128" t="s">
        <v>19977</v>
      </c>
      <c r="C2105" s="129" t="s">
        <v>27</v>
      </c>
      <c r="D2105" s="130">
        <v>1101</v>
      </c>
      <c r="E2105" s="131">
        <v>44731</v>
      </c>
      <c r="F2105" s="132">
        <v>1101</v>
      </c>
      <c r="G2105" s="133">
        <f>Tabla147[[#This Row],[Importe]]-Tabla147[[#This Row],[Pagado]]</f>
        <v>0</v>
      </c>
      <c r="H2105" s="134" t="s">
        <v>10</v>
      </c>
      <c r="I2105" s="135"/>
    </row>
    <row r="2106" spans="1:9" ht="21.75" customHeight="1" x14ac:dyDescent="0.25">
      <c r="A2106" s="127">
        <v>44731</v>
      </c>
      <c r="B2106" s="128" t="s">
        <v>19978</v>
      </c>
      <c r="C2106" s="129" t="s">
        <v>19979</v>
      </c>
      <c r="D2106" s="130">
        <v>0</v>
      </c>
      <c r="E2106" s="136" t="s">
        <v>189</v>
      </c>
      <c r="F2106" s="132">
        <v>0</v>
      </c>
      <c r="G2106" s="133">
        <f>Tabla147[[#This Row],[Importe]]-Tabla147[[#This Row],[Pagado]]</f>
        <v>0</v>
      </c>
      <c r="H2106" s="137" t="s">
        <v>19980</v>
      </c>
      <c r="I2106" s="135"/>
    </row>
    <row r="2107" spans="1:9" ht="21.75" customHeight="1" x14ac:dyDescent="0.25">
      <c r="A2107" s="127">
        <v>44731</v>
      </c>
      <c r="B2107" s="128" t="s">
        <v>19981</v>
      </c>
      <c r="C2107" s="129" t="s">
        <v>348</v>
      </c>
      <c r="D2107" s="130">
        <v>4734.8</v>
      </c>
      <c r="E2107" s="131">
        <v>44731</v>
      </c>
      <c r="F2107" s="132">
        <v>4734.8</v>
      </c>
      <c r="G2107" s="133">
        <f>Tabla147[[#This Row],[Importe]]-Tabla147[[#This Row],[Pagado]]</f>
        <v>0</v>
      </c>
      <c r="H2107" s="134" t="s">
        <v>10</v>
      </c>
      <c r="I2107" s="135"/>
    </row>
    <row r="2108" spans="1:9" ht="21.75" customHeight="1" x14ac:dyDescent="0.25">
      <c r="A2108" s="127">
        <v>44731</v>
      </c>
      <c r="B2108" s="128" t="s">
        <v>19982</v>
      </c>
      <c r="C2108" s="129" t="s">
        <v>49</v>
      </c>
      <c r="D2108" s="130">
        <v>5991.9</v>
      </c>
      <c r="E2108" s="131">
        <v>44731</v>
      </c>
      <c r="F2108" s="132">
        <v>5991.9</v>
      </c>
      <c r="G2108" s="133">
        <f>Tabla147[[#This Row],[Importe]]-Tabla147[[#This Row],[Pagado]]</f>
        <v>0</v>
      </c>
      <c r="H2108" s="134" t="s">
        <v>10</v>
      </c>
      <c r="I2108" s="135"/>
    </row>
    <row r="2109" spans="1:9" ht="21.75" customHeight="1" x14ac:dyDescent="0.25">
      <c r="A2109" s="127">
        <v>44731</v>
      </c>
      <c r="B2109" s="128" t="s">
        <v>19983</v>
      </c>
      <c r="C2109" s="129" t="s">
        <v>15039</v>
      </c>
      <c r="D2109" s="130">
        <v>4447.3999999999996</v>
      </c>
      <c r="E2109" s="131">
        <v>44731</v>
      </c>
      <c r="F2109" s="132">
        <v>4447.3999999999996</v>
      </c>
      <c r="G2109" s="133">
        <f>Tabla147[[#This Row],[Importe]]-Tabla147[[#This Row],[Pagado]]</f>
        <v>0</v>
      </c>
      <c r="H2109" s="134" t="s">
        <v>10</v>
      </c>
      <c r="I2109" s="135"/>
    </row>
    <row r="2110" spans="1:9" ht="21.75" customHeight="1" x14ac:dyDescent="0.25">
      <c r="A2110" s="127">
        <v>44731</v>
      </c>
      <c r="B2110" s="128" t="s">
        <v>19984</v>
      </c>
      <c r="C2110" s="129" t="s">
        <v>216</v>
      </c>
      <c r="D2110" s="130">
        <v>2400.4</v>
      </c>
      <c r="E2110" s="131">
        <v>44731</v>
      </c>
      <c r="F2110" s="132">
        <v>2400.4</v>
      </c>
      <c r="G2110" s="133">
        <f>Tabla147[[#This Row],[Importe]]-Tabla147[[#This Row],[Pagado]]</f>
        <v>0</v>
      </c>
      <c r="H2110" s="134" t="s">
        <v>10</v>
      </c>
      <c r="I2110" s="135"/>
    </row>
    <row r="2111" spans="1:9" ht="21.75" customHeight="1" x14ac:dyDescent="0.25">
      <c r="A2111" s="127">
        <v>44731</v>
      </c>
      <c r="B2111" s="128" t="s">
        <v>19985</v>
      </c>
      <c r="C2111" s="129" t="s">
        <v>29</v>
      </c>
      <c r="D2111" s="130">
        <v>10540</v>
      </c>
      <c r="E2111" s="131">
        <v>44731</v>
      </c>
      <c r="F2111" s="132">
        <v>10540</v>
      </c>
      <c r="G2111" s="133">
        <f>Tabla147[[#This Row],[Importe]]-Tabla147[[#This Row],[Pagado]]</f>
        <v>0</v>
      </c>
      <c r="H2111" s="134" t="s">
        <v>10</v>
      </c>
      <c r="I2111" s="135"/>
    </row>
    <row r="2112" spans="1:9" ht="21.75" customHeight="1" x14ac:dyDescent="0.25">
      <c r="A2112" s="127">
        <v>44731</v>
      </c>
      <c r="B2112" s="128" t="s">
        <v>19986</v>
      </c>
      <c r="C2112" s="129" t="s">
        <v>37</v>
      </c>
      <c r="D2112" s="130">
        <v>2498.4</v>
      </c>
      <c r="E2112" s="131">
        <v>44731</v>
      </c>
      <c r="F2112" s="132">
        <v>2498.4</v>
      </c>
      <c r="G2112" s="133">
        <f>Tabla147[[#This Row],[Importe]]-Tabla147[[#This Row],[Pagado]]</f>
        <v>0</v>
      </c>
      <c r="H2112" s="134" t="s">
        <v>10</v>
      </c>
      <c r="I2112" s="135"/>
    </row>
    <row r="2113" spans="1:9" ht="21.75" customHeight="1" x14ac:dyDescent="0.25">
      <c r="A2113" s="127">
        <v>44731</v>
      </c>
      <c r="B2113" s="128" t="s">
        <v>19987</v>
      </c>
      <c r="C2113" s="129" t="s">
        <v>31</v>
      </c>
      <c r="D2113" s="130">
        <v>390</v>
      </c>
      <c r="E2113" s="131">
        <v>44731</v>
      </c>
      <c r="F2113" s="132">
        <v>390</v>
      </c>
      <c r="G2113" s="133">
        <f>Tabla147[[#This Row],[Importe]]-Tabla147[[#This Row],[Pagado]]</f>
        <v>0</v>
      </c>
      <c r="H2113" s="134" t="s">
        <v>10</v>
      </c>
      <c r="I2113" s="135"/>
    </row>
    <row r="2114" spans="1:9" ht="21.75" customHeight="1" x14ac:dyDescent="0.25">
      <c r="A2114" s="127">
        <v>44731</v>
      </c>
      <c r="B2114" s="128" t="s">
        <v>19988</v>
      </c>
      <c r="C2114" s="129" t="s">
        <v>6106</v>
      </c>
      <c r="D2114" s="130">
        <v>0</v>
      </c>
      <c r="E2114" s="136" t="s">
        <v>189</v>
      </c>
      <c r="F2114" s="132">
        <v>0</v>
      </c>
      <c r="G2114" s="133">
        <f>Tabla147[[#This Row],[Importe]]-Tabla147[[#This Row],[Pagado]]</f>
        <v>0</v>
      </c>
      <c r="H2114" s="137" t="s">
        <v>19989</v>
      </c>
      <c r="I2114" s="135"/>
    </row>
    <row r="2115" spans="1:9" ht="21.75" customHeight="1" x14ac:dyDescent="0.25">
      <c r="A2115" s="127">
        <v>44731</v>
      </c>
      <c r="B2115" s="128" t="s">
        <v>19990</v>
      </c>
      <c r="C2115" s="129" t="s">
        <v>15449</v>
      </c>
      <c r="D2115" s="130">
        <v>2410.4</v>
      </c>
      <c r="E2115" s="131">
        <v>44731</v>
      </c>
      <c r="F2115" s="132">
        <v>2410.4</v>
      </c>
      <c r="G2115" s="133">
        <f>Tabla147[[#This Row],[Importe]]-Tabla147[[#This Row],[Pagado]]</f>
        <v>0</v>
      </c>
      <c r="H2115" s="134" t="s">
        <v>10</v>
      </c>
      <c r="I2115" s="135"/>
    </row>
    <row r="2116" spans="1:9" ht="21.75" customHeight="1" x14ac:dyDescent="0.25">
      <c r="A2116" s="127">
        <v>44731</v>
      </c>
      <c r="B2116" s="128" t="s">
        <v>19991</v>
      </c>
      <c r="C2116" s="129" t="s">
        <v>31</v>
      </c>
      <c r="D2116" s="130">
        <v>1193.7</v>
      </c>
      <c r="E2116" s="131">
        <v>44731</v>
      </c>
      <c r="F2116" s="132">
        <v>1193.7</v>
      </c>
      <c r="G2116" s="133">
        <f>Tabla147[[#This Row],[Importe]]-Tabla147[[#This Row],[Pagado]]</f>
        <v>0</v>
      </c>
      <c r="H2116" s="134" t="s">
        <v>10</v>
      </c>
      <c r="I2116" s="135"/>
    </row>
    <row r="2117" spans="1:9" ht="21.75" customHeight="1" x14ac:dyDescent="0.25">
      <c r="A2117" s="127">
        <v>44731</v>
      </c>
      <c r="B2117" s="128" t="s">
        <v>19992</v>
      </c>
      <c r="C2117" s="129" t="s">
        <v>501</v>
      </c>
      <c r="D2117" s="130">
        <v>6612.5</v>
      </c>
      <c r="E2117" s="131">
        <v>44731</v>
      </c>
      <c r="F2117" s="132">
        <v>6612.5</v>
      </c>
      <c r="G2117" s="133">
        <f>Tabla147[[#This Row],[Importe]]-Tabla147[[#This Row],[Pagado]]</f>
        <v>0</v>
      </c>
      <c r="H2117" s="134" t="s">
        <v>10</v>
      </c>
      <c r="I2117" s="135"/>
    </row>
    <row r="2118" spans="1:9" ht="21.75" customHeight="1" x14ac:dyDescent="0.25">
      <c r="A2118" s="127">
        <v>44731</v>
      </c>
      <c r="B2118" s="128" t="s">
        <v>19993</v>
      </c>
      <c r="C2118" s="129" t="s">
        <v>97</v>
      </c>
      <c r="D2118" s="130">
        <v>5225.6000000000004</v>
      </c>
      <c r="E2118" s="131">
        <v>44731</v>
      </c>
      <c r="F2118" s="132">
        <v>5225.6000000000004</v>
      </c>
      <c r="G2118" s="133">
        <f>Tabla147[[#This Row],[Importe]]-Tabla147[[#This Row],[Pagado]]</f>
        <v>0</v>
      </c>
      <c r="H2118" s="134" t="s">
        <v>10</v>
      </c>
      <c r="I2118" s="135"/>
    </row>
    <row r="2119" spans="1:9" ht="21.75" customHeight="1" x14ac:dyDescent="0.25">
      <c r="A2119" s="127">
        <v>44731</v>
      </c>
      <c r="B2119" s="128" t="s">
        <v>19994</v>
      </c>
      <c r="C2119" s="129" t="s">
        <v>35</v>
      </c>
      <c r="D2119" s="130">
        <v>568.79999999999995</v>
      </c>
      <c r="E2119" s="131">
        <v>44731</v>
      </c>
      <c r="F2119" s="132">
        <v>568.79999999999995</v>
      </c>
      <c r="G2119" s="133">
        <f>Tabla147[[#This Row],[Importe]]-Tabla147[[#This Row],[Pagado]]</f>
        <v>0</v>
      </c>
      <c r="H2119" s="134" t="s">
        <v>10</v>
      </c>
      <c r="I2119" s="135"/>
    </row>
    <row r="2120" spans="1:9" ht="21.75" customHeight="1" x14ac:dyDescent="0.25">
      <c r="A2120" s="127">
        <v>44731</v>
      </c>
      <c r="B2120" s="128" t="s">
        <v>19995</v>
      </c>
      <c r="C2120" s="129" t="s">
        <v>24</v>
      </c>
      <c r="D2120" s="130">
        <v>1527.6</v>
      </c>
      <c r="E2120" s="131">
        <v>44731</v>
      </c>
      <c r="F2120" s="132">
        <v>1527.6</v>
      </c>
      <c r="G2120" s="133">
        <f>Tabla147[[#This Row],[Importe]]-Tabla147[[#This Row],[Pagado]]</f>
        <v>0</v>
      </c>
      <c r="H2120" s="134" t="s">
        <v>10</v>
      </c>
      <c r="I2120" s="135"/>
    </row>
    <row r="2121" spans="1:9" ht="21.75" customHeight="1" x14ac:dyDescent="0.25">
      <c r="A2121" s="127">
        <v>44731</v>
      </c>
      <c r="B2121" s="128" t="s">
        <v>19996</v>
      </c>
      <c r="C2121" s="129" t="s">
        <v>45</v>
      </c>
      <c r="D2121" s="130">
        <v>9693.6</v>
      </c>
      <c r="E2121" s="131">
        <v>44731</v>
      </c>
      <c r="F2121" s="132">
        <v>9693.6</v>
      </c>
      <c r="G2121" s="133">
        <f>Tabla147[[#This Row],[Importe]]-Tabla147[[#This Row],[Pagado]]</f>
        <v>0</v>
      </c>
      <c r="H2121" s="134" t="s">
        <v>10</v>
      </c>
      <c r="I2121" s="135"/>
    </row>
    <row r="2122" spans="1:9" ht="21.75" customHeight="1" x14ac:dyDescent="0.25">
      <c r="A2122" s="127">
        <v>44731</v>
      </c>
      <c r="B2122" s="128" t="s">
        <v>19997</v>
      </c>
      <c r="C2122" s="129" t="s">
        <v>244</v>
      </c>
      <c r="D2122" s="130">
        <v>2361.1999999999998</v>
      </c>
      <c r="E2122" s="131">
        <v>44731</v>
      </c>
      <c r="F2122" s="132">
        <v>2361.1999999999998</v>
      </c>
      <c r="G2122" s="133">
        <f>Tabla147[[#This Row],[Importe]]-Tabla147[[#This Row],[Pagado]]</f>
        <v>0</v>
      </c>
      <c r="H2122" s="134" t="s">
        <v>10</v>
      </c>
      <c r="I2122" s="135"/>
    </row>
    <row r="2123" spans="1:9" ht="21.75" customHeight="1" x14ac:dyDescent="0.25">
      <c r="A2123" s="127">
        <v>44731</v>
      </c>
      <c r="B2123" s="128" t="s">
        <v>19998</v>
      </c>
      <c r="C2123" s="129" t="s">
        <v>654</v>
      </c>
      <c r="D2123" s="130">
        <v>6496.1</v>
      </c>
      <c r="E2123" s="131">
        <v>44732</v>
      </c>
      <c r="F2123" s="132">
        <v>6496.1</v>
      </c>
      <c r="G2123" s="133">
        <f>Tabla147[[#This Row],[Importe]]-Tabla147[[#This Row],[Pagado]]</f>
        <v>0</v>
      </c>
      <c r="H2123" s="134" t="s">
        <v>10</v>
      </c>
      <c r="I2123" s="135"/>
    </row>
    <row r="2124" spans="1:9" ht="21.75" customHeight="1" x14ac:dyDescent="0.25">
      <c r="A2124" s="127">
        <v>44731</v>
      </c>
      <c r="B2124" s="128" t="s">
        <v>19999</v>
      </c>
      <c r="C2124" s="129" t="s">
        <v>296</v>
      </c>
      <c r="D2124" s="130">
        <v>4144</v>
      </c>
      <c r="E2124" s="131">
        <v>44731</v>
      </c>
      <c r="F2124" s="132">
        <v>4144</v>
      </c>
      <c r="G2124" s="133">
        <f>Tabla147[[#This Row],[Importe]]-Tabla147[[#This Row],[Pagado]]</f>
        <v>0</v>
      </c>
      <c r="H2124" s="134" t="s">
        <v>10</v>
      </c>
      <c r="I2124" s="135"/>
    </row>
    <row r="2125" spans="1:9" ht="21.75" customHeight="1" x14ac:dyDescent="0.25">
      <c r="A2125" s="127">
        <v>44731</v>
      </c>
      <c r="B2125" s="128" t="s">
        <v>20000</v>
      </c>
      <c r="C2125" s="129" t="s">
        <v>56</v>
      </c>
      <c r="D2125" s="130">
        <v>7171</v>
      </c>
      <c r="E2125" s="131">
        <v>44731</v>
      </c>
      <c r="F2125" s="132">
        <v>7171</v>
      </c>
      <c r="G2125" s="133">
        <f>Tabla147[[#This Row],[Importe]]-Tabla147[[#This Row],[Pagado]]</f>
        <v>0</v>
      </c>
      <c r="H2125" s="134" t="s">
        <v>10</v>
      </c>
      <c r="I2125" s="135"/>
    </row>
    <row r="2126" spans="1:9" ht="21.75" customHeight="1" x14ac:dyDescent="0.25">
      <c r="A2126" s="127">
        <v>44731</v>
      </c>
      <c r="B2126" s="128" t="s">
        <v>20001</v>
      </c>
      <c r="C2126" s="129" t="s">
        <v>56</v>
      </c>
      <c r="D2126" s="130">
        <v>688</v>
      </c>
      <c r="E2126" s="131">
        <v>44731</v>
      </c>
      <c r="F2126" s="132">
        <v>688</v>
      </c>
      <c r="G2126" s="133">
        <f>Tabla147[[#This Row],[Importe]]-Tabla147[[#This Row],[Pagado]]</f>
        <v>0</v>
      </c>
      <c r="H2126" s="134" t="s">
        <v>10</v>
      </c>
      <c r="I2126" s="135"/>
    </row>
    <row r="2127" spans="1:9" ht="21.75" customHeight="1" x14ac:dyDescent="0.25">
      <c r="A2127" s="127">
        <v>44731</v>
      </c>
      <c r="B2127" s="128" t="s">
        <v>20002</v>
      </c>
      <c r="C2127" s="129" t="s">
        <v>698</v>
      </c>
      <c r="D2127" s="130">
        <v>614.1</v>
      </c>
      <c r="E2127" s="131">
        <v>44731</v>
      </c>
      <c r="F2127" s="132">
        <v>614.1</v>
      </c>
      <c r="G2127" s="133">
        <f>Tabla147[[#This Row],[Importe]]-Tabla147[[#This Row],[Pagado]]</f>
        <v>0</v>
      </c>
      <c r="H2127" s="134" t="s">
        <v>10</v>
      </c>
      <c r="I2127" s="135"/>
    </row>
    <row r="2128" spans="1:9" ht="21.75" customHeight="1" x14ac:dyDescent="0.25">
      <c r="A2128" s="127">
        <v>44731</v>
      </c>
      <c r="B2128" s="128" t="s">
        <v>20003</v>
      </c>
      <c r="C2128" s="129" t="s">
        <v>31</v>
      </c>
      <c r="D2128" s="130">
        <v>1906.8</v>
      </c>
      <c r="E2128" s="131">
        <v>44731</v>
      </c>
      <c r="F2128" s="132">
        <v>1906.8</v>
      </c>
      <c r="G2128" s="133">
        <f>Tabla147[[#This Row],[Importe]]-Tabla147[[#This Row],[Pagado]]</f>
        <v>0</v>
      </c>
      <c r="H2128" s="134" t="s">
        <v>10</v>
      </c>
      <c r="I2128" s="135"/>
    </row>
    <row r="2129" spans="1:9" ht="21.75" customHeight="1" x14ac:dyDescent="0.25">
      <c r="A2129" s="127">
        <v>44731</v>
      </c>
      <c r="B2129" s="128" t="s">
        <v>20004</v>
      </c>
      <c r="C2129" s="129" t="s">
        <v>10190</v>
      </c>
      <c r="D2129" s="130">
        <v>24911.4</v>
      </c>
      <c r="E2129" s="131">
        <v>44731</v>
      </c>
      <c r="F2129" s="132">
        <v>24911.4</v>
      </c>
      <c r="G2129" s="133">
        <f>Tabla147[[#This Row],[Importe]]-Tabla147[[#This Row],[Pagado]]</f>
        <v>0</v>
      </c>
      <c r="H2129" s="134" t="s">
        <v>10</v>
      </c>
      <c r="I2129" s="135"/>
    </row>
    <row r="2130" spans="1:9" ht="31.5" x14ac:dyDescent="0.25">
      <c r="A2130" s="127">
        <v>44731</v>
      </c>
      <c r="B2130" s="128" t="s">
        <v>20005</v>
      </c>
      <c r="C2130" s="129" t="s">
        <v>67</v>
      </c>
      <c r="D2130" s="130">
        <v>3345.6</v>
      </c>
      <c r="E2130" s="131" t="s">
        <v>19808</v>
      </c>
      <c r="F2130" s="132">
        <f>3210+135.6</f>
        <v>3345.6</v>
      </c>
      <c r="G2130" s="133">
        <f>Tabla147[[#This Row],[Importe]]-Tabla147[[#This Row],[Pagado]]</f>
        <v>0</v>
      </c>
      <c r="H2130" s="134" t="s">
        <v>10</v>
      </c>
      <c r="I2130" s="135"/>
    </row>
    <row r="2131" spans="1:9" ht="21.75" customHeight="1" x14ac:dyDescent="0.25">
      <c r="A2131" s="127">
        <v>44731</v>
      </c>
      <c r="B2131" s="128" t="s">
        <v>20006</v>
      </c>
      <c r="C2131" s="129" t="s">
        <v>22</v>
      </c>
      <c r="D2131" s="130">
        <v>11950</v>
      </c>
      <c r="E2131" s="131">
        <v>44732</v>
      </c>
      <c r="F2131" s="132">
        <v>11950</v>
      </c>
      <c r="G2131" s="133">
        <f>Tabla147[[#This Row],[Importe]]-Tabla147[[#This Row],[Pagado]]</f>
        <v>0</v>
      </c>
      <c r="H2131" s="134" t="s">
        <v>10</v>
      </c>
      <c r="I2131" s="135"/>
    </row>
    <row r="2132" spans="1:9" ht="21.75" customHeight="1" x14ac:dyDescent="0.25">
      <c r="A2132" s="127">
        <v>44731</v>
      </c>
      <c r="B2132" s="128" t="s">
        <v>20007</v>
      </c>
      <c r="C2132" s="129" t="s">
        <v>53</v>
      </c>
      <c r="D2132" s="130">
        <v>1770</v>
      </c>
      <c r="E2132" s="131">
        <v>44731</v>
      </c>
      <c r="F2132" s="132">
        <v>1770</v>
      </c>
      <c r="G2132" s="133">
        <f>Tabla147[[#This Row],[Importe]]-Tabla147[[#This Row],[Pagado]]</f>
        <v>0</v>
      </c>
      <c r="H2132" s="134" t="s">
        <v>10</v>
      </c>
      <c r="I2132" s="135"/>
    </row>
    <row r="2133" spans="1:9" ht="21.75" customHeight="1" x14ac:dyDescent="0.25">
      <c r="A2133" s="127">
        <v>44731</v>
      </c>
      <c r="B2133" s="128" t="s">
        <v>20008</v>
      </c>
      <c r="C2133" s="129" t="s">
        <v>58</v>
      </c>
      <c r="D2133" s="130">
        <v>1836</v>
      </c>
      <c r="E2133" s="131">
        <v>44731</v>
      </c>
      <c r="F2133" s="132">
        <v>1836</v>
      </c>
      <c r="G2133" s="133">
        <f>Tabla147[[#This Row],[Importe]]-Tabla147[[#This Row],[Pagado]]</f>
        <v>0</v>
      </c>
      <c r="H2133" s="134" t="s">
        <v>10</v>
      </c>
      <c r="I2133" s="135"/>
    </row>
    <row r="2134" spans="1:9" ht="21.75" customHeight="1" x14ac:dyDescent="0.25">
      <c r="A2134" s="127">
        <v>44731</v>
      </c>
      <c r="B2134" s="128" t="s">
        <v>20009</v>
      </c>
      <c r="C2134" s="129" t="s">
        <v>2139</v>
      </c>
      <c r="D2134" s="130">
        <v>2590.5</v>
      </c>
      <c r="E2134" s="131">
        <v>44731</v>
      </c>
      <c r="F2134" s="132">
        <v>2590.5</v>
      </c>
      <c r="G2134" s="133">
        <f>Tabla147[[#This Row],[Importe]]-Tabla147[[#This Row],[Pagado]]</f>
        <v>0</v>
      </c>
      <c r="H2134" s="134" t="s">
        <v>10</v>
      </c>
      <c r="I2134" s="135"/>
    </row>
    <row r="2135" spans="1:9" ht="21.75" customHeight="1" x14ac:dyDescent="0.25">
      <c r="A2135" s="127">
        <v>44731</v>
      </c>
      <c r="B2135" s="128" t="s">
        <v>20010</v>
      </c>
      <c r="C2135" s="129" t="s">
        <v>71</v>
      </c>
      <c r="D2135" s="130">
        <v>1413.5</v>
      </c>
      <c r="E2135" s="131">
        <v>44731</v>
      </c>
      <c r="F2135" s="132">
        <v>1413.5</v>
      </c>
      <c r="G2135" s="133">
        <f>Tabla147[[#This Row],[Importe]]-Tabla147[[#This Row],[Pagado]]</f>
        <v>0</v>
      </c>
      <c r="H2135" s="134" t="s">
        <v>10</v>
      </c>
      <c r="I2135" s="135"/>
    </row>
    <row r="2136" spans="1:9" ht="21.75" customHeight="1" x14ac:dyDescent="0.25">
      <c r="A2136" s="127">
        <v>44731</v>
      </c>
      <c r="B2136" s="128" t="s">
        <v>20011</v>
      </c>
      <c r="C2136" s="129" t="s">
        <v>15039</v>
      </c>
      <c r="D2136" s="130">
        <v>4188.3999999999996</v>
      </c>
      <c r="E2136" s="131">
        <v>44731</v>
      </c>
      <c r="F2136" s="132">
        <v>4188.3999999999996</v>
      </c>
      <c r="G2136" s="133">
        <f>Tabla147[[#This Row],[Importe]]-Tabla147[[#This Row],[Pagado]]</f>
        <v>0</v>
      </c>
      <c r="H2136" s="134" t="s">
        <v>10</v>
      </c>
      <c r="I2136" s="135"/>
    </row>
    <row r="2137" spans="1:9" ht="21.75" customHeight="1" x14ac:dyDescent="0.25">
      <c r="A2137" s="127">
        <v>44731</v>
      </c>
      <c r="B2137" s="128" t="s">
        <v>20012</v>
      </c>
      <c r="C2137" s="129" t="s">
        <v>10273</v>
      </c>
      <c r="D2137" s="130">
        <v>336.7</v>
      </c>
      <c r="E2137" s="131">
        <v>44744</v>
      </c>
      <c r="F2137" s="132">
        <v>336.7</v>
      </c>
      <c r="G2137" s="133">
        <f>Tabla147[[#This Row],[Importe]]-Tabla147[[#This Row],[Pagado]]</f>
        <v>0</v>
      </c>
      <c r="H2137" s="134" t="s">
        <v>10</v>
      </c>
      <c r="I2137" s="135"/>
    </row>
    <row r="2138" spans="1:9" ht="21.75" customHeight="1" x14ac:dyDescent="0.25">
      <c r="A2138" s="127">
        <v>44731</v>
      </c>
      <c r="B2138" s="128" t="s">
        <v>20013</v>
      </c>
      <c r="C2138" s="129" t="s">
        <v>296</v>
      </c>
      <c r="D2138" s="130">
        <v>2646.2</v>
      </c>
      <c r="E2138" s="131">
        <v>44731</v>
      </c>
      <c r="F2138" s="132">
        <v>2646.2</v>
      </c>
      <c r="G2138" s="133">
        <f>Tabla147[[#This Row],[Importe]]-Tabla147[[#This Row],[Pagado]]</f>
        <v>0</v>
      </c>
      <c r="H2138" s="134" t="s">
        <v>10</v>
      </c>
      <c r="I2138" s="135"/>
    </row>
    <row r="2139" spans="1:9" ht="21.75" customHeight="1" x14ac:dyDescent="0.25">
      <c r="A2139" s="127">
        <v>44731</v>
      </c>
      <c r="B2139" s="128" t="s">
        <v>20014</v>
      </c>
      <c r="C2139" s="129" t="s">
        <v>214</v>
      </c>
      <c r="D2139" s="130">
        <v>1761.2</v>
      </c>
      <c r="E2139" s="131">
        <v>44731</v>
      </c>
      <c r="F2139" s="132">
        <v>1761.2</v>
      </c>
      <c r="G2139" s="133">
        <f>Tabla147[[#This Row],[Importe]]-Tabla147[[#This Row],[Pagado]]</f>
        <v>0</v>
      </c>
      <c r="H2139" s="134" t="s">
        <v>10</v>
      </c>
      <c r="I2139" s="135"/>
    </row>
    <row r="2140" spans="1:9" ht="21.75" customHeight="1" x14ac:dyDescent="0.25">
      <c r="A2140" s="127">
        <v>44731</v>
      </c>
      <c r="B2140" s="128" t="s">
        <v>20015</v>
      </c>
      <c r="C2140" s="129" t="s">
        <v>56</v>
      </c>
      <c r="D2140" s="130">
        <v>7836.6</v>
      </c>
      <c r="E2140" s="131">
        <v>44731</v>
      </c>
      <c r="F2140" s="132">
        <v>7836.6</v>
      </c>
      <c r="G2140" s="133">
        <f>Tabla147[[#This Row],[Importe]]-Tabla147[[#This Row],[Pagado]]</f>
        <v>0</v>
      </c>
      <c r="H2140" s="134" t="s">
        <v>10</v>
      </c>
      <c r="I2140" s="135"/>
    </row>
    <row r="2141" spans="1:9" ht="21.75" customHeight="1" x14ac:dyDescent="0.25">
      <c r="A2141" s="127">
        <v>44731</v>
      </c>
      <c r="B2141" s="128" t="s">
        <v>20016</v>
      </c>
      <c r="C2141" s="129" t="s">
        <v>296</v>
      </c>
      <c r="D2141" s="130">
        <v>1022</v>
      </c>
      <c r="E2141" s="131">
        <v>44731</v>
      </c>
      <c r="F2141" s="132">
        <v>1022</v>
      </c>
      <c r="G2141" s="133">
        <f>Tabla147[[#This Row],[Importe]]-Tabla147[[#This Row],[Pagado]]</f>
        <v>0</v>
      </c>
      <c r="H2141" s="134" t="s">
        <v>10</v>
      </c>
      <c r="I2141" s="135"/>
    </row>
    <row r="2142" spans="1:9" ht="21.75" customHeight="1" x14ac:dyDescent="0.25">
      <c r="A2142" s="127">
        <v>44731</v>
      </c>
      <c r="B2142" s="128" t="s">
        <v>20017</v>
      </c>
      <c r="C2142" s="129" t="s">
        <v>71</v>
      </c>
      <c r="D2142" s="130">
        <v>8006.8</v>
      </c>
      <c r="E2142" s="131">
        <v>44731</v>
      </c>
      <c r="F2142" s="132">
        <v>8006.8</v>
      </c>
      <c r="G2142" s="133">
        <f>Tabla147[[#This Row],[Importe]]-Tabla147[[#This Row],[Pagado]]</f>
        <v>0</v>
      </c>
      <c r="H2142" s="134" t="s">
        <v>10</v>
      </c>
      <c r="I2142" s="135"/>
    </row>
    <row r="2143" spans="1:9" ht="21.75" customHeight="1" x14ac:dyDescent="0.25">
      <c r="A2143" s="127">
        <v>44731</v>
      </c>
      <c r="B2143" s="128" t="s">
        <v>20018</v>
      </c>
      <c r="C2143" s="129" t="s">
        <v>289</v>
      </c>
      <c r="D2143" s="130">
        <v>11543.2</v>
      </c>
      <c r="E2143" s="131">
        <v>44731</v>
      </c>
      <c r="F2143" s="132">
        <v>11543.2</v>
      </c>
      <c r="G2143" s="133">
        <f>Tabla147[[#This Row],[Importe]]-Tabla147[[#This Row],[Pagado]]</f>
        <v>0</v>
      </c>
      <c r="H2143" s="134" t="s">
        <v>10</v>
      </c>
      <c r="I2143" s="135"/>
    </row>
    <row r="2144" spans="1:9" ht="21.75" customHeight="1" x14ac:dyDescent="0.25">
      <c r="A2144" s="127">
        <v>44731</v>
      </c>
      <c r="B2144" s="128" t="s">
        <v>20019</v>
      </c>
      <c r="C2144" s="129" t="s">
        <v>31</v>
      </c>
      <c r="D2144" s="130">
        <v>80</v>
      </c>
      <c r="E2144" s="131">
        <v>44731</v>
      </c>
      <c r="F2144" s="132">
        <v>80</v>
      </c>
      <c r="G2144" s="133">
        <f>Tabla147[[#This Row],[Importe]]-Tabla147[[#This Row],[Pagado]]</f>
        <v>0</v>
      </c>
      <c r="H2144" s="134" t="s">
        <v>10</v>
      </c>
      <c r="I2144" s="135"/>
    </row>
    <row r="2145" spans="1:9" ht="21.75" customHeight="1" x14ac:dyDescent="0.25">
      <c r="A2145" s="127">
        <v>44731</v>
      </c>
      <c r="B2145" s="128" t="s">
        <v>20020</v>
      </c>
      <c r="C2145" s="129" t="s">
        <v>67</v>
      </c>
      <c r="D2145" s="130">
        <v>1524.9</v>
      </c>
      <c r="E2145" s="131">
        <v>44731</v>
      </c>
      <c r="F2145" s="132">
        <v>1524.9</v>
      </c>
      <c r="G2145" s="133">
        <f>Tabla147[[#This Row],[Importe]]-Tabla147[[#This Row],[Pagado]]</f>
        <v>0</v>
      </c>
      <c r="H2145" s="134" t="s">
        <v>10</v>
      </c>
      <c r="I2145" s="135"/>
    </row>
    <row r="2146" spans="1:9" ht="21.75" customHeight="1" x14ac:dyDescent="0.25">
      <c r="A2146" s="127">
        <v>44731</v>
      </c>
      <c r="B2146" s="128" t="s">
        <v>20021</v>
      </c>
      <c r="C2146" s="129" t="s">
        <v>15449</v>
      </c>
      <c r="D2146" s="130">
        <v>588.79999999999995</v>
      </c>
      <c r="E2146" s="131">
        <v>44732</v>
      </c>
      <c r="F2146" s="132">
        <v>588.79999999999995</v>
      </c>
      <c r="G2146" s="133">
        <f>Tabla147[[#This Row],[Importe]]-Tabla147[[#This Row],[Pagado]]</f>
        <v>0</v>
      </c>
      <c r="H2146" s="134" t="s">
        <v>10</v>
      </c>
      <c r="I2146" s="135"/>
    </row>
    <row r="2147" spans="1:9" ht="31.5" x14ac:dyDescent="0.25">
      <c r="A2147" s="127">
        <v>44732</v>
      </c>
      <c r="B2147" s="128" t="s">
        <v>20022</v>
      </c>
      <c r="C2147" s="129" t="s">
        <v>475</v>
      </c>
      <c r="D2147" s="130">
        <v>138991.6</v>
      </c>
      <c r="E2147" s="131" t="s">
        <v>20023</v>
      </c>
      <c r="F2147" s="132">
        <f>104000+34991.6</f>
        <v>138991.6</v>
      </c>
      <c r="G2147" s="133">
        <f>Tabla147[[#This Row],[Importe]]-Tabla147[[#This Row],[Pagado]]</f>
        <v>0</v>
      </c>
      <c r="H2147" s="134" t="s">
        <v>10</v>
      </c>
      <c r="I2147" s="135"/>
    </row>
    <row r="2148" spans="1:9" ht="21.75" customHeight="1" x14ac:dyDescent="0.25">
      <c r="A2148" s="127">
        <v>44732</v>
      </c>
      <c r="B2148" s="128" t="s">
        <v>20024</v>
      </c>
      <c r="C2148" s="129" t="s">
        <v>22</v>
      </c>
      <c r="D2148" s="130">
        <v>58124.800000000003</v>
      </c>
      <c r="E2148" s="131">
        <v>44732</v>
      </c>
      <c r="F2148" s="132">
        <v>58124.800000000003</v>
      </c>
      <c r="G2148" s="133">
        <f>Tabla147[[#This Row],[Importe]]-Tabla147[[#This Row],[Pagado]]</f>
        <v>0</v>
      </c>
      <c r="H2148" s="134" t="s">
        <v>10</v>
      </c>
      <c r="I2148" s="135"/>
    </row>
    <row r="2149" spans="1:9" ht="21.75" customHeight="1" x14ac:dyDescent="0.25">
      <c r="A2149" s="127">
        <v>44732</v>
      </c>
      <c r="B2149" s="128" t="s">
        <v>20025</v>
      </c>
      <c r="C2149" s="129" t="s">
        <v>75</v>
      </c>
      <c r="D2149" s="130">
        <v>8963.1</v>
      </c>
      <c r="E2149" s="131">
        <v>44732</v>
      </c>
      <c r="F2149" s="132">
        <v>8963.1</v>
      </c>
      <c r="G2149" s="133">
        <f>Tabla147[[#This Row],[Importe]]-Tabla147[[#This Row],[Pagado]]</f>
        <v>0</v>
      </c>
      <c r="H2149" s="134" t="s">
        <v>10</v>
      </c>
      <c r="I2149" s="135"/>
    </row>
    <row r="2150" spans="1:9" ht="21.75" customHeight="1" x14ac:dyDescent="0.25">
      <c r="A2150" s="127">
        <v>44732</v>
      </c>
      <c r="B2150" s="128" t="s">
        <v>20026</v>
      </c>
      <c r="C2150" s="129" t="s">
        <v>85</v>
      </c>
      <c r="D2150" s="130">
        <v>665.4</v>
      </c>
      <c r="E2150" s="131">
        <v>44732</v>
      </c>
      <c r="F2150" s="132">
        <v>665.4</v>
      </c>
      <c r="G2150" s="133">
        <f>Tabla147[[#This Row],[Importe]]-Tabla147[[#This Row],[Pagado]]</f>
        <v>0</v>
      </c>
      <c r="H2150" s="134" t="s">
        <v>10</v>
      </c>
      <c r="I2150" s="135"/>
    </row>
    <row r="2151" spans="1:9" ht="21.75" customHeight="1" x14ac:dyDescent="0.25">
      <c r="A2151" s="127">
        <v>44732</v>
      </c>
      <c r="B2151" s="128" t="s">
        <v>20027</v>
      </c>
      <c r="C2151" s="129" t="s">
        <v>131</v>
      </c>
      <c r="D2151" s="130">
        <v>3759</v>
      </c>
      <c r="E2151" s="131">
        <v>44732</v>
      </c>
      <c r="F2151" s="132">
        <v>3759</v>
      </c>
      <c r="G2151" s="133">
        <f>Tabla147[[#This Row],[Importe]]-Tabla147[[#This Row],[Pagado]]</f>
        <v>0</v>
      </c>
      <c r="H2151" s="134" t="s">
        <v>10</v>
      </c>
      <c r="I2151" s="135"/>
    </row>
    <row r="2152" spans="1:9" ht="21.75" customHeight="1" x14ac:dyDescent="0.25">
      <c r="A2152" s="127">
        <v>44732</v>
      </c>
      <c r="B2152" s="128" t="s">
        <v>20028</v>
      </c>
      <c r="C2152" s="129" t="s">
        <v>179</v>
      </c>
      <c r="D2152" s="130">
        <v>593.4</v>
      </c>
      <c r="E2152" s="131">
        <v>44732</v>
      </c>
      <c r="F2152" s="132">
        <v>593.4</v>
      </c>
      <c r="G2152" s="133">
        <f>Tabla147[[#This Row],[Importe]]-Tabla147[[#This Row],[Pagado]]</f>
        <v>0</v>
      </c>
      <c r="H2152" s="134" t="s">
        <v>10</v>
      </c>
      <c r="I2152" s="135"/>
    </row>
    <row r="2153" spans="1:9" ht="21.75" customHeight="1" x14ac:dyDescent="0.25">
      <c r="A2153" s="127">
        <v>44732</v>
      </c>
      <c r="B2153" s="128" t="s">
        <v>20029</v>
      </c>
      <c r="C2153" s="129" t="s">
        <v>2151</v>
      </c>
      <c r="D2153" s="130">
        <v>16656.599999999999</v>
      </c>
      <c r="E2153" s="131">
        <v>44732</v>
      </c>
      <c r="F2153" s="132">
        <v>16656.599999999999</v>
      </c>
      <c r="G2153" s="133">
        <f>Tabla147[[#This Row],[Importe]]-Tabla147[[#This Row],[Pagado]]</f>
        <v>0</v>
      </c>
      <c r="H2153" s="134" t="s">
        <v>10</v>
      </c>
      <c r="I2153" s="135"/>
    </row>
    <row r="2154" spans="1:9" ht="21.75" customHeight="1" x14ac:dyDescent="0.25">
      <c r="A2154" s="127">
        <v>44732</v>
      </c>
      <c r="B2154" s="128" t="s">
        <v>20030</v>
      </c>
      <c r="C2154" s="129" t="s">
        <v>60</v>
      </c>
      <c r="D2154" s="130">
        <v>5040.6000000000004</v>
      </c>
      <c r="E2154" s="131">
        <v>44735</v>
      </c>
      <c r="F2154" s="132">
        <v>5040.6000000000004</v>
      </c>
      <c r="G2154" s="133">
        <f>Tabla147[[#This Row],[Importe]]-Tabla147[[#This Row],[Pagado]]</f>
        <v>0</v>
      </c>
      <c r="H2154" s="134" t="s">
        <v>10</v>
      </c>
      <c r="I2154" s="135"/>
    </row>
    <row r="2155" spans="1:9" ht="21.75" customHeight="1" x14ac:dyDescent="0.25">
      <c r="A2155" s="127">
        <v>44732</v>
      </c>
      <c r="B2155" s="128" t="s">
        <v>20031</v>
      </c>
      <c r="C2155" s="129" t="s">
        <v>120</v>
      </c>
      <c r="D2155" s="130">
        <v>5220.3999999999996</v>
      </c>
      <c r="E2155" s="131">
        <v>44733</v>
      </c>
      <c r="F2155" s="132">
        <v>5220.3999999999996</v>
      </c>
      <c r="G2155" s="133">
        <f>Tabla147[[#This Row],[Importe]]-Tabla147[[#This Row],[Pagado]]</f>
        <v>0</v>
      </c>
      <c r="H2155" s="134" t="s">
        <v>10</v>
      </c>
      <c r="I2155" s="135"/>
    </row>
    <row r="2156" spans="1:9" ht="21.75" customHeight="1" x14ac:dyDescent="0.25">
      <c r="A2156" s="127">
        <v>44732</v>
      </c>
      <c r="B2156" s="128" t="s">
        <v>20032</v>
      </c>
      <c r="C2156" s="129" t="s">
        <v>109</v>
      </c>
      <c r="D2156" s="130">
        <v>5142</v>
      </c>
      <c r="E2156" s="131">
        <v>44733</v>
      </c>
      <c r="F2156" s="132">
        <v>5142</v>
      </c>
      <c r="G2156" s="133">
        <f>Tabla147[[#This Row],[Importe]]-Tabla147[[#This Row],[Pagado]]</f>
        <v>0</v>
      </c>
      <c r="H2156" s="134" t="s">
        <v>10</v>
      </c>
      <c r="I2156" s="135"/>
    </row>
    <row r="2157" spans="1:9" ht="21.75" customHeight="1" x14ac:dyDescent="0.25">
      <c r="A2157" s="127">
        <v>44732</v>
      </c>
      <c r="B2157" s="128" t="s">
        <v>20033</v>
      </c>
      <c r="C2157" s="129" t="s">
        <v>83</v>
      </c>
      <c r="D2157" s="130">
        <v>5343.1</v>
      </c>
      <c r="E2157" s="131">
        <v>44732</v>
      </c>
      <c r="F2157" s="132">
        <v>5343.1</v>
      </c>
      <c r="G2157" s="133">
        <f>Tabla147[[#This Row],[Importe]]-Tabla147[[#This Row],[Pagado]]</f>
        <v>0</v>
      </c>
      <c r="H2157" s="134" t="s">
        <v>10</v>
      </c>
      <c r="I2157" s="135"/>
    </row>
    <row r="2158" spans="1:9" ht="21.75" customHeight="1" x14ac:dyDescent="0.25">
      <c r="A2158" s="127">
        <v>44732</v>
      </c>
      <c r="B2158" s="128" t="s">
        <v>20034</v>
      </c>
      <c r="C2158" s="129" t="s">
        <v>481</v>
      </c>
      <c r="D2158" s="130">
        <v>656</v>
      </c>
      <c r="E2158" s="131">
        <v>44732</v>
      </c>
      <c r="F2158" s="132">
        <v>656</v>
      </c>
      <c r="G2158" s="133">
        <f>Tabla147[[#This Row],[Importe]]-Tabla147[[#This Row],[Pagado]]</f>
        <v>0</v>
      </c>
      <c r="H2158" s="134" t="s">
        <v>10</v>
      </c>
      <c r="I2158" s="135"/>
    </row>
    <row r="2159" spans="1:9" ht="21.75" customHeight="1" x14ac:dyDescent="0.25">
      <c r="A2159" s="127">
        <v>44732</v>
      </c>
      <c r="B2159" s="128" t="s">
        <v>20035</v>
      </c>
      <c r="C2159" s="129" t="s">
        <v>353</v>
      </c>
      <c r="D2159" s="130">
        <v>1805.6</v>
      </c>
      <c r="E2159" s="131">
        <v>44732</v>
      </c>
      <c r="F2159" s="132">
        <v>1805.6</v>
      </c>
      <c r="G2159" s="133">
        <f>Tabla147[[#This Row],[Importe]]-Tabla147[[#This Row],[Pagado]]</f>
        <v>0</v>
      </c>
      <c r="H2159" s="134" t="s">
        <v>10</v>
      </c>
      <c r="I2159" s="135"/>
    </row>
    <row r="2160" spans="1:9" ht="21.75" customHeight="1" x14ac:dyDescent="0.25">
      <c r="A2160" s="127">
        <v>44732</v>
      </c>
      <c r="B2160" s="128" t="s">
        <v>20036</v>
      </c>
      <c r="C2160" s="129" t="s">
        <v>135</v>
      </c>
      <c r="D2160" s="130">
        <v>979.2</v>
      </c>
      <c r="E2160" s="131">
        <v>44732</v>
      </c>
      <c r="F2160" s="132">
        <v>979.2</v>
      </c>
      <c r="G2160" s="133">
        <f>Tabla147[[#This Row],[Importe]]-Tabla147[[#This Row],[Pagado]]</f>
        <v>0</v>
      </c>
      <c r="H2160" s="134" t="s">
        <v>10</v>
      </c>
      <c r="I2160" s="135"/>
    </row>
    <row r="2161" spans="1:9" ht="21.75" customHeight="1" x14ac:dyDescent="0.25">
      <c r="A2161" s="127">
        <v>44732</v>
      </c>
      <c r="B2161" s="128" t="s">
        <v>20037</v>
      </c>
      <c r="C2161" s="129" t="s">
        <v>114</v>
      </c>
      <c r="D2161" s="130">
        <v>9828</v>
      </c>
      <c r="E2161" s="131">
        <v>44733</v>
      </c>
      <c r="F2161" s="132">
        <v>9828</v>
      </c>
      <c r="G2161" s="133">
        <f>Tabla147[[#This Row],[Importe]]-Tabla147[[#This Row],[Pagado]]</f>
        <v>0</v>
      </c>
      <c r="H2161" s="134" t="s">
        <v>10</v>
      </c>
      <c r="I2161" s="135"/>
    </row>
    <row r="2162" spans="1:9" ht="21.75" customHeight="1" x14ac:dyDescent="0.25">
      <c r="A2162" s="127">
        <v>44732</v>
      </c>
      <c r="B2162" s="128" t="s">
        <v>20038</v>
      </c>
      <c r="C2162" s="129" t="s">
        <v>9</v>
      </c>
      <c r="D2162" s="130">
        <v>7526.3</v>
      </c>
      <c r="E2162" s="131">
        <v>44732</v>
      </c>
      <c r="F2162" s="132">
        <v>7526.3</v>
      </c>
      <c r="G2162" s="133">
        <f>Tabla147[[#This Row],[Importe]]-Tabla147[[#This Row],[Pagado]]</f>
        <v>0</v>
      </c>
      <c r="H2162" s="134" t="s">
        <v>10</v>
      </c>
      <c r="I2162" s="135"/>
    </row>
    <row r="2163" spans="1:9" ht="21.75" customHeight="1" x14ac:dyDescent="0.25">
      <c r="A2163" s="127">
        <v>44732</v>
      </c>
      <c r="B2163" s="128" t="s">
        <v>20039</v>
      </c>
      <c r="C2163" s="129" t="s">
        <v>326</v>
      </c>
      <c r="D2163" s="130">
        <v>333.5</v>
      </c>
      <c r="E2163" s="131">
        <v>44733</v>
      </c>
      <c r="F2163" s="132">
        <v>333.5</v>
      </c>
      <c r="G2163" s="133">
        <f>Tabla147[[#This Row],[Importe]]-Tabla147[[#This Row],[Pagado]]</f>
        <v>0</v>
      </c>
      <c r="H2163" s="134" t="s">
        <v>10</v>
      </c>
      <c r="I2163" s="135"/>
    </row>
    <row r="2164" spans="1:9" ht="21.75" customHeight="1" x14ac:dyDescent="0.25">
      <c r="A2164" s="127">
        <v>44732</v>
      </c>
      <c r="B2164" s="128" t="s">
        <v>20040</v>
      </c>
      <c r="C2164" s="129" t="s">
        <v>326</v>
      </c>
      <c r="D2164" s="130">
        <v>5040.6000000000004</v>
      </c>
      <c r="E2164" s="131">
        <v>44734</v>
      </c>
      <c r="F2164" s="132">
        <v>5040.6000000000004</v>
      </c>
      <c r="G2164" s="133">
        <f>Tabla147[[#This Row],[Importe]]-Tabla147[[#This Row],[Pagado]]</f>
        <v>0</v>
      </c>
      <c r="H2164" s="134" t="s">
        <v>10</v>
      </c>
      <c r="I2164" s="135"/>
    </row>
    <row r="2165" spans="1:9" ht="21.75" customHeight="1" x14ac:dyDescent="0.25">
      <c r="A2165" s="127">
        <v>44732</v>
      </c>
      <c r="B2165" s="128" t="s">
        <v>20041</v>
      </c>
      <c r="C2165" s="129" t="s">
        <v>93</v>
      </c>
      <c r="D2165" s="130">
        <v>8417.1</v>
      </c>
      <c r="E2165" s="131">
        <v>44734</v>
      </c>
      <c r="F2165" s="132">
        <v>8417.1</v>
      </c>
      <c r="G2165" s="133">
        <f>Tabla147[[#This Row],[Importe]]-Tabla147[[#This Row],[Pagado]]</f>
        <v>0</v>
      </c>
      <c r="H2165" s="134" t="s">
        <v>10</v>
      </c>
      <c r="I2165" s="135"/>
    </row>
    <row r="2166" spans="1:9" ht="21.75" customHeight="1" x14ac:dyDescent="0.25">
      <c r="A2166" s="127">
        <v>44732</v>
      </c>
      <c r="B2166" s="128" t="s">
        <v>20042</v>
      </c>
      <c r="C2166" s="129" t="s">
        <v>105</v>
      </c>
      <c r="D2166" s="130">
        <v>5136</v>
      </c>
      <c r="E2166" s="131">
        <v>44733</v>
      </c>
      <c r="F2166" s="132">
        <v>5136</v>
      </c>
      <c r="G2166" s="133">
        <f>Tabla147[[#This Row],[Importe]]-Tabla147[[#This Row],[Pagado]]</f>
        <v>0</v>
      </c>
      <c r="H2166" s="134" t="s">
        <v>10</v>
      </c>
      <c r="I2166" s="135"/>
    </row>
    <row r="2167" spans="1:9" ht="21.75" customHeight="1" x14ac:dyDescent="0.25">
      <c r="A2167" s="127">
        <v>44732</v>
      </c>
      <c r="B2167" s="128" t="s">
        <v>20043</v>
      </c>
      <c r="C2167" s="129" t="s">
        <v>116</v>
      </c>
      <c r="D2167" s="130">
        <v>5381.6</v>
      </c>
      <c r="E2167" s="131">
        <v>44733</v>
      </c>
      <c r="F2167" s="132">
        <v>5381.6</v>
      </c>
      <c r="G2167" s="133">
        <f>Tabla147[[#This Row],[Importe]]-Tabla147[[#This Row],[Pagado]]</f>
        <v>0</v>
      </c>
      <c r="H2167" s="134" t="s">
        <v>10</v>
      </c>
      <c r="I2167" s="135"/>
    </row>
    <row r="2168" spans="1:9" ht="21.75" customHeight="1" x14ac:dyDescent="0.25">
      <c r="A2168" s="127">
        <v>44732</v>
      </c>
      <c r="B2168" s="128" t="s">
        <v>20044</v>
      </c>
      <c r="C2168" s="129" t="s">
        <v>348</v>
      </c>
      <c r="D2168" s="130">
        <v>1057.9000000000001</v>
      </c>
      <c r="E2168" s="131">
        <v>44732</v>
      </c>
      <c r="F2168" s="132">
        <v>1057.9000000000001</v>
      </c>
      <c r="G2168" s="133">
        <f>Tabla147[[#This Row],[Importe]]-Tabla147[[#This Row],[Pagado]]</f>
        <v>0</v>
      </c>
      <c r="H2168" s="134" t="s">
        <v>10</v>
      </c>
      <c r="I2168" s="135"/>
    </row>
    <row r="2169" spans="1:9" ht="21.75" customHeight="1" x14ac:dyDescent="0.25">
      <c r="A2169" s="127">
        <v>44732</v>
      </c>
      <c r="B2169" s="128" t="s">
        <v>20045</v>
      </c>
      <c r="C2169" s="129" t="s">
        <v>111</v>
      </c>
      <c r="D2169" s="130">
        <v>5430</v>
      </c>
      <c r="E2169" s="131">
        <v>44733</v>
      </c>
      <c r="F2169" s="132">
        <v>5430</v>
      </c>
      <c r="G2169" s="133">
        <f>Tabla147[[#This Row],[Importe]]-Tabla147[[#This Row],[Pagado]]</f>
        <v>0</v>
      </c>
      <c r="H2169" s="134" t="s">
        <v>10</v>
      </c>
      <c r="I2169" s="135"/>
    </row>
    <row r="2170" spans="1:9" ht="21.75" customHeight="1" x14ac:dyDescent="0.25">
      <c r="A2170" s="127">
        <v>44732</v>
      </c>
      <c r="B2170" s="128" t="s">
        <v>20046</v>
      </c>
      <c r="C2170" s="129" t="s">
        <v>89</v>
      </c>
      <c r="D2170" s="130">
        <v>6791.3</v>
      </c>
      <c r="E2170" s="131">
        <v>44733</v>
      </c>
      <c r="F2170" s="132">
        <v>6791.3</v>
      </c>
      <c r="G2170" s="133">
        <f>Tabla147[[#This Row],[Importe]]-Tabla147[[#This Row],[Pagado]]</f>
        <v>0</v>
      </c>
      <c r="H2170" s="134" t="s">
        <v>10</v>
      </c>
      <c r="I2170" s="135"/>
    </row>
    <row r="2171" spans="1:9" ht="21.75" customHeight="1" x14ac:dyDescent="0.25">
      <c r="A2171" s="127">
        <v>44732</v>
      </c>
      <c r="B2171" s="128" t="s">
        <v>20047</v>
      </c>
      <c r="C2171" s="129" t="s">
        <v>64</v>
      </c>
      <c r="D2171" s="130">
        <v>5375.4</v>
      </c>
      <c r="E2171" s="131">
        <v>44733</v>
      </c>
      <c r="F2171" s="132">
        <v>5375.4</v>
      </c>
      <c r="G2171" s="133">
        <f>Tabla147[[#This Row],[Importe]]-Tabla147[[#This Row],[Pagado]]</f>
        <v>0</v>
      </c>
      <c r="H2171" s="134" t="s">
        <v>10</v>
      </c>
      <c r="I2171" s="135"/>
    </row>
    <row r="2172" spans="1:9" ht="21.75" customHeight="1" x14ac:dyDescent="0.25">
      <c r="A2172" s="127">
        <v>44732</v>
      </c>
      <c r="B2172" s="128" t="s">
        <v>20048</v>
      </c>
      <c r="C2172" s="129" t="s">
        <v>129</v>
      </c>
      <c r="D2172" s="130">
        <v>5069.8</v>
      </c>
      <c r="E2172" s="131">
        <v>44732</v>
      </c>
      <c r="F2172" s="132">
        <v>5069.8</v>
      </c>
      <c r="G2172" s="133">
        <f>Tabla147[[#This Row],[Importe]]-Tabla147[[#This Row],[Pagado]]</f>
        <v>0</v>
      </c>
      <c r="H2172" s="134" t="s">
        <v>10</v>
      </c>
      <c r="I2172" s="135"/>
    </row>
    <row r="2173" spans="1:9" ht="21.75" customHeight="1" x14ac:dyDescent="0.25">
      <c r="A2173" s="127">
        <v>44732</v>
      </c>
      <c r="B2173" s="128" t="s">
        <v>20049</v>
      </c>
      <c r="C2173" s="129" t="s">
        <v>357</v>
      </c>
      <c r="D2173" s="130">
        <v>585</v>
      </c>
      <c r="E2173" s="131">
        <v>44732</v>
      </c>
      <c r="F2173" s="132">
        <v>585</v>
      </c>
      <c r="G2173" s="133">
        <f>Tabla147[[#This Row],[Importe]]-Tabla147[[#This Row],[Pagado]]</f>
        <v>0</v>
      </c>
      <c r="H2173" s="134" t="s">
        <v>10</v>
      </c>
      <c r="I2173" s="135"/>
    </row>
    <row r="2174" spans="1:9" ht="21.75" customHeight="1" x14ac:dyDescent="0.25">
      <c r="A2174" s="127">
        <v>44732</v>
      </c>
      <c r="B2174" s="128" t="s">
        <v>20050</v>
      </c>
      <c r="C2174" s="129" t="s">
        <v>127</v>
      </c>
      <c r="D2174" s="130">
        <v>6507</v>
      </c>
      <c r="E2174" s="131">
        <v>44732</v>
      </c>
      <c r="F2174" s="132">
        <v>6507</v>
      </c>
      <c r="G2174" s="133">
        <f>Tabla147[[#This Row],[Importe]]-Tabla147[[#This Row],[Pagado]]</f>
        <v>0</v>
      </c>
      <c r="H2174" s="134" t="s">
        <v>10</v>
      </c>
      <c r="I2174" s="135"/>
    </row>
    <row r="2175" spans="1:9" ht="21.75" customHeight="1" x14ac:dyDescent="0.25">
      <c r="A2175" s="127">
        <v>44732</v>
      </c>
      <c r="B2175" s="128" t="s">
        <v>20051</v>
      </c>
      <c r="C2175" s="129" t="s">
        <v>339</v>
      </c>
      <c r="D2175" s="130">
        <v>855</v>
      </c>
      <c r="E2175" s="131">
        <v>44732</v>
      </c>
      <c r="F2175" s="132">
        <v>855</v>
      </c>
      <c r="G2175" s="133">
        <f>Tabla147[[#This Row],[Importe]]-Tabla147[[#This Row],[Pagado]]</f>
        <v>0</v>
      </c>
      <c r="H2175" s="134" t="s">
        <v>10</v>
      </c>
      <c r="I2175" s="135"/>
    </row>
    <row r="2176" spans="1:9" ht="21.75" customHeight="1" x14ac:dyDescent="0.25">
      <c r="A2176" s="127">
        <v>44732</v>
      </c>
      <c r="B2176" s="128" t="s">
        <v>20052</v>
      </c>
      <c r="C2176" s="129" t="s">
        <v>1187</v>
      </c>
      <c r="D2176" s="130">
        <v>2217.6</v>
      </c>
      <c r="E2176" s="131">
        <v>44732</v>
      </c>
      <c r="F2176" s="132">
        <v>2217.6</v>
      </c>
      <c r="G2176" s="133">
        <f>Tabla147[[#This Row],[Importe]]-Tabla147[[#This Row],[Pagado]]</f>
        <v>0</v>
      </c>
      <c r="H2176" s="134" t="s">
        <v>10</v>
      </c>
      <c r="I2176" s="135"/>
    </row>
    <row r="2177" spans="1:9" ht="21.75" customHeight="1" x14ac:dyDescent="0.25">
      <c r="A2177" s="127">
        <v>44732</v>
      </c>
      <c r="B2177" s="128" t="s">
        <v>20053</v>
      </c>
      <c r="C2177" s="129" t="s">
        <v>12713</v>
      </c>
      <c r="D2177" s="130">
        <v>0</v>
      </c>
      <c r="E2177" s="136" t="s">
        <v>189</v>
      </c>
      <c r="F2177" s="132">
        <v>0</v>
      </c>
      <c r="G2177" s="133">
        <f>Tabla147[[#This Row],[Importe]]-Tabla147[[#This Row],[Pagado]]</f>
        <v>0</v>
      </c>
      <c r="H2177" s="134" t="s">
        <v>189</v>
      </c>
      <c r="I2177" s="135"/>
    </row>
    <row r="2178" spans="1:9" ht="21.75" customHeight="1" x14ac:dyDescent="0.25">
      <c r="A2178" s="127">
        <v>44732</v>
      </c>
      <c r="B2178" s="128" t="s">
        <v>20054</v>
      </c>
      <c r="C2178" s="129" t="s">
        <v>87</v>
      </c>
      <c r="D2178" s="130">
        <v>2504.1</v>
      </c>
      <c r="E2178" s="131">
        <v>44732</v>
      </c>
      <c r="F2178" s="132">
        <v>2504.1</v>
      </c>
      <c r="G2178" s="133">
        <f>Tabla147[[#This Row],[Importe]]-Tabla147[[#This Row],[Pagado]]</f>
        <v>0</v>
      </c>
      <c r="H2178" s="134" t="s">
        <v>10</v>
      </c>
      <c r="I2178" s="135"/>
    </row>
    <row r="2179" spans="1:9" ht="21.75" customHeight="1" x14ac:dyDescent="0.25">
      <c r="A2179" s="127">
        <v>44732</v>
      </c>
      <c r="B2179" s="128" t="s">
        <v>20055</v>
      </c>
      <c r="C2179" s="129" t="s">
        <v>314</v>
      </c>
      <c r="D2179" s="130">
        <v>2380.5</v>
      </c>
      <c r="E2179" s="131">
        <v>44732</v>
      </c>
      <c r="F2179" s="132">
        <v>2380.5</v>
      </c>
      <c r="G2179" s="133">
        <f>Tabla147[[#This Row],[Importe]]-Tabla147[[#This Row],[Pagado]]</f>
        <v>0</v>
      </c>
      <c r="H2179" s="134" t="s">
        <v>10</v>
      </c>
      <c r="I2179" s="135"/>
    </row>
    <row r="2180" spans="1:9" ht="21.75" customHeight="1" x14ac:dyDescent="0.25">
      <c r="A2180" s="127">
        <v>44732</v>
      </c>
      <c r="B2180" s="128" t="s">
        <v>20056</v>
      </c>
      <c r="C2180" s="129" t="s">
        <v>244</v>
      </c>
      <c r="D2180" s="130">
        <v>634.79999999999995</v>
      </c>
      <c r="E2180" s="131">
        <v>44732</v>
      </c>
      <c r="F2180" s="132">
        <v>634.79999999999995</v>
      </c>
      <c r="G2180" s="133">
        <f>Tabla147[[#This Row],[Importe]]-Tabla147[[#This Row],[Pagado]]</f>
        <v>0</v>
      </c>
      <c r="H2180" s="134" t="s">
        <v>10</v>
      </c>
      <c r="I2180" s="135"/>
    </row>
    <row r="2181" spans="1:9" ht="21.75" customHeight="1" x14ac:dyDescent="0.25">
      <c r="A2181" s="127">
        <v>44732</v>
      </c>
      <c r="B2181" s="128" t="s">
        <v>20057</v>
      </c>
      <c r="C2181" s="129" t="s">
        <v>212</v>
      </c>
      <c r="D2181" s="130">
        <v>50914.1</v>
      </c>
      <c r="E2181" s="131">
        <v>44734</v>
      </c>
      <c r="F2181" s="132">
        <v>50914.1</v>
      </c>
      <c r="G2181" s="133">
        <f>Tabla147[[#This Row],[Importe]]-Tabla147[[#This Row],[Pagado]]</f>
        <v>0</v>
      </c>
      <c r="H2181" s="134" t="s">
        <v>10</v>
      </c>
      <c r="I2181" s="135"/>
    </row>
    <row r="2182" spans="1:9" ht="21.75" customHeight="1" x14ac:dyDescent="0.25">
      <c r="A2182" s="127">
        <v>44732</v>
      </c>
      <c r="B2182" s="128" t="s">
        <v>20058</v>
      </c>
      <c r="C2182" s="129" t="s">
        <v>154</v>
      </c>
      <c r="D2182" s="130">
        <v>33313.699999999997</v>
      </c>
      <c r="E2182" s="131">
        <v>44737</v>
      </c>
      <c r="F2182" s="132">
        <v>33313.699999999997</v>
      </c>
      <c r="G2182" s="133">
        <f>Tabla147[[#This Row],[Importe]]-Tabla147[[#This Row],[Pagado]]</f>
        <v>0</v>
      </c>
      <c r="H2182" s="134" t="s">
        <v>10</v>
      </c>
      <c r="I2182" s="135"/>
    </row>
    <row r="2183" spans="1:9" ht="21.75" customHeight="1" x14ac:dyDescent="0.25">
      <c r="A2183" s="127">
        <v>44732</v>
      </c>
      <c r="B2183" s="128" t="s">
        <v>20059</v>
      </c>
      <c r="C2183" s="129" t="s">
        <v>27</v>
      </c>
      <c r="D2183" s="130">
        <v>4161</v>
      </c>
      <c r="E2183" s="131">
        <v>44732</v>
      </c>
      <c r="F2183" s="132">
        <v>4161</v>
      </c>
      <c r="G2183" s="133">
        <f>Tabla147[[#This Row],[Importe]]-Tabla147[[#This Row],[Pagado]]</f>
        <v>0</v>
      </c>
      <c r="H2183" s="134" t="s">
        <v>10</v>
      </c>
      <c r="I2183" s="135"/>
    </row>
    <row r="2184" spans="1:9" ht="21.75" customHeight="1" x14ac:dyDescent="0.25">
      <c r="A2184" s="127">
        <v>44732</v>
      </c>
      <c r="B2184" s="128" t="s">
        <v>20060</v>
      </c>
      <c r="C2184" s="129" t="s">
        <v>365</v>
      </c>
      <c r="D2184" s="130">
        <v>708</v>
      </c>
      <c r="E2184" s="131">
        <v>44732</v>
      </c>
      <c r="F2184" s="132">
        <v>708</v>
      </c>
      <c r="G2184" s="133">
        <f>Tabla147[[#This Row],[Importe]]-Tabla147[[#This Row],[Pagado]]</f>
        <v>0</v>
      </c>
      <c r="H2184" s="134" t="s">
        <v>10</v>
      </c>
      <c r="I2184" s="135"/>
    </row>
    <row r="2185" spans="1:9" ht="21.75" customHeight="1" x14ac:dyDescent="0.25">
      <c r="A2185" s="127">
        <v>44732</v>
      </c>
      <c r="B2185" s="128" t="s">
        <v>20061</v>
      </c>
      <c r="C2185" s="129" t="s">
        <v>142</v>
      </c>
      <c r="D2185" s="130">
        <v>68026</v>
      </c>
      <c r="E2185" s="131">
        <v>44769</v>
      </c>
      <c r="F2185" s="132">
        <v>68026</v>
      </c>
      <c r="G2185" s="133">
        <f>Tabla147[[#This Row],[Importe]]-Tabla147[[#This Row],[Pagado]]</f>
        <v>0</v>
      </c>
      <c r="H2185" s="134" t="s">
        <v>10</v>
      </c>
      <c r="I2185" s="135"/>
    </row>
    <row r="2186" spans="1:9" ht="21.75" customHeight="1" x14ac:dyDescent="0.25">
      <c r="A2186" s="127">
        <v>44732</v>
      </c>
      <c r="B2186" s="128" t="s">
        <v>20062</v>
      </c>
      <c r="C2186" s="129" t="s">
        <v>3885</v>
      </c>
      <c r="D2186" s="130">
        <v>0</v>
      </c>
      <c r="E2186" s="136" t="s">
        <v>189</v>
      </c>
      <c r="F2186" s="132">
        <v>0</v>
      </c>
      <c r="G2186" s="133">
        <f>Tabla147[[#This Row],[Importe]]-Tabla147[[#This Row],[Pagado]]</f>
        <v>0</v>
      </c>
      <c r="H2186" s="137" t="s">
        <v>20063</v>
      </c>
      <c r="I2186" s="135"/>
    </row>
    <row r="2187" spans="1:9" ht="21.75" customHeight="1" x14ac:dyDescent="0.25">
      <c r="A2187" s="127">
        <v>44732</v>
      </c>
      <c r="B2187" s="128" t="s">
        <v>20064</v>
      </c>
      <c r="C2187" s="129" t="s">
        <v>137</v>
      </c>
      <c r="D2187" s="130">
        <v>2240</v>
      </c>
      <c r="E2187" s="131">
        <v>44732</v>
      </c>
      <c r="F2187" s="132">
        <v>2240</v>
      </c>
      <c r="G2187" s="133">
        <f>Tabla147[[#This Row],[Importe]]-Tabla147[[#This Row],[Pagado]]</f>
        <v>0</v>
      </c>
      <c r="H2187" s="134" t="s">
        <v>10</v>
      </c>
      <c r="I2187" s="135"/>
    </row>
    <row r="2188" spans="1:9" ht="21.75" customHeight="1" x14ac:dyDescent="0.25">
      <c r="A2188" s="127">
        <v>44732</v>
      </c>
      <c r="B2188" s="128" t="s">
        <v>20065</v>
      </c>
      <c r="C2188" s="129" t="s">
        <v>16</v>
      </c>
      <c r="D2188" s="130">
        <v>5003.3999999999996</v>
      </c>
      <c r="E2188" s="131">
        <v>44732</v>
      </c>
      <c r="F2188" s="132">
        <v>5003.3999999999996</v>
      </c>
      <c r="G2188" s="133">
        <f>Tabla147[[#This Row],[Importe]]-Tabla147[[#This Row],[Pagado]]</f>
        <v>0</v>
      </c>
      <c r="H2188" s="134" t="s">
        <v>10</v>
      </c>
      <c r="I2188" s="135"/>
    </row>
    <row r="2189" spans="1:9" ht="21.75" customHeight="1" x14ac:dyDescent="0.25">
      <c r="A2189" s="127">
        <v>44732</v>
      </c>
      <c r="B2189" s="128" t="s">
        <v>20066</v>
      </c>
      <c r="C2189" s="129" t="s">
        <v>49</v>
      </c>
      <c r="D2189" s="130">
        <v>4908.8</v>
      </c>
      <c r="E2189" s="131">
        <v>44732</v>
      </c>
      <c r="F2189" s="132">
        <v>4908.8</v>
      </c>
      <c r="G2189" s="133">
        <f>Tabla147[[#This Row],[Importe]]-Tabla147[[#This Row],[Pagado]]</f>
        <v>0</v>
      </c>
      <c r="H2189" s="134" t="s">
        <v>10</v>
      </c>
      <c r="I2189" s="135"/>
    </row>
    <row r="2190" spans="1:9" ht="21.75" customHeight="1" x14ac:dyDescent="0.25">
      <c r="A2190" s="127">
        <v>44732</v>
      </c>
      <c r="B2190" s="128" t="s">
        <v>20067</v>
      </c>
      <c r="C2190" s="129" t="s">
        <v>173</v>
      </c>
      <c r="D2190" s="130">
        <v>39670</v>
      </c>
      <c r="E2190" s="131">
        <v>44733</v>
      </c>
      <c r="F2190" s="132">
        <v>39670</v>
      </c>
      <c r="G2190" s="133">
        <f>Tabla147[[#This Row],[Importe]]-Tabla147[[#This Row],[Pagado]]</f>
        <v>0</v>
      </c>
      <c r="H2190" s="134" t="s">
        <v>10</v>
      </c>
      <c r="I2190" s="135"/>
    </row>
    <row r="2191" spans="1:9" ht="21.75" customHeight="1" x14ac:dyDescent="0.25">
      <c r="A2191" s="127">
        <v>44732</v>
      </c>
      <c r="B2191" s="128" t="s">
        <v>20068</v>
      </c>
      <c r="C2191" s="129" t="s">
        <v>371</v>
      </c>
      <c r="D2191" s="130">
        <v>23571</v>
      </c>
      <c r="E2191" s="131">
        <v>44732</v>
      </c>
      <c r="F2191" s="132">
        <v>23571</v>
      </c>
      <c r="G2191" s="133">
        <f>Tabla147[[#This Row],[Importe]]-Tabla147[[#This Row],[Pagado]]</f>
        <v>0</v>
      </c>
      <c r="H2191" s="134" t="s">
        <v>10</v>
      </c>
      <c r="I2191" s="135"/>
    </row>
    <row r="2192" spans="1:9" ht="21.75" customHeight="1" x14ac:dyDescent="0.25">
      <c r="A2192" s="127">
        <v>44732</v>
      </c>
      <c r="B2192" s="128" t="s">
        <v>20069</v>
      </c>
      <c r="C2192" s="129" t="s">
        <v>56</v>
      </c>
      <c r="D2192" s="130">
        <v>4774.2</v>
      </c>
      <c r="E2192" s="131">
        <v>44732</v>
      </c>
      <c r="F2192" s="132">
        <v>4774.2</v>
      </c>
      <c r="G2192" s="133">
        <f>Tabla147[[#This Row],[Importe]]-Tabla147[[#This Row],[Pagado]]</f>
        <v>0</v>
      </c>
      <c r="H2192" s="134" t="s">
        <v>10</v>
      </c>
      <c r="I2192" s="135"/>
    </row>
    <row r="2193" spans="1:9" ht="21.75" customHeight="1" x14ac:dyDescent="0.25">
      <c r="A2193" s="127">
        <v>44732</v>
      </c>
      <c r="B2193" s="128" t="s">
        <v>20070</v>
      </c>
      <c r="C2193" s="129" t="s">
        <v>218</v>
      </c>
      <c r="D2193" s="130">
        <v>15608.3</v>
      </c>
      <c r="E2193" s="131">
        <v>44737</v>
      </c>
      <c r="F2193" s="132">
        <v>15608.3</v>
      </c>
      <c r="G2193" s="133">
        <f>Tabla147[[#This Row],[Importe]]-Tabla147[[#This Row],[Pagado]]</f>
        <v>0</v>
      </c>
      <c r="H2193" s="134" t="s">
        <v>10</v>
      </c>
      <c r="I2193" s="135"/>
    </row>
    <row r="2194" spans="1:9" ht="21.75" customHeight="1" x14ac:dyDescent="0.25">
      <c r="A2194" s="127">
        <v>44732</v>
      </c>
      <c r="B2194" s="128" t="s">
        <v>20071</v>
      </c>
      <c r="C2194" s="129" t="s">
        <v>206</v>
      </c>
      <c r="D2194" s="130">
        <v>28653.4</v>
      </c>
      <c r="E2194" s="131">
        <v>44737</v>
      </c>
      <c r="F2194" s="132">
        <v>28653.4</v>
      </c>
      <c r="G2194" s="133">
        <f>Tabla147[[#This Row],[Importe]]-Tabla147[[#This Row],[Pagado]]</f>
        <v>0</v>
      </c>
      <c r="H2194" s="134" t="s">
        <v>10</v>
      </c>
      <c r="I2194" s="135"/>
    </row>
    <row r="2195" spans="1:9" ht="21.75" customHeight="1" x14ac:dyDescent="0.25">
      <c r="A2195" s="127">
        <v>44732</v>
      </c>
      <c r="B2195" s="128" t="s">
        <v>20072</v>
      </c>
      <c r="C2195" s="129" t="s">
        <v>133</v>
      </c>
      <c r="D2195" s="130">
        <v>11686.6</v>
      </c>
      <c r="E2195" s="131">
        <v>44733</v>
      </c>
      <c r="F2195" s="132">
        <v>11686.6</v>
      </c>
      <c r="G2195" s="133">
        <f>Tabla147[[#This Row],[Importe]]-Tabla147[[#This Row],[Pagado]]</f>
        <v>0</v>
      </c>
      <c r="H2195" s="134" t="s">
        <v>10</v>
      </c>
      <c r="I2195" s="135"/>
    </row>
    <row r="2196" spans="1:9" ht="21.75" customHeight="1" x14ac:dyDescent="0.25">
      <c r="A2196" s="127">
        <v>44732</v>
      </c>
      <c r="B2196" s="128" t="s">
        <v>20073</v>
      </c>
      <c r="C2196" s="129" t="s">
        <v>37</v>
      </c>
      <c r="D2196" s="130">
        <v>2116.8000000000002</v>
      </c>
      <c r="E2196" s="131">
        <v>44732</v>
      </c>
      <c r="F2196" s="132">
        <v>2116.8000000000002</v>
      </c>
      <c r="G2196" s="133">
        <f>Tabla147[[#This Row],[Importe]]-Tabla147[[#This Row],[Pagado]]</f>
        <v>0</v>
      </c>
      <c r="H2196" s="134" t="s">
        <v>10</v>
      </c>
      <c r="I2196" s="135"/>
    </row>
    <row r="2197" spans="1:9" ht="21.75" customHeight="1" x14ac:dyDescent="0.25">
      <c r="A2197" s="127">
        <v>44732</v>
      </c>
      <c r="B2197" s="128" t="s">
        <v>20074</v>
      </c>
      <c r="C2197" s="129" t="s">
        <v>14</v>
      </c>
      <c r="D2197" s="130">
        <v>25825.9</v>
      </c>
      <c r="E2197" s="131">
        <v>44732</v>
      </c>
      <c r="F2197" s="132">
        <v>25825.9</v>
      </c>
      <c r="G2197" s="133">
        <f>Tabla147[[#This Row],[Importe]]-Tabla147[[#This Row],[Pagado]]</f>
        <v>0</v>
      </c>
      <c r="H2197" s="134" t="s">
        <v>10</v>
      </c>
      <c r="I2197" s="135"/>
    </row>
    <row r="2198" spans="1:9" ht="21.75" customHeight="1" x14ac:dyDescent="0.25">
      <c r="A2198" s="127">
        <v>44732</v>
      </c>
      <c r="B2198" s="128" t="s">
        <v>20075</v>
      </c>
      <c r="C2198" s="129" t="s">
        <v>419</v>
      </c>
      <c r="D2198" s="130">
        <v>8463.2000000000007</v>
      </c>
      <c r="E2198" s="131">
        <v>44732</v>
      </c>
      <c r="F2198" s="132">
        <v>8463.2000000000007</v>
      </c>
      <c r="G2198" s="133">
        <f>Tabla147[[#This Row],[Importe]]-Tabla147[[#This Row],[Pagado]]</f>
        <v>0</v>
      </c>
      <c r="H2198" s="134" t="s">
        <v>10</v>
      </c>
      <c r="I2198" s="135"/>
    </row>
    <row r="2199" spans="1:9" ht="21.75" customHeight="1" x14ac:dyDescent="0.25">
      <c r="A2199" s="127">
        <v>44732</v>
      </c>
      <c r="B2199" s="128" t="s">
        <v>20076</v>
      </c>
      <c r="C2199" s="129" t="s">
        <v>31</v>
      </c>
      <c r="D2199" s="130">
        <v>2920</v>
      </c>
      <c r="E2199" s="131">
        <v>44732</v>
      </c>
      <c r="F2199" s="132">
        <v>2920</v>
      </c>
      <c r="G2199" s="133">
        <f>Tabla147[[#This Row],[Importe]]-Tabla147[[#This Row],[Pagado]]</f>
        <v>0</v>
      </c>
      <c r="H2199" s="134" t="s">
        <v>10</v>
      </c>
      <c r="I2199" s="135"/>
    </row>
    <row r="2200" spans="1:9" ht="21.75" customHeight="1" x14ac:dyDescent="0.25">
      <c r="A2200" s="127">
        <v>44732</v>
      </c>
      <c r="B2200" s="128" t="s">
        <v>20077</v>
      </c>
      <c r="C2200" s="129" t="s">
        <v>230</v>
      </c>
      <c r="D2200" s="130">
        <v>5662.9</v>
      </c>
      <c r="E2200" s="131">
        <v>44732</v>
      </c>
      <c r="F2200" s="132">
        <v>5662.9</v>
      </c>
      <c r="G2200" s="133">
        <f>Tabla147[[#This Row],[Importe]]-Tabla147[[#This Row],[Pagado]]</f>
        <v>0</v>
      </c>
      <c r="H2200" s="134" t="s">
        <v>10</v>
      </c>
      <c r="I2200" s="135"/>
    </row>
    <row r="2201" spans="1:9" ht="21.75" customHeight="1" x14ac:dyDescent="0.25">
      <c r="A2201" s="127">
        <v>44732</v>
      </c>
      <c r="B2201" s="128" t="s">
        <v>20078</v>
      </c>
      <c r="C2201" s="129" t="s">
        <v>224</v>
      </c>
      <c r="D2201" s="130">
        <v>591.22</v>
      </c>
      <c r="E2201" s="131">
        <v>44732</v>
      </c>
      <c r="F2201" s="132">
        <v>591.22</v>
      </c>
      <c r="G2201" s="133">
        <f>Tabla147[[#This Row],[Importe]]-Tabla147[[#This Row],[Pagado]]</f>
        <v>0</v>
      </c>
      <c r="H2201" s="134" t="s">
        <v>10</v>
      </c>
      <c r="I2201" s="135"/>
    </row>
    <row r="2202" spans="1:9" ht="21.75" customHeight="1" x14ac:dyDescent="0.25">
      <c r="A2202" s="127">
        <v>44732</v>
      </c>
      <c r="B2202" s="128" t="s">
        <v>20079</v>
      </c>
      <c r="C2202" s="129" t="s">
        <v>24</v>
      </c>
      <c r="D2202" s="130">
        <v>4278</v>
      </c>
      <c r="E2202" s="131">
        <v>44732</v>
      </c>
      <c r="F2202" s="132">
        <v>4278</v>
      </c>
      <c r="G2202" s="133">
        <f>Tabla147[[#This Row],[Importe]]-Tabla147[[#This Row],[Pagado]]</f>
        <v>0</v>
      </c>
      <c r="H2202" s="134" t="s">
        <v>10</v>
      </c>
      <c r="I2202" s="135"/>
    </row>
    <row r="2203" spans="1:9" ht="21.75" customHeight="1" x14ac:dyDescent="0.25">
      <c r="A2203" s="127">
        <v>44732</v>
      </c>
      <c r="B2203" s="128" t="s">
        <v>20080</v>
      </c>
      <c r="C2203" s="129" t="s">
        <v>224</v>
      </c>
      <c r="D2203" s="130">
        <v>14453.4</v>
      </c>
      <c r="E2203" s="131">
        <v>44746</v>
      </c>
      <c r="F2203" s="132">
        <v>14453.4</v>
      </c>
      <c r="G2203" s="133">
        <f>Tabla147[[#This Row],[Importe]]-Tabla147[[#This Row],[Pagado]]</f>
        <v>0</v>
      </c>
      <c r="H2203" s="134" t="s">
        <v>10</v>
      </c>
      <c r="I2203" s="135"/>
    </row>
    <row r="2204" spans="1:9" ht="21.75" customHeight="1" x14ac:dyDescent="0.25">
      <c r="A2204" s="127">
        <v>44732</v>
      </c>
      <c r="B2204" s="128" t="s">
        <v>20081</v>
      </c>
      <c r="C2204" s="129" t="s">
        <v>181</v>
      </c>
      <c r="D2204" s="130">
        <v>10736.4</v>
      </c>
      <c r="E2204" s="131">
        <v>44733</v>
      </c>
      <c r="F2204" s="132">
        <v>10736.4</v>
      </c>
      <c r="G2204" s="133">
        <f>Tabla147[[#This Row],[Importe]]-Tabla147[[#This Row],[Pagado]]</f>
        <v>0</v>
      </c>
      <c r="H2204" s="134" t="s">
        <v>10</v>
      </c>
      <c r="I2204" s="135"/>
    </row>
    <row r="2205" spans="1:9" ht="21.75" customHeight="1" x14ac:dyDescent="0.25">
      <c r="A2205" s="127">
        <v>44732</v>
      </c>
      <c r="B2205" s="128" t="s">
        <v>20082</v>
      </c>
      <c r="C2205" s="129" t="s">
        <v>359</v>
      </c>
      <c r="D2205" s="130">
        <v>2050.1999999999998</v>
      </c>
      <c r="E2205" s="131">
        <v>44733</v>
      </c>
      <c r="F2205" s="132">
        <v>2050.1999999999998</v>
      </c>
      <c r="G2205" s="133">
        <f>Tabla147[[#This Row],[Importe]]-Tabla147[[#This Row],[Pagado]]</f>
        <v>0</v>
      </c>
      <c r="H2205" s="134" t="s">
        <v>10</v>
      </c>
      <c r="I2205" s="135"/>
    </row>
    <row r="2206" spans="1:9" ht="21.75" customHeight="1" x14ac:dyDescent="0.25">
      <c r="A2206" s="127">
        <v>44732</v>
      </c>
      <c r="B2206" s="128" t="s">
        <v>20083</v>
      </c>
      <c r="C2206" s="129" t="s">
        <v>426</v>
      </c>
      <c r="D2206" s="130">
        <v>14832</v>
      </c>
      <c r="E2206" s="131">
        <v>44733</v>
      </c>
      <c r="F2206" s="132">
        <v>14832</v>
      </c>
      <c r="G2206" s="133">
        <f>Tabla147[[#This Row],[Importe]]-Tabla147[[#This Row],[Pagado]]</f>
        <v>0</v>
      </c>
      <c r="H2206" s="134" t="s">
        <v>10</v>
      </c>
      <c r="I2206" s="135"/>
    </row>
    <row r="2207" spans="1:9" ht="21.75" customHeight="1" x14ac:dyDescent="0.25">
      <c r="A2207" s="127">
        <v>44732</v>
      </c>
      <c r="B2207" s="128" t="s">
        <v>20084</v>
      </c>
      <c r="C2207" s="129" t="s">
        <v>10819</v>
      </c>
      <c r="D2207" s="130">
        <v>710.7</v>
      </c>
      <c r="E2207" s="131">
        <v>44733</v>
      </c>
      <c r="F2207" s="132">
        <v>710.7</v>
      </c>
      <c r="G2207" s="133">
        <f>Tabla147[[#This Row],[Importe]]-Tabla147[[#This Row],[Pagado]]</f>
        <v>0</v>
      </c>
      <c r="H2207" s="134" t="s">
        <v>10</v>
      </c>
      <c r="I2207" s="135"/>
    </row>
    <row r="2208" spans="1:9" ht="21.75" customHeight="1" x14ac:dyDescent="0.25">
      <c r="A2208" s="127">
        <v>44732</v>
      </c>
      <c r="B2208" s="128" t="s">
        <v>20085</v>
      </c>
      <c r="C2208" s="129" t="s">
        <v>284</v>
      </c>
      <c r="D2208" s="130">
        <v>9080.4</v>
      </c>
      <c r="E2208" s="131">
        <v>44733</v>
      </c>
      <c r="F2208" s="132">
        <v>9080.4</v>
      </c>
      <c r="G2208" s="133">
        <f>Tabla147[[#This Row],[Importe]]-Tabla147[[#This Row],[Pagado]]</f>
        <v>0</v>
      </c>
      <c r="H2208" s="134" t="s">
        <v>10</v>
      </c>
      <c r="I2208" s="135"/>
    </row>
    <row r="2209" spans="1:9" ht="21.75" customHeight="1" x14ac:dyDescent="0.25">
      <c r="A2209" s="127">
        <v>44732</v>
      </c>
      <c r="B2209" s="128" t="s">
        <v>20086</v>
      </c>
      <c r="C2209" s="129" t="s">
        <v>282</v>
      </c>
      <c r="D2209" s="130">
        <v>1973.4</v>
      </c>
      <c r="E2209" s="131">
        <v>44733</v>
      </c>
      <c r="F2209" s="132">
        <v>1973.4</v>
      </c>
      <c r="G2209" s="133">
        <f>Tabla147[[#This Row],[Importe]]-Tabla147[[#This Row],[Pagado]]</f>
        <v>0</v>
      </c>
      <c r="H2209" s="134" t="s">
        <v>10</v>
      </c>
      <c r="I2209" s="135"/>
    </row>
    <row r="2210" spans="1:9" ht="21.75" customHeight="1" x14ac:dyDescent="0.25">
      <c r="A2210" s="127">
        <v>44732</v>
      </c>
      <c r="B2210" s="128" t="s">
        <v>20087</v>
      </c>
      <c r="C2210" s="129" t="s">
        <v>5345</v>
      </c>
      <c r="D2210" s="130">
        <v>2822.1</v>
      </c>
      <c r="E2210" s="131">
        <v>44733</v>
      </c>
      <c r="F2210" s="132">
        <v>2822.1</v>
      </c>
      <c r="G2210" s="133">
        <f>Tabla147[[#This Row],[Importe]]-Tabla147[[#This Row],[Pagado]]</f>
        <v>0</v>
      </c>
      <c r="H2210" s="134" t="s">
        <v>10</v>
      </c>
      <c r="I2210" s="135"/>
    </row>
    <row r="2211" spans="1:9" ht="21.75" customHeight="1" x14ac:dyDescent="0.25">
      <c r="A2211" s="127">
        <v>44732</v>
      </c>
      <c r="B2211" s="128" t="s">
        <v>20088</v>
      </c>
      <c r="C2211" s="129" t="s">
        <v>53</v>
      </c>
      <c r="D2211" s="130">
        <v>1749.6</v>
      </c>
      <c r="E2211" s="131">
        <v>44732</v>
      </c>
      <c r="F2211" s="132">
        <v>1749.6</v>
      </c>
      <c r="G2211" s="133">
        <f>Tabla147[[#This Row],[Importe]]-Tabla147[[#This Row],[Pagado]]</f>
        <v>0</v>
      </c>
      <c r="H2211" s="134" t="s">
        <v>10</v>
      </c>
      <c r="I2211" s="135"/>
    </row>
    <row r="2212" spans="1:9" ht="21.75" customHeight="1" x14ac:dyDescent="0.25">
      <c r="A2212" s="127">
        <v>44732</v>
      </c>
      <c r="B2212" s="128" t="s">
        <v>20089</v>
      </c>
      <c r="C2212" s="129" t="s">
        <v>196</v>
      </c>
      <c r="D2212" s="130">
        <v>131512.62</v>
      </c>
      <c r="E2212" s="131">
        <v>44736</v>
      </c>
      <c r="F2212" s="132">
        <v>131512.62</v>
      </c>
      <c r="G2212" s="133">
        <f>Tabla147[[#This Row],[Importe]]-Tabla147[[#This Row],[Pagado]]</f>
        <v>0</v>
      </c>
      <c r="H2212" s="134" t="s">
        <v>10</v>
      </c>
      <c r="I2212" s="135"/>
    </row>
    <row r="2213" spans="1:9" ht="21.75" customHeight="1" x14ac:dyDescent="0.25">
      <c r="A2213" s="127">
        <v>44732</v>
      </c>
      <c r="B2213" s="128" t="s">
        <v>20090</v>
      </c>
      <c r="C2213" s="129" t="s">
        <v>1003</v>
      </c>
      <c r="D2213" s="130">
        <v>7722.9</v>
      </c>
      <c r="E2213" s="131">
        <v>44732</v>
      </c>
      <c r="F2213" s="132">
        <v>7722.9</v>
      </c>
      <c r="G2213" s="133">
        <f>Tabla147[[#This Row],[Importe]]-Tabla147[[#This Row],[Pagado]]</f>
        <v>0</v>
      </c>
      <c r="H2213" s="134" t="s">
        <v>10</v>
      </c>
      <c r="I2213" s="135"/>
    </row>
    <row r="2214" spans="1:9" ht="21.75" customHeight="1" x14ac:dyDescent="0.25">
      <c r="A2214" s="127">
        <v>44732</v>
      </c>
      <c r="B2214" s="128" t="s">
        <v>20091</v>
      </c>
      <c r="C2214" s="129" t="s">
        <v>45</v>
      </c>
      <c r="D2214" s="130">
        <v>12958.3</v>
      </c>
      <c r="E2214" s="131">
        <v>44732</v>
      </c>
      <c r="F2214" s="132">
        <v>12958.3</v>
      </c>
      <c r="G2214" s="133">
        <f>Tabla147[[#This Row],[Importe]]-Tabla147[[#This Row],[Pagado]]</f>
        <v>0</v>
      </c>
      <c r="H2214" s="134" t="s">
        <v>10</v>
      </c>
      <c r="I2214" s="135"/>
    </row>
    <row r="2215" spans="1:9" ht="21.75" customHeight="1" x14ac:dyDescent="0.25">
      <c r="A2215" s="127">
        <v>44732</v>
      </c>
      <c r="B2215" s="128" t="s">
        <v>20092</v>
      </c>
      <c r="C2215" s="129" t="s">
        <v>198</v>
      </c>
      <c r="D2215" s="130">
        <v>6729.6</v>
      </c>
      <c r="E2215" s="131">
        <v>44737</v>
      </c>
      <c r="F2215" s="132">
        <v>6729.6</v>
      </c>
      <c r="G2215" s="133">
        <f>Tabla147[[#This Row],[Importe]]-Tabla147[[#This Row],[Pagado]]</f>
        <v>0</v>
      </c>
      <c r="H2215" s="134" t="s">
        <v>10</v>
      </c>
      <c r="I2215" s="135"/>
    </row>
    <row r="2216" spans="1:9" ht="21.75" customHeight="1" x14ac:dyDescent="0.25">
      <c r="A2216" s="127">
        <v>44732</v>
      </c>
      <c r="B2216" s="128" t="s">
        <v>20093</v>
      </c>
      <c r="C2216" s="129" t="s">
        <v>312</v>
      </c>
      <c r="D2216" s="130">
        <v>6677.4</v>
      </c>
      <c r="E2216" s="131">
        <v>44733</v>
      </c>
      <c r="F2216" s="132">
        <v>6677.4</v>
      </c>
      <c r="G2216" s="133">
        <f>Tabla147[[#This Row],[Importe]]-Tabla147[[#This Row],[Pagado]]</f>
        <v>0</v>
      </c>
      <c r="H2216" s="134" t="s">
        <v>10</v>
      </c>
      <c r="I2216" s="135"/>
    </row>
    <row r="2217" spans="1:9" ht="21.75" customHeight="1" x14ac:dyDescent="0.25">
      <c r="A2217" s="127">
        <v>44732</v>
      </c>
      <c r="B2217" s="128" t="s">
        <v>20094</v>
      </c>
      <c r="C2217" s="129" t="s">
        <v>222</v>
      </c>
      <c r="D2217" s="130">
        <v>8702.7000000000007</v>
      </c>
      <c r="E2217" s="131">
        <v>44732</v>
      </c>
      <c r="F2217" s="132">
        <v>8702.7000000000007</v>
      </c>
      <c r="G2217" s="133">
        <f>Tabla147[[#This Row],[Importe]]-Tabla147[[#This Row],[Pagado]]</f>
        <v>0</v>
      </c>
      <c r="H2217" s="134" t="s">
        <v>10</v>
      </c>
      <c r="I2217" s="135"/>
    </row>
    <row r="2218" spans="1:9" ht="21.75" customHeight="1" x14ac:dyDescent="0.25">
      <c r="A2218" s="127">
        <v>44732</v>
      </c>
      <c r="B2218" s="128" t="s">
        <v>20095</v>
      </c>
      <c r="C2218" s="129" t="s">
        <v>442</v>
      </c>
      <c r="D2218" s="130">
        <v>8852.7999999999993</v>
      </c>
      <c r="E2218" s="131">
        <v>44732</v>
      </c>
      <c r="F2218" s="132">
        <v>8852.7999999999993</v>
      </c>
      <c r="G2218" s="133">
        <f>Tabla147[[#This Row],[Importe]]-Tabla147[[#This Row],[Pagado]]</f>
        <v>0</v>
      </c>
      <c r="H2218" s="134" t="s">
        <v>10</v>
      </c>
      <c r="I2218" s="135"/>
    </row>
    <row r="2219" spans="1:9" ht="21.75" customHeight="1" x14ac:dyDescent="0.25">
      <c r="A2219" s="127">
        <v>44732</v>
      </c>
      <c r="B2219" s="128" t="s">
        <v>20096</v>
      </c>
      <c r="C2219" s="129" t="s">
        <v>31</v>
      </c>
      <c r="D2219" s="130">
        <v>3417.6</v>
      </c>
      <c r="E2219" s="131">
        <v>44732</v>
      </c>
      <c r="F2219" s="132">
        <v>3417.6</v>
      </c>
      <c r="G2219" s="133">
        <f>Tabla147[[#This Row],[Importe]]-Tabla147[[#This Row],[Pagado]]</f>
        <v>0</v>
      </c>
      <c r="H2219" s="134" t="s">
        <v>10</v>
      </c>
      <c r="I2219" s="135"/>
    </row>
    <row r="2220" spans="1:9" ht="21.75" customHeight="1" x14ac:dyDescent="0.25">
      <c r="A2220" s="127">
        <v>44732</v>
      </c>
      <c r="B2220" s="128" t="s">
        <v>20097</v>
      </c>
      <c r="C2220" s="129" t="s">
        <v>414</v>
      </c>
      <c r="D2220" s="130">
        <v>20534.400000000001</v>
      </c>
      <c r="E2220" s="131">
        <v>44732</v>
      </c>
      <c r="F2220" s="132">
        <v>20534.400000000001</v>
      </c>
      <c r="G2220" s="133">
        <f>Tabla147[[#This Row],[Importe]]-Tabla147[[#This Row],[Pagado]]</f>
        <v>0</v>
      </c>
      <c r="H2220" s="134" t="s">
        <v>10</v>
      </c>
      <c r="I2220" s="135"/>
    </row>
    <row r="2221" spans="1:9" ht="21.75" customHeight="1" x14ac:dyDescent="0.25">
      <c r="A2221" s="127">
        <v>44732</v>
      </c>
      <c r="B2221" s="128" t="s">
        <v>20098</v>
      </c>
      <c r="C2221" s="129" t="s">
        <v>654</v>
      </c>
      <c r="D2221" s="130">
        <v>8642.9</v>
      </c>
      <c r="E2221" s="131">
        <v>44736</v>
      </c>
      <c r="F2221" s="132">
        <v>8642.9</v>
      </c>
      <c r="G2221" s="133">
        <f>Tabla147[[#This Row],[Importe]]-Tabla147[[#This Row],[Pagado]]</f>
        <v>0</v>
      </c>
      <c r="H2221" s="134" t="s">
        <v>10</v>
      </c>
      <c r="I2221" s="135"/>
    </row>
    <row r="2222" spans="1:9" ht="21.75" customHeight="1" x14ac:dyDescent="0.25">
      <c r="A2222" s="127">
        <v>44732</v>
      </c>
      <c r="B2222" s="128" t="s">
        <v>20099</v>
      </c>
      <c r="C2222" s="129" t="s">
        <v>175</v>
      </c>
      <c r="D2222" s="130">
        <v>35131.599999999999</v>
      </c>
      <c r="E2222" s="131">
        <v>44733</v>
      </c>
      <c r="F2222" s="132">
        <v>35131.599999999999</v>
      </c>
      <c r="G2222" s="133">
        <f>Tabla147[[#This Row],[Importe]]-Tabla147[[#This Row],[Pagado]]</f>
        <v>0</v>
      </c>
      <c r="H2222" s="134" t="s">
        <v>10</v>
      </c>
      <c r="I2222" s="135"/>
    </row>
    <row r="2223" spans="1:9" ht="21.75" customHeight="1" x14ac:dyDescent="0.25">
      <c r="A2223" s="127">
        <v>44732</v>
      </c>
      <c r="B2223" s="128" t="s">
        <v>20100</v>
      </c>
      <c r="C2223" s="129" t="s">
        <v>240</v>
      </c>
      <c r="D2223" s="130">
        <v>7676</v>
      </c>
      <c r="E2223" s="131">
        <v>44732</v>
      </c>
      <c r="F2223" s="132">
        <v>7676</v>
      </c>
      <c r="G2223" s="133">
        <f>Tabla147[[#This Row],[Importe]]-Tabla147[[#This Row],[Pagado]]</f>
        <v>0</v>
      </c>
      <c r="H2223" s="134" t="s">
        <v>10</v>
      </c>
      <c r="I2223" s="135"/>
    </row>
    <row r="2224" spans="1:9" ht="21.75" customHeight="1" x14ac:dyDescent="0.25">
      <c r="A2224" s="127">
        <v>44732</v>
      </c>
      <c r="B2224" s="128" t="s">
        <v>20101</v>
      </c>
      <c r="C2224" s="129" t="s">
        <v>698</v>
      </c>
      <c r="D2224" s="130">
        <v>8555.6</v>
      </c>
      <c r="E2224" s="131">
        <v>44732</v>
      </c>
      <c r="F2224" s="132">
        <v>8555.6</v>
      </c>
      <c r="G2224" s="133">
        <f>Tabla147[[#This Row],[Importe]]-Tabla147[[#This Row],[Pagado]]</f>
        <v>0</v>
      </c>
      <c r="H2224" s="134" t="s">
        <v>10</v>
      </c>
      <c r="I2224" s="135"/>
    </row>
    <row r="2225" spans="1:9" ht="21.75" customHeight="1" x14ac:dyDescent="0.25">
      <c r="A2225" s="127">
        <v>44732</v>
      </c>
      <c r="B2225" s="128" t="s">
        <v>20102</v>
      </c>
      <c r="C2225" s="129" t="s">
        <v>200</v>
      </c>
      <c r="D2225" s="130">
        <v>862.5</v>
      </c>
      <c r="E2225" s="131">
        <v>44733</v>
      </c>
      <c r="F2225" s="132">
        <v>862.5</v>
      </c>
      <c r="G2225" s="133">
        <f>Tabla147[[#This Row],[Importe]]-Tabla147[[#This Row],[Pagado]]</f>
        <v>0</v>
      </c>
      <c r="H2225" s="134" t="s">
        <v>10</v>
      </c>
      <c r="I2225" s="135"/>
    </row>
    <row r="2226" spans="1:9" ht="21.75" customHeight="1" x14ac:dyDescent="0.25">
      <c r="A2226" s="127">
        <v>44732</v>
      </c>
      <c r="B2226" s="128" t="s">
        <v>20103</v>
      </c>
      <c r="C2226" s="129" t="s">
        <v>216</v>
      </c>
      <c r="D2226" s="130">
        <v>1780.2</v>
      </c>
      <c r="E2226" s="131">
        <v>44732</v>
      </c>
      <c r="F2226" s="132">
        <v>1780.2</v>
      </c>
      <c r="G2226" s="133">
        <f>Tabla147[[#This Row],[Importe]]-Tabla147[[#This Row],[Pagado]]</f>
        <v>0</v>
      </c>
      <c r="H2226" s="134" t="s">
        <v>10</v>
      </c>
      <c r="I2226" s="135"/>
    </row>
    <row r="2227" spans="1:9" ht="21.75" customHeight="1" x14ac:dyDescent="0.25">
      <c r="A2227" s="127">
        <v>44732</v>
      </c>
      <c r="B2227" s="128" t="s">
        <v>20104</v>
      </c>
      <c r="C2227" s="129" t="s">
        <v>3999</v>
      </c>
      <c r="D2227" s="130">
        <v>1025</v>
      </c>
      <c r="E2227" s="131">
        <v>44732</v>
      </c>
      <c r="F2227" s="132">
        <v>1025</v>
      </c>
      <c r="G2227" s="133">
        <f>Tabla147[[#This Row],[Importe]]-Tabla147[[#This Row],[Pagado]]</f>
        <v>0</v>
      </c>
      <c r="H2227" s="134" t="s">
        <v>10</v>
      </c>
      <c r="I2227" s="135"/>
    </row>
    <row r="2228" spans="1:9" ht="21.75" customHeight="1" x14ac:dyDescent="0.25">
      <c r="A2228" s="127">
        <v>44732</v>
      </c>
      <c r="B2228" s="128" t="s">
        <v>20105</v>
      </c>
      <c r="C2228" s="129" t="s">
        <v>670</v>
      </c>
      <c r="D2228" s="130">
        <v>5424.4</v>
      </c>
      <c r="E2228" s="131">
        <v>44732</v>
      </c>
      <c r="F2228" s="132">
        <v>5424.4</v>
      </c>
      <c r="G2228" s="133">
        <f>Tabla147[[#This Row],[Importe]]-Tabla147[[#This Row],[Pagado]]</f>
        <v>0</v>
      </c>
      <c r="H2228" s="134" t="s">
        <v>10</v>
      </c>
      <c r="I2228" s="135"/>
    </row>
    <row r="2229" spans="1:9" ht="21.75" customHeight="1" x14ac:dyDescent="0.25">
      <c r="A2229" s="127">
        <v>44732</v>
      </c>
      <c r="B2229" s="128" t="s">
        <v>20106</v>
      </c>
      <c r="C2229" s="129" t="s">
        <v>67</v>
      </c>
      <c r="D2229" s="130">
        <v>593.4</v>
      </c>
      <c r="E2229" s="131">
        <v>44732</v>
      </c>
      <c r="F2229" s="132">
        <v>593.4</v>
      </c>
      <c r="G2229" s="133">
        <f>Tabla147[[#This Row],[Importe]]-Tabla147[[#This Row],[Pagado]]</f>
        <v>0</v>
      </c>
      <c r="H2229" s="134" t="s">
        <v>10</v>
      </c>
      <c r="I2229" s="135"/>
    </row>
    <row r="2230" spans="1:9" ht="21.75" customHeight="1" x14ac:dyDescent="0.25">
      <c r="A2230" s="127">
        <v>44732</v>
      </c>
      <c r="B2230" s="128" t="s">
        <v>20107</v>
      </c>
      <c r="C2230" s="129" t="s">
        <v>97</v>
      </c>
      <c r="D2230" s="130">
        <v>2146.1999999999998</v>
      </c>
      <c r="E2230" s="131">
        <v>44732</v>
      </c>
      <c r="F2230" s="132">
        <v>2146.1999999999998</v>
      </c>
      <c r="G2230" s="133">
        <f>Tabla147[[#This Row],[Importe]]-Tabla147[[#This Row],[Pagado]]</f>
        <v>0</v>
      </c>
      <c r="H2230" s="134" t="s">
        <v>10</v>
      </c>
      <c r="I2230" s="135"/>
    </row>
    <row r="2231" spans="1:9" ht="21.75" customHeight="1" x14ac:dyDescent="0.25">
      <c r="A2231" s="127">
        <v>44732</v>
      </c>
      <c r="B2231" s="128" t="s">
        <v>20108</v>
      </c>
      <c r="C2231" s="129" t="s">
        <v>31</v>
      </c>
      <c r="D2231" s="130">
        <v>1738.8</v>
      </c>
      <c r="E2231" s="131">
        <v>44732</v>
      </c>
      <c r="F2231" s="132">
        <v>1738.8</v>
      </c>
      <c r="G2231" s="133">
        <f>Tabla147[[#This Row],[Importe]]-Tabla147[[#This Row],[Pagado]]</f>
        <v>0</v>
      </c>
      <c r="H2231" s="134" t="s">
        <v>10</v>
      </c>
      <c r="I2231" s="135"/>
    </row>
    <row r="2232" spans="1:9" ht="21.75" customHeight="1" x14ac:dyDescent="0.25">
      <c r="A2232" s="127">
        <v>44732</v>
      </c>
      <c r="B2232" s="128" t="s">
        <v>20109</v>
      </c>
      <c r="C2232" s="129" t="s">
        <v>58</v>
      </c>
      <c r="D2232" s="130">
        <v>1310.4000000000001</v>
      </c>
      <c r="E2232" s="131">
        <v>44732</v>
      </c>
      <c r="F2232" s="132">
        <v>1310.4000000000001</v>
      </c>
      <c r="G2232" s="133">
        <f>Tabla147[[#This Row],[Importe]]-Tabla147[[#This Row],[Pagado]]</f>
        <v>0</v>
      </c>
      <c r="H2232" s="134" t="s">
        <v>10</v>
      </c>
      <c r="I2232" s="135"/>
    </row>
    <row r="2233" spans="1:9" ht="21.75" customHeight="1" x14ac:dyDescent="0.25">
      <c r="A2233" s="127">
        <v>44732</v>
      </c>
      <c r="B2233" s="128" t="s">
        <v>20110</v>
      </c>
      <c r="C2233" s="129" t="s">
        <v>69</v>
      </c>
      <c r="D2233" s="130">
        <v>2925.6</v>
      </c>
      <c r="E2233" s="131">
        <v>44732</v>
      </c>
      <c r="F2233" s="132">
        <v>2925.6</v>
      </c>
      <c r="G2233" s="133">
        <f>Tabla147[[#This Row],[Importe]]-Tabla147[[#This Row],[Pagado]]</f>
        <v>0</v>
      </c>
      <c r="H2233" s="134" t="s">
        <v>10</v>
      </c>
      <c r="I2233" s="135"/>
    </row>
    <row r="2234" spans="1:9" ht="21.75" customHeight="1" x14ac:dyDescent="0.25">
      <c r="A2234" s="127">
        <v>44732</v>
      </c>
      <c r="B2234" s="128" t="s">
        <v>20111</v>
      </c>
      <c r="C2234" s="129" t="s">
        <v>605</v>
      </c>
      <c r="D2234" s="130">
        <v>99237.2</v>
      </c>
      <c r="E2234" s="131">
        <v>44732</v>
      </c>
      <c r="F2234" s="132">
        <v>99237.2</v>
      </c>
      <c r="G2234" s="133">
        <f>Tabla147[[#This Row],[Importe]]-Tabla147[[#This Row],[Pagado]]</f>
        <v>0</v>
      </c>
      <c r="H2234" s="134" t="s">
        <v>10</v>
      </c>
      <c r="I2234" s="135"/>
    </row>
    <row r="2235" spans="1:9" ht="21.75" customHeight="1" x14ac:dyDescent="0.25">
      <c r="A2235" s="127">
        <v>44732</v>
      </c>
      <c r="B2235" s="128" t="s">
        <v>20112</v>
      </c>
      <c r="C2235" s="129" t="s">
        <v>9827</v>
      </c>
      <c r="D2235" s="130">
        <v>7956</v>
      </c>
      <c r="E2235" s="131">
        <v>44732</v>
      </c>
      <c r="F2235" s="132">
        <v>7956</v>
      </c>
      <c r="G2235" s="133">
        <f>Tabla147[[#This Row],[Importe]]-Tabla147[[#This Row],[Pagado]]</f>
        <v>0</v>
      </c>
      <c r="H2235" s="134" t="s">
        <v>10</v>
      </c>
      <c r="I2235" s="135"/>
    </row>
    <row r="2236" spans="1:9" ht="21.75" customHeight="1" x14ac:dyDescent="0.25">
      <c r="A2236" s="127">
        <v>44732</v>
      </c>
      <c r="B2236" s="128" t="s">
        <v>20113</v>
      </c>
      <c r="C2236" s="129" t="s">
        <v>12202</v>
      </c>
      <c r="D2236" s="130">
        <v>3040</v>
      </c>
      <c r="E2236" s="131">
        <v>44732</v>
      </c>
      <c r="F2236" s="132">
        <v>3040</v>
      </c>
      <c r="G2236" s="133">
        <f>Tabla147[[#This Row],[Importe]]-Tabla147[[#This Row],[Pagado]]</f>
        <v>0</v>
      </c>
      <c r="H2236" s="134" t="s">
        <v>10</v>
      </c>
      <c r="I2236" s="135"/>
    </row>
    <row r="2237" spans="1:9" ht="21.75" customHeight="1" x14ac:dyDescent="0.25">
      <c r="A2237" s="127">
        <v>44732</v>
      </c>
      <c r="B2237" s="128" t="s">
        <v>20114</v>
      </c>
      <c r="C2237" s="129" t="s">
        <v>296</v>
      </c>
      <c r="D2237" s="130">
        <v>3275.6</v>
      </c>
      <c r="E2237" s="131">
        <v>44732</v>
      </c>
      <c r="F2237" s="132">
        <v>3275.6</v>
      </c>
      <c r="G2237" s="133">
        <f>Tabla147[[#This Row],[Importe]]-Tabla147[[#This Row],[Pagado]]</f>
        <v>0</v>
      </c>
      <c r="H2237" s="134" t="s">
        <v>10</v>
      </c>
      <c r="I2237" s="135"/>
    </row>
    <row r="2238" spans="1:9" ht="21.75" customHeight="1" x14ac:dyDescent="0.25">
      <c r="A2238" s="127">
        <v>44732</v>
      </c>
      <c r="B2238" s="128" t="s">
        <v>20115</v>
      </c>
      <c r="C2238" s="129" t="s">
        <v>421</v>
      </c>
      <c r="D2238" s="130">
        <v>11103.4</v>
      </c>
      <c r="E2238" s="131">
        <v>44746</v>
      </c>
      <c r="F2238" s="132">
        <v>11103.4</v>
      </c>
      <c r="G2238" s="133">
        <f>Tabla147[[#This Row],[Importe]]-Tabla147[[#This Row],[Pagado]]</f>
        <v>0</v>
      </c>
      <c r="H2238" s="134" t="s">
        <v>10</v>
      </c>
      <c r="I2238" s="135"/>
    </row>
    <row r="2239" spans="1:9" ht="21.75" customHeight="1" x14ac:dyDescent="0.25">
      <c r="A2239" s="127">
        <v>44732</v>
      </c>
      <c r="B2239" s="128" t="s">
        <v>20116</v>
      </c>
      <c r="C2239" s="129" t="s">
        <v>146</v>
      </c>
      <c r="D2239" s="130">
        <v>4155</v>
      </c>
      <c r="E2239" s="131">
        <v>44732</v>
      </c>
      <c r="F2239" s="132">
        <v>4155</v>
      </c>
      <c r="G2239" s="133">
        <f>Tabla147[[#This Row],[Importe]]-Tabla147[[#This Row],[Pagado]]</f>
        <v>0</v>
      </c>
      <c r="H2239" s="134" t="s">
        <v>10</v>
      </c>
      <c r="I2239" s="135"/>
    </row>
    <row r="2240" spans="1:9" ht="21.75" customHeight="1" x14ac:dyDescent="0.25">
      <c r="A2240" s="127">
        <v>44732</v>
      </c>
      <c r="B2240" s="128" t="s">
        <v>20117</v>
      </c>
      <c r="C2240" s="129" t="s">
        <v>144</v>
      </c>
      <c r="D2240" s="130">
        <v>7687.5</v>
      </c>
      <c r="E2240" s="131">
        <v>44732</v>
      </c>
      <c r="F2240" s="132">
        <v>7687.5</v>
      </c>
      <c r="G2240" s="133">
        <f>Tabla147[[#This Row],[Importe]]-Tabla147[[#This Row],[Pagado]]</f>
        <v>0</v>
      </c>
      <c r="H2240" s="134" t="s">
        <v>10</v>
      </c>
      <c r="I2240" s="135"/>
    </row>
    <row r="2241" spans="1:9" ht="21.75" customHeight="1" x14ac:dyDescent="0.25">
      <c r="A2241" s="127">
        <v>44732</v>
      </c>
      <c r="B2241" s="128" t="s">
        <v>20118</v>
      </c>
      <c r="C2241" s="129" t="s">
        <v>214</v>
      </c>
      <c r="D2241" s="130">
        <v>4683</v>
      </c>
      <c r="E2241" s="131">
        <v>44732</v>
      </c>
      <c r="F2241" s="132">
        <v>4683</v>
      </c>
      <c r="G2241" s="133">
        <f>Tabla147[[#This Row],[Importe]]-Tabla147[[#This Row],[Pagado]]</f>
        <v>0</v>
      </c>
      <c r="H2241" s="134" t="s">
        <v>10</v>
      </c>
      <c r="I2241" s="135"/>
    </row>
    <row r="2242" spans="1:9" ht="21.75" customHeight="1" x14ac:dyDescent="0.25">
      <c r="A2242" s="127">
        <v>44732</v>
      </c>
      <c r="B2242" s="128" t="s">
        <v>20119</v>
      </c>
      <c r="C2242" s="129" t="s">
        <v>107</v>
      </c>
      <c r="D2242" s="130">
        <v>14997.8</v>
      </c>
      <c r="E2242" s="131">
        <v>44732</v>
      </c>
      <c r="F2242" s="132">
        <v>14997.8</v>
      </c>
      <c r="G2242" s="133">
        <f>Tabla147[[#This Row],[Importe]]-Tabla147[[#This Row],[Pagado]]</f>
        <v>0</v>
      </c>
      <c r="H2242" s="134" t="s">
        <v>10</v>
      </c>
      <c r="I2242" s="135"/>
    </row>
    <row r="2243" spans="1:9" ht="21.75" customHeight="1" x14ac:dyDescent="0.25">
      <c r="A2243" s="127">
        <v>44732</v>
      </c>
      <c r="B2243" s="128" t="s">
        <v>20120</v>
      </c>
      <c r="C2243" s="129" t="s">
        <v>2961</v>
      </c>
      <c r="D2243" s="130">
        <v>64869.2</v>
      </c>
      <c r="E2243" s="131">
        <v>44735</v>
      </c>
      <c r="F2243" s="132">
        <v>64869.2</v>
      </c>
      <c r="G2243" s="133">
        <f>Tabla147[[#This Row],[Importe]]-Tabla147[[#This Row],[Pagado]]</f>
        <v>0</v>
      </c>
      <c r="H2243" s="134" t="s">
        <v>10</v>
      </c>
      <c r="I2243" s="135"/>
    </row>
    <row r="2244" spans="1:9" ht="21.75" customHeight="1" x14ac:dyDescent="0.25">
      <c r="A2244" s="127">
        <v>44732</v>
      </c>
      <c r="B2244" s="128" t="s">
        <v>20121</v>
      </c>
      <c r="C2244" s="129" t="s">
        <v>235</v>
      </c>
      <c r="D2244" s="130">
        <v>5067.2</v>
      </c>
      <c r="E2244" s="131">
        <v>44732</v>
      </c>
      <c r="F2244" s="132">
        <v>5067.2</v>
      </c>
      <c r="G2244" s="133">
        <f>Tabla147[[#This Row],[Importe]]-Tabla147[[#This Row],[Pagado]]</f>
        <v>0</v>
      </c>
      <c r="H2244" s="134" t="s">
        <v>10</v>
      </c>
      <c r="I2244" s="135"/>
    </row>
    <row r="2245" spans="1:9" ht="21.75" customHeight="1" x14ac:dyDescent="0.25">
      <c r="A2245" s="127">
        <v>44732</v>
      </c>
      <c r="B2245" s="128" t="s">
        <v>20122</v>
      </c>
      <c r="C2245" s="129" t="s">
        <v>1239</v>
      </c>
      <c r="D2245" s="130">
        <v>15549.6</v>
      </c>
      <c r="E2245" s="131">
        <v>44732</v>
      </c>
      <c r="F2245" s="132">
        <v>15549.6</v>
      </c>
      <c r="G2245" s="133">
        <f>Tabla147[[#This Row],[Importe]]-Tabla147[[#This Row],[Pagado]]</f>
        <v>0</v>
      </c>
      <c r="H2245" s="134" t="s">
        <v>10</v>
      </c>
      <c r="I2245" s="135"/>
    </row>
    <row r="2246" spans="1:9" ht="21.75" customHeight="1" x14ac:dyDescent="0.25">
      <c r="A2246" s="127">
        <v>44732</v>
      </c>
      <c r="B2246" s="128" t="s">
        <v>20123</v>
      </c>
      <c r="C2246" s="129" t="s">
        <v>235</v>
      </c>
      <c r="D2246" s="130">
        <v>3328</v>
      </c>
      <c r="E2246" s="131">
        <v>44732</v>
      </c>
      <c r="F2246" s="132">
        <v>3328</v>
      </c>
      <c r="G2246" s="133">
        <f>Tabla147[[#This Row],[Importe]]-Tabla147[[#This Row],[Pagado]]</f>
        <v>0</v>
      </c>
      <c r="H2246" s="134" t="s">
        <v>10</v>
      </c>
      <c r="I2246" s="135"/>
    </row>
    <row r="2247" spans="1:9" ht="21.75" customHeight="1" x14ac:dyDescent="0.25">
      <c r="A2247" s="127">
        <v>44732</v>
      </c>
      <c r="B2247" s="128" t="s">
        <v>20124</v>
      </c>
      <c r="C2247" s="129" t="s">
        <v>843</v>
      </c>
      <c r="D2247" s="130">
        <v>24789.599999999999</v>
      </c>
      <c r="E2247" s="131">
        <v>44732</v>
      </c>
      <c r="F2247" s="132">
        <v>24789.599999999999</v>
      </c>
      <c r="G2247" s="133">
        <f>Tabla147[[#This Row],[Importe]]-Tabla147[[#This Row],[Pagado]]</f>
        <v>0</v>
      </c>
      <c r="H2247" s="134" t="s">
        <v>10</v>
      </c>
      <c r="I2247" s="135"/>
    </row>
    <row r="2248" spans="1:9" ht="21.75" customHeight="1" x14ac:dyDescent="0.25">
      <c r="A2248" s="127">
        <v>44732</v>
      </c>
      <c r="B2248" s="128" t="s">
        <v>20125</v>
      </c>
      <c r="C2248" s="129" t="s">
        <v>654</v>
      </c>
      <c r="D2248" s="130">
        <v>4966.3999999999996</v>
      </c>
      <c r="E2248" s="131">
        <v>44732</v>
      </c>
      <c r="F2248" s="132">
        <v>4966.3999999999996</v>
      </c>
      <c r="G2248" s="133">
        <f>Tabla147[[#This Row],[Importe]]-Tabla147[[#This Row],[Pagado]]</f>
        <v>0</v>
      </c>
      <c r="H2248" s="134" t="s">
        <v>10</v>
      </c>
      <c r="I2248" s="135"/>
    </row>
    <row r="2249" spans="1:9" ht="21" customHeight="1" x14ac:dyDescent="0.25">
      <c r="A2249" s="127">
        <v>44732</v>
      </c>
      <c r="B2249" s="128" t="s">
        <v>20126</v>
      </c>
      <c r="C2249" s="129" t="s">
        <v>275</v>
      </c>
      <c r="D2249" s="130">
        <v>113629.2</v>
      </c>
      <c r="E2249" s="131" t="s">
        <v>21261</v>
      </c>
      <c r="F2249" s="132">
        <f>44720.25+68908.95</f>
        <v>113629.2</v>
      </c>
      <c r="G2249" s="133">
        <f>Tabla147[[#This Row],[Importe]]-Tabla147[[#This Row],[Pagado]]</f>
        <v>0</v>
      </c>
      <c r="H2249" s="134" t="s">
        <v>10</v>
      </c>
      <c r="I2249" s="135"/>
    </row>
    <row r="2250" spans="1:9" ht="21.75" customHeight="1" x14ac:dyDescent="0.25">
      <c r="A2250" s="127">
        <v>44732</v>
      </c>
      <c r="B2250" s="128" t="s">
        <v>20127</v>
      </c>
      <c r="C2250" s="129" t="s">
        <v>373</v>
      </c>
      <c r="D2250" s="130">
        <v>2291</v>
      </c>
      <c r="E2250" s="131">
        <v>44732</v>
      </c>
      <c r="F2250" s="132">
        <v>2291</v>
      </c>
      <c r="G2250" s="133">
        <f>Tabla147[[#This Row],[Importe]]-Tabla147[[#This Row],[Pagado]]</f>
        <v>0</v>
      </c>
      <c r="H2250" s="134" t="s">
        <v>10</v>
      </c>
      <c r="I2250" s="135"/>
    </row>
    <row r="2251" spans="1:9" ht="21.75" customHeight="1" x14ac:dyDescent="0.25">
      <c r="A2251" s="127">
        <v>44732</v>
      </c>
      <c r="B2251" s="128" t="s">
        <v>20128</v>
      </c>
      <c r="C2251" s="129" t="s">
        <v>10678</v>
      </c>
      <c r="D2251" s="130">
        <v>3691.2</v>
      </c>
      <c r="E2251" s="131">
        <v>44732</v>
      </c>
      <c r="F2251" s="132">
        <v>3691.2</v>
      </c>
      <c r="G2251" s="133">
        <f>Tabla147[[#This Row],[Importe]]-Tabla147[[#This Row],[Pagado]]</f>
        <v>0</v>
      </c>
      <c r="H2251" s="134" t="s">
        <v>10</v>
      </c>
      <c r="I2251" s="135"/>
    </row>
    <row r="2252" spans="1:9" ht="21.75" customHeight="1" x14ac:dyDescent="0.25">
      <c r="A2252" s="127">
        <v>44732</v>
      </c>
      <c r="B2252" s="128" t="s">
        <v>20129</v>
      </c>
      <c r="C2252" s="129" t="s">
        <v>246</v>
      </c>
      <c r="D2252" s="130">
        <v>10950.48</v>
      </c>
      <c r="E2252" s="131">
        <v>44732</v>
      </c>
      <c r="F2252" s="132">
        <v>10950.48</v>
      </c>
      <c r="G2252" s="133">
        <f>Tabla147[[#This Row],[Importe]]-Tabla147[[#This Row],[Pagado]]</f>
        <v>0</v>
      </c>
      <c r="H2252" s="134" t="s">
        <v>10</v>
      </c>
      <c r="I2252" s="135"/>
    </row>
    <row r="2253" spans="1:9" ht="21.75" customHeight="1" x14ac:dyDescent="0.25">
      <c r="A2253" s="127">
        <v>44732</v>
      </c>
      <c r="B2253" s="128" t="s">
        <v>20130</v>
      </c>
      <c r="C2253" s="129" t="s">
        <v>301</v>
      </c>
      <c r="D2253" s="130">
        <v>21155.4</v>
      </c>
      <c r="E2253" s="131">
        <v>44732</v>
      </c>
      <c r="F2253" s="132">
        <v>21155.4</v>
      </c>
      <c r="G2253" s="133">
        <f>Tabla147[[#This Row],[Importe]]-Tabla147[[#This Row],[Pagado]]</f>
        <v>0</v>
      </c>
      <c r="H2253" s="134" t="s">
        <v>10</v>
      </c>
      <c r="I2253" s="135"/>
    </row>
    <row r="2254" spans="1:9" ht="21.75" customHeight="1" x14ac:dyDescent="0.25">
      <c r="A2254" s="127">
        <v>44732</v>
      </c>
      <c r="B2254" s="128" t="s">
        <v>20131</v>
      </c>
      <c r="C2254" s="129" t="s">
        <v>301</v>
      </c>
      <c r="D2254" s="130">
        <v>261</v>
      </c>
      <c r="E2254" s="131">
        <v>44732</v>
      </c>
      <c r="F2254" s="132">
        <v>261</v>
      </c>
      <c r="G2254" s="133">
        <f>Tabla147[[#This Row],[Importe]]-Tabla147[[#This Row],[Pagado]]</f>
        <v>0</v>
      </c>
      <c r="H2254" s="134" t="s">
        <v>10</v>
      </c>
      <c r="I2254" s="135"/>
    </row>
    <row r="2255" spans="1:9" ht="21.75" customHeight="1" x14ac:dyDescent="0.25">
      <c r="A2255" s="127">
        <v>44732</v>
      </c>
      <c r="B2255" s="128" t="s">
        <v>20132</v>
      </c>
      <c r="C2255" s="129" t="s">
        <v>47</v>
      </c>
      <c r="D2255" s="130">
        <v>2343</v>
      </c>
      <c r="E2255" s="131">
        <v>44732</v>
      </c>
      <c r="F2255" s="132">
        <v>2343</v>
      </c>
      <c r="G2255" s="133">
        <f>Tabla147[[#This Row],[Importe]]-Tabla147[[#This Row],[Pagado]]</f>
        <v>0</v>
      </c>
      <c r="H2255" s="134" t="s">
        <v>10</v>
      </c>
      <c r="I2255" s="135"/>
    </row>
    <row r="2256" spans="1:9" ht="21.75" customHeight="1" x14ac:dyDescent="0.25">
      <c r="A2256" s="127">
        <v>44732</v>
      </c>
      <c r="B2256" s="128" t="s">
        <v>20133</v>
      </c>
      <c r="C2256" s="129" t="s">
        <v>7745</v>
      </c>
      <c r="D2256" s="130">
        <v>30038.400000000001</v>
      </c>
      <c r="E2256" s="131">
        <v>44732</v>
      </c>
      <c r="F2256" s="132">
        <v>30038.400000000001</v>
      </c>
      <c r="G2256" s="133">
        <f>Tabla147[[#This Row],[Importe]]-Tabla147[[#This Row],[Pagado]]</f>
        <v>0</v>
      </c>
      <c r="H2256" s="134" t="s">
        <v>10</v>
      </c>
      <c r="I2256" s="135"/>
    </row>
    <row r="2257" spans="1:9" ht="21.75" customHeight="1" x14ac:dyDescent="0.25">
      <c r="A2257" s="127">
        <v>44732</v>
      </c>
      <c r="B2257" s="128" t="s">
        <v>20134</v>
      </c>
      <c r="C2257" s="129" t="s">
        <v>31</v>
      </c>
      <c r="D2257" s="130">
        <v>528</v>
      </c>
      <c r="E2257" s="131">
        <v>44732</v>
      </c>
      <c r="F2257" s="132">
        <v>528</v>
      </c>
      <c r="G2257" s="133">
        <f>Tabla147[[#This Row],[Importe]]-Tabla147[[#This Row],[Pagado]]</f>
        <v>0</v>
      </c>
      <c r="H2257" s="134" t="s">
        <v>10</v>
      </c>
      <c r="I2257" s="135"/>
    </row>
    <row r="2258" spans="1:9" ht="21.75" customHeight="1" x14ac:dyDescent="0.25">
      <c r="A2258" s="127">
        <v>44732</v>
      </c>
      <c r="B2258" s="128" t="s">
        <v>20135</v>
      </c>
      <c r="C2258" s="129" t="s">
        <v>31</v>
      </c>
      <c r="D2258" s="130">
        <v>4721.2</v>
      </c>
      <c r="E2258" s="131">
        <v>44732</v>
      </c>
      <c r="F2258" s="132">
        <v>4721.2</v>
      </c>
      <c r="G2258" s="133">
        <f>Tabla147[[#This Row],[Importe]]-Tabla147[[#This Row],[Pagado]]</f>
        <v>0</v>
      </c>
      <c r="H2258" s="134" t="s">
        <v>10</v>
      </c>
      <c r="I2258" s="135"/>
    </row>
    <row r="2259" spans="1:9" ht="21.75" customHeight="1" x14ac:dyDescent="0.25">
      <c r="A2259" s="127">
        <v>44732</v>
      </c>
      <c r="B2259" s="128" t="s">
        <v>20136</v>
      </c>
      <c r="C2259" s="129" t="s">
        <v>414</v>
      </c>
      <c r="D2259" s="130">
        <v>22017.599999999999</v>
      </c>
      <c r="E2259" s="131">
        <v>44748</v>
      </c>
      <c r="F2259" s="132">
        <v>22017.599999999999</v>
      </c>
      <c r="G2259" s="133">
        <f>Tabla147[[#This Row],[Importe]]-Tabla147[[#This Row],[Pagado]]</f>
        <v>0</v>
      </c>
      <c r="H2259" s="134" t="s">
        <v>10</v>
      </c>
      <c r="I2259" s="135"/>
    </row>
    <row r="2260" spans="1:9" ht="21.75" customHeight="1" x14ac:dyDescent="0.25">
      <c r="A2260" s="127">
        <v>44732</v>
      </c>
      <c r="B2260" s="128" t="s">
        <v>20137</v>
      </c>
      <c r="C2260" s="129" t="s">
        <v>179</v>
      </c>
      <c r="D2260" s="130">
        <v>1634.4</v>
      </c>
      <c r="E2260" s="131">
        <v>44733</v>
      </c>
      <c r="F2260" s="132">
        <v>1634.4</v>
      </c>
      <c r="G2260" s="133">
        <f>Tabla147[[#This Row],[Importe]]-Tabla147[[#This Row],[Pagado]]</f>
        <v>0</v>
      </c>
      <c r="H2260" s="134" t="s">
        <v>10</v>
      </c>
      <c r="I2260" s="135"/>
    </row>
    <row r="2261" spans="1:9" ht="21.75" customHeight="1" x14ac:dyDescent="0.25">
      <c r="A2261" s="127">
        <v>44732</v>
      </c>
      <c r="B2261" s="128" t="s">
        <v>20138</v>
      </c>
      <c r="C2261" s="129" t="s">
        <v>246</v>
      </c>
      <c r="D2261" s="130">
        <v>2520</v>
      </c>
      <c r="E2261" s="131">
        <v>44732</v>
      </c>
      <c r="F2261" s="132">
        <v>2520</v>
      </c>
      <c r="G2261" s="133">
        <f>Tabla147[[#This Row],[Importe]]-Tabla147[[#This Row],[Pagado]]</f>
        <v>0</v>
      </c>
      <c r="H2261" s="134" t="s">
        <v>10</v>
      </c>
      <c r="I2261" s="135"/>
    </row>
    <row r="2262" spans="1:9" ht="21.75" customHeight="1" x14ac:dyDescent="0.25">
      <c r="A2262" s="127">
        <v>44732</v>
      </c>
      <c r="B2262" s="128" t="s">
        <v>20139</v>
      </c>
      <c r="C2262" s="129" t="s">
        <v>450</v>
      </c>
      <c r="D2262" s="130">
        <v>7303</v>
      </c>
      <c r="E2262" s="131">
        <v>44732</v>
      </c>
      <c r="F2262" s="132">
        <v>7303</v>
      </c>
      <c r="G2262" s="133">
        <f>Tabla147[[#This Row],[Importe]]-Tabla147[[#This Row],[Pagado]]</f>
        <v>0</v>
      </c>
      <c r="H2262" s="134" t="s">
        <v>10</v>
      </c>
      <c r="I2262" s="135"/>
    </row>
    <row r="2263" spans="1:9" ht="21.75" customHeight="1" x14ac:dyDescent="0.25">
      <c r="A2263" s="127">
        <v>44732</v>
      </c>
      <c r="B2263" s="128" t="s">
        <v>20140</v>
      </c>
      <c r="C2263" s="129" t="s">
        <v>214</v>
      </c>
      <c r="D2263" s="130">
        <v>1159.2</v>
      </c>
      <c r="E2263" s="131">
        <v>44732</v>
      </c>
      <c r="F2263" s="132">
        <v>1159.2</v>
      </c>
      <c r="G2263" s="133">
        <f>Tabla147[[#This Row],[Importe]]-Tabla147[[#This Row],[Pagado]]</f>
        <v>0</v>
      </c>
      <c r="H2263" s="134" t="s">
        <v>10</v>
      </c>
      <c r="I2263" s="135"/>
    </row>
    <row r="2264" spans="1:9" ht="21.75" customHeight="1" x14ac:dyDescent="0.25">
      <c r="A2264" s="127">
        <v>44732</v>
      </c>
      <c r="B2264" s="128" t="s">
        <v>20141</v>
      </c>
      <c r="C2264" s="129" t="s">
        <v>681</v>
      </c>
      <c r="D2264" s="130">
        <v>5.79</v>
      </c>
      <c r="E2264" s="131">
        <v>44737</v>
      </c>
      <c r="F2264" s="132">
        <v>5.79</v>
      </c>
      <c r="G2264" s="133">
        <f>Tabla147[[#This Row],[Importe]]-Tabla147[[#This Row],[Pagado]]</f>
        <v>0</v>
      </c>
      <c r="H2264" s="134" t="s">
        <v>10</v>
      </c>
      <c r="I2264" s="135"/>
    </row>
    <row r="2265" spans="1:9" ht="21.75" customHeight="1" x14ac:dyDescent="0.25">
      <c r="A2265" s="127">
        <v>44732</v>
      </c>
      <c r="B2265" s="128" t="s">
        <v>20142</v>
      </c>
      <c r="C2265" s="129" t="s">
        <v>275</v>
      </c>
      <c r="D2265" s="130">
        <v>1161.78</v>
      </c>
      <c r="E2265" s="131">
        <v>44744</v>
      </c>
      <c r="F2265" s="132">
        <v>1161.78</v>
      </c>
      <c r="G2265" s="133">
        <f>Tabla147[[#This Row],[Importe]]-Tabla147[[#This Row],[Pagado]]</f>
        <v>0</v>
      </c>
      <c r="H2265" s="134" t="s">
        <v>10</v>
      </c>
      <c r="I2265" s="135"/>
    </row>
    <row r="2266" spans="1:9" ht="21.75" customHeight="1" x14ac:dyDescent="0.25">
      <c r="A2266" s="127">
        <v>44732</v>
      </c>
      <c r="B2266" s="128" t="s">
        <v>20143</v>
      </c>
      <c r="C2266" s="129" t="s">
        <v>95</v>
      </c>
      <c r="D2266" s="130">
        <v>16205.3</v>
      </c>
      <c r="E2266" s="131">
        <v>44732</v>
      </c>
      <c r="F2266" s="132">
        <v>16205.3</v>
      </c>
      <c r="G2266" s="133">
        <f>Tabla147[[#This Row],[Importe]]-Tabla147[[#This Row],[Pagado]]</f>
        <v>0</v>
      </c>
      <c r="H2266" s="134" t="s">
        <v>10</v>
      </c>
      <c r="I2266" s="135"/>
    </row>
    <row r="2267" spans="1:9" ht="21.75" customHeight="1" x14ac:dyDescent="0.25">
      <c r="A2267" s="127">
        <v>44732</v>
      </c>
      <c r="B2267" s="128" t="s">
        <v>20144</v>
      </c>
      <c r="C2267" s="129" t="s">
        <v>20145</v>
      </c>
      <c r="D2267" s="130">
        <v>0</v>
      </c>
      <c r="E2267" s="136" t="s">
        <v>189</v>
      </c>
      <c r="F2267" s="132">
        <v>0</v>
      </c>
      <c r="G2267" s="133">
        <f>Tabla147[[#This Row],[Importe]]-Tabla147[[#This Row],[Pagado]]</f>
        <v>0</v>
      </c>
      <c r="H2267" s="134" t="s">
        <v>189</v>
      </c>
      <c r="I2267" s="135"/>
    </row>
    <row r="2268" spans="1:9" ht="21.75" customHeight="1" x14ac:dyDescent="0.25">
      <c r="A2268" s="127">
        <v>44732</v>
      </c>
      <c r="B2268" s="128" t="s">
        <v>20146</v>
      </c>
      <c r="C2268" s="129" t="s">
        <v>3900</v>
      </c>
      <c r="D2268" s="130">
        <v>24.5</v>
      </c>
      <c r="E2268" s="131">
        <v>44732</v>
      </c>
      <c r="F2268" s="132">
        <v>24.5</v>
      </c>
      <c r="G2268" s="133">
        <f>Tabla147[[#This Row],[Importe]]-Tabla147[[#This Row],[Pagado]]</f>
        <v>0</v>
      </c>
      <c r="H2268" s="134" t="s">
        <v>10</v>
      </c>
      <c r="I2268" s="135"/>
    </row>
    <row r="2269" spans="1:9" ht="21.75" customHeight="1" x14ac:dyDescent="0.25">
      <c r="A2269" s="127">
        <v>44732</v>
      </c>
      <c r="B2269" s="128" t="s">
        <v>20147</v>
      </c>
      <c r="C2269" s="129" t="s">
        <v>10840</v>
      </c>
      <c r="D2269" s="130">
        <v>21088.2</v>
      </c>
      <c r="E2269" s="131">
        <v>44739</v>
      </c>
      <c r="F2269" s="132">
        <v>21088.2</v>
      </c>
      <c r="G2269" s="133">
        <f>Tabla147[[#This Row],[Importe]]-Tabla147[[#This Row],[Pagado]]</f>
        <v>0</v>
      </c>
      <c r="H2269" s="134" t="s">
        <v>10</v>
      </c>
      <c r="I2269" s="135"/>
    </row>
    <row r="2270" spans="1:9" ht="21.75" customHeight="1" x14ac:dyDescent="0.25">
      <c r="A2270" s="127">
        <v>44732</v>
      </c>
      <c r="B2270" s="128" t="s">
        <v>20148</v>
      </c>
      <c r="C2270" s="129" t="s">
        <v>5694</v>
      </c>
      <c r="D2270" s="130">
        <v>1443.6</v>
      </c>
      <c r="E2270" s="131">
        <v>44732</v>
      </c>
      <c r="F2270" s="132">
        <v>1443.6</v>
      </c>
      <c r="G2270" s="133">
        <f>Tabla147[[#This Row],[Importe]]-Tabla147[[#This Row],[Pagado]]</f>
        <v>0</v>
      </c>
      <c r="H2270" s="134" t="s">
        <v>10</v>
      </c>
      <c r="I2270" s="135"/>
    </row>
    <row r="2271" spans="1:9" ht="21.75" customHeight="1" x14ac:dyDescent="0.25">
      <c r="A2271" s="127">
        <v>44732</v>
      </c>
      <c r="B2271" s="128" t="s">
        <v>20149</v>
      </c>
      <c r="C2271" s="129" t="s">
        <v>2961</v>
      </c>
      <c r="D2271" s="130">
        <v>60693.599999999999</v>
      </c>
      <c r="E2271" s="131">
        <v>44735</v>
      </c>
      <c r="F2271" s="132">
        <v>60693.599999999999</v>
      </c>
      <c r="G2271" s="133">
        <f>Tabla147[[#This Row],[Importe]]-Tabla147[[#This Row],[Pagado]]</f>
        <v>0</v>
      </c>
      <c r="H2271" s="134" t="s">
        <v>10</v>
      </c>
      <c r="I2271" s="135"/>
    </row>
    <row r="2272" spans="1:9" ht="21.75" customHeight="1" x14ac:dyDescent="0.25">
      <c r="A2272" s="127">
        <v>44732</v>
      </c>
      <c r="B2272" s="128" t="s">
        <v>20150</v>
      </c>
      <c r="C2272" s="129" t="s">
        <v>31</v>
      </c>
      <c r="D2272" s="130">
        <v>11279.2</v>
      </c>
      <c r="E2272" s="131">
        <v>44732</v>
      </c>
      <c r="F2272" s="132">
        <v>11279.2</v>
      </c>
      <c r="G2272" s="133">
        <f>Tabla147[[#This Row],[Importe]]-Tabla147[[#This Row],[Pagado]]</f>
        <v>0</v>
      </c>
      <c r="H2272" s="134" t="s">
        <v>10</v>
      </c>
      <c r="I2272" s="135"/>
    </row>
    <row r="2273" spans="1:9" ht="21.75" customHeight="1" x14ac:dyDescent="0.25">
      <c r="A2273" s="127">
        <v>44732</v>
      </c>
      <c r="B2273" s="128" t="s">
        <v>20151</v>
      </c>
      <c r="C2273" s="129" t="s">
        <v>10190</v>
      </c>
      <c r="D2273" s="130">
        <v>18505.8</v>
      </c>
      <c r="E2273" s="131">
        <v>44733</v>
      </c>
      <c r="F2273" s="132">
        <v>18505.8</v>
      </c>
      <c r="G2273" s="133">
        <f>Tabla147[[#This Row],[Importe]]-Tabla147[[#This Row],[Pagado]]</f>
        <v>0</v>
      </c>
      <c r="H2273" s="134" t="s">
        <v>10</v>
      </c>
      <c r="I2273" s="135"/>
    </row>
    <row r="2274" spans="1:9" ht="21.75" customHeight="1" x14ac:dyDescent="0.25">
      <c r="A2274" s="127">
        <v>44733</v>
      </c>
      <c r="B2274" s="128" t="s">
        <v>20152</v>
      </c>
      <c r="C2274" s="129" t="s">
        <v>83</v>
      </c>
      <c r="D2274" s="130">
        <v>17452.8</v>
      </c>
      <c r="E2274" s="131">
        <v>44733</v>
      </c>
      <c r="F2274" s="132">
        <v>17452.8</v>
      </c>
      <c r="G2274" s="133">
        <f>Tabla147[[#This Row],[Importe]]-Tabla147[[#This Row],[Pagado]]</f>
        <v>0</v>
      </c>
      <c r="H2274" s="134" t="s">
        <v>10</v>
      </c>
      <c r="I2274" s="135"/>
    </row>
    <row r="2275" spans="1:9" ht="21.75" customHeight="1" x14ac:dyDescent="0.25">
      <c r="A2275" s="127">
        <v>44733</v>
      </c>
      <c r="B2275" s="128" t="s">
        <v>20153</v>
      </c>
      <c r="C2275" s="129" t="s">
        <v>79</v>
      </c>
      <c r="D2275" s="130">
        <v>22607.599999999999</v>
      </c>
      <c r="E2275" s="131">
        <v>44733</v>
      </c>
      <c r="F2275" s="132">
        <v>22607.599999999999</v>
      </c>
      <c r="G2275" s="133">
        <f>Tabla147[[#This Row],[Importe]]-Tabla147[[#This Row],[Pagado]]</f>
        <v>0</v>
      </c>
      <c r="H2275" s="134" t="s">
        <v>10</v>
      </c>
      <c r="I2275" s="135"/>
    </row>
    <row r="2276" spans="1:9" ht="21.75" customHeight="1" x14ac:dyDescent="0.25">
      <c r="A2276" s="127">
        <v>44733</v>
      </c>
      <c r="B2276" s="128" t="s">
        <v>20154</v>
      </c>
      <c r="C2276" s="129" t="s">
        <v>105</v>
      </c>
      <c r="D2276" s="130">
        <v>14501.4</v>
      </c>
      <c r="E2276" s="131">
        <v>44735</v>
      </c>
      <c r="F2276" s="132">
        <v>14501.4</v>
      </c>
      <c r="G2276" s="133">
        <f>Tabla147[[#This Row],[Importe]]-Tabla147[[#This Row],[Pagado]]</f>
        <v>0</v>
      </c>
      <c r="H2276" s="134" t="s">
        <v>10</v>
      </c>
      <c r="I2276" s="135"/>
    </row>
    <row r="2277" spans="1:9" ht="21.75" customHeight="1" x14ac:dyDescent="0.25">
      <c r="A2277" s="127">
        <v>44733</v>
      </c>
      <c r="B2277" s="128" t="s">
        <v>20155</v>
      </c>
      <c r="C2277" s="129" t="s">
        <v>2563</v>
      </c>
      <c r="D2277" s="130">
        <v>5090.2</v>
      </c>
      <c r="E2277" s="131">
        <v>44734</v>
      </c>
      <c r="F2277" s="132">
        <v>5090.2</v>
      </c>
      <c r="G2277" s="133">
        <f>Tabla147[[#This Row],[Importe]]-Tabla147[[#This Row],[Pagado]]</f>
        <v>0</v>
      </c>
      <c r="H2277" s="134" t="s">
        <v>10</v>
      </c>
      <c r="I2277" s="135"/>
    </row>
    <row r="2278" spans="1:9" ht="21.75" customHeight="1" x14ac:dyDescent="0.25">
      <c r="A2278" s="127">
        <v>44733</v>
      </c>
      <c r="B2278" s="128" t="s">
        <v>20156</v>
      </c>
      <c r="C2278" s="129" t="s">
        <v>93</v>
      </c>
      <c r="D2278" s="130">
        <v>6510.8</v>
      </c>
      <c r="E2278" s="131">
        <v>44736</v>
      </c>
      <c r="F2278" s="132">
        <v>6510.8</v>
      </c>
      <c r="G2278" s="133">
        <f>Tabla147[[#This Row],[Importe]]-Tabla147[[#This Row],[Pagado]]</f>
        <v>0</v>
      </c>
      <c r="H2278" s="134" t="s">
        <v>10</v>
      </c>
      <c r="I2278" s="135"/>
    </row>
    <row r="2279" spans="1:9" ht="21.75" customHeight="1" x14ac:dyDescent="0.25">
      <c r="A2279" s="127">
        <v>44733</v>
      </c>
      <c r="B2279" s="128" t="s">
        <v>20157</v>
      </c>
      <c r="C2279" s="129" t="s">
        <v>64</v>
      </c>
      <c r="D2279" s="130">
        <v>4829.8</v>
      </c>
      <c r="E2279" s="131">
        <v>44734</v>
      </c>
      <c r="F2279" s="132">
        <v>4829.8</v>
      </c>
      <c r="G2279" s="133">
        <f>Tabla147[[#This Row],[Importe]]-Tabla147[[#This Row],[Pagado]]</f>
        <v>0</v>
      </c>
      <c r="H2279" s="134" t="s">
        <v>10</v>
      </c>
      <c r="I2279" s="135"/>
    </row>
    <row r="2280" spans="1:9" ht="21.75" customHeight="1" x14ac:dyDescent="0.25">
      <c r="A2280" s="127">
        <v>44733</v>
      </c>
      <c r="B2280" s="128" t="s">
        <v>20158</v>
      </c>
      <c r="C2280" s="129" t="s">
        <v>111</v>
      </c>
      <c r="D2280" s="130">
        <v>5280</v>
      </c>
      <c r="E2280" s="131">
        <v>44734</v>
      </c>
      <c r="F2280" s="132">
        <v>5280</v>
      </c>
      <c r="G2280" s="133">
        <f>Tabla147[[#This Row],[Importe]]-Tabla147[[#This Row],[Pagado]]</f>
        <v>0</v>
      </c>
      <c r="H2280" s="134" t="s">
        <v>10</v>
      </c>
      <c r="I2280" s="135"/>
    </row>
    <row r="2281" spans="1:9" ht="21.75" customHeight="1" x14ac:dyDescent="0.25">
      <c r="A2281" s="127">
        <v>44733</v>
      </c>
      <c r="B2281" s="128" t="s">
        <v>20159</v>
      </c>
      <c r="C2281" s="129" t="s">
        <v>39</v>
      </c>
      <c r="D2281" s="130">
        <v>4705.8</v>
      </c>
      <c r="E2281" s="131">
        <v>44734</v>
      </c>
      <c r="F2281" s="132">
        <v>4705.8</v>
      </c>
      <c r="G2281" s="133">
        <f>Tabla147[[#This Row],[Importe]]-Tabla147[[#This Row],[Pagado]]</f>
        <v>0</v>
      </c>
      <c r="H2281" s="134" t="s">
        <v>10</v>
      </c>
      <c r="I2281" s="135"/>
    </row>
    <row r="2282" spans="1:9" ht="21.75" customHeight="1" x14ac:dyDescent="0.25">
      <c r="A2282" s="127">
        <v>44733</v>
      </c>
      <c r="B2282" s="128" t="s">
        <v>20160</v>
      </c>
      <c r="C2282" s="129" t="s">
        <v>99</v>
      </c>
      <c r="D2282" s="130">
        <v>4980</v>
      </c>
      <c r="E2282" s="131">
        <v>44735</v>
      </c>
      <c r="F2282" s="132">
        <v>4980</v>
      </c>
      <c r="G2282" s="133">
        <f>Tabla147[[#This Row],[Importe]]-Tabla147[[#This Row],[Pagado]]</f>
        <v>0</v>
      </c>
      <c r="H2282" s="134" t="s">
        <v>10</v>
      </c>
      <c r="I2282" s="135"/>
    </row>
    <row r="2283" spans="1:9" ht="31.5" x14ac:dyDescent="0.25">
      <c r="A2283" s="127">
        <v>44733</v>
      </c>
      <c r="B2283" s="128" t="s">
        <v>20161</v>
      </c>
      <c r="C2283" s="129" t="s">
        <v>114</v>
      </c>
      <c r="D2283" s="130">
        <v>11111.5</v>
      </c>
      <c r="E2283" s="131" t="s">
        <v>20023</v>
      </c>
      <c r="F2283" s="132">
        <f>10000+1111.5</f>
        <v>11111.5</v>
      </c>
      <c r="G2283" s="133">
        <f>Tabla147[[#This Row],[Importe]]-Tabla147[[#This Row],[Pagado]]</f>
        <v>0</v>
      </c>
      <c r="H2283" s="134" t="s">
        <v>10</v>
      </c>
      <c r="I2283" s="135"/>
    </row>
    <row r="2284" spans="1:9" ht="21.75" customHeight="1" x14ac:dyDescent="0.25">
      <c r="A2284" s="127">
        <v>44733</v>
      </c>
      <c r="B2284" s="128" t="s">
        <v>20162</v>
      </c>
      <c r="C2284" s="129" t="s">
        <v>2151</v>
      </c>
      <c r="D2284" s="130">
        <v>19678.400000000001</v>
      </c>
      <c r="E2284" s="131">
        <v>44733</v>
      </c>
      <c r="F2284" s="132">
        <v>19678.400000000001</v>
      </c>
      <c r="G2284" s="133">
        <f>Tabla147[[#This Row],[Importe]]-Tabla147[[#This Row],[Pagado]]</f>
        <v>0</v>
      </c>
      <c r="H2284" s="134" t="s">
        <v>10</v>
      </c>
      <c r="I2284" s="135"/>
    </row>
    <row r="2285" spans="1:9" ht="21.75" customHeight="1" x14ac:dyDescent="0.25">
      <c r="A2285" s="127">
        <v>44733</v>
      </c>
      <c r="B2285" s="128" t="s">
        <v>20163</v>
      </c>
      <c r="C2285" s="129" t="s">
        <v>89</v>
      </c>
      <c r="D2285" s="130">
        <v>8817.9</v>
      </c>
      <c r="E2285" s="131">
        <v>44734</v>
      </c>
      <c r="F2285" s="132">
        <v>8817.9</v>
      </c>
      <c r="G2285" s="133">
        <f>Tabla147[[#This Row],[Importe]]-Tabla147[[#This Row],[Pagado]]</f>
        <v>0</v>
      </c>
      <c r="H2285" s="134" t="s">
        <v>10</v>
      </c>
      <c r="I2285" s="135"/>
    </row>
    <row r="2286" spans="1:9" ht="21.75" customHeight="1" x14ac:dyDescent="0.25">
      <c r="A2286" s="127">
        <v>44733</v>
      </c>
      <c r="B2286" s="128" t="s">
        <v>20164</v>
      </c>
      <c r="C2286" s="129" t="s">
        <v>348</v>
      </c>
      <c r="D2286" s="130">
        <v>4330</v>
      </c>
      <c r="E2286" s="131">
        <v>44733</v>
      </c>
      <c r="F2286" s="132">
        <v>4330</v>
      </c>
      <c r="G2286" s="133">
        <f>Tabla147[[#This Row],[Importe]]-Tabla147[[#This Row],[Pagado]]</f>
        <v>0</v>
      </c>
      <c r="H2286" s="134" t="s">
        <v>10</v>
      </c>
      <c r="I2286" s="135"/>
    </row>
    <row r="2287" spans="1:9" ht="21.75" customHeight="1" x14ac:dyDescent="0.25">
      <c r="A2287" s="127">
        <v>44733</v>
      </c>
      <c r="B2287" s="128" t="s">
        <v>20165</v>
      </c>
      <c r="C2287" s="129" t="s">
        <v>116</v>
      </c>
      <c r="D2287" s="130">
        <v>2900.9</v>
      </c>
      <c r="E2287" s="131">
        <v>44734</v>
      </c>
      <c r="F2287" s="132">
        <v>2900.9</v>
      </c>
      <c r="G2287" s="133">
        <f>Tabla147[[#This Row],[Importe]]-Tabla147[[#This Row],[Pagado]]</f>
        <v>0</v>
      </c>
      <c r="H2287" s="134" t="s">
        <v>10</v>
      </c>
      <c r="I2287" s="135"/>
    </row>
    <row r="2288" spans="1:9" ht="21.75" customHeight="1" x14ac:dyDescent="0.25">
      <c r="A2288" s="127">
        <v>44733</v>
      </c>
      <c r="B2288" s="128" t="s">
        <v>20166</v>
      </c>
      <c r="C2288" s="129" t="s">
        <v>9</v>
      </c>
      <c r="D2288" s="130">
        <v>8211.7999999999993</v>
      </c>
      <c r="E2288" s="131">
        <v>44733</v>
      </c>
      <c r="F2288" s="132">
        <v>8211.7999999999993</v>
      </c>
      <c r="G2288" s="133">
        <f>Tabla147[[#This Row],[Importe]]-Tabla147[[#This Row],[Pagado]]</f>
        <v>0</v>
      </c>
      <c r="H2288" s="134" t="s">
        <v>10</v>
      </c>
      <c r="I2288" s="135"/>
    </row>
    <row r="2289" spans="1:9" ht="21.75" customHeight="1" x14ac:dyDescent="0.25">
      <c r="A2289" s="127">
        <v>44733</v>
      </c>
      <c r="B2289" s="128" t="s">
        <v>20167</v>
      </c>
      <c r="C2289" s="129" t="s">
        <v>131</v>
      </c>
      <c r="D2289" s="130">
        <v>5695.2</v>
      </c>
      <c r="E2289" s="131">
        <v>44733</v>
      </c>
      <c r="F2289" s="132">
        <v>5695.2</v>
      </c>
      <c r="G2289" s="133">
        <f>Tabla147[[#This Row],[Importe]]-Tabla147[[#This Row],[Pagado]]</f>
        <v>0</v>
      </c>
      <c r="H2289" s="134" t="s">
        <v>10</v>
      </c>
      <c r="I2289" s="135"/>
    </row>
    <row r="2290" spans="1:9" ht="21.75" customHeight="1" x14ac:dyDescent="0.25">
      <c r="A2290" s="127">
        <v>44733</v>
      </c>
      <c r="B2290" s="128" t="s">
        <v>20168</v>
      </c>
      <c r="C2290" s="129" t="s">
        <v>22</v>
      </c>
      <c r="D2290" s="130">
        <v>29561.3</v>
      </c>
      <c r="E2290" s="131">
        <v>44734</v>
      </c>
      <c r="F2290" s="132">
        <v>29561.3</v>
      </c>
      <c r="G2290" s="133">
        <f>Tabla147[[#This Row],[Importe]]-Tabla147[[#This Row],[Pagado]]</f>
        <v>0</v>
      </c>
      <c r="H2290" s="134" t="s">
        <v>10</v>
      </c>
      <c r="I2290" s="135"/>
    </row>
    <row r="2291" spans="1:9" ht="21.75" customHeight="1" x14ac:dyDescent="0.25">
      <c r="A2291" s="127">
        <v>44733</v>
      </c>
      <c r="B2291" s="128" t="s">
        <v>20169</v>
      </c>
      <c r="C2291" s="129" t="s">
        <v>140</v>
      </c>
      <c r="D2291" s="130">
        <v>865</v>
      </c>
      <c r="E2291" s="131">
        <v>44733</v>
      </c>
      <c r="F2291" s="132">
        <v>865</v>
      </c>
      <c r="G2291" s="133">
        <f>Tabla147[[#This Row],[Importe]]-Tabla147[[#This Row],[Pagado]]</f>
        <v>0</v>
      </c>
      <c r="H2291" s="134" t="s">
        <v>10</v>
      </c>
      <c r="I2291" s="135"/>
    </row>
    <row r="2292" spans="1:9" ht="21.75" customHeight="1" x14ac:dyDescent="0.25">
      <c r="A2292" s="127">
        <v>44733</v>
      </c>
      <c r="B2292" s="128" t="s">
        <v>20170</v>
      </c>
      <c r="C2292" s="129" t="s">
        <v>339</v>
      </c>
      <c r="D2292" s="130">
        <v>606.79999999999995</v>
      </c>
      <c r="E2292" s="131">
        <v>44733</v>
      </c>
      <c r="F2292" s="132">
        <v>606.79999999999995</v>
      </c>
      <c r="G2292" s="133">
        <f>Tabla147[[#This Row],[Importe]]-Tabla147[[#This Row],[Pagado]]</f>
        <v>0</v>
      </c>
      <c r="H2292" s="134" t="s">
        <v>10</v>
      </c>
      <c r="I2292" s="135"/>
    </row>
    <row r="2293" spans="1:9" ht="21.75" customHeight="1" x14ac:dyDescent="0.25">
      <c r="A2293" s="127">
        <v>44733</v>
      </c>
      <c r="B2293" s="128" t="s">
        <v>20171</v>
      </c>
      <c r="C2293" s="129" t="s">
        <v>3691</v>
      </c>
      <c r="D2293" s="130">
        <v>0</v>
      </c>
      <c r="E2293" s="136" t="s">
        <v>189</v>
      </c>
      <c r="F2293" s="132">
        <v>0</v>
      </c>
      <c r="G2293" s="133">
        <f>Tabla147[[#This Row],[Importe]]-Tabla147[[#This Row],[Pagado]]</f>
        <v>0</v>
      </c>
      <c r="H2293" s="137" t="s">
        <v>20172</v>
      </c>
      <c r="I2293" s="135"/>
    </row>
    <row r="2294" spans="1:9" ht="21.75" customHeight="1" x14ac:dyDescent="0.25">
      <c r="A2294" s="127">
        <v>44733</v>
      </c>
      <c r="B2294" s="128" t="s">
        <v>20173</v>
      </c>
      <c r="C2294" s="129" t="s">
        <v>135</v>
      </c>
      <c r="D2294" s="130">
        <v>1426.3</v>
      </c>
      <c r="E2294" s="131">
        <v>44733</v>
      </c>
      <c r="F2294" s="132">
        <v>1426.3</v>
      </c>
      <c r="G2294" s="133">
        <f>Tabla147[[#This Row],[Importe]]-Tabla147[[#This Row],[Pagado]]</f>
        <v>0</v>
      </c>
      <c r="H2294" s="134" t="s">
        <v>10</v>
      </c>
      <c r="I2294" s="135"/>
    </row>
    <row r="2295" spans="1:9" ht="21.75" customHeight="1" x14ac:dyDescent="0.25">
      <c r="A2295" s="127">
        <v>44733</v>
      </c>
      <c r="B2295" s="128" t="s">
        <v>20174</v>
      </c>
      <c r="C2295" s="129" t="s">
        <v>414</v>
      </c>
      <c r="D2295" s="130">
        <v>20100</v>
      </c>
      <c r="E2295" s="131">
        <v>44748</v>
      </c>
      <c r="F2295" s="132">
        <v>20100</v>
      </c>
      <c r="G2295" s="133">
        <f>Tabla147[[#This Row],[Importe]]-Tabla147[[#This Row],[Pagado]]</f>
        <v>0</v>
      </c>
      <c r="H2295" s="134" t="s">
        <v>10</v>
      </c>
      <c r="I2295" s="135"/>
    </row>
    <row r="2296" spans="1:9" ht="21.75" customHeight="1" x14ac:dyDescent="0.25">
      <c r="A2296" s="127">
        <v>44733</v>
      </c>
      <c r="B2296" s="128" t="s">
        <v>20175</v>
      </c>
      <c r="C2296" s="129" t="s">
        <v>407</v>
      </c>
      <c r="D2296" s="130">
        <v>9255.2000000000007</v>
      </c>
      <c r="E2296" s="131">
        <v>44738</v>
      </c>
      <c r="F2296" s="132">
        <v>9255.2000000000007</v>
      </c>
      <c r="G2296" s="133">
        <f>Tabla147[[#This Row],[Importe]]-Tabla147[[#This Row],[Pagado]]</f>
        <v>0</v>
      </c>
      <c r="H2296" s="134" t="s">
        <v>10</v>
      </c>
      <c r="I2296" s="135"/>
    </row>
    <row r="2297" spans="1:9" ht="21.75" customHeight="1" x14ac:dyDescent="0.25">
      <c r="A2297" s="127">
        <v>44733</v>
      </c>
      <c r="B2297" s="128" t="s">
        <v>20176</v>
      </c>
      <c r="C2297" s="129" t="s">
        <v>12716</v>
      </c>
      <c r="D2297" s="130">
        <v>0</v>
      </c>
      <c r="E2297" s="136" t="s">
        <v>189</v>
      </c>
      <c r="F2297" s="132">
        <v>0</v>
      </c>
      <c r="G2297" s="133">
        <f>Tabla147[[#This Row],[Importe]]-Tabla147[[#This Row],[Pagado]]</f>
        <v>0</v>
      </c>
      <c r="H2297" s="137" t="s">
        <v>20177</v>
      </c>
      <c r="I2297" s="135"/>
    </row>
    <row r="2298" spans="1:9" ht="21.75" customHeight="1" x14ac:dyDescent="0.25">
      <c r="A2298" s="127">
        <v>44733</v>
      </c>
      <c r="B2298" s="128" t="s">
        <v>20178</v>
      </c>
      <c r="C2298" s="129" t="s">
        <v>924</v>
      </c>
      <c r="D2298" s="130">
        <v>12294.6</v>
      </c>
      <c r="E2298" s="131">
        <v>44733</v>
      </c>
      <c r="F2298" s="132">
        <v>12294.6</v>
      </c>
      <c r="G2298" s="133">
        <f>Tabla147[[#This Row],[Importe]]-Tabla147[[#This Row],[Pagado]]</f>
        <v>0</v>
      </c>
      <c r="H2298" s="134" t="s">
        <v>10</v>
      </c>
      <c r="I2298" s="135"/>
    </row>
    <row r="2299" spans="1:9" ht="21.75" customHeight="1" x14ac:dyDescent="0.25">
      <c r="A2299" s="127">
        <v>44733</v>
      </c>
      <c r="B2299" s="128" t="s">
        <v>20179</v>
      </c>
      <c r="C2299" s="129" t="s">
        <v>1239</v>
      </c>
      <c r="D2299" s="130">
        <v>23413.16</v>
      </c>
      <c r="E2299" s="131">
        <v>44733</v>
      </c>
      <c r="F2299" s="132">
        <v>23413.16</v>
      </c>
      <c r="G2299" s="133">
        <f>Tabla147[[#This Row],[Importe]]-Tabla147[[#This Row],[Pagado]]</f>
        <v>0</v>
      </c>
      <c r="H2299" s="134" t="s">
        <v>10</v>
      </c>
      <c r="I2299" s="135"/>
    </row>
    <row r="2300" spans="1:9" ht="21.75" customHeight="1" x14ac:dyDescent="0.25">
      <c r="A2300" s="127">
        <v>44733</v>
      </c>
      <c r="B2300" s="128" t="s">
        <v>20180</v>
      </c>
      <c r="C2300" s="129" t="s">
        <v>16</v>
      </c>
      <c r="D2300" s="130">
        <v>5887.1</v>
      </c>
      <c r="E2300" s="131">
        <v>44733</v>
      </c>
      <c r="F2300" s="132">
        <v>5887.1</v>
      </c>
      <c r="G2300" s="133">
        <f>Tabla147[[#This Row],[Importe]]-Tabla147[[#This Row],[Pagado]]</f>
        <v>0</v>
      </c>
      <c r="H2300" s="134" t="s">
        <v>10</v>
      </c>
      <c r="I2300" s="135"/>
    </row>
    <row r="2301" spans="1:9" ht="21.75" customHeight="1" x14ac:dyDescent="0.25">
      <c r="A2301" s="127">
        <v>44733</v>
      </c>
      <c r="B2301" s="128" t="s">
        <v>20181</v>
      </c>
      <c r="C2301" s="129" t="s">
        <v>20182</v>
      </c>
      <c r="D2301" s="130">
        <v>0</v>
      </c>
      <c r="E2301" s="136" t="s">
        <v>189</v>
      </c>
      <c r="F2301" s="132">
        <v>0</v>
      </c>
      <c r="G2301" s="133">
        <f>Tabla147[[#This Row],[Importe]]-Tabla147[[#This Row],[Pagado]]</f>
        <v>0</v>
      </c>
      <c r="H2301" s="137" t="s">
        <v>20183</v>
      </c>
      <c r="I2301" s="135"/>
    </row>
    <row r="2302" spans="1:9" ht="21.75" customHeight="1" x14ac:dyDescent="0.25">
      <c r="A2302" s="127">
        <v>44733</v>
      </c>
      <c r="B2302" s="128" t="s">
        <v>20184</v>
      </c>
      <c r="C2302" s="129" t="s">
        <v>11033</v>
      </c>
      <c r="D2302" s="130">
        <v>4011.2</v>
      </c>
      <c r="E2302" s="131">
        <v>44733</v>
      </c>
      <c r="F2302" s="132">
        <v>4011.2</v>
      </c>
      <c r="G2302" s="133">
        <f>Tabla147[[#This Row],[Importe]]-Tabla147[[#This Row],[Pagado]]</f>
        <v>0</v>
      </c>
      <c r="H2302" s="134" t="s">
        <v>10</v>
      </c>
      <c r="I2302" s="135"/>
    </row>
    <row r="2303" spans="1:9" ht="21.75" customHeight="1" x14ac:dyDescent="0.25">
      <c r="A2303" s="127">
        <v>44733</v>
      </c>
      <c r="B2303" s="128" t="s">
        <v>20185</v>
      </c>
      <c r="C2303" s="129" t="s">
        <v>107</v>
      </c>
      <c r="D2303" s="130">
        <v>11063.2</v>
      </c>
      <c r="E2303" s="131">
        <v>44733</v>
      </c>
      <c r="F2303" s="132">
        <v>11063.2</v>
      </c>
      <c r="G2303" s="133">
        <f>Tabla147[[#This Row],[Importe]]-Tabla147[[#This Row],[Pagado]]</f>
        <v>0</v>
      </c>
      <c r="H2303" s="134" t="s">
        <v>10</v>
      </c>
      <c r="I2303" s="135"/>
    </row>
    <row r="2304" spans="1:9" ht="21.75" customHeight="1" x14ac:dyDescent="0.25">
      <c r="A2304" s="127">
        <v>44733</v>
      </c>
      <c r="B2304" s="128" t="s">
        <v>20186</v>
      </c>
      <c r="C2304" s="129" t="s">
        <v>12202</v>
      </c>
      <c r="D2304" s="130">
        <v>3120</v>
      </c>
      <c r="E2304" s="131">
        <v>44733</v>
      </c>
      <c r="F2304" s="132">
        <v>3120</v>
      </c>
      <c r="G2304" s="133">
        <f>Tabla147[[#This Row],[Importe]]-Tabla147[[#This Row],[Pagado]]</f>
        <v>0</v>
      </c>
      <c r="H2304" s="134" t="s">
        <v>10</v>
      </c>
      <c r="I2304" s="135"/>
    </row>
    <row r="2305" spans="1:9" ht="21.75" customHeight="1" x14ac:dyDescent="0.25">
      <c r="A2305" s="127">
        <v>44733</v>
      </c>
      <c r="B2305" s="128" t="s">
        <v>20187</v>
      </c>
      <c r="C2305" s="129" t="s">
        <v>146</v>
      </c>
      <c r="D2305" s="130">
        <v>2817.8</v>
      </c>
      <c r="E2305" s="131">
        <v>44733</v>
      </c>
      <c r="F2305" s="132">
        <v>2817.8</v>
      </c>
      <c r="G2305" s="133">
        <f>Tabla147[[#This Row],[Importe]]-Tabla147[[#This Row],[Pagado]]</f>
        <v>0</v>
      </c>
      <c r="H2305" s="134" t="s">
        <v>10</v>
      </c>
      <c r="I2305" s="135"/>
    </row>
    <row r="2306" spans="1:9" ht="21.75" customHeight="1" x14ac:dyDescent="0.25">
      <c r="A2306" s="127">
        <v>44733</v>
      </c>
      <c r="B2306" s="128" t="s">
        <v>20188</v>
      </c>
      <c r="C2306" s="129" t="s">
        <v>27</v>
      </c>
      <c r="D2306" s="130">
        <v>1697.8</v>
      </c>
      <c r="E2306" s="131">
        <v>44733</v>
      </c>
      <c r="F2306" s="132">
        <v>1697.8</v>
      </c>
      <c r="G2306" s="133">
        <f>Tabla147[[#This Row],[Importe]]-Tabla147[[#This Row],[Pagado]]</f>
        <v>0</v>
      </c>
      <c r="H2306" s="134" t="s">
        <v>10</v>
      </c>
      <c r="I2306" s="135"/>
    </row>
    <row r="2307" spans="1:9" ht="21.75" customHeight="1" x14ac:dyDescent="0.25">
      <c r="A2307" s="127">
        <v>44733</v>
      </c>
      <c r="B2307" s="128" t="s">
        <v>20189</v>
      </c>
      <c r="C2307" s="129" t="s">
        <v>53</v>
      </c>
      <c r="D2307" s="130">
        <v>1961</v>
      </c>
      <c r="E2307" s="131">
        <v>44733</v>
      </c>
      <c r="F2307" s="132">
        <v>1961</v>
      </c>
      <c r="G2307" s="133">
        <f>Tabla147[[#This Row],[Importe]]-Tabla147[[#This Row],[Pagado]]</f>
        <v>0</v>
      </c>
      <c r="H2307" s="134" t="s">
        <v>10</v>
      </c>
      <c r="I2307" s="135"/>
    </row>
    <row r="2308" spans="1:9" ht="21.75" customHeight="1" x14ac:dyDescent="0.25">
      <c r="A2308" s="127">
        <v>44733</v>
      </c>
      <c r="B2308" s="128" t="s">
        <v>20190</v>
      </c>
      <c r="C2308" s="129" t="s">
        <v>75</v>
      </c>
      <c r="D2308" s="130">
        <v>6890.4</v>
      </c>
      <c r="E2308" s="131">
        <v>44733</v>
      </c>
      <c r="F2308" s="132">
        <v>6890.4</v>
      </c>
      <c r="G2308" s="133">
        <f>Tabla147[[#This Row],[Importe]]-Tabla147[[#This Row],[Pagado]]</f>
        <v>0</v>
      </c>
      <c r="H2308" s="134" t="s">
        <v>10</v>
      </c>
      <c r="I2308" s="135"/>
    </row>
    <row r="2309" spans="1:9" ht="21.75" customHeight="1" x14ac:dyDescent="0.25">
      <c r="A2309" s="127">
        <v>44733</v>
      </c>
      <c r="B2309" s="128" t="s">
        <v>20191</v>
      </c>
      <c r="C2309" s="129" t="s">
        <v>473</v>
      </c>
      <c r="D2309" s="130">
        <v>4566.1000000000004</v>
      </c>
      <c r="E2309" s="131">
        <v>44733</v>
      </c>
      <c r="F2309" s="132">
        <v>4566.1000000000004</v>
      </c>
      <c r="G2309" s="133">
        <f>Tabla147[[#This Row],[Importe]]-Tabla147[[#This Row],[Pagado]]</f>
        <v>0</v>
      </c>
      <c r="H2309" s="134" t="s">
        <v>10</v>
      </c>
      <c r="I2309" s="135"/>
    </row>
    <row r="2310" spans="1:9" ht="21.75" customHeight="1" x14ac:dyDescent="0.25">
      <c r="A2310" s="127">
        <v>44733</v>
      </c>
      <c r="B2310" s="128" t="s">
        <v>20192</v>
      </c>
      <c r="C2310" s="129" t="s">
        <v>161</v>
      </c>
      <c r="D2310" s="130">
        <v>4742.8</v>
      </c>
      <c r="E2310" s="131">
        <v>44733</v>
      </c>
      <c r="F2310" s="132">
        <v>4742.8</v>
      </c>
      <c r="G2310" s="133">
        <f>Tabla147[[#This Row],[Importe]]-Tabla147[[#This Row],[Pagado]]</f>
        <v>0</v>
      </c>
      <c r="H2310" s="134" t="s">
        <v>10</v>
      </c>
      <c r="I2310" s="135"/>
    </row>
    <row r="2311" spans="1:9" ht="21.75" customHeight="1" x14ac:dyDescent="0.25">
      <c r="A2311" s="127">
        <v>44733</v>
      </c>
      <c r="B2311" s="128" t="s">
        <v>20193</v>
      </c>
      <c r="C2311" s="129" t="s">
        <v>56</v>
      </c>
      <c r="D2311" s="130">
        <v>5947.5</v>
      </c>
      <c r="E2311" s="131">
        <v>44733</v>
      </c>
      <c r="F2311" s="132">
        <v>5947.5</v>
      </c>
      <c r="G2311" s="133">
        <f>Tabla147[[#This Row],[Importe]]-Tabla147[[#This Row],[Pagado]]</f>
        <v>0</v>
      </c>
      <c r="H2311" s="134" t="s">
        <v>10</v>
      </c>
      <c r="I2311" s="135"/>
    </row>
    <row r="2312" spans="1:9" ht="21.75" customHeight="1" x14ac:dyDescent="0.25">
      <c r="A2312" s="127">
        <v>44733</v>
      </c>
      <c r="B2312" s="128" t="s">
        <v>20194</v>
      </c>
      <c r="C2312" s="129" t="s">
        <v>670</v>
      </c>
      <c r="D2312" s="130">
        <v>2265.6</v>
      </c>
      <c r="E2312" s="131">
        <v>44733</v>
      </c>
      <c r="F2312" s="132">
        <v>2265.6</v>
      </c>
      <c r="G2312" s="133">
        <f>Tabla147[[#This Row],[Importe]]-Tabla147[[#This Row],[Pagado]]</f>
        <v>0</v>
      </c>
      <c r="H2312" s="134" t="s">
        <v>10</v>
      </c>
      <c r="I2312" s="135"/>
    </row>
    <row r="2313" spans="1:9" ht="21.75" customHeight="1" x14ac:dyDescent="0.25">
      <c r="A2313" s="127">
        <v>44733</v>
      </c>
      <c r="B2313" s="128" t="s">
        <v>20195</v>
      </c>
      <c r="C2313" s="129" t="s">
        <v>142</v>
      </c>
      <c r="D2313" s="130">
        <v>66413.16</v>
      </c>
      <c r="E2313" s="131">
        <v>44769</v>
      </c>
      <c r="F2313" s="132">
        <v>66413.16</v>
      </c>
      <c r="G2313" s="133">
        <f>Tabla147[[#This Row],[Importe]]-Tabla147[[#This Row],[Pagado]]</f>
        <v>0</v>
      </c>
      <c r="H2313" s="134" t="s">
        <v>10</v>
      </c>
      <c r="I2313" s="135"/>
    </row>
    <row r="2314" spans="1:9" ht="21.75" customHeight="1" x14ac:dyDescent="0.25">
      <c r="A2314" s="127">
        <v>44733</v>
      </c>
      <c r="B2314" s="128" t="s">
        <v>20196</v>
      </c>
      <c r="C2314" s="129" t="s">
        <v>314</v>
      </c>
      <c r="D2314" s="130">
        <v>2361.6</v>
      </c>
      <c r="E2314" s="131">
        <v>44733</v>
      </c>
      <c r="F2314" s="132">
        <v>2361.6</v>
      </c>
      <c r="G2314" s="133">
        <f>Tabla147[[#This Row],[Importe]]-Tabla147[[#This Row],[Pagado]]</f>
        <v>0</v>
      </c>
      <c r="H2314" s="134" t="s">
        <v>10</v>
      </c>
      <c r="I2314" s="135"/>
    </row>
    <row r="2315" spans="1:9" ht="21.75" customHeight="1" x14ac:dyDescent="0.25">
      <c r="A2315" s="127">
        <v>44733</v>
      </c>
      <c r="B2315" s="128" t="s">
        <v>20197</v>
      </c>
      <c r="C2315" s="129" t="s">
        <v>87</v>
      </c>
      <c r="D2315" s="130">
        <v>2340</v>
      </c>
      <c r="E2315" s="131">
        <v>44733</v>
      </c>
      <c r="F2315" s="132">
        <v>2340</v>
      </c>
      <c r="G2315" s="133">
        <f>Tabla147[[#This Row],[Importe]]-Tabla147[[#This Row],[Pagado]]</f>
        <v>0</v>
      </c>
      <c r="H2315" s="134" t="s">
        <v>10</v>
      </c>
      <c r="I2315" s="135"/>
    </row>
    <row r="2316" spans="1:9" ht="21.75" customHeight="1" x14ac:dyDescent="0.25">
      <c r="A2316" s="127">
        <v>44733</v>
      </c>
      <c r="B2316" s="128" t="s">
        <v>20198</v>
      </c>
      <c r="C2316" s="129" t="s">
        <v>45</v>
      </c>
      <c r="D2316" s="130">
        <v>7774.5</v>
      </c>
      <c r="E2316" s="131">
        <v>44733</v>
      </c>
      <c r="F2316" s="132">
        <v>7774.5</v>
      </c>
      <c r="G2316" s="133">
        <f>Tabla147[[#This Row],[Importe]]-Tabla147[[#This Row],[Pagado]]</f>
        <v>0</v>
      </c>
      <c r="H2316" s="134" t="s">
        <v>10</v>
      </c>
      <c r="I2316" s="135"/>
    </row>
    <row r="2317" spans="1:9" ht="21.75" customHeight="1" x14ac:dyDescent="0.25">
      <c r="A2317" s="127">
        <v>44733</v>
      </c>
      <c r="B2317" s="128" t="s">
        <v>20199</v>
      </c>
      <c r="C2317" s="129" t="s">
        <v>1302</v>
      </c>
      <c r="D2317" s="130">
        <v>10020.6</v>
      </c>
      <c r="E2317" s="131">
        <v>44733</v>
      </c>
      <c r="F2317" s="132">
        <v>10020.6</v>
      </c>
      <c r="G2317" s="133">
        <f>Tabla147[[#This Row],[Importe]]-Tabla147[[#This Row],[Pagado]]</f>
        <v>0</v>
      </c>
      <c r="H2317" s="134" t="s">
        <v>10</v>
      </c>
      <c r="I2317" s="135"/>
    </row>
    <row r="2318" spans="1:9" ht="21.75" customHeight="1" x14ac:dyDescent="0.25">
      <c r="A2318" s="127">
        <v>44733</v>
      </c>
      <c r="B2318" s="128" t="s">
        <v>20200</v>
      </c>
      <c r="C2318" s="129" t="s">
        <v>49</v>
      </c>
      <c r="D2318" s="130">
        <v>5188.5</v>
      </c>
      <c r="E2318" s="131">
        <v>44733</v>
      </c>
      <c r="F2318" s="132">
        <v>5188.5</v>
      </c>
      <c r="G2318" s="133">
        <f>Tabla147[[#This Row],[Importe]]-Tabla147[[#This Row],[Pagado]]</f>
        <v>0</v>
      </c>
      <c r="H2318" s="134" t="s">
        <v>10</v>
      </c>
      <c r="I2318" s="135"/>
    </row>
    <row r="2319" spans="1:9" ht="21.75" customHeight="1" x14ac:dyDescent="0.25">
      <c r="A2319" s="127">
        <v>44733</v>
      </c>
      <c r="B2319" s="128" t="s">
        <v>20201</v>
      </c>
      <c r="C2319" s="129" t="s">
        <v>127</v>
      </c>
      <c r="D2319" s="130">
        <v>4946.3999999999996</v>
      </c>
      <c r="E2319" s="131">
        <v>44733</v>
      </c>
      <c r="F2319" s="132">
        <v>4946.3999999999996</v>
      </c>
      <c r="G2319" s="133">
        <f>Tabla147[[#This Row],[Importe]]-Tabla147[[#This Row],[Pagado]]</f>
        <v>0</v>
      </c>
      <c r="H2319" s="134" t="s">
        <v>10</v>
      </c>
      <c r="I2319" s="135"/>
    </row>
    <row r="2320" spans="1:9" ht="21.75" customHeight="1" x14ac:dyDescent="0.25">
      <c r="A2320" s="127">
        <v>44733</v>
      </c>
      <c r="B2320" s="128" t="s">
        <v>20202</v>
      </c>
      <c r="C2320" s="129" t="s">
        <v>357</v>
      </c>
      <c r="D2320" s="130">
        <v>4550.3999999999996</v>
      </c>
      <c r="E2320" s="131">
        <v>44733</v>
      </c>
      <c r="F2320" s="132">
        <v>4550.3999999999996</v>
      </c>
      <c r="G2320" s="133">
        <f>Tabla147[[#This Row],[Importe]]-Tabla147[[#This Row],[Pagado]]</f>
        <v>0</v>
      </c>
      <c r="H2320" s="134" t="s">
        <v>10</v>
      </c>
      <c r="I2320" s="135"/>
    </row>
    <row r="2321" spans="1:9" ht="21.75" customHeight="1" x14ac:dyDescent="0.25">
      <c r="A2321" s="127">
        <v>44733</v>
      </c>
      <c r="B2321" s="128" t="s">
        <v>20203</v>
      </c>
      <c r="C2321" s="129" t="s">
        <v>804</v>
      </c>
      <c r="D2321" s="130">
        <v>18225.599999999999</v>
      </c>
      <c r="E2321" s="131">
        <v>44733</v>
      </c>
      <c r="F2321" s="132">
        <v>18225.599999999999</v>
      </c>
      <c r="G2321" s="133">
        <f>Tabla147[[#This Row],[Importe]]-Tabla147[[#This Row],[Pagado]]</f>
        <v>0</v>
      </c>
      <c r="H2321" s="134" t="s">
        <v>10</v>
      </c>
      <c r="I2321" s="135"/>
    </row>
    <row r="2322" spans="1:9" ht="21.75" customHeight="1" x14ac:dyDescent="0.25">
      <c r="A2322" s="127">
        <v>44733</v>
      </c>
      <c r="B2322" s="128" t="s">
        <v>20204</v>
      </c>
      <c r="C2322" s="129" t="s">
        <v>151</v>
      </c>
      <c r="D2322" s="130">
        <v>18242.240000000002</v>
      </c>
      <c r="E2322" s="131">
        <v>44733</v>
      </c>
      <c r="F2322" s="132">
        <v>18242.240000000002</v>
      </c>
      <c r="G2322" s="133">
        <f>Tabla147[[#This Row],[Importe]]-Tabla147[[#This Row],[Pagado]]</f>
        <v>0</v>
      </c>
      <c r="H2322" s="134" t="s">
        <v>10</v>
      </c>
      <c r="I2322" s="135"/>
    </row>
    <row r="2323" spans="1:9" ht="21.75" customHeight="1" x14ac:dyDescent="0.25">
      <c r="A2323" s="127">
        <v>44733</v>
      </c>
      <c r="B2323" s="128" t="s">
        <v>20205</v>
      </c>
      <c r="C2323" s="129" t="s">
        <v>466</v>
      </c>
      <c r="D2323" s="130">
        <v>20480</v>
      </c>
      <c r="E2323" s="131">
        <v>44733</v>
      </c>
      <c r="F2323" s="132">
        <v>20480</v>
      </c>
      <c r="G2323" s="133">
        <f>Tabla147[[#This Row],[Importe]]-Tabla147[[#This Row],[Pagado]]</f>
        <v>0</v>
      </c>
      <c r="H2323" s="134" t="s">
        <v>10</v>
      </c>
      <c r="I2323" s="135"/>
    </row>
    <row r="2324" spans="1:9" ht="21.75" customHeight="1" x14ac:dyDescent="0.25">
      <c r="A2324" s="127">
        <v>44733</v>
      </c>
      <c r="B2324" s="128" t="s">
        <v>20206</v>
      </c>
      <c r="C2324" s="129" t="s">
        <v>520</v>
      </c>
      <c r="D2324" s="130">
        <v>12549.8</v>
      </c>
      <c r="E2324" s="131">
        <v>44733</v>
      </c>
      <c r="F2324" s="132">
        <v>12549.8</v>
      </c>
      <c r="G2324" s="133">
        <f>Tabla147[[#This Row],[Importe]]-Tabla147[[#This Row],[Pagado]]</f>
        <v>0</v>
      </c>
      <c r="H2324" s="134" t="s">
        <v>10</v>
      </c>
      <c r="I2324" s="135"/>
    </row>
    <row r="2325" spans="1:9" ht="21.75" customHeight="1" x14ac:dyDescent="0.25">
      <c r="A2325" s="127">
        <v>44733</v>
      </c>
      <c r="B2325" s="128" t="s">
        <v>20207</v>
      </c>
      <c r="C2325" s="129" t="s">
        <v>296</v>
      </c>
      <c r="D2325" s="130">
        <v>616.4</v>
      </c>
      <c r="E2325" s="131">
        <v>44733</v>
      </c>
      <c r="F2325" s="132">
        <v>616.4</v>
      </c>
      <c r="G2325" s="133">
        <f>Tabla147[[#This Row],[Importe]]-Tabla147[[#This Row],[Pagado]]</f>
        <v>0</v>
      </c>
      <c r="H2325" s="134" t="s">
        <v>10</v>
      </c>
      <c r="I2325" s="135"/>
    </row>
    <row r="2326" spans="1:9" ht="21.75" customHeight="1" x14ac:dyDescent="0.25">
      <c r="A2326" s="127">
        <v>44733</v>
      </c>
      <c r="B2326" s="128" t="s">
        <v>20208</v>
      </c>
      <c r="C2326" s="129" t="s">
        <v>319</v>
      </c>
      <c r="D2326" s="130">
        <v>10579.1</v>
      </c>
      <c r="E2326" s="131">
        <v>44733</v>
      </c>
      <c r="F2326" s="132">
        <v>10579.1</v>
      </c>
      <c r="G2326" s="133">
        <f>Tabla147[[#This Row],[Importe]]-Tabla147[[#This Row],[Pagado]]</f>
        <v>0</v>
      </c>
      <c r="H2326" s="134" t="s">
        <v>10</v>
      </c>
      <c r="I2326" s="135"/>
    </row>
    <row r="2327" spans="1:9" ht="21.75" customHeight="1" x14ac:dyDescent="0.25">
      <c r="A2327" s="127">
        <v>44733</v>
      </c>
      <c r="B2327" s="128" t="s">
        <v>20209</v>
      </c>
      <c r="C2327" s="129" t="s">
        <v>845</v>
      </c>
      <c r="D2327" s="130">
        <v>1007.5</v>
      </c>
      <c r="E2327" s="131">
        <v>44733</v>
      </c>
      <c r="F2327" s="132">
        <v>1007.5</v>
      </c>
      <c r="G2327" s="133">
        <f>Tabla147[[#This Row],[Importe]]-Tabla147[[#This Row],[Pagado]]</f>
        <v>0</v>
      </c>
      <c r="H2327" s="134" t="s">
        <v>10</v>
      </c>
      <c r="I2327" s="135"/>
    </row>
    <row r="2328" spans="1:9" ht="21.75" customHeight="1" x14ac:dyDescent="0.25">
      <c r="A2328" s="127">
        <v>44733</v>
      </c>
      <c r="B2328" s="128" t="s">
        <v>20210</v>
      </c>
      <c r="C2328" s="129" t="s">
        <v>159</v>
      </c>
      <c r="D2328" s="130">
        <v>3552.2</v>
      </c>
      <c r="E2328" s="131">
        <v>44733</v>
      </c>
      <c r="F2328" s="132">
        <v>3552.2</v>
      </c>
      <c r="G2328" s="133">
        <f>Tabla147[[#This Row],[Importe]]-Tabla147[[#This Row],[Pagado]]</f>
        <v>0</v>
      </c>
      <c r="H2328" s="134" t="s">
        <v>10</v>
      </c>
      <c r="I2328" s="135"/>
    </row>
    <row r="2329" spans="1:9" ht="21.75" customHeight="1" x14ac:dyDescent="0.25">
      <c r="A2329" s="127">
        <v>44733</v>
      </c>
      <c r="B2329" s="128" t="s">
        <v>20211</v>
      </c>
      <c r="C2329" s="129" t="s">
        <v>157</v>
      </c>
      <c r="D2329" s="130">
        <v>5309.7</v>
      </c>
      <c r="E2329" s="131">
        <v>44733</v>
      </c>
      <c r="F2329" s="132">
        <v>5309.7</v>
      </c>
      <c r="G2329" s="133">
        <f>Tabla147[[#This Row],[Importe]]-Tabla147[[#This Row],[Pagado]]</f>
        <v>0</v>
      </c>
      <c r="H2329" s="134" t="s">
        <v>10</v>
      </c>
      <c r="I2329" s="135"/>
    </row>
    <row r="2330" spans="1:9" ht="21.75" customHeight="1" x14ac:dyDescent="0.25">
      <c r="A2330" s="127">
        <v>44733</v>
      </c>
      <c r="B2330" s="128" t="s">
        <v>20212</v>
      </c>
      <c r="C2330" s="129" t="s">
        <v>3971</v>
      </c>
      <c r="D2330" s="130">
        <v>4536</v>
      </c>
      <c r="E2330" s="131">
        <v>44733</v>
      </c>
      <c r="F2330" s="132">
        <v>4536</v>
      </c>
      <c r="G2330" s="133">
        <f>Tabla147[[#This Row],[Importe]]-Tabla147[[#This Row],[Pagado]]</f>
        <v>0</v>
      </c>
      <c r="H2330" s="134" t="s">
        <v>10</v>
      </c>
      <c r="I2330" s="135"/>
    </row>
    <row r="2331" spans="1:9" ht="21.75" customHeight="1" x14ac:dyDescent="0.25">
      <c r="A2331" s="127">
        <v>44733</v>
      </c>
      <c r="B2331" s="128" t="s">
        <v>20213</v>
      </c>
      <c r="C2331" s="129" t="s">
        <v>840</v>
      </c>
      <c r="D2331" s="130">
        <v>23791.200000000001</v>
      </c>
      <c r="E2331" s="131">
        <v>44733</v>
      </c>
      <c r="F2331" s="132">
        <v>23791.200000000001</v>
      </c>
      <c r="G2331" s="133">
        <f>Tabla147[[#This Row],[Importe]]-Tabla147[[#This Row],[Pagado]]</f>
        <v>0</v>
      </c>
      <c r="H2331" s="134" t="s">
        <v>10</v>
      </c>
      <c r="I2331" s="135"/>
    </row>
    <row r="2332" spans="1:9" ht="21.75" customHeight="1" x14ac:dyDescent="0.25">
      <c r="A2332" s="127">
        <v>44733</v>
      </c>
      <c r="B2332" s="128" t="s">
        <v>20214</v>
      </c>
      <c r="C2332" s="129" t="s">
        <v>843</v>
      </c>
      <c r="D2332" s="130">
        <v>3036</v>
      </c>
      <c r="E2332" s="131">
        <v>44733</v>
      </c>
      <c r="F2332" s="132">
        <v>3036</v>
      </c>
      <c r="G2332" s="133">
        <f>Tabla147[[#This Row],[Importe]]-Tabla147[[#This Row],[Pagado]]</f>
        <v>0</v>
      </c>
      <c r="H2332" s="134" t="s">
        <v>10</v>
      </c>
      <c r="I2332" s="135"/>
    </row>
    <row r="2333" spans="1:9" ht="21.75" customHeight="1" x14ac:dyDescent="0.25">
      <c r="A2333" s="127">
        <v>44733</v>
      </c>
      <c r="B2333" s="128" t="s">
        <v>20215</v>
      </c>
      <c r="C2333" s="129" t="s">
        <v>216</v>
      </c>
      <c r="D2333" s="130">
        <v>1836</v>
      </c>
      <c r="E2333" s="131" t="s">
        <v>20216</v>
      </c>
      <c r="F2333" s="132">
        <v>1836</v>
      </c>
      <c r="G2333" s="133">
        <f>Tabla147[[#This Row],[Importe]]-Tabla147[[#This Row],[Pagado]]</f>
        <v>0</v>
      </c>
      <c r="H2333" s="134" t="s">
        <v>10</v>
      </c>
      <c r="I2333" s="135"/>
    </row>
    <row r="2334" spans="1:9" ht="21.75" customHeight="1" x14ac:dyDescent="0.25">
      <c r="A2334" s="127">
        <v>44733</v>
      </c>
      <c r="B2334" s="128" t="s">
        <v>20217</v>
      </c>
      <c r="C2334" s="129" t="s">
        <v>31</v>
      </c>
      <c r="D2334" s="130">
        <v>590.4</v>
      </c>
      <c r="E2334" s="131" t="s">
        <v>20216</v>
      </c>
      <c r="F2334" s="132">
        <v>590.4</v>
      </c>
      <c r="G2334" s="133">
        <f>Tabla147[[#This Row],[Importe]]-Tabla147[[#This Row],[Pagado]]</f>
        <v>0</v>
      </c>
      <c r="H2334" s="134" t="s">
        <v>10</v>
      </c>
      <c r="I2334" s="135"/>
    </row>
    <row r="2335" spans="1:9" ht="21.75" customHeight="1" x14ac:dyDescent="0.25">
      <c r="A2335" s="127">
        <v>44733</v>
      </c>
      <c r="B2335" s="128" t="s">
        <v>20218</v>
      </c>
      <c r="C2335" s="129" t="s">
        <v>51</v>
      </c>
      <c r="D2335" s="130">
        <v>1198.8</v>
      </c>
      <c r="E2335" s="131" t="s">
        <v>20216</v>
      </c>
      <c r="F2335" s="132">
        <v>1198.8</v>
      </c>
      <c r="G2335" s="133">
        <f>Tabla147[[#This Row],[Importe]]-Tabla147[[#This Row],[Pagado]]</f>
        <v>0</v>
      </c>
      <c r="H2335" s="134" t="s">
        <v>10</v>
      </c>
      <c r="I2335" s="135"/>
    </row>
    <row r="2336" spans="1:9" ht="21.75" customHeight="1" x14ac:dyDescent="0.25">
      <c r="A2336" s="127">
        <v>44733</v>
      </c>
      <c r="B2336" s="128" t="s">
        <v>20219</v>
      </c>
      <c r="C2336" s="129" t="s">
        <v>35</v>
      </c>
      <c r="D2336" s="130">
        <v>235.6</v>
      </c>
      <c r="E2336" s="131" t="s">
        <v>20216</v>
      </c>
      <c r="F2336" s="132">
        <v>235.6</v>
      </c>
      <c r="G2336" s="133">
        <f>Tabla147[[#This Row],[Importe]]-Tabla147[[#This Row],[Pagado]]</f>
        <v>0</v>
      </c>
      <c r="H2336" s="134" t="s">
        <v>10</v>
      </c>
      <c r="I2336" s="135"/>
    </row>
    <row r="2337" spans="1:9" ht="21.75" customHeight="1" x14ac:dyDescent="0.25">
      <c r="A2337" s="127">
        <v>44733</v>
      </c>
      <c r="B2337" s="128" t="s">
        <v>20220</v>
      </c>
      <c r="C2337" s="129" t="s">
        <v>62</v>
      </c>
      <c r="D2337" s="130">
        <v>4073.4</v>
      </c>
      <c r="E2337" s="131" t="s">
        <v>20216</v>
      </c>
      <c r="F2337" s="132">
        <v>4073.4</v>
      </c>
      <c r="G2337" s="133">
        <f>Tabla147[[#This Row],[Importe]]-Tabla147[[#This Row],[Pagado]]</f>
        <v>0</v>
      </c>
      <c r="H2337" s="134" t="s">
        <v>10</v>
      </c>
      <c r="I2337" s="135"/>
    </row>
    <row r="2338" spans="1:9" ht="21.75" customHeight="1" x14ac:dyDescent="0.25">
      <c r="A2338" s="127">
        <v>44733</v>
      </c>
      <c r="B2338" s="128" t="s">
        <v>20221</v>
      </c>
      <c r="C2338" s="129" t="s">
        <v>24</v>
      </c>
      <c r="D2338" s="130">
        <v>4899.6000000000004</v>
      </c>
      <c r="E2338" s="131" t="s">
        <v>20216</v>
      </c>
      <c r="F2338" s="132">
        <v>4899.6000000000004</v>
      </c>
      <c r="G2338" s="133">
        <f>Tabla147[[#This Row],[Importe]]-Tabla147[[#This Row],[Pagado]]</f>
        <v>0</v>
      </c>
      <c r="H2338" s="134" t="s">
        <v>10</v>
      </c>
      <c r="I2338" s="135"/>
    </row>
    <row r="2339" spans="1:9" ht="21.75" customHeight="1" x14ac:dyDescent="0.25">
      <c r="A2339" s="127">
        <v>44733</v>
      </c>
      <c r="B2339" s="128" t="s">
        <v>20222</v>
      </c>
      <c r="C2339" s="129" t="s">
        <v>53</v>
      </c>
      <c r="D2339" s="130">
        <v>2978.2</v>
      </c>
      <c r="E2339" s="131" t="s">
        <v>20216</v>
      </c>
      <c r="F2339" s="132">
        <v>2978.2</v>
      </c>
      <c r="G2339" s="133">
        <f>Tabla147[[#This Row],[Importe]]-Tabla147[[#This Row],[Pagado]]</f>
        <v>0</v>
      </c>
      <c r="H2339" s="134" t="s">
        <v>10</v>
      </c>
      <c r="I2339" s="135"/>
    </row>
    <row r="2340" spans="1:9" ht="21.75" customHeight="1" x14ac:dyDescent="0.25">
      <c r="A2340" s="127">
        <v>44733</v>
      </c>
      <c r="B2340" s="128" t="s">
        <v>20223</v>
      </c>
      <c r="C2340" s="129" t="s">
        <v>15039</v>
      </c>
      <c r="D2340" s="130">
        <v>1187.5</v>
      </c>
      <c r="E2340" s="131" t="s">
        <v>20216</v>
      </c>
      <c r="F2340" s="132">
        <v>1187.5</v>
      </c>
      <c r="G2340" s="133">
        <f>Tabla147[[#This Row],[Importe]]-Tabla147[[#This Row],[Pagado]]</f>
        <v>0</v>
      </c>
      <c r="H2340" s="134" t="s">
        <v>10</v>
      </c>
      <c r="I2340" s="135"/>
    </row>
    <row r="2341" spans="1:9" ht="21.75" customHeight="1" x14ac:dyDescent="0.25">
      <c r="A2341" s="127">
        <v>44733</v>
      </c>
      <c r="B2341" s="128" t="s">
        <v>20224</v>
      </c>
      <c r="C2341" s="129" t="s">
        <v>31</v>
      </c>
      <c r="D2341" s="130">
        <v>1670.4</v>
      </c>
      <c r="E2341" s="131" t="s">
        <v>20216</v>
      </c>
      <c r="F2341" s="132">
        <v>1670.4</v>
      </c>
      <c r="G2341" s="133">
        <f>Tabla147[[#This Row],[Importe]]-Tabla147[[#This Row],[Pagado]]</f>
        <v>0</v>
      </c>
      <c r="H2341" s="134" t="s">
        <v>10</v>
      </c>
      <c r="I2341" s="135"/>
    </row>
    <row r="2342" spans="1:9" ht="21.75" customHeight="1" x14ac:dyDescent="0.25">
      <c r="A2342" s="127">
        <v>44733</v>
      </c>
      <c r="B2342" s="128" t="s">
        <v>20225</v>
      </c>
      <c r="C2342" s="129" t="s">
        <v>698</v>
      </c>
      <c r="D2342" s="130">
        <v>6729.3</v>
      </c>
      <c r="E2342" s="131" t="s">
        <v>20216</v>
      </c>
      <c r="F2342" s="132">
        <v>6729.3</v>
      </c>
      <c r="G2342" s="133">
        <f>Tabla147[[#This Row],[Importe]]-Tabla147[[#This Row],[Pagado]]</f>
        <v>0</v>
      </c>
      <c r="H2342" s="134" t="s">
        <v>10</v>
      </c>
      <c r="I2342" s="135"/>
    </row>
    <row r="2343" spans="1:9" ht="21.75" customHeight="1" x14ac:dyDescent="0.25">
      <c r="A2343" s="127">
        <v>44733</v>
      </c>
      <c r="B2343" s="128" t="s">
        <v>20226</v>
      </c>
      <c r="C2343" s="129" t="s">
        <v>419</v>
      </c>
      <c r="D2343" s="130">
        <v>12871.8</v>
      </c>
      <c r="E2343" s="131" t="s">
        <v>20216</v>
      </c>
      <c r="F2343" s="132">
        <v>12871.8</v>
      </c>
      <c r="G2343" s="133">
        <f>Tabla147[[#This Row],[Importe]]-Tabla147[[#This Row],[Pagado]]</f>
        <v>0</v>
      </c>
      <c r="H2343" s="134" t="s">
        <v>10</v>
      </c>
      <c r="I2343" s="135"/>
    </row>
    <row r="2344" spans="1:9" ht="21.75" customHeight="1" x14ac:dyDescent="0.25">
      <c r="A2344" s="127">
        <v>44733</v>
      </c>
      <c r="B2344" s="128" t="s">
        <v>20227</v>
      </c>
      <c r="C2344" s="129" t="s">
        <v>233</v>
      </c>
      <c r="D2344" s="130">
        <v>5197.6000000000004</v>
      </c>
      <c r="E2344" s="131" t="s">
        <v>20216</v>
      </c>
      <c r="F2344" s="132">
        <v>5197.6000000000004</v>
      </c>
      <c r="G2344" s="133">
        <f>Tabla147[[#This Row],[Importe]]-Tabla147[[#This Row],[Pagado]]</f>
        <v>0</v>
      </c>
      <c r="H2344" s="134" t="s">
        <v>10</v>
      </c>
      <c r="I2344" s="135"/>
    </row>
    <row r="2345" spans="1:9" ht="21.75" customHeight="1" x14ac:dyDescent="0.25">
      <c r="A2345" s="127">
        <v>44733</v>
      </c>
      <c r="B2345" s="128" t="s">
        <v>20228</v>
      </c>
      <c r="C2345" s="129" t="s">
        <v>440</v>
      </c>
      <c r="D2345" s="130">
        <v>14650.52</v>
      </c>
      <c r="E2345" s="131">
        <v>44749</v>
      </c>
      <c r="F2345" s="132">
        <v>14650.52</v>
      </c>
      <c r="G2345" s="133">
        <f>Tabla147[[#This Row],[Importe]]-Tabla147[[#This Row],[Pagado]]</f>
        <v>0</v>
      </c>
      <c r="H2345" s="134" t="s">
        <v>10</v>
      </c>
      <c r="I2345" s="135"/>
    </row>
    <row r="2346" spans="1:9" ht="21.75" customHeight="1" x14ac:dyDescent="0.25">
      <c r="A2346" s="127">
        <v>44733</v>
      </c>
      <c r="B2346" s="128" t="s">
        <v>20229</v>
      </c>
      <c r="C2346" s="129" t="s">
        <v>67</v>
      </c>
      <c r="D2346" s="130">
        <v>2196.8000000000002</v>
      </c>
      <c r="E2346" s="131">
        <v>44733</v>
      </c>
      <c r="F2346" s="132">
        <v>2196.8000000000002</v>
      </c>
      <c r="G2346" s="133">
        <f>Tabla147[[#This Row],[Importe]]-Tabla147[[#This Row],[Pagado]]</f>
        <v>0</v>
      </c>
      <c r="H2346" s="134" t="s">
        <v>10</v>
      </c>
      <c r="I2346" s="135"/>
    </row>
    <row r="2347" spans="1:9" ht="21.75" customHeight="1" x14ac:dyDescent="0.25">
      <c r="A2347" s="127">
        <v>44733</v>
      </c>
      <c r="B2347" s="128" t="s">
        <v>20230</v>
      </c>
      <c r="C2347" s="129" t="s">
        <v>275</v>
      </c>
      <c r="D2347" s="130">
        <v>30912.2</v>
      </c>
      <c r="E2347" s="131">
        <v>44744</v>
      </c>
      <c r="F2347" s="132">
        <v>30912.2</v>
      </c>
      <c r="G2347" s="133">
        <f>Tabla147[[#This Row],[Importe]]-Tabla147[[#This Row],[Pagado]]</f>
        <v>0</v>
      </c>
      <c r="H2347" s="134" t="s">
        <v>10</v>
      </c>
      <c r="I2347" s="135"/>
    </row>
    <row r="2348" spans="1:9" ht="21.75" customHeight="1" x14ac:dyDescent="0.25">
      <c r="A2348" s="127">
        <v>44733</v>
      </c>
      <c r="B2348" s="128" t="s">
        <v>20231</v>
      </c>
      <c r="C2348" s="129" t="s">
        <v>11383</v>
      </c>
      <c r="D2348" s="130">
        <v>12268</v>
      </c>
      <c r="E2348" s="131">
        <v>44733</v>
      </c>
      <c r="F2348" s="132">
        <v>12268</v>
      </c>
      <c r="G2348" s="133">
        <f>Tabla147[[#This Row],[Importe]]-Tabla147[[#This Row],[Pagado]]</f>
        <v>0</v>
      </c>
      <c r="H2348" s="134" t="s">
        <v>10</v>
      </c>
      <c r="I2348" s="135"/>
    </row>
    <row r="2349" spans="1:9" ht="21.75" customHeight="1" x14ac:dyDescent="0.25">
      <c r="A2349" s="127">
        <v>44733</v>
      </c>
      <c r="B2349" s="128" t="s">
        <v>20232</v>
      </c>
      <c r="C2349" s="129" t="s">
        <v>31</v>
      </c>
      <c r="D2349" s="130">
        <v>11146</v>
      </c>
      <c r="E2349" s="131">
        <v>44733</v>
      </c>
      <c r="F2349" s="132">
        <v>11146</v>
      </c>
      <c r="G2349" s="133">
        <f>Tabla147[[#This Row],[Importe]]-Tabla147[[#This Row],[Pagado]]</f>
        <v>0</v>
      </c>
      <c r="H2349" s="134" t="s">
        <v>10</v>
      </c>
      <c r="I2349" s="135"/>
    </row>
    <row r="2350" spans="1:9" ht="21.75" customHeight="1" x14ac:dyDescent="0.25">
      <c r="A2350" s="127">
        <v>44733</v>
      </c>
      <c r="B2350" s="128" t="s">
        <v>20233</v>
      </c>
      <c r="C2350" s="129" t="s">
        <v>10678</v>
      </c>
      <c r="D2350" s="130">
        <v>3273.2</v>
      </c>
      <c r="E2350" s="131">
        <v>44733</v>
      </c>
      <c r="F2350" s="132">
        <v>3273.2</v>
      </c>
      <c r="G2350" s="133">
        <f>Tabla147[[#This Row],[Importe]]-Tabla147[[#This Row],[Pagado]]</f>
        <v>0</v>
      </c>
      <c r="H2350" s="134" t="s">
        <v>10</v>
      </c>
      <c r="I2350" s="135"/>
    </row>
    <row r="2351" spans="1:9" ht="21.75" customHeight="1" x14ac:dyDescent="0.25">
      <c r="A2351" s="127">
        <v>44733</v>
      </c>
      <c r="B2351" s="128" t="s">
        <v>20234</v>
      </c>
      <c r="C2351" s="129" t="s">
        <v>249</v>
      </c>
      <c r="D2351" s="130">
        <v>5468.6</v>
      </c>
      <c r="E2351" s="131">
        <v>44733</v>
      </c>
      <c r="F2351" s="132">
        <v>5468.6</v>
      </c>
      <c r="G2351" s="133">
        <f>Tabla147[[#This Row],[Importe]]-Tabla147[[#This Row],[Pagado]]</f>
        <v>0</v>
      </c>
      <c r="H2351" s="134" t="s">
        <v>10</v>
      </c>
      <c r="I2351" s="135"/>
    </row>
    <row r="2352" spans="1:9" ht="21.75" customHeight="1" x14ac:dyDescent="0.25">
      <c r="A2352" s="127">
        <v>44733</v>
      </c>
      <c r="B2352" s="128" t="s">
        <v>20235</v>
      </c>
      <c r="C2352" s="129" t="s">
        <v>371</v>
      </c>
      <c r="D2352" s="130">
        <v>46931.4</v>
      </c>
      <c r="E2352" s="131">
        <v>44734</v>
      </c>
      <c r="F2352" s="132">
        <v>46931.4</v>
      </c>
      <c r="G2352" s="133">
        <f>Tabla147[[#This Row],[Importe]]-Tabla147[[#This Row],[Pagado]]</f>
        <v>0</v>
      </c>
      <c r="H2352" s="134" t="s">
        <v>10</v>
      </c>
      <c r="I2352" s="135"/>
    </row>
    <row r="2353" spans="1:9" ht="21.75" customHeight="1" x14ac:dyDescent="0.25">
      <c r="A2353" s="127">
        <v>44733</v>
      </c>
      <c r="B2353" s="128" t="s">
        <v>20236</v>
      </c>
      <c r="C2353" s="129" t="s">
        <v>196</v>
      </c>
      <c r="D2353" s="130">
        <v>66859.600000000006</v>
      </c>
      <c r="E2353" s="131">
        <v>44736</v>
      </c>
      <c r="F2353" s="132">
        <v>66859.600000000006</v>
      </c>
      <c r="G2353" s="133">
        <f>Tabla147[[#This Row],[Importe]]-Tabla147[[#This Row],[Pagado]]</f>
        <v>0</v>
      </c>
      <c r="H2353" s="134" t="s">
        <v>10</v>
      </c>
      <c r="I2353" s="135"/>
    </row>
    <row r="2354" spans="1:9" ht="21.75" customHeight="1" x14ac:dyDescent="0.25">
      <c r="A2354" s="127">
        <v>44733</v>
      </c>
      <c r="B2354" s="128" t="s">
        <v>20237</v>
      </c>
      <c r="C2354" s="129" t="s">
        <v>58</v>
      </c>
      <c r="D2354" s="130">
        <v>2356</v>
      </c>
      <c r="E2354" s="131">
        <v>44733</v>
      </c>
      <c r="F2354" s="132">
        <v>2356</v>
      </c>
      <c r="G2354" s="133">
        <f>Tabla147[[#This Row],[Importe]]-Tabla147[[#This Row],[Pagado]]</f>
        <v>0</v>
      </c>
      <c r="H2354" s="134" t="s">
        <v>10</v>
      </c>
      <c r="I2354" s="135"/>
    </row>
    <row r="2355" spans="1:9" ht="21.75" customHeight="1" x14ac:dyDescent="0.25">
      <c r="A2355" s="127">
        <v>44733</v>
      </c>
      <c r="B2355" s="128" t="s">
        <v>20238</v>
      </c>
      <c r="C2355" s="129" t="s">
        <v>58</v>
      </c>
      <c r="D2355" s="130">
        <v>2727.2</v>
      </c>
      <c r="E2355" s="131">
        <v>44733</v>
      </c>
      <c r="F2355" s="132">
        <v>2727.2</v>
      </c>
      <c r="G2355" s="133">
        <f>Tabla147[[#This Row],[Importe]]-Tabla147[[#This Row],[Pagado]]</f>
        <v>0</v>
      </c>
      <c r="H2355" s="134" t="s">
        <v>10</v>
      </c>
      <c r="I2355" s="135"/>
    </row>
    <row r="2356" spans="1:9" ht="21.75" customHeight="1" x14ac:dyDescent="0.25">
      <c r="A2356" s="127">
        <v>44733</v>
      </c>
      <c r="B2356" s="128" t="s">
        <v>20239</v>
      </c>
      <c r="C2356" s="129" t="s">
        <v>9</v>
      </c>
      <c r="D2356" s="130">
        <v>3301.2</v>
      </c>
      <c r="E2356" s="131">
        <v>44733</v>
      </c>
      <c r="F2356" s="132">
        <v>3301.2</v>
      </c>
      <c r="G2356" s="133">
        <f>Tabla147[[#This Row],[Importe]]-Tabla147[[#This Row],[Pagado]]</f>
        <v>0</v>
      </c>
      <c r="H2356" s="134" t="s">
        <v>10</v>
      </c>
      <c r="I2356" s="135"/>
    </row>
    <row r="2357" spans="1:9" ht="21.75" customHeight="1" x14ac:dyDescent="0.25">
      <c r="A2357" s="127">
        <v>44733</v>
      </c>
      <c r="B2357" s="128" t="s">
        <v>20240</v>
      </c>
      <c r="C2357" s="129" t="s">
        <v>433</v>
      </c>
      <c r="D2357" s="130">
        <v>36000</v>
      </c>
      <c r="E2357" s="131">
        <v>44733</v>
      </c>
      <c r="F2357" s="132">
        <v>36000</v>
      </c>
      <c r="G2357" s="133">
        <f>Tabla147[[#This Row],[Importe]]-Tabla147[[#This Row],[Pagado]]</f>
        <v>0</v>
      </c>
      <c r="H2357" s="134" t="s">
        <v>10</v>
      </c>
      <c r="I2357" s="135"/>
    </row>
    <row r="2358" spans="1:9" ht="21.75" customHeight="1" x14ac:dyDescent="0.25">
      <c r="A2358" s="127">
        <v>44733</v>
      </c>
      <c r="B2358" s="128" t="s">
        <v>20241</v>
      </c>
      <c r="C2358" s="129" t="s">
        <v>200</v>
      </c>
      <c r="D2358" s="130">
        <v>684</v>
      </c>
      <c r="E2358" s="131">
        <v>44734</v>
      </c>
      <c r="F2358" s="132">
        <v>684</v>
      </c>
      <c r="G2358" s="133">
        <f>Tabla147[[#This Row],[Importe]]-Tabla147[[#This Row],[Pagado]]</f>
        <v>0</v>
      </c>
      <c r="H2358" s="134" t="s">
        <v>10</v>
      </c>
      <c r="I2358" s="135"/>
    </row>
    <row r="2359" spans="1:9" ht="21.75" customHeight="1" x14ac:dyDescent="0.25">
      <c r="A2359" s="127">
        <v>44733</v>
      </c>
      <c r="B2359" s="128" t="s">
        <v>20242</v>
      </c>
      <c r="C2359" s="129" t="s">
        <v>10819</v>
      </c>
      <c r="D2359" s="130">
        <v>669.6</v>
      </c>
      <c r="E2359" s="131">
        <v>44734</v>
      </c>
      <c r="F2359" s="132">
        <v>669.6</v>
      </c>
      <c r="G2359" s="133">
        <f>Tabla147[[#This Row],[Importe]]-Tabla147[[#This Row],[Pagado]]</f>
        <v>0</v>
      </c>
      <c r="H2359" s="134" t="s">
        <v>10</v>
      </c>
      <c r="I2359" s="135"/>
    </row>
    <row r="2360" spans="1:9" ht="21.75" customHeight="1" x14ac:dyDescent="0.25">
      <c r="A2360" s="127">
        <v>44733</v>
      </c>
      <c r="B2360" s="128" t="s">
        <v>20243</v>
      </c>
      <c r="C2360" s="129" t="s">
        <v>280</v>
      </c>
      <c r="D2360" s="130">
        <v>756</v>
      </c>
      <c r="E2360" s="131">
        <v>44734</v>
      </c>
      <c r="F2360" s="132">
        <v>756</v>
      </c>
      <c r="G2360" s="133">
        <f>Tabla147[[#This Row],[Importe]]-Tabla147[[#This Row],[Pagado]]</f>
        <v>0</v>
      </c>
      <c r="H2360" s="134" t="s">
        <v>10</v>
      </c>
      <c r="I2360" s="135"/>
    </row>
    <row r="2361" spans="1:9" ht="21.75" customHeight="1" x14ac:dyDescent="0.25">
      <c r="A2361" s="127">
        <v>44733</v>
      </c>
      <c r="B2361" s="128" t="s">
        <v>20244</v>
      </c>
      <c r="C2361" s="129" t="s">
        <v>284</v>
      </c>
      <c r="D2361" s="130">
        <v>7560</v>
      </c>
      <c r="E2361" s="131">
        <v>44734</v>
      </c>
      <c r="F2361" s="132">
        <v>7560</v>
      </c>
      <c r="G2361" s="133">
        <f>Tabla147[[#This Row],[Importe]]-Tabla147[[#This Row],[Pagado]]</f>
        <v>0</v>
      </c>
      <c r="H2361" s="134" t="s">
        <v>10</v>
      </c>
      <c r="I2361" s="135"/>
    </row>
    <row r="2362" spans="1:9" ht="21.75" customHeight="1" x14ac:dyDescent="0.25">
      <c r="A2362" s="127">
        <v>44733</v>
      </c>
      <c r="B2362" s="128" t="s">
        <v>20245</v>
      </c>
      <c r="C2362" s="129" t="s">
        <v>282</v>
      </c>
      <c r="D2362" s="130">
        <v>1296</v>
      </c>
      <c r="E2362" s="131">
        <v>44734</v>
      </c>
      <c r="F2362" s="132">
        <v>1296</v>
      </c>
      <c r="G2362" s="133">
        <f>Tabla147[[#This Row],[Importe]]-Tabla147[[#This Row],[Pagado]]</f>
        <v>0</v>
      </c>
      <c r="H2362" s="134" t="s">
        <v>10</v>
      </c>
      <c r="I2362" s="135"/>
    </row>
    <row r="2363" spans="1:9" ht="21.75" customHeight="1" x14ac:dyDescent="0.25">
      <c r="A2363" s="127">
        <v>44733</v>
      </c>
      <c r="B2363" s="128" t="s">
        <v>20246</v>
      </c>
      <c r="C2363" s="129" t="s">
        <v>1265</v>
      </c>
      <c r="D2363" s="130">
        <v>708.4</v>
      </c>
      <c r="E2363" s="131">
        <v>44733</v>
      </c>
      <c r="F2363" s="132">
        <v>708.4</v>
      </c>
      <c r="G2363" s="133">
        <f>Tabla147[[#This Row],[Importe]]-Tabla147[[#This Row],[Pagado]]</f>
        <v>0</v>
      </c>
      <c r="H2363" s="134" t="s">
        <v>10</v>
      </c>
      <c r="I2363" s="135"/>
    </row>
    <row r="2364" spans="1:9" ht="21.75" customHeight="1" x14ac:dyDescent="0.25">
      <c r="A2364" s="127">
        <v>44733</v>
      </c>
      <c r="B2364" s="128" t="s">
        <v>20247</v>
      </c>
      <c r="C2364" s="129" t="s">
        <v>53</v>
      </c>
      <c r="D2364" s="130">
        <v>1916.6</v>
      </c>
      <c r="E2364" s="131">
        <v>44733</v>
      </c>
      <c r="F2364" s="132">
        <v>1916.6</v>
      </c>
      <c r="G2364" s="133">
        <f>Tabla147[[#This Row],[Importe]]-Tabla147[[#This Row],[Pagado]]</f>
        <v>0</v>
      </c>
      <c r="H2364" s="134" t="s">
        <v>10</v>
      </c>
      <c r="I2364" s="135"/>
    </row>
    <row r="2365" spans="1:9" ht="21.75" customHeight="1" x14ac:dyDescent="0.25">
      <c r="A2365" s="127">
        <v>44733</v>
      </c>
      <c r="B2365" s="128" t="s">
        <v>20248</v>
      </c>
      <c r="C2365" s="129" t="s">
        <v>273</v>
      </c>
      <c r="D2365" s="130">
        <v>19126.8</v>
      </c>
      <c r="E2365" s="131">
        <v>44733</v>
      </c>
      <c r="F2365" s="132">
        <v>19126.8</v>
      </c>
      <c r="G2365" s="133">
        <f>Tabla147[[#This Row],[Importe]]-Tabla147[[#This Row],[Pagado]]</f>
        <v>0</v>
      </c>
      <c r="H2365" s="134" t="s">
        <v>10</v>
      </c>
      <c r="I2365" s="135"/>
    </row>
    <row r="2366" spans="1:9" ht="21.75" customHeight="1" x14ac:dyDescent="0.25">
      <c r="A2366" s="127">
        <v>44733</v>
      </c>
      <c r="B2366" s="128" t="s">
        <v>20249</v>
      </c>
      <c r="C2366" s="129" t="s">
        <v>2961</v>
      </c>
      <c r="D2366" s="130">
        <v>70798.600000000006</v>
      </c>
      <c r="E2366" s="131">
        <v>44735</v>
      </c>
      <c r="F2366" s="132">
        <v>70798.600000000006</v>
      </c>
      <c r="G2366" s="133">
        <f>Tabla147[[#This Row],[Importe]]-Tabla147[[#This Row],[Pagado]]</f>
        <v>0</v>
      </c>
      <c r="H2366" s="134" t="s">
        <v>10</v>
      </c>
      <c r="I2366" s="135"/>
    </row>
    <row r="2367" spans="1:9" ht="21.75" customHeight="1" x14ac:dyDescent="0.25">
      <c r="A2367" s="127">
        <v>44733</v>
      </c>
      <c r="B2367" s="128" t="s">
        <v>20250</v>
      </c>
      <c r="C2367" s="129" t="s">
        <v>31</v>
      </c>
      <c r="D2367" s="130">
        <v>80</v>
      </c>
      <c r="E2367" s="131">
        <v>44733</v>
      </c>
      <c r="F2367" s="132">
        <v>80</v>
      </c>
      <c r="G2367" s="133">
        <f>Tabla147[[#This Row],[Importe]]-Tabla147[[#This Row],[Pagado]]</f>
        <v>0</v>
      </c>
      <c r="H2367" s="134" t="s">
        <v>10</v>
      </c>
      <c r="I2367" s="135"/>
    </row>
    <row r="2368" spans="1:9" ht="21.75" customHeight="1" x14ac:dyDescent="0.25">
      <c r="A2368" s="127">
        <v>44733</v>
      </c>
      <c r="B2368" s="128" t="s">
        <v>20251</v>
      </c>
      <c r="C2368" s="129" t="s">
        <v>31</v>
      </c>
      <c r="D2368" s="130">
        <v>48</v>
      </c>
      <c r="E2368" s="131">
        <v>44733</v>
      </c>
      <c r="F2368" s="132">
        <v>48</v>
      </c>
      <c r="G2368" s="133">
        <f>Tabla147[[#This Row],[Importe]]-Tabla147[[#This Row],[Pagado]]</f>
        <v>0</v>
      </c>
      <c r="H2368" s="134" t="s">
        <v>10</v>
      </c>
      <c r="I2368" s="135"/>
    </row>
    <row r="2369" spans="1:9" ht="21.75" customHeight="1" x14ac:dyDescent="0.25">
      <c r="A2369" s="127">
        <v>44733</v>
      </c>
      <c r="B2369" s="128" t="s">
        <v>20252</v>
      </c>
      <c r="C2369" s="129" t="s">
        <v>1706</v>
      </c>
      <c r="D2369" s="130">
        <v>10514.4</v>
      </c>
      <c r="E2369" s="131">
        <v>44733</v>
      </c>
      <c r="F2369" s="132">
        <v>10514.4</v>
      </c>
      <c r="G2369" s="133">
        <f>Tabla147[[#This Row],[Importe]]-Tabla147[[#This Row],[Pagado]]</f>
        <v>0</v>
      </c>
      <c r="H2369" s="134" t="s">
        <v>10</v>
      </c>
      <c r="I2369" s="135"/>
    </row>
    <row r="2370" spans="1:9" ht="21.75" customHeight="1" x14ac:dyDescent="0.25">
      <c r="A2370" s="127">
        <v>44733</v>
      </c>
      <c r="B2370" s="128" t="s">
        <v>20253</v>
      </c>
      <c r="C2370" s="129" t="s">
        <v>296</v>
      </c>
      <c r="D2370" s="130">
        <v>1850</v>
      </c>
      <c r="E2370" s="131">
        <v>44733</v>
      </c>
      <c r="F2370" s="132">
        <v>1850</v>
      </c>
      <c r="G2370" s="133">
        <f>Tabla147[[#This Row],[Importe]]-Tabla147[[#This Row],[Pagado]]</f>
        <v>0</v>
      </c>
      <c r="H2370" s="134" t="s">
        <v>10</v>
      </c>
      <c r="I2370" s="135"/>
    </row>
    <row r="2371" spans="1:9" ht="21.75" customHeight="1" x14ac:dyDescent="0.25">
      <c r="A2371" s="127">
        <v>44733</v>
      </c>
      <c r="B2371" s="128" t="s">
        <v>20254</v>
      </c>
      <c r="C2371" s="129" t="s">
        <v>129</v>
      </c>
      <c r="D2371" s="130">
        <v>1453.4</v>
      </c>
      <c r="E2371" s="131">
        <v>44733</v>
      </c>
      <c r="F2371" s="132">
        <v>1453.4</v>
      </c>
      <c r="G2371" s="133">
        <f>Tabla147[[#This Row],[Importe]]-Tabla147[[#This Row],[Pagado]]</f>
        <v>0</v>
      </c>
      <c r="H2371" s="134" t="s">
        <v>10</v>
      </c>
      <c r="I2371" s="135"/>
    </row>
    <row r="2372" spans="1:9" ht="21.75" customHeight="1" x14ac:dyDescent="0.25">
      <c r="A2372" s="127">
        <v>44733</v>
      </c>
      <c r="B2372" s="128" t="s">
        <v>20255</v>
      </c>
      <c r="C2372" s="129" t="s">
        <v>31</v>
      </c>
      <c r="D2372" s="130">
        <v>82</v>
      </c>
      <c r="E2372" s="131">
        <v>44734</v>
      </c>
      <c r="F2372" s="132">
        <v>82</v>
      </c>
      <c r="G2372" s="133">
        <f>Tabla147[[#This Row],[Importe]]-Tabla147[[#This Row],[Pagado]]</f>
        <v>0</v>
      </c>
      <c r="H2372" s="134" t="s">
        <v>10</v>
      </c>
      <c r="I2372" s="135"/>
    </row>
    <row r="2373" spans="1:9" ht="21.75" customHeight="1" x14ac:dyDescent="0.25">
      <c r="A2373" s="127">
        <v>44733</v>
      </c>
      <c r="B2373" s="128" t="s">
        <v>20256</v>
      </c>
      <c r="C2373" s="129" t="s">
        <v>31</v>
      </c>
      <c r="D2373" s="130">
        <v>72</v>
      </c>
      <c r="E2373" s="131">
        <v>44734</v>
      </c>
      <c r="F2373" s="132">
        <v>72</v>
      </c>
      <c r="G2373" s="133">
        <f>Tabla147[[#This Row],[Importe]]-Tabla147[[#This Row],[Pagado]]</f>
        <v>0</v>
      </c>
      <c r="H2373" s="134" t="s">
        <v>10</v>
      </c>
      <c r="I2373" s="135"/>
    </row>
    <row r="2374" spans="1:9" ht="21.75" customHeight="1" x14ac:dyDescent="0.25">
      <c r="A2374" s="127">
        <v>44733</v>
      </c>
      <c r="B2374" s="128" t="s">
        <v>20257</v>
      </c>
      <c r="C2374" s="129" t="s">
        <v>31</v>
      </c>
      <c r="D2374" s="130">
        <v>1462</v>
      </c>
      <c r="E2374" s="131">
        <v>44733</v>
      </c>
      <c r="F2374" s="132">
        <v>1462</v>
      </c>
      <c r="G2374" s="133">
        <f>Tabla147[[#This Row],[Importe]]-Tabla147[[#This Row],[Pagado]]</f>
        <v>0</v>
      </c>
      <c r="H2374" s="134" t="s">
        <v>10</v>
      </c>
      <c r="I2374" s="135"/>
    </row>
    <row r="2375" spans="1:9" ht="21.75" customHeight="1" x14ac:dyDescent="0.25">
      <c r="A2375" s="127">
        <v>44733</v>
      </c>
      <c r="B2375" s="128" t="s">
        <v>20258</v>
      </c>
      <c r="C2375" s="129" t="s">
        <v>31</v>
      </c>
      <c r="D2375" s="130">
        <v>4762.8</v>
      </c>
      <c r="E2375" s="131">
        <v>44734</v>
      </c>
      <c r="F2375" s="132">
        <v>4762.8</v>
      </c>
      <c r="G2375" s="133">
        <f>Tabla147[[#This Row],[Importe]]-Tabla147[[#This Row],[Pagado]]</f>
        <v>0</v>
      </c>
      <c r="H2375" s="134" t="s">
        <v>10</v>
      </c>
      <c r="I2375" s="135"/>
    </row>
    <row r="2376" spans="1:9" ht="21.75" customHeight="1" x14ac:dyDescent="0.25">
      <c r="A2376" s="127">
        <v>44733</v>
      </c>
      <c r="B2376" s="128" t="s">
        <v>20259</v>
      </c>
      <c r="C2376" s="129" t="s">
        <v>31</v>
      </c>
      <c r="D2376" s="130">
        <v>336.2</v>
      </c>
      <c r="E2376" s="131">
        <v>44734</v>
      </c>
      <c r="F2376" s="132">
        <v>336.2</v>
      </c>
      <c r="G2376" s="133">
        <f>Tabla147[[#This Row],[Importe]]-Tabla147[[#This Row],[Pagado]]</f>
        <v>0</v>
      </c>
      <c r="H2376" s="134" t="s">
        <v>10</v>
      </c>
      <c r="I2376" s="135"/>
    </row>
    <row r="2377" spans="1:9" ht="21.75" customHeight="1" x14ac:dyDescent="0.25">
      <c r="A2377" s="127">
        <v>44733</v>
      </c>
      <c r="B2377" s="128" t="s">
        <v>20260</v>
      </c>
      <c r="C2377" s="129" t="s">
        <v>142</v>
      </c>
      <c r="D2377" s="130">
        <v>2197.8000000000002</v>
      </c>
      <c r="E2377" s="131">
        <v>44769</v>
      </c>
      <c r="F2377" s="132">
        <v>2197.8000000000002</v>
      </c>
      <c r="G2377" s="133">
        <f>Tabla147[[#This Row],[Importe]]-Tabla147[[#This Row],[Pagado]]</f>
        <v>0</v>
      </c>
      <c r="H2377" s="134" t="s">
        <v>10</v>
      </c>
      <c r="I2377" s="135"/>
    </row>
    <row r="2378" spans="1:9" ht="21.75" customHeight="1" x14ac:dyDescent="0.25">
      <c r="A2378" s="127">
        <v>44733</v>
      </c>
      <c r="B2378" s="128" t="s">
        <v>20261</v>
      </c>
      <c r="C2378" s="129" t="s">
        <v>400</v>
      </c>
      <c r="D2378" s="130">
        <v>7329.6</v>
      </c>
      <c r="E2378" s="131">
        <v>44745</v>
      </c>
      <c r="F2378" s="132">
        <v>7329.6</v>
      </c>
      <c r="G2378" s="133">
        <f>Tabla147[[#This Row],[Importe]]-Tabla147[[#This Row],[Pagado]]</f>
        <v>0</v>
      </c>
      <c r="H2378" s="134" t="s">
        <v>10</v>
      </c>
      <c r="I2378" s="135"/>
    </row>
    <row r="2379" spans="1:9" ht="21.75" customHeight="1" x14ac:dyDescent="0.25">
      <c r="A2379" s="127">
        <v>44733</v>
      </c>
      <c r="B2379" s="128" t="s">
        <v>20262</v>
      </c>
      <c r="C2379" s="129" t="s">
        <v>402</v>
      </c>
      <c r="D2379" s="130">
        <v>19730.8</v>
      </c>
      <c r="E2379" s="131">
        <v>44745</v>
      </c>
      <c r="F2379" s="132">
        <v>19730.8</v>
      </c>
      <c r="G2379" s="133">
        <f>Tabla147[[#This Row],[Importe]]-Tabla147[[#This Row],[Pagado]]</f>
        <v>0</v>
      </c>
      <c r="H2379" s="134" t="s">
        <v>10</v>
      </c>
      <c r="I2379" s="135"/>
    </row>
    <row r="2380" spans="1:9" ht="31.5" x14ac:dyDescent="0.25">
      <c r="A2380" s="127">
        <v>44734</v>
      </c>
      <c r="B2380" s="128" t="s">
        <v>20263</v>
      </c>
      <c r="C2380" s="129" t="s">
        <v>475</v>
      </c>
      <c r="D2380" s="130">
        <v>47758.6</v>
      </c>
      <c r="E2380" s="131" t="s">
        <v>20264</v>
      </c>
      <c r="F2380" s="132">
        <f>31000+16758.6</f>
        <v>47758.6</v>
      </c>
      <c r="G2380" s="133">
        <f>Tabla147[[#This Row],[Importe]]-Tabla147[[#This Row],[Pagado]]</f>
        <v>0</v>
      </c>
      <c r="H2380" s="134" t="s">
        <v>10</v>
      </c>
      <c r="I2380" s="135"/>
    </row>
    <row r="2381" spans="1:9" ht="31.5" x14ac:dyDescent="0.25">
      <c r="A2381" s="127">
        <v>44734</v>
      </c>
      <c r="B2381" s="128" t="s">
        <v>20265</v>
      </c>
      <c r="C2381" s="129" t="s">
        <v>99</v>
      </c>
      <c r="D2381" s="130">
        <v>3080.6</v>
      </c>
      <c r="E2381" s="131" t="s">
        <v>20264</v>
      </c>
      <c r="F2381" s="132">
        <f>2000+1080.6</f>
        <v>3080.6</v>
      </c>
      <c r="G2381" s="133">
        <f>Tabla147[[#This Row],[Importe]]-Tabla147[[#This Row],[Pagado]]</f>
        <v>0</v>
      </c>
      <c r="H2381" s="134" t="s">
        <v>10</v>
      </c>
      <c r="I2381" s="135"/>
    </row>
    <row r="2382" spans="1:9" ht="21.75" customHeight="1" x14ac:dyDescent="0.25">
      <c r="A2382" s="127">
        <v>44734</v>
      </c>
      <c r="B2382" s="128" t="s">
        <v>20266</v>
      </c>
      <c r="C2382" s="129" t="s">
        <v>97</v>
      </c>
      <c r="D2382" s="130">
        <v>5082</v>
      </c>
      <c r="E2382" s="131" t="s">
        <v>20267</v>
      </c>
      <c r="F2382" s="132">
        <v>5082</v>
      </c>
      <c r="G2382" s="133">
        <f>Tabla147[[#This Row],[Importe]]-Tabla147[[#This Row],[Pagado]]</f>
        <v>0</v>
      </c>
      <c r="H2382" s="134" t="s">
        <v>10</v>
      </c>
      <c r="I2382" s="135"/>
    </row>
    <row r="2383" spans="1:9" ht="21.75" customHeight="1" x14ac:dyDescent="0.25">
      <c r="A2383" s="127">
        <v>44734</v>
      </c>
      <c r="B2383" s="128" t="s">
        <v>20268</v>
      </c>
      <c r="C2383" s="129" t="s">
        <v>64</v>
      </c>
      <c r="D2383" s="130">
        <v>5077.8</v>
      </c>
      <c r="E2383" s="131">
        <v>44736</v>
      </c>
      <c r="F2383" s="132">
        <v>5077.8</v>
      </c>
      <c r="G2383" s="133">
        <f>Tabla147[[#This Row],[Importe]]-Tabla147[[#This Row],[Pagado]]</f>
        <v>0</v>
      </c>
      <c r="H2383" s="134" t="s">
        <v>10</v>
      </c>
      <c r="I2383" s="135"/>
    </row>
    <row r="2384" spans="1:9" ht="21.75" customHeight="1" x14ac:dyDescent="0.25">
      <c r="A2384" s="127">
        <v>44734</v>
      </c>
      <c r="B2384" s="128" t="s">
        <v>20269</v>
      </c>
      <c r="C2384" s="129" t="s">
        <v>93</v>
      </c>
      <c r="D2384" s="130">
        <v>2054.6</v>
      </c>
      <c r="E2384" s="131">
        <v>44737</v>
      </c>
      <c r="F2384" s="132">
        <v>2054.6</v>
      </c>
      <c r="G2384" s="133">
        <f>Tabla147[[#This Row],[Importe]]-Tabla147[[#This Row],[Pagado]]</f>
        <v>0</v>
      </c>
      <c r="H2384" s="134" t="s">
        <v>10</v>
      </c>
      <c r="I2384" s="135"/>
    </row>
    <row r="2385" spans="1:9" ht="21.75" customHeight="1" x14ac:dyDescent="0.25">
      <c r="A2385" s="127">
        <v>44734</v>
      </c>
      <c r="B2385" s="128" t="s">
        <v>20270</v>
      </c>
      <c r="C2385" s="129" t="s">
        <v>2151</v>
      </c>
      <c r="D2385" s="130">
        <v>15630</v>
      </c>
      <c r="E2385" s="131">
        <v>44734</v>
      </c>
      <c r="F2385" s="132">
        <v>15630</v>
      </c>
      <c r="G2385" s="133">
        <f>Tabla147[[#This Row],[Importe]]-Tabla147[[#This Row],[Pagado]]</f>
        <v>0</v>
      </c>
      <c r="H2385" s="134" t="s">
        <v>10</v>
      </c>
      <c r="I2385" s="135"/>
    </row>
    <row r="2386" spans="1:9" ht="21.75" customHeight="1" x14ac:dyDescent="0.25">
      <c r="A2386" s="127">
        <v>44734</v>
      </c>
      <c r="B2386" s="128" t="s">
        <v>20271</v>
      </c>
      <c r="C2386" s="129" t="s">
        <v>116</v>
      </c>
      <c r="D2386" s="130">
        <v>4978.6000000000004</v>
      </c>
      <c r="E2386" s="131">
        <v>44737</v>
      </c>
      <c r="F2386" s="132">
        <v>4978.6000000000004</v>
      </c>
      <c r="G2386" s="133">
        <f>Tabla147[[#This Row],[Importe]]-Tabla147[[#This Row],[Pagado]]</f>
        <v>0</v>
      </c>
      <c r="H2386" s="134" t="s">
        <v>10</v>
      </c>
      <c r="I2386" s="135"/>
    </row>
    <row r="2387" spans="1:9" ht="21.75" customHeight="1" x14ac:dyDescent="0.25">
      <c r="A2387" s="127">
        <v>44734</v>
      </c>
      <c r="B2387" s="128" t="s">
        <v>20272</v>
      </c>
      <c r="C2387" s="129" t="s">
        <v>105</v>
      </c>
      <c r="D2387" s="130">
        <v>6630.4</v>
      </c>
      <c r="E2387" s="131">
        <v>44734</v>
      </c>
      <c r="F2387" s="132">
        <v>6630.4</v>
      </c>
      <c r="G2387" s="133">
        <f>Tabla147[[#This Row],[Importe]]-Tabla147[[#This Row],[Pagado]]</f>
        <v>0</v>
      </c>
      <c r="H2387" s="134" t="s">
        <v>10</v>
      </c>
      <c r="I2387" s="135"/>
    </row>
    <row r="2388" spans="1:9" ht="21.75" customHeight="1" x14ac:dyDescent="0.25">
      <c r="A2388" s="127">
        <v>44734</v>
      </c>
      <c r="B2388" s="128" t="s">
        <v>20273</v>
      </c>
      <c r="C2388" s="129" t="s">
        <v>111</v>
      </c>
      <c r="D2388" s="130">
        <v>5016</v>
      </c>
      <c r="E2388" s="131">
        <v>44737</v>
      </c>
      <c r="F2388" s="132">
        <v>5016</v>
      </c>
      <c r="G2388" s="133">
        <f>Tabla147[[#This Row],[Importe]]-Tabla147[[#This Row],[Pagado]]</f>
        <v>0</v>
      </c>
      <c r="H2388" s="134" t="s">
        <v>10</v>
      </c>
      <c r="I2388" s="135"/>
    </row>
    <row r="2389" spans="1:9" ht="21.75" customHeight="1" x14ac:dyDescent="0.25">
      <c r="A2389" s="127">
        <v>44734</v>
      </c>
      <c r="B2389" s="128" t="s">
        <v>20274</v>
      </c>
      <c r="C2389" s="129" t="s">
        <v>114</v>
      </c>
      <c r="D2389" s="130">
        <v>5166</v>
      </c>
      <c r="E2389" s="131">
        <v>44735</v>
      </c>
      <c r="F2389" s="132">
        <v>5166</v>
      </c>
      <c r="G2389" s="133">
        <f>Tabla147[[#This Row],[Importe]]-Tabla147[[#This Row],[Pagado]]</f>
        <v>0</v>
      </c>
      <c r="H2389" s="134" t="s">
        <v>10</v>
      </c>
      <c r="I2389" s="135"/>
    </row>
    <row r="2390" spans="1:9" ht="21.75" customHeight="1" x14ac:dyDescent="0.25">
      <c r="A2390" s="127">
        <v>44734</v>
      </c>
      <c r="B2390" s="128" t="s">
        <v>20275</v>
      </c>
      <c r="C2390" s="129" t="s">
        <v>348</v>
      </c>
      <c r="D2390" s="130">
        <v>1869.6</v>
      </c>
      <c r="E2390" s="131">
        <v>44734</v>
      </c>
      <c r="F2390" s="132">
        <v>1869.6</v>
      </c>
      <c r="G2390" s="133">
        <f>Tabla147[[#This Row],[Importe]]-Tabla147[[#This Row],[Pagado]]</f>
        <v>0</v>
      </c>
      <c r="H2390" s="134" t="s">
        <v>10</v>
      </c>
      <c r="I2390" s="135"/>
    </row>
    <row r="2391" spans="1:9" ht="21.75" customHeight="1" x14ac:dyDescent="0.25">
      <c r="A2391" s="127">
        <v>44734</v>
      </c>
      <c r="B2391" s="128" t="s">
        <v>20276</v>
      </c>
      <c r="C2391" s="129" t="s">
        <v>326</v>
      </c>
      <c r="D2391" s="130">
        <v>5350.6</v>
      </c>
      <c r="E2391" s="131">
        <v>44735</v>
      </c>
      <c r="F2391" s="132">
        <v>5350.6</v>
      </c>
      <c r="G2391" s="133">
        <f>Tabla147[[#This Row],[Importe]]-Tabla147[[#This Row],[Pagado]]</f>
        <v>0</v>
      </c>
      <c r="H2391" s="134" t="s">
        <v>10</v>
      </c>
      <c r="I2391" s="135"/>
    </row>
    <row r="2392" spans="1:9" ht="21.75" customHeight="1" x14ac:dyDescent="0.25">
      <c r="A2392" s="127">
        <v>44734</v>
      </c>
      <c r="B2392" s="128" t="s">
        <v>20277</v>
      </c>
      <c r="C2392" s="129" t="s">
        <v>83</v>
      </c>
      <c r="D2392" s="130">
        <v>10906.8</v>
      </c>
      <c r="E2392" s="131">
        <v>44734</v>
      </c>
      <c r="F2392" s="132">
        <v>10906.8</v>
      </c>
      <c r="G2392" s="133">
        <f>Tabla147[[#This Row],[Importe]]-Tabla147[[#This Row],[Pagado]]</f>
        <v>0</v>
      </c>
      <c r="H2392" s="134" t="s">
        <v>10</v>
      </c>
      <c r="I2392" s="135"/>
    </row>
    <row r="2393" spans="1:9" ht="21.75" customHeight="1" x14ac:dyDescent="0.25">
      <c r="A2393" s="127">
        <v>44734</v>
      </c>
      <c r="B2393" s="128" t="s">
        <v>20278</v>
      </c>
      <c r="C2393" s="129" t="s">
        <v>89</v>
      </c>
      <c r="D2393" s="130">
        <v>8988</v>
      </c>
      <c r="E2393" s="131">
        <v>44735</v>
      </c>
      <c r="F2393" s="132">
        <v>8988</v>
      </c>
      <c r="G2393" s="133">
        <f>Tabla147[[#This Row],[Importe]]-Tabla147[[#This Row],[Pagado]]</f>
        <v>0</v>
      </c>
      <c r="H2393" s="134" t="s">
        <v>10</v>
      </c>
      <c r="I2393" s="135"/>
    </row>
    <row r="2394" spans="1:9" ht="21.75" customHeight="1" x14ac:dyDescent="0.25">
      <c r="A2394" s="127">
        <v>44734</v>
      </c>
      <c r="B2394" s="128" t="s">
        <v>20279</v>
      </c>
      <c r="C2394" s="129" t="s">
        <v>481</v>
      </c>
      <c r="D2394" s="130">
        <v>1635.2</v>
      </c>
      <c r="E2394" s="131">
        <v>44734</v>
      </c>
      <c r="F2394" s="132">
        <v>1635.2</v>
      </c>
      <c r="G2394" s="133">
        <f>Tabla147[[#This Row],[Importe]]-Tabla147[[#This Row],[Pagado]]</f>
        <v>0</v>
      </c>
      <c r="H2394" s="134" t="s">
        <v>10</v>
      </c>
      <c r="I2394" s="135"/>
    </row>
    <row r="2395" spans="1:9" ht="21.75" customHeight="1" x14ac:dyDescent="0.25">
      <c r="A2395" s="127">
        <v>44734</v>
      </c>
      <c r="B2395" s="128" t="s">
        <v>20280</v>
      </c>
      <c r="C2395" s="129" t="s">
        <v>353</v>
      </c>
      <c r="D2395" s="130">
        <v>726.8</v>
      </c>
      <c r="E2395" s="131">
        <v>44734</v>
      </c>
      <c r="F2395" s="132">
        <v>726.8</v>
      </c>
      <c r="G2395" s="133">
        <f>Tabla147[[#This Row],[Importe]]-Tabla147[[#This Row],[Pagado]]</f>
        <v>0</v>
      </c>
      <c r="H2395" s="134" t="s">
        <v>10</v>
      </c>
      <c r="I2395" s="135"/>
    </row>
    <row r="2396" spans="1:9" ht="21.75" customHeight="1" x14ac:dyDescent="0.25">
      <c r="A2396" s="127">
        <v>44734</v>
      </c>
      <c r="B2396" s="128" t="s">
        <v>20281</v>
      </c>
      <c r="C2396" s="129" t="s">
        <v>87</v>
      </c>
      <c r="D2396" s="130">
        <v>1396.8</v>
      </c>
      <c r="E2396" s="131">
        <v>44734</v>
      </c>
      <c r="F2396" s="132">
        <v>1396.8</v>
      </c>
      <c r="G2396" s="133">
        <f>Tabla147[[#This Row],[Importe]]-Tabla147[[#This Row],[Pagado]]</f>
        <v>0</v>
      </c>
      <c r="H2396" s="134" t="s">
        <v>10</v>
      </c>
      <c r="I2396" s="135"/>
    </row>
    <row r="2397" spans="1:9" ht="21.75" customHeight="1" x14ac:dyDescent="0.25">
      <c r="A2397" s="127">
        <v>44734</v>
      </c>
      <c r="B2397" s="128" t="s">
        <v>20282</v>
      </c>
      <c r="C2397" s="129" t="s">
        <v>212</v>
      </c>
      <c r="D2397" s="130">
        <v>45724.7</v>
      </c>
      <c r="E2397" s="131">
        <v>44740</v>
      </c>
      <c r="F2397" s="132">
        <v>45724.7</v>
      </c>
      <c r="G2397" s="133">
        <f>Tabla147[[#This Row],[Importe]]-Tabla147[[#This Row],[Pagado]]</f>
        <v>0</v>
      </c>
      <c r="H2397" s="134" t="s">
        <v>10</v>
      </c>
      <c r="I2397" s="135"/>
    </row>
    <row r="2398" spans="1:9" ht="21.75" customHeight="1" x14ac:dyDescent="0.25">
      <c r="A2398" s="127">
        <v>44734</v>
      </c>
      <c r="B2398" s="128" t="s">
        <v>20283</v>
      </c>
      <c r="C2398" s="129" t="s">
        <v>131</v>
      </c>
      <c r="D2398" s="130">
        <v>5040</v>
      </c>
      <c r="E2398" s="131">
        <v>44734</v>
      </c>
      <c r="F2398" s="132">
        <v>5040</v>
      </c>
      <c r="G2398" s="133">
        <f>Tabla147[[#This Row],[Importe]]-Tabla147[[#This Row],[Pagado]]</f>
        <v>0</v>
      </c>
      <c r="H2398" s="134" t="s">
        <v>10</v>
      </c>
      <c r="I2398" s="135"/>
    </row>
    <row r="2399" spans="1:9" ht="21.75" customHeight="1" x14ac:dyDescent="0.25">
      <c r="A2399" s="127">
        <v>44734</v>
      </c>
      <c r="B2399" s="128" t="s">
        <v>20284</v>
      </c>
      <c r="C2399" s="129" t="s">
        <v>154</v>
      </c>
      <c r="D2399" s="130">
        <v>38453.800000000003</v>
      </c>
      <c r="E2399" s="131">
        <v>44737</v>
      </c>
      <c r="F2399" s="132">
        <v>38453.800000000003</v>
      </c>
      <c r="G2399" s="133">
        <f>Tabla147[[#This Row],[Importe]]-Tabla147[[#This Row],[Pagado]]</f>
        <v>0</v>
      </c>
      <c r="H2399" s="134" t="s">
        <v>10</v>
      </c>
      <c r="I2399" s="135"/>
    </row>
    <row r="2400" spans="1:9" ht="21.75" customHeight="1" x14ac:dyDescent="0.25">
      <c r="A2400" s="127">
        <v>44734</v>
      </c>
      <c r="B2400" s="128" t="s">
        <v>20285</v>
      </c>
      <c r="C2400" s="129" t="s">
        <v>31</v>
      </c>
      <c r="D2400" s="130">
        <v>2387.6999999999998</v>
      </c>
      <c r="E2400" s="131">
        <v>44734</v>
      </c>
      <c r="F2400" s="132">
        <v>2387.6999999999998</v>
      </c>
      <c r="G2400" s="133">
        <f>Tabla147[[#This Row],[Importe]]-Tabla147[[#This Row],[Pagado]]</f>
        <v>0</v>
      </c>
      <c r="H2400" s="134" t="s">
        <v>10</v>
      </c>
      <c r="I2400" s="135"/>
    </row>
    <row r="2401" spans="1:9" ht="21.75" customHeight="1" x14ac:dyDescent="0.25">
      <c r="A2401" s="127">
        <v>44734</v>
      </c>
      <c r="B2401" s="128" t="s">
        <v>20286</v>
      </c>
      <c r="C2401" s="129" t="s">
        <v>218</v>
      </c>
      <c r="D2401" s="130">
        <v>15578.2</v>
      </c>
      <c r="E2401" s="131">
        <v>44737</v>
      </c>
      <c r="F2401" s="132">
        <v>15578.2</v>
      </c>
      <c r="G2401" s="133">
        <f>Tabla147[[#This Row],[Importe]]-Tabla147[[#This Row],[Pagado]]</f>
        <v>0</v>
      </c>
      <c r="H2401" s="134" t="s">
        <v>10</v>
      </c>
      <c r="I2401" s="135"/>
    </row>
    <row r="2402" spans="1:9" ht="21.75" customHeight="1" x14ac:dyDescent="0.25">
      <c r="A2402" s="127">
        <v>44734</v>
      </c>
      <c r="B2402" s="128" t="s">
        <v>20287</v>
      </c>
      <c r="C2402" s="129" t="s">
        <v>275</v>
      </c>
      <c r="D2402" s="130">
        <v>52051.199999999997</v>
      </c>
      <c r="E2402" s="131">
        <v>44744</v>
      </c>
      <c r="F2402" s="132">
        <v>52051.199999999997</v>
      </c>
      <c r="G2402" s="133">
        <f>Tabla147[[#This Row],[Importe]]-Tabla147[[#This Row],[Pagado]]</f>
        <v>0</v>
      </c>
      <c r="H2402" s="134" t="s">
        <v>10</v>
      </c>
      <c r="I2402" s="135"/>
    </row>
    <row r="2403" spans="1:9" ht="21.75" customHeight="1" x14ac:dyDescent="0.25">
      <c r="A2403" s="127">
        <v>44734</v>
      </c>
      <c r="B2403" s="128" t="s">
        <v>20288</v>
      </c>
      <c r="C2403" s="129" t="s">
        <v>208</v>
      </c>
      <c r="D2403" s="130">
        <v>9421.5</v>
      </c>
      <c r="E2403" s="131">
        <v>44736</v>
      </c>
      <c r="F2403" s="132">
        <v>9421.5</v>
      </c>
      <c r="G2403" s="133">
        <f>Tabla147[[#This Row],[Importe]]-Tabla147[[#This Row],[Pagado]]</f>
        <v>0</v>
      </c>
      <c r="H2403" s="134" t="s">
        <v>10</v>
      </c>
      <c r="I2403" s="135"/>
    </row>
    <row r="2404" spans="1:9" ht="21.75" customHeight="1" x14ac:dyDescent="0.25">
      <c r="A2404" s="127">
        <v>44734</v>
      </c>
      <c r="B2404" s="128" t="s">
        <v>20289</v>
      </c>
      <c r="C2404" s="129" t="s">
        <v>275</v>
      </c>
      <c r="D2404" s="130">
        <v>8674.5</v>
      </c>
      <c r="E2404" s="131">
        <v>44744</v>
      </c>
      <c r="F2404" s="132">
        <v>8674.5</v>
      </c>
      <c r="G2404" s="133">
        <f>Tabla147[[#This Row],[Importe]]-Tabla147[[#This Row],[Pagado]]</f>
        <v>0</v>
      </c>
      <c r="H2404" s="134" t="s">
        <v>10</v>
      </c>
      <c r="I2404" s="135"/>
    </row>
    <row r="2405" spans="1:9" ht="21.75" customHeight="1" x14ac:dyDescent="0.25">
      <c r="A2405" s="127">
        <v>44734</v>
      </c>
      <c r="B2405" s="128" t="s">
        <v>20290</v>
      </c>
      <c r="C2405" s="129" t="s">
        <v>173</v>
      </c>
      <c r="D2405" s="130">
        <v>16562.400000000001</v>
      </c>
      <c r="E2405" s="131">
        <v>44735</v>
      </c>
      <c r="F2405" s="132">
        <v>16562.400000000001</v>
      </c>
      <c r="G2405" s="133">
        <f>Tabla147[[#This Row],[Importe]]-Tabla147[[#This Row],[Pagado]]</f>
        <v>0</v>
      </c>
      <c r="H2405" s="134" t="s">
        <v>10</v>
      </c>
      <c r="I2405" s="135"/>
    </row>
    <row r="2406" spans="1:9" ht="21.75" customHeight="1" x14ac:dyDescent="0.25">
      <c r="A2406" s="127">
        <v>44734</v>
      </c>
      <c r="B2406" s="128" t="s">
        <v>20291</v>
      </c>
      <c r="C2406" s="129" t="s">
        <v>9</v>
      </c>
      <c r="D2406" s="130">
        <v>7493.4</v>
      </c>
      <c r="E2406" s="131">
        <v>44734</v>
      </c>
      <c r="F2406" s="132">
        <v>7493.4</v>
      </c>
      <c r="G2406" s="133">
        <f>Tabla147[[#This Row],[Importe]]-Tabla147[[#This Row],[Pagado]]</f>
        <v>0</v>
      </c>
      <c r="H2406" s="134" t="s">
        <v>10</v>
      </c>
      <c r="I2406" s="135"/>
    </row>
    <row r="2407" spans="1:9" ht="21.75" customHeight="1" x14ac:dyDescent="0.25">
      <c r="A2407" s="127">
        <v>44734</v>
      </c>
      <c r="B2407" s="128" t="s">
        <v>20292</v>
      </c>
      <c r="C2407" s="129" t="s">
        <v>135</v>
      </c>
      <c r="D2407" s="130">
        <v>1221</v>
      </c>
      <c r="E2407" s="131">
        <v>44734</v>
      </c>
      <c r="F2407" s="132">
        <v>1221</v>
      </c>
      <c r="G2407" s="133">
        <f>Tabla147[[#This Row],[Importe]]-Tabla147[[#This Row],[Pagado]]</f>
        <v>0</v>
      </c>
      <c r="H2407" s="134" t="s">
        <v>10</v>
      </c>
      <c r="I2407" s="135"/>
    </row>
    <row r="2408" spans="1:9" ht="21.75" customHeight="1" x14ac:dyDescent="0.25">
      <c r="A2408" s="127">
        <v>44734</v>
      </c>
      <c r="B2408" s="128" t="s">
        <v>20293</v>
      </c>
      <c r="C2408" s="129" t="s">
        <v>31</v>
      </c>
      <c r="D2408" s="130">
        <v>909.2</v>
      </c>
      <c r="E2408" s="131">
        <v>44734</v>
      </c>
      <c r="F2408" s="132">
        <v>909.2</v>
      </c>
      <c r="G2408" s="133">
        <f>Tabla147[[#This Row],[Importe]]-Tabla147[[#This Row],[Pagado]]</f>
        <v>0</v>
      </c>
      <c r="H2408" s="134" t="s">
        <v>10</v>
      </c>
      <c r="I2408" s="135"/>
    </row>
    <row r="2409" spans="1:9" ht="21.75" customHeight="1" x14ac:dyDescent="0.25">
      <c r="A2409" s="127">
        <v>44734</v>
      </c>
      <c r="B2409" s="128" t="s">
        <v>20294</v>
      </c>
      <c r="C2409" s="129" t="s">
        <v>179</v>
      </c>
      <c r="D2409" s="130">
        <v>1375.2</v>
      </c>
      <c r="E2409" s="131">
        <v>44734</v>
      </c>
      <c r="F2409" s="132">
        <v>1375.2</v>
      </c>
      <c r="G2409" s="133">
        <f>Tabla147[[#This Row],[Importe]]-Tabla147[[#This Row],[Pagado]]</f>
        <v>0</v>
      </c>
      <c r="H2409" s="134" t="s">
        <v>10</v>
      </c>
      <c r="I2409" s="135"/>
    </row>
    <row r="2410" spans="1:9" ht="21.75" customHeight="1" x14ac:dyDescent="0.25">
      <c r="A2410" s="127">
        <v>44734</v>
      </c>
      <c r="B2410" s="128" t="s">
        <v>20295</v>
      </c>
      <c r="C2410" s="129" t="s">
        <v>206</v>
      </c>
      <c r="D2410" s="130">
        <v>13833.5</v>
      </c>
      <c r="E2410" s="131">
        <v>44737</v>
      </c>
      <c r="F2410" s="132">
        <v>13833.5</v>
      </c>
      <c r="G2410" s="133">
        <f>Tabla147[[#This Row],[Importe]]-Tabla147[[#This Row],[Pagado]]</f>
        <v>0</v>
      </c>
      <c r="H2410" s="134" t="s">
        <v>10</v>
      </c>
      <c r="I2410" s="135"/>
    </row>
    <row r="2411" spans="1:9" ht="21.75" customHeight="1" x14ac:dyDescent="0.25">
      <c r="A2411" s="127">
        <v>44734</v>
      </c>
      <c r="B2411" s="128" t="s">
        <v>20296</v>
      </c>
      <c r="C2411" s="129" t="s">
        <v>133</v>
      </c>
      <c r="D2411" s="130">
        <v>29462.799999999999</v>
      </c>
      <c r="E2411" s="131">
        <v>44744</v>
      </c>
      <c r="F2411" s="132">
        <v>29462.799999999999</v>
      </c>
      <c r="G2411" s="133">
        <f>Tabla147[[#This Row],[Importe]]-Tabla147[[#This Row],[Pagado]]</f>
        <v>0</v>
      </c>
      <c r="H2411" s="134" t="s">
        <v>10</v>
      </c>
      <c r="I2411" s="135"/>
    </row>
    <row r="2412" spans="1:9" ht="21.75" customHeight="1" x14ac:dyDescent="0.25">
      <c r="A2412" s="127">
        <v>44734</v>
      </c>
      <c r="B2412" s="128" t="s">
        <v>20297</v>
      </c>
      <c r="C2412" s="129" t="s">
        <v>47</v>
      </c>
      <c r="D2412" s="130">
        <v>57473.84</v>
      </c>
      <c r="E2412" s="131">
        <v>44734</v>
      </c>
      <c r="F2412" s="132">
        <v>57473.84</v>
      </c>
      <c r="G2412" s="133">
        <f>Tabla147[[#This Row],[Importe]]-Tabla147[[#This Row],[Pagado]]</f>
        <v>0</v>
      </c>
      <c r="H2412" s="134" t="s">
        <v>10</v>
      </c>
      <c r="I2412" s="135"/>
    </row>
    <row r="2413" spans="1:9" ht="21.75" customHeight="1" x14ac:dyDescent="0.25">
      <c r="A2413" s="127">
        <v>44734</v>
      </c>
      <c r="B2413" s="128" t="s">
        <v>20298</v>
      </c>
      <c r="C2413" s="129" t="s">
        <v>1362</v>
      </c>
      <c r="D2413" s="130">
        <v>4558.3999999999996</v>
      </c>
      <c r="E2413" s="131">
        <v>44734</v>
      </c>
      <c r="F2413" s="132">
        <v>4558.3999999999996</v>
      </c>
      <c r="G2413" s="133">
        <f>Tabla147[[#This Row],[Importe]]-Tabla147[[#This Row],[Pagado]]</f>
        <v>0</v>
      </c>
      <c r="H2413" s="134" t="s">
        <v>10</v>
      </c>
      <c r="I2413" s="135"/>
    </row>
    <row r="2414" spans="1:9" ht="21.75" customHeight="1" x14ac:dyDescent="0.25">
      <c r="A2414" s="127">
        <v>44734</v>
      </c>
      <c r="B2414" s="128" t="s">
        <v>20299</v>
      </c>
      <c r="C2414" s="129" t="s">
        <v>53</v>
      </c>
      <c r="D2414" s="130">
        <v>3332.3</v>
      </c>
      <c r="E2414" s="131">
        <v>44734</v>
      </c>
      <c r="F2414" s="132">
        <v>3332.3</v>
      </c>
      <c r="G2414" s="133">
        <f>Tabla147[[#This Row],[Importe]]-Tabla147[[#This Row],[Pagado]]</f>
        <v>0</v>
      </c>
      <c r="H2414" s="134" t="s">
        <v>10</v>
      </c>
      <c r="I2414" s="135"/>
    </row>
    <row r="2415" spans="1:9" ht="21.75" customHeight="1" x14ac:dyDescent="0.25">
      <c r="A2415" s="127">
        <v>44734</v>
      </c>
      <c r="B2415" s="128" t="s">
        <v>20300</v>
      </c>
      <c r="C2415" s="129" t="s">
        <v>373</v>
      </c>
      <c r="D2415" s="130">
        <v>688.6</v>
      </c>
      <c r="E2415" s="131">
        <v>44734</v>
      </c>
      <c r="F2415" s="132">
        <v>688.6</v>
      </c>
      <c r="G2415" s="133">
        <f>Tabla147[[#This Row],[Importe]]-Tabla147[[#This Row],[Pagado]]</f>
        <v>0</v>
      </c>
      <c r="H2415" s="134" t="s">
        <v>10</v>
      </c>
      <c r="I2415" s="135"/>
    </row>
    <row r="2416" spans="1:9" ht="21.75" customHeight="1" x14ac:dyDescent="0.25">
      <c r="A2416" s="127">
        <v>44734</v>
      </c>
      <c r="B2416" s="128" t="s">
        <v>20301</v>
      </c>
      <c r="C2416" s="129" t="s">
        <v>146</v>
      </c>
      <c r="D2416" s="130">
        <v>3952.5</v>
      </c>
      <c r="E2416" s="131">
        <v>44734</v>
      </c>
      <c r="F2416" s="132">
        <v>3952.5</v>
      </c>
      <c r="G2416" s="133">
        <f>Tabla147[[#This Row],[Importe]]-Tabla147[[#This Row],[Pagado]]</f>
        <v>0</v>
      </c>
      <c r="H2416" s="134" t="s">
        <v>10</v>
      </c>
      <c r="I2416" s="135"/>
    </row>
    <row r="2417" spans="1:9" ht="21.75" customHeight="1" x14ac:dyDescent="0.25">
      <c r="A2417" s="127">
        <v>44734</v>
      </c>
      <c r="B2417" s="128" t="s">
        <v>20302</v>
      </c>
      <c r="C2417" s="129" t="s">
        <v>22</v>
      </c>
      <c r="D2417" s="130">
        <v>47684.2</v>
      </c>
      <c r="E2417" s="131">
        <v>44736</v>
      </c>
      <c r="F2417" s="132">
        <v>47684.2</v>
      </c>
      <c r="G2417" s="133">
        <f>Tabla147[[#This Row],[Importe]]-Tabla147[[#This Row],[Pagado]]</f>
        <v>0</v>
      </c>
      <c r="H2417" s="134" t="s">
        <v>10</v>
      </c>
      <c r="I2417" s="135"/>
    </row>
    <row r="2418" spans="1:9" ht="21.75" customHeight="1" x14ac:dyDescent="0.25">
      <c r="A2418" s="127">
        <v>44734</v>
      </c>
      <c r="B2418" s="128" t="s">
        <v>20303</v>
      </c>
      <c r="C2418" s="129" t="s">
        <v>27</v>
      </c>
      <c r="D2418" s="130">
        <v>1750.9</v>
      </c>
      <c r="E2418" s="131">
        <v>44734</v>
      </c>
      <c r="F2418" s="132">
        <v>1750.9</v>
      </c>
      <c r="G2418" s="133">
        <f>Tabla147[[#This Row],[Importe]]-Tabla147[[#This Row],[Pagado]]</f>
        <v>0</v>
      </c>
      <c r="H2418" s="134" t="s">
        <v>10</v>
      </c>
      <c r="I2418" s="135"/>
    </row>
    <row r="2419" spans="1:9" ht="21.75" customHeight="1" x14ac:dyDescent="0.25">
      <c r="A2419" s="127">
        <v>44734</v>
      </c>
      <c r="B2419" s="128" t="s">
        <v>20304</v>
      </c>
      <c r="C2419" s="129" t="s">
        <v>69</v>
      </c>
      <c r="D2419" s="130">
        <v>2800.8</v>
      </c>
      <c r="E2419" s="131">
        <v>44734</v>
      </c>
      <c r="F2419" s="132">
        <v>2800.8</v>
      </c>
      <c r="G2419" s="133">
        <f>Tabla147[[#This Row],[Importe]]-Tabla147[[#This Row],[Pagado]]</f>
        <v>0</v>
      </c>
      <c r="H2419" s="134" t="s">
        <v>10</v>
      </c>
      <c r="I2419" s="135"/>
    </row>
    <row r="2420" spans="1:9" ht="21.75" customHeight="1" x14ac:dyDescent="0.25">
      <c r="A2420" s="127">
        <v>44734</v>
      </c>
      <c r="B2420" s="128" t="s">
        <v>20305</v>
      </c>
      <c r="C2420" s="129" t="s">
        <v>140</v>
      </c>
      <c r="D2420" s="130">
        <v>1228.4000000000001</v>
      </c>
      <c r="E2420" s="131">
        <v>44734</v>
      </c>
      <c r="F2420" s="132">
        <v>1228.4000000000001</v>
      </c>
      <c r="G2420" s="133">
        <f>Tabla147[[#This Row],[Importe]]-Tabla147[[#This Row],[Pagado]]</f>
        <v>0</v>
      </c>
      <c r="H2420" s="134" t="s">
        <v>10</v>
      </c>
      <c r="I2420" s="135"/>
    </row>
    <row r="2421" spans="1:9" ht="21.75" customHeight="1" x14ac:dyDescent="0.25">
      <c r="A2421" s="127">
        <v>44734</v>
      </c>
      <c r="B2421" s="128" t="s">
        <v>20306</v>
      </c>
      <c r="C2421" s="129" t="s">
        <v>107</v>
      </c>
      <c r="D2421" s="130">
        <v>10456.6</v>
      </c>
      <c r="E2421" s="131">
        <v>44734</v>
      </c>
      <c r="F2421" s="132">
        <v>10456.6</v>
      </c>
      <c r="G2421" s="133">
        <f>Tabla147[[#This Row],[Importe]]-Tabla147[[#This Row],[Pagado]]</f>
        <v>0</v>
      </c>
      <c r="H2421" s="134" t="s">
        <v>10</v>
      </c>
      <c r="I2421" s="135"/>
    </row>
    <row r="2422" spans="1:9" ht="21.75" customHeight="1" x14ac:dyDescent="0.25">
      <c r="A2422" s="127">
        <v>44734</v>
      </c>
      <c r="B2422" s="128" t="s">
        <v>20307</v>
      </c>
      <c r="C2422" s="129" t="s">
        <v>129</v>
      </c>
      <c r="D2422" s="130">
        <v>1184</v>
      </c>
      <c r="E2422" s="131">
        <v>44734</v>
      </c>
      <c r="F2422" s="132">
        <v>1184</v>
      </c>
      <c r="G2422" s="133">
        <f>Tabla147[[#This Row],[Importe]]-Tabla147[[#This Row],[Pagado]]</f>
        <v>0</v>
      </c>
      <c r="H2422" s="134" t="s">
        <v>10</v>
      </c>
      <c r="I2422" s="135"/>
    </row>
    <row r="2423" spans="1:9" ht="21.75" customHeight="1" x14ac:dyDescent="0.25">
      <c r="A2423" s="127">
        <v>44734</v>
      </c>
      <c r="B2423" s="128" t="s">
        <v>20308</v>
      </c>
      <c r="C2423" s="129" t="s">
        <v>16</v>
      </c>
      <c r="D2423" s="130">
        <v>4380</v>
      </c>
      <c r="E2423" s="131">
        <v>44734</v>
      </c>
      <c r="F2423" s="132">
        <v>4380</v>
      </c>
      <c r="G2423" s="133">
        <f>Tabla147[[#This Row],[Importe]]-Tabla147[[#This Row],[Pagado]]</f>
        <v>0</v>
      </c>
      <c r="H2423" s="134" t="s">
        <v>10</v>
      </c>
      <c r="I2423" s="135"/>
    </row>
    <row r="2424" spans="1:9" ht="21.75" customHeight="1" x14ac:dyDescent="0.25">
      <c r="A2424" s="127">
        <v>44734</v>
      </c>
      <c r="B2424" s="128" t="s">
        <v>20309</v>
      </c>
      <c r="C2424" s="129" t="s">
        <v>382</v>
      </c>
      <c r="D2424" s="130">
        <v>5416.6</v>
      </c>
      <c r="E2424" s="131">
        <v>44734</v>
      </c>
      <c r="F2424" s="132">
        <v>5416.6</v>
      </c>
      <c r="G2424" s="133">
        <f>Tabla147[[#This Row],[Importe]]-Tabla147[[#This Row],[Pagado]]</f>
        <v>0</v>
      </c>
      <c r="H2424" s="134" t="s">
        <v>10</v>
      </c>
      <c r="I2424" s="135"/>
    </row>
    <row r="2425" spans="1:9" ht="21.75" customHeight="1" x14ac:dyDescent="0.25">
      <c r="A2425" s="127">
        <v>44734</v>
      </c>
      <c r="B2425" s="128" t="s">
        <v>20310</v>
      </c>
      <c r="C2425" s="129" t="s">
        <v>127</v>
      </c>
      <c r="D2425" s="130">
        <v>680.8</v>
      </c>
      <c r="E2425" s="131">
        <v>44734</v>
      </c>
      <c r="F2425" s="132">
        <v>680.8</v>
      </c>
      <c r="G2425" s="133">
        <f>Tabla147[[#This Row],[Importe]]-Tabla147[[#This Row],[Pagado]]</f>
        <v>0</v>
      </c>
      <c r="H2425" s="134" t="s">
        <v>10</v>
      </c>
      <c r="I2425" s="135"/>
    </row>
    <row r="2426" spans="1:9" ht="21.75" customHeight="1" x14ac:dyDescent="0.25">
      <c r="A2426" s="127">
        <v>44734</v>
      </c>
      <c r="B2426" s="128" t="s">
        <v>20311</v>
      </c>
      <c r="C2426" s="129" t="s">
        <v>339</v>
      </c>
      <c r="D2426" s="130">
        <v>636.4</v>
      </c>
      <c r="E2426" s="131">
        <v>44734</v>
      </c>
      <c r="F2426" s="132">
        <v>636.4</v>
      </c>
      <c r="G2426" s="133">
        <f>Tabla147[[#This Row],[Importe]]-Tabla147[[#This Row],[Pagado]]</f>
        <v>0</v>
      </c>
      <c r="H2426" s="134" t="s">
        <v>10</v>
      </c>
      <c r="I2426" s="135"/>
    </row>
    <row r="2427" spans="1:9" ht="21.75" customHeight="1" x14ac:dyDescent="0.25">
      <c r="A2427" s="127">
        <v>44734</v>
      </c>
      <c r="B2427" s="128" t="s">
        <v>20312</v>
      </c>
      <c r="C2427" s="129" t="s">
        <v>142</v>
      </c>
      <c r="D2427" s="130">
        <v>55732.800000000003</v>
      </c>
      <c r="E2427" s="131">
        <v>44769</v>
      </c>
      <c r="F2427" s="132">
        <v>55732.800000000003</v>
      </c>
      <c r="G2427" s="133">
        <f>Tabla147[[#This Row],[Importe]]-Tabla147[[#This Row],[Pagado]]</f>
        <v>0</v>
      </c>
      <c r="H2427" s="134" t="s">
        <v>10</v>
      </c>
      <c r="I2427" s="135"/>
    </row>
    <row r="2428" spans="1:9" ht="21.75" customHeight="1" x14ac:dyDescent="0.25">
      <c r="A2428" s="127">
        <v>44734</v>
      </c>
      <c r="B2428" s="128" t="s">
        <v>20313</v>
      </c>
      <c r="C2428" s="129" t="s">
        <v>333</v>
      </c>
      <c r="D2428" s="130">
        <v>1363</v>
      </c>
      <c r="E2428" s="131">
        <v>44734</v>
      </c>
      <c r="F2428" s="132">
        <v>1363</v>
      </c>
      <c r="G2428" s="133">
        <f>Tabla147[[#This Row],[Importe]]-Tabla147[[#This Row],[Pagado]]</f>
        <v>0</v>
      </c>
      <c r="H2428" s="134" t="s">
        <v>10</v>
      </c>
      <c r="I2428" s="135"/>
    </row>
    <row r="2429" spans="1:9" ht="21.75" customHeight="1" x14ac:dyDescent="0.25">
      <c r="A2429" s="127">
        <v>44734</v>
      </c>
      <c r="B2429" s="128" t="s">
        <v>20314</v>
      </c>
      <c r="C2429" s="129" t="s">
        <v>419</v>
      </c>
      <c r="D2429" s="130">
        <v>919.8</v>
      </c>
      <c r="E2429" s="131">
        <v>44734</v>
      </c>
      <c r="F2429" s="132">
        <v>919.8</v>
      </c>
      <c r="G2429" s="133">
        <f>Tabla147[[#This Row],[Importe]]-Tabla147[[#This Row],[Pagado]]</f>
        <v>0</v>
      </c>
      <c r="H2429" s="134" t="s">
        <v>10</v>
      </c>
      <c r="I2429" s="135"/>
    </row>
    <row r="2430" spans="1:9" ht="21.75" customHeight="1" x14ac:dyDescent="0.25">
      <c r="A2430" s="127">
        <v>44734</v>
      </c>
      <c r="B2430" s="128" t="s">
        <v>20315</v>
      </c>
      <c r="C2430" s="129" t="s">
        <v>732</v>
      </c>
      <c r="D2430" s="130">
        <v>2206.6999999999998</v>
      </c>
      <c r="E2430" s="131">
        <v>44734</v>
      </c>
      <c r="F2430" s="132">
        <v>2206.6999999999998</v>
      </c>
      <c r="G2430" s="133">
        <f>Tabla147[[#This Row],[Importe]]-Tabla147[[#This Row],[Pagado]]</f>
        <v>0</v>
      </c>
      <c r="H2430" s="134" t="s">
        <v>10</v>
      </c>
      <c r="I2430" s="135"/>
    </row>
    <row r="2431" spans="1:9" ht="21.75" customHeight="1" x14ac:dyDescent="0.25">
      <c r="A2431" s="127">
        <v>44734</v>
      </c>
      <c r="B2431" s="128" t="s">
        <v>20316</v>
      </c>
      <c r="C2431" s="129" t="s">
        <v>348</v>
      </c>
      <c r="D2431" s="130">
        <v>5091.2</v>
      </c>
      <c r="E2431" s="131">
        <v>44734</v>
      </c>
      <c r="F2431" s="132">
        <v>5091.2</v>
      </c>
      <c r="G2431" s="133">
        <f>Tabla147[[#This Row],[Importe]]-Tabla147[[#This Row],[Pagado]]</f>
        <v>0</v>
      </c>
      <c r="H2431" s="134" t="s">
        <v>10</v>
      </c>
      <c r="I2431" s="135"/>
    </row>
    <row r="2432" spans="1:9" ht="21.75" customHeight="1" x14ac:dyDescent="0.25">
      <c r="A2432" s="127">
        <v>44734</v>
      </c>
      <c r="B2432" s="128" t="s">
        <v>20317</v>
      </c>
      <c r="C2432" s="129" t="s">
        <v>214</v>
      </c>
      <c r="D2432" s="130">
        <v>7866.2</v>
      </c>
      <c r="E2432" s="131">
        <v>44734</v>
      </c>
      <c r="F2432" s="132">
        <v>7866.2</v>
      </c>
      <c r="G2432" s="133">
        <f>Tabla147[[#This Row],[Importe]]-Tabla147[[#This Row],[Pagado]]</f>
        <v>0</v>
      </c>
      <c r="H2432" s="134" t="s">
        <v>10</v>
      </c>
      <c r="I2432" s="135"/>
    </row>
    <row r="2433" spans="1:9" ht="21.75" customHeight="1" x14ac:dyDescent="0.25">
      <c r="A2433" s="127">
        <v>44734</v>
      </c>
      <c r="B2433" s="128" t="s">
        <v>20318</v>
      </c>
      <c r="C2433" s="129" t="s">
        <v>56</v>
      </c>
      <c r="D2433" s="130">
        <v>7196</v>
      </c>
      <c r="E2433" s="131">
        <v>44734</v>
      </c>
      <c r="F2433" s="132">
        <v>7196</v>
      </c>
      <c r="G2433" s="133">
        <f>Tabla147[[#This Row],[Importe]]-Tabla147[[#This Row],[Pagado]]</f>
        <v>0</v>
      </c>
      <c r="H2433" s="134" t="s">
        <v>10</v>
      </c>
      <c r="I2433" s="135"/>
    </row>
    <row r="2434" spans="1:9" ht="21.75" customHeight="1" x14ac:dyDescent="0.25">
      <c r="A2434" s="127">
        <v>44734</v>
      </c>
      <c r="B2434" s="128" t="s">
        <v>20319</v>
      </c>
      <c r="C2434" s="129" t="s">
        <v>365</v>
      </c>
      <c r="D2434" s="130">
        <v>412.8</v>
      </c>
      <c r="E2434" s="131">
        <v>44734</v>
      </c>
      <c r="F2434" s="132">
        <v>412.8</v>
      </c>
      <c r="G2434" s="133">
        <f>Tabla147[[#This Row],[Importe]]-Tabla147[[#This Row],[Pagado]]</f>
        <v>0</v>
      </c>
      <c r="H2434" s="134" t="s">
        <v>10</v>
      </c>
      <c r="I2434" s="135"/>
    </row>
    <row r="2435" spans="1:9" ht="21.75" customHeight="1" x14ac:dyDescent="0.25">
      <c r="A2435" s="127">
        <v>44734</v>
      </c>
      <c r="B2435" s="128" t="s">
        <v>20320</v>
      </c>
      <c r="C2435" s="129" t="s">
        <v>45</v>
      </c>
      <c r="D2435" s="130">
        <v>15695.7</v>
      </c>
      <c r="E2435" s="131">
        <v>44734</v>
      </c>
      <c r="F2435" s="132">
        <v>15695.7</v>
      </c>
      <c r="G2435" s="133">
        <f>Tabla147[[#This Row],[Importe]]-Tabla147[[#This Row],[Pagado]]</f>
        <v>0</v>
      </c>
      <c r="H2435" s="134" t="s">
        <v>10</v>
      </c>
      <c r="I2435" s="135"/>
    </row>
    <row r="2436" spans="1:9" ht="21.75" customHeight="1" x14ac:dyDescent="0.25">
      <c r="A2436" s="127">
        <v>44734</v>
      </c>
      <c r="B2436" s="128" t="s">
        <v>20321</v>
      </c>
      <c r="C2436" s="129" t="s">
        <v>24</v>
      </c>
      <c r="D2436" s="130">
        <v>4703.6000000000004</v>
      </c>
      <c r="E2436" s="131">
        <v>44734</v>
      </c>
      <c r="F2436" s="132">
        <v>4703.6000000000004</v>
      </c>
      <c r="G2436" s="133">
        <f>Tabla147[[#This Row],[Importe]]-Tabla147[[#This Row],[Pagado]]</f>
        <v>0</v>
      </c>
      <c r="H2436" s="134" t="s">
        <v>10</v>
      </c>
      <c r="I2436" s="135"/>
    </row>
    <row r="2437" spans="1:9" ht="21.75" customHeight="1" x14ac:dyDescent="0.25">
      <c r="A2437" s="127">
        <v>44734</v>
      </c>
      <c r="B2437" s="128" t="s">
        <v>20322</v>
      </c>
      <c r="C2437" s="129" t="s">
        <v>230</v>
      </c>
      <c r="D2437" s="130">
        <v>6145.4</v>
      </c>
      <c r="E2437" s="131">
        <v>44734</v>
      </c>
      <c r="F2437" s="132">
        <v>6145.4</v>
      </c>
      <c r="G2437" s="133">
        <f>Tabla147[[#This Row],[Importe]]-Tabla147[[#This Row],[Pagado]]</f>
        <v>0</v>
      </c>
      <c r="H2437" s="134" t="s">
        <v>10</v>
      </c>
      <c r="I2437" s="135"/>
    </row>
    <row r="2438" spans="1:9" ht="21.75" customHeight="1" x14ac:dyDescent="0.25">
      <c r="A2438" s="127">
        <v>44734</v>
      </c>
      <c r="B2438" s="128" t="s">
        <v>20323</v>
      </c>
      <c r="C2438" s="129" t="s">
        <v>291</v>
      </c>
      <c r="D2438" s="130">
        <v>3448.1</v>
      </c>
      <c r="E2438" s="131">
        <v>44734</v>
      </c>
      <c r="F2438" s="132">
        <v>3448.1</v>
      </c>
      <c r="G2438" s="133">
        <f>Tabla147[[#This Row],[Importe]]-Tabla147[[#This Row],[Pagado]]</f>
        <v>0</v>
      </c>
      <c r="H2438" s="134" t="s">
        <v>10</v>
      </c>
      <c r="I2438" s="135"/>
    </row>
    <row r="2439" spans="1:9" ht="21.75" customHeight="1" x14ac:dyDescent="0.25">
      <c r="A2439" s="127">
        <v>44734</v>
      </c>
      <c r="B2439" s="128" t="s">
        <v>20324</v>
      </c>
      <c r="C2439" s="129" t="s">
        <v>31</v>
      </c>
      <c r="D2439" s="130">
        <v>741.6</v>
      </c>
      <c r="E2439" s="131">
        <v>44734</v>
      </c>
      <c r="F2439" s="132">
        <v>741.6</v>
      </c>
      <c r="G2439" s="133">
        <f>Tabla147[[#This Row],[Importe]]-Tabla147[[#This Row],[Pagado]]</f>
        <v>0</v>
      </c>
      <c r="H2439" s="134" t="s">
        <v>10</v>
      </c>
      <c r="I2439" s="135"/>
    </row>
    <row r="2440" spans="1:9" ht="21.75" customHeight="1" x14ac:dyDescent="0.25">
      <c r="A2440" s="127">
        <v>44734</v>
      </c>
      <c r="B2440" s="128" t="s">
        <v>20325</v>
      </c>
      <c r="C2440" s="129" t="s">
        <v>214</v>
      </c>
      <c r="D2440" s="130">
        <v>1382.4</v>
      </c>
      <c r="E2440" s="131">
        <v>44734</v>
      </c>
      <c r="F2440" s="132">
        <v>1382.4</v>
      </c>
      <c r="G2440" s="133">
        <f>Tabla147[[#This Row],[Importe]]-Tabla147[[#This Row],[Pagado]]</f>
        <v>0</v>
      </c>
      <c r="H2440" s="134" t="s">
        <v>10</v>
      </c>
      <c r="I2440" s="135"/>
    </row>
    <row r="2441" spans="1:9" ht="21.75" customHeight="1" x14ac:dyDescent="0.25">
      <c r="A2441" s="127">
        <v>44734</v>
      </c>
      <c r="B2441" s="128" t="s">
        <v>20326</v>
      </c>
      <c r="C2441" s="129" t="s">
        <v>12202</v>
      </c>
      <c r="D2441" s="130">
        <v>24960</v>
      </c>
      <c r="E2441" s="131">
        <v>44734</v>
      </c>
      <c r="F2441" s="132">
        <v>24960</v>
      </c>
      <c r="G2441" s="133">
        <f>Tabla147[[#This Row],[Importe]]-Tabla147[[#This Row],[Pagado]]</f>
        <v>0</v>
      </c>
      <c r="H2441" s="134" t="s">
        <v>10</v>
      </c>
      <c r="I2441" s="135"/>
    </row>
    <row r="2442" spans="1:9" ht="21.75" customHeight="1" x14ac:dyDescent="0.25">
      <c r="A2442" s="127">
        <v>44734</v>
      </c>
      <c r="B2442" s="128" t="s">
        <v>20327</v>
      </c>
      <c r="C2442" s="129" t="s">
        <v>31</v>
      </c>
      <c r="D2442" s="130">
        <v>125.8</v>
      </c>
      <c r="E2442" s="131">
        <v>44734</v>
      </c>
      <c r="F2442" s="132">
        <v>125.8</v>
      </c>
      <c r="G2442" s="133">
        <f>Tabla147[[#This Row],[Importe]]-Tabla147[[#This Row],[Pagado]]</f>
        <v>0</v>
      </c>
      <c r="H2442" s="134" t="s">
        <v>10</v>
      </c>
      <c r="I2442" s="135"/>
    </row>
    <row r="2443" spans="1:9" ht="21.75" customHeight="1" x14ac:dyDescent="0.25">
      <c r="A2443" s="127">
        <v>44734</v>
      </c>
      <c r="B2443" s="128" t="s">
        <v>20328</v>
      </c>
      <c r="C2443" s="129" t="s">
        <v>670</v>
      </c>
      <c r="D2443" s="130">
        <v>5139.2</v>
      </c>
      <c r="E2443" s="131">
        <v>44734</v>
      </c>
      <c r="F2443" s="132">
        <v>5139.2</v>
      </c>
      <c r="G2443" s="133">
        <f>Tabla147[[#This Row],[Importe]]-Tabla147[[#This Row],[Pagado]]</f>
        <v>0</v>
      </c>
      <c r="H2443" s="134" t="s">
        <v>10</v>
      </c>
      <c r="I2443" s="135"/>
    </row>
    <row r="2444" spans="1:9" ht="21.75" customHeight="1" x14ac:dyDescent="0.25">
      <c r="A2444" s="127">
        <v>44734</v>
      </c>
      <c r="B2444" s="128" t="s">
        <v>20329</v>
      </c>
      <c r="C2444" s="129" t="s">
        <v>587</v>
      </c>
      <c r="D2444" s="130">
        <v>5014.92</v>
      </c>
      <c r="E2444" s="131">
        <v>44734</v>
      </c>
      <c r="F2444" s="132">
        <v>5014.92</v>
      </c>
      <c r="G2444" s="133">
        <f>Tabla147[[#This Row],[Importe]]-Tabla147[[#This Row],[Pagado]]</f>
        <v>0</v>
      </c>
      <c r="H2444" s="134" t="s">
        <v>10</v>
      </c>
      <c r="I2444" s="135"/>
    </row>
    <row r="2445" spans="1:9" ht="21.75" customHeight="1" x14ac:dyDescent="0.25">
      <c r="A2445" s="127">
        <v>44734</v>
      </c>
      <c r="B2445" s="128" t="s">
        <v>20330</v>
      </c>
      <c r="C2445" s="129" t="s">
        <v>289</v>
      </c>
      <c r="D2445" s="130">
        <v>13704.7</v>
      </c>
      <c r="E2445" s="131">
        <v>44734</v>
      </c>
      <c r="F2445" s="132">
        <v>13704.7</v>
      </c>
      <c r="G2445" s="133">
        <f>Tabla147[[#This Row],[Importe]]-Tabla147[[#This Row],[Pagado]]</f>
        <v>0</v>
      </c>
      <c r="H2445" s="134" t="s">
        <v>10</v>
      </c>
      <c r="I2445" s="135"/>
    </row>
    <row r="2446" spans="1:9" ht="21.75" customHeight="1" x14ac:dyDescent="0.25">
      <c r="A2446" s="127">
        <v>44734</v>
      </c>
      <c r="B2446" s="128" t="s">
        <v>20331</v>
      </c>
      <c r="C2446" s="129" t="s">
        <v>843</v>
      </c>
      <c r="D2446" s="130">
        <v>22314.2</v>
      </c>
      <c r="E2446" s="131">
        <v>44734</v>
      </c>
      <c r="F2446" s="132">
        <v>22314.2</v>
      </c>
      <c r="G2446" s="133">
        <f>Tabla147[[#This Row],[Importe]]-Tabla147[[#This Row],[Pagado]]</f>
        <v>0</v>
      </c>
      <c r="H2446" s="134" t="s">
        <v>10</v>
      </c>
      <c r="I2446" s="135"/>
    </row>
    <row r="2447" spans="1:9" ht="21.75" customHeight="1" x14ac:dyDescent="0.25">
      <c r="A2447" s="127">
        <v>44734</v>
      </c>
      <c r="B2447" s="128" t="s">
        <v>20332</v>
      </c>
      <c r="C2447" s="129" t="s">
        <v>555</v>
      </c>
      <c r="D2447" s="130">
        <v>43837.02</v>
      </c>
      <c r="E2447" s="131">
        <v>44734</v>
      </c>
      <c r="F2447" s="132">
        <v>43837.02</v>
      </c>
      <c r="G2447" s="133">
        <f>Tabla147[[#This Row],[Importe]]-Tabla147[[#This Row],[Pagado]]</f>
        <v>0</v>
      </c>
      <c r="H2447" s="134" t="s">
        <v>10</v>
      </c>
      <c r="I2447" s="135"/>
    </row>
    <row r="2448" spans="1:9" ht="21.75" customHeight="1" x14ac:dyDescent="0.25">
      <c r="A2448" s="127">
        <v>44734</v>
      </c>
      <c r="B2448" s="128" t="s">
        <v>20333</v>
      </c>
      <c r="C2448" s="129" t="s">
        <v>31</v>
      </c>
      <c r="D2448" s="130">
        <v>2095.1999999999998</v>
      </c>
      <c r="E2448" s="131">
        <v>44734</v>
      </c>
      <c r="F2448" s="132">
        <v>2095.1999999999998</v>
      </c>
      <c r="G2448" s="133">
        <f>Tabla147[[#This Row],[Importe]]-Tabla147[[#This Row],[Pagado]]</f>
        <v>0</v>
      </c>
      <c r="H2448" s="134" t="s">
        <v>10</v>
      </c>
      <c r="I2448" s="135"/>
    </row>
    <row r="2449" spans="1:9" ht="21.75" customHeight="1" x14ac:dyDescent="0.25">
      <c r="A2449" s="127">
        <v>44734</v>
      </c>
      <c r="B2449" s="128" t="s">
        <v>20334</v>
      </c>
      <c r="C2449" s="129" t="s">
        <v>226</v>
      </c>
      <c r="D2449" s="130">
        <v>3807.9</v>
      </c>
      <c r="E2449" s="131">
        <v>44734</v>
      </c>
      <c r="F2449" s="132">
        <v>3807.9</v>
      </c>
      <c r="G2449" s="133">
        <f>Tabla147[[#This Row],[Importe]]-Tabla147[[#This Row],[Pagado]]</f>
        <v>0</v>
      </c>
      <c r="H2449" s="134" t="s">
        <v>10</v>
      </c>
      <c r="I2449" s="135"/>
    </row>
    <row r="2450" spans="1:9" ht="21.75" customHeight="1" x14ac:dyDescent="0.25">
      <c r="A2450" s="127">
        <v>44734</v>
      </c>
      <c r="B2450" s="128" t="s">
        <v>20335</v>
      </c>
      <c r="C2450" s="129" t="s">
        <v>58</v>
      </c>
      <c r="D2450" s="130">
        <v>2273.6</v>
      </c>
      <c r="E2450" s="131">
        <v>44734</v>
      </c>
      <c r="F2450" s="132">
        <v>2273.6</v>
      </c>
      <c r="G2450" s="133">
        <f>Tabla147[[#This Row],[Importe]]-Tabla147[[#This Row],[Pagado]]</f>
        <v>0</v>
      </c>
      <c r="H2450" s="134" t="s">
        <v>10</v>
      </c>
      <c r="I2450" s="135"/>
    </row>
    <row r="2451" spans="1:9" ht="21.75" customHeight="1" x14ac:dyDescent="0.25">
      <c r="A2451" s="127">
        <v>44734</v>
      </c>
      <c r="B2451" s="128" t="s">
        <v>20336</v>
      </c>
      <c r="C2451" s="129" t="s">
        <v>2139</v>
      </c>
      <c r="D2451" s="130">
        <v>932.4</v>
      </c>
      <c r="E2451" s="131">
        <v>44734</v>
      </c>
      <c r="F2451" s="132">
        <v>932.4</v>
      </c>
      <c r="G2451" s="133">
        <f>Tabla147[[#This Row],[Importe]]-Tabla147[[#This Row],[Pagado]]</f>
        <v>0</v>
      </c>
      <c r="H2451" s="134" t="s">
        <v>10</v>
      </c>
      <c r="I2451" s="135"/>
    </row>
    <row r="2452" spans="1:9" ht="21.75" customHeight="1" x14ac:dyDescent="0.25">
      <c r="A2452" s="127">
        <v>44734</v>
      </c>
      <c r="B2452" s="128" t="s">
        <v>20337</v>
      </c>
      <c r="C2452" s="129" t="s">
        <v>175</v>
      </c>
      <c r="D2452" s="130">
        <v>25093.599999999999</v>
      </c>
      <c r="E2452" s="131">
        <v>44735</v>
      </c>
      <c r="F2452" s="132">
        <v>25093.599999999999</v>
      </c>
      <c r="G2452" s="133">
        <f>Tabla147[[#This Row],[Importe]]-Tabla147[[#This Row],[Pagado]]</f>
        <v>0</v>
      </c>
      <c r="H2452" s="134" t="s">
        <v>10</v>
      </c>
      <c r="I2452" s="135"/>
    </row>
    <row r="2453" spans="1:9" ht="21.75" customHeight="1" x14ac:dyDescent="0.25">
      <c r="A2453" s="127">
        <v>44734</v>
      </c>
      <c r="B2453" s="128" t="s">
        <v>20338</v>
      </c>
      <c r="C2453" s="129" t="s">
        <v>473</v>
      </c>
      <c r="D2453" s="130">
        <v>5161.3999999999996</v>
      </c>
      <c r="E2453" s="131">
        <v>44735</v>
      </c>
      <c r="F2453" s="132">
        <v>5161.3999999999996</v>
      </c>
      <c r="G2453" s="133">
        <f>Tabla147[[#This Row],[Importe]]-Tabla147[[#This Row],[Pagado]]</f>
        <v>0</v>
      </c>
      <c r="H2453" s="134" t="s">
        <v>10</v>
      </c>
      <c r="I2453" s="135"/>
    </row>
    <row r="2454" spans="1:9" ht="21.75" customHeight="1" x14ac:dyDescent="0.25">
      <c r="A2454" s="127">
        <v>44734</v>
      </c>
      <c r="B2454" s="128" t="s">
        <v>20339</v>
      </c>
      <c r="C2454" s="129" t="s">
        <v>200</v>
      </c>
      <c r="D2454" s="130">
        <v>734.4</v>
      </c>
      <c r="E2454" s="131">
        <v>44735</v>
      </c>
      <c r="F2454" s="132">
        <v>734.4</v>
      </c>
      <c r="G2454" s="133">
        <f>Tabla147[[#This Row],[Importe]]-Tabla147[[#This Row],[Pagado]]</f>
        <v>0</v>
      </c>
      <c r="H2454" s="134" t="s">
        <v>10</v>
      </c>
      <c r="I2454" s="135"/>
    </row>
    <row r="2455" spans="1:9" ht="21.75" customHeight="1" x14ac:dyDescent="0.25">
      <c r="A2455" s="127">
        <v>44734</v>
      </c>
      <c r="B2455" s="128" t="s">
        <v>20340</v>
      </c>
      <c r="C2455" s="129" t="s">
        <v>20341</v>
      </c>
      <c r="D2455" s="130">
        <v>0</v>
      </c>
      <c r="E2455" s="136" t="s">
        <v>189</v>
      </c>
      <c r="F2455" s="132">
        <v>0</v>
      </c>
      <c r="G2455" s="133">
        <f>Tabla147[[#This Row],[Importe]]-Tabla147[[#This Row],[Pagado]]</f>
        <v>0</v>
      </c>
      <c r="H2455" s="137" t="s">
        <v>20342</v>
      </c>
      <c r="I2455" s="135"/>
    </row>
    <row r="2456" spans="1:9" ht="21.75" customHeight="1" x14ac:dyDescent="0.25">
      <c r="A2456" s="127">
        <v>44734</v>
      </c>
      <c r="B2456" s="128" t="s">
        <v>20343</v>
      </c>
      <c r="C2456" s="129" t="s">
        <v>75</v>
      </c>
      <c r="D2456" s="130">
        <v>3830.4</v>
      </c>
      <c r="E2456" s="131">
        <v>44735</v>
      </c>
      <c r="F2456" s="132">
        <v>3830.4</v>
      </c>
      <c r="G2456" s="133">
        <f>Tabla147[[#This Row],[Importe]]-Tabla147[[#This Row],[Pagado]]</f>
        <v>0</v>
      </c>
      <c r="H2456" s="134" t="s">
        <v>10</v>
      </c>
      <c r="I2456" s="135"/>
    </row>
    <row r="2457" spans="1:9" ht="21.75" customHeight="1" x14ac:dyDescent="0.25">
      <c r="A2457" s="127">
        <v>44734</v>
      </c>
      <c r="B2457" s="128" t="s">
        <v>20344</v>
      </c>
      <c r="C2457" s="129" t="s">
        <v>282</v>
      </c>
      <c r="D2457" s="130">
        <v>2851.2</v>
      </c>
      <c r="E2457" s="131">
        <v>44735</v>
      </c>
      <c r="F2457" s="132">
        <v>2851.2</v>
      </c>
      <c r="G2457" s="133">
        <f>Tabla147[[#This Row],[Importe]]-Tabla147[[#This Row],[Pagado]]</f>
        <v>0</v>
      </c>
      <c r="H2457" s="134" t="s">
        <v>10</v>
      </c>
      <c r="I2457" s="135"/>
    </row>
    <row r="2458" spans="1:9" ht="21.75" customHeight="1" x14ac:dyDescent="0.25">
      <c r="A2458" s="127">
        <v>44734</v>
      </c>
      <c r="B2458" s="128" t="s">
        <v>20345</v>
      </c>
      <c r="C2458" s="129" t="s">
        <v>280</v>
      </c>
      <c r="D2458" s="130">
        <v>720</v>
      </c>
      <c r="E2458" s="131">
        <v>44735</v>
      </c>
      <c r="F2458" s="132">
        <v>720</v>
      </c>
      <c r="G2458" s="133">
        <f>Tabla147[[#This Row],[Importe]]-Tabla147[[#This Row],[Pagado]]</f>
        <v>0</v>
      </c>
      <c r="H2458" s="134" t="s">
        <v>10</v>
      </c>
      <c r="I2458" s="135"/>
    </row>
    <row r="2459" spans="1:9" ht="21.75" customHeight="1" x14ac:dyDescent="0.25">
      <c r="A2459" s="127">
        <v>44734</v>
      </c>
      <c r="B2459" s="128" t="s">
        <v>20346</v>
      </c>
      <c r="C2459" s="129" t="s">
        <v>10819</v>
      </c>
      <c r="D2459" s="130">
        <v>756</v>
      </c>
      <c r="E2459" s="131">
        <v>44735</v>
      </c>
      <c r="F2459" s="132">
        <v>756</v>
      </c>
      <c r="G2459" s="133">
        <f>Tabla147[[#This Row],[Importe]]-Tabla147[[#This Row],[Pagado]]</f>
        <v>0</v>
      </c>
      <c r="H2459" s="134" t="s">
        <v>10</v>
      </c>
      <c r="I2459" s="135"/>
    </row>
    <row r="2460" spans="1:9" ht="21.75" customHeight="1" x14ac:dyDescent="0.25">
      <c r="A2460" s="127">
        <v>44734</v>
      </c>
      <c r="B2460" s="128" t="s">
        <v>20347</v>
      </c>
      <c r="C2460" s="129" t="s">
        <v>284</v>
      </c>
      <c r="D2460" s="130">
        <v>7070.4</v>
      </c>
      <c r="E2460" s="131">
        <v>44735</v>
      </c>
      <c r="F2460" s="132">
        <v>7070.4</v>
      </c>
      <c r="G2460" s="133">
        <f>Tabla147[[#This Row],[Importe]]-Tabla147[[#This Row],[Pagado]]</f>
        <v>0</v>
      </c>
      <c r="H2460" s="134" t="s">
        <v>10</v>
      </c>
      <c r="I2460" s="135"/>
    </row>
    <row r="2461" spans="1:9" ht="21.75" customHeight="1" x14ac:dyDescent="0.25">
      <c r="A2461" s="127">
        <v>44734</v>
      </c>
      <c r="B2461" s="128" t="s">
        <v>20348</v>
      </c>
      <c r="C2461" s="129" t="s">
        <v>196</v>
      </c>
      <c r="D2461" s="130">
        <v>42136.6</v>
      </c>
      <c r="E2461" s="131">
        <v>44736</v>
      </c>
      <c r="F2461" s="132">
        <v>42136.6</v>
      </c>
      <c r="G2461" s="133">
        <f>Tabla147[[#This Row],[Importe]]-Tabla147[[#This Row],[Pagado]]</f>
        <v>0</v>
      </c>
      <c r="H2461" s="134" t="s">
        <v>10</v>
      </c>
      <c r="I2461" s="135"/>
    </row>
    <row r="2462" spans="1:9" ht="21.75" customHeight="1" x14ac:dyDescent="0.25">
      <c r="A2462" s="127">
        <v>44734</v>
      </c>
      <c r="B2462" s="128" t="s">
        <v>20349</v>
      </c>
      <c r="C2462" s="129" t="s">
        <v>5345</v>
      </c>
      <c r="D2462" s="130">
        <v>1411.2</v>
      </c>
      <c r="E2462" s="131">
        <v>44735</v>
      </c>
      <c r="F2462" s="132">
        <v>1411.2</v>
      </c>
      <c r="G2462" s="133">
        <f>Tabla147[[#This Row],[Importe]]-Tabla147[[#This Row],[Pagado]]</f>
        <v>0</v>
      </c>
      <c r="H2462" s="134" t="s">
        <v>10</v>
      </c>
      <c r="I2462" s="135"/>
    </row>
    <row r="2463" spans="1:9" ht="21.75" customHeight="1" x14ac:dyDescent="0.25">
      <c r="A2463" s="127">
        <v>44734</v>
      </c>
      <c r="B2463" s="128" t="s">
        <v>20350</v>
      </c>
      <c r="C2463" s="129" t="s">
        <v>20341</v>
      </c>
      <c r="D2463" s="130">
        <v>0</v>
      </c>
      <c r="E2463" s="136" t="s">
        <v>189</v>
      </c>
      <c r="F2463" s="132">
        <v>0</v>
      </c>
      <c r="G2463" s="133">
        <f>Tabla147[[#This Row],[Importe]]-Tabla147[[#This Row],[Pagado]]</f>
        <v>0</v>
      </c>
      <c r="H2463" s="137" t="s">
        <v>20351</v>
      </c>
      <c r="I2463" s="135"/>
    </row>
    <row r="2464" spans="1:9" ht="21.75" customHeight="1" x14ac:dyDescent="0.25">
      <c r="A2464" s="127">
        <v>44734</v>
      </c>
      <c r="B2464" s="128" t="s">
        <v>20352</v>
      </c>
      <c r="C2464" s="129" t="s">
        <v>4136</v>
      </c>
      <c r="D2464" s="130">
        <v>4329</v>
      </c>
      <c r="E2464" s="131">
        <v>44734</v>
      </c>
      <c r="F2464" s="132">
        <v>4329</v>
      </c>
      <c r="G2464" s="133">
        <f>Tabla147[[#This Row],[Importe]]-Tabla147[[#This Row],[Pagado]]</f>
        <v>0</v>
      </c>
      <c r="H2464" s="134" t="s">
        <v>10</v>
      </c>
      <c r="I2464" s="135"/>
    </row>
    <row r="2465" spans="1:9" ht="21.75" customHeight="1" x14ac:dyDescent="0.25">
      <c r="A2465" s="127">
        <v>44734</v>
      </c>
      <c r="B2465" s="128" t="s">
        <v>20353</v>
      </c>
      <c r="C2465" s="129" t="s">
        <v>1174</v>
      </c>
      <c r="D2465" s="130">
        <v>22659.599999999999</v>
      </c>
      <c r="E2465" s="131">
        <v>44734</v>
      </c>
      <c r="F2465" s="132">
        <v>22659.599999999999</v>
      </c>
      <c r="G2465" s="133">
        <f>Tabla147[[#This Row],[Importe]]-Tabla147[[#This Row],[Pagado]]</f>
        <v>0</v>
      </c>
      <c r="H2465" s="134" t="s">
        <v>10</v>
      </c>
      <c r="I2465" s="135"/>
    </row>
    <row r="2466" spans="1:9" ht="21.75" customHeight="1" x14ac:dyDescent="0.25">
      <c r="A2466" s="127">
        <v>44734</v>
      </c>
      <c r="B2466" s="128" t="s">
        <v>20354</v>
      </c>
      <c r="C2466" s="129" t="s">
        <v>698</v>
      </c>
      <c r="D2466" s="130">
        <v>6754</v>
      </c>
      <c r="E2466" s="131">
        <v>44734</v>
      </c>
      <c r="F2466" s="132">
        <v>6754</v>
      </c>
      <c r="G2466" s="133">
        <f>Tabla147[[#This Row],[Importe]]-Tabla147[[#This Row],[Pagado]]</f>
        <v>0</v>
      </c>
      <c r="H2466" s="134" t="s">
        <v>10</v>
      </c>
      <c r="I2466" s="135"/>
    </row>
    <row r="2467" spans="1:9" ht="21.75" customHeight="1" x14ac:dyDescent="0.25">
      <c r="A2467" s="127">
        <v>44734</v>
      </c>
      <c r="B2467" s="128" t="s">
        <v>20355</v>
      </c>
      <c r="C2467" s="129" t="s">
        <v>698</v>
      </c>
      <c r="D2467" s="130">
        <v>734.4</v>
      </c>
      <c r="E2467" s="131">
        <v>44734</v>
      </c>
      <c r="F2467" s="132">
        <v>734.4</v>
      </c>
      <c r="G2467" s="133">
        <f>Tabla147[[#This Row],[Importe]]-Tabla147[[#This Row],[Pagado]]</f>
        <v>0</v>
      </c>
      <c r="H2467" s="134" t="s">
        <v>10</v>
      </c>
      <c r="I2467" s="135"/>
    </row>
    <row r="2468" spans="1:9" ht="21.75" customHeight="1" x14ac:dyDescent="0.25">
      <c r="A2468" s="127">
        <v>44734</v>
      </c>
      <c r="B2468" s="128" t="s">
        <v>20356</v>
      </c>
      <c r="C2468" s="129" t="s">
        <v>263</v>
      </c>
      <c r="D2468" s="130">
        <v>11366.4</v>
      </c>
      <c r="E2468" s="131">
        <v>44747</v>
      </c>
      <c r="F2468" s="132">
        <v>11366.4</v>
      </c>
      <c r="G2468" s="133">
        <f>Tabla147[[#This Row],[Importe]]-Tabla147[[#This Row],[Pagado]]</f>
        <v>0</v>
      </c>
      <c r="H2468" s="134" t="s">
        <v>10</v>
      </c>
      <c r="I2468" s="135"/>
    </row>
    <row r="2469" spans="1:9" ht="21.75" customHeight="1" x14ac:dyDescent="0.25">
      <c r="A2469" s="127">
        <v>44734</v>
      </c>
      <c r="B2469" s="128" t="s">
        <v>20357</v>
      </c>
      <c r="C2469" s="129" t="s">
        <v>53</v>
      </c>
      <c r="D2469" s="130">
        <v>2479</v>
      </c>
      <c r="E2469" s="131">
        <v>44734</v>
      </c>
      <c r="F2469" s="132">
        <v>2479</v>
      </c>
      <c r="G2469" s="133">
        <f>Tabla147[[#This Row],[Importe]]-Tabla147[[#This Row],[Pagado]]</f>
        <v>0</v>
      </c>
      <c r="H2469" s="134" t="s">
        <v>10</v>
      </c>
      <c r="I2469" s="135"/>
    </row>
    <row r="2470" spans="1:9" ht="21.75" customHeight="1" x14ac:dyDescent="0.25">
      <c r="A2470" s="127">
        <v>44734</v>
      </c>
      <c r="B2470" s="128" t="s">
        <v>20358</v>
      </c>
      <c r="C2470" s="129" t="s">
        <v>296</v>
      </c>
      <c r="D2470" s="130">
        <v>2357.9</v>
      </c>
      <c r="E2470" s="131">
        <v>44734</v>
      </c>
      <c r="F2470" s="132">
        <v>2357.9</v>
      </c>
      <c r="G2470" s="133">
        <f>Tabla147[[#This Row],[Importe]]-Tabla147[[#This Row],[Pagado]]</f>
        <v>0</v>
      </c>
      <c r="H2470" s="134" t="s">
        <v>10</v>
      </c>
      <c r="I2470" s="135"/>
    </row>
    <row r="2471" spans="1:9" ht="21.75" customHeight="1" x14ac:dyDescent="0.25">
      <c r="A2471" s="127">
        <v>44734</v>
      </c>
      <c r="B2471" s="128" t="s">
        <v>20359</v>
      </c>
      <c r="C2471" s="129" t="s">
        <v>8190</v>
      </c>
      <c r="D2471" s="130">
        <v>2438.4</v>
      </c>
      <c r="E2471" s="131">
        <v>44734</v>
      </c>
      <c r="F2471" s="132">
        <v>2438.4</v>
      </c>
      <c r="G2471" s="133">
        <f>Tabla147[[#This Row],[Importe]]-Tabla147[[#This Row],[Pagado]]</f>
        <v>0</v>
      </c>
      <c r="H2471" s="134" t="s">
        <v>10</v>
      </c>
      <c r="I2471" s="135"/>
    </row>
    <row r="2472" spans="1:9" ht="21.75" customHeight="1" x14ac:dyDescent="0.25">
      <c r="A2472" s="127">
        <v>44734</v>
      </c>
      <c r="B2472" s="128" t="s">
        <v>20360</v>
      </c>
      <c r="C2472" s="129" t="s">
        <v>275</v>
      </c>
      <c r="D2472" s="130">
        <v>13796.64</v>
      </c>
      <c r="E2472" s="131">
        <v>44744</v>
      </c>
      <c r="F2472" s="132">
        <v>13796.64</v>
      </c>
      <c r="G2472" s="133">
        <f>Tabla147[[#This Row],[Importe]]-Tabla147[[#This Row],[Pagado]]</f>
        <v>0</v>
      </c>
      <c r="H2472" s="134" t="s">
        <v>10</v>
      </c>
      <c r="I2472" s="135"/>
    </row>
    <row r="2473" spans="1:9" ht="21.75" customHeight="1" x14ac:dyDescent="0.25">
      <c r="A2473" s="127">
        <v>44734</v>
      </c>
      <c r="B2473" s="128" t="s">
        <v>20361</v>
      </c>
      <c r="C2473" s="129" t="s">
        <v>275</v>
      </c>
      <c r="D2473" s="130">
        <v>5075.1099999999997</v>
      </c>
      <c r="E2473" s="131">
        <v>44744</v>
      </c>
      <c r="F2473" s="132">
        <v>5075.1099999999997</v>
      </c>
      <c r="G2473" s="133">
        <f>Tabla147[[#This Row],[Importe]]-Tabla147[[#This Row],[Pagado]]</f>
        <v>0</v>
      </c>
      <c r="H2473" s="134" t="s">
        <v>10</v>
      </c>
      <c r="I2473" s="135"/>
    </row>
    <row r="2474" spans="1:9" ht="21.75" customHeight="1" x14ac:dyDescent="0.25">
      <c r="A2474" s="127">
        <v>44734</v>
      </c>
      <c r="B2474" s="128" t="s">
        <v>20362</v>
      </c>
      <c r="C2474" s="129" t="s">
        <v>275</v>
      </c>
      <c r="D2474" s="130">
        <v>124835.61</v>
      </c>
      <c r="E2474" s="131">
        <v>44744</v>
      </c>
      <c r="F2474" s="132">
        <v>124835.61</v>
      </c>
      <c r="G2474" s="133">
        <f>Tabla147[[#This Row],[Importe]]-Tabla147[[#This Row],[Pagado]]</f>
        <v>0</v>
      </c>
      <c r="H2474" s="134" t="s">
        <v>10</v>
      </c>
      <c r="I2474" s="135"/>
    </row>
    <row r="2475" spans="1:9" ht="21.75" customHeight="1" x14ac:dyDescent="0.25">
      <c r="A2475" s="127">
        <v>44734</v>
      </c>
      <c r="B2475" s="128" t="s">
        <v>20363</v>
      </c>
      <c r="C2475" s="129" t="s">
        <v>31</v>
      </c>
      <c r="D2475" s="130">
        <v>187.2</v>
      </c>
      <c r="E2475" s="131">
        <v>44734</v>
      </c>
      <c r="F2475" s="132">
        <v>187.2</v>
      </c>
      <c r="G2475" s="133">
        <f>Tabla147[[#This Row],[Importe]]-Tabla147[[#This Row],[Pagado]]</f>
        <v>0</v>
      </c>
      <c r="H2475" s="134" t="s">
        <v>10</v>
      </c>
      <c r="I2475" s="135"/>
    </row>
    <row r="2476" spans="1:9" ht="21.75" customHeight="1" x14ac:dyDescent="0.25">
      <c r="A2476" s="127">
        <v>44734</v>
      </c>
      <c r="B2476" s="128" t="s">
        <v>20364</v>
      </c>
      <c r="C2476" s="129" t="s">
        <v>31</v>
      </c>
      <c r="D2476" s="130">
        <v>1267</v>
      </c>
      <c r="E2476" s="131">
        <v>44734</v>
      </c>
      <c r="F2476" s="132">
        <v>1267</v>
      </c>
      <c r="G2476" s="133">
        <f>Tabla147[[#This Row],[Importe]]-Tabla147[[#This Row],[Pagado]]</f>
        <v>0</v>
      </c>
      <c r="H2476" s="134" t="s">
        <v>10</v>
      </c>
      <c r="I2476" s="135"/>
    </row>
    <row r="2477" spans="1:9" ht="21.75" customHeight="1" x14ac:dyDescent="0.25">
      <c r="A2477" s="127">
        <v>44734</v>
      </c>
      <c r="B2477" s="128" t="s">
        <v>20365</v>
      </c>
      <c r="C2477" s="129" t="s">
        <v>181</v>
      </c>
      <c r="D2477" s="130">
        <v>12862.6</v>
      </c>
      <c r="E2477" s="131">
        <v>44735</v>
      </c>
      <c r="F2477" s="132">
        <v>12862.6</v>
      </c>
      <c r="G2477" s="133">
        <f>Tabla147[[#This Row],[Importe]]-Tabla147[[#This Row],[Pagado]]</f>
        <v>0</v>
      </c>
      <c r="H2477" s="134" t="s">
        <v>10</v>
      </c>
      <c r="I2477" s="135"/>
    </row>
    <row r="2478" spans="1:9" ht="21.75" customHeight="1" x14ac:dyDescent="0.25">
      <c r="A2478" s="127">
        <v>44734</v>
      </c>
      <c r="B2478" s="128" t="s">
        <v>20366</v>
      </c>
      <c r="C2478" s="129" t="s">
        <v>10840</v>
      </c>
      <c r="D2478" s="130">
        <v>2600</v>
      </c>
      <c r="E2478" s="131">
        <v>44734</v>
      </c>
      <c r="F2478" s="132">
        <v>2600</v>
      </c>
      <c r="G2478" s="133">
        <f>Tabla147[[#This Row],[Importe]]-Tabla147[[#This Row],[Pagado]]</f>
        <v>0</v>
      </c>
      <c r="H2478" s="134" t="s">
        <v>10</v>
      </c>
      <c r="I2478" s="135"/>
    </row>
    <row r="2479" spans="1:9" ht="21.75" customHeight="1" x14ac:dyDescent="0.25">
      <c r="A2479" s="127">
        <v>44734</v>
      </c>
      <c r="B2479" s="128" t="s">
        <v>20367</v>
      </c>
      <c r="C2479" s="129" t="s">
        <v>31</v>
      </c>
      <c r="D2479" s="130">
        <v>244</v>
      </c>
      <c r="E2479" s="131">
        <v>44734</v>
      </c>
      <c r="F2479" s="132">
        <v>244</v>
      </c>
      <c r="G2479" s="133">
        <f>Tabla147[[#This Row],[Importe]]-Tabla147[[#This Row],[Pagado]]</f>
        <v>0</v>
      </c>
      <c r="H2479" s="134" t="s">
        <v>10</v>
      </c>
      <c r="I2479" s="135"/>
    </row>
    <row r="2480" spans="1:9" ht="21.75" customHeight="1" x14ac:dyDescent="0.25">
      <c r="A2480" s="127">
        <v>44734</v>
      </c>
      <c r="B2480" s="128" t="s">
        <v>20368</v>
      </c>
      <c r="C2480" s="129" t="s">
        <v>9577</v>
      </c>
      <c r="D2480" s="130">
        <v>20628</v>
      </c>
      <c r="E2480" s="131">
        <v>44735</v>
      </c>
      <c r="F2480" s="132">
        <v>20628</v>
      </c>
      <c r="G2480" s="133">
        <f>Tabla147[[#This Row],[Importe]]-Tabla147[[#This Row],[Pagado]]</f>
        <v>0</v>
      </c>
      <c r="H2480" s="134" t="s">
        <v>10</v>
      </c>
      <c r="I2480" s="135"/>
    </row>
    <row r="2481" spans="1:9" ht="21.75" customHeight="1" x14ac:dyDescent="0.25">
      <c r="A2481" s="127">
        <v>44734</v>
      </c>
      <c r="B2481" s="128" t="s">
        <v>20369</v>
      </c>
      <c r="C2481" s="129" t="s">
        <v>31</v>
      </c>
      <c r="D2481" s="130">
        <v>1036</v>
      </c>
      <c r="E2481" s="131">
        <v>44735</v>
      </c>
      <c r="F2481" s="132">
        <v>1036</v>
      </c>
      <c r="G2481" s="133">
        <f>Tabla147[[#This Row],[Importe]]-Tabla147[[#This Row],[Pagado]]</f>
        <v>0</v>
      </c>
      <c r="H2481" s="134" t="s">
        <v>10</v>
      </c>
      <c r="I2481" s="135"/>
    </row>
    <row r="2482" spans="1:9" ht="21.75" customHeight="1" x14ac:dyDescent="0.25">
      <c r="A2482" s="127">
        <v>44734</v>
      </c>
      <c r="B2482" s="128" t="s">
        <v>20370</v>
      </c>
      <c r="C2482" s="129" t="s">
        <v>31</v>
      </c>
      <c r="D2482" s="130">
        <v>155.4</v>
      </c>
      <c r="E2482" s="131">
        <v>44734</v>
      </c>
      <c r="F2482" s="132">
        <v>155.4</v>
      </c>
      <c r="G2482" s="133">
        <f>Tabla147[[#This Row],[Importe]]-Tabla147[[#This Row],[Pagado]]</f>
        <v>0</v>
      </c>
      <c r="H2482" s="134" t="s">
        <v>10</v>
      </c>
      <c r="I2482" s="135"/>
    </row>
    <row r="2483" spans="1:9" ht="21.75" customHeight="1" x14ac:dyDescent="0.25">
      <c r="A2483" s="127">
        <v>44734</v>
      </c>
      <c r="B2483" s="128" t="s">
        <v>20371</v>
      </c>
      <c r="C2483" s="129" t="s">
        <v>1706</v>
      </c>
      <c r="D2483" s="130">
        <v>7800</v>
      </c>
      <c r="E2483" s="131">
        <v>44734</v>
      </c>
      <c r="F2483" s="132">
        <v>7800</v>
      </c>
      <c r="G2483" s="133">
        <f>Tabla147[[#This Row],[Importe]]-Tabla147[[#This Row],[Pagado]]</f>
        <v>0</v>
      </c>
      <c r="H2483" s="134" t="s">
        <v>10</v>
      </c>
      <c r="I2483" s="135"/>
    </row>
    <row r="2484" spans="1:9" ht="21.75" customHeight="1" x14ac:dyDescent="0.25">
      <c r="A2484" s="127">
        <v>44734</v>
      </c>
      <c r="B2484" s="128" t="s">
        <v>20372</v>
      </c>
      <c r="C2484" s="129" t="s">
        <v>53</v>
      </c>
      <c r="D2484" s="130">
        <v>2086.8000000000002</v>
      </c>
      <c r="E2484" s="131">
        <v>44734</v>
      </c>
      <c r="F2484" s="132">
        <v>2086.8000000000002</v>
      </c>
      <c r="G2484" s="133">
        <f>Tabla147[[#This Row],[Importe]]-Tabla147[[#This Row],[Pagado]]</f>
        <v>0</v>
      </c>
      <c r="H2484" s="134" t="s">
        <v>10</v>
      </c>
      <c r="I2484" s="135"/>
    </row>
    <row r="2485" spans="1:9" ht="21.75" customHeight="1" x14ac:dyDescent="0.25">
      <c r="A2485" s="127">
        <v>44734</v>
      </c>
      <c r="B2485" s="128" t="s">
        <v>20373</v>
      </c>
      <c r="C2485" s="129" t="s">
        <v>610</v>
      </c>
      <c r="D2485" s="130">
        <v>21708</v>
      </c>
      <c r="E2485" s="131">
        <v>44735</v>
      </c>
      <c r="F2485" s="132">
        <v>21708</v>
      </c>
      <c r="G2485" s="133">
        <f>Tabla147[[#This Row],[Importe]]-Tabla147[[#This Row],[Pagado]]</f>
        <v>0</v>
      </c>
      <c r="H2485" s="134" t="s">
        <v>10</v>
      </c>
      <c r="I2485" s="135"/>
    </row>
    <row r="2486" spans="1:9" ht="21.75" customHeight="1" x14ac:dyDescent="0.25">
      <c r="A2486" s="127">
        <v>44734</v>
      </c>
      <c r="B2486" s="128" t="s">
        <v>20374</v>
      </c>
      <c r="C2486" s="129" t="s">
        <v>5694</v>
      </c>
      <c r="D2486" s="130">
        <v>4088</v>
      </c>
      <c r="E2486" s="131">
        <v>44735</v>
      </c>
      <c r="F2486" s="132">
        <v>4088</v>
      </c>
      <c r="G2486" s="133">
        <f>Tabla147[[#This Row],[Importe]]-Tabla147[[#This Row],[Pagado]]</f>
        <v>0</v>
      </c>
      <c r="H2486" s="134" t="s">
        <v>10</v>
      </c>
      <c r="I2486" s="135"/>
    </row>
    <row r="2487" spans="1:9" ht="21.75" customHeight="1" x14ac:dyDescent="0.25">
      <c r="A2487" s="127">
        <v>44735</v>
      </c>
      <c r="B2487" s="128" t="s">
        <v>20375</v>
      </c>
      <c r="C2487" s="129" t="s">
        <v>95</v>
      </c>
      <c r="D2487" s="130">
        <v>21780</v>
      </c>
      <c r="E2487" s="131">
        <v>44735</v>
      </c>
      <c r="F2487" s="132">
        <v>21780</v>
      </c>
      <c r="G2487" s="133">
        <f>Tabla147[[#This Row],[Importe]]-Tabla147[[#This Row],[Pagado]]</f>
        <v>0</v>
      </c>
      <c r="H2487" s="134" t="s">
        <v>10</v>
      </c>
      <c r="I2487" s="135"/>
    </row>
    <row r="2488" spans="1:9" ht="31.5" x14ac:dyDescent="0.25">
      <c r="A2488" s="127">
        <v>44735</v>
      </c>
      <c r="B2488" s="128" t="s">
        <v>20376</v>
      </c>
      <c r="C2488" s="129" t="s">
        <v>475</v>
      </c>
      <c r="D2488" s="130">
        <v>79112</v>
      </c>
      <c r="E2488" s="131" t="s">
        <v>20377</v>
      </c>
      <c r="F2488" s="132">
        <f>69000+10112</f>
        <v>79112</v>
      </c>
      <c r="G2488" s="133">
        <f>Tabla147[[#This Row],[Importe]]-Tabla147[[#This Row],[Pagado]]</f>
        <v>0</v>
      </c>
      <c r="H2488" s="134" t="s">
        <v>10</v>
      </c>
      <c r="I2488" s="135"/>
    </row>
    <row r="2489" spans="1:9" ht="21.75" customHeight="1" x14ac:dyDescent="0.25">
      <c r="A2489" s="127">
        <v>44735</v>
      </c>
      <c r="B2489" s="128" t="s">
        <v>20378</v>
      </c>
      <c r="C2489" s="129" t="s">
        <v>85</v>
      </c>
      <c r="D2489" s="130">
        <v>2908.8</v>
      </c>
      <c r="E2489" s="131">
        <v>44735</v>
      </c>
      <c r="F2489" s="132">
        <v>2908.8</v>
      </c>
      <c r="G2489" s="133">
        <f>Tabla147[[#This Row],[Importe]]-Tabla147[[#This Row],[Pagado]]</f>
        <v>0</v>
      </c>
      <c r="H2489" s="134" t="s">
        <v>10</v>
      </c>
      <c r="I2489" s="135"/>
    </row>
    <row r="2490" spans="1:9" ht="21.75" customHeight="1" x14ac:dyDescent="0.25">
      <c r="A2490" s="127">
        <v>44735</v>
      </c>
      <c r="B2490" s="128" t="s">
        <v>20379</v>
      </c>
      <c r="C2490" s="129" t="s">
        <v>83</v>
      </c>
      <c r="D2490" s="130">
        <v>10901</v>
      </c>
      <c r="E2490" s="131">
        <v>44735</v>
      </c>
      <c r="F2490" s="132">
        <v>10901</v>
      </c>
      <c r="G2490" s="133">
        <f>Tabla147[[#This Row],[Importe]]-Tabla147[[#This Row],[Pagado]]</f>
        <v>0</v>
      </c>
      <c r="H2490" s="134" t="s">
        <v>10</v>
      </c>
      <c r="I2490" s="135"/>
    </row>
    <row r="2491" spans="1:9" ht="21.75" customHeight="1" x14ac:dyDescent="0.25">
      <c r="A2491" s="127">
        <v>44735</v>
      </c>
      <c r="B2491" s="128" t="s">
        <v>20380</v>
      </c>
      <c r="C2491" s="129" t="s">
        <v>87</v>
      </c>
      <c r="D2491" s="130">
        <v>2361.6</v>
      </c>
      <c r="E2491" s="131">
        <v>44735</v>
      </c>
      <c r="F2491" s="132">
        <v>2361.6</v>
      </c>
      <c r="G2491" s="133">
        <f>Tabla147[[#This Row],[Importe]]-Tabla147[[#This Row],[Pagado]]</f>
        <v>0</v>
      </c>
      <c r="H2491" s="134" t="s">
        <v>10</v>
      </c>
      <c r="I2491" s="135"/>
    </row>
    <row r="2492" spans="1:9" ht="21.75" customHeight="1" x14ac:dyDescent="0.25">
      <c r="A2492" s="127">
        <v>44735</v>
      </c>
      <c r="B2492" s="128" t="s">
        <v>20381</v>
      </c>
      <c r="C2492" s="129" t="s">
        <v>353</v>
      </c>
      <c r="D2492" s="130">
        <v>956.9</v>
      </c>
      <c r="E2492" s="131">
        <v>44735</v>
      </c>
      <c r="F2492" s="132">
        <v>956.9</v>
      </c>
      <c r="G2492" s="133">
        <f>Tabla147[[#This Row],[Importe]]-Tabla147[[#This Row],[Pagado]]</f>
        <v>0</v>
      </c>
      <c r="H2492" s="134" t="s">
        <v>10</v>
      </c>
      <c r="I2492" s="135"/>
    </row>
    <row r="2493" spans="1:9" ht="21.75" customHeight="1" x14ac:dyDescent="0.25">
      <c r="A2493" s="127">
        <v>44735</v>
      </c>
      <c r="B2493" s="128" t="s">
        <v>20382</v>
      </c>
      <c r="C2493" s="129" t="s">
        <v>9</v>
      </c>
      <c r="D2493" s="130">
        <v>5047</v>
      </c>
      <c r="E2493" s="131">
        <v>44735</v>
      </c>
      <c r="F2493" s="132">
        <v>5047</v>
      </c>
      <c r="G2493" s="133">
        <f>Tabla147[[#This Row],[Importe]]-Tabla147[[#This Row],[Pagado]]</f>
        <v>0</v>
      </c>
      <c r="H2493" s="134" t="s">
        <v>10</v>
      </c>
      <c r="I2493" s="135"/>
    </row>
    <row r="2494" spans="1:9" ht="21.75" customHeight="1" x14ac:dyDescent="0.25">
      <c r="A2494" s="127">
        <v>44735</v>
      </c>
      <c r="B2494" s="128" t="s">
        <v>20383</v>
      </c>
      <c r="C2494" s="129" t="s">
        <v>60</v>
      </c>
      <c r="D2494" s="130">
        <v>4817.3999999999996</v>
      </c>
      <c r="E2494" s="131">
        <v>44736</v>
      </c>
      <c r="F2494" s="132">
        <v>4817.3999999999996</v>
      </c>
      <c r="G2494" s="133">
        <f>Tabla147[[#This Row],[Importe]]-Tabla147[[#This Row],[Pagado]]</f>
        <v>0</v>
      </c>
      <c r="H2494" s="134" t="s">
        <v>10</v>
      </c>
      <c r="I2494" s="135"/>
    </row>
    <row r="2495" spans="1:9" ht="21.75" customHeight="1" x14ac:dyDescent="0.25">
      <c r="A2495" s="127">
        <v>44735</v>
      </c>
      <c r="B2495" s="128" t="s">
        <v>20384</v>
      </c>
      <c r="C2495" s="129" t="s">
        <v>64</v>
      </c>
      <c r="D2495" s="130">
        <v>5493.2</v>
      </c>
      <c r="E2495" s="131">
        <v>44736</v>
      </c>
      <c r="F2495" s="132">
        <v>5493.2</v>
      </c>
      <c r="G2495" s="133">
        <f>Tabla147[[#This Row],[Importe]]-Tabla147[[#This Row],[Pagado]]</f>
        <v>0</v>
      </c>
      <c r="H2495" s="134" t="s">
        <v>10</v>
      </c>
      <c r="I2495" s="135"/>
    </row>
    <row r="2496" spans="1:9" ht="21.75" customHeight="1" x14ac:dyDescent="0.25">
      <c r="A2496" s="127">
        <v>44735</v>
      </c>
      <c r="B2496" s="128" t="s">
        <v>20385</v>
      </c>
      <c r="C2496" s="129" t="s">
        <v>109</v>
      </c>
      <c r="D2496" s="130">
        <v>5148</v>
      </c>
      <c r="E2496" s="131">
        <v>44735</v>
      </c>
      <c r="F2496" s="132">
        <v>5148</v>
      </c>
      <c r="G2496" s="133">
        <f>Tabla147[[#This Row],[Importe]]-Tabla147[[#This Row],[Pagado]]</f>
        <v>0</v>
      </c>
      <c r="H2496" s="134" t="s">
        <v>10</v>
      </c>
      <c r="I2496" s="135"/>
    </row>
    <row r="2497" spans="1:9" ht="21.75" customHeight="1" x14ac:dyDescent="0.25">
      <c r="A2497" s="127">
        <v>44735</v>
      </c>
      <c r="B2497" s="128" t="s">
        <v>20386</v>
      </c>
      <c r="C2497" s="129" t="s">
        <v>105</v>
      </c>
      <c r="D2497" s="130">
        <v>7744</v>
      </c>
      <c r="E2497" s="131">
        <v>44737</v>
      </c>
      <c r="F2497" s="132">
        <v>7744</v>
      </c>
      <c r="G2497" s="133">
        <f>Tabla147[[#This Row],[Importe]]-Tabla147[[#This Row],[Pagado]]</f>
        <v>0</v>
      </c>
      <c r="H2497" s="134" t="s">
        <v>10</v>
      </c>
      <c r="I2497" s="135"/>
    </row>
    <row r="2498" spans="1:9" ht="21.75" customHeight="1" x14ac:dyDescent="0.25">
      <c r="A2498" s="127">
        <v>44735</v>
      </c>
      <c r="B2498" s="128" t="s">
        <v>20387</v>
      </c>
      <c r="C2498" s="129" t="s">
        <v>114</v>
      </c>
      <c r="D2498" s="130">
        <v>5358</v>
      </c>
      <c r="E2498" s="131">
        <v>44736</v>
      </c>
      <c r="F2498" s="132">
        <v>5358</v>
      </c>
      <c r="G2498" s="133">
        <f>Tabla147[[#This Row],[Importe]]-Tabla147[[#This Row],[Pagado]]</f>
        <v>0</v>
      </c>
      <c r="H2498" s="134" t="s">
        <v>10</v>
      </c>
      <c r="I2498" s="135"/>
    </row>
    <row r="2499" spans="1:9" ht="21.75" customHeight="1" x14ac:dyDescent="0.25">
      <c r="A2499" s="127">
        <v>44735</v>
      </c>
      <c r="B2499" s="128" t="s">
        <v>20388</v>
      </c>
      <c r="C2499" s="129" t="s">
        <v>97</v>
      </c>
      <c r="D2499" s="130">
        <v>5646</v>
      </c>
      <c r="E2499" s="131">
        <v>44736</v>
      </c>
      <c r="F2499" s="132">
        <v>5646</v>
      </c>
      <c r="G2499" s="133">
        <f>Tabla147[[#This Row],[Importe]]-Tabla147[[#This Row],[Pagado]]</f>
        <v>0</v>
      </c>
      <c r="H2499" s="134" t="s">
        <v>10</v>
      </c>
      <c r="I2499" s="135"/>
    </row>
    <row r="2500" spans="1:9" ht="21.75" customHeight="1" x14ac:dyDescent="0.25">
      <c r="A2500" s="127">
        <v>44735</v>
      </c>
      <c r="B2500" s="128" t="s">
        <v>20389</v>
      </c>
      <c r="C2500" s="129" t="s">
        <v>2563</v>
      </c>
      <c r="D2500" s="130">
        <v>5462.2</v>
      </c>
      <c r="E2500" s="131">
        <v>44736</v>
      </c>
      <c r="F2500" s="132">
        <v>5462.2</v>
      </c>
      <c r="G2500" s="133">
        <f>Tabla147[[#This Row],[Importe]]-Tabla147[[#This Row],[Pagado]]</f>
        <v>0</v>
      </c>
      <c r="H2500" s="134" t="s">
        <v>10</v>
      </c>
      <c r="I2500" s="135"/>
    </row>
    <row r="2501" spans="1:9" ht="21.75" customHeight="1" x14ac:dyDescent="0.25">
      <c r="A2501" s="127">
        <v>44735</v>
      </c>
      <c r="B2501" s="128" t="s">
        <v>20390</v>
      </c>
      <c r="C2501" s="129" t="s">
        <v>2151</v>
      </c>
      <c r="D2501" s="130">
        <v>10362</v>
      </c>
      <c r="E2501" s="131">
        <v>44735</v>
      </c>
      <c r="F2501" s="132">
        <v>10362</v>
      </c>
      <c r="G2501" s="133">
        <f>Tabla147[[#This Row],[Importe]]-Tabla147[[#This Row],[Pagado]]</f>
        <v>0</v>
      </c>
      <c r="H2501" s="134" t="s">
        <v>10</v>
      </c>
      <c r="I2501" s="135"/>
    </row>
    <row r="2502" spans="1:9" ht="21.75" customHeight="1" x14ac:dyDescent="0.25">
      <c r="A2502" s="127">
        <v>44735</v>
      </c>
      <c r="B2502" s="128" t="s">
        <v>20391</v>
      </c>
      <c r="C2502" s="129" t="s">
        <v>89</v>
      </c>
      <c r="D2502" s="130">
        <v>8752.7999999999993</v>
      </c>
      <c r="E2502" s="131">
        <v>44736</v>
      </c>
      <c r="F2502" s="132">
        <v>8752.7999999999993</v>
      </c>
      <c r="G2502" s="133">
        <f>Tabla147[[#This Row],[Importe]]-Tabla147[[#This Row],[Pagado]]</f>
        <v>0</v>
      </c>
      <c r="H2502" s="134" t="s">
        <v>10</v>
      </c>
      <c r="I2502" s="135"/>
    </row>
    <row r="2503" spans="1:9" ht="21.75" customHeight="1" x14ac:dyDescent="0.25">
      <c r="A2503" s="127">
        <v>44735</v>
      </c>
      <c r="B2503" s="128" t="s">
        <v>20392</v>
      </c>
      <c r="C2503" s="129" t="s">
        <v>99</v>
      </c>
      <c r="D2503" s="130">
        <v>4631</v>
      </c>
      <c r="E2503" s="131">
        <v>44736</v>
      </c>
      <c r="F2503" s="132">
        <v>4631</v>
      </c>
      <c r="G2503" s="133">
        <f>Tabla147[[#This Row],[Importe]]-Tabla147[[#This Row],[Pagado]]</f>
        <v>0</v>
      </c>
      <c r="H2503" s="134" t="s">
        <v>10</v>
      </c>
      <c r="I2503" s="135"/>
    </row>
    <row r="2504" spans="1:9" ht="21.75" customHeight="1" x14ac:dyDescent="0.25">
      <c r="A2504" s="127">
        <v>44735</v>
      </c>
      <c r="B2504" s="128" t="s">
        <v>20393</v>
      </c>
      <c r="C2504" s="129" t="s">
        <v>348</v>
      </c>
      <c r="D2504" s="130">
        <v>5282.4</v>
      </c>
      <c r="E2504" s="131">
        <v>44735</v>
      </c>
      <c r="F2504" s="132">
        <v>5282.4</v>
      </c>
      <c r="G2504" s="133">
        <f>Tabla147[[#This Row],[Importe]]-Tabla147[[#This Row],[Pagado]]</f>
        <v>0</v>
      </c>
      <c r="H2504" s="134" t="s">
        <v>10</v>
      </c>
      <c r="I2504" s="135"/>
    </row>
    <row r="2505" spans="1:9" ht="21.75" customHeight="1" x14ac:dyDescent="0.25">
      <c r="A2505" s="127">
        <v>44735</v>
      </c>
      <c r="B2505" s="128" t="s">
        <v>20394</v>
      </c>
      <c r="C2505" s="129" t="s">
        <v>450</v>
      </c>
      <c r="D2505" s="130">
        <v>7489.2</v>
      </c>
      <c r="E2505" s="131">
        <v>44735</v>
      </c>
      <c r="F2505" s="132">
        <v>7489.2</v>
      </c>
      <c r="G2505" s="133">
        <f>Tabla147[[#This Row],[Importe]]-Tabla147[[#This Row],[Pagado]]</f>
        <v>0</v>
      </c>
      <c r="H2505" s="134" t="s">
        <v>10</v>
      </c>
      <c r="I2505" s="135"/>
    </row>
    <row r="2506" spans="1:9" ht="21.75" customHeight="1" x14ac:dyDescent="0.25">
      <c r="A2506" s="127">
        <v>44735</v>
      </c>
      <c r="B2506" s="128" t="s">
        <v>20395</v>
      </c>
      <c r="C2506" s="129" t="s">
        <v>75</v>
      </c>
      <c r="D2506" s="130">
        <v>6868.8</v>
      </c>
      <c r="E2506" s="131">
        <v>44735</v>
      </c>
      <c r="F2506" s="132">
        <v>6868.8</v>
      </c>
      <c r="G2506" s="133">
        <f>Tabla147[[#This Row],[Importe]]-Tabla147[[#This Row],[Pagado]]</f>
        <v>0</v>
      </c>
      <c r="H2506" s="134" t="s">
        <v>10</v>
      </c>
      <c r="I2506" s="135"/>
    </row>
    <row r="2507" spans="1:9" ht="21.75" customHeight="1" x14ac:dyDescent="0.25">
      <c r="A2507" s="127">
        <v>44735</v>
      </c>
      <c r="B2507" s="128" t="s">
        <v>20396</v>
      </c>
      <c r="C2507" s="129" t="s">
        <v>348</v>
      </c>
      <c r="D2507" s="130">
        <v>246</v>
      </c>
      <c r="E2507" s="131">
        <v>44735</v>
      </c>
      <c r="F2507" s="132">
        <v>246</v>
      </c>
      <c r="G2507" s="133">
        <f>Tabla147[[#This Row],[Importe]]-Tabla147[[#This Row],[Pagado]]</f>
        <v>0</v>
      </c>
      <c r="H2507" s="134" t="s">
        <v>10</v>
      </c>
      <c r="I2507" s="135"/>
    </row>
    <row r="2508" spans="1:9" ht="21.75" customHeight="1" x14ac:dyDescent="0.25">
      <c r="A2508" s="127">
        <v>44735</v>
      </c>
      <c r="B2508" s="128" t="s">
        <v>20397</v>
      </c>
      <c r="C2508" s="129" t="s">
        <v>2151</v>
      </c>
      <c r="D2508" s="130">
        <v>2517.5</v>
      </c>
      <c r="E2508" s="131">
        <v>44735</v>
      </c>
      <c r="F2508" s="132">
        <v>2517.5</v>
      </c>
      <c r="G2508" s="133">
        <f>Tabla147[[#This Row],[Importe]]-Tabla147[[#This Row],[Pagado]]</f>
        <v>0</v>
      </c>
      <c r="H2508" s="134" t="s">
        <v>10</v>
      </c>
      <c r="I2508" s="135"/>
    </row>
    <row r="2509" spans="1:9" ht="31.5" x14ac:dyDescent="0.25">
      <c r="A2509" s="127">
        <v>44735</v>
      </c>
      <c r="B2509" s="128" t="s">
        <v>20398</v>
      </c>
      <c r="C2509" s="129" t="s">
        <v>22</v>
      </c>
      <c r="D2509" s="130">
        <v>51210</v>
      </c>
      <c r="E2509" s="131" t="s">
        <v>20377</v>
      </c>
      <c r="F2509" s="132">
        <f>36000+15210</f>
        <v>51210</v>
      </c>
      <c r="G2509" s="133">
        <f>Tabla147[[#This Row],[Importe]]-Tabla147[[#This Row],[Pagado]]</f>
        <v>0</v>
      </c>
      <c r="H2509" s="134" t="s">
        <v>10</v>
      </c>
      <c r="I2509" s="135"/>
    </row>
    <row r="2510" spans="1:9" ht="21.75" customHeight="1" x14ac:dyDescent="0.25">
      <c r="A2510" s="127">
        <v>44735</v>
      </c>
      <c r="B2510" s="128" t="s">
        <v>20399</v>
      </c>
      <c r="C2510" s="129" t="s">
        <v>473</v>
      </c>
      <c r="D2510" s="130">
        <v>4977.6000000000004</v>
      </c>
      <c r="E2510" s="131">
        <v>44735</v>
      </c>
      <c r="F2510" s="132">
        <v>4977.6000000000004</v>
      </c>
      <c r="G2510" s="133">
        <f>Tabla147[[#This Row],[Importe]]-Tabla147[[#This Row],[Pagado]]</f>
        <v>0</v>
      </c>
      <c r="H2510" s="134" t="s">
        <v>10</v>
      </c>
      <c r="I2510" s="135"/>
    </row>
    <row r="2511" spans="1:9" ht="21.75" customHeight="1" x14ac:dyDescent="0.25">
      <c r="A2511" s="127">
        <v>44735</v>
      </c>
      <c r="B2511" s="128" t="s">
        <v>20400</v>
      </c>
      <c r="C2511" s="129" t="s">
        <v>95</v>
      </c>
      <c r="D2511" s="130">
        <v>4002</v>
      </c>
      <c r="E2511" s="131">
        <v>44735</v>
      </c>
      <c r="F2511" s="132">
        <v>4002</v>
      </c>
      <c r="G2511" s="133">
        <f>Tabla147[[#This Row],[Importe]]-Tabla147[[#This Row],[Pagado]]</f>
        <v>0</v>
      </c>
      <c r="H2511" s="134" t="s">
        <v>10</v>
      </c>
      <c r="I2511" s="135"/>
    </row>
    <row r="2512" spans="1:9" ht="21.75" customHeight="1" x14ac:dyDescent="0.25">
      <c r="A2512" s="127">
        <v>44735</v>
      </c>
      <c r="B2512" s="128" t="s">
        <v>20401</v>
      </c>
      <c r="C2512" s="129" t="s">
        <v>79</v>
      </c>
      <c r="D2512" s="130">
        <v>15408</v>
      </c>
      <c r="E2512" s="131">
        <v>44735</v>
      </c>
      <c r="F2512" s="132">
        <v>15408</v>
      </c>
      <c r="G2512" s="133">
        <f>Tabla147[[#This Row],[Importe]]-Tabla147[[#This Row],[Pagado]]</f>
        <v>0</v>
      </c>
      <c r="H2512" s="134" t="s">
        <v>10</v>
      </c>
      <c r="I2512" s="135"/>
    </row>
    <row r="2513" spans="1:9" ht="21.75" customHeight="1" x14ac:dyDescent="0.25">
      <c r="A2513" s="127">
        <v>44735</v>
      </c>
      <c r="B2513" s="128" t="s">
        <v>20402</v>
      </c>
      <c r="C2513" s="129" t="s">
        <v>11033</v>
      </c>
      <c r="D2513" s="130">
        <v>3625.2</v>
      </c>
      <c r="E2513" s="131">
        <v>44735</v>
      </c>
      <c r="F2513" s="132">
        <v>3625.2</v>
      </c>
      <c r="G2513" s="133">
        <f>Tabla147[[#This Row],[Importe]]-Tabla147[[#This Row],[Pagado]]</f>
        <v>0</v>
      </c>
      <c r="H2513" s="134" t="s">
        <v>10</v>
      </c>
      <c r="I2513" s="135"/>
    </row>
    <row r="2514" spans="1:9" ht="21.75" customHeight="1" x14ac:dyDescent="0.25">
      <c r="A2514" s="127">
        <v>44735</v>
      </c>
      <c r="B2514" s="128" t="s">
        <v>20403</v>
      </c>
      <c r="C2514" s="129" t="s">
        <v>142</v>
      </c>
      <c r="D2514" s="130">
        <v>106959.76</v>
      </c>
      <c r="E2514" s="131">
        <v>44769</v>
      </c>
      <c r="F2514" s="132">
        <v>106959.76</v>
      </c>
      <c r="G2514" s="133">
        <f>Tabla147[[#This Row],[Importe]]-Tabla147[[#This Row],[Pagado]]</f>
        <v>0</v>
      </c>
      <c r="H2514" s="134" t="s">
        <v>10</v>
      </c>
      <c r="I2514" s="135"/>
    </row>
    <row r="2515" spans="1:9" ht="21.75" customHeight="1" x14ac:dyDescent="0.25">
      <c r="A2515" s="127">
        <v>44735</v>
      </c>
      <c r="B2515" s="128" t="s">
        <v>20404</v>
      </c>
      <c r="C2515" s="129" t="s">
        <v>312</v>
      </c>
      <c r="D2515" s="130">
        <v>1258</v>
      </c>
      <c r="E2515" s="131">
        <v>44735</v>
      </c>
      <c r="F2515" s="132">
        <v>1258</v>
      </c>
      <c r="G2515" s="133">
        <f>Tabla147[[#This Row],[Importe]]-Tabla147[[#This Row],[Pagado]]</f>
        <v>0</v>
      </c>
      <c r="H2515" s="134" t="s">
        <v>10</v>
      </c>
      <c r="I2515" s="135"/>
    </row>
    <row r="2516" spans="1:9" ht="21.75" customHeight="1" x14ac:dyDescent="0.25">
      <c r="A2516" s="127">
        <v>44735</v>
      </c>
      <c r="B2516" s="128" t="s">
        <v>20405</v>
      </c>
      <c r="C2516" s="129" t="s">
        <v>35</v>
      </c>
      <c r="D2516" s="130">
        <v>1280.2</v>
      </c>
      <c r="E2516" s="131">
        <v>44735</v>
      </c>
      <c r="F2516" s="132">
        <v>1280.2</v>
      </c>
      <c r="G2516" s="133">
        <f>Tabla147[[#This Row],[Importe]]-Tabla147[[#This Row],[Pagado]]</f>
        <v>0</v>
      </c>
      <c r="H2516" s="134" t="s">
        <v>10</v>
      </c>
      <c r="I2516" s="135"/>
    </row>
    <row r="2517" spans="1:9" ht="21.75" customHeight="1" x14ac:dyDescent="0.25">
      <c r="A2517" s="127">
        <v>44735</v>
      </c>
      <c r="B2517" s="128" t="s">
        <v>20406</v>
      </c>
      <c r="C2517" s="129" t="s">
        <v>520</v>
      </c>
      <c r="D2517" s="130">
        <v>18112.8</v>
      </c>
      <c r="E2517" s="131">
        <v>44735</v>
      </c>
      <c r="F2517" s="132">
        <v>18112.8</v>
      </c>
      <c r="G2517" s="133">
        <f>Tabla147[[#This Row],[Importe]]-Tabla147[[#This Row],[Pagado]]</f>
        <v>0</v>
      </c>
      <c r="H2517" s="134" t="s">
        <v>10</v>
      </c>
      <c r="I2517" s="135"/>
    </row>
    <row r="2518" spans="1:9" ht="21.75" customHeight="1" x14ac:dyDescent="0.25">
      <c r="A2518" s="127">
        <v>44735</v>
      </c>
      <c r="B2518" s="128" t="s">
        <v>20407</v>
      </c>
      <c r="C2518" s="129" t="s">
        <v>966</v>
      </c>
      <c r="D2518" s="130">
        <v>3477.32</v>
      </c>
      <c r="E2518" s="131">
        <v>44735</v>
      </c>
      <c r="F2518" s="132">
        <v>3477.32</v>
      </c>
      <c r="G2518" s="133">
        <f>Tabla147[[#This Row],[Importe]]-Tabla147[[#This Row],[Pagado]]</f>
        <v>0</v>
      </c>
      <c r="H2518" s="134" t="s">
        <v>10</v>
      </c>
      <c r="I2518" s="135"/>
    </row>
    <row r="2519" spans="1:9" ht="21.75" customHeight="1" x14ac:dyDescent="0.25">
      <c r="A2519" s="127">
        <v>44735</v>
      </c>
      <c r="B2519" s="128" t="s">
        <v>20408</v>
      </c>
      <c r="C2519" s="129" t="s">
        <v>159</v>
      </c>
      <c r="D2519" s="130">
        <v>2217.6</v>
      </c>
      <c r="E2519" s="131">
        <v>44735</v>
      </c>
      <c r="F2519" s="132">
        <v>2217.6</v>
      </c>
      <c r="G2519" s="133">
        <f>Tabla147[[#This Row],[Importe]]-Tabla147[[#This Row],[Pagado]]</f>
        <v>0</v>
      </c>
      <c r="H2519" s="134" t="s">
        <v>10</v>
      </c>
      <c r="I2519" s="135"/>
    </row>
    <row r="2520" spans="1:9" ht="21.75" customHeight="1" x14ac:dyDescent="0.25">
      <c r="A2520" s="127">
        <v>44735</v>
      </c>
      <c r="B2520" s="128" t="s">
        <v>20409</v>
      </c>
      <c r="C2520" s="129" t="s">
        <v>157</v>
      </c>
      <c r="D2520" s="130">
        <v>5785</v>
      </c>
      <c r="E2520" s="131">
        <v>44735</v>
      </c>
      <c r="F2520" s="132">
        <v>5785</v>
      </c>
      <c r="G2520" s="133">
        <f>Tabla147[[#This Row],[Importe]]-Tabla147[[#This Row],[Pagado]]</f>
        <v>0</v>
      </c>
      <c r="H2520" s="134" t="s">
        <v>10</v>
      </c>
      <c r="I2520" s="135"/>
    </row>
    <row r="2521" spans="1:9" ht="21.75" customHeight="1" x14ac:dyDescent="0.25">
      <c r="A2521" s="127">
        <v>44735</v>
      </c>
      <c r="B2521" s="128" t="s">
        <v>20410</v>
      </c>
      <c r="C2521" s="129" t="s">
        <v>35</v>
      </c>
      <c r="D2521" s="130">
        <v>606.79999999999995</v>
      </c>
      <c r="E2521" s="131">
        <v>44735</v>
      </c>
      <c r="F2521" s="132">
        <v>606.79999999999995</v>
      </c>
      <c r="G2521" s="133">
        <f>Tabla147[[#This Row],[Importe]]-Tabla147[[#This Row],[Pagado]]</f>
        <v>0</v>
      </c>
      <c r="H2521" s="134" t="s">
        <v>10</v>
      </c>
      <c r="I2521" s="135"/>
    </row>
    <row r="2522" spans="1:9" ht="21.75" customHeight="1" x14ac:dyDescent="0.25">
      <c r="A2522" s="127">
        <v>44735</v>
      </c>
      <c r="B2522" s="128" t="s">
        <v>20411</v>
      </c>
      <c r="C2522" s="129" t="s">
        <v>33</v>
      </c>
      <c r="D2522" s="130">
        <v>6898.1</v>
      </c>
      <c r="E2522" s="131">
        <v>44735</v>
      </c>
      <c r="F2522" s="132">
        <v>6898.1</v>
      </c>
      <c r="G2522" s="133">
        <f>Tabla147[[#This Row],[Importe]]-Tabla147[[#This Row],[Pagado]]</f>
        <v>0</v>
      </c>
      <c r="H2522" s="134" t="s">
        <v>10</v>
      </c>
      <c r="I2522" s="135"/>
    </row>
    <row r="2523" spans="1:9" ht="21.75" customHeight="1" x14ac:dyDescent="0.25">
      <c r="A2523" s="127">
        <v>44735</v>
      </c>
      <c r="B2523" s="128" t="s">
        <v>20412</v>
      </c>
      <c r="C2523" s="129" t="s">
        <v>49</v>
      </c>
      <c r="D2523" s="130">
        <v>3171.9</v>
      </c>
      <c r="E2523" s="131">
        <v>44735</v>
      </c>
      <c r="F2523" s="132">
        <v>3171.9</v>
      </c>
      <c r="G2523" s="133">
        <f>Tabla147[[#This Row],[Importe]]-Tabla147[[#This Row],[Pagado]]</f>
        <v>0</v>
      </c>
      <c r="H2523" s="134" t="s">
        <v>10</v>
      </c>
      <c r="I2523" s="135"/>
    </row>
    <row r="2524" spans="1:9" ht="21.75" customHeight="1" x14ac:dyDescent="0.25">
      <c r="A2524" s="127">
        <v>44735</v>
      </c>
      <c r="B2524" s="128" t="s">
        <v>20413</v>
      </c>
      <c r="C2524" s="129" t="s">
        <v>518</v>
      </c>
      <c r="D2524" s="130">
        <v>613.20000000000005</v>
      </c>
      <c r="E2524" s="131">
        <v>44735</v>
      </c>
      <c r="F2524" s="132">
        <v>613.20000000000005</v>
      </c>
      <c r="G2524" s="133">
        <f>Tabla147[[#This Row],[Importe]]-Tabla147[[#This Row],[Pagado]]</f>
        <v>0</v>
      </c>
      <c r="H2524" s="134" t="s">
        <v>10</v>
      </c>
      <c r="I2524" s="135"/>
    </row>
    <row r="2525" spans="1:9" ht="21.75" customHeight="1" x14ac:dyDescent="0.25">
      <c r="A2525" s="127">
        <v>44735</v>
      </c>
      <c r="B2525" s="128" t="s">
        <v>20414</v>
      </c>
      <c r="C2525" s="129" t="s">
        <v>159</v>
      </c>
      <c r="D2525" s="130">
        <v>1081</v>
      </c>
      <c r="E2525" s="131">
        <v>44735</v>
      </c>
      <c r="F2525" s="132">
        <v>1081</v>
      </c>
      <c r="G2525" s="133">
        <f>Tabla147[[#This Row],[Importe]]-Tabla147[[#This Row],[Pagado]]</f>
        <v>0</v>
      </c>
      <c r="H2525" s="134" t="s">
        <v>10</v>
      </c>
      <c r="I2525" s="135"/>
    </row>
    <row r="2526" spans="1:9" ht="21.75" customHeight="1" x14ac:dyDescent="0.25">
      <c r="A2526" s="127">
        <v>44735</v>
      </c>
      <c r="B2526" s="128" t="s">
        <v>20415</v>
      </c>
      <c r="C2526" s="129" t="s">
        <v>10190</v>
      </c>
      <c r="D2526" s="130">
        <v>20606.400000000001</v>
      </c>
      <c r="E2526" s="131">
        <v>44735</v>
      </c>
      <c r="F2526" s="132">
        <v>20606.400000000001</v>
      </c>
      <c r="G2526" s="133">
        <f>Tabla147[[#This Row],[Importe]]-Tabla147[[#This Row],[Pagado]]</f>
        <v>0</v>
      </c>
      <c r="H2526" s="134" t="s">
        <v>10</v>
      </c>
      <c r="I2526" s="135"/>
    </row>
    <row r="2527" spans="1:9" ht="21.75" customHeight="1" x14ac:dyDescent="0.25">
      <c r="A2527" s="127">
        <v>44735</v>
      </c>
      <c r="B2527" s="128" t="s">
        <v>20416</v>
      </c>
      <c r="C2527" s="129" t="s">
        <v>45</v>
      </c>
      <c r="D2527" s="130">
        <v>11627.8</v>
      </c>
      <c r="E2527" s="131">
        <v>44735</v>
      </c>
      <c r="F2527" s="132">
        <v>11627.8</v>
      </c>
      <c r="G2527" s="133">
        <f>Tabla147[[#This Row],[Importe]]-Tabla147[[#This Row],[Pagado]]</f>
        <v>0</v>
      </c>
      <c r="H2527" s="134" t="s">
        <v>10</v>
      </c>
      <c r="I2527" s="135"/>
    </row>
    <row r="2528" spans="1:9" ht="21.75" customHeight="1" x14ac:dyDescent="0.25">
      <c r="A2528" s="127">
        <v>44735</v>
      </c>
      <c r="B2528" s="128" t="s">
        <v>20417</v>
      </c>
      <c r="C2528" s="129" t="s">
        <v>380</v>
      </c>
      <c r="D2528" s="130">
        <v>10674.7</v>
      </c>
      <c r="E2528" s="131">
        <v>44735</v>
      </c>
      <c r="F2528" s="132">
        <v>10674.7</v>
      </c>
      <c r="G2528" s="133">
        <f>Tabla147[[#This Row],[Importe]]-Tabla147[[#This Row],[Pagado]]</f>
        <v>0</v>
      </c>
      <c r="H2528" s="134" t="s">
        <v>10</v>
      </c>
      <c r="I2528" s="135"/>
    </row>
    <row r="2529" spans="1:9" ht="21.75" customHeight="1" x14ac:dyDescent="0.25">
      <c r="A2529" s="127">
        <v>44735</v>
      </c>
      <c r="B2529" s="128" t="s">
        <v>20418</v>
      </c>
      <c r="C2529" s="129" t="s">
        <v>151</v>
      </c>
      <c r="D2529" s="130">
        <v>30307.200000000001</v>
      </c>
      <c r="E2529" s="131">
        <v>44735</v>
      </c>
      <c r="F2529" s="132">
        <v>30307.200000000001</v>
      </c>
      <c r="G2529" s="133">
        <f>Tabla147[[#This Row],[Importe]]-Tabla147[[#This Row],[Pagado]]</f>
        <v>0</v>
      </c>
      <c r="H2529" s="134" t="s">
        <v>10</v>
      </c>
      <c r="I2529" s="135"/>
    </row>
    <row r="2530" spans="1:9" ht="21.75" customHeight="1" x14ac:dyDescent="0.25">
      <c r="A2530" s="127">
        <v>44735</v>
      </c>
      <c r="B2530" s="128" t="s">
        <v>20419</v>
      </c>
      <c r="C2530" s="129" t="s">
        <v>204</v>
      </c>
      <c r="D2530" s="130">
        <v>3507.5</v>
      </c>
      <c r="E2530" s="131">
        <v>44735</v>
      </c>
      <c r="F2530" s="132">
        <v>3507.5</v>
      </c>
      <c r="G2530" s="133">
        <f>Tabla147[[#This Row],[Importe]]-Tabla147[[#This Row],[Pagado]]</f>
        <v>0</v>
      </c>
      <c r="H2530" s="134" t="s">
        <v>10</v>
      </c>
      <c r="I2530" s="135"/>
    </row>
    <row r="2531" spans="1:9" ht="21.75" customHeight="1" x14ac:dyDescent="0.25">
      <c r="A2531" s="127">
        <v>44735</v>
      </c>
      <c r="B2531" s="128" t="s">
        <v>20420</v>
      </c>
      <c r="C2531" s="129" t="s">
        <v>647</v>
      </c>
      <c r="D2531" s="130">
        <v>3541.6</v>
      </c>
      <c r="E2531" s="131">
        <v>44735</v>
      </c>
      <c r="F2531" s="132">
        <v>3541.6</v>
      </c>
      <c r="G2531" s="133">
        <f>Tabla147[[#This Row],[Importe]]-Tabla147[[#This Row],[Pagado]]</f>
        <v>0</v>
      </c>
      <c r="H2531" s="134" t="s">
        <v>10</v>
      </c>
      <c r="I2531" s="135"/>
    </row>
    <row r="2532" spans="1:9" ht="21.75" customHeight="1" x14ac:dyDescent="0.25">
      <c r="A2532" s="127">
        <v>44735</v>
      </c>
      <c r="B2532" s="128" t="s">
        <v>20421</v>
      </c>
      <c r="C2532" s="129" t="s">
        <v>20422</v>
      </c>
      <c r="D2532" s="130">
        <v>0</v>
      </c>
      <c r="E2532" s="136" t="s">
        <v>189</v>
      </c>
      <c r="F2532" s="132">
        <v>0</v>
      </c>
      <c r="G2532" s="133">
        <f>Tabla147[[#This Row],[Importe]]-Tabla147[[#This Row],[Pagado]]</f>
        <v>0</v>
      </c>
      <c r="H2532" s="137" t="s">
        <v>20423</v>
      </c>
      <c r="I2532" s="135"/>
    </row>
    <row r="2533" spans="1:9" ht="21.75" customHeight="1" x14ac:dyDescent="0.25">
      <c r="A2533" s="127">
        <v>44735</v>
      </c>
      <c r="B2533" s="128" t="s">
        <v>20424</v>
      </c>
      <c r="C2533" s="129" t="s">
        <v>11383</v>
      </c>
      <c r="D2533" s="130">
        <v>25635.4</v>
      </c>
      <c r="E2533" s="131">
        <v>44735</v>
      </c>
      <c r="F2533" s="132">
        <v>25635.4</v>
      </c>
      <c r="G2533" s="133">
        <f>Tabla147[[#This Row],[Importe]]-Tabla147[[#This Row],[Pagado]]</f>
        <v>0</v>
      </c>
      <c r="H2533" s="134" t="s">
        <v>10</v>
      </c>
      <c r="I2533" s="135"/>
    </row>
    <row r="2534" spans="1:9" ht="21.75" customHeight="1" x14ac:dyDescent="0.25">
      <c r="A2534" s="127">
        <v>44735</v>
      </c>
      <c r="B2534" s="128" t="s">
        <v>20425</v>
      </c>
      <c r="C2534" s="129" t="s">
        <v>230</v>
      </c>
      <c r="D2534" s="130">
        <v>4958.1000000000004</v>
      </c>
      <c r="E2534" s="131">
        <v>44735</v>
      </c>
      <c r="F2534" s="132">
        <v>4958.1000000000004</v>
      </c>
      <c r="G2534" s="133">
        <f>Tabla147[[#This Row],[Importe]]-Tabla147[[#This Row],[Pagado]]</f>
        <v>0</v>
      </c>
      <c r="H2534" s="134" t="s">
        <v>10</v>
      </c>
      <c r="I2534" s="135"/>
    </row>
    <row r="2535" spans="1:9" ht="21.75" customHeight="1" x14ac:dyDescent="0.25">
      <c r="A2535" s="127">
        <v>44735</v>
      </c>
      <c r="B2535" s="128" t="s">
        <v>20426</v>
      </c>
      <c r="C2535" s="129" t="s">
        <v>647</v>
      </c>
      <c r="D2535" s="130">
        <v>4060.6</v>
      </c>
      <c r="E2535" s="131">
        <v>44735</v>
      </c>
      <c r="F2535" s="132">
        <v>4060.6</v>
      </c>
      <c r="G2535" s="133">
        <f>Tabla147[[#This Row],[Importe]]-Tabla147[[#This Row],[Pagado]]</f>
        <v>0</v>
      </c>
      <c r="H2535" s="134" t="s">
        <v>10</v>
      </c>
      <c r="I2535" s="135"/>
    </row>
    <row r="2536" spans="1:9" ht="21.75" customHeight="1" x14ac:dyDescent="0.25">
      <c r="A2536" s="127">
        <v>44735</v>
      </c>
      <c r="B2536" s="128" t="s">
        <v>20427</v>
      </c>
      <c r="C2536" s="129" t="s">
        <v>484</v>
      </c>
      <c r="D2536" s="130">
        <v>4669.3999999999996</v>
      </c>
      <c r="E2536" s="131">
        <v>44735</v>
      </c>
      <c r="F2536" s="132">
        <v>4669.3999999999996</v>
      </c>
      <c r="G2536" s="133">
        <f>Tabla147[[#This Row],[Importe]]-Tabla147[[#This Row],[Pagado]]</f>
        <v>0</v>
      </c>
      <c r="H2536" s="134" t="s">
        <v>10</v>
      </c>
      <c r="I2536" s="135"/>
    </row>
    <row r="2537" spans="1:9" ht="21.75" customHeight="1" x14ac:dyDescent="0.25">
      <c r="A2537" s="127">
        <v>44735</v>
      </c>
      <c r="B2537" s="128" t="s">
        <v>20428</v>
      </c>
      <c r="C2537" s="129" t="s">
        <v>396</v>
      </c>
      <c r="D2537" s="130">
        <v>15175.2</v>
      </c>
      <c r="E2537" s="131">
        <v>44745</v>
      </c>
      <c r="F2537" s="132">
        <v>15175.2</v>
      </c>
      <c r="G2537" s="133">
        <f>Tabla147[[#This Row],[Importe]]-Tabla147[[#This Row],[Pagado]]</f>
        <v>0</v>
      </c>
      <c r="H2537" s="134" t="s">
        <v>10</v>
      </c>
      <c r="I2537" s="135"/>
    </row>
    <row r="2538" spans="1:9" ht="21.75" customHeight="1" x14ac:dyDescent="0.25">
      <c r="A2538" s="127">
        <v>44735</v>
      </c>
      <c r="B2538" s="128" t="s">
        <v>20429</v>
      </c>
      <c r="C2538" s="129" t="s">
        <v>222</v>
      </c>
      <c r="D2538" s="130">
        <v>10767.6</v>
      </c>
      <c r="E2538" s="131">
        <v>44735</v>
      </c>
      <c r="F2538" s="132">
        <v>10767.6</v>
      </c>
      <c r="G2538" s="133">
        <f>Tabla147[[#This Row],[Importe]]-Tabla147[[#This Row],[Pagado]]</f>
        <v>0</v>
      </c>
      <c r="H2538" s="134" t="s">
        <v>10</v>
      </c>
      <c r="I2538" s="135"/>
    </row>
    <row r="2539" spans="1:9" ht="21.75" customHeight="1" x14ac:dyDescent="0.25">
      <c r="A2539" s="127">
        <v>44735</v>
      </c>
      <c r="B2539" s="128" t="s">
        <v>20430</v>
      </c>
      <c r="C2539" s="129" t="s">
        <v>49</v>
      </c>
      <c r="D2539" s="130">
        <v>8920.7999999999993</v>
      </c>
      <c r="E2539" s="131">
        <v>44735</v>
      </c>
      <c r="F2539" s="132">
        <v>8920.7999999999993</v>
      </c>
      <c r="G2539" s="133">
        <f>Tabla147[[#This Row],[Importe]]-Tabla147[[#This Row],[Pagado]]</f>
        <v>0</v>
      </c>
      <c r="H2539" s="134" t="s">
        <v>10</v>
      </c>
      <c r="I2539" s="135"/>
    </row>
    <row r="2540" spans="1:9" ht="21.75" customHeight="1" x14ac:dyDescent="0.25">
      <c r="A2540" s="127">
        <v>44735</v>
      </c>
      <c r="B2540" s="128" t="s">
        <v>20431</v>
      </c>
      <c r="C2540" s="129" t="s">
        <v>214</v>
      </c>
      <c r="D2540" s="130">
        <v>1396.8</v>
      </c>
      <c r="E2540" s="131">
        <v>44735</v>
      </c>
      <c r="F2540" s="132">
        <v>1396.8</v>
      </c>
      <c r="G2540" s="133">
        <f>Tabla147[[#This Row],[Importe]]-Tabla147[[#This Row],[Pagado]]</f>
        <v>0</v>
      </c>
      <c r="H2540" s="134" t="s">
        <v>10</v>
      </c>
      <c r="I2540" s="135"/>
    </row>
    <row r="2541" spans="1:9" ht="21.75" customHeight="1" x14ac:dyDescent="0.25">
      <c r="A2541" s="127">
        <v>44735</v>
      </c>
      <c r="B2541" s="128" t="s">
        <v>20432</v>
      </c>
      <c r="C2541" s="129" t="s">
        <v>222</v>
      </c>
      <c r="D2541" s="130">
        <v>264</v>
      </c>
      <c r="E2541" s="131">
        <v>44735</v>
      </c>
      <c r="F2541" s="132">
        <v>264</v>
      </c>
      <c r="G2541" s="133">
        <f>Tabla147[[#This Row],[Importe]]-Tabla147[[#This Row],[Pagado]]</f>
        <v>0</v>
      </c>
      <c r="H2541" s="134" t="s">
        <v>10</v>
      </c>
      <c r="I2541" s="135"/>
    </row>
    <row r="2542" spans="1:9" ht="21.75" customHeight="1" x14ac:dyDescent="0.25">
      <c r="A2542" s="127">
        <v>44735</v>
      </c>
      <c r="B2542" s="128" t="s">
        <v>20433</v>
      </c>
      <c r="C2542" s="129" t="s">
        <v>53</v>
      </c>
      <c r="D2542" s="130">
        <v>1154.4000000000001</v>
      </c>
      <c r="E2542" s="131">
        <v>44735</v>
      </c>
      <c r="F2542" s="132">
        <v>1154.4000000000001</v>
      </c>
      <c r="G2542" s="133">
        <f>Tabla147[[#This Row],[Importe]]-Tabla147[[#This Row],[Pagado]]</f>
        <v>0</v>
      </c>
      <c r="H2542" s="134" t="s">
        <v>10</v>
      </c>
      <c r="I2542" s="135"/>
    </row>
    <row r="2543" spans="1:9" ht="21.75" customHeight="1" x14ac:dyDescent="0.25">
      <c r="A2543" s="127">
        <v>44735</v>
      </c>
      <c r="B2543" s="128" t="s">
        <v>20434</v>
      </c>
      <c r="C2543" s="129" t="s">
        <v>409</v>
      </c>
      <c r="D2543" s="130">
        <v>1961.4</v>
      </c>
      <c r="E2543" s="131">
        <v>44748</v>
      </c>
      <c r="F2543" s="132">
        <v>1961.4</v>
      </c>
      <c r="G2543" s="133">
        <f>Tabla147[[#This Row],[Importe]]-Tabla147[[#This Row],[Pagado]]</f>
        <v>0</v>
      </c>
      <c r="H2543" s="134" t="s">
        <v>10</v>
      </c>
      <c r="I2543" s="135"/>
    </row>
    <row r="2544" spans="1:9" ht="21.75" customHeight="1" x14ac:dyDescent="0.25">
      <c r="A2544" s="127">
        <v>44735</v>
      </c>
      <c r="B2544" s="128" t="s">
        <v>20435</v>
      </c>
      <c r="C2544" s="129" t="s">
        <v>31</v>
      </c>
      <c r="D2544" s="130">
        <v>1216.4000000000001</v>
      </c>
      <c r="E2544" s="131">
        <v>44735</v>
      </c>
      <c r="F2544" s="132">
        <v>1216.4000000000001</v>
      </c>
      <c r="G2544" s="133">
        <f>Tabla147[[#This Row],[Importe]]-Tabla147[[#This Row],[Pagado]]</f>
        <v>0</v>
      </c>
      <c r="H2544" s="134" t="s">
        <v>10</v>
      </c>
      <c r="I2544" s="135"/>
    </row>
    <row r="2545" spans="1:9" ht="21.75" customHeight="1" x14ac:dyDescent="0.25">
      <c r="A2545" s="127">
        <v>44735</v>
      </c>
      <c r="B2545" s="128" t="s">
        <v>20436</v>
      </c>
      <c r="C2545" s="129" t="s">
        <v>15039</v>
      </c>
      <c r="D2545" s="130">
        <v>1776</v>
      </c>
      <c r="E2545" s="131">
        <v>44735</v>
      </c>
      <c r="F2545" s="132">
        <v>1776</v>
      </c>
      <c r="G2545" s="133">
        <f>Tabla147[[#This Row],[Importe]]-Tabla147[[#This Row],[Pagado]]</f>
        <v>0</v>
      </c>
      <c r="H2545" s="134" t="s">
        <v>10</v>
      </c>
      <c r="I2545" s="135"/>
    </row>
    <row r="2546" spans="1:9" ht="21.75" customHeight="1" x14ac:dyDescent="0.25">
      <c r="A2546" s="127">
        <v>44735</v>
      </c>
      <c r="B2546" s="128" t="s">
        <v>20437</v>
      </c>
      <c r="C2546" s="129" t="s">
        <v>392</v>
      </c>
      <c r="D2546" s="130">
        <v>1454.4</v>
      </c>
      <c r="E2546" s="131">
        <v>44735</v>
      </c>
      <c r="F2546" s="132">
        <v>1454.4</v>
      </c>
      <c r="G2546" s="133">
        <f>Tabla147[[#This Row],[Importe]]-Tabla147[[#This Row],[Pagado]]</f>
        <v>0</v>
      </c>
      <c r="H2546" s="134" t="s">
        <v>10</v>
      </c>
      <c r="I2546" s="135"/>
    </row>
    <row r="2547" spans="1:9" ht="21.75" customHeight="1" x14ac:dyDescent="0.25">
      <c r="A2547" s="127">
        <v>44735</v>
      </c>
      <c r="B2547" s="128" t="s">
        <v>20438</v>
      </c>
      <c r="C2547" s="129" t="s">
        <v>31</v>
      </c>
      <c r="D2547" s="130">
        <v>1123.2</v>
      </c>
      <c r="E2547" s="131">
        <v>44735</v>
      </c>
      <c r="F2547" s="132">
        <v>1123.2</v>
      </c>
      <c r="G2547" s="133">
        <f>Tabla147[[#This Row],[Importe]]-Tabla147[[#This Row],[Pagado]]</f>
        <v>0</v>
      </c>
      <c r="H2547" s="134" t="s">
        <v>10</v>
      </c>
      <c r="I2547" s="135"/>
    </row>
    <row r="2548" spans="1:9" ht="21.75" customHeight="1" x14ac:dyDescent="0.25">
      <c r="A2548" s="127">
        <v>44735</v>
      </c>
      <c r="B2548" s="128" t="s">
        <v>20439</v>
      </c>
      <c r="C2548" s="129" t="s">
        <v>196</v>
      </c>
      <c r="D2548" s="130">
        <v>138883.07999999999</v>
      </c>
      <c r="E2548" s="131">
        <v>44736</v>
      </c>
      <c r="F2548" s="132">
        <v>138883.07999999999</v>
      </c>
      <c r="G2548" s="133">
        <f>Tabla147[[#This Row],[Importe]]-Tabla147[[#This Row],[Pagado]]</f>
        <v>0</v>
      </c>
      <c r="H2548" s="134" t="s">
        <v>10</v>
      </c>
      <c r="I2548" s="135"/>
    </row>
    <row r="2549" spans="1:9" ht="21.75" customHeight="1" x14ac:dyDescent="0.25">
      <c r="A2549" s="127">
        <v>44735</v>
      </c>
      <c r="B2549" s="128" t="s">
        <v>20440</v>
      </c>
      <c r="C2549" s="129" t="s">
        <v>715</v>
      </c>
      <c r="D2549" s="130">
        <v>2123</v>
      </c>
      <c r="E2549" s="131">
        <v>44735</v>
      </c>
      <c r="F2549" s="132">
        <v>2123</v>
      </c>
      <c r="G2549" s="133">
        <f>Tabla147[[#This Row],[Importe]]-Tabla147[[#This Row],[Pagado]]</f>
        <v>0</v>
      </c>
      <c r="H2549" s="134" t="s">
        <v>10</v>
      </c>
      <c r="I2549" s="135"/>
    </row>
    <row r="2550" spans="1:9" ht="21.75" customHeight="1" x14ac:dyDescent="0.25">
      <c r="A2550" s="127">
        <v>44735</v>
      </c>
      <c r="B2550" s="128" t="s">
        <v>20441</v>
      </c>
      <c r="C2550" s="129" t="s">
        <v>31</v>
      </c>
      <c r="D2550" s="130">
        <v>568.79999999999995</v>
      </c>
      <c r="E2550" s="131">
        <v>44735</v>
      </c>
      <c r="F2550" s="132">
        <v>568.79999999999995</v>
      </c>
      <c r="G2550" s="133">
        <f>Tabla147[[#This Row],[Importe]]-Tabla147[[#This Row],[Pagado]]</f>
        <v>0</v>
      </c>
      <c r="H2550" s="134" t="s">
        <v>10</v>
      </c>
      <c r="I2550" s="135"/>
    </row>
    <row r="2551" spans="1:9" ht="21.75" customHeight="1" x14ac:dyDescent="0.25">
      <c r="A2551" s="127">
        <v>44735</v>
      </c>
      <c r="B2551" s="128" t="s">
        <v>20442</v>
      </c>
      <c r="C2551" s="129" t="s">
        <v>191</v>
      </c>
      <c r="D2551" s="130">
        <v>1247</v>
      </c>
      <c r="E2551" s="131">
        <v>44735</v>
      </c>
      <c r="F2551" s="132">
        <v>1247</v>
      </c>
      <c r="G2551" s="133">
        <f>Tabla147[[#This Row],[Importe]]-Tabla147[[#This Row],[Pagado]]</f>
        <v>0</v>
      </c>
      <c r="H2551" s="134" t="s">
        <v>10</v>
      </c>
      <c r="I2551" s="135"/>
    </row>
    <row r="2552" spans="1:9" ht="21.75" customHeight="1" x14ac:dyDescent="0.25">
      <c r="A2552" s="127">
        <v>44735</v>
      </c>
      <c r="B2552" s="128" t="s">
        <v>20443</v>
      </c>
      <c r="C2552" s="129" t="s">
        <v>1505</v>
      </c>
      <c r="D2552" s="130">
        <v>4139.3999999999996</v>
      </c>
      <c r="E2552" s="131">
        <v>44735</v>
      </c>
      <c r="F2552" s="132">
        <v>4139.3999999999996</v>
      </c>
      <c r="G2552" s="133">
        <f>Tabla147[[#This Row],[Importe]]-Tabla147[[#This Row],[Pagado]]</f>
        <v>0</v>
      </c>
      <c r="H2552" s="134" t="s">
        <v>10</v>
      </c>
      <c r="I2552" s="135"/>
    </row>
    <row r="2553" spans="1:9" ht="21.75" customHeight="1" x14ac:dyDescent="0.25">
      <c r="A2553" s="127">
        <v>44735</v>
      </c>
      <c r="B2553" s="128" t="s">
        <v>20444</v>
      </c>
      <c r="C2553" s="129" t="s">
        <v>58</v>
      </c>
      <c r="D2553" s="130">
        <v>3650.8</v>
      </c>
      <c r="E2553" s="131">
        <v>44735</v>
      </c>
      <c r="F2553" s="132">
        <v>3650.8</v>
      </c>
      <c r="G2553" s="133">
        <f>Tabla147[[#This Row],[Importe]]-Tabla147[[#This Row],[Pagado]]</f>
        <v>0</v>
      </c>
      <c r="H2553" s="134" t="s">
        <v>10</v>
      </c>
      <c r="I2553" s="135"/>
    </row>
    <row r="2554" spans="1:9" ht="21.75" customHeight="1" x14ac:dyDescent="0.25">
      <c r="A2554" s="127">
        <v>44735</v>
      </c>
      <c r="B2554" s="128" t="s">
        <v>20445</v>
      </c>
      <c r="C2554" s="129" t="s">
        <v>31</v>
      </c>
      <c r="D2554" s="130">
        <v>611</v>
      </c>
      <c r="E2554" s="131">
        <v>44735</v>
      </c>
      <c r="F2554" s="132">
        <v>611</v>
      </c>
      <c r="G2554" s="133">
        <f>Tabla147[[#This Row],[Importe]]-Tabla147[[#This Row],[Pagado]]</f>
        <v>0</v>
      </c>
      <c r="H2554" s="134" t="s">
        <v>10</v>
      </c>
      <c r="I2554" s="135"/>
    </row>
    <row r="2555" spans="1:9" ht="31.5" x14ac:dyDescent="0.25">
      <c r="A2555" s="127">
        <v>44735</v>
      </c>
      <c r="B2555" s="128" t="s">
        <v>20446</v>
      </c>
      <c r="C2555" s="129" t="s">
        <v>67</v>
      </c>
      <c r="D2555" s="130">
        <v>1840.3</v>
      </c>
      <c r="E2555" s="131" t="s">
        <v>20447</v>
      </c>
      <c r="F2555" s="132">
        <f>1640+200.3</f>
        <v>1840.3</v>
      </c>
      <c r="G2555" s="133">
        <f>Tabla147[[#This Row],[Importe]]-Tabla147[[#This Row],[Pagado]]</f>
        <v>0</v>
      </c>
      <c r="H2555" s="134" t="s">
        <v>10</v>
      </c>
      <c r="I2555" s="135"/>
    </row>
    <row r="2556" spans="1:9" ht="21.75" customHeight="1" x14ac:dyDescent="0.25">
      <c r="A2556" s="127">
        <v>44735</v>
      </c>
      <c r="B2556" s="128" t="s">
        <v>20448</v>
      </c>
      <c r="C2556" s="129" t="s">
        <v>127</v>
      </c>
      <c r="D2556" s="130">
        <v>4943.2</v>
      </c>
      <c r="E2556" s="131">
        <v>44735</v>
      </c>
      <c r="F2556" s="132">
        <v>4943.2</v>
      </c>
      <c r="G2556" s="133">
        <f>Tabla147[[#This Row],[Importe]]-Tabla147[[#This Row],[Pagado]]</f>
        <v>0</v>
      </c>
      <c r="H2556" s="134" t="s">
        <v>10</v>
      </c>
      <c r="I2556" s="135"/>
    </row>
    <row r="2557" spans="1:9" ht="21.75" customHeight="1" x14ac:dyDescent="0.25">
      <c r="A2557" s="127">
        <v>44735</v>
      </c>
      <c r="B2557" s="128" t="s">
        <v>20449</v>
      </c>
      <c r="C2557" s="129" t="s">
        <v>129</v>
      </c>
      <c r="D2557" s="130">
        <v>4469.6000000000004</v>
      </c>
      <c r="E2557" s="131">
        <v>44735</v>
      </c>
      <c r="F2557" s="132">
        <v>4469.6000000000004</v>
      </c>
      <c r="G2557" s="133">
        <f>Tabla147[[#This Row],[Importe]]-Tabla147[[#This Row],[Pagado]]</f>
        <v>0</v>
      </c>
      <c r="H2557" s="134" t="s">
        <v>10</v>
      </c>
      <c r="I2557" s="135"/>
    </row>
    <row r="2558" spans="1:9" ht="21.75" customHeight="1" x14ac:dyDescent="0.25">
      <c r="A2558" s="127">
        <v>44735</v>
      </c>
      <c r="B2558" s="128" t="s">
        <v>20450</v>
      </c>
      <c r="C2558" s="129" t="s">
        <v>140</v>
      </c>
      <c r="D2558" s="130">
        <v>4380.8</v>
      </c>
      <c r="E2558" s="131">
        <v>44735</v>
      </c>
      <c r="F2558" s="132">
        <v>4380.8</v>
      </c>
      <c r="G2558" s="133">
        <f>Tabla147[[#This Row],[Importe]]-Tabla147[[#This Row],[Pagado]]</f>
        <v>0</v>
      </c>
      <c r="H2558" s="134" t="s">
        <v>10</v>
      </c>
      <c r="I2558" s="135"/>
    </row>
    <row r="2559" spans="1:9" ht="21.75" customHeight="1" x14ac:dyDescent="0.25">
      <c r="A2559" s="127">
        <v>44735</v>
      </c>
      <c r="B2559" s="128" t="s">
        <v>20451</v>
      </c>
      <c r="C2559" s="129" t="s">
        <v>333</v>
      </c>
      <c r="D2559" s="130">
        <v>2219.9</v>
      </c>
      <c r="E2559" s="131">
        <v>44735</v>
      </c>
      <c r="F2559" s="132">
        <v>2219.9</v>
      </c>
      <c r="G2559" s="133">
        <f>Tabla147[[#This Row],[Importe]]-Tabla147[[#This Row],[Pagado]]</f>
        <v>0</v>
      </c>
      <c r="H2559" s="134" t="s">
        <v>10</v>
      </c>
      <c r="I2559" s="135"/>
    </row>
    <row r="2560" spans="1:9" ht="21.75" customHeight="1" x14ac:dyDescent="0.25">
      <c r="A2560" s="127">
        <v>44735</v>
      </c>
      <c r="B2560" s="128" t="s">
        <v>20452</v>
      </c>
      <c r="C2560" s="129" t="s">
        <v>357</v>
      </c>
      <c r="D2560" s="130">
        <v>1163.3</v>
      </c>
      <c r="E2560" s="131">
        <v>44735</v>
      </c>
      <c r="F2560" s="132">
        <v>1163.3</v>
      </c>
      <c r="G2560" s="133">
        <f>Tabla147[[#This Row],[Importe]]-Tabla147[[#This Row],[Pagado]]</f>
        <v>0</v>
      </c>
      <c r="H2560" s="134" t="s">
        <v>10</v>
      </c>
      <c r="I2560" s="135"/>
    </row>
    <row r="2561" spans="1:9" ht="21.75" customHeight="1" x14ac:dyDescent="0.25">
      <c r="A2561" s="127">
        <v>44735</v>
      </c>
      <c r="B2561" s="128" t="s">
        <v>20453</v>
      </c>
      <c r="C2561" s="129" t="s">
        <v>146</v>
      </c>
      <c r="D2561" s="130">
        <v>3634.8</v>
      </c>
      <c r="E2561" s="131">
        <v>44735</v>
      </c>
      <c r="F2561" s="132">
        <v>3634.8</v>
      </c>
      <c r="G2561" s="133">
        <f>Tabla147[[#This Row],[Importe]]-Tabla147[[#This Row],[Pagado]]</f>
        <v>0</v>
      </c>
      <c r="H2561" s="134" t="s">
        <v>10</v>
      </c>
      <c r="I2561" s="135"/>
    </row>
    <row r="2562" spans="1:9" ht="21.75" customHeight="1" x14ac:dyDescent="0.25">
      <c r="A2562" s="127">
        <v>44735</v>
      </c>
      <c r="B2562" s="128" t="s">
        <v>20454</v>
      </c>
      <c r="C2562" s="129" t="s">
        <v>107</v>
      </c>
      <c r="D2562" s="130">
        <v>10932.3</v>
      </c>
      <c r="E2562" s="131">
        <v>44735</v>
      </c>
      <c r="F2562" s="132">
        <v>10932.3</v>
      </c>
      <c r="G2562" s="133">
        <f>Tabla147[[#This Row],[Importe]]-Tabla147[[#This Row],[Pagado]]</f>
        <v>0</v>
      </c>
      <c r="H2562" s="134" t="s">
        <v>10</v>
      </c>
      <c r="I2562" s="135"/>
    </row>
    <row r="2563" spans="1:9" ht="21.75" customHeight="1" x14ac:dyDescent="0.25">
      <c r="A2563" s="127">
        <v>44735</v>
      </c>
      <c r="B2563" s="128" t="s">
        <v>20455</v>
      </c>
      <c r="C2563" s="129" t="s">
        <v>392</v>
      </c>
      <c r="D2563" s="130">
        <v>24093.7</v>
      </c>
      <c r="E2563" s="131">
        <v>44744</v>
      </c>
      <c r="F2563" s="132">
        <v>24093.7</v>
      </c>
      <c r="G2563" s="133">
        <f>Tabla147[[#This Row],[Importe]]-Tabla147[[#This Row],[Pagado]]</f>
        <v>0</v>
      </c>
      <c r="H2563" s="134" t="s">
        <v>10</v>
      </c>
      <c r="I2563" s="135"/>
    </row>
    <row r="2564" spans="1:9" ht="21.75" customHeight="1" x14ac:dyDescent="0.25">
      <c r="A2564" s="127">
        <v>44735</v>
      </c>
      <c r="B2564" s="128" t="s">
        <v>20456</v>
      </c>
      <c r="C2564" s="129" t="s">
        <v>407</v>
      </c>
      <c r="D2564" s="130">
        <v>15188.4</v>
      </c>
      <c r="E2564" s="131">
        <v>44738</v>
      </c>
      <c r="F2564" s="132">
        <v>15188.4</v>
      </c>
      <c r="G2564" s="133">
        <f>Tabla147[[#This Row],[Importe]]-Tabla147[[#This Row],[Pagado]]</f>
        <v>0</v>
      </c>
      <c r="H2564" s="134" t="s">
        <v>10</v>
      </c>
      <c r="I2564" s="135"/>
    </row>
    <row r="2565" spans="1:9" ht="21.75" customHeight="1" x14ac:dyDescent="0.25">
      <c r="A2565" s="127">
        <v>44735</v>
      </c>
      <c r="B2565" s="128" t="s">
        <v>20457</v>
      </c>
      <c r="C2565" s="129" t="s">
        <v>56</v>
      </c>
      <c r="D2565" s="130">
        <v>9255.7000000000007</v>
      </c>
      <c r="E2565" s="131">
        <v>44735</v>
      </c>
      <c r="F2565" s="132">
        <v>9255.7000000000007</v>
      </c>
      <c r="G2565" s="133">
        <f>Tabla147[[#This Row],[Importe]]-Tabla147[[#This Row],[Pagado]]</f>
        <v>0</v>
      </c>
      <c r="H2565" s="134" t="s">
        <v>10</v>
      </c>
      <c r="I2565" s="135"/>
    </row>
    <row r="2566" spans="1:9" ht="21.75" customHeight="1" x14ac:dyDescent="0.25">
      <c r="A2566" s="127">
        <v>44735</v>
      </c>
      <c r="B2566" s="128" t="s">
        <v>20458</v>
      </c>
      <c r="C2566" s="129" t="s">
        <v>414</v>
      </c>
      <c r="D2566" s="130">
        <v>3360</v>
      </c>
      <c r="E2566" s="131">
        <v>44735</v>
      </c>
      <c r="F2566" s="132">
        <v>3360</v>
      </c>
      <c r="G2566" s="133">
        <f>Tabla147[[#This Row],[Importe]]-Tabla147[[#This Row],[Pagado]]</f>
        <v>0</v>
      </c>
      <c r="H2566" s="134" t="s">
        <v>10</v>
      </c>
      <c r="I2566" s="135"/>
    </row>
    <row r="2567" spans="1:9" ht="21.75" customHeight="1" x14ac:dyDescent="0.25">
      <c r="A2567" s="127">
        <v>44735</v>
      </c>
      <c r="B2567" s="128" t="s">
        <v>20459</v>
      </c>
      <c r="C2567" s="129" t="s">
        <v>14375</v>
      </c>
      <c r="D2567" s="130">
        <v>0</v>
      </c>
      <c r="E2567" s="136" t="s">
        <v>189</v>
      </c>
      <c r="F2567" s="132">
        <v>0</v>
      </c>
      <c r="G2567" s="133">
        <f>Tabla147[[#This Row],[Importe]]-Tabla147[[#This Row],[Pagado]]</f>
        <v>0</v>
      </c>
      <c r="H2567" s="137" t="s">
        <v>20460</v>
      </c>
      <c r="I2567" s="135"/>
    </row>
    <row r="2568" spans="1:9" ht="21.75" customHeight="1" x14ac:dyDescent="0.25">
      <c r="A2568" s="127">
        <v>44735</v>
      </c>
      <c r="B2568" s="128" t="s">
        <v>20461</v>
      </c>
      <c r="C2568" s="129" t="s">
        <v>69</v>
      </c>
      <c r="D2568" s="130">
        <v>3508.8</v>
      </c>
      <c r="E2568" s="131">
        <v>44735</v>
      </c>
      <c r="F2568" s="132">
        <v>3508.8</v>
      </c>
      <c r="G2568" s="133">
        <f>Tabla147[[#This Row],[Importe]]-Tabla147[[#This Row],[Pagado]]</f>
        <v>0</v>
      </c>
      <c r="H2568" s="134" t="s">
        <v>10</v>
      </c>
      <c r="I2568" s="135"/>
    </row>
    <row r="2569" spans="1:9" ht="21.75" customHeight="1" x14ac:dyDescent="0.25">
      <c r="A2569" s="127">
        <v>44735</v>
      </c>
      <c r="B2569" s="128" t="s">
        <v>20462</v>
      </c>
      <c r="C2569" s="129" t="s">
        <v>31</v>
      </c>
      <c r="D2569" s="130">
        <v>3120</v>
      </c>
      <c r="E2569" s="131">
        <v>44735</v>
      </c>
      <c r="F2569" s="132">
        <v>3120</v>
      </c>
      <c r="G2569" s="133">
        <f>Tabla147[[#This Row],[Importe]]-Tabla147[[#This Row],[Pagado]]</f>
        <v>0</v>
      </c>
      <c r="H2569" s="134" t="s">
        <v>10</v>
      </c>
      <c r="I2569" s="135"/>
    </row>
    <row r="2570" spans="1:9" ht="21.75" customHeight="1" x14ac:dyDescent="0.25">
      <c r="A2570" s="127">
        <v>44735</v>
      </c>
      <c r="B2570" s="128" t="s">
        <v>20463</v>
      </c>
      <c r="C2570" s="129" t="s">
        <v>9827</v>
      </c>
      <c r="D2570" s="130">
        <v>2498.4</v>
      </c>
      <c r="E2570" s="131">
        <v>44735</v>
      </c>
      <c r="F2570" s="132">
        <v>2498.4</v>
      </c>
      <c r="G2570" s="133">
        <f>Tabla147[[#This Row],[Importe]]-Tabla147[[#This Row],[Pagado]]</f>
        <v>0</v>
      </c>
      <c r="H2570" s="134" t="s">
        <v>10</v>
      </c>
      <c r="I2570" s="135"/>
    </row>
    <row r="2571" spans="1:9" ht="21.75" customHeight="1" x14ac:dyDescent="0.25">
      <c r="A2571" s="127">
        <v>44735</v>
      </c>
      <c r="B2571" s="128" t="s">
        <v>20464</v>
      </c>
      <c r="C2571" s="129" t="s">
        <v>24</v>
      </c>
      <c r="D2571" s="130">
        <v>4259.3999999999996</v>
      </c>
      <c r="E2571" s="131">
        <v>44735</v>
      </c>
      <c r="F2571" s="132">
        <v>4259.3999999999996</v>
      </c>
      <c r="G2571" s="133">
        <f>Tabla147[[#This Row],[Importe]]-Tabla147[[#This Row],[Pagado]]</f>
        <v>0</v>
      </c>
      <c r="H2571" s="134" t="s">
        <v>10</v>
      </c>
      <c r="I2571" s="135"/>
    </row>
    <row r="2572" spans="1:9" ht="21.75" customHeight="1" x14ac:dyDescent="0.25">
      <c r="A2572" s="127">
        <v>44735</v>
      </c>
      <c r="B2572" s="128" t="s">
        <v>20465</v>
      </c>
      <c r="C2572" s="129" t="s">
        <v>31</v>
      </c>
      <c r="D2572" s="130">
        <v>415.8</v>
      </c>
      <c r="E2572" s="131">
        <v>44735</v>
      </c>
      <c r="F2572" s="132">
        <v>415.8</v>
      </c>
      <c r="G2572" s="133">
        <f>Tabla147[[#This Row],[Importe]]-Tabla147[[#This Row],[Pagado]]</f>
        <v>0</v>
      </c>
      <c r="H2572" s="134" t="s">
        <v>10</v>
      </c>
      <c r="I2572" s="135"/>
    </row>
    <row r="2573" spans="1:9" ht="21.75" customHeight="1" x14ac:dyDescent="0.25">
      <c r="A2573" s="127">
        <v>44735</v>
      </c>
      <c r="B2573" s="128" t="s">
        <v>20466</v>
      </c>
      <c r="C2573" s="129" t="s">
        <v>681</v>
      </c>
      <c r="D2573" s="130">
        <v>5.68</v>
      </c>
      <c r="E2573" s="131">
        <v>44740</v>
      </c>
      <c r="F2573" s="132">
        <v>5.68</v>
      </c>
      <c r="G2573" s="133">
        <f>Tabla147[[#This Row],[Importe]]-Tabla147[[#This Row],[Pagado]]</f>
        <v>0</v>
      </c>
      <c r="H2573" s="134" t="s">
        <v>10</v>
      </c>
      <c r="I2573" s="135"/>
    </row>
    <row r="2574" spans="1:9" ht="21.75" customHeight="1" x14ac:dyDescent="0.25">
      <c r="A2574" s="127">
        <v>44735</v>
      </c>
      <c r="B2574" s="128" t="s">
        <v>20467</v>
      </c>
      <c r="C2574" s="129" t="s">
        <v>16</v>
      </c>
      <c r="D2574" s="130">
        <v>1679.6</v>
      </c>
      <c r="E2574" s="131">
        <v>44735</v>
      </c>
      <c r="F2574" s="132">
        <v>1679.6</v>
      </c>
      <c r="G2574" s="133">
        <f>Tabla147[[#This Row],[Importe]]-Tabla147[[#This Row],[Pagado]]</f>
        <v>0</v>
      </c>
      <c r="H2574" s="134" t="s">
        <v>10</v>
      </c>
      <c r="I2574" s="135"/>
    </row>
    <row r="2575" spans="1:9" ht="21.75" customHeight="1" x14ac:dyDescent="0.25">
      <c r="A2575" s="127">
        <v>44735</v>
      </c>
      <c r="B2575" s="128" t="s">
        <v>20468</v>
      </c>
      <c r="C2575" s="129" t="s">
        <v>16</v>
      </c>
      <c r="D2575" s="130">
        <v>452.5</v>
      </c>
      <c r="E2575" s="131">
        <v>44735</v>
      </c>
      <c r="F2575" s="132">
        <v>452.5</v>
      </c>
      <c r="G2575" s="133">
        <f>Tabla147[[#This Row],[Importe]]-Tabla147[[#This Row],[Pagado]]</f>
        <v>0</v>
      </c>
      <c r="H2575" s="134" t="s">
        <v>10</v>
      </c>
      <c r="I2575" s="135"/>
    </row>
    <row r="2576" spans="1:9" ht="21.75" customHeight="1" x14ac:dyDescent="0.25">
      <c r="A2576" s="127">
        <v>44735</v>
      </c>
      <c r="B2576" s="128" t="s">
        <v>20469</v>
      </c>
      <c r="C2576" s="129" t="s">
        <v>1558</v>
      </c>
      <c r="D2576" s="130">
        <v>5303.7</v>
      </c>
      <c r="E2576" s="131">
        <v>44735</v>
      </c>
      <c r="F2576" s="132">
        <v>5303.7</v>
      </c>
      <c r="G2576" s="133">
        <f>Tabla147[[#This Row],[Importe]]-Tabla147[[#This Row],[Pagado]]</f>
        <v>0</v>
      </c>
      <c r="H2576" s="134" t="s">
        <v>10</v>
      </c>
      <c r="I2576" s="135"/>
    </row>
    <row r="2577" spans="1:9" ht="21.75" customHeight="1" x14ac:dyDescent="0.25">
      <c r="A2577" s="127">
        <v>44735</v>
      </c>
      <c r="B2577" s="128" t="s">
        <v>20470</v>
      </c>
      <c r="C2577" s="129" t="s">
        <v>175</v>
      </c>
      <c r="D2577" s="130">
        <v>26062.5</v>
      </c>
      <c r="E2577" s="131">
        <v>44735</v>
      </c>
      <c r="F2577" s="132">
        <v>26062.5</v>
      </c>
      <c r="G2577" s="133">
        <f>Tabla147[[#This Row],[Importe]]-Tabla147[[#This Row],[Pagado]]</f>
        <v>0</v>
      </c>
      <c r="H2577" s="134" t="s">
        <v>10</v>
      </c>
      <c r="I2577" s="135"/>
    </row>
    <row r="2578" spans="1:9" ht="21.75" customHeight="1" x14ac:dyDescent="0.25">
      <c r="A2578" s="127">
        <v>44735</v>
      </c>
      <c r="B2578" s="128" t="s">
        <v>20471</v>
      </c>
      <c r="C2578" s="129" t="s">
        <v>1265</v>
      </c>
      <c r="D2578" s="130">
        <v>236</v>
      </c>
      <c r="E2578" s="131">
        <v>44735</v>
      </c>
      <c r="F2578" s="132">
        <v>236</v>
      </c>
      <c r="G2578" s="133">
        <f>Tabla147[[#This Row],[Importe]]-Tabla147[[#This Row],[Pagado]]</f>
        <v>0</v>
      </c>
      <c r="H2578" s="134" t="s">
        <v>10</v>
      </c>
      <c r="I2578" s="135"/>
    </row>
    <row r="2579" spans="1:9" ht="21.75" customHeight="1" x14ac:dyDescent="0.25">
      <c r="A2579" s="127">
        <v>44735</v>
      </c>
      <c r="B2579" s="128" t="s">
        <v>20472</v>
      </c>
      <c r="C2579" s="129" t="s">
        <v>1265</v>
      </c>
      <c r="D2579" s="130">
        <v>584.6</v>
      </c>
      <c r="E2579" s="131">
        <v>44735</v>
      </c>
      <c r="F2579" s="132">
        <v>584.6</v>
      </c>
      <c r="G2579" s="133">
        <f>Tabla147[[#This Row],[Importe]]-Tabla147[[#This Row],[Pagado]]</f>
        <v>0</v>
      </c>
      <c r="H2579" s="134" t="s">
        <v>10</v>
      </c>
      <c r="I2579" s="135"/>
    </row>
    <row r="2580" spans="1:9" ht="21.75" customHeight="1" x14ac:dyDescent="0.25">
      <c r="A2580" s="127">
        <v>44735</v>
      </c>
      <c r="B2580" s="128" t="s">
        <v>20473</v>
      </c>
      <c r="C2580" s="129" t="s">
        <v>426</v>
      </c>
      <c r="D2580" s="130">
        <v>4329</v>
      </c>
      <c r="E2580" s="131">
        <v>44735</v>
      </c>
      <c r="F2580" s="132">
        <v>4329</v>
      </c>
      <c r="G2580" s="133">
        <f>Tabla147[[#This Row],[Importe]]-Tabla147[[#This Row],[Pagado]]</f>
        <v>0</v>
      </c>
      <c r="H2580" s="134" t="s">
        <v>10</v>
      </c>
      <c r="I2580" s="135"/>
    </row>
    <row r="2581" spans="1:9" ht="21.75" customHeight="1" x14ac:dyDescent="0.25">
      <c r="A2581" s="127">
        <v>44735</v>
      </c>
      <c r="B2581" s="128" t="s">
        <v>20474</v>
      </c>
      <c r="C2581" s="129" t="s">
        <v>618</v>
      </c>
      <c r="D2581" s="130">
        <v>12519.5</v>
      </c>
      <c r="E2581" s="131">
        <v>44735</v>
      </c>
      <c r="F2581" s="132">
        <v>12519.5</v>
      </c>
      <c r="G2581" s="133">
        <f>Tabla147[[#This Row],[Importe]]-Tabla147[[#This Row],[Pagado]]</f>
        <v>0</v>
      </c>
      <c r="H2581" s="134" t="s">
        <v>10</v>
      </c>
      <c r="I2581" s="135"/>
    </row>
    <row r="2582" spans="1:9" ht="21.75" customHeight="1" x14ac:dyDescent="0.25">
      <c r="A2582" s="127">
        <v>44735</v>
      </c>
      <c r="B2582" s="128" t="s">
        <v>20475</v>
      </c>
      <c r="C2582" s="129" t="s">
        <v>373</v>
      </c>
      <c r="D2582" s="130">
        <v>1786</v>
      </c>
      <c r="E2582" s="131">
        <v>44735</v>
      </c>
      <c r="F2582" s="132">
        <v>1786</v>
      </c>
      <c r="G2582" s="133">
        <f>Tabla147[[#This Row],[Importe]]-Tabla147[[#This Row],[Pagado]]</f>
        <v>0</v>
      </c>
      <c r="H2582" s="134" t="s">
        <v>10</v>
      </c>
      <c r="I2582" s="135"/>
    </row>
    <row r="2583" spans="1:9" ht="21.75" customHeight="1" x14ac:dyDescent="0.25">
      <c r="A2583" s="127">
        <v>44735</v>
      </c>
      <c r="B2583" s="128" t="s">
        <v>20476</v>
      </c>
      <c r="C2583" s="129" t="s">
        <v>14</v>
      </c>
      <c r="D2583" s="130">
        <v>20373.2</v>
      </c>
      <c r="E2583" s="131">
        <v>44735</v>
      </c>
      <c r="F2583" s="132">
        <v>20373.2</v>
      </c>
      <c r="G2583" s="133">
        <f>Tabla147[[#This Row],[Importe]]-Tabla147[[#This Row],[Pagado]]</f>
        <v>0</v>
      </c>
      <c r="H2583" s="134" t="s">
        <v>10</v>
      </c>
      <c r="I2583" s="135"/>
    </row>
    <row r="2584" spans="1:9" ht="21.75" customHeight="1" x14ac:dyDescent="0.25">
      <c r="A2584" s="127">
        <v>44735</v>
      </c>
      <c r="B2584" s="128" t="s">
        <v>20477</v>
      </c>
      <c r="C2584" s="129" t="s">
        <v>31</v>
      </c>
      <c r="D2584" s="130">
        <v>1583.6</v>
      </c>
      <c r="E2584" s="131">
        <v>44735</v>
      </c>
      <c r="F2584" s="132">
        <v>1583.6</v>
      </c>
      <c r="G2584" s="133">
        <f>Tabla147[[#This Row],[Importe]]-Tabla147[[#This Row],[Pagado]]</f>
        <v>0</v>
      </c>
      <c r="H2584" s="134" t="s">
        <v>10</v>
      </c>
      <c r="I2584" s="135"/>
    </row>
    <row r="2585" spans="1:9" ht="21.75" customHeight="1" x14ac:dyDescent="0.25">
      <c r="A2585" s="127">
        <v>44735</v>
      </c>
      <c r="B2585" s="128" t="s">
        <v>20478</v>
      </c>
      <c r="C2585" s="129" t="s">
        <v>14</v>
      </c>
      <c r="D2585" s="130">
        <v>325</v>
      </c>
      <c r="E2585" s="131">
        <v>44735</v>
      </c>
      <c r="F2585" s="132">
        <v>325</v>
      </c>
      <c r="G2585" s="133">
        <f>Tabla147[[#This Row],[Importe]]-Tabla147[[#This Row],[Pagado]]</f>
        <v>0</v>
      </c>
      <c r="H2585" s="134" t="s">
        <v>10</v>
      </c>
      <c r="I2585" s="135"/>
    </row>
    <row r="2586" spans="1:9" ht="21.75" customHeight="1" x14ac:dyDescent="0.25">
      <c r="A2586" s="127">
        <v>44735</v>
      </c>
      <c r="B2586" s="128" t="s">
        <v>20479</v>
      </c>
      <c r="C2586" s="129" t="s">
        <v>275</v>
      </c>
      <c r="D2586" s="130">
        <v>58357.2</v>
      </c>
      <c r="E2586" s="131" t="s">
        <v>21263</v>
      </c>
      <c r="F2586" s="132">
        <f>15291.01+43066.19</f>
        <v>58357.200000000004</v>
      </c>
      <c r="G2586" s="133">
        <f>Tabla147[[#This Row],[Importe]]-Tabla147[[#This Row],[Pagado]]</f>
        <v>0</v>
      </c>
      <c r="H2586" s="134" t="s">
        <v>1695</v>
      </c>
      <c r="I2586" s="135"/>
    </row>
    <row r="2587" spans="1:9" ht="21.75" customHeight="1" x14ac:dyDescent="0.25">
      <c r="A2587" s="127">
        <v>44735</v>
      </c>
      <c r="B2587" s="128" t="s">
        <v>20480</v>
      </c>
      <c r="C2587" s="129" t="s">
        <v>31</v>
      </c>
      <c r="D2587" s="130">
        <v>29723.599999999999</v>
      </c>
      <c r="E2587" s="131">
        <v>44735</v>
      </c>
      <c r="F2587" s="132">
        <v>29723.599999999999</v>
      </c>
      <c r="G2587" s="133">
        <f>Tabla147[[#This Row],[Importe]]-Tabla147[[#This Row],[Pagado]]</f>
        <v>0</v>
      </c>
      <c r="H2587" s="134" t="s">
        <v>10</v>
      </c>
      <c r="I2587" s="135"/>
    </row>
    <row r="2588" spans="1:9" ht="21.75" customHeight="1" x14ac:dyDescent="0.25">
      <c r="A2588" s="127">
        <v>44735</v>
      </c>
      <c r="B2588" s="128" t="s">
        <v>20481</v>
      </c>
      <c r="C2588" s="129" t="s">
        <v>2961</v>
      </c>
      <c r="D2588" s="130">
        <v>73393</v>
      </c>
      <c r="E2588" s="131">
        <v>44736</v>
      </c>
      <c r="F2588" s="132">
        <v>73393</v>
      </c>
      <c r="G2588" s="133">
        <f>Tabla147[[#This Row],[Importe]]-Tabla147[[#This Row],[Pagado]]</f>
        <v>0</v>
      </c>
      <c r="H2588" s="134" t="s">
        <v>10</v>
      </c>
      <c r="I2588" s="135"/>
    </row>
    <row r="2589" spans="1:9" ht="21.75" customHeight="1" x14ac:dyDescent="0.25">
      <c r="A2589" s="127">
        <v>44735</v>
      </c>
      <c r="B2589" s="128" t="s">
        <v>20482</v>
      </c>
      <c r="C2589" s="129" t="s">
        <v>10678</v>
      </c>
      <c r="D2589" s="130">
        <v>3564.2</v>
      </c>
      <c r="E2589" s="131">
        <v>44735</v>
      </c>
      <c r="F2589" s="132">
        <v>3564.2</v>
      </c>
      <c r="G2589" s="133">
        <f>Tabla147[[#This Row],[Importe]]-Tabla147[[#This Row],[Pagado]]</f>
        <v>0</v>
      </c>
      <c r="H2589" s="134" t="s">
        <v>10</v>
      </c>
      <c r="I2589" s="135"/>
    </row>
    <row r="2590" spans="1:9" ht="31.5" x14ac:dyDescent="0.25">
      <c r="A2590" s="127">
        <v>44735</v>
      </c>
      <c r="B2590" s="128" t="s">
        <v>20483</v>
      </c>
      <c r="C2590" s="129" t="s">
        <v>670</v>
      </c>
      <c r="D2590" s="130">
        <v>4366</v>
      </c>
      <c r="E2590" s="131" t="s">
        <v>20484</v>
      </c>
      <c r="F2590" s="132">
        <f>1000+3366</f>
        <v>4366</v>
      </c>
      <c r="G2590" s="133">
        <f>Tabla147[[#This Row],[Importe]]-Tabla147[[#This Row],[Pagado]]</f>
        <v>0</v>
      </c>
      <c r="H2590" s="134" t="s">
        <v>10</v>
      </c>
      <c r="I2590" s="135"/>
    </row>
    <row r="2591" spans="1:9" ht="21.75" customHeight="1" x14ac:dyDescent="0.25">
      <c r="A2591" s="127">
        <v>44735</v>
      </c>
      <c r="B2591" s="128" t="s">
        <v>20485</v>
      </c>
      <c r="C2591" s="129" t="s">
        <v>284</v>
      </c>
      <c r="D2591" s="130">
        <v>7855.2</v>
      </c>
      <c r="E2591" s="131">
        <v>44736</v>
      </c>
      <c r="F2591" s="132">
        <v>7855.2</v>
      </c>
      <c r="G2591" s="133">
        <f>Tabla147[[#This Row],[Importe]]-Tabla147[[#This Row],[Pagado]]</f>
        <v>0</v>
      </c>
      <c r="H2591" s="134" t="s">
        <v>10</v>
      </c>
      <c r="I2591" s="135"/>
    </row>
    <row r="2592" spans="1:9" ht="21.75" customHeight="1" x14ac:dyDescent="0.25">
      <c r="A2592" s="127">
        <v>44735</v>
      </c>
      <c r="B2592" s="128" t="s">
        <v>20486</v>
      </c>
      <c r="C2592" s="129" t="s">
        <v>282</v>
      </c>
      <c r="D2592" s="130">
        <v>1245.5999999999999</v>
      </c>
      <c r="E2592" s="131">
        <v>44736</v>
      </c>
      <c r="F2592" s="132">
        <v>1245.5999999999999</v>
      </c>
      <c r="G2592" s="133">
        <f>Tabla147[[#This Row],[Importe]]-Tabla147[[#This Row],[Pagado]]</f>
        <v>0</v>
      </c>
      <c r="H2592" s="134" t="s">
        <v>10</v>
      </c>
      <c r="I2592" s="135"/>
    </row>
    <row r="2593" spans="1:9" ht="21.75" customHeight="1" x14ac:dyDescent="0.25">
      <c r="A2593" s="127">
        <v>44735</v>
      </c>
      <c r="B2593" s="128" t="s">
        <v>20487</v>
      </c>
      <c r="C2593" s="129" t="s">
        <v>31</v>
      </c>
      <c r="D2593" s="130">
        <v>6063.6</v>
      </c>
      <c r="E2593" s="131">
        <v>44735</v>
      </c>
      <c r="F2593" s="132">
        <v>6063.6</v>
      </c>
      <c r="G2593" s="133">
        <f>Tabla147[[#This Row],[Importe]]-Tabla147[[#This Row],[Pagado]]</f>
        <v>0</v>
      </c>
      <c r="H2593" s="134" t="s">
        <v>10</v>
      </c>
      <c r="I2593" s="135"/>
    </row>
    <row r="2594" spans="1:9" ht="21.75" customHeight="1" x14ac:dyDescent="0.25">
      <c r="A2594" s="127">
        <v>44735</v>
      </c>
      <c r="B2594" s="128" t="s">
        <v>20488</v>
      </c>
      <c r="C2594" s="129" t="s">
        <v>5345</v>
      </c>
      <c r="D2594" s="130">
        <v>4294.3999999999996</v>
      </c>
      <c r="E2594" s="131">
        <v>44736</v>
      </c>
      <c r="F2594" s="132">
        <v>4294.3999999999996</v>
      </c>
      <c r="G2594" s="133">
        <f>Tabla147[[#This Row],[Importe]]-Tabla147[[#This Row],[Pagado]]</f>
        <v>0</v>
      </c>
      <c r="H2594" s="134" t="s">
        <v>10</v>
      </c>
      <c r="I2594" s="135"/>
    </row>
    <row r="2595" spans="1:9" ht="21.75" customHeight="1" x14ac:dyDescent="0.25">
      <c r="A2595" s="127">
        <v>44735</v>
      </c>
      <c r="B2595" s="128" t="s">
        <v>20489</v>
      </c>
      <c r="C2595" s="129" t="s">
        <v>280</v>
      </c>
      <c r="D2595" s="130">
        <v>1224</v>
      </c>
      <c r="E2595" s="131">
        <v>44736</v>
      </c>
      <c r="F2595" s="132">
        <v>1224</v>
      </c>
      <c r="G2595" s="133">
        <f>Tabla147[[#This Row],[Importe]]-Tabla147[[#This Row],[Pagado]]</f>
        <v>0</v>
      </c>
      <c r="H2595" s="134" t="s">
        <v>10</v>
      </c>
      <c r="I2595" s="135"/>
    </row>
    <row r="2596" spans="1:9" ht="21.75" customHeight="1" x14ac:dyDescent="0.25">
      <c r="A2596" s="127">
        <v>44735</v>
      </c>
      <c r="B2596" s="128" t="s">
        <v>20490</v>
      </c>
      <c r="C2596" s="129" t="s">
        <v>10819</v>
      </c>
      <c r="D2596" s="130">
        <v>744.8</v>
      </c>
      <c r="E2596" s="131">
        <v>44736</v>
      </c>
      <c r="F2596" s="132">
        <v>744.8</v>
      </c>
      <c r="G2596" s="133">
        <f>Tabla147[[#This Row],[Importe]]-Tabla147[[#This Row],[Pagado]]</f>
        <v>0</v>
      </c>
      <c r="H2596" s="134" t="s">
        <v>10</v>
      </c>
      <c r="I2596" s="135"/>
    </row>
    <row r="2597" spans="1:9" ht="21.75" customHeight="1" x14ac:dyDescent="0.25">
      <c r="A2597" s="127">
        <v>44735</v>
      </c>
      <c r="B2597" s="128" t="s">
        <v>20491</v>
      </c>
      <c r="C2597" s="129" t="s">
        <v>179</v>
      </c>
      <c r="D2597" s="130">
        <v>1432.8</v>
      </c>
      <c r="E2597" s="131">
        <v>44735</v>
      </c>
      <c r="F2597" s="132">
        <v>1432.8</v>
      </c>
      <c r="G2597" s="133">
        <f>Tabla147[[#This Row],[Importe]]-Tabla147[[#This Row],[Pagado]]</f>
        <v>0</v>
      </c>
      <c r="H2597" s="134" t="s">
        <v>10</v>
      </c>
      <c r="I2597" s="135"/>
    </row>
    <row r="2598" spans="1:9" ht="21.75" customHeight="1" x14ac:dyDescent="0.25">
      <c r="A2598" s="127">
        <v>44735</v>
      </c>
      <c r="B2598" s="128" t="s">
        <v>20492</v>
      </c>
      <c r="C2598" s="129" t="s">
        <v>280</v>
      </c>
      <c r="D2598" s="130">
        <v>705.6</v>
      </c>
      <c r="E2598" s="131">
        <v>44736</v>
      </c>
      <c r="F2598" s="132">
        <v>705.6</v>
      </c>
      <c r="G2598" s="133">
        <f>Tabla147[[#This Row],[Importe]]-Tabla147[[#This Row],[Pagado]]</f>
        <v>0</v>
      </c>
      <c r="H2598" s="134" t="s">
        <v>10</v>
      </c>
      <c r="I2598" s="135"/>
    </row>
    <row r="2599" spans="1:9" ht="21.75" customHeight="1" x14ac:dyDescent="0.25">
      <c r="A2599" s="127">
        <v>44735</v>
      </c>
      <c r="B2599" s="128" t="s">
        <v>20493</v>
      </c>
      <c r="C2599" s="129" t="s">
        <v>1003</v>
      </c>
      <c r="D2599" s="130">
        <v>6282.4</v>
      </c>
      <c r="E2599" s="131">
        <v>44738</v>
      </c>
      <c r="F2599" s="132">
        <v>6282.4</v>
      </c>
      <c r="G2599" s="133">
        <f>Tabla147[[#This Row],[Importe]]-Tabla147[[#This Row],[Pagado]]</f>
        <v>0</v>
      </c>
      <c r="H2599" s="134" t="s">
        <v>10</v>
      </c>
      <c r="I2599" s="135"/>
    </row>
    <row r="2600" spans="1:9" ht="21.75" customHeight="1" x14ac:dyDescent="0.25">
      <c r="A2600" s="127">
        <v>44735</v>
      </c>
      <c r="B2600" s="128" t="s">
        <v>20494</v>
      </c>
      <c r="C2600" s="129" t="s">
        <v>461</v>
      </c>
      <c r="D2600" s="130">
        <v>696.8</v>
      </c>
      <c r="E2600" s="131">
        <v>44735</v>
      </c>
      <c r="F2600" s="132">
        <v>696.8</v>
      </c>
      <c r="G2600" s="133">
        <f>Tabla147[[#This Row],[Importe]]-Tabla147[[#This Row],[Pagado]]</f>
        <v>0</v>
      </c>
      <c r="H2600" s="134" t="s">
        <v>10</v>
      </c>
      <c r="I2600" s="135"/>
    </row>
    <row r="2601" spans="1:9" ht="21.75" customHeight="1" x14ac:dyDescent="0.25">
      <c r="A2601" s="127">
        <v>44735</v>
      </c>
      <c r="B2601" s="128" t="s">
        <v>20495</v>
      </c>
      <c r="C2601" s="129" t="s">
        <v>31</v>
      </c>
      <c r="D2601" s="130">
        <v>1490</v>
      </c>
      <c r="E2601" s="131">
        <v>44735</v>
      </c>
      <c r="F2601" s="132">
        <v>1490</v>
      </c>
      <c r="G2601" s="133">
        <f>Tabla147[[#This Row],[Importe]]-Tabla147[[#This Row],[Pagado]]</f>
        <v>0</v>
      </c>
      <c r="H2601" s="134" t="s">
        <v>10</v>
      </c>
      <c r="I2601" s="135"/>
    </row>
    <row r="2602" spans="1:9" ht="21.75" customHeight="1" x14ac:dyDescent="0.25">
      <c r="A2602" s="127">
        <v>44735</v>
      </c>
      <c r="B2602" s="128" t="s">
        <v>20496</v>
      </c>
      <c r="C2602" s="129" t="s">
        <v>53</v>
      </c>
      <c r="D2602" s="130">
        <v>1280.2</v>
      </c>
      <c r="E2602" s="131">
        <v>44735</v>
      </c>
      <c r="F2602" s="132">
        <v>1280.2</v>
      </c>
      <c r="G2602" s="133">
        <f>Tabla147[[#This Row],[Importe]]-Tabla147[[#This Row],[Pagado]]</f>
        <v>0</v>
      </c>
      <c r="H2602" s="134" t="s">
        <v>10</v>
      </c>
      <c r="I2602" s="135"/>
    </row>
    <row r="2603" spans="1:9" ht="21.75" customHeight="1" x14ac:dyDescent="0.25">
      <c r="A2603" s="127">
        <v>44735</v>
      </c>
      <c r="B2603" s="128" t="s">
        <v>20497</v>
      </c>
      <c r="C2603" s="129" t="s">
        <v>31</v>
      </c>
      <c r="D2603" s="130">
        <v>1453.5</v>
      </c>
      <c r="E2603" s="131">
        <v>44736</v>
      </c>
      <c r="F2603" s="132">
        <v>1453.5</v>
      </c>
      <c r="G2603" s="133">
        <f>Tabla147[[#This Row],[Importe]]-Tabla147[[#This Row],[Pagado]]</f>
        <v>0</v>
      </c>
      <c r="H2603" s="134" t="s">
        <v>10</v>
      </c>
      <c r="I2603" s="135"/>
    </row>
    <row r="2604" spans="1:9" ht="21.75" customHeight="1" x14ac:dyDescent="0.25">
      <c r="A2604" s="127">
        <v>44735</v>
      </c>
      <c r="B2604" s="128" t="s">
        <v>20498</v>
      </c>
      <c r="C2604" s="129" t="s">
        <v>729</v>
      </c>
      <c r="D2604" s="130">
        <v>24246.6</v>
      </c>
      <c r="E2604" s="131">
        <v>44736</v>
      </c>
      <c r="F2604" s="132">
        <v>24246.6</v>
      </c>
      <c r="G2604" s="133">
        <f>Tabla147[[#This Row],[Importe]]-Tabla147[[#This Row],[Pagado]]</f>
        <v>0</v>
      </c>
      <c r="H2604" s="134" t="s">
        <v>10</v>
      </c>
      <c r="I2604" s="135"/>
    </row>
    <row r="2605" spans="1:9" ht="21.75" customHeight="1" x14ac:dyDescent="0.25">
      <c r="A2605" s="127">
        <v>44735</v>
      </c>
      <c r="B2605" s="128" t="s">
        <v>20499</v>
      </c>
      <c r="C2605" s="129" t="s">
        <v>135</v>
      </c>
      <c r="D2605" s="130">
        <v>1498.4</v>
      </c>
      <c r="E2605" s="131">
        <v>44736</v>
      </c>
      <c r="F2605" s="132">
        <v>1498.4</v>
      </c>
      <c r="G2605" s="133">
        <f>Tabla147[[#This Row],[Importe]]-Tabla147[[#This Row],[Pagado]]</f>
        <v>0</v>
      </c>
      <c r="H2605" s="134" t="s">
        <v>10</v>
      </c>
      <c r="I2605" s="135"/>
    </row>
    <row r="2606" spans="1:9" ht="31.5" x14ac:dyDescent="0.25">
      <c r="A2606" s="127">
        <v>44736</v>
      </c>
      <c r="B2606" s="128" t="s">
        <v>20500</v>
      </c>
      <c r="C2606" s="129" t="s">
        <v>475</v>
      </c>
      <c r="D2606" s="130">
        <v>67006.8</v>
      </c>
      <c r="E2606" s="131" t="s">
        <v>20501</v>
      </c>
      <c r="F2606" s="132">
        <f>57000+10006.8</f>
        <v>67006.8</v>
      </c>
      <c r="G2606" s="133">
        <f>Tabla147[[#This Row],[Importe]]-Tabla147[[#This Row],[Pagado]]</f>
        <v>0</v>
      </c>
      <c r="H2606" s="134" t="s">
        <v>10</v>
      </c>
      <c r="I2606" s="135"/>
    </row>
    <row r="2607" spans="1:9" ht="21.75" customHeight="1" x14ac:dyDescent="0.25">
      <c r="A2607" s="127">
        <v>44736</v>
      </c>
      <c r="B2607" s="128" t="s">
        <v>20502</v>
      </c>
      <c r="C2607" s="129" t="s">
        <v>114</v>
      </c>
      <c r="D2607" s="130">
        <v>10455.4</v>
      </c>
      <c r="E2607" s="131">
        <v>44737</v>
      </c>
      <c r="F2607" s="132">
        <v>10455.4</v>
      </c>
      <c r="G2607" s="133">
        <f>Tabla147[[#This Row],[Importe]]-Tabla147[[#This Row],[Pagado]]</f>
        <v>0</v>
      </c>
      <c r="H2607" s="134" t="s">
        <v>10</v>
      </c>
      <c r="I2607" s="135"/>
    </row>
    <row r="2608" spans="1:9" ht="31.5" x14ac:dyDescent="0.25">
      <c r="A2608" s="127">
        <v>44736</v>
      </c>
      <c r="B2608" s="128" t="s">
        <v>20503</v>
      </c>
      <c r="C2608" s="129" t="s">
        <v>111</v>
      </c>
      <c r="D2608" s="130">
        <v>5758.4</v>
      </c>
      <c r="E2608" s="131" t="s">
        <v>20504</v>
      </c>
      <c r="F2608" s="132">
        <f>3000+2758.4</f>
        <v>5758.4</v>
      </c>
      <c r="G2608" s="133">
        <f>Tabla147[[#This Row],[Importe]]-Tabla147[[#This Row],[Pagado]]</f>
        <v>0</v>
      </c>
      <c r="H2608" s="134" t="s">
        <v>10</v>
      </c>
      <c r="I2608" s="135"/>
    </row>
    <row r="2609" spans="1:9" ht="21.75" customHeight="1" x14ac:dyDescent="0.25">
      <c r="A2609" s="127">
        <v>44736</v>
      </c>
      <c r="B2609" s="128" t="s">
        <v>20505</v>
      </c>
      <c r="C2609" s="129" t="s">
        <v>2151</v>
      </c>
      <c r="D2609" s="130">
        <v>15701.4</v>
      </c>
      <c r="E2609" s="131">
        <v>44736</v>
      </c>
      <c r="F2609" s="132">
        <v>15701.4</v>
      </c>
      <c r="G2609" s="133">
        <f>Tabla147[[#This Row],[Importe]]-Tabla147[[#This Row],[Pagado]]</f>
        <v>0</v>
      </c>
      <c r="H2609" s="134" t="s">
        <v>10</v>
      </c>
      <c r="I2609" s="135"/>
    </row>
    <row r="2610" spans="1:9" ht="21.75" customHeight="1" x14ac:dyDescent="0.25">
      <c r="A2610" s="127">
        <v>44736</v>
      </c>
      <c r="B2610" s="128" t="s">
        <v>20506</v>
      </c>
      <c r="C2610" s="129" t="s">
        <v>5043</v>
      </c>
      <c r="D2610" s="130">
        <v>5191.2</v>
      </c>
      <c r="E2610" s="131">
        <v>44737</v>
      </c>
      <c r="F2610" s="132">
        <v>5191.2</v>
      </c>
      <c r="G2610" s="133">
        <f>Tabla147[[#This Row],[Importe]]-Tabla147[[#This Row],[Pagado]]</f>
        <v>0</v>
      </c>
      <c r="H2610" s="134" t="s">
        <v>10</v>
      </c>
      <c r="I2610" s="135"/>
    </row>
    <row r="2611" spans="1:9" ht="21.75" customHeight="1" x14ac:dyDescent="0.25">
      <c r="A2611" s="127">
        <v>44736</v>
      </c>
      <c r="B2611" s="128" t="s">
        <v>20507</v>
      </c>
      <c r="C2611" s="129" t="s">
        <v>116</v>
      </c>
      <c r="D2611" s="130">
        <v>4926.6000000000004</v>
      </c>
      <c r="E2611" s="131">
        <v>44736</v>
      </c>
      <c r="F2611" s="132">
        <v>4926.6000000000004</v>
      </c>
      <c r="G2611" s="133">
        <f>Tabla147[[#This Row],[Importe]]-Tabla147[[#This Row],[Pagado]]</f>
        <v>0</v>
      </c>
      <c r="H2611" s="134" t="s">
        <v>10</v>
      </c>
      <c r="I2611" s="135"/>
    </row>
    <row r="2612" spans="1:9" ht="21.75" customHeight="1" x14ac:dyDescent="0.25">
      <c r="A2612" s="127">
        <v>44736</v>
      </c>
      <c r="B2612" s="128" t="s">
        <v>20508</v>
      </c>
      <c r="C2612" s="129" t="s">
        <v>97</v>
      </c>
      <c r="D2612" s="130">
        <v>4825.8</v>
      </c>
      <c r="E2612" s="131">
        <v>44737</v>
      </c>
      <c r="F2612" s="132">
        <v>4825.8</v>
      </c>
      <c r="G2612" s="133">
        <f>Tabla147[[#This Row],[Importe]]-Tabla147[[#This Row],[Pagado]]</f>
        <v>0</v>
      </c>
      <c r="H2612" s="134" t="s">
        <v>10</v>
      </c>
      <c r="I2612" s="135"/>
    </row>
    <row r="2613" spans="1:9" ht="21.75" customHeight="1" x14ac:dyDescent="0.25">
      <c r="A2613" s="127">
        <v>44736</v>
      </c>
      <c r="B2613" s="128" t="s">
        <v>20509</v>
      </c>
      <c r="C2613" s="129" t="s">
        <v>473</v>
      </c>
      <c r="D2613" s="130">
        <v>6813.4</v>
      </c>
      <c r="E2613" s="131">
        <v>44736</v>
      </c>
      <c r="F2613" s="132">
        <v>6813.4</v>
      </c>
      <c r="G2613" s="133">
        <f>Tabla147[[#This Row],[Importe]]-Tabla147[[#This Row],[Pagado]]</f>
        <v>0</v>
      </c>
      <c r="H2613" s="134" t="s">
        <v>10</v>
      </c>
      <c r="I2613" s="135"/>
    </row>
    <row r="2614" spans="1:9" ht="21.75" customHeight="1" x14ac:dyDescent="0.25">
      <c r="A2614" s="127">
        <v>44736</v>
      </c>
      <c r="B2614" s="128" t="s">
        <v>20510</v>
      </c>
      <c r="C2614" s="129" t="s">
        <v>89</v>
      </c>
      <c r="D2614" s="130">
        <v>11519.2</v>
      </c>
      <c r="E2614" s="131">
        <v>44737</v>
      </c>
      <c r="F2614" s="132">
        <v>11519.2</v>
      </c>
      <c r="G2614" s="133">
        <f>Tabla147[[#This Row],[Importe]]-Tabla147[[#This Row],[Pagado]]</f>
        <v>0</v>
      </c>
      <c r="H2614" s="134" t="s">
        <v>10</v>
      </c>
      <c r="I2614" s="135"/>
    </row>
    <row r="2615" spans="1:9" ht="21.75" customHeight="1" x14ac:dyDescent="0.25">
      <c r="A2615" s="127">
        <v>44736</v>
      </c>
      <c r="B2615" s="128" t="s">
        <v>20511</v>
      </c>
      <c r="C2615" s="129" t="s">
        <v>105</v>
      </c>
      <c r="D2615" s="130">
        <v>7178.3</v>
      </c>
      <c r="E2615" s="131">
        <v>44736</v>
      </c>
      <c r="F2615" s="132">
        <v>7178.3</v>
      </c>
      <c r="G2615" s="133">
        <f>Tabla147[[#This Row],[Importe]]-Tabla147[[#This Row],[Pagado]]</f>
        <v>0</v>
      </c>
      <c r="H2615" s="134" t="s">
        <v>10</v>
      </c>
      <c r="I2615" s="135"/>
    </row>
    <row r="2616" spans="1:9" ht="21.75" customHeight="1" x14ac:dyDescent="0.25">
      <c r="A2616" s="127">
        <v>44736</v>
      </c>
      <c r="B2616" s="128" t="s">
        <v>20512</v>
      </c>
      <c r="C2616" s="129" t="s">
        <v>481</v>
      </c>
      <c r="D2616" s="130">
        <v>1280.8</v>
      </c>
      <c r="E2616" s="131">
        <v>44736</v>
      </c>
      <c r="F2616" s="132">
        <v>1280.8</v>
      </c>
      <c r="G2616" s="133">
        <f>Tabla147[[#This Row],[Importe]]-Tabla147[[#This Row],[Pagado]]</f>
        <v>0</v>
      </c>
      <c r="H2616" s="134" t="s">
        <v>10</v>
      </c>
      <c r="I2616" s="135"/>
    </row>
    <row r="2617" spans="1:9" ht="21.75" customHeight="1" x14ac:dyDescent="0.25">
      <c r="A2617" s="127">
        <v>44736</v>
      </c>
      <c r="B2617" s="128" t="s">
        <v>20513</v>
      </c>
      <c r="C2617" s="129" t="s">
        <v>154</v>
      </c>
      <c r="D2617" s="130">
        <v>60921.4</v>
      </c>
      <c r="E2617" s="131">
        <v>44742</v>
      </c>
      <c r="F2617" s="132">
        <v>60921.4</v>
      </c>
      <c r="G2617" s="133">
        <f>Tabla147[[#This Row],[Importe]]-Tabla147[[#This Row],[Pagado]]</f>
        <v>0</v>
      </c>
      <c r="H2617" s="134" t="s">
        <v>10</v>
      </c>
      <c r="I2617" s="135"/>
    </row>
    <row r="2618" spans="1:9" ht="21.75" customHeight="1" x14ac:dyDescent="0.25">
      <c r="A2618" s="127">
        <v>44736</v>
      </c>
      <c r="B2618" s="128" t="s">
        <v>20514</v>
      </c>
      <c r="C2618" s="129" t="s">
        <v>212</v>
      </c>
      <c r="D2618" s="130">
        <v>79103.199999999997</v>
      </c>
      <c r="E2618" s="131">
        <v>44740</v>
      </c>
      <c r="F2618" s="132">
        <v>79103.199999999997</v>
      </c>
      <c r="G2618" s="133">
        <f>Tabla147[[#This Row],[Importe]]-Tabla147[[#This Row],[Pagado]]</f>
        <v>0</v>
      </c>
      <c r="H2618" s="134" t="s">
        <v>10</v>
      </c>
      <c r="I2618" s="135"/>
    </row>
    <row r="2619" spans="1:9" ht="31.5" x14ac:dyDescent="0.25">
      <c r="A2619" s="127">
        <v>44736</v>
      </c>
      <c r="B2619" s="128" t="s">
        <v>20515</v>
      </c>
      <c r="C2619" s="129" t="s">
        <v>22</v>
      </c>
      <c r="D2619" s="130">
        <v>78684.600000000006</v>
      </c>
      <c r="E2619" s="131" t="s">
        <v>20501</v>
      </c>
      <c r="F2619" s="132">
        <f>60000+18684.6</f>
        <v>78684.600000000006</v>
      </c>
      <c r="G2619" s="133">
        <f>Tabla147[[#This Row],[Importe]]-Tabla147[[#This Row],[Pagado]]</f>
        <v>0</v>
      </c>
      <c r="H2619" s="134" t="s">
        <v>10</v>
      </c>
      <c r="I2619" s="135"/>
    </row>
    <row r="2620" spans="1:9" ht="21.75" customHeight="1" x14ac:dyDescent="0.25">
      <c r="A2620" s="127">
        <v>44736</v>
      </c>
      <c r="B2620" s="128" t="s">
        <v>20516</v>
      </c>
      <c r="C2620" s="129" t="s">
        <v>326</v>
      </c>
      <c r="D2620" s="130">
        <v>8072.4</v>
      </c>
      <c r="E2620" s="131">
        <v>44737</v>
      </c>
      <c r="F2620" s="132">
        <v>8072.4</v>
      </c>
      <c r="G2620" s="133">
        <f>Tabla147[[#This Row],[Importe]]-Tabla147[[#This Row],[Pagado]]</f>
        <v>0</v>
      </c>
      <c r="H2620" s="134" t="s">
        <v>10</v>
      </c>
      <c r="I2620" s="135"/>
    </row>
    <row r="2621" spans="1:9" ht="21.75" customHeight="1" x14ac:dyDescent="0.25">
      <c r="A2621" s="127">
        <v>44736</v>
      </c>
      <c r="B2621" s="128" t="s">
        <v>20517</v>
      </c>
      <c r="C2621" s="129" t="s">
        <v>75</v>
      </c>
      <c r="D2621" s="130">
        <v>7243.2</v>
      </c>
      <c r="E2621" s="131">
        <v>44736</v>
      </c>
      <c r="F2621" s="132">
        <v>7243.2</v>
      </c>
      <c r="G2621" s="133">
        <f>Tabla147[[#This Row],[Importe]]-Tabla147[[#This Row],[Pagado]]</f>
        <v>0</v>
      </c>
      <c r="H2621" s="134" t="s">
        <v>10</v>
      </c>
      <c r="I2621" s="135"/>
    </row>
    <row r="2622" spans="1:9" ht="21.75" customHeight="1" x14ac:dyDescent="0.25">
      <c r="A2622" s="127">
        <v>44736</v>
      </c>
      <c r="B2622" s="128" t="s">
        <v>20518</v>
      </c>
      <c r="C2622" s="129" t="s">
        <v>99</v>
      </c>
      <c r="D2622" s="130">
        <v>6013.2</v>
      </c>
      <c r="E2622" s="131">
        <v>44737</v>
      </c>
      <c r="F2622" s="132">
        <v>6013.2</v>
      </c>
      <c r="G2622" s="133">
        <f>Tabla147[[#This Row],[Importe]]-Tabla147[[#This Row],[Pagado]]</f>
        <v>0</v>
      </c>
      <c r="H2622" s="134" t="s">
        <v>10</v>
      </c>
      <c r="I2622" s="135"/>
    </row>
    <row r="2623" spans="1:9" ht="31.5" x14ac:dyDescent="0.25">
      <c r="A2623" s="127">
        <v>44736</v>
      </c>
      <c r="B2623" s="128" t="s">
        <v>20519</v>
      </c>
      <c r="C2623" s="129" t="s">
        <v>93</v>
      </c>
      <c r="D2623" s="130">
        <v>10473.4</v>
      </c>
      <c r="E2623" s="131" t="s">
        <v>20520</v>
      </c>
      <c r="F2623" s="132">
        <f>3000+7473.4</f>
        <v>10473.4</v>
      </c>
      <c r="G2623" s="133">
        <f>Tabla147[[#This Row],[Importe]]-Tabla147[[#This Row],[Pagado]]</f>
        <v>0</v>
      </c>
      <c r="H2623" s="134" t="s">
        <v>10</v>
      </c>
      <c r="I2623" s="135"/>
    </row>
    <row r="2624" spans="1:9" ht="21.75" customHeight="1" x14ac:dyDescent="0.25">
      <c r="A2624" s="127">
        <v>44736</v>
      </c>
      <c r="B2624" s="128" t="s">
        <v>20521</v>
      </c>
      <c r="C2624" s="129" t="s">
        <v>120</v>
      </c>
      <c r="D2624" s="130">
        <v>1467.3</v>
      </c>
      <c r="E2624" s="131">
        <v>44736</v>
      </c>
      <c r="F2624" s="132">
        <v>1467.3</v>
      </c>
      <c r="G2624" s="133">
        <f>Tabla147[[#This Row],[Importe]]-Tabla147[[#This Row],[Pagado]]</f>
        <v>0</v>
      </c>
      <c r="H2624" s="134" t="s">
        <v>10</v>
      </c>
      <c r="I2624" s="135"/>
    </row>
    <row r="2625" spans="1:9" ht="21.75" customHeight="1" x14ac:dyDescent="0.25">
      <c r="A2625" s="127">
        <v>44736</v>
      </c>
      <c r="B2625" s="128" t="s">
        <v>20522</v>
      </c>
      <c r="C2625" s="129" t="s">
        <v>918</v>
      </c>
      <c r="D2625" s="130">
        <v>1513.1</v>
      </c>
      <c r="E2625" s="131">
        <v>44736</v>
      </c>
      <c r="F2625" s="132">
        <v>1513.1</v>
      </c>
      <c r="G2625" s="133">
        <f>Tabla147[[#This Row],[Importe]]-Tabla147[[#This Row],[Pagado]]</f>
        <v>0</v>
      </c>
      <c r="H2625" s="134" t="s">
        <v>10</v>
      </c>
      <c r="I2625" s="135"/>
    </row>
    <row r="2626" spans="1:9" ht="21.75" customHeight="1" x14ac:dyDescent="0.25">
      <c r="A2626" s="127">
        <v>44736</v>
      </c>
      <c r="B2626" s="128" t="s">
        <v>20523</v>
      </c>
      <c r="C2626" s="129" t="s">
        <v>64</v>
      </c>
      <c r="D2626" s="130">
        <v>10173.9</v>
      </c>
      <c r="E2626" s="131">
        <v>44737</v>
      </c>
      <c r="F2626" s="132">
        <v>10173.9</v>
      </c>
      <c r="G2626" s="133">
        <f>Tabla147[[#This Row],[Importe]]-Tabla147[[#This Row],[Pagado]]</f>
        <v>0</v>
      </c>
      <c r="H2626" s="134" t="s">
        <v>10</v>
      </c>
      <c r="I2626" s="135"/>
    </row>
    <row r="2627" spans="1:9" ht="21.75" customHeight="1" x14ac:dyDescent="0.25">
      <c r="A2627" s="127">
        <v>44736</v>
      </c>
      <c r="B2627" s="128" t="s">
        <v>20524</v>
      </c>
      <c r="C2627" s="129" t="s">
        <v>9</v>
      </c>
      <c r="D2627" s="130">
        <v>10961.5</v>
      </c>
      <c r="E2627" s="131">
        <v>44736</v>
      </c>
      <c r="F2627" s="132">
        <v>10961.5</v>
      </c>
      <c r="G2627" s="133">
        <f>Tabla147[[#This Row],[Importe]]-Tabla147[[#This Row],[Pagado]]</f>
        <v>0</v>
      </c>
      <c r="H2627" s="134" t="s">
        <v>10</v>
      </c>
      <c r="I2627" s="135"/>
    </row>
    <row r="2628" spans="1:9" ht="21.75" customHeight="1" x14ac:dyDescent="0.25">
      <c r="A2628" s="127">
        <v>44736</v>
      </c>
      <c r="B2628" s="128" t="s">
        <v>20525</v>
      </c>
      <c r="C2628" s="129" t="s">
        <v>218</v>
      </c>
      <c r="D2628" s="130">
        <v>29574.9</v>
      </c>
      <c r="E2628" s="131">
        <v>44742</v>
      </c>
      <c r="F2628" s="132">
        <v>29574.9</v>
      </c>
      <c r="G2628" s="133">
        <f>Tabla147[[#This Row],[Importe]]-Tabla147[[#This Row],[Pagado]]</f>
        <v>0</v>
      </c>
      <c r="H2628" s="134" t="s">
        <v>10</v>
      </c>
      <c r="I2628" s="135"/>
    </row>
    <row r="2629" spans="1:9" ht="21.75" customHeight="1" x14ac:dyDescent="0.25">
      <c r="A2629" s="127">
        <v>44736</v>
      </c>
      <c r="B2629" s="128" t="s">
        <v>20526</v>
      </c>
      <c r="C2629" s="129" t="s">
        <v>208</v>
      </c>
      <c r="D2629" s="130">
        <v>28671</v>
      </c>
      <c r="E2629" s="131">
        <v>44747</v>
      </c>
      <c r="F2629" s="132">
        <v>28671</v>
      </c>
      <c r="G2629" s="133">
        <f>Tabla147[[#This Row],[Importe]]-Tabla147[[#This Row],[Pagado]]</f>
        <v>0</v>
      </c>
      <c r="H2629" s="134" t="s">
        <v>10</v>
      </c>
      <c r="I2629" s="135"/>
    </row>
    <row r="2630" spans="1:9" ht="21.75" customHeight="1" x14ac:dyDescent="0.25">
      <c r="A2630" s="127">
        <v>44736</v>
      </c>
      <c r="B2630" s="128" t="s">
        <v>20527</v>
      </c>
      <c r="C2630" s="129" t="s">
        <v>206</v>
      </c>
      <c r="D2630" s="130">
        <v>46677.5</v>
      </c>
      <c r="E2630" s="131">
        <v>44742</v>
      </c>
      <c r="F2630" s="132">
        <v>46677.5</v>
      </c>
      <c r="G2630" s="133">
        <f>Tabla147[[#This Row],[Importe]]-Tabla147[[#This Row],[Pagado]]</f>
        <v>0</v>
      </c>
      <c r="H2630" s="134" t="s">
        <v>10</v>
      </c>
      <c r="I2630" s="135"/>
    </row>
    <row r="2631" spans="1:9" ht="21.75" customHeight="1" x14ac:dyDescent="0.25">
      <c r="A2631" s="127">
        <v>44736</v>
      </c>
      <c r="B2631" s="128" t="s">
        <v>20528</v>
      </c>
      <c r="C2631" s="129" t="s">
        <v>49</v>
      </c>
      <c r="D2631" s="130">
        <v>1977.9</v>
      </c>
      <c r="E2631" s="131">
        <v>44736</v>
      </c>
      <c r="F2631" s="132">
        <v>1977.9</v>
      </c>
      <c r="G2631" s="133">
        <f>Tabla147[[#This Row],[Importe]]-Tabla147[[#This Row],[Pagado]]</f>
        <v>0</v>
      </c>
      <c r="H2631" s="134" t="s">
        <v>10</v>
      </c>
      <c r="I2631" s="135"/>
    </row>
    <row r="2632" spans="1:9" ht="21.75" customHeight="1" x14ac:dyDescent="0.25">
      <c r="A2632" s="127">
        <v>44736</v>
      </c>
      <c r="B2632" s="128" t="s">
        <v>20529</v>
      </c>
      <c r="C2632" s="129" t="s">
        <v>31</v>
      </c>
      <c r="D2632" s="130">
        <v>2476.4</v>
      </c>
      <c r="E2632" s="131">
        <v>44736</v>
      </c>
      <c r="F2632" s="132">
        <v>2476.4</v>
      </c>
      <c r="G2632" s="133">
        <f>Tabla147[[#This Row],[Importe]]-Tabla147[[#This Row],[Pagado]]</f>
        <v>0</v>
      </c>
      <c r="H2632" s="134" t="s">
        <v>10</v>
      </c>
      <c r="I2632" s="135"/>
    </row>
    <row r="2633" spans="1:9" ht="21.75" customHeight="1" x14ac:dyDescent="0.25">
      <c r="A2633" s="127">
        <v>44736</v>
      </c>
      <c r="B2633" s="128" t="s">
        <v>20530</v>
      </c>
      <c r="C2633" s="129" t="s">
        <v>83</v>
      </c>
      <c r="D2633" s="130">
        <v>11145</v>
      </c>
      <c r="E2633" s="131">
        <v>44736</v>
      </c>
      <c r="F2633" s="132">
        <v>11145</v>
      </c>
      <c r="G2633" s="133">
        <f>Tabla147[[#This Row],[Importe]]-Tabla147[[#This Row],[Pagado]]</f>
        <v>0</v>
      </c>
      <c r="H2633" s="134" t="s">
        <v>10</v>
      </c>
      <c r="I2633" s="135"/>
    </row>
    <row r="2634" spans="1:9" ht="21.75" customHeight="1" x14ac:dyDescent="0.25">
      <c r="A2634" s="127">
        <v>44736</v>
      </c>
      <c r="B2634" s="128" t="s">
        <v>20531</v>
      </c>
      <c r="C2634" s="129" t="s">
        <v>12202</v>
      </c>
      <c r="D2634" s="130">
        <v>6240</v>
      </c>
      <c r="E2634" s="131">
        <v>44736</v>
      </c>
      <c r="F2634" s="132">
        <v>6240</v>
      </c>
      <c r="G2634" s="133">
        <f>Tabla147[[#This Row],[Importe]]-Tabla147[[#This Row],[Pagado]]</f>
        <v>0</v>
      </c>
      <c r="H2634" s="134" t="s">
        <v>10</v>
      </c>
      <c r="I2634" s="135"/>
    </row>
    <row r="2635" spans="1:9" ht="21.75" customHeight="1" x14ac:dyDescent="0.25">
      <c r="A2635" s="127">
        <v>44736</v>
      </c>
      <c r="B2635" s="128" t="s">
        <v>20532</v>
      </c>
      <c r="C2635" s="129" t="s">
        <v>87</v>
      </c>
      <c r="D2635" s="130">
        <v>3094.4</v>
      </c>
      <c r="E2635" s="131">
        <v>44736</v>
      </c>
      <c r="F2635" s="132">
        <v>3094.4</v>
      </c>
      <c r="G2635" s="133">
        <f>Tabla147[[#This Row],[Importe]]-Tabla147[[#This Row],[Pagado]]</f>
        <v>0</v>
      </c>
      <c r="H2635" s="134" t="s">
        <v>10</v>
      </c>
      <c r="I2635" s="135"/>
    </row>
    <row r="2636" spans="1:9" ht="21.75" customHeight="1" x14ac:dyDescent="0.25">
      <c r="A2636" s="127">
        <v>44736</v>
      </c>
      <c r="B2636" s="128" t="s">
        <v>20533</v>
      </c>
      <c r="C2636" s="129" t="s">
        <v>314</v>
      </c>
      <c r="D2636" s="130">
        <v>5277.6</v>
      </c>
      <c r="E2636" s="131">
        <v>44736</v>
      </c>
      <c r="F2636" s="132">
        <v>5277.6</v>
      </c>
      <c r="G2636" s="133">
        <f>Tabla147[[#This Row],[Importe]]-Tabla147[[#This Row],[Pagado]]</f>
        <v>0</v>
      </c>
      <c r="H2636" s="134" t="s">
        <v>10</v>
      </c>
      <c r="I2636" s="135"/>
    </row>
    <row r="2637" spans="1:9" ht="21.75" customHeight="1" x14ac:dyDescent="0.25">
      <c r="A2637" s="127">
        <v>44736</v>
      </c>
      <c r="B2637" s="128" t="s">
        <v>20534</v>
      </c>
      <c r="C2637" s="129" t="s">
        <v>592</v>
      </c>
      <c r="D2637" s="130">
        <v>37814</v>
      </c>
      <c r="E2637" s="131">
        <v>44737</v>
      </c>
      <c r="F2637" s="132">
        <v>37814</v>
      </c>
      <c r="G2637" s="133">
        <f>Tabla147[[#This Row],[Importe]]-Tabla147[[#This Row],[Pagado]]</f>
        <v>0</v>
      </c>
      <c r="H2637" s="134" t="s">
        <v>10</v>
      </c>
      <c r="I2637" s="135"/>
    </row>
    <row r="2638" spans="1:9" ht="21.75" customHeight="1" x14ac:dyDescent="0.25">
      <c r="A2638" s="127">
        <v>44736</v>
      </c>
      <c r="B2638" s="128" t="s">
        <v>20535</v>
      </c>
      <c r="C2638" s="129" t="s">
        <v>173</v>
      </c>
      <c r="D2638" s="130">
        <v>18561.599999999999</v>
      </c>
      <c r="E2638" s="131">
        <v>44737</v>
      </c>
      <c r="F2638" s="132">
        <v>18561.599999999999</v>
      </c>
      <c r="G2638" s="133">
        <f>Tabla147[[#This Row],[Importe]]-Tabla147[[#This Row],[Pagado]]</f>
        <v>0</v>
      </c>
      <c r="H2638" s="134" t="s">
        <v>10</v>
      </c>
      <c r="I2638" s="135"/>
    </row>
    <row r="2639" spans="1:9" ht="21.75" customHeight="1" x14ac:dyDescent="0.25">
      <c r="A2639" s="127">
        <v>44736</v>
      </c>
      <c r="B2639" s="128" t="s">
        <v>20536</v>
      </c>
      <c r="C2639" s="129" t="s">
        <v>31</v>
      </c>
      <c r="D2639" s="130">
        <v>1798.2</v>
      </c>
      <c r="E2639" s="131">
        <v>44736</v>
      </c>
      <c r="F2639" s="132">
        <v>1798.2</v>
      </c>
      <c r="G2639" s="133">
        <f>Tabla147[[#This Row],[Importe]]-Tabla147[[#This Row],[Pagado]]</f>
        <v>0</v>
      </c>
      <c r="H2639" s="134" t="s">
        <v>10</v>
      </c>
      <c r="I2639" s="135"/>
    </row>
    <row r="2640" spans="1:9" ht="21.75" customHeight="1" x14ac:dyDescent="0.25">
      <c r="A2640" s="127">
        <v>44736</v>
      </c>
      <c r="B2640" s="128" t="s">
        <v>20537</v>
      </c>
      <c r="C2640" s="129" t="s">
        <v>5816</v>
      </c>
      <c r="D2640" s="130">
        <v>1140</v>
      </c>
      <c r="E2640" s="131">
        <v>44737</v>
      </c>
      <c r="F2640" s="132">
        <v>1140</v>
      </c>
      <c r="G2640" s="133">
        <f>Tabla147[[#This Row],[Importe]]-Tabla147[[#This Row],[Pagado]]</f>
        <v>0</v>
      </c>
      <c r="H2640" s="134" t="s">
        <v>10</v>
      </c>
      <c r="I2640" s="135"/>
    </row>
    <row r="2641" spans="1:9" ht="21.75" customHeight="1" x14ac:dyDescent="0.25">
      <c r="A2641" s="127">
        <v>44736</v>
      </c>
      <c r="B2641" s="128" t="s">
        <v>20538</v>
      </c>
      <c r="C2641" s="129" t="s">
        <v>133</v>
      </c>
      <c r="D2641" s="130">
        <v>22484</v>
      </c>
      <c r="E2641" s="131">
        <v>44737</v>
      </c>
      <c r="F2641" s="132">
        <v>22484</v>
      </c>
      <c r="G2641" s="133">
        <f>Tabla147[[#This Row],[Importe]]-Tabla147[[#This Row],[Pagado]]</f>
        <v>0</v>
      </c>
      <c r="H2641" s="134" t="s">
        <v>10</v>
      </c>
      <c r="I2641" s="135"/>
    </row>
    <row r="2642" spans="1:9" ht="21.75" customHeight="1" x14ac:dyDescent="0.25">
      <c r="A2642" s="127">
        <v>44736</v>
      </c>
      <c r="B2642" s="128" t="s">
        <v>20539</v>
      </c>
      <c r="C2642" s="129" t="s">
        <v>6585</v>
      </c>
      <c r="D2642" s="130">
        <v>9213</v>
      </c>
      <c r="E2642" s="131">
        <v>44737</v>
      </c>
      <c r="F2642" s="132">
        <v>9213</v>
      </c>
      <c r="G2642" s="133">
        <f>Tabla147[[#This Row],[Importe]]-Tabla147[[#This Row],[Pagado]]</f>
        <v>0</v>
      </c>
      <c r="H2642" s="134" t="s">
        <v>10</v>
      </c>
      <c r="I2642" s="135"/>
    </row>
    <row r="2643" spans="1:9" ht="21.75" customHeight="1" x14ac:dyDescent="0.25">
      <c r="A2643" s="127">
        <v>44736</v>
      </c>
      <c r="B2643" s="128" t="s">
        <v>20540</v>
      </c>
      <c r="C2643" s="129" t="s">
        <v>348</v>
      </c>
      <c r="D2643" s="130">
        <v>1943.2</v>
      </c>
      <c r="E2643" s="131">
        <v>44737</v>
      </c>
      <c r="F2643" s="132">
        <v>1943.2</v>
      </c>
      <c r="G2643" s="133">
        <f>Tabla147[[#This Row],[Importe]]-Tabla147[[#This Row],[Pagado]]</f>
        <v>0</v>
      </c>
      <c r="H2643" s="134" t="s">
        <v>10</v>
      </c>
      <c r="I2643" s="135"/>
    </row>
    <row r="2644" spans="1:9" ht="21.75" customHeight="1" x14ac:dyDescent="0.25">
      <c r="A2644" s="127">
        <v>44736</v>
      </c>
      <c r="B2644" s="128" t="s">
        <v>20541</v>
      </c>
      <c r="C2644" s="129" t="s">
        <v>49</v>
      </c>
      <c r="D2644" s="130">
        <v>1308</v>
      </c>
      <c r="E2644" s="131">
        <v>44736</v>
      </c>
      <c r="F2644" s="132">
        <v>1308</v>
      </c>
      <c r="G2644" s="133">
        <f>Tabla147[[#This Row],[Importe]]-Tabla147[[#This Row],[Pagado]]</f>
        <v>0</v>
      </c>
      <c r="H2644" s="134" t="s">
        <v>10</v>
      </c>
      <c r="I2644" s="135"/>
    </row>
    <row r="2645" spans="1:9" ht="21.75" customHeight="1" x14ac:dyDescent="0.25">
      <c r="A2645" s="127">
        <v>44736</v>
      </c>
      <c r="B2645" s="128" t="s">
        <v>20542</v>
      </c>
      <c r="C2645" s="129" t="s">
        <v>161</v>
      </c>
      <c r="D2645" s="130">
        <v>4425.2</v>
      </c>
      <c r="E2645" s="131">
        <v>44736</v>
      </c>
      <c r="F2645" s="132">
        <v>4425.2</v>
      </c>
      <c r="G2645" s="133">
        <f>Tabla147[[#This Row],[Importe]]-Tabla147[[#This Row],[Pagado]]</f>
        <v>0</v>
      </c>
      <c r="H2645" s="134" t="s">
        <v>10</v>
      </c>
      <c r="I2645" s="135"/>
    </row>
    <row r="2646" spans="1:9" ht="21.75" customHeight="1" x14ac:dyDescent="0.25">
      <c r="A2646" s="127">
        <v>44736</v>
      </c>
      <c r="B2646" s="128" t="s">
        <v>20543</v>
      </c>
      <c r="C2646" s="129" t="s">
        <v>312</v>
      </c>
      <c r="D2646" s="130">
        <v>5670.3</v>
      </c>
      <c r="E2646" s="131">
        <v>44736</v>
      </c>
      <c r="F2646" s="132">
        <v>5670.3</v>
      </c>
      <c r="G2646" s="133">
        <f>Tabla147[[#This Row],[Importe]]-Tabla147[[#This Row],[Pagado]]</f>
        <v>0</v>
      </c>
      <c r="H2646" s="134" t="s">
        <v>10</v>
      </c>
      <c r="I2646" s="135"/>
    </row>
    <row r="2647" spans="1:9" ht="21.75" customHeight="1" x14ac:dyDescent="0.25">
      <c r="A2647" s="127">
        <v>44736</v>
      </c>
      <c r="B2647" s="128" t="s">
        <v>20544</v>
      </c>
      <c r="C2647" s="129" t="s">
        <v>359</v>
      </c>
      <c r="D2647" s="130">
        <v>1896.1</v>
      </c>
      <c r="E2647" s="131">
        <v>44736</v>
      </c>
      <c r="F2647" s="132">
        <v>1896.1</v>
      </c>
      <c r="G2647" s="133">
        <f>Tabla147[[#This Row],[Importe]]-Tabla147[[#This Row],[Pagado]]</f>
        <v>0</v>
      </c>
      <c r="H2647" s="134" t="s">
        <v>10</v>
      </c>
      <c r="I2647" s="135"/>
    </row>
    <row r="2648" spans="1:9" ht="21.75" customHeight="1" x14ac:dyDescent="0.25">
      <c r="A2648" s="127">
        <v>44736</v>
      </c>
      <c r="B2648" s="128" t="s">
        <v>20545</v>
      </c>
      <c r="C2648" s="129" t="s">
        <v>35</v>
      </c>
      <c r="D2648" s="130">
        <v>6202</v>
      </c>
      <c r="E2648" s="131">
        <v>44736</v>
      </c>
      <c r="F2648" s="132">
        <v>6202</v>
      </c>
      <c r="G2648" s="133">
        <f>Tabla147[[#This Row],[Importe]]-Tabla147[[#This Row],[Pagado]]</f>
        <v>0</v>
      </c>
      <c r="H2648" s="134" t="s">
        <v>10</v>
      </c>
      <c r="I2648" s="135"/>
    </row>
    <row r="2649" spans="1:9" ht="21.75" customHeight="1" x14ac:dyDescent="0.25">
      <c r="A2649" s="127">
        <v>44736</v>
      </c>
      <c r="B2649" s="128" t="s">
        <v>20546</v>
      </c>
      <c r="C2649" s="129" t="s">
        <v>326</v>
      </c>
      <c r="D2649" s="130">
        <v>3564</v>
      </c>
      <c r="E2649" s="131">
        <v>44736</v>
      </c>
      <c r="F2649" s="132">
        <v>3564</v>
      </c>
      <c r="G2649" s="133">
        <f>Tabla147[[#This Row],[Importe]]-Tabla147[[#This Row],[Pagado]]</f>
        <v>0</v>
      </c>
      <c r="H2649" s="134" t="s">
        <v>10</v>
      </c>
      <c r="I2649" s="135"/>
    </row>
    <row r="2650" spans="1:9" ht="21.75" customHeight="1" x14ac:dyDescent="0.25">
      <c r="A2650" s="127">
        <v>44736</v>
      </c>
      <c r="B2650" s="128" t="s">
        <v>20547</v>
      </c>
      <c r="C2650" s="129" t="s">
        <v>45</v>
      </c>
      <c r="D2650" s="130">
        <v>1231.2</v>
      </c>
      <c r="E2650" s="131">
        <v>44736</v>
      </c>
      <c r="F2650" s="132">
        <v>1231.2</v>
      </c>
      <c r="G2650" s="133">
        <f>Tabla147[[#This Row],[Importe]]-Tabla147[[#This Row],[Pagado]]</f>
        <v>0</v>
      </c>
      <c r="H2650" s="134" t="s">
        <v>10</v>
      </c>
      <c r="I2650" s="135"/>
    </row>
    <row r="2651" spans="1:9" ht="21.75" customHeight="1" x14ac:dyDescent="0.25">
      <c r="A2651" s="127">
        <v>44736</v>
      </c>
      <c r="B2651" s="128" t="s">
        <v>20548</v>
      </c>
      <c r="C2651" s="129" t="s">
        <v>647</v>
      </c>
      <c r="D2651" s="130">
        <v>4275.8</v>
      </c>
      <c r="E2651" s="131">
        <v>44736</v>
      </c>
      <c r="F2651" s="132">
        <v>4275.8</v>
      </c>
      <c r="G2651" s="133">
        <f>Tabla147[[#This Row],[Importe]]-Tabla147[[#This Row],[Pagado]]</f>
        <v>0</v>
      </c>
      <c r="H2651" s="134" t="s">
        <v>10</v>
      </c>
      <c r="I2651" s="135"/>
    </row>
    <row r="2652" spans="1:9" ht="21.75" customHeight="1" x14ac:dyDescent="0.25">
      <c r="A2652" s="127">
        <v>44736</v>
      </c>
      <c r="B2652" s="128" t="s">
        <v>20549</v>
      </c>
      <c r="C2652" s="129" t="s">
        <v>45</v>
      </c>
      <c r="D2652" s="130">
        <v>14156.9</v>
      </c>
      <c r="E2652" s="131">
        <v>44736</v>
      </c>
      <c r="F2652" s="132">
        <v>14156.9</v>
      </c>
      <c r="G2652" s="133">
        <f>Tabla147[[#This Row],[Importe]]-Tabla147[[#This Row],[Pagado]]</f>
        <v>0</v>
      </c>
      <c r="H2652" s="134" t="s">
        <v>10</v>
      </c>
      <c r="I2652" s="135"/>
    </row>
    <row r="2653" spans="1:9" ht="21.75" customHeight="1" x14ac:dyDescent="0.25">
      <c r="A2653" s="127">
        <v>44736</v>
      </c>
      <c r="B2653" s="128" t="s">
        <v>20550</v>
      </c>
      <c r="C2653" s="129" t="s">
        <v>85</v>
      </c>
      <c r="D2653" s="130">
        <v>3971.6</v>
      </c>
      <c r="E2653" s="131">
        <v>44736</v>
      </c>
      <c r="F2653" s="132">
        <v>3971.6</v>
      </c>
      <c r="G2653" s="133">
        <f>Tabla147[[#This Row],[Importe]]-Tabla147[[#This Row],[Pagado]]</f>
        <v>0</v>
      </c>
      <c r="H2653" s="134" t="s">
        <v>10</v>
      </c>
      <c r="I2653" s="135"/>
    </row>
    <row r="2654" spans="1:9" ht="21.75" customHeight="1" x14ac:dyDescent="0.25">
      <c r="A2654" s="127">
        <v>44736</v>
      </c>
      <c r="B2654" s="128" t="s">
        <v>20551</v>
      </c>
      <c r="C2654" s="129" t="s">
        <v>49</v>
      </c>
      <c r="D2654" s="130">
        <v>649.79999999999995</v>
      </c>
      <c r="E2654" s="131">
        <v>44736</v>
      </c>
      <c r="F2654" s="132">
        <v>649.79999999999995</v>
      </c>
      <c r="G2654" s="133">
        <f>Tabla147[[#This Row],[Importe]]-Tabla147[[#This Row],[Pagado]]</f>
        <v>0</v>
      </c>
      <c r="H2654" s="134" t="s">
        <v>10</v>
      </c>
      <c r="I2654" s="135"/>
    </row>
    <row r="2655" spans="1:9" ht="21.75" customHeight="1" x14ac:dyDescent="0.25">
      <c r="A2655" s="127">
        <v>44736</v>
      </c>
      <c r="B2655" s="128" t="s">
        <v>20552</v>
      </c>
      <c r="C2655" s="129" t="s">
        <v>10157</v>
      </c>
      <c r="D2655" s="130">
        <v>33025.120000000003</v>
      </c>
      <c r="E2655" s="131">
        <v>44743</v>
      </c>
      <c r="F2655" s="132">
        <v>33025.120000000003</v>
      </c>
      <c r="G2655" s="133">
        <f>Tabla147[[#This Row],[Importe]]-Tabla147[[#This Row],[Pagado]]</f>
        <v>0</v>
      </c>
      <c r="H2655" s="134" t="s">
        <v>10</v>
      </c>
      <c r="I2655" s="135"/>
    </row>
    <row r="2656" spans="1:9" ht="21.75" customHeight="1" x14ac:dyDescent="0.25">
      <c r="A2656" s="127">
        <v>44736</v>
      </c>
      <c r="B2656" s="128" t="s">
        <v>20553</v>
      </c>
      <c r="C2656" s="129" t="s">
        <v>27</v>
      </c>
      <c r="D2656" s="130">
        <v>2229</v>
      </c>
      <c r="E2656" s="131">
        <v>44736</v>
      </c>
      <c r="F2656" s="132">
        <v>2229</v>
      </c>
      <c r="G2656" s="133">
        <f>Tabla147[[#This Row],[Importe]]-Tabla147[[#This Row],[Pagado]]</f>
        <v>0</v>
      </c>
      <c r="H2656" s="134" t="s">
        <v>10</v>
      </c>
      <c r="I2656" s="135"/>
    </row>
    <row r="2657" spans="1:9" ht="21.75" customHeight="1" x14ac:dyDescent="0.25">
      <c r="A2657" s="127">
        <v>44736</v>
      </c>
      <c r="B2657" s="128" t="s">
        <v>20554</v>
      </c>
      <c r="C2657" s="129" t="s">
        <v>140</v>
      </c>
      <c r="D2657" s="130">
        <v>2077.6999999999998</v>
      </c>
      <c r="E2657" s="131">
        <v>44736</v>
      </c>
      <c r="F2657" s="132">
        <v>2077.6999999999998</v>
      </c>
      <c r="G2657" s="133">
        <f>Tabla147[[#This Row],[Importe]]-Tabla147[[#This Row],[Pagado]]</f>
        <v>0</v>
      </c>
      <c r="H2657" s="134" t="s">
        <v>10</v>
      </c>
      <c r="I2657" s="135"/>
    </row>
    <row r="2658" spans="1:9" ht="21.75" customHeight="1" x14ac:dyDescent="0.25">
      <c r="A2658" s="127">
        <v>44736</v>
      </c>
      <c r="B2658" s="128" t="s">
        <v>20555</v>
      </c>
      <c r="C2658" s="129" t="s">
        <v>129</v>
      </c>
      <c r="D2658" s="130">
        <v>2046.1</v>
      </c>
      <c r="E2658" s="131">
        <v>44736</v>
      </c>
      <c r="F2658" s="132">
        <v>2046.1</v>
      </c>
      <c r="G2658" s="133">
        <f>Tabla147[[#This Row],[Importe]]-Tabla147[[#This Row],[Pagado]]</f>
        <v>0</v>
      </c>
      <c r="H2658" s="134" t="s">
        <v>10</v>
      </c>
      <c r="I2658" s="135"/>
    </row>
    <row r="2659" spans="1:9" ht="21.75" customHeight="1" x14ac:dyDescent="0.25">
      <c r="A2659" s="127">
        <v>44736</v>
      </c>
      <c r="B2659" s="128" t="s">
        <v>20556</v>
      </c>
      <c r="C2659" s="129" t="s">
        <v>191</v>
      </c>
      <c r="D2659" s="130">
        <v>1732.5</v>
      </c>
      <c r="E2659" s="131">
        <v>44736</v>
      </c>
      <c r="F2659" s="132">
        <v>1732.5</v>
      </c>
      <c r="G2659" s="133">
        <f>Tabla147[[#This Row],[Importe]]-Tabla147[[#This Row],[Pagado]]</f>
        <v>0</v>
      </c>
      <c r="H2659" s="134" t="s">
        <v>10</v>
      </c>
      <c r="I2659" s="135"/>
    </row>
    <row r="2660" spans="1:9" ht="21.75" customHeight="1" x14ac:dyDescent="0.25">
      <c r="A2660" s="127">
        <v>44736</v>
      </c>
      <c r="B2660" s="128" t="s">
        <v>20557</v>
      </c>
      <c r="C2660" s="129" t="s">
        <v>11383</v>
      </c>
      <c r="D2660" s="130">
        <v>8899.2000000000007</v>
      </c>
      <c r="E2660" s="131">
        <v>44736</v>
      </c>
      <c r="F2660" s="132">
        <v>8899.2000000000007</v>
      </c>
      <c r="G2660" s="133">
        <f>Tabla147[[#This Row],[Importe]]-Tabla147[[#This Row],[Pagado]]</f>
        <v>0</v>
      </c>
      <c r="H2660" s="134" t="s">
        <v>10</v>
      </c>
      <c r="I2660" s="135"/>
    </row>
    <row r="2661" spans="1:9" ht="21.75" customHeight="1" x14ac:dyDescent="0.25">
      <c r="A2661" s="127">
        <v>44736</v>
      </c>
      <c r="B2661" s="128" t="s">
        <v>20558</v>
      </c>
      <c r="C2661" s="129" t="s">
        <v>127</v>
      </c>
      <c r="D2661" s="130">
        <v>1323.4</v>
      </c>
      <c r="E2661" s="131">
        <v>44736</v>
      </c>
      <c r="F2661" s="132">
        <v>1323.4</v>
      </c>
      <c r="G2661" s="133">
        <f>Tabla147[[#This Row],[Importe]]-Tabla147[[#This Row],[Pagado]]</f>
        <v>0</v>
      </c>
      <c r="H2661" s="134" t="s">
        <v>10</v>
      </c>
      <c r="I2661" s="135"/>
    </row>
    <row r="2662" spans="1:9" ht="21.75" customHeight="1" x14ac:dyDescent="0.25">
      <c r="A2662" s="127">
        <v>44736</v>
      </c>
      <c r="B2662" s="128" t="s">
        <v>20559</v>
      </c>
      <c r="C2662" s="129" t="s">
        <v>2114</v>
      </c>
      <c r="D2662" s="130">
        <v>1216</v>
      </c>
      <c r="E2662" s="131">
        <v>44736</v>
      </c>
      <c r="F2662" s="132">
        <v>1216</v>
      </c>
      <c r="G2662" s="133">
        <f>Tabla147[[#This Row],[Importe]]-Tabla147[[#This Row],[Pagado]]</f>
        <v>0</v>
      </c>
      <c r="H2662" s="134" t="s">
        <v>10</v>
      </c>
      <c r="I2662" s="135"/>
    </row>
    <row r="2663" spans="1:9" ht="21.75" customHeight="1" x14ac:dyDescent="0.25">
      <c r="A2663" s="127">
        <v>44736</v>
      </c>
      <c r="B2663" s="128" t="s">
        <v>20560</v>
      </c>
      <c r="C2663" s="129" t="s">
        <v>275</v>
      </c>
      <c r="D2663" s="130">
        <v>14604.6</v>
      </c>
      <c r="E2663" s="131">
        <v>44750</v>
      </c>
      <c r="F2663" s="132">
        <v>14604.6</v>
      </c>
      <c r="G2663" s="133">
        <f>Tabla147[[#This Row],[Importe]]-Tabla147[[#This Row],[Pagado]]</f>
        <v>0</v>
      </c>
      <c r="H2663" s="134" t="s">
        <v>10</v>
      </c>
      <c r="I2663" s="135"/>
    </row>
    <row r="2664" spans="1:9" ht="21.75" customHeight="1" x14ac:dyDescent="0.25">
      <c r="A2664" s="127">
        <v>44736</v>
      </c>
      <c r="B2664" s="128" t="s">
        <v>20561</v>
      </c>
      <c r="C2664" s="129" t="s">
        <v>146</v>
      </c>
      <c r="D2664" s="130">
        <v>15678</v>
      </c>
      <c r="E2664" s="131">
        <v>44736</v>
      </c>
      <c r="F2664" s="132">
        <v>15678</v>
      </c>
      <c r="G2664" s="133">
        <f>Tabla147[[#This Row],[Importe]]-Tabla147[[#This Row],[Pagado]]</f>
        <v>0</v>
      </c>
      <c r="H2664" s="134" t="s">
        <v>10</v>
      </c>
      <c r="I2664" s="135"/>
    </row>
    <row r="2665" spans="1:9" ht="21.75" customHeight="1" x14ac:dyDescent="0.25">
      <c r="A2665" s="127">
        <v>44736</v>
      </c>
      <c r="B2665" s="128" t="s">
        <v>20562</v>
      </c>
      <c r="C2665" s="129" t="s">
        <v>214</v>
      </c>
      <c r="D2665" s="130">
        <v>604</v>
      </c>
      <c r="E2665" s="131">
        <v>44736</v>
      </c>
      <c r="F2665" s="132">
        <v>604</v>
      </c>
      <c r="G2665" s="133">
        <f>Tabla147[[#This Row],[Importe]]-Tabla147[[#This Row],[Pagado]]</f>
        <v>0</v>
      </c>
      <c r="H2665" s="134" t="s">
        <v>10</v>
      </c>
      <c r="I2665" s="135"/>
    </row>
    <row r="2666" spans="1:9" ht="21.75" customHeight="1" x14ac:dyDescent="0.25">
      <c r="A2666" s="127">
        <v>44736</v>
      </c>
      <c r="B2666" s="128" t="s">
        <v>20563</v>
      </c>
      <c r="C2666" s="129" t="s">
        <v>107</v>
      </c>
      <c r="D2666" s="130">
        <v>5353.9</v>
      </c>
      <c r="E2666" s="131">
        <v>44736</v>
      </c>
      <c r="F2666" s="132">
        <v>5353.9</v>
      </c>
      <c r="G2666" s="133">
        <f>Tabla147[[#This Row],[Importe]]-Tabla147[[#This Row],[Pagado]]</f>
        <v>0</v>
      </c>
      <c r="H2666" s="134" t="s">
        <v>10</v>
      </c>
      <c r="I2666" s="135"/>
    </row>
    <row r="2667" spans="1:9" ht="21.75" customHeight="1" x14ac:dyDescent="0.25">
      <c r="A2667" s="127">
        <v>44736</v>
      </c>
      <c r="B2667" s="128" t="s">
        <v>20564</v>
      </c>
      <c r="C2667" s="129" t="s">
        <v>173</v>
      </c>
      <c r="D2667" s="130">
        <v>7676</v>
      </c>
      <c r="E2667" s="131">
        <v>44737</v>
      </c>
      <c r="F2667" s="132">
        <v>7676</v>
      </c>
      <c r="G2667" s="133">
        <f>Tabla147[[#This Row],[Importe]]-Tabla147[[#This Row],[Pagado]]</f>
        <v>0</v>
      </c>
      <c r="H2667" s="134" t="s">
        <v>10</v>
      </c>
      <c r="I2667" s="135"/>
    </row>
    <row r="2668" spans="1:9" ht="21.75" customHeight="1" x14ac:dyDescent="0.25">
      <c r="A2668" s="127">
        <v>44736</v>
      </c>
      <c r="B2668" s="128" t="s">
        <v>20565</v>
      </c>
      <c r="C2668" s="129" t="s">
        <v>15039</v>
      </c>
      <c r="D2668" s="130">
        <v>4400.3999999999996</v>
      </c>
      <c r="E2668" s="131">
        <v>44736</v>
      </c>
      <c r="F2668" s="132">
        <v>4400.3999999999996</v>
      </c>
      <c r="G2668" s="133">
        <f>Tabla147[[#This Row],[Importe]]-Tabla147[[#This Row],[Pagado]]</f>
        <v>0</v>
      </c>
      <c r="H2668" s="134" t="s">
        <v>10</v>
      </c>
      <c r="I2668" s="135"/>
    </row>
    <row r="2669" spans="1:9" ht="21.75" customHeight="1" x14ac:dyDescent="0.25">
      <c r="A2669" s="127">
        <v>44736</v>
      </c>
      <c r="B2669" s="128" t="s">
        <v>20566</v>
      </c>
      <c r="C2669" s="129" t="s">
        <v>142</v>
      </c>
      <c r="D2669" s="130">
        <v>69961.259999999995</v>
      </c>
      <c r="E2669" s="131">
        <v>44769</v>
      </c>
      <c r="F2669" s="132">
        <f>64203.57+5757.69</f>
        <v>69961.259999999995</v>
      </c>
      <c r="G2669" s="133">
        <f>Tabla147[[#This Row],[Importe]]-Tabla147[[#This Row],[Pagado]]</f>
        <v>0</v>
      </c>
      <c r="H2669" s="134" t="s">
        <v>10</v>
      </c>
      <c r="I2669" s="135"/>
    </row>
    <row r="2670" spans="1:9" ht="21.75" customHeight="1" x14ac:dyDescent="0.25">
      <c r="A2670" s="127">
        <v>44736</v>
      </c>
      <c r="B2670" s="128" t="s">
        <v>20567</v>
      </c>
      <c r="C2670" s="129" t="s">
        <v>289</v>
      </c>
      <c r="D2670" s="130">
        <v>11592.9</v>
      </c>
      <c r="E2670" s="131">
        <v>44736</v>
      </c>
      <c r="F2670" s="132">
        <v>11592.9</v>
      </c>
      <c r="G2670" s="133">
        <f>Tabla147[[#This Row],[Importe]]-Tabla147[[#This Row],[Pagado]]</f>
        <v>0</v>
      </c>
      <c r="H2670" s="134" t="s">
        <v>10</v>
      </c>
      <c r="I2670" s="135"/>
    </row>
    <row r="2671" spans="1:9" ht="21.75" customHeight="1" x14ac:dyDescent="0.25">
      <c r="A2671" s="127">
        <v>44736</v>
      </c>
      <c r="B2671" s="128" t="s">
        <v>20568</v>
      </c>
      <c r="C2671" s="129" t="s">
        <v>24</v>
      </c>
      <c r="D2671" s="130">
        <v>4713.8</v>
      </c>
      <c r="E2671" s="131">
        <v>44736</v>
      </c>
      <c r="F2671" s="132">
        <v>4713.8</v>
      </c>
      <c r="G2671" s="133">
        <f>Tabla147[[#This Row],[Importe]]-Tabla147[[#This Row],[Pagado]]</f>
        <v>0</v>
      </c>
      <c r="H2671" s="134" t="s">
        <v>10</v>
      </c>
      <c r="I2671" s="135"/>
    </row>
    <row r="2672" spans="1:9" ht="21.75" customHeight="1" x14ac:dyDescent="0.25">
      <c r="A2672" s="127">
        <v>44736</v>
      </c>
      <c r="B2672" s="128" t="s">
        <v>20569</v>
      </c>
      <c r="C2672" s="129" t="s">
        <v>849</v>
      </c>
      <c r="D2672" s="130">
        <v>5340</v>
      </c>
      <c r="E2672" s="131">
        <v>44736</v>
      </c>
      <c r="F2672" s="132">
        <v>5340</v>
      </c>
      <c r="G2672" s="133">
        <f>Tabla147[[#This Row],[Importe]]-Tabla147[[#This Row],[Pagado]]</f>
        <v>0</v>
      </c>
      <c r="H2672" s="134" t="s">
        <v>10</v>
      </c>
      <c r="I2672" s="135"/>
    </row>
    <row r="2673" spans="1:9" ht="21.75" customHeight="1" x14ac:dyDescent="0.25">
      <c r="A2673" s="127">
        <v>44736</v>
      </c>
      <c r="B2673" s="128" t="s">
        <v>20570</v>
      </c>
      <c r="C2673" s="129" t="s">
        <v>216</v>
      </c>
      <c r="D2673" s="130">
        <v>1987.2</v>
      </c>
      <c r="E2673" s="131">
        <v>44736</v>
      </c>
      <c r="F2673" s="132">
        <v>1987.2</v>
      </c>
      <c r="G2673" s="133">
        <f>Tabla147[[#This Row],[Importe]]-Tabla147[[#This Row],[Pagado]]</f>
        <v>0</v>
      </c>
      <c r="H2673" s="134" t="s">
        <v>10</v>
      </c>
      <c r="I2673" s="135"/>
    </row>
    <row r="2674" spans="1:9" ht="21.75" customHeight="1" x14ac:dyDescent="0.25">
      <c r="A2674" s="127">
        <v>44736</v>
      </c>
      <c r="B2674" s="128" t="s">
        <v>20571</v>
      </c>
      <c r="C2674" s="129" t="s">
        <v>53</v>
      </c>
      <c r="D2674" s="130">
        <v>1324.6</v>
      </c>
      <c r="E2674" s="131">
        <v>44736</v>
      </c>
      <c r="F2674" s="132">
        <v>1324.6</v>
      </c>
      <c r="G2674" s="133">
        <f>Tabla147[[#This Row],[Importe]]-Tabla147[[#This Row],[Pagado]]</f>
        <v>0</v>
      </c>
      <c r="H2674" s="134" t="s">
        <v>10</v>
      </c>
      <c r="I2674" s="135"/>
    </row>
    <row r="2675" spans="1:9" ht="21.75" customHeight="1" x14ac:dyDescent="0.25">
      <c r="A2675" s="127">
        <v>44736</v>
      </c>
      <c r="B2675" s="128" t="s">
        <v>20572</v>
      </c>
      <c r="C2675" s="129" t="s">
        <v>62</v>
      </c>
      <c r="D2675" s="130">
        <v>3900</v>
      </c>
      <c r="E2675" s="131">
        <v>44736</v>
      </c>
      <c r="F2675" s="132">
        <v>3900</v>
      </c>
      <c r="G2675" s="133">
        <f>Tabla147[[#This Row],[Importe]]-Tabla147[[#This Row],[Pagado]]</f>
        <v>0</v>
      </c>
      <c r="H2675" s="134" t="s">
        <v>10</v>
      </c>
      <c r="I2675" s="135"/>
    </row>
    <row r="2676" spans="1:9" ht="21.75" customHeight="1" x14ac:dyDescent="0.25">
      <c r="A2676" s="127">
        <v>44736</v>
      </c>
      <c r="B2676" s="128" t="s">
        <v>20573</v>
      </c>
      <c r="C2676" s="129" t="s">
        <v>31</v>
      </c>
      <c r="D2676" s="130">
        <v>1209.5999999999999</v>
      </c>
      <c r="E2676" s="131">
        <v>44736</v>
      </c>
      <c r="F2676" s="132">
        <v>1209.5999999999999</v>
      </c>
      <c r="G2676" s="133">
        <f>Tabla147[[#This Row],[Importe]]-Tabla147[[#This Row],[Pagado]]</f>
        <v>0</v>
      </c>
      <c r="H2676" s="134" t="s">
        <v>10</v>
      </c>
      <c r="I2676" s="135"/>
    </row>
    <row r="2677" spans="1:9" ht="21.75" customHeight="1" x14ac:dyDescent="0.25">
      <c r="A2677" s="127">
        <v>44736</v>
      </c>
      <c r="B2677" s="128" t="s">
        <v>20574</v>
      </c>
      <c r="C2677" s="129" t="s">
        <v>67</v>
      </c>
      <c r="D2677" s="130">
        <v>10535.5</v>
      </c>
      <c r="E2677" s="131">
        <v>44736</v>
      </c>
      <c r="F2677" s="132">
        <v>10535.5</v>
      </c>
      <c r="G2677" s="133">
        <f>Tabla147[[#This Row],[Importe]]-Tabla147[[#This Row],[Pagado]]</f>
        <v>0</v>
      </c>
      <c r="H2677" s="134" t="s">
        <v>10</v>
      </c>
      <c r="I2677" s="135"/>
    </row>
    <row r="2678" spans="1:9" ht="21.75" customHeight="1" x14ac:dyDescent="0.25">
      <c r="A2678" s="127">
        <v>44736</v>
      </c>
      <c r="B2678" s="128" t="s">
        <v>20575</v>
      </c>
      <c r="C2678" s="129" t="s">
        <v>51</v>
      </c>
      <c r="D2678" s="130">
        <v>3328</v>
      </c>
      <c r="E2678" s="131">
        <v>44736</v>
      </c>
      <c r="F2678" s="132">
        <v>3328</v>
      </c>
      <c r="G2678" s="133">
        <f>Tabla147[[#This Row],[Importe]]-Tabla147[[#This Row],[Pagado]]</f>
        <v>0</v>
      </c>
      <c r="H2678" s="134" t="s">
        <v>10</v>
      </c>
      <c r="I2678" s="135"/>
    </row>
    <row r="2679" spans="1:9" ht="21.75" customHeight="1" x14ac:dyDescent="0.25">
      <c r="A2679" s="127">
        <v>44736</v>
      </c>
      <c r="B2679" s="128" t="s">
        <v>20576</v>
      </c>
      <c r="C2679" s="129" t="s">
        <v>58</v>
      </c>
      <c r="D2679" s="130">
        <v>5282</v>
      </c>
      <c r="E2679" s="131">
        <v>44736</v>
      </c>
      <c r="F2679" s="132">
        <v>5282</v>
      </c>
      <c r="G2679" s="133">
        <f>Tabla147[[#This Row],[Importe]]-Tabla147[[#This Row],[Pagado]]</f>
        <v>0</v>
      </c>
      <c r="H2679" s="134" t="s">
        <v>10</v>
      </c>
      <c r="I2679" s="135"/>
    </row>
    <row r="2680" spans="1:9" ht="21.75" customHeight="1" x14ac:dyDescent="0.25">
      <c r="A2680" s="127">
        <v>44736</v>
      </c>
      <c r="B2680" s="128" t="s">
        <v>20577</v>
      </c>
      <c r="C2680" s="129" t="s">
        <v>226</v>
      </c>
      <c r="D2680" s="130">
        <v>6394.8</v>
      </c>
      <c r="E2680" s="131">
        <v>44736</v>
      </c>
      <c r="F2680" s="132">
        <v>6394.8</v>
      </c>
      <c r="G2680" s="133">
        <f>Tabla147[[#This Row],[Importe]]-Tabla147[[#This Row],[Pagado]]</f>
        <v>0</v>
      </c>
      <c r="H2680" s="134" t="s">
        <v>10</v>
      </c>
      <c r="I2680" s="135"/>
    </row>
    <row r="2681" spans="1:9" ht="21.75" customHeight="1" x14ac:dyDescent="0.25">
      <c r="A2681" s="127">
        <v>44736</v>
      </c>
      <c r="B2681" s="128" t="s">
        <v>20578</v>
      </c>
      <c r="C2681" s="129" t="s">
        <v>31</v>
      </c>
      <c r="D2681" s="130">
        <v>492</v>
      </c>
      <c r="E2681" s="131">
        <v>44736</v>
      </c>
      <c r="F2681" s="132">
        <v>492</v>
      </c>
      <c r="G2681" s="133">
        <f>Tabla147[[#This Row],[Importe]]-Tabla147[[#This Row],[Pagado]]</f>
        <v>0</v>
      </c>
      <c r="H2681" s="134" t="s">
        <v>10</v>
      </c>
      <c r="I2681" s="135"/>
    </row>
    <row r="2682" spans="1:9" ht="21.75" customHeight="1" x14ac:dyDescent="0.25">
      <c r="A2682" s="127">
        <v>44736</v>
      </c>
      <c r="B2682" s="128" t="s">
        <v>20579</v>
      </c>
      <c r="C2682" s="129" t="s">
        <v>31</v>
      </c>
      <c r="D2682" s="130">
        <v>3746.8</v>
      </c>
      <c r="E2682" s="131">
        <v>44736</v>
      </c>
      <c r="F2682" s="132">
        <v>3746.8</v>
      </c>
      <c r="G2682" s="133">
        <f>Tabla147[[#This Row],[Importe]]-Tabla147[[#This Row],[Pagado]]</f>
        <v>0</v>
      </c>
      <c r="H2682" s="134" t="s">
        <v>10</v>
      </c>
      <c r="I2682" s="135"/>
    </row>
    <row r="2683" spans="1:9" ht="21.75" customHeight="1" x14ac:dyDescent="0.25">
      <c r="A2683" s="127">
        <v>44736</v>
      </c>
      <c r="B2683" s="128" t="s">
        <v>20580</v>
      </c>
      <c r="C2683" s="129" t="s">
        <v>31</v>
      </c>
      <c r="D2683" s="130">
        <v>1473.6</v>
      </c>
      <c r="E2683" s="131">
        <v>44736</v>
      </c>
      <c r="F2683" s="132">
        <v>1473.6</v>
      </c>
      <c r="G2683" s="133">
        <f>Tabla147[[#This Row],[Importe]]-Tabla147[[#This Row],[Pagado]]</f>
        <v>0</v>
      </c>
      <c r="H2683" s="134" t="s">
        <v>10</v>
      </c>
      <c r="I2683" s="135"/>
    </row>
    <row r="2684" spans="1:9" ht="21.75" customHeight="1" x14ac:dyDescent="0.25">
      <c r="A2684" s="127">
        <v>44736</v>
      </c>
      <c r="B2684" s="128" t="s">
        <v>20581</v>
      </c>
      <c r="C2684" s="129" t="s">
        <v>135</v>
      </c>
      <c r="D2684" s="130">
        <v>1402.4</v>
      </c>
      <c r="E2684" s="131">
        <v>44736</v>
      </c>
      <c r="F2684" s="132">
        <v>1402.4</v>
      </c>
      <c r="G2684" s="133">
        <f>Tabla147[[#This Row],[Importe]]-Tabla147[[#This Row],[Pagado]]</f>
        <v>0</v>
      </c>
      <c r="H2684" s="134" t="s">
        <v>10</v>
      </c>
      <c r="I2684" s="135"/>
    </row>
    <row r="2685" spans="1:9" ht="21.75" customHeight="1" x14ac:dyDescent="0.25">
      <c r="A2685" s="127">
        <v>44736</v>
      </c>
      <c r="B2685" s="128" t="s">
        <v>20582</v>
      </c>
      <c r="C2685" s="129" t="s">
        <v>179</v>
      </c>
      <c r="D2685" s="130">
        <v>2109.6</v>
      </c>
      <c r="E2685" s="131">
        <v>44736</v>
      </c>
      <c r="F2685" s="132">
        <v>2109.6</v>
      </c>
      <c r="G2685" s="133">
        <f>Tabla147[[#This Row],[Importe]]-Tabla147[[#This Row],[Pagado]]</f>
        <v>0</v>
      </c>
      <c r="H2685" s="134" t="s">
        <v>10</v>
      </c>
      <c r="I2685" s="135"/>
    </row>
    <row r="2686" spans="1:9" ht="21.75" customHeight="1" x14ac:dyDescent="0.25">
      <c r="A2686" s="127">
        <v>44736</v>
      </c>
      <c r="B2686" s="128" t="s">
        <v>20583</v>
      </c>
      <c r="C2686" s="129" t="s">
        <v>419</v>
      </c>
      <c r="D2686" s="130">
        <v>7788.4</v>
      </c>
      <c r="E2686" s="131">
        <v>44736</v>
      </c>
      <c r="F2686" s="132">
        <v>7788.4</v>
      </c>
      <c r="G2686" s="133">
        <f>Tabla147[[#This Row],[Importe]]-Tabla147[[#This Row],[Pagado]]</f>
        <v>0</v>
      </c>
      <c r="H2686" s="134" t="s">
        <v>10</v>
      </c>
      <c r="I2686" s="135"/>
    </row>
    <row r="2687" spans="1:9" ht="21.75" customHeight="1" x14ac:dyDescent="0.25">
      <c r="A2687" s="127">
        <v>44736</v>
      </c>
      <c r="B2687" s="128" t="s">
        <v>20584</v>
      </c>
      <c r="C2687" s="129" t="s">
        <v>244</v>
      </c>
      <c r="D2687" s="130">
        <v>1277.5</v>
      </c>
      <c r="E2687" s="131">
        <v>44736</v>
      </c>
      <c r="F2687" s="132">
        <v>1277.5</v>
      </c>
      <c r="G2687" s="133">
        <f>Tabla147[[#This Row],[Importe]]-Tabla147[[#This Row],[Pagado]]</f>
        <v>0</v>
      </c>
      <c r="H2687" s="134" t="s">
        <v>10</v>
      </c>
      <c r="I2687" s="135"/>
    </row>
    <row r="2688" spans="1:9" ht="21.75" customHeight="1" x14ac:dyDescent="0.25">
      <c r="A2688" s="127">
        <v>44736</v>
      </c>
      <c r="B2688" s="128" t="s">
        <v>20585</v>
      </c>
      <c r="C2688" s="129" t="s">
        <v>698</v>
      </c>
      <c r="D2688" s="130">
        <v>10823.4</v>
      </c>
      <c r="E2688" s="131">
        <v>44736</v>
      </c>
      <c r="F2688" s="132">
        <v>10823.4</v>
      </c>
      <c r="G2688" s="133">
        <f>Tabla147[[#This Row],[Importe]]-Tabla147[[#This Row],[Pagado]]</f>
        <v>0</v>
      </c>
      <c r="H2688" s="134" t="s">
        <v>10</v>
      </c>
      <c r="I2688" s="135"/>
    </row>
    <row r="2689" spans="1:9" ht="21.75" customHeight="1" x14ac:dyDescent="0.25">
      <c r="A2689" s="127">
        <v>44736</v>
      </c>
      <c r="B2689" s="128" t="s">
        <v>20586</v>
      </c>
      <c r="C2689" s="129" t="s">
        <v>654</v>
      </c>
      <c r="D2689" s="130">
        <v>7939.7</v>
      </c>
      <c r="E2689" s="131">
        <v>44737</v>
      </c>
      <c r="F2689" s="132">
        <v>7939.7</v>
      </c>
      <c r="G2689" s="133">
        <f>Tabla147[[#This Row],[Importe]]-Tabla147[[#This Row],[Pagado]]</f>
        <v>0</v>
      </c>
      <c r="H2689" s="134" t="s">
        <v>10</v>
      </c>
      <c r="I2689" s="135"/>
    </row>
    <row r="2690" spans="1:9" ht="21.75" customHeight="1" x14ac:dyDescent="0.25">
      <c r="A2690" s="127">
        <v>44736</v>
      </c>
      <c r="B2690" s="128" t="s">
        <v>20587</v>
      </c>
      <c r="C2690" s="129" t="s">
        <v>365</v>
      </c>
      <c r="D2690" s="130">
        <v>777.5</v>
      </c>
      <c r="E2690" s="131">
        <v>44736</v>
      </c>
      <c r="F2690" s="132">
        <v>777.5</v>
      </c>
      <c r="G2690" s="133">
        <f>Tabla147[[#This Row],[Importe]]-Tabla147[[#This Row],[Pagado]]</f>
        <v>0</v>
      </c>
      <c r="H2690" s="134" t="s">
        <v>10</v>
      </c>
      <c r="I2690" s="135"/>
    </row>
    <row r="2691" spans="1:9" ht="21.75" customHeight="1" x14ac:dyDescent="0.25">
      <c r="A2691" s="127">
        <v>44736</v>
      </c>
      <c r="B2691" s="128" t="s">
        <v>20588</v>
      </c>
      <c r="C2691" s="129" t="s">
        <v>191</v>
      </c>
      <c r="D2691" s="130">
        <v>1724.8</v>
      </c>
      <c r="E2691" s="131">
        <v>44736</v>
      </c>
      <c r="F2691" s="132">
        <v>1724.8</v>
      </c>
      <c r="G2691" s="133">
        <f>Tabla147[[#This Row],[Importe]]-Tabla147[[#This Row],[Pagado]]</f>
        <v>0</v>
      </c>
      <c r="H2691" s="134" t="s">
        <v>10</v>
      </c>
      <c r="I2691" s="135"/>
    </row>
    <row r="2692" spans="1:9" ht="21.75" customHeight="1" x14ac:dyDescent="0.25">
      <c r="A2692" s="127">
        <v>44736</v>
      </c>
      <c r="B2692" s="128" t="s">
        <v>20589</v>
      </c>
      <c r="C2692" s="129" t="s">
        <v>31</v>
      </c>
      <c r="D2692" s="130">
        <v>5307.2</v>
      </c>
      <c r="E2692" s="131">
        <v>44736</v>
      </c>
      <c r="F2692" s="132">
        <v>5307.2</v>
      </c>
      <c r="G2692" s="133">
        <f>Tabla147[[#This Row],[Importe]]-Tabla147[[#This Row],[Pagado]]</f>
        <v>0</v>
      </c>
      <c r="H2692" s="134" t="s">
        <v>10</v>
      </c>
      <c r="I2692" s="135"/>
    </row>
    <row r="2693" spans="1:9" ht="21.75" customHeight="1" x14ac:dyDescent="0.25">
      <c r="A2693" s="127">
        <v>44736</v>
      </c>
      <c r="B2693" s="128" t="s">
        <v>20590</v>
      </c>
      <c r="C2693" s="129" t="s">
        <v>31</v>
      </c>
      <c r="D2693" s="130">
        <v>627.20000000000005</v>
      </c>
      <c r="E2693" s="131">
        <v>44736</v>
      </c>
      <c r="F2693" s="132">
        <v>627.20000000000005</v>
      </c>
      <c r="G2693" s="133">
        <f>Tabla147[[#This Row],[Importe]]-Tabla147[[#This Row],[Pagado]]</f>
        <v>0</v>
      </c>
      <c r="H2693" s="134" t="s">
        <v>10</v>
      </c>
      <c r="I2693" s="135"/>
    </row>
    <row r="2694" spans="1:9" ht="21.75" customHeight="1" x14ac:dyDescent="0.25">
      <c r="A2694" s="127">
        <v>44736</v>
      </c>
      <c r="B2694" s="128" t="s">
        <v>20591</v>
      </c>
      <c r="C2694" s="129" t="s">
        <v>9827</v>
      </c>
      <c r="D2694" s="130">
        <v>3664.8</v>
      </c>
      <c r="E2694" s="131">
        <v>44736</v>
      </c>
      <c r="F2694" s="132">
        <v>3664.8</v>
      </c>
      <c r="G2694" s="133">
        <f>Tabla147[[#This Row],[Importe]]-Tabla147[[#This Row],[Pagado]]</f>
        <v>0</v>
      </c>
      <c r="H2694" s="134" t="s">
        <v>10</v>
      </c>
      <c r="I2694" s="135"/>
    </row>
    <row r="2695" spans="1:9" ht="21.75" customHeight="1" x14ac:dyDescent="0.25">
      <c r="A2695" s="127">
        <v>44736</v>
      </c>
      <c r="B2695" s="128" t="s">
        <v>20592</v>
      </c>
      <c r="C2695" s="129" t="s">
        <v>275</v>
      </c>
      <c r="D2695" s="130">
        <v>150097.12</v>
      </c>
      <c r="E2695" s="131">
        <v>44750</v>
      </c>
      <c r="F2695" s="132">
        <v>150097.12</v>
      </c>
      <c r="G2695" s="133">
        <f>Tabla147[[#This Row],[Importe]]-Tabla147[[#This Row],[Pagado]]</f>
        <v>0</v>
      </c>
      <c r="H2695" s="134" t="s">
        <v>10</v>
      </c>
      <c r="I2695" s="135"/>
    </row>
    <row r="2696" spans="1:9" ht="21.75" customHeight="1" x14ac:dyDescent="0.25">
      <c r="A2696" s="127">
        <v>44736</v>
      </c>
      <c r="B2696" s="128" t="s">
        <v>20593</v>
      </c>
      <c r="C2696" s="129" t="s">
        <v>275</v>
      </c>
      <c r="D2696" s="130">
        <v>1584</v>
      </c>
      <c r="E2696" s="131">
        <v>44750</v>
      </c>
      <c r="F2696" s="132">
        <v>1584</v>
      </c>
      <c r="G2696" s="133">
        <f>Tabla147[[#This Row],[Importe]]-Tabla147[[#This Row],[Pagado]]</f>
        <v>0</v>
      </c>
      <c r="H2696" s="134" t="s">
        <v>10</v>
      </c>
      <c r="I2696" s="135"/>
    </row>
    <row r="2697" spans="1:9" ht="21.75" customHeight="1" x14ac:dyDescent="0.25">
      <c r="A2697" s="127">
        <v>44736</v>
      </c>
      <c r="B2697" s="128" t="s">
        <v>20594</v>
      </c>
      <c r="C2697" s="129" t="s">
        <v>69</v>
      </c>
      <c r="D2697" s="130">
        <v>3420</v>
      </c>
      <c r="E2697" s="131">
        <v>44736</v>
      </c>
      <c r="F2697" s="132">
        <v>3420</v>
      </c>
      <c r="G2697" s="133">
        <f>Tabla147[[#This Row],[Importe]]-Tabla147[[#This Row],[Pagado]]</f>
        <v>0</v>
      </c>
      <c r="H2697" s="134" t="s">
        <v>10</v>
      </c>
      <c r="I2697" s="135"/>
    </row>
    <row r="2698" spans="1:9" ht="21.75" customHeight="1" x14ac:dyDescent="0.25">
      <c r="A2698" s="127">
        <v>44736</v>
      </c>
      <c r="B2698" s="128" t="s">
        <v>20595</v>
      </c>
      <c r="C2698" s="129" t="s">
        <v>69</v>
      </c>
      <c r="D2698" s="130">
        <v>201.6</v>
      </c>
      <c r="E2698" s="131">
        <v>44736</v>
      </c>
      <c r="F2698" s="132">
        <v>201.6</v>
      </c>
      <c r="G2698" s="133">
        <f>Tabla147[[#This Row],[Importe]]-Tabla147[[#This Row],[Pagado]]</f>
        <v>0</v>
      </c>
      <c r="H2698" s="134" t="s">
        <v>10</v>
      </c>
      <c r="I2698" s="135"/>
    </row>
    <row r="2699" spans="1:9" ht="21.75" customHeight="1" x14ac:dyDescent="0.25">
      <c r="A2699" s="127">
        <v>44736</v>
      </c>
      <c r="B2699" s="128" t="s">
        <v>20596</v>
      </c>
      <c r="C2699" s="129" t="s">
        <v>843</v>
      </c>
      <c r="D2699" s="130">
        <v>42406.400000000001</v>
      </c>
      <c r="E2699" s="131">
        <v>44736</v>
      </c>
      <c r="F2699" s="132">
        <v>42406.400000000001</v>
      </c>
      <c r="G2699" s="133">
        <f>Tabla147[[#This Row],[Importe]]-Tabla147[[#This Row],[Pagado]]</f>
        <v>0</v>
      </c>
      <c r="H2699" s="134" t="s">
        <v>10</v>
      </c>
      <c r="I2699" s="135"/>
    </row>
    <row r="2700" spans="1:9" ht="21.75" customHeight="1" x14ac:dyDescent="0.25">
      <c r="A2700" s="127">
        <v>44736</v>
      </c>
      <c r="B2700" s="128" t="s">
        <v>20597</v>
      </c>
      <c r="C2700" s="129" t="s">
        <v>175</v>
      </c>
      <c r="D2700" s="130">
        <v>16287</v>
      </c>
      <c r="E2700" s="131">
        <v>44737</v>
      </c>
      <c r="F2700" s="132">
        <v>16287</v>
      </c>
      <c r="G2700" s="133">
        <f>Tabla147[[#This Row],[Importe]]-Tabla147[[#This Row],[Pagado]]</f>
        <v>0</v>
      </c>
      <c r="H2700" s="134" t="s">
        <v>10</v>
      </c>
      <c r="I2700" s="135"/>
    </row>
    <row r="2701" spans="1:9" ht="21.75" customHeight="1" x14ac:dyDescent="0.25">
      <c r="A2701" s="127">
        <v>44736</v>
      </c>
      <c r="B2701" s="128" t="s">
        <v>20598</v>
      </c>
      <c r="C2701" s="129" t="s">
        <v>181</v>
      </c>
      <c r="D2701" s="130">
        <v>10577</v>
      </c>
      <c r="E2701" s="131">
        <v>44737</v>
      </c>
      <c r="F2701" s="132">
        <v>10577</v>
      </c>
      <c r="G2701" s="133">
        <f>Tabla147[[#This Row],[Importe]]-Tabla147[[#This Row],[Pagado]]</f>
        <v>0</v>
      </c>
      <c r="H2701" s="134" t="s">
        <v>10</v>
      </c>
      <c r="I2701" s="135"/>
    </row>
    <row r="2702" spans="1:9" ht="21.75" customHeight="1" x14ac:dyDescent="0.25">
      <c r="A2702" s="127">
        <v>44736</v>
      </c>
      <c r="B2702" s="128" t="s">
        <v>20599</v>
      </c>
      <c r="C2702" s="129" t="s">
        <v>19637</v>
      </c>
      <c r="D2702" s="130">
        <v>6281.1</v>
      </c>
      <c r="E2702" s="131">
        <v>44745</v>
      </c>
      <c r="F2702" s="132">
        <v>6281.1</v>
      </c>
      <c r="G2702" s="133">
        <f>Tabla147[[#This Row],[Importe]]-Tabla147[[#This Row],[Pagado]]</f>
        <v>0</v>
      </c>
      <c r="H2702" s="134" t="s">
        <v>10</v>
      </c>
      <c r="I2702" s="135"/>
    </row>
    <row r="2703" spans="1:9" ht="21.75" customHeight="1" x14ac:dyDescent="0.25">
      <c r="A2703" s="127">
        <v>44736</v>
      </c>
      <c r="B2703" s="128" t="s">
        <v>20600</v>
      </c>
      <c r="C2703" s="129" t="s">
        <v>450</v>
      </c>
      <c r="D2703" s="130">
        <v>5130</v>
      </c>
      <c r="E2703" s="131">
        <v>44736</v>
      </c>
      <c r="F2703" s="132">
        <v>5130</v>
      </c>
      <c r="G2703" s="133">
        <f>Tabla147[[#This Row],[Importe]]-Tabla147[[#This Row],[Pagado]]</f>
        <v>0</v>
      </c>
      <c r="H2703" s="134" t="s">
        <v>10</v>
      </c>
      <c r="I2703" s="135"/>
    </row>
    <row r="2704" spans="1:9" ht="21.75" customHeight="1" x14ac:dyDescent="0.25">
      <c r="A2704" s="127">
        <v>44736</v>
      </c>
      <c r="B2704" s="128" t="s">
        <v>20601</v>
      </c>
      <c r="C2704" s="129" t="s">
        <v>407</v>
      </c>
      <c r="D2704" s="130">
        <v>9830.4</v>
      </c>
      <c r="E2704" s="131">
        <v>44738</v>
      </c>
      <c r="F2704" s="132">
        <v>9830.4</v>
      </c>
      <c r="G2704" s="133">
        <f>Tabla147[[#This Row],[Importe]]-Tabla147[[#This Row],[Pagado]]</f>
        <v>0</v>
      </c>
      <c r="H2704" s="134" t="s">
        <v>10</v>
      </c>
      <c r="I2704" s="135"/>
    </row>
    <row r="2705" spans="1:9" ht="21.75" customHeight="1" x14ac:dyDescent="0.25">
      <c r="A2705" s="127">
        <v>44736</v>
      </c>
      <c r="B2705" s="128" t="s">
        <v>20602</v>
      </c>
      <c r="C2705" s="129" t="s">
        <v>31</v>
      </c>
      <c r="D2705" s="130">
        <v>1280</v>
      </c>
      <c r="E2705" s="131">
        <v>44736</v>
      </c>
      <c r="F2705" s="132">
        <v>1280</v>
      </c>
      <c r="G2705" s="133">
        <f>Tabla147[[#This Row],[Importe]]-Tabla147[[#This Row],[Pagado]]</f>
        <v>0</v>
      </c>
      <c r="H2705" s="134" t="s">
        <v>10</v>
      </c>
      <c r="I2705" s="135"/>
    </row>
    <row r="2706" spans="1:9" ht="21.75" customHeight="1" x14ac:dyDescent="0.25">
      <c r="A2706" s="127">
        <v>44736</v>
      </c>
      <c r="B2706" s="128" t="s">
        <v>20603</v>
      </c>
      <c r="C2706" s="129" t="s">
        <v>10678</v>
      </c>
      <c r="D2706" s="130">
        <v>4157.8999999999996</v>
      </c>
      <c r="E2706" s="131">
        <v>44736</v>
      </c>
      <c r="F2706" s="132">
        <v>4157.8999999999996</v>
      </c>
      <c r="G2706" s="133">
        <f>Tabla147[[#This Row],[Importe]]-Tabla147[[#This Row],[Pagado]]</f>
        <v>0</v>
      </c>
      <c r="H2706" s="134" t="s">
        <v>10</v>
      </c>
      <c r="I2706" s="135"/>
    </row>
    <row r="2707" spans="1:9" ht="21.75" customHeight="1" x14ac:dyDescent="0.25">
      <c r="A2707" s="127">
        <v>44736</v>
      </c>
      <c r="B2707" s="128" t="s">
        <v>20604</v>
      </c>
      <c r="C2707" s="129" t="s">
        <v>16</v>
      </c>
      <c r="D2707" s="130">
        <v>564.29999999999995</v>
      </c>
      <c r="E2707" s="131">
        <v>44736</v>
      </c>
      <c r="F2707" s="132">
        <v>564.29999999999995</v>
      </c>
      <c r="G2707" s="133">
        <f>Tabla147[[#This Row],[Importe]]-Tabla147[[#This Row],[Pagado]]</f>
        <v>0</v>
      </c>
      <c r="H2707" s="134" t="s">
        <v>10</v>
      </c>
      <c r="I2707" s="135"/>
    </row>
    <row r="2708" spans="1:9" ht="21.75" customHeight="1" x14ac:dyDescent="0.25">
      <c r="A2708" s="127">
        <v>44736</v>
      </c>
      <c r="B2708" s="128" t="s">
        <v>20605</v>
      </c>
      <c r="C2708" s="129" t="s">
        <v>31</v>
      </c>
      <c r="D2708" s="130">
        <v>19704</v>
      </c>
      <c r="E2708" s="131">
        <v>44736</v>
      </c>
      <c r="F2708" s="132">
        <v>19704</v>
      </c>
      <c r="G2708" s="133">
        <f>Tabla147[[#This Row],[Importe]]-Tabla147[[#This Row],[Pagado]]</f>
        <v>0</v>
      </c>
      <c r="H2708" s="134" t="s">
        <v>10</v>
      </c>
      <c r="I2708" s="135"/>
    </row>
    <row r="2709" spans="1:9" ht="21.75" customHeight="1" x14ac:dyDescent="0.25">
      <c r="A2709" s="127">
        <v>44736</v>
      </c>
      <c r="B2709" s="128" t="s">
        <v>20606</v>
      </c>
      <c r="C2709" s="129" t="s">
        <v>53</v>
      </c>
      <c r="D2709" s="130">
        <v>1633</v>
      </c>
      <c r="E2709" s="131">
        <v>44736</v>
      </c>
      <c r="F2709" s="132">
        <v>1633</v>
      </c>
      <c r="G2709" s="133">
        <f>Tabla147[[#This Row],[Importe]]-Tabla147[[#This Row],[Pagado]]</f>
        <v>0</v>
      </c>
      <c r="H2709" s="134" t="s">
        <v>10</v>
      </c>
      <c r="I2709" s="135"/>
    </row>
    <row r="2710" spans="1:9" ht="21.75" customHeight="1" x14ac:dyDescent="0.25">
      <c r="A2710" s="127">
        <v>44736</v>
      </c>
      <c r="B2710" s="128" t="s">
        <v>20607</v>
      </c>
      <c r="C2710" s="129" t="s">
        <v>14</v>
      </c>
      <c r="D2710" s="130">
        <v>18513.5</v>
      </c>
      <c r="E2710" s="131">
        <v>44736</v>
      </c>
      <c r="F2710" s="132">
        <v>18513.5</v>
      </c>
      <c r="G2710" s="133">
        <f>Tabla147[[#This Row],[Importe]]-Tabla147[[#This Row],[Pagado]]</f>
        <v>0</v>
      </c>
      <c r="H2710" s="134" t="s">
        <v>10</v>
      </c>
      <c r="I2710" s="135"/>
    </row>
    <row r="2711" spans="1:9" ht="21.75" customHeight="1" x14ac:dyDescent="0.25">
      <c r="A2711" s="127">
        <v>44736</v>
      </c>
      <c r="B2711" s="128" t="s">
        <v>20608</v>
      </c>
      <c r="C2711" s="129" t="s">
        <v>282</v>
      </c>
      <c r="D2711" s="130">
        <v>4636.8</v>
      </c>
      <c r="E2711" s="131">
        <v>44738</v>
      </c>
      <c r="F2711" s="132">
        <v>4636.8</v>
      </c>
      <c r="G2711" s="133">
        <f>Tabla147[[#This Row],[Importe]]-Tabla147[[#This Row],[Pagado]]</f>
        <v>0</v>
      </c>
      <c r="H2711" s="134" t="s">
        <v>10</v>
      </c>
      <c r="I2711" s="135"/>
    </row>
    <row r="2712" spans="1:9" ht="21.75" customHeight="1" x14ac:dyDescent="0.25">
      <c r="A2712" s="127">
        <v>44736</v>
      </c>
      <c r="B2712" s="128" t="s">
        <v>20609</v>
      </c>
      <c r="C2712" s="129" t="s">
        <v>284</v>
      </c>
      <c r="D2712" s="130">
        <v>8791.2000000000007</v>
      </c>
      <c r="E2712" s="131">
        <v>44737</v>
      </c>
      <c r="F2712" s="132">
        <v>8791.2000000000007</v>
      </c>
      <c r="G2712" s="133">
        <f>Tabla147[[#This Row],[Importe]]-Tabla147[[#This Row],[Pagado]]</f>
        <v>0</v>
      </c>
      <c r="H2712" s="134" t="s">
        <v>10</v>
      </c>
      <c r="I2712" s="135"/>
    </row>
    <row r="2713" spans="1:9" ht="21.75" customHeight="1" x14ac:dyDescent="0.25">
      <c r="A2713" s="127">
        <v>44736</v>
      </c>
      <c r="B2713" s="128" t="s">
        <v>20610</v>
      </c>
      <c r="C2713" s="129" t="s">
        <v>5345</v>
      </c>
      <c r="D2713" s="130">
        <v>2397.6</v>
      </c>
      <c r="E2713" s="131">
        <v>44737</v>
      </c>
      <c r="F2713" s="132">
        <v>2397.6</v>
      </c>
      <c r="G2713" s="133">
        <f>Tabla147[[#This Row],[Importe]]-Tabla147[[#This Row],[Pagado]]</f>
        <v>0</v>
      </c>
      <c r="H2713" s="134" t="s">
        <v>10</v>
      </c>
      <c r="I2713" s="135"/>
    </row>
    <row r="2714" spans="1:9" ht="21.75" customHeight="1" x14ac:dyDescent="0.25">
      <c r="A2714" s="127">
        <v>44736</v>
      </c>
      <c r="B2714" s="128" t="s">
        <v>20611</v>
      </c>
      <c r="C2714" s="129" t="s">
        <v>280</v>
      </c>
      <c r="D2714" s="130">
        <v>2102.4</v>
      </c>
      <c r="E2714" s="131">
        <v>44737</v>
      </c>
      <c r="F2714" s="132">
        <v>2102.4</v>
      </c>
      <c r="G2714" s="133">
        <f>Tabla147[[#This Row],[Importe]]-Tabla147[[#This Row],[Pagado]]</f>
        <v>0</v>
      </c>
      <c r="H2714" s="134" t="s">
        <v>10</v>
      </c>
      <c r="I2714" s="135"/>
    </row>
    <row r="2715" spans="1:9" ht="21.75" customHeight="1" x14ac:dyDescent="0.25">
      <c r="A2715" s="127">
        <v>44736</v>
      </c>
      <c r="B2715" s="128" t="s">
        <v>20612</v>
      </c>
      <c r="C2715" s="129" t="s">
        <v>31</v>
      </c>
      <c r="D2715" s="130">
        <v>1107.8</v>
      </c>
      <c r="E2715" s="131">
        <v>44736</v>
      </c>
      <c r="F2715" s="132">
        <v>1107.8</v>
      </c>
      <c r="G2715" s="133">
        <f>Tabla147[[#This Row],[Importe]]-Tabla147[[#This Row],[Pagado]]</f>
        <v>0</v>
      </c>
      <c r="H2715" s="134" t="s">
        <v>10</v>
      </c>
      <c r="I2715" s="135"/>
    </row>
    <row r="2716" spans="1:9" ht="21.75" customHeight="1" x14ac:dyDescent="0.25">
      <c r="A2716" s="127">
        <v>44736</v>
      </c>
      <c r="B2716" s="128" t="s">
        <v>20613</v>
      </c>
      <c r="C2716" s="129" t="s">
        <v>670</v>
      </c>
      <c r="D2716" s="130">
        <v>1404</v>
      </c>
      <c r="E2716" s="131">
        <v>44736</v>
      </c>
      <c r="F2716" s="132">
        <v>1404</v>
      </c>
      <c r="G2716" s="133">
        <f>Tabla147[[#This Row],[Importe]]-Tabla147[[#This Row],[Pagado]]</f>
        <v>0</v>
      </c>
      <c r="H2716" s="134" t="s">
        <v>10</v>
      </c>
      <c r="I2716" s="135"/>
    </row>
    <row r="2717" spans="1:9" ht="21.75" customHeight="1" x14ac:dyDescent="0.25">
      <c r="A2717" s="127">
        <v>44736</v>
      </c>
      <c r="B2717" s="128" t="s">
        <v>20614</v>
      </c>
      <c r="C2717" s="129" t="s">
        <v>857</v>
      </c>
      <c r="D2717" s="130">
        <v>1328.8</v>
      </c>
      <c r="E2717" s="131">
        <v>44736</v>
      </c>
      <c r="F2717" s="132">
        <v>1328.8</v>
      </c>
      <c r="G2717" s="133">
        <f>Tabla147[[#This Row],[Importe]]-Tabla147[[#This Row],[Pagado]]</f>
        <v>0</v>
      </c>
      <c r="H2717" s="134" t="s">
        <v>10</v>
      </c>
      <c r="I2717" s="135"/>
    </row>
    <row r="2718" spans="1:9" ht="21.75" customHeight="1" x14ac:dyDescent="0.25">
      <c r="A2718" s="127">
        <v>44736</v>
      </c>
      <c r="B2718" s="128" t="s">
        <v>20615</v>
      </c>
      <c r="C2718" s="129" t="s">
        <v>31</v>
      </c>
      <c r="D2718" s="130">
        <v>3904.2</v>
      </c>
      <c r="E2718" s="131">
        <v>44736</v>
      </c>
      <c r="F2718" s="132">
        <v>3904.2</v>
      </c>
      <c r="G2718" s="133">
        <f>Tabla147[[#This Row],[Importe]]-Tabla147[[#This Row],[Pagado]]</f>
        <v>0</v>
      </c>
      <c r="H2718" s="134" t="s">
        <v>10</v>
      </c>
      <c r="I2718" s="135"/>
    </row>
    <row r="2719" spans="1:9" ht="21.75" customHeight="1" x14ac:dyDescent="0.25">
      <c r="A2719" s="127">
        <v>44736</v>
      </c>
      <c r="B2719" s="128" t="s">
        <v>20616</v>
      </c>
      <c r="C2719" s="129" t="s">
        <v>31</v>
      </c>
      <c r="D2719" s="130">
        <v>21977.599999999999</v>
      </c>
      <c r="E2719" s="131">
        <v>44737</v>
      </c>
      <c r="F2719" s="132">
        <v>21977.599999999999</v>
      </c>
      <c r="G2719" s="133">
        <f>Tabla147[[#This Row],[Importe]]-Tabla147[[#This Row],[Pagado]]</f>
        <v>0</v>
      </c>
      <c r="H2719" s="134" t="s">
        <v>10</v>
      </c>
      <c r="I2719" s="135"/>
    </row>
    <row r="2720" spans="1:9" ht="21.75" customHeight="1" x14ac:dyDescent="0.25">
      <c r="A2720" s="127">
        <v>44736</v>
      </c>
      <c r="B2720" s="128" t="s">
        <v>20617</v>
      </c>
      <c r="C2720" s="129" t="s">
        <v>5694</v>
      </c>
      <c r="D2720" s="130">
        <v>4687.8999999999996</v>
      </c>
      <c r="E2720" s="131">
        <v>44737</v>
      </c>
      <c r="F2720" s="132">
        <v>4687.8999999999996</v>
      </c>
      <c r="G2720" s="133">
        <f>Tabla147[[#This Row],[Importe]]-Tabla147[[#This Row],[Pagado]]</f>
        <v>0</v>
      </c>
      <c r="H2720" s="134" t="s">
        <v>10</v>
      </c>
      <c r="I2720" s="135"/>
    </row>
    <row r="2721" spans="1:9" ht="21.75" customHeight="1" x14ac:dyDescent="0.25">
      <c r="A2721" s="127">
        <v>44736</v>
      </c>
      <c r="B2721" s="128" t="s">
        <v>20618</v>
      </c>
      <c r="C2721" s="129" t="s">
        <v>4027</v>
      </c>
      <c r="D2721" s="130">
        <v>208</v>
      </c>
      <c r="E2721" s="131">
        <v>44737</v>
      </c>
      <c r="F2721" s="132">
        <v>208</v>
      </c>
      <c r="G2721" s="133">
        <f>Tabla147[[#This Row],[Importe]]-Tabla147[[#This Row],[Pagado]]</f>
        <v>0</v>
      </c>
      <c r="H2721" s="134" t="s">
        <v>10</v>
      </c>
      <c r="I2721" s="135"/>
    </row>
    <row r="2722" spans="1:9" ht="21.75" customHeight="1" x14ac:dyDescent="0.25">
      <c r="A2722" s="127">
        <v>44736</v>
      </c>
      <c r="B2722" s="128" t="s">
        <v>20619</v>
      </c>
      <c r="C2722" s="129" t="s">
        <v>555</v>
      </c>
      <c r="D2722" s="130">
        <v>24507</v>
      </c>
      <c r="E2722" s="131">
        <v>44737</v>
      </c>
      <c r="F2722" s="132">
        <v>24507</v>
      </c>
      <c r="G2722" s="133">
        <f>Tabla147[[#This Row],[Importe]]-Tabla147[[#This Row],[Pagado]]</f>
        <v>0</v>
      </c>
      <c r="H2722" s="134" t="s">
        <v>10</v>
      </c>
      <c r="I2722" s="135"/>
    </row>
    <row r="2723" spans="1:9" ht="31.5" x14ac:dyDescent="0.25">
      <c r="A2723" s="127">
        <v>44737</v>
      </c>
      <c r="B2723" s="128" t="s">
        <v>20620</v>
      </c>
      <c r="C2723" s="129" t="s">
        <v>75</v>
      </c>
      <c r="D2723" s="130">
        <v>24350.400000000001</v>
      </c>
      <c r="E2723" s="131" t="s">
        <v>20501</v>
      </c>
      <c r="F2723" s="132">
        <f>13550+10800.4</f>
        <v>24350.400000000001</v>
      </c>
      <c r="G2723" s="133">
        <f>Tabla147[[#This Row],[Importe]]-Tabla147[[#This Row],[Pagado]]</f>
        <v>0</v>
      </c>
      <c r="H2723" s="134" t="s">
        <v>10</v>
      </c>
      <c r="I2723" s="135"/>
    </row>
    <row r="2724" spans="1:9" ht="31.5" x14ac:dyDescent="0.25">
      <c r="A2724" s="127">
        <v>44737</v>
      </c>
      <c r="B2724" s="128" t="s">
        <v>20621</v>
      </c>
      <c r="C2724" s="129" t="s">
        <v>475</v>
      </c>
      <c r="D2724" s="130">
        <v>72802.8</v>
      </c>
      <c r="E2724" s="131" t="s">
        <v>20622</v>
      </c>
      <c r="F2724" s="132">
        <f>36100+36702.8</f>
        <v>72802.8</v>
      </c>
      <c r="G2724" s="133">
        <f>Tabla147[[#This Row],[Importe]]-Tabla147[[#This Row],[Pagado]]</f>
        <v>0</v>
      </c>
      <c r="H2724" s="134" t="s">
        <v>10</v>
      </c>
      <c r="I2724" s="135"/>
    </row>
    <row r="2725" spans="1:9" ht="31.5" x14ac:dyDescent="0.25">
      <c r="A2725" s="127">
        <v>44737</v>
      </c>
      <c r="B2725" s="128" t="s">
        <v>20623</v>
      </c>
      <c r="C2725" s="129" t="s">
        <v>22</v>
      </c>
      <c r="D2725" s="130">
        <v>82714.8</v>
      </c>
      <c r="E2725" s="131" t="s">
        <v>20622</v>
      </c>
      <c r="F2725" s="132">
        <f>50000+32714.8</f>
        <v>82714.8</v>
      </c>
      <c r="G2725" s="133">
        <f>Tabla147[[#This Row],[Importe]]-Tabla147[[#This Row],[Pagado]]</f>
        <v>0</v>
      </c>
      <c r="H2725" s="134" t="s">
        <v>10</v>
      </c>
      <c r="I2725" s="135"/>
    </row>
    <row r="2726" spans="1:9" ht="21.75" customHeight="1" x14ac:dyDescent="0.25">
      <c r="A2726" s="127">
        <v>44737</v>
      </c>
      <c r="B2726" s="128" t="s">
        <v>20624</v>
      </c>
      <c r="C2726" s="129" t="s">
        <v>85</v>
      </c>
      <c r="D2726" s="130">
        <v>5232.8</v>
      </c>
      <c r="E2726" s="131">
        <v>44737</v>
      </c>
      <c r="F2726" s="132">
        <v>5232.8</v>
      </c>
      <c r="G2726" s="133">
        <f>Tabla147[[#This Row],[Importe]]-Tabla147[[#This Row],[Pagado]]</f>
        <v>0</v>
      </c>
      <c r="H2726" s="134" t="s">
        <v>10</v>
      </c>
      <c r="I2726" s="135"/>
    </row>
    <row r="2727" spans="1:9" ht="21.75" customHeight="1" x14ac:dyDescent="0.25">
      <c r="A2727" s="127">
        <v>44737</v>
      </c>
      <c r="B2727" s="128" t="s">
        <v>20625</v>
      </c>
      <c r="C2727" s="129" t="s">
        <v>484</v>
      </c>
      <c r="D2727" s="130">
        <v>2646</v>
      </c>
      <c r="E2727" s="131">
        <v>44737</v>
      </c>
      <c r="F2727" s="132">
        <v>2646</v>
      </c>
      <c r="G2727" s="133">
        <f>Tabla147[[#This Row],[Importe]]-Tabla147[[#This Row],[Pagado]]</f>
        <v>0</v>
      </c>
      <c r="H2727" s="134" t="s">
        <v>10</v>
      </c>
      <c r="I2727" s="135"/>
    </row>
    <row r="2728" spans="1:9" ht="21.75" customHeight="1" x14ac:dyDescent="0.25">
      <c r="A2728" s="127">
        <v>44737</v>
      </c>
      <c r="B2728" s="128" t="s">
        <v>20626</v>
      </c>
      <c r="C2728" s="129" t="s">
        <v>481</v>
      </c>
      <c r="D2728" s="130">
        <v>849.8</v>
      </c>
      <c r="E2728" s="131">
        <v>44737</v>
      </c>
      <c r="F2728" s="132">
        <v>849.8</v>
      </c>
      <c r="G2728" s="133">
        <f>Tabla147[[#This Row],[Importe]]-Tabla147[[#This Row],[Pagado]]</f>
        <v>0</v>
      </c>
      <c r="H2728" s="134" t="s">
        <v>10</v>
      </c>
      <c r="I2728" s="135"/>
    </row>
    <row r="2729" spans="1:9" ht="21.75" customHeight="1" x14ac:dyDescent="0.25">
      <c r="A2729" s="127">
        <v>44737</v>
      </c>
      <c r="B2729" s="128" t="s">
        <v>20627</v>
      </c>
      <c r="C2729" s="129" t="s">
        <v>5043</v>
      </c>
      <c r="D2729" s="130">
        <v>9840.6</v>
      </c>
      <c r="E2729" s="131">
        <v>44740</v>
      </c>
      <c r="F2729" s="132">
        <v>9840.6</v>
      </c>
      <c r="G2729" s="133">
        <f>Tabla147[[#This Row],[Importe]]-Tabla147[[#This Row],[Pagado]]</f>
        <v>0</v>
      </c>
      <c r="H2729" s="134" t="s">
        <v>10</v>
      </c>
      <c r="I2729" s="135"/>
    </row>
    <row r="2730" spans="1:9" ht="21.75" customHeight="1" x14ac:dyDescent="0.25">
      <c r="A2730" s="127">
        <v>44737</v>
      </c>
      <c r="B2730" s="128" t="s">
        <v>20628</v>
      </c>
      <c r="C2730" s="129" t="s">
        <v>109</v>
      </c>
      <c r="D2730" s="130">
        <v>5581.5</v>
      </c>
      <c r="E2730" s="131">
        <v>44739</v>
      </c>
      <c r="F2730" s="132">
        <v>5581.5</v>
      </c>
      <c r="G2730" s="133">
        <f>Tabla147[[#This Row],[Importe]]-Tabla147[[#This Row],[Pagado]]</f>
        <v>0</v>
      </c>
      <c r="H2730" s="134" t="s">
        <v>10</v>
      </c>
      <c r="I2730" s="135"/>
    </row>
    <row r="2731" spans="1:9" ht="21.75" customHeight="1" x14ac:dyDescent="0.25">
      <c r="A2731" s="127">
        <v>44737</v>
      </c>
      <c r="B2731" s="128" t="s">
        <v>20629</v>
      </c>
      <c r="C2731" s="129" t="s">
        <v>2563</v>
      </c>
      <c r="D2731" s="130">
        <v>6003.9</v>
      </c>
      <c r="E2731" s="131">
        <v>44739</v>
      </c>
      <c r="F2731" s="132">
        <v>6003.9</v>
      </c>
      <c r="G2731" s="133">
        <f>Tabla147[[#This Row],[Importe]]-Tabla147[[#This Row],[Pagado]]</f>
        <v>0</v>
      </c>
      <c r="H2731" s="134" t="s">
        <v>10</v>
      </c>
      <c r="I2731" s="135"/>
    </row>
    <row r="2732" spans="1:9" ht="21.75" customHeight="1" x14ac:dyDescent="0.25">
      <c r="A2732" s="127">
        <v>44737</v>
      </c>
      <c r="B2732" s="128" t="s">
        <v>20630</v>
      </c>
      <c r="C2732" s="129" t="s">
        <v>64</v>
      </c>
      <c r="D2732" s="130">
        <v>9821.7000000000007</v>
      </c>
      <c r="E2732" s="131">
        <v>44739</v>
      </c>
      <c r="F2732" s="132">
        <v>9821.7000000000007</v>
      </c>
      <c r="G2732" s="133">
        <f>Tabla147[[#This Row],[Importe]]-Tabla147[[#This Row],[Pagado]]</f>
        <v>0</v>
      </c>
      <c r="H2732" s="134" t="s">
        <v>10</v>
      </c>
      <c r="I2732" s="135"/>
    </row>
    <row r="2733" spans="1:9" ht="47.25" x14ac:dyDescent="0.25">
      <c r="A2733" s="127">
        <v>44737</v>
      </c>
      <c r="B2733" s="128" t="s">
        <v>20631</v>
      </c>
      <c r="C2733" s="129" t="s">
        <v>93</v>
      </c>
      <c r="D2733" s="130">
        <v>20857.7</v>
      </c>
      <c r="E2733" s="131" t="s">
        <v>20632</v>
      </c>
      <c r="F2733" s="132">
        <f>10000+5000+5857.7</f>
        <v>20857.7</v>
      </c>
      <c r="G2733" s="133">
        <f>Tabla147[[#This Row],[Importe]]-Tabla147[[#This Row],[Pagado]]</f>
        <v>0</v>
      </c>
      <c r="H2733" s="134" t="s">
        <v>10</v>
      </c>
      <c r="I2733" s="135"/>
    </row>
    <row r="2734" spans="1:9" ht="31.5" x14ac:dyDescent="0.25">
      <c r="A2734" s="127">
        <v>44737</v>
      </c>
      <c r="B2734" s="128" t="s">
        <v>20633</v>
      </c>
      <c r="C2734" s="129" t="s">
        <v>116</v>
      </c>
      <c r="D2734" s="130">
        <v>2777.6</v>
      </c>
      <c r="E2734" s="131" t="s">
        <v>20634</v>
      </c>
      <c r="F2734" s="132">
        <f>1800+977.6</f>
        <v>2777.6</v>
      </c>
      <c r="G2734" s="133">
        <f>Tabla147[[#This Row],[Importe]]-Tabla147[[#This Row],[Pagado]]</f>
        <v>0</v>
      </c>
      <c r="H2734" s="134" t="s">
        <v>10</v>
      </c>
      <c r="I2734" s="135"/>
    </row>
    <row r="2735" spans="1:9" ht="21.75" customHeight="1" x14ac:dyDescent="0.25">
      <c r="A2735" s="127">
        <v>44737</v>
      </c>
      <c r="B2735" s="128" t="s">
        <v>20635</v>
      </c>
      <c r="C2735" s="129" t="s">
        <v>99</v>
      </c>
      <c r="D2735" s="130">
        <v>14827.8</v>
      </c>
      <c r="E2735" s="131">
        <v>44739</v>
      </c>
      <c r="F2735" s="132">
        <v>14827.8</v>
      </c>
      <c r="G2735" s="133">
        <f>Tabla147[[#This Row],[Importe]]-Tabla147[[#This Row],[Pagado]]</f>
        <v>0</v>
      </c>
      <c r="H2735" s="134" t="s">
        <v>10</v>
      </c>
      <c r="I2735" s="135"/>
    </row>
    <row r="2736" spans="1:9" ht="21.75" customHeight="1" x14ac:dyDescent="0.25">
      <c r="A2736" s="127">
        <v>44737</v>
      </c>
      <c r="B2736" s="128" t="s">
        <v>20636</v>
      </c>
      <c r="C2736" s="129" t="s">
        <v>10586</v>
      </c>
      <c r="D2736" s="130">
        <v>5734</v>
      </c>
      <c r="E2736" s="131">
        <v>44739</v>
      </c>
      <c r="F2736" s="132">
        <v>5734</v>
      </c>
      <c r="G2736" s="133">
        <f>Tabla147[[#This Row],[Importe]]-Tabla147[[#This Row],[Pagado]]</f>
        <v>0</v>
      </c>
      <c r="H2736" s="134" t="s">
        <v>10</v>
      </c>
      <c r="I2736" s="135"/>
    </row>
    <row r="2737" spans="1:9" ht="21.75" customHeight="1" x14ac:dyDescent="0.25">
      <c r="A2737" s="127">
        <v>44737</v>
      </c>
      <c r="B2737" s="128" t="s">
        <v>20637</v>
      </c>
      <c r="C2737" s="129" t="s">
        <v>97</v>
      </c>
      <c r="D2737" s="130">
        <v>11258.1</v>
      </c>
      <c r="E2737" s="131">
        <v>44739</v>
      </c>
      <c r="F2737" s="132">
        <v>11258.1</v>
      </c>
      <c r="G2737" s="133">
        <f>Tabla147[[#This Row],[Importe]]-Tabla147[[#This Row],[Pagado]]</f>
        <v>0</v>
      </c>
      <c r="H2737" s="134" t="s">
        <v>10</v>
      </c>
      <c r="I2737" s="135"/>
    </row>
    <row r="2738" spans="1:9" ht="21.75" customHeight="1" x14ac:dyDescent="0.25">
      <c r="A2738" s="127">
        <v>44737</v>
      </c>
      <c r="B2738" s="128" t="s">
        <v>20638</v>
      </c>
      <c r="C2738" s="129" t="s">
        <v>111</v>
      </c>
      <c r="D2738" s="130">
        <v>5557.1</v>
      </c>
      <c r="E2738" s="131">
        <v>44739</v>
      </c>
      <c r="F2738" s="132">
        <v>5557.1</v>
      </c>
      <c r="G2738" s="133">
        <f>Tabla147[[#This Row],[Importe]]-Tabla147[[#This Row],[Pagado]]</f>
        <v>0</v>
      </c>
      <c r="H2738" s="134" t="s">
        <v>10</v>
      </c>
      <c r="I2738" s="135"/>
    </row>
    <row r="2739" spans="1:9" ht="21.75" customHeight="1" x14ac:dyDescent="0.25">
      <c r="A2739" s="127">
        <v>44737</v>
      </c>
      <c r="B2739" s="128" t="s">
        <v>20639</v>
      </c>
      <c r="C2739" s="129" t="s">
        <v>10742</v>
      </c>
      <c r="D2739" s="130">
        <v>17488.8</v>
      </c>
      <c r="E2739" s="131">
        <v>44739</v>
      </c>
      <c r="F2739" s="132">
        <v>17488.8</v>
      </c>
      <c r="G2739" s="133">
        <f>Tabla147[[#This Row],[Importe]]-Tabla147[[#This Row],[Pagado]]</f>
        <v>0</v>
      </c>
      <c r="H2739" s="134" t="s">
        <v>10</v>
      </c>
      <c r="I2739" s="135"/>
    </row>
    <row r="2740" spans="1:9" ht="21.75" customHeight="1" x14ac:dyDescent="0.25">
      <c r="A2740" s="127">
        <v>44737</v>
      </c>
      <c r="B2740" s="128" t="s">
        <v>20640</v>
      </c>
      <c r="C2740" s="129" t="s">
        <v>105</v>
      </c>
      <c r="D2740" s="130">
        <v>17165.400000000001</v>
      </c>
      <c r="E2740" s="131">
        <v>44740</v>
      </c>
      <c r="F2740" s="132">
        <v>17165.400000000001</v>
      </c>
      <c r="G2740" s="133">
        <f>Tabla147[[#This Row],[Importe]]-Tabla147[[#This Row],[Pagado]]</f>
        <v>0</v>
      </c>
      <c r="H2740" s="134" t="s">
        <v>10</v>
      </c>
      <c r="I2740" s="135"/>
    </row>
    <row r="2741" spans="1:9" ht="21.75" customHeight="1" x14ac:dyDescent="0.25">
      <c r="A2741" s="127">
        <v>44737</v>
      </c>
      <c r="B2741" s="128" t="s">
        <v>20641</v>
      </c>
      <c r="C2741" s="129" t="s">
        <v>60</v>
      </c>
      <c r="D2741" s="130">
        <v>9994</v>
      </c>
      <c r="E2741" s="131" t="s">
        <v>21264</v>
      </c>
      <c r="F2741" s="132">
        <f>3000+6994</f>
        <v>9994</v>
      </c>
      <c r="G2741" s="133">
        <f>Tabla147[[#This Row],[Importe]]-Tabla147[[#This Row],[Pagado]]</f>
        <v>0</v>
      </c>
      <c r="H2741" s="134" t="s">
        <v>10</v>
      </c>
      <c r="I2741" s="135"/>
    </row>
    <row r="2742" spans="1:9" ht="21.75" customHeight="1" x14ac:dyDescent="0.25">
      <c r="A2742" s="127">
        <v>44737</v>
      </c>
      <c r="B2742" s="128" t="s">
        <v>20642</v>
      </c>
      <c r="C2742" s="129" t="s">
        <v>114</v>
      </c>
      <c r="D2742" s="130">
        <v>19236.099999999999</v>
      </c>
      <c r="E2742" s="131">
        <v>44739</v>
      </c>
      <c r="F2742" s="132">
        <v>19236.099999999999</v>
      </c>
      <c r="G2742" s="133">
        <f>Tabla147[[#This Row],[Importe]]-Tabla147[[#This Row],[Pagado]]</f>
        <v>0</v>
      </c>
      <c r="H2742" s="134" t="s">
        <v>10</v>
      </c>
      <c r="I2742" s="135"/>
    </row>
    <row r="2743" spans="1:9" ht="21.75" customHeight="1" x14ac:dyDescent="0.25">
      <c r="A2743" s="127">
        <v>44737</v>
      </c>
      <c r="B2743" s="128" t="s">
        <v>20643</v>
      </c>
      <c r="C2743" s="129" t="s">
        <v>326</v>
      </c>
      <c r="D2743" s="130">
        <v>12394.8</v>
      </c>
      <c r="E2743" s="131">
        <v>44739</v>
      </c>
      <c r="F2743" s="132">
        <v>12394.8</v>
      </c>
      <c r="G2743" s="133">
        <f>Tabla147[[#This Row],[Importe]]-Tabla147[[#This Row],[Pagado]]</f>
        <v>0</v>
      </c>
      <c r="H2743" s="134" t="s">
        <v>10</v>
      </c>
      <c r="I2743" s="135"/>
    </row>
    <row r="2744" spans="1:9" ht="21.75" customHeight="1" x14ac:dyDescent="0.25">
      <c r="A2744" s="127">
        <v>44737</v>
      </c>
      <c r="B2744" s="128" t="s">
        <v>20644</v>
      </c>
      <c r="C2744" s="129" t="s">
        <v>2151</v>
      </c>
      <c r="D2744" s="130">
        <v>38704.5</v>
      </c>
      <c r="E2744" s="131">
        <v>44737</v>
      </c>
      <c r="F2744" s="132">
        <v>38704.5</v>
      </c>
      <c r="G2744" s="133">
        <f>Tabla147[[#This Row],[Importe]]-Tabla147[[#This Row],[Pagado]]</f>
        <v>0</v>
      </c>
      <c r="H2744" s="134" t="s">
        <v>10</v>
      </c>
      <c r="I2744" s="135"/>
    </row>
    <row r="2745" spans="1:9" ht="21.75" customHeight="1" x14ac:dyDescent="0.25">
      <c r="A2745" s="127">
        <v>44737</v>
      </c>
      <c r="B2745" s="128" t="s">
        <v>20645</v>
      </c>
      <c r="C2745" s="129" t="s">
        <v>89</v>
      </c>
      <c r="D2745" s="130">
        <v>14504</v>
      </c>
      <c r="E2745" s="131">
        <v>44739</v>
      </c>
      <c r="F2745" s="132">
        <v>14504</v>
      </c>
      <c r="G2745" s="133">
        <f>Tabla147[[#This Row],[Importe]]-Tabla147[[#This Row],[Pagado]]</f>
        <v>0</v>
      </c>
      <c r="H2745" s="134" t="s">
        <v>10</v>
      </c>
      <c r="I2745" s="135"/>
    </row>
    <row r="2746" spans="1:9" ht="21.75" customHeight="1" x14ac:dyDescent="0.25">
      <c r="A2746" s="127">
        <v>44737</v>
      </c>
      <c r="B2746" s="128" t="s">
        <v>20646</v>
      </c>
      <c r="C2746" s="129" t="s">
        <v>131</v>
      </c>
      <c r="D2746" s="130">
        <v>10872</v>
      </c>
      <c r="E2746" s="131">
        <v>44737</v>
      </c>
      <c r="F2746" s="132">
        <v>10872</v>
      </c>
      <c r="G2746" s="133">
        <f>Tabla147[[#This Row],[Importe]]-Tabla147[[#This Row],[Pagado]]</f>
        <v>0</v>
      </c>
      <c r="H2746" s="134" t="s">
        <v>10</v>
      </c>
      <c r="I2746" s="135"/>
    </row>
    <row r="2747" spans="1:9" ht="21.75" customHeight="1" x14ac:dyDescent="0.25">
      <c r="A2747" s="127">
        <v>44737</v>
      </c>
      <c r="B2747" s="128" t="s">
        <v>20647</v>
      </c>
      <c r="C2747" s="129" t="s">
        <v>9</v>
      </c>
      <c r="D2747" s="130">
        <v>8392.5</v>
      </c>
      <c r="E2747" s="131">
        <v>44737</v>
      </c>
      <c r="F2747" s="132">
        <v>8392.5</v>
      </c>
      <c r="G2747" s="133">
        <f>Tabla147[[#This Row],[Importe]]-Tabla147[[#This Row],[Pagado]]</f>
        <v>0</v>
      </c>
      <c r="H2747" s="134" t="s">
        <v>10</v>
      </c>
      <c r="I2747" s="135"/>
    </row>
    <row r="2748" spans="1:9" ht="21.75" customHeight="1" x14ac:dyDescent="0.25">
      <c r="A2748" s="127">
        <v>44737</v>
      </c>
      <c r="B2748" s="128" t="s">
        <v>20648</v>
      </c>
      <c r="C2748" s="129" t="s">
        <v>9</v>
      </c>
      <c r="D2748" s="130">
        <v>5402</v>
      </c>
      <c r="E2748" s="131">
        <v>44737</v>
      </c>
      <c r="F2748" s="132">
        <v>5402</v>
      </c>
      <c r="G2748" s="133">
        <f>Tabla147[[#This Row],[Importe]]-Tabla147[[#This Row],[Pagado]]</f>
        <v>0</v>
      </c>
      <c r="H2748" s="134" t="s">
        <v>10</v>
      </c>
      <c r="I2748" s="135"/>
    </row>
    <row r="2749" spans="1:9" ht="21.75" customHeight="1" x14ac:dyDescent="0.25">
      <c r="A2749" s="127">
        <v>44737</v>
      </c>
      <c r="B2749" s="128" t="s">
        <v>20649</v>
      </c>
      <c r="C2749" s="129" t="s">
        <v>918</v>
      </c>
      <c r="D2749" s="130">
        <v>677.6</v>
      </c>
      <c r="E2749" s="131">
        <v>44737</v>
      </c>
      <c r="F2749" s="132">
        <v>677.6</v>
      </c>
      <c r="G2749" s="133">
        <f>Tabla147[[#This Row],[Importe]]-Tabla147[[#This Row],[Pagado]]</f>
        <v>0</v>
      </c>
      <c r="H2749" s="134" t="s">
        <v>10</v>
      </c>
      <c r="I2749" s="135"/>
    </row>
    <row r="2750" spans="1:9" ht="21.75" customHeight="1" x14ac:dyDescent="0.25">
      <c r="A2750" s="127">
        <v>44737</v>
      </c>
      <c r="B2750" s="128" t="s">
        <v>20650</v>
      </c>
      <c r="C2750" s="129" t="s">
        <v>348</v>
      </c>
      <c r="D2750" s="130">
        <v>7067.2</v>
      </c>
      <c r="E2750" s="131">
        <v>44737</v>
      </c>
      <c r="F2750" s="132">
        <v>7067.2</v>
      </c>
      <c r="G2750" s="133">
        <f>Tabla147[[#This Row],[Importe]]-Tabla147[[#This Row],[Pagado]]</f>
        <v>0</v>
      </c>
      <c r="H2750" s="134" t="s">
        <v>10</v>
      </c>
      <c r="I2750" s="135"/>
    </row>
    <row r="2751" spans="1:9" ht="21.75" customHeight="1" x14ac:dyDescent="0.25">
      <c r="A2751" s="127">
        <v>44737</v>
      </c>
      <c r="B2751" s="128" t="s">
        <v>20651</v>
      </c>
      <c r="C2751" s="129" t="s">
        <v>12202</v>
      </c>
      <c r="D2751" s="130">
        <v>9360</v>
      </c>
      <c r="E2751" s="131">
        <v>44737</v>
      </c>
      <c r="F2751" s="132">
        <v>9360</v>
      </c>
      <c r="G2751" s="133">
        <f>Tabla147[[#This Row],[Importe]]-Tabla147[[#This Row],[Pagado]]</f>
        <v>0</v>
      </c>
      <c r="H2751" s="134" t="s">
        <v>10</v>
      </c>
      <c r="I2751" s="135"/>
    </row>
    <row r="2752" spans="1:9" ht="21.75" customHeight="1" x14ac:dyDescent="0.25">
      <c r="A2752" s="127">
        <v>44737</v>
      </c>
      <c r="B2752" s="128" t="s">
        <v>20652</v>
      </c>
      <c r="C2752" s="129" t="s">
        <v>10190</v>
      </c>
      <c r="D2752" s="130">
        <v>24220.799999999999</v>
      </c>
      <c r="E2752" s="131">
        <v>44737</v>
      </c>
      <c r="F2752" s="132">
        <v>24220.799999999999</v>
      </c>
      <c r="G2752" s="133">
        <f>Tabla147[[#This Row],[Importe]]-Tabla147[[#This Row],[Pagado]]</f>
        <v>0</v>
      </c>
      <c r="H2752" s="134" t="s">
        <v>10</v>
      </c>
      <c r="I2752" s="135"/>
    </row>
    <row r="2753" spans="1:9" ht="21.75" customHeight="1" x14ac:dyDescent="0.25">
      <c r="A2753" s="127">
        <v>44737</v>
      </c>
      <c r="B2753" s="128" t="s">
        <v>20653</v>
      </c>
      <c r="C2753" s="129" t="s">
        <v>484</v>
      </c>
      <c r="D2753" s="130">
        <v>3678.4</v>
      </c>
      <c r="E2753" s="131">
        <v>44737</v>
      </c>
      <c r="F2753" s="132">
        <v>3678.4</v>
      </c>
      <c r="G2753" s="133">
        <f>Tabla147[[#This Row],[Importe]]-Tabla147[[#This Row],[Pagado]]</f>
        <v>0</v>
      </c>
      <c r="H2753" s="134" t="s">
        <v>10</v>
      </c>
      <c r="I2753" s="135"/>
    </row>
    <row r="2754" spans="1:9" ht="21.75" customHeight="1" x14ac:dyDescent="0.25">
      <c r="A2754" s="127">
        <v>44737</v>
      </c>
      <c r="B2754" s="128" t="s">
        <v>20654</v>
      </c>
      <c r="C2754" s="129" t="s">
        <v>31</v>
      </c>
      <c r="D2754" s="130">
        <v>1556.1</v>
      </c>
      <c r="E2754" s="131">
        <v>44737</v>
      </c>
      <c r="F2754" s="132">
        <v>1556.1</v>
      </c>
      <c r="G2754" s="133">
        <f>Tabla147[[#This Row],[Importe]]-Tabla147[[#This Row],[Pagado]]</f>
        <v>0</v>
      </c>
      <c r="H2754" s="134" t="s">
        <v>10</v>
      </c>
      <c r="I2754" s="135"/>
    </row>
    <row r="2755" spans="1:9" ht="21.75" customHeight="1" x14ac:dyDescent="0.25">
      <c r="A2755" s="127">
        <v>44737</v>
      </c>
      <c r="B2755" s="128" t="s">
        <v>20655</v>
      </c>
      <c r="C2755" s="129" t="s">
        <v>924</v>
      </c>
      <c r="D2755" s="130">
        <v>15211</v>
      </c>
      <c r="E2755" s="131">
        <v>44737</v>
      </c>
      <c r="F2755" s="132">
        <v>15211</v>
      </c>
      <c r="G2755" s="133">
        <f>Tabla147[[#This Row],[Importe]]-Tabla147[[#This Row],[Pagado]]</f>
        <v>0</v>
      </c>
      <c r="H2755" s="134" t="s">
        <v>10</v>
      </c>
      <c r="I2755" s="135"/>
    </row>
    <row r="2756" spans="1:9" ht="21.75" customHeight="1" x14ac:dyDescent="0.25">
      <c r="A2756" s="127">
        <v>44737</v>
      </c>
      <c r="B2756" s="128" t="s">
        <v>20656</v>
      </c>
      <c r="C2756" s="129" t="s">
        <v>16</v>
      </c>
      <c r="D2756" s="130">
        <v>5507.4</v>
      </c>
      <c r="E2756" s="131">
        <v>44737</v>
      </c>
      <c r="F2756" s="132">
        <v>5507.4</v>
      </c>
      <c r="G2756" s="133">
        <f>Tabla147[[#This Row],[Importe]]-Tabla147[[#This Row],[Pagado]]</f>
        <v>0</v>
      </c>
      <c r="H2756" s="134" t="s">
        <v>10</v>
      </c>
      <c r="I2756" s="135"/>
    </row>
    <row r="2757" spans="1:9" ht="21.75" customHeight="1" x14ac:dyDescent="0.25">
      <c r="A2757" s="127">
        <v>44737</v>
      </c>
      <c r="B2757" s="128" t="s">
        <v>20657</v>
      </c>
      <c r="C2757" s="129" t="s">
        <v>24</v>
      </c>
      <c r="D2757" s="130">
        <v>5323.4</v>
      </c>
      <c r="E2757" s="131">
        <v>44737</v>
      </c>
      <c r="F2757" s="132">
        <v>5323.4</v>
      </c>
      <c r="G2757" s="133">
        <f>Tabla147[[#This Row],[Importe]]-Tabla147[[#This Row],[Pagado]]</f>
        <v>0</v>
      </c>
      <c r="H2757" s="134" t="s">
        <v>10</v>
      </c>
      <c r="I2757" s="135"/>
    </row>
    <row r="2758" spans="1:9" ht="21.75" customHeight="1" x14ac:dyDescent="0.25">
      <c r="A2758" s="127">
        <v>44737</v>
      </c>
      <c r="B2758" s="128" t="s">
        <v>20658</v>
      </c>
      <c r="C2758" s="129" t="s">
        <v>24</v>
      </c>
      <c r="D2758" s="130">
        <v>232</v>
      </c>
      <c r="E2758" s="131">
        <v>44737</v>
      </c>
      <c r="F2758" s="132">
        <v>232</v>
      </c>
      <c r="G2758" s="133">
        <f>Tabla147[[#This Row],[Importe]]-Tabla147[[#This Row],[Pagado]]</f>
        <v>0</v>
      </c>
      <c r="H2758" s="134" t="s">
        <v>10</v>
      </c>
      <c r="I2758" s="135"/>
    </row>
    <row r="2759" spans="1:9" ht="21.75" customHeight="1" x14ac:dyDescent="0.25">
      <c r="A2759" s="127">
        <v>44737</v>
      </c>
      <c r="B2759" s="128" t="s">
        <v>20659</v>
      </c>
      <c r="C2759" s="129" t="s">
        <v>56</v>
      </c>
      <c r="D2759" s="130">
        <v>12933</v>
      </c>
      <c r="E2759" s="131">
        <v>44737</v>
      </c>
      <c r="F2759" s="132">
        <v>12933</v>
      </c>
      <c r="G2759" s="133">
        <f>Tabla147[[#This Row],[Importe]]-Tabla147[[#This Row],[Pagado]]</f>
        <v>0</v>
      </c>
      <c r="H2759" s="134" t="s">
        <v>10</v>
      </c>
      <c r="I2759" s="135"/>
    </row>
    <row r="2760" spans="1:9" ht="21.75" customHeight="1" x14ac:dyDescent="0.25">
      <c r="A2760" s="127">
        <v>44737</v>
      </c>
      <c r="B2760" s="128" t="s">
        <v>20660</v>
      </c>
      <c r="C2760" s="129" t="s">
        <v>11919</v>
      </c>
      <c r="D2760" s="130">
        <v>36067.199999999997</v>
      </c>
      <c r="E2760" s="131">
        <v>44737</v>
      </c>
      <c r="F2760" s="132">
        <v>36067.199999999997</v>
      </c>
      <c r="G2760" s="133">
        <f>Tabla147[[#This Row],[Importe]]-Tabla147[[#This Row],[Pagado]]</f>
        <v>0</v>
      </c>
      <c r="H2760" s="134" t="s">
        <v>10</v>
      </c>
      <c r="I2760" s="135"/>
    </row>
    <row r="2761" spans="1:9" ht="21.75" customHeight="1" x14ac:dyDescent="0.25">
      <c r="A2761" s="127">
        <v>44737</v>
      </c>
      <c r="B2761" s="128" t="s">
        <v>20661</v>
      </c>
      <c r="C2761" s="129" t="s">
        <v>371</v>
      </c>
      <c r="D2761" s="130">
        <v>49377.599999999999</v>
      </c>
      <c r="E2761" s="131">
        <v>44737</v>
      </c>
      <c r="F2761" s="132">
        <v>49377.599999999999</v>
      </c>
      <c r="G2761" s="133">
        <f>Tabla147[[#This Row],[Importe]]-Tabla147[[#This Row],[Pagado]]</f>
        <v>0</v>
      </c>
      <c r="H2761" s="134" t="s">
        <v>10</v>
      </c>
      <c r="I2761" s="135"/>
    </row>
    <row r="2762" spans="1:9" ht="21.75" customHeight="1" x14ac:dyDescent="0.25">
      <c r="A2762" s="127">
        <v>44737</v>
      </c>
      <c r="B2762" s="128" t="s">
        <v>20662</v>
      </c>
      <c r="C2762" s="129" t="s">
        <v>11033</v>
      </c>
      <c r="D2762" s="130">
        <v>3427.6</v>
      </c>
      <c r="E2762" s="131">
        <v>44737</v>
      </c>
      <c r="F2762" s="132">
        <v>3427.6</v>
      </c>
      <c r="G2762" s="133">
        <f>Tabla147[[#This Row],[Importe]]-Tabla147[[#This Row],[Pagado]]</f>
        <v>0</v>
      </c>
      <c r="H2762" s="134" t="s">
        <v>10</v>
      </c>
      <c r="I2762" s="135"/>
    </row>
    <row r="2763" spans="1:9" ht="21.75" customHeight="1" x14ac:dyDescent="0.25">
      <c r="A2763" s="127">
        <v>44737</v>
      </c>
      <c r="B2763" s="128" t="s">
        <v>20663</v>
      </c>
      <c r="C2763" s="129" t="s">
        <v>31</v>
      </c>
      <c r="D2763" s="130">
        <v>3337</v>
      </c>
      <c r="E2763" s="131">
        <v>44737</v>
      </c>
      <c r="F2763" s="132">
        <v>3337</v>
      </c>
      <c r="G2763" s="133">
        <f>Tabla147[[#This Row],[Importe]]-Tabla147[[#This Row],[Pagado]]</f>
        <v>0</v>
      </c>
      <c r="H2763" s="134" t="s">
        <v>10</v>
      </c>
      <c r="I2763" s="135"/>
    </row>
    <row r="2764" spans="1:9" ht="21.75" customHeight="1" x14ac:dyDescent="0.25">
      <c r="A2764" s="127">
        <v>44737</v>
      </c>
      <c r="B2764" s="128" t="s">
        <v>20664</v>
      </c>
      <c r="C2764" s="129" t="s">
        <v>314</v>
      </c>
      <c r="D2764" s="130">
        <v>3254.4</v>
      </c>
      <c r="E2764" s="131">
        <v>44737</v>
      </c>
      <c r="F2764" s="132">
        <v>3254.4</v>
      </c>
      <c r="G2764" s="133">
        <f>Tabla147[[#This Row],[Importe]]-Tabla147[[#This Row],[Pagado]]</f>
        <v>0</v>
      </c>
      <c r="H2764" s="134" t="s">
        <v>10</v>
      </c>
      <c r="I2764" s="135"/>
    </row>
    <row r="2765" spans="1:9" ht="21.75" customHeight="1" x14ac:dyDescent="0.25">
      <c r="A2765" s="127">
        <v>44737</v>
      </c>
      <c r="B2765" s="128" t="s">
        <v>20665</v>
      </c>
      <c r="C2765" s="129" t="s">
        <v>87</v>
      </c>
      <c r="D2765" s="130">
        <v>4371.2</v>
      </c>
      <c r="E2765" s="131">
        <v>44737</v>
      </c>
      <c r="F2765" s="132">
        <v>4371.2</v>
      </c>
      <c r="G2765" s="133">
        <f>Tabla147[[#This Row],[Importe]]-Tabla147[[#This Row],[Pagado]]</f>
        <v>0</v>
      </c>
      <c r="H2765" s="134" t="s">
        <v>10</v>
      </c>
      <c r="I2765" s="135"/>
    </row>
    <row r="2766" spans="1:9" ht="21.75" customHeight="1" x14ac:dyDescent="0.25">
      <c r="A2766" s="127">
        <v>44737</v>
      </c>
      <c r="B2766" s="128" t="s">
        <v>20666</v>
      </c>
      <c r="C2766" s="129" t="s">
        <v>45</v>
      </c>
      <c r="D2766" s="130">
        <v>12167.7</v>
      </c>
      <c r="E2766" s="131">
        <v>44737</v>
      </c>
      <c r="F2766" s="132">
        <v>12167.7</v>
      </c>
      <c r="G2766" s="133">
        <f>Tabla147[[#This Row],[Importe]]-Tabla147[[#This Row],[Pagado]]</f>
        <v>0</v>
      </c>
      <c r="H2766" s="134" t="s">
        <v>10</v>
      </c>
      <c r="I2766" s="135"/>
    </row>
    <row r="2767" spans="1:9" ht="21.75" customHeight="1" x14ac:dyDescent="0.25">
      <c r="A2767" s="127">
        <v>44737</v>
      </c>
      <c r="B2767" s="128" t="s">
        <v>20667</v>
      </c>
      <c r="C2767" s="129" t="s">
        <v>230</v>
      </c>
      <c r="D2767" s="130">
        <v>536</v>
      </c>
      <c r="E2767" s="131">
        <v>44737</v>
      </c>
      <c r="F2767" s="132">
        <v>536</v>
      </c>
      <c r="G2767" s="133">
        <f>Tabla147[[#This Row],[Importe]]-Tabla147[[#This Row],[Pagado]]</f>
        <v>0</v>
      </c>
      <c r="H2767" s="134" t="s">
        <v>10</v>
      </c>
      <c r="I2767" s="135"/>
    </row>
    <row r="2768" spans="1:9" ht="21.75" customHeight="1" x14ac:dyDescent="0.25">
      <c r="A2768" s="127">
        <v>44737</v>
      </c>
      <c r="B2768" s="128" t="s">
        <v>20668</v>
      </c>
      <c r="C2768" s="129" t="s">
        <v>804</v>
      </c>
      <c r="D2768" s="130">
        <v>20917.8</v>
      </c>
      <c r="E2768" s="131">
        <v>44737</v>
      </c>
      <c r="F2768" s="132">
        <v>20917.8</v>
      </c>
      <c r="G2768" s="133">
        <f>Tabla147[[#This Row],[Importe]]-Tabla147[[#This Row],[Pagado]]</f>
        <v>0</v>
      </c>
      <c r="H2768" s="134" t="s">
        <v>10</v>
      </c>
      <c r="I2768" s="135"/>
    </row>
    <row r="2769" spans="1:9" ht="21.75" customHeight="1" x14ac:dyDescent="0.25">
      <c r="A2769" s="127">
        <v>44737</v>
      </c>
      <c r="B2769" s="128" t="s">
        <v>20669</v>
      </c>
      <c r="C2769" s="129" t="s">
        <v>29</v>
      </c>
      <c r="D2769" s="130">
        <v>8611.2000000000007</v>
      </c>
      <c r="E2769" s="131">
        <v>44737</v>
      </c>
      <c r="F2769" s="132">
        <v>8611.2000000000007</v>
      </c>
      <c r="G2769" s="133">
        <f>Tabla147[[#This Row],[Importe]]-Tabla147[[#This Row],[Pagado]]</f>
        <v>0</v>
      </c>
      <c r="H2769" s="134" t="s">
        <v>10</v>
      </c>
      <c r="I2769" s="135"/>
    </row>
    <row r="2770" spans="1:9" ht="21.75" customHeight="1" x14ac:dyDescent="0.25">
      <c r="A2770" s="127">
        <v>44737</v>
      </c>
      <c r="B2770" s="128" t="s">
        <v>20670</v>
      </c>
      <c r="C2770" s="129" t="s">
        <v>357</v>
      </c>
      <c r="D2770" s="130">
        <v>4596.8</v>
      </c>
      <c r="E2770" s="131">
        <v>44737</v>
      </c>
      <c r="F2770" s="132">
        <v>4596.8</v>
      </c>
      <c r="G2770" s="133">
        <f>Tabla147[[#This Row],[Importe]]-Tabla147[[#This Row],[Pagado]]</f>
        <v>0</v>
      </c>
      <c r="H2770" s="134" t="s">
        <v>10</v>
      </c>
      <c r="I2770" s="135"/>
    </row>
    <row r="2771" spans="1:9" ht="21.75" customHeight="1" x14ac:dyDescent="0.25">
      <c r="A2771" s="127">
        <v>44737</v>
      </c>
      <c r="B2771" s="128" t="s">
        <v>20671</v>
      </c>
      <c r="C2771" s="129" t="s">
        <v>129</v>
      </c>
      <c r="D2771" s="130">
        <v>6006.4</v>
      </c>
      <c r="E2771" s="131">
        <v>44737</v>
      </c>
      <c r="F2771" s="132">
        <v>6006.4</v>
      </c>
      <c r="G2771" s="133">
        <f>Tabla147[[#This Row],[Importe]]-Tabla147[[#This Row],[Pagado]]</f>
        <v>0</v>
      </c>
      <c r="H2771" s="134" t="s">
        <v>10</v>
      </c>
      <c r="I2771" s="135"/>
    </row>
    <row r="2772" spans="1:9" ht="21.75" customHeight="1" x14ac:dyDescent="0.25">
      <c r="A2772" s="127">
        <v>44737</v>
      </c>
      <c r="B2772" s="128" t="s">
        <v>20672</v>
      </c>
      <c r="C2772" s="129" t="s">
        <v>127</v>
      </c>
      <c r="D2772" s="130">
        <v>6387</v>
      </c>
      <c r="E2772" s="131">
        <v>44737</v>
      </c>
      <c r="F2772" s="132">
        <v>6387</v>
      </c>
      <c r="G2772" s="133">
        <f>Tabla147[[#This Row],[Importe]]-Tabla147[[#This Row],[Pagado]]</f>
        <v>0</v>
      </c>
      <c r="H2772" s="134" t="s">
        <v>10</v>
      </c>
      <c r="I2772" s="135"/>
    </row>
    <row r="2773" spans="1:9" ht="21.75" customHeight="1" x14ac:dyDescent="0.25">
      <c r="A2773" s="127">
        <v>44737</v>
      </c>
      <c r="B2773" s="128" t="s">
        <v>20673</v>
      </c>
      <c r="C2773" s="129" t="s">
        <v>49</v>
      </c>
      <c r="D2773" s="130">
        <v>6258.6</v>
      </c>
      <c r="E2773" s="131">
        <v>44737</v>
      </c>
      <c r="F2773" s="132">
        <v>6258.6</v>
      </c>
      <c r="G2773" s="133">
        <f>Tabla147[[#This Row],[Importe]]-Tabla147[[#This Row],[Pagado]]</f>
        <v>0</v>
      </c>
      <c r="H2773" s="134" t="s">
        <v>10</v>
      </c>
      <c r="I2773" s="135"/>
    </row>
    <row r="2774" spans="1:9" ht="21.75" customHeight="1" x14ac:dyDescent="0.25">
      <c r="A2774" s="127">
        <v>44737</v>
      </c>
      <c r="B2774" s="128" t="s">
        <v>20674</v>
      </c>
      <c r="C2774" s="129" t="s">
        <v>20675</v>
      </c>
      <c r="D2774" s="130">
        <v>0</v>
      </c>
      <c r="E2774" s="136" t="s">
        <v>189</v>
      </c>
      <c r="F2774" s="132">
        <v>0</v>
      </c>
      <c r="G2774" s="133">
        <f>Tabla147[[#This Row],[Importe]]-Tabla147[[#This Row],[Pagado]]</f>
        <v>0</v>
      </c>
      <c r="H2774" s="134" t="s">
        <v>189</v>
      </c>
      <c r="I2774" s="135"/>
    </row>
    <row r="2775" spans="1:9" ht="21.75" customHeight="1" x14ac:dyDescent="0.25">
      <c r="A2775" s="127">
        <v>44737</v>
      </c>
      <c r="B2775" s="128" t="s">
        <v>20676</v>
      </c>
      <c r="C2775" s="129" t="s">
        <v>15039</v>
      </c>
      <c r="D2775" s="130">
        <v>5106</v>
      </c>
      <c r="E2775" s="131">
        <v>44737</v>
      </c>
      <c r="F2775" s="132">
        <v>5106</v>
      </c>
      <c r="G2775" s="133">
        <f>Tabla147[[#This Row],[Importe]]-Tabla147[[#This Row],[Pagado]]</f>
        <v>0</v>
      </c>
      <c r="H2775" s="134" t="s">
        <v>10</v>
      </c>
      <c r="I2775" s="135"/>
    </row>
    <row r="2776" spans="1:9" ht="21.75" customHeight="1" x14ac:dyDescent="0.25">
      <c r="A2776" s="127">
        <v>44737</v>
      </c>
      <c r="B2776" s="128" t="s">
        <v>20677</v>
      </c>
      <c r="C2776" s="129" t="s">
        <v>520</v>
      </c>
      <c r="D2776" s="130">
        <v>25322.959999999999</v>
      </c>
      <c r="E2776" s="131">
        <v>44737</v>
      </c>
      <c r="F2776" s="132">
        <v>25322.959999999999</v>
      </c>
      <c r="G2776" s="133">
        <f>Tabla147[[#This Row],[Importe]]-Tabla147[[#This Row],[Pagado]]</f>
        <v>0</v>
      </c>
      <c r="H2776" s="134" t="s">
        <v>10</v>
      </c>
      <c r="I2776" s="135"/>
    </row>
    <row r="2777" spans="1:9" ht="21.75" customHeight="1" x14ac:dyDescent="0.25">
      <c r="A2777" s="127">
        <v>44737</v>
      </c>
      <c r="B2777" s="128" t="s">
        <v>20678</v>
      </c>
      <c r="C2777" s="129" t="s">
        <v>196</v>
      </c>
      <c r="D2777" s="130">
        <v>181425.6</v>
      </c>
      <c r="E2777" s="131">
        <v>44743</v>
      </c>
      <c r="F2777" s="132">
        <v>181425.6</v>
      </c>
      <c r="G2777" s="133">
        <f>Tabla147[[#This Row],[Importe]]-Tabla147[[#This Row],[Pagado]]</f>
        <v>0</v>
      </c>
      <c r="H2777" s="134" t="s">
        <v>10</v>
      </c>
      <c r="I2777" s="135"/>
    </row>
    <row r="2778" spans="1:9" ht="21.75" customHeight="1" x14ac:dyDescent="0.25">
      <c r="A2778" s="127">
        <v>44737</v>
      </c>
      <c r="B2778" s="128" t="s">
        <v>20679</v>
      </c>
      <c r="C2778" s="129" t="s">
        <v>157</v>
      </c>
      <c r="D2778" s="130">
        <v>6319.2</v>
      </c>
      <c r="E2778" s="131">
        <v>44739</v>
      </c>
      <c r="F2778" s="132">
        <v>6319.2</v>
      </c>
      <c r="G2778" s="133">
        <f>Tabla147[[#This Row],[Importe]]-Tabla147[[#This Row],[Pagado]]</f>
        <v>0</v>
      </c>
      <c r="H2778" s="134" t="s">
        <v>10</v>
      </c>
      <c r="I2778" s="135"/>
    </row>
    <row r="2779" spans="1:9" ht="21.75" customHeight="1" x14ac:dyDescent="0.25">
      <c r="A2779" s="127">
        <v>44737</v>
      </c>
      <c r="B2779" s="128" t="s">
        <v>20680</v>
      </c>
      <c r="C2779" s="129" t="s">
        <v>4136</v>
      </c>
      <c r="D2779" s="130">
        <v>5211.3</v>
      </c>
      <c r="E2779" s="131">
        <v>44737</v>
      </c>
      <c r="F2779" s="132">
        <v>5211.3</v>
      </c>
      <c r="G2779" s="133">
        <f>Tabla147[[#This Row],[Importe]]-Tabla147[[#This Row],[Pagado]]</f>
        <v>0</v>
      </c>
      <c r="H2779" s="134" t="s">
        <v>10</v>
      </c>
      <c r="I2779" s="135"/>
    </row>
    <row r="2780" spans="1:9" ht="21.75" customHeight="1" x14ac:dyDescent="0.25">
      <c r="A2780" s="127">
        <v>44737</v>
      </c>
      <c r="B2780" s="128" t="s">
        <v>20681</v>
      </c>
      <c r="C2780" s="129" t="s">
        <v>159</v>
      </c>
      <c r="D2780" s="130">
        <v>2335.1999999999998</v>
      </c>
      <c r="E2780" s="131">
        <v>44739</v>
      </c>
      <c r="F2780" s="132">
        <v>2335.1999999999998</v>
      </c>
      <c r="G2780" s="133">
        <f>Tabla147[[#This Row],[Importe]]-Tabla147[[#This Row],[Pagado]]</f>
        <v>0</v>
      </c>
      <c r="H2780" s="134" t="s">
        <v>10</v>
      </c>
      <c r="I2780" s="135"/>
    </row>
    <row r="2781" spans="1:9" ht="21.75" customHeight="1" x14ac:dyDescent="0.25">
      <c r="A2781" s="127">
        <v>44737</v>
      </c>
      <c r="B2781" s="128" t="s">
        <v>20682</v>
      </c>
      <c r="C2781" s="129" t="s">
        <v>1239</v>
      </c>
      <c r="D2781" s="130">
        <v>9931.2000000000007</v>
      </c>
      <c r="E2781" s="131">
        <v>44737</v>
      </c>
      <c r="F2781" s="132">
        <v>9931.2000000000007</v>
      </c>
      <c r="G2781" s="133">
        <f>Tabla147[[#This Row],[Importe]]-Tabla147[[#This Row],[Pagado]]</f>
        <v>0</v>
      </c>
      <c r="H2781" s="134" t="s">
        <v>10</v>
      </c>
      <c r="I2781" s="135"/>
    </row>
    <row r="2782" spans="1:9" ht="21.75" customHeight="1" x14ac:dyDescent="0.25">
      <c r="A2782" s="127">
        <v>44737</v>
      </c>
      <c r="B2782" s="128" t="s">
        <v>20683</v>
      </c>
      <c r="C2782" s="129" t="s">
        <v>382</v>
      </c>
      <c r="D2782" s="130">
        <v>9011</v>
      </c>
      <c r="E2782" s="131">
        <v>44737</v>
      </c>
      <c r="F2782" s="132">
        <v>9011</v>
      </c>
      <c r="G2782" s="133">
        <f>Tabla147[[#This Row],[Importe]]-Tabla147[[#This Row],[Pagado]]</f>
        <v>0</v>
      </c>
      <c r="H2782" s="134" t="s">
        <v>10</v>
      </c>
      <c r="I2782" s="135"/>
    </row>
    <row r="2783" spans="1:9" ht="21.75" customHeight="1" x14ac:dyDescent="0.25">
      <c r="A2783" s="127">
        <v>44737</v>
      </c>
      <c r="B2783" s="128" t="s">
        <v>20684</v>
      </c>
      <c r="C2783" s="129" t="s">
        <v>518</v>
      </c>
      <c r="D2783" s="130">
        <v>1709.1</v>
      </c>
      <c r="E2783" s="131">
        <v>44739</v>
      </c>
      <c r="F2783" s="132">
        <v>1709.1</v>
      </c>
      <c r="G2783" s="133">
        <f>Tabla147[[#This Row],[Importe]]-Tabla147[[#This Row],[Pagado]]</f>
        <v>0</v>
      </c>
      <c r="H2783" s="134" t="s">
        <v>10</v>
      </c>
      <c r="I2783" s="135"/>
    </row>
    <row r="2784" spans="1:9" ht="21.75" customHeight="1" x14ac:dyDescent="0.25">
      <c r="A2784" s="127">
        <v>44737</v>
      </c>
      <c r="B2784" s="128" t="s">
        <v>20685</v>
      </c>
      <c r="C2784" s="129" t="s">
        <v>319</v>
      </c>
      <c r="D2784" s="130">
        <v>7409.9</v>
      </c>
      <c r="E2784" s="131">
        <v>44739</v>
      </c>
      <c r="F2784" s="132">
        <v>7409.9</v>
      </c>
      <c r="G2784" s="133">
        <f>Tabla147[[#This Row],[Importe]]-Tabla147[[#This Row],[Pagado]]</f>
        <v>0</v>
      </c>
      <c r="H2784" s="134" t="s">
        <v>10</v>
      </c>
      <c r="I2784" s="135"/>
    </row>
    <row r="2785" spans="1:9" ht="21.75" customHeight="1" x14ac:dyDescent="0.25">
      <c r="A2785" s="127">
        <v>44737</v>
      </c>
      <c r="B2785" s="128" t="s">
        <v>20686</v>
      </c>
      <c r="C2785" s="129" t="s">
        <v>151</v>
      </c>
      <c r="D2785" s="130">
        <v>12248.64</v>
      </c>
      <c r="E2785" s="131">
        <v>44739</v>
      </c>
      <c r="F2785" s="132">
        <v>12248.64</v>
      </c>
      <c r="G2785" s="133">
        <f>Tabla147[[#This Row],[Importe]]-Tabla147[[#This Row],[Pagado]]</f>
        <v>0</v>
      </c>
      <c r="H2785" s="134" t="s">
        <v>10</v>
      </c>
      <c r="I2785" s="135"/>
    </row>
    <row r="2786" spans="1:9" ht="21.75" customHeight="1" x14ac:dyDescent="0.25">
      <c r="A2786" s="127">
        <v>44737</v>
      </c>
      <c r="B2786" s="128" t="s">
        <v>20687</v>
      </c>
      <c r="C2786" s="129" t="s">
        <v>142</v>
      </c>
      <c r="D2786" s="130">
        <v>81212.86</v>
      </c>
      <c r="E2786" s="131">
        <v>44769</v>
      </c>
      <c r="F2786" s="132">
        <v>81212.86</v>
      </c>
      <c r="G2786" s="133">
        <f>Tabla147[[#This Row],[Importe]]-Tabla147[[#This Row],[Pagado]]</f>
        <v>0</v>
      </c>
      <c r="H2786" s="134" t="s">
        <v>10</v>
      </c>
      <c r="I2786" s="135"/>
    </row>
    <row r="2787" spans="1:9" ht="21.75" customHeight="1" x14ac:dyDescent="0.25">
      <c r="A2787" s="127">
        <v>44737</v>
      </c>
      <c r="B2787" s="128" t="s">
        <v>20688</v>
      </c>
      <c r="C2787" s="129" t="s">
        <v>275</v>
      </c>
      <c r="D2787" s="130">
        <v>175206.96</v>
      </c>
      <c r="E2787" s="131">
        <v>44750</v>
      </c>
      <c r="F2787" s="132">
        <v>175206.96</v>
      </c>
      <c r="G2787" s="133">
        <f>Tabla147[[#This Row],[Importe]]-Tabla147[[#This Row],[Pagado]]</f>
        <v>0</v>
      </c>
      <c r="H2787" s="134" t="s">
        <v>10</v>
      </c>
      <c r="I2787" s="135"/>
    </row>
    <row r="2788" spans="1:9" ht="21.75" customHeight="1" x14ac:dyDescent="0.25">
      <c r="A2788" s="127">
        <v>44737</v>
      </c>
      <c r="B2788" s="128" t="s">
        <v>20689</v>
      </c>
      <c r="C2788" s="129" t="s">
        <v>525</v>
      </c>
      <c r="D2788" s="130">
        <v>5235.3999999999996</v>
      </c>
      <c r="E2788" s="131">
        <v>44739</v>
      </c>
      <c r="F2788" s="132">
        <v>5235.3999999999996</v>
      </c>
      <c r="G2788" s="133">
        <f>Tabla147[[#This Row],[Importe]]-Tabla147[[#This Row],[Pagado]]</f>
        <v>0</v>
      </c>
      <c r="H2788" s="134" t="s">
        <v>10</v>
      </c>
      <c r="I2788" s="135"/>
    </row>
    <row r="2789" spans="1:9" ht="21.75" customHeight="1" x14ac:dyDescent="0.25">
      <c r="A2789" s="127">
        <v>44737</v>
      </c>
      <c r="B2789" s="128" t="s">
        <v>20690</v>
      </c>
      <c r="C2789" s="129" t="s">
        <v>275</v>
      </c>
      <c r="D2789" s="130">
        <v>48717.57</v>
      </c>
      <c r="E2789" s="131">
        <v>44750</v>
      </c>
      <c r="F2789" s="132">
        <v>48717.57</v>
      </c>
      <c r="G2789" s="133">
        <f>Tabla147[[#This Row],[Importe]]-Tabla147[[#This Row],[Pagado]]</f>
        <v>0</v>
      </c>
      <c r="H2789" s="134" t="s">
        <v>10</v>
      </c>
      <c r="I2789" s="135"/>
    </row>
    <row r="2790" spans="1:9" ht="21.75" customHeight="1" x14ac:dyDescent="0.25">
      <c r="A2790" s="127">
        <v>44737</v>
      </c>
      <c r="B2790" s="128" t="s">
        <v>20691</v>
      </c>
      <c r="C2790" s="129" t="s">
        <v>670</v>
      </c>
      <c r="D2790" s="130">
        <v>7237.1</v>
      </c>
      <c r="E2790" s="131">
        <v>44737</v>
      </c>
      <c r="F2790" s="132">
        <v>7237.1</v>
      </c>
      <c r="G2790" s="133">
        <f>Tabla147[[#This Row],[Importe]]-Tabla147[[#This Row],[Pagado]]</f>
        <v>0</v>
      </c>
      <c r="H2790" s="134" t="s">
        <v>10</v>
      </c>
      <c r="I2790" s="135"/>
    </row>
    <row r="2791" spans="1:9" ht="21.75" customHeight="1" x14ac:dyDescent="0.25">
      <c r="A2791" s="127">
        <v>44737</v>
      </c>
      <c r="B2791" s="128" t="s">
        <v>20692</v>
      </c>
      <c r="C2791" s="129" t="s">
        <v>698</v>
      </c>
      <c r="D2791" s="130">
        <v>7334.32</v>
      </c>
      <c r="E2791" s="131">
        <v>44737</v>
      </c>
      <c r="F2791" s="132">
        <v>7334.32</v>
      </c>
      <c r="G2791" s="133">
        <f>Tabla147[[#This Row],[Importe]]-Tabla147[[#This Row],[Pagado]]</f>
        <v>0</v>
      </c>
      <c r="H2791" s="134" t="s">
        <v>10</v>
      </c>
      <c r="I2791" s="135"/>
    </row>
    <row r="2792" spans="1:9" ht="21.75" customHeight="1" x14ac:dyDescent="0.25">
      <c r="A2792" s="127">
        <v>44737</v>
      </c>
      <c r="B2792" s="128" t="s">
        <v>20693</v>
      </c>
      <c r="C2792" s="129" t="s">
        <v>191</v>
      </c>
      <c r="D2792" s="130">
        <v>2569.6</v>
      </c>
      <c r="E2792" s="131">
        <v>44737</v>
      </c>
      <c r="F2792" s="132">
        <v>2569.6</v>
      </c>
      <c r="G2792" s="133">
        <f>Tabla147[[#This Row],[Importe]]-Tabla147[[#This Row],[Pagado]]</f>
        <v>0</v>
      </c>
      <c r="H2792" s="134" t="s">
        <v>10</v>
      </c>
      <c r="I2792" s="135"/>
    </row>
    <row r="2793" spans="1:9" ht="21.75" customHeight="1" x14ac:dyDescent="0.25">
      <c r="A2793" s="127">
        <v>44737</v>
      </c>
      <c r="B2793" s="128" t="s">
        <v>20694</v>
      </c>
      <c r="C2793" s="129" t="s">
        <v>275</v>
      </c>
      <c r="D2793" s="130">
        <v>1150</v>
      </c>
      <c r="E2793" s="131">
        <v>44750</v>
      </c>
      <c r="F2793" s="132">
        <v>1150</v>
      </c>
      <c r="G2793" s="133">
        <f>Tabla147[[#This Row],[Importe]]-Tabla147[[#This Row],[Pagado]]</f>
        <v>0</v>
      </c>
      <c r="H2793" s="134" t="s">
        <v>10</v>
      </c>
      <c r="I2793" s="135"/>
    </row>
    <row r="2794" spans="1:9" ht="21.75" customHeight="1" x14ac:dyDescent="0.25">
      <c r="A2794" s="127">
        <v>44737</v>
      </c>
      <c r="B2794" s="128" t="s">
        <v>20695</v>
      </c>
      <c r="C2794" s="129" t="s">
        <v>555</v>
      </c>
      <c r="D2794" s="130">
        <v>32534.49</v>
      </c>
      <c r="E2794" s="131">
        <v>44739</v>
      </c>
      <c r="F2794" s="132">
        <v>32534.49</v>
      </c>
      <c r="G2794" s="133">
        <f>Tabla147[[#This Row],[Importe]]-Tabla147[[#This Row],[Pagado]]</f>
        <v>0</v>
      </c>
      <c r="H2794" s="134" t="s">
        <v>10</v>
      </c>
      <c r="I2794" s="135"/>
    </row>
    <row r="2795" spans="1:9" ht="21.75" customHeight="1" x14ac:dyDescent="0.25">
      <c r="A2795" s="127">
        <v>44737</v>
      </c>
      <c r="B2795" s="128" t="s">
        <v>20696</v>
      </c>
      <c r="C2795" s="129" t="s">
        <v>20</v>
      </c>
      <c r="D2795" s="130">
        <v>10971.9</v>
      </c>
      <c r="E2795" s="131">
        <v>44737</v>
      </c>
      <c r="F2795" s="132">
        <v>10971.9</v>
      </c>
      <c r="G2795" s="133">
        <f>Tabla147[[#This Row],[Importe]]-Tabla147[[#This Row],[Pagado]]</f>
        <v>0</v>
      </c>
      <c r="H2795" s="134" t="s">
        <v>10</v>
      </c>
      <c r="I2795" s="135"/>
    </row>
    <row r="2796" spans="1:9" ht="21.75" customHeight="1" x14ac:dyDescent="0.25">
      <c r="A2796" s="127">
        <v>44737</v>
      </c>
      <c r="B2796" s="128" t="s">
        <v>20697</v>
      </c>
      <c r="C2796" s="129" t="s">
        <v>233</v>
      </c>
      <c r="D2796" s="130">
        <v>5672.1</v>
      </c>
      <c r="E2796" s="131">
        <v>44737</v>
      </c>
      <c r="F2796" s="132">
        <v>5672.1</v>
      </c>
      <c r="G2796" s="133">
        <f>Tabla147[[#This Row],[Importe]]-Tabla147[[#This Row],[Pagado]]</f>
        <v>0</v>
      </c>
      <c r="H2796" s="134" t="s">
        <v>10</v>
      </c>
      <c r="I2796" s="135"/>
    </row>
    <row r="2797" spans="1:9" ht="21.75" customHeight="1" x14ac:dyDescent="0.25">
      <c r="A2797" s="127">
        <v>44737</v>
      </c>
      <c r="B2797" s="128" t="s">
        <v>20698</v>
      </c>
      <c r="C2797" s="129" t="s">
        <v>31</v>
      </c>
      <c r="D2797" s="130">
        <v>924</v>
      </c>
      <c r="E2797" s="131">
        <v>44737</v>
      </c>
      <c r="F2797" s="132">
        <v>924</v>
      </c>
      <c r="G2797" s="133">
        <f>Tabla147[[#This Row],[Importe]]-Tabla147[[#This Row],[Pagado]]</f>
        <v>0</v>
      </c>
      <c r="H2797" s="134" t="s">
        <v>10</v>
      </c>
      <c r="I2797" s="135"/>
    </row>
    <row r="2798" spans="1:9" ht="21.75" customHeight="1" x14ac:dyDescent="0.25">
      <c r="A2798" s="127">
        <v>44737</v>
      </c>
      <c r="B2798" s="128" t="s">
        <v>20699</v>
      </c>
      <c r="C2798" s="129" t="s">
        <v>58</v>
      </c>
      <c r="D2798" s="130">
        <v>4244.8</v>
      </c>
      <c r="E2798" s="131">
        <v>44737</v>
      </c>
      <c r="F2798" s="132">
        <v>4244.8</v>
      </c>
      <c r="G2798" s="133">
        <f>Tabla147[[#This Row],[Importe]]-Tabla147[[#This Row],[Pagado]]</f>
        <v>0</v>
      </c>
      <c r="H2798" s="134" t="s">
        <v>10</v>
      </c>
      <c r="I2798" s="135"/>
    </row>
    <row r="2799" spans="1:9" ht="21.75" customHeight="1" x14ac:dyDescent="0.25">
      <c r="A2799" s="127">
        <v>44737</v>
      </c>
      <c r="B2799" s="128" t="s">
        <v>20700</v>
      </c>
      <c r="C2799" s="129" t="s">
        <v>9827</v>
      </c>
      <c r="D2799" s="130">
        <v>9557.6</v>
      </c>
      <c r="E2799" s="131">
        <v>44737</v>
      </c>
      <c r="F2799" s="132">
        <v>9557.6</v>
      </c>
      <c r="G2799" s="133">
        <f>Tabla147[[#This Row],[Importe]]-Tabla147[[#This Row],[Pagado]]</f>
        <v>0</v>
      </c>
      <c r="H2799" s="134" t="s">
        <v>10</v>
      </c>
      <c r="I2799" s="135"/>
    </row>
    <row r="2800" spans="1:9" ht="21.75" customHeight="1" x14ac:dyDescent="0.25">
      <c r="A2800" s="127">
        <v>44737</v>
      </c>
      <c r="B2800" s="128" t="s">
        <v>20701</v>
      </c>
      <c r="C2800" s="129" t="s">
        <v>214</v>
      </c>
      <c r="D2800" s="130">
        <v>1800</v>
      </c>
      <c r="E2800" s="131">
        <v>44737</v>
      </c>
      <c r="F2800" s="132">
        <v>1800</v>
      </c>
      <c r="G2800" s="133">
        <f>Tabla147[[#This Row],[Importe]]-Tabla147[[#This Row],[Pagado]]</f>
        <v>0</v>
      </c>
      <c r="H2800" s="134" t="s">
        <v>10</v>
      </c>
      <c r="I2800" s="135"/>
    </row>
    <row r="2801" spans="1:9" ht="21.75" customHeight="1" x14ac:dyDescent="0.25">
      <c r="A2801" s="127">
        <v>44737</v>
      </c>
      <c r="B2801" s="128" t="s">
        <v>20702</v>
      </c>
      <c r="C2801" s="129" t="s">
        <v>20703</v>
      </c>
      <c r="D2801" s="130">
        <v>0</v>
      </c>
      <c r="E2801" s="136" t="s">
        <v>189</v>
      </c>
      <c r="F2801" s="132">
        <v>0</v>
      </c>
      <c r="G2801" s="133">
        <f>Tabla147[[#This Row],[Importe]]-Tabla147[[#This Row],[Pagado]]</f>
        <v>0</v>
      </c>
      <c r="H2801" s="134" t="s">
        <v>189</v>
      </c>
      <c r="I2801" s="135"/>
    </row>
    <row r="2802" spans="1:9" ht="21.75" customHeight="1" x14ac:dyDescent="0.25">
      <c r="A2802" s="127">
        <v>44737</v>
      </c>
      <c r="B2802" s="128" t="s">
        <v>20704</v>
      </c>
      <c r="C2802" s="129" t="s">
        <v>9827</v>
      </c>
      <c r="D2802" s="130">
        <v>636.4</v>
      </c>
      <c r="E2802" s="131">
        <v>44737</v>
      </c>
      <c r="F2802" s="132">
        <v>636.4</v>
      </c>
      <c r="G2802" s="133">
        <f>Tabla147[[#This Row],[Importe]]-Tabla147[[#This Row],[Pagado]]</f>
        <v>0</v>
      </c>
      <c r="H2802" s="134" t="s">
        <v>10</v>
      </c>
      <c r="I2802" s="135"/>
    </row>
    <row r="2803" spans="1:9" ht="21.75" customHeight="1" x14ac:dyDescent="0.25">
      <c r="A2803" s="127">
        <v>44737</v>
      </c>
      <c r="B2803" s="128" t="s">
        <v>20705</v>
      </c>
      <c r="C2803" s="129" t="s">
        <v>51</v>
      </c>
      <c r="D2803" s="130">
        <v>3000</v>
      </c>
      <c r="E2803" s="131">
        <v>44737</v>
      </c>
      <c r="F2803" s="132">
        <v>3000</v>
      </c>
      <c r="G2803" s="133">
        <f>Tabla147[[#This Row],[Importe]]-Tabla147[[#This Row],[Pagado]]</f>
        <v>0</v>
      </c>
      <c r="H2803" s="134" t="s">
        <v>10</v>
      </c>
      <c r="I2803" s="135"/>
    </row>
    <row r="2804" spans="1:9" ht="21.75" customHeight="1" x14ac:dyDescent="0.25">
      <c r="A2804" s="127">
        <v>44737</v>
      </c>
      <c r="B2804" s="128" t="s">
        <v>20706</v>
      </c>
      <c r="C2804" s="129" t="s">
        <v>31</v>
      </c>
      <c r="D2804" s="130">
        <v>1245.5999999999999</v>
      </c>
      <c r="E2804" s="131">
        <v>44737</v>
      </c>
      <c r="F2804" s="132">
        <v>1245.5999999999999</v>
      </c>
      <c r="G2804" s="133">
        <f>Tabla147[[#This Row],[Importe]]-Tabla147[[#This Row],[Pagado]]</f>
        <v>0</v>
      </c>
      <c r="H2804" s="134" t="s">
        <v>10</v>
      </c>
      <c r="I2804" s="135"/>
    </row>
    <row r="2805" spans="1:9" ht="21.75" customHeight="1" x14ac:dyDescent="0.25">
      <c r="A2805" s="127">
        <v>44737</v>
      </c>
      <c r="B2805" s="128" t="s">
        <v>20707</v>
      </c>
      <c r="C2805" s="129" t="s">
        <v>67</v>
      </c>
      <c r="D2805" s="130">
        <v>1668.2</v>
      </c>
      <c r="E2805" s="131">
        <v>44737</v>
      </c>
      <c r="F2805" s="132">
        <v>1668.2</v>
      </c>
      <c r="G2805" s="133">
        <f>Tabla147[[#This Row],[Importe]]-Tabla147[[#This Row],[Pagado]]</f>
        <v>0</v>
      </c>
      <c r="H2805" s="134" t="s">
        <v>10</v>
      </c>
      <c r="I2805" s="135"/>
    </row>
    <row r="2806" spans="1:9" ht="21.75" customHeight="1" x14ac:dyDescent="0.25">
      <c r="A2806" s="127">
        <v>44737</v>
      </c>
      <c r="B2806" s="128" t="s">
        <v>20708</v>
      </c>
      <c r="C2806" s="129" t="s">
        <v>1174</v>
      </c>
      <c r="D2806" s="130">
        <v>35747.800000000003</v>
      </c>
      <c r="E2806" s="131">
        <v>44737</v>
      </c>
      <c r="F2806" s="132">
        <v>35747.800000000003</v>
      </c>
      <c r="G2806" s="133">
        <f>Tabla147[[#This Row],[Importe]]-Tabla147[[#This Row],[Pagado]]</f>
        <v>0</v>
      </c>
      <c r="H2806" s="134" t="s">
        <v>10</v>
      </c>
      <c r="I2806" s="135"/>
    </row>
    <row r="2807" spans="1:9" ht="21.75" customHeight="1" x14ac:dyDescent="0.25">
      <c r="A2807" s="127">
        <v>44737</v>
      </c>
      <c r="B2807" s="128" t="s">
        <v>20709</v>
      </c>
      <c r="C2807" s="129" t="s">
        <v>20710</v>
      </c>
      <c r="D2807" s="130">
        <v>18237.599999999999</v>
      </c>
      <c r="E2807" s="131">
        <v>44737</v>
      </c>
      <c r="F2807" s="132">
        <v>18237.599999999999</v>
      </c>
      <c r="G2807" s="133">
        <f>Tabla147[[#This Row],[Importe]]-Tabla147[[#This Row],[Pagado]]</f>
        <v>0</v>
      </c>
      <c r="H2807" s="134" t="s">
        <v>10</v>
      </c>
      <c r="I2807" s="135"/>
    </row>
    <row r="2808" spans="1:9" ht="21.75" customHeight="1" x14ac:dyDescent="0.25">
      <c r="A2808" s="127">
        <v>44737</v>
      </c>
      <c r="B2808" s="128" t="s">
        <v>20711</v>
      </c>
      <c r="C2808" s="129" t="s">
        <v>414</v>
      </c>
      <c r="D2808" s="130">
        <v>21816</v>
      </c>
      <c r="E2808" s="131">
        <v>44738</v>
      </c>
      <c r="F2808" s="132">
        <v>21816</v>
      </c>
      <c r="G2808" s="133">
        <f>Tabla147[[#This Row],[Importe]]-Tabla147[[#This Row],[Pagado]]</f>
        <v>0</v>
      </c>
      <c r="H2808" s="134" t="s">
        <v>10</v>
      </c>
      <c r="I2808" s="135"/>
    </row>
    <row r="2809" spans="1:9" ht="21.75" customHeight="1" x14ac:dyDescent="0.25">
      <c r="A2809" s="127">
        <v>44737</v>
      </c>
      <c r="B2809" s="128" t="s">
        <v>20712</v>
      </c>
      <c r="C2809" s="129" t="s">
        <v>216</v>
      </c>
      <c r="D2809" s="130">
        <v>2181.6</v>
      </c>
      <c r="E2809" s="131">
        <v>44737</v>
      </c>
      <c r="F2809" s="132">
        <v>2181.6</v>
      </c>
      <c r="G2809" s="133">
        <f>Tabla147[[#This Row],[Importe]]-Tabla147[[#This Row],[Pagado]]</f>
        <v>0</v>
      </c>
      <c r="H2809" s="134" t="s">
        <v>10</v>
      </c>
      <c r="I2809" s="135"/>
    </row>
    <row r="2810" spans="1:9" ht="21.75" customHeight="1" x14ac:dyDescent="0.25">
      <c r="A2810" s="127">
        <v>44737</v>
      </c>
      <c r="B2810" s="128" t="s">
        <v>20713</v>
      </c>
      <c r="C2810" s="129" t="s">
        <v>107</v>
      </c>
      <c r="D2810" s="130">
        <v>39356.5</v>
      </c>
      <c r="E2810" s="131">
        <v>44738</v>
      </c>
      <c r="F2810" s="132">
        <v>39356.5</v>
      </c>
      <c r="G2810" s="133">
        <f>Tabla147[[#This Row],[Importe]]-Tabla147[[#This Row],[Pagado]]</f>
        <v>0</v>
      </c>
      <c r="H2810" s="134" t="s">
        <v>10</v>
      </c>
      <c r="I2810" s="135"/>
    </row>
    <row r="2811" spans="1:9" ht="21.75" customHeight="1" x14ac:dyDescent="0.25">
      <c r="A2811" s="127">
        <v>44737</v>
      </c>
      <c r="B2811" s="128" t="s">
        <v>20714</v>
      </c>
      <c r="C2811" s="129" t="s">
        <v>1362</v>
      </c>
      <c r="D2811" s="130">
        <v>7740.4</v>
      </c>
      <c r="E2811" s="131">
        <v>44738</v>
      </c>
      <c r="F2811" s="132">
        <v>7740.4</v>
      </c>
      <c r="G2811" s="133">
        <f>Tabla147[[#This Row],[Importe]]-Tabla147[[#This Row],[Pagado]]</f>
        <v>0</v>
      </c>
      <c r="H2811" s="134" t="s">
        <v>10</v>
      </c>
      <c r="I2811" s="135"/>
    </row>
    <row r="2812" spans="1:9" ht="21.75" customHeight="1" x14ac:dyDescent="0.25">
      <c r="A2812" s="127">
        <v>44737</v>
      </c>
      <c r="B2812" s="128" t="s">
        <v>20715</v>
      </c>
      <c r="C2812" s="129" t="s">
        <v>16</v>
      </c>
      <c r="D2812" s="130">
        <v>1924.3</v>
      </c>
      <c r="E2812" s="131">
        <v>44737</v>
      </c>
      <c r="F2812" s="132">
        <v>1924.3</v>
      </c>
      <c r="G2812" s="133">
        <f>Tabla147[[#This Row],[Importe]]-Tabla147[[#This Row],[Pagado]]</f>
        <v>0</v>
      </c>
      <c r="H2812" s="134" t="s">
        <v>10</v>
      </c>
      <c r="I2812" s="135"/>
    </row>
    <row r="2813" spans="1:9" ht="21.75" customHeight="1" x14ac:dyDescent="0.25">
      <c r="A2813" s="127">
        <v>44737</v>
      </c>
      <c r="B2813" s="128" t="s">
        <v>20716</v>
      </c>
      <c r="C2813" s="129" t="s">
        <v>12202</v>
      </c>
      <c r="D2813" s="130">
        <v>3120</v>
      </c>
      <c r="E2813" s="131">
        <v>44738</v>
      </c>
      <c r="F2813" s="132">
        <v>3120</v>
      </c>
      <c r="G2813" s="133">
        <f>Tabla147[[#This Row],[Importe]]-Tabla147[[#This Row],[Pagado]]</f>
        <v>0</v>
      </c>
      <c r="H2813" s="134" t="s">
        <v>10</v>
      </c>
      <c r="I2813" s="135"/>
    </row>
    <row r="2814" spans="1:9" ht="21.75" customHeight="1" x14ac:dyDescent="0.25">
      <c r="A2814" s="127">
        <v>44737</v>
      </c>
      <c r="B2814" s="128" t="s">
        <v>20717</v>
      </c>
      <c r="C2814" s="129" t="s">
        <v>181</v>
      </c>
      <c r="D2814" s="130">
        <v>12305</v>
      </c>
      <c r="E2814" s="131">
        <v>44737</v>
      </c>
      <c r="F2814" s="132">
        <v>12305</v>
      </c>
      <c r="G2814" s="133">
        <f>Tabla147[[#This Row],[Importe]]-Tabla147[[#This Row],[Pagado]]</f>
        <v>0</v>
      </c>
      <c r="H2814" s="134" t="s">
        <v>10</v>
      </c>
      <c r="I2814" s="135"/>
    </row>
    <row r="2815" spans="1:9" ht="21.75" customHeight="1" x14ac:dyDescent="0.25">
      <c r="A2815" s="127">
        <v>44737</v>
      </c>
      <c r="B2815" s="128" t="s">
        <v>20718</v>
      </c>
      <c r="C2815" s="129" t="s">
        <v>463</v>
      </c>
      <c r="D2815" s="130">
        <v>550</v>
      </c>
      <c r="E2815" s="131">
        <v>44746</v>
      </c>
      <c r="F2815" s="132">
        <v>550</v>
      </c>
      <c r="G2815" s="133">
        <f>Tabla147[[#This Row],[Importe]]-Tabla147[[#This Row],[Pagado]]</f>
        <v>0</v>
      </c>
      <c r="H2815" s="134" t="s">
        <v>10</v>
      </c>
      <c r="I2815" s="135"/>
    </row>
    <row r="2816" spans="1:9" ht="21.75" customHeight="1" x14ac:dyDescent="0.25">
      <c r="A2816" s="127">
        <v>44737</v>
      </c>
      <c r="B2816" s="128" t="s">
        <v>20719</v>
      </c>
      <c r="C2816" s="129" t="s">
        <v>461</v>
      </c>
      <c r="D2816" s="130">
        <v>394</v>
      </c>
      <c r="E2816" s="131">
        <v>44737</v>
      </c>
      <c r="F2816" s="132">
        <v>394</v>
      </c>
      <c r="G2816" s="133">
        <f>Tabla147[[#This Row],[Importe]]-Tabla147[[#This Row],[Pagado]]</f>
        <v>0</v>
      </c>
      <c r="H2816" s="134" t="s">
        <v>10</v>
      </c>
      <c r="I2816" s="135"/>
    </row>
    <row r="2817" spans="1:9" ht="21.75" customHeight="1" x14ac:dyDescent="0.25">
      <c r="A2817" s="127">
        <v>44737</v>
      </c>
      <c r="B2817" s="128" t="s">
        <v>20720</v>
      </c>
      <c r="C2817" s="129" t="s">
        <v>457</v>
      </c>
      <c r="D2817" s="130">
        <v>198</v>
      </c>
      <c r="E2817" s="131">
        <v>44737</v>
      </c>
      <c r="F2817" s="132">
        <v>198</v>
      </c>
      <c r="G2817" s="133">
        <f>Tabla147[[#This Row],[Importe]]-Tabla147[[#This Row],[Pagado]]</f>
        <v>0</v>
      </c>
      <c r="H2817" s="134" t="s">
        <v>10</v>
      </c>
      <c r="I2817" s="135"/>
    </row>
    <row r="2818" spans="1:9" ht="21.75" customHeight="1" x14ac:dyDescent="0.25">
      <c r="A2818" s="127">
        <v>44737</v>
      </c>
      <c r="B2818" s="128" t="s">
        <v>20721</v>
      </c>
      <c r="C2818" s="129" t="s">
        <v>459</v>
      </c>
      <c r="D2818" s="130">
        <v>213</v>
      </c>
      <c r="E2818" s="131">
        <v>44737</v>
      </c>
      <c r="F2818" s="132">
        <v>213</v>
      </c>
      <c r="G2818" s="133">
        <f>Tabla147[[#This Row],[Importe]]-Tabla147[[#This Row],[Pagado]]</f>
        <v>0</v>
      </c>
      <c r="H2818" s="134" t="s">
        <v>10</v>
      </c>
      <c r="I2818" s="135"/>
    </row>
    <row r="2819" spans="1:9" ht="21.75" customHeight="1" x14ac:dyDescent="0.25">
      <c r="A2819" s="127">
        <v>44737</v>
      </c>
      <c r="B2819" s="128" t="s">
        <v>20722</v>
      </c>
      <c r="C2819" s="129" t="s">
        <v>9</v>
      </c>
      <c r="D2819" s="130">
        <v>1734.4</v>
      </c>
      <c r="E2819" s="131">
        <v>44737</v>
      </c>
      <c r="F2819" s="132">
        <v>1734.4</v>
      </c>
      <c r="G2819" s="133">
        <f>Tabla147[[#This Row],[Importe]]-Tabla147[[#This Row],[Pagado]]</f>
        <v>0</v>
      </c>
      <c r="H2819" s="134" t="s">
        <v>10</v>
      </c>
      <c r="I2819" s="135"/>
    </row>
    <row r="2820" spans="1:9" ht="21.75" customHeight="1" x14ac:dyDescent="0.25">
      <c r="A2820" s="127">
        <v>44737</v>
      </c>
      <c r="B2820" s="128" t="s">
        <v>20723</v>
      </c>
      <c r="C2820" s="129" t="s">
        <v>196</v>
      </c>
      <c r="D2820" s="130">
        <v>6873.3</v>
      </c>
      <c r="E2820" s="131">
        <v>44743</v>
      </c>
      <c r="F2820" s="132">
        <v>6873.3</v>
      </c>
      <c r="G2820" s="133">
        <f>Tabla147[[#This Row],[Importe]]-Tabla147[[#This Row],[Pagado]]</f>
        <v>0</v>
      </c>
      <c r="H2820" s="134" t="s">
        <v>10</v>
      </c>
      <c r="I2820" s="135"/>
    </row>
    <row r="2821" spans="1:9" ht="21.75" customHeight="1" x14ac:dyDescent="0.25">
      <c r="A2821" s="127">
        <v>44737</v>
      </c>
      <c r="B2821" s="128" t="s">
        <v>20724</v>
      </c>
      <c r="C2821" s="129" t="s">
        <v>484</v>
      </c>
      <c r="D2821" s="130">
        <v>3952</v>
      </c>
      <c r="E2821" s="131">
        <v>44737</v>
      </c>
      <c r="F2821" s="132">
        <v>3952</v>
      </c>
      <c r="G2821" s="133">
        <f>Tabla147[[#This Row],[Importe]]-Tabla147[[#This Row],[Pagado]]</f>
        <v>0</v>
      </c>
      <c r="H2821" s="134" t="s">
        <v>10</v>
      </c>
      <c r="I2821" s="135"/>
    </row>
    <row r="2822" spans="1:9" ht="21.75" customHeight="1" x14ac:dyDescent="0.25">
      <c r="A2822" s="127">
        <v>44737</v>
      </c>
      <c r="B2822" s="128" t="s">
        <v>20725</v>
      </c>
      <c r="C2822" s="129" t="s">
        <v>275</v>
      </c>
      <c r="D2822" s="130">
        <v>28394.3</v>
      </c>
      <c r="E2822" s="131">
        <v>44750</v>
      </c>
      <c r="F2822" s="132">
        <v>28394.3</v>
      </c>
      <c r="G2822" s="133">
        <f>Tabla147[[#This Row],[Importe]]-Tabla147[[#This Row],[Pagado]]</f>
        <v>0</v>
      </c>
      <c r="H2822" s="134" t="s">
        <v>10</v>
      </c>
      <c r="I2822" s="135"/>
    </row>
    <row r="2823" spans="1:9" ht="21.75" customHeight="1" x14ac:dyDescent="0.25">
      <c r="A2823" s="127">
        <v>44737</v>
      </c>
      <c r="B2823" s="128" t="s">
        <v>20726</v>
      </c>
      <c r="C2823" s="129" t="s">
        <v>31</v>
      </c>
      <c r="D2823" s="130">
        <v>120</v>
      </c>
      <c r="E2823" s="131">
        <v>44737</v>
      </c>
      <c r="F2823" s="132">
        <v>120</v>
      </c>
      <c r="G2823" s="133">
        <f>Tabla147[[#This Row],[Importe]]-Tabla147[[#This Row],[Pagado]]</f>
        <v>0</v>
      </c>
      <c r="H2823" s="134" t="s">
        <v>10</v>
      </c>
      <c r="I2823" s="135"/>
    </row>
    <row r="2824" spans="1:9" ht="21.75" customHeight="1" x14ac:dyDescent="0.25">
      <c r="A2824" s="127">
        <v>44737</v>
      </c>
      <c r="B2824" s="128" t="s">
        <v>20727</v>
      </c>
      <c r="C2824" s="129" t="s">
        <v>1421</v>
      </c>
      <c r="D2824" s="130">
        <v>12321.6</v>
      </c>
      <c r="E2824" s="131">
        <v>44737</v>
      </c>
      <c r="F2824" s="132">
        <v>12321.6</v>
      </c>
      <c r="G2824" s="133">
        <f>Tabla147[[#This Row],[Importe]]-Tabla147[[#This Row],[Pagado]]</f>
        <v>0</v>
      </c>
      <c r="H2824" s="134" t="s">
        <v>10</v>
      </c>
      <c r="I2824" s="135"/>
    </row>
    <row r="2825" spans="1:9" ht="21.75" customHeight="1" x14ac:dyDescent="0.25">
      <c r="A2825" s="127">
        <v>44737</v>
      </c>
      <c r="B2825" s="128" t="s">
        <v>20728</v>
      </c>
      <c r="C2825" s="129" t="s">
        <v>284</v>
      </c>
      <c r="D2825" s="130">
        <v>14472</v>
      </c>
      <c r="E2825" s="131">
        <v>44738</v>
      </c>
      <c r="F2825" s="132">
        <v>14472</v>
      </c>
      <c r="G2825" s="133">
        <f>Tabla147[[#This Row],[Importe]]-Tabla147[[#This Row],[Pagado]]</f>
        <v>0</v>
      </c>
      <c r="H2825" s="134" t="s">
        <v>10</v>
      </c>
      <c r="I2825" s="135"/>
    </row>
    <row r="2826" spans="1:9" ht="21.75" customHeight="1" x14ac:dyDescent="0.25">
      <c r="A2826" s="127">
        <v>44737</v>
      </c>
      <c r="B2826" s="128" t="s">
        <v>20729</v>
      </c>
      <c r="C2826" s="129" t="s">
        <v>282</v>
      </c>
      <c r="D2826" s="130">
        <v>2095.1999999999998</v>
      </c>
      <c r="E2826" s="131">
        <v>44738</v>
      </c>
      <c r="F2826" s="132">
        <v>2095.1999999999998</v>
      </c>
      <c r="G2826" s="133">
        <f>Tabla147[[#This Row],[Importe]]-Tabla147[[#This Row],[Pagado]]</f>
        <v>0</v>
      </c>
      <c r="H2826" s="134" t="s">
        <v>10</v>
      </c>
      <c r="I2826" s="135"/>
    </row>
    <row r="2827" spans="1:9" ht="21.75" customHeight="1" x14ac:dyDescent="0.25">
      <c r="A2827" s="127">
        <v>44737</v>
      </c>
      <c r="B2827" s="128" t="s">
        <v>20730</v>
      </c>
      <c r="C2827" s="129" t="s">
        <v>20731</v>
      </c>
      <c r="D2827" s="130">
        <v>0</v>
      </c>
      <c r="E2827" s="136" t="s">
        <v>189</v>
      </c>
      <c r="F2827" s="132">
        <v>0</v>
      </c>
      <c r="G2827" s="133">
        <f>Tabla147[[#This Row],[Importe]]-Tabla147[[#This Row],[Pagado]]</f>
        <v>0</v>
      </c>
      <c r="H2827" s="137" t="s">
        <v>20732</v>
      </c>
      <c r="I2827" s="135"/>
    </row>
    <row r="2828" spans="1:9" ht="21.75" customHeight="1" x14ac:dyDescent="0.25">
      <c r="A2828" s="127">
        <v>44737</v>
      </c>
      <c r="B2828" s="128" t="s">
        <v>20733</v>
      </c>
      <c r="C2828" s="129" t="s">
        <v>5345</v>
      </c>
      <c r="D2828" s="130">
        <v>8553.6</v>
      </c>
      <c r="E2828" s="131">
        <v>44738</v>
      </c>
      <c r="F2828" s="132">
        <v>8553.6</v>
      </c>
      <c r="G2828" s="133">
        <f>Tabla147[[#This Row],[Importe]]-Tabla147[[#This Row],[Pagado]]</f>
        <v>0</v>
      </c>
      <c r="H2828" s="134" t="s">
        <v>10</v>
      </c>
      <c r="I2828" s="135"/>
    </row>
    <row r="2829" spans="1:9" ht="21.75" customHeight="1" x14ac:dyDescent="0.25">
      <c r="A2829" s="127">
        <v>44737</v>
      </c>
      <c r="B2829" s="128" t="s">
        <v>20734</v>
      </c>
      <c r="C2829" s="129" t="s">
        <v>10819</v>
      </c>
      <c r="D2829" s="130">
        <v>1382.4</v>
      </c>
      <c r="E2829" s="131">
        <v>44738</v>
      </c>
      <c r="F2829" s="132">
        <v>1382.4</v>
      </c>
      <c r="G2829" s="133">
        <f>Tabla147[[#This Row],[Importe]]-Tabla147[[#This Row],[Pagado]]</f>
        <v>0</v>
      </c>
      <c r="H2829" s="134" t="s">
        <v>10</v>
      </c>
      <c r="I2829" s="135"/>
    </row>
    <row r="2830" spans="1:9" ht="21.75" customHeight="1" x14ac:dyDescent="0.25">
      <c r="A2830" s="127">
        <v>44737</v>
      </c>
      <c r="B2830" s="128" t="s">
        <v>20735</v>
      </c>
      <c r="C2830" s="129" t="s">
        <v>431</v>
      </c>
      <c r="D2830" s="130">
        <v>1137.5999999999999</v>
      </c>
      <c r="E2830" s="131">
        <v>44738</v>
      </c>
      <c r="F2830" s="132">
        <v>1137.5999999999999</v>
      </c>
      <c r="G2830" s="133">
        <f>Tabla147[[#This Row],[Importe]]-Tabla147[[#This Row],[Pagado]]</f>
        <v>0</v>
      </c>
      <c r="H2830" s="134" t="s">
        <v>10</v>
      </c>
      <c r="I2830" s="135"/>
    </row>
    <row r="2831" spans="1:9" ht="21.75" customHeight="1" x14ac:dyDescent="0.25">
      <c r="A2831" s="127">
        <v>44737</v>
      </c>
      <c r="B2831" s="128" t="s">
        <v>20736</v>
      </c>
      <c r="C2831" s="129" t="s">
        <v>280</v>
      </c>
      <c r="D2831" s="130">
        <v>1850.4</v>
      </c>
      <c r="E2831" s="131">
        <v>44738</v>
      </c>
      <c r="F2831" s="132">
        <v>1850.4</v>
      </c>
      <c r="G2831" s="133">
        <f>Tabla147[[#This Row],[Importe]]-Tabla147[[#This Row],[Pagado]]</f>
        <v>0</v>
      </c>
      <c r="H2831" s="134" t="s">
        <v>10</v>
      </c>
      <c r="I2831" s="135"/>
    </row>
    <row r="2832" spans="1:9" ht="21.75" customHeight="1" x14ac:dyDescent="0.25">
      <c r="A2832" s="127">
        <v>44737</v>
      </c>
      <c r="B2832" s="128" t="s">
        <v>20737</v>
      </c>
      <c r="C2832" s="129" t="s">
        <v>179</v>
      </c>
      <c r="D2832" s="130">
        <v>1562.4</v>
      </c>
      <c r="E2832" s="131">
        <v>44738</v>
      </c>
      <c r="F2832" s="132">
        <v>1562.4</v>
      </c>
      <c r="G2832" s="133">
        <f>Tabla147[[#This Row],[Importe]]-Tabla147[[#This Row],[Pagado]]</f>
        <v>0</v>
      </c>
      <c r="H2832" s="134" t="s">
        <v>10</v>
      </c>
      <c r="I2832" s="135"/>
    </row>
    <row r="2833" spans="1:9" ht="21.75" customHeight="1" x14ac:dyDescent="0.25">
      <c r="A2833" s="127">
        <v>44737</v>
      </c>
      <c r="B2833" s="128" t="s">
        <v>20738</v>
      </c>
      <c r="C2833" s="129" t="s">
        <v>53</v>
      </c>
      <c r="D2833" s="130">
        <v>2671.4</v>
      </c>
      <c r="E2833" s="131">
        <v>44737</v>
      </c>
      <c r="F2833" s="132">
        <v>2671.4</v>
      </c>
      <c r="G2833" s="133">
        <f>Tabla147[[#This Row],[Importe]]-Tabla147[[#This Row],[Pagado]]</f>
        <v>0</v>
      </c>
      <c r="H2833" s="134" t="s">
        <v>10</v>
      </c>
      <c r="I2833" s="135"/>
    </row>
    <row r="2834" spans="1:9" ht="21.75" customHeight="1" x14ac:dyDescent="0.25">
      <c r="A2834" s="127">
        <v>44737</v>
      </c>
      <c r="B2834" s="128" t="s">
        <v>20739</v>
      </c>
      <c r="C2834" s="129" t="s">
        <v>2139</v>
      </c>
      <c r="D2834" s="130">
        <v>1550.4</v>
      </c>
      <c r="E2834" s="131">
        <v>44737</v>
      </c>
      <c r="F2834" s="132">
        <v>1550.4</v>
      </c>
      <c r="G2834" s="133">
        <f>Tabla147[[#This Row],[Importe]]-Tabla147[[#This Row],[Pagado]]</f>
        <v>0</v>
      </c>
      <c r="H2834" s="134" t="s">
        <v>10</v>
      </c>
      <c r="I2834" s="135"/>
    </row>
    <row r="2835" spans="1:9" ht="21.75" customHeight="1" x14ac:dyDescent="0.25">
      <c r="A2835" s="127">
        <v>44737</v>
      </c>
      <c r="B2835" s="128" t="s">
        <v>20740</v>
      </c>
      <c r="C2835" s="129" t="s">
        <v>442</v>
      </c>
      <c r="D2835" s="130">
        <v>11239</v>
      </c>
      <c r="E2835" s="131">
        <v>44737</v>
      </c>
      <c r="F2835" s="132">
        <v>11239</v>
      </c>
      <c r="G2835" s="133">
        <f>Tabla147[[#This Row],[Importe]]-Tabla147[[#This Row],[Pagado]]</f>
        <v>0</v>
      </c>
      <c r="H2835" s="134" t="s">
        <v>10</v>
      </c>
      <c r="I2835" s="135"/>
    </row>
    <row r="2836" spans="1:9" ht="21.75" customHeight="1" x14ac:dyDescent="0.25">
      <c r="A2836" s="127">
        <v>44737</v>
      </c>
      <c r="B2836" s="128" t="s">
        <v>20741</v>
      </c>
      <c r="C2836" s="129" t="s">
        <v>31</v>
      </c>
      <c r="D2836" s="130">
        <v>731.3</v>
      </c>
      <c r="E2836" s="131">
        <v>44737</v>
      </c>
      <c r="F2836" s="132">
        <v>731.3</v>
      </c>
      <c r="G2836" s="133">
        <f>Tabla147[[#This Row],[Importe]]-Tabla147[[#This Row],[Pagado]]</f>
        <v>0</v>
      </c>
      <c r="H2836" s="134" t="s">
        <v>10</v>
      </c>
      <c r="I2836" s="135"/>
    </row>
    <row r="2837" spans="1:9" ht="21.75" customHeight="1" x14ac:dyDescent="0.25">
      <c r="A2837" s="127">
        <v>44737</v>
      </c>
      <c r="B2837" s="128" t="s">
        <v>20742</v>
      </c>
      <c r="C2837" s="129" t="s">
        <v>20743</v>
      </c>
      <c r="D2837" s="130">
        <v>0</v>
      </c>
      <c r="E2837" s="136" t="s">
        <v>189</v>
      </c>
      <c r="F2837" s="132">
        <v>0</v>
      </c>
      <c r="G2837" s="133">
        <f>Tabla147[[#This Row],[Importe]]-Tabla147[[#This Row],[Pagado]]</f>
        <v>0</v>
      </c>
      <c r="H2837" s="137" t="s">
        <v>20744</v>
      </c>
      <c r="I2837" s="135"/>
    </row>
    <row r="2838" spans="1:9" ht="21.75" customHeight="1" x14ac:dyDescent="0.25">
      <c r="A2838" s="127">
        <v>44737</v>
      </c>
      <c r="B2838" s="128" t="s">
        <v>20745</v>
      </c>
      <c r="C2838" s="129" t="s">
        <v>69</v>
      </c>
      <c r="D2838" s="130">
        <v>2390.4</v>
      </c>
      <c r="E2838" s="131">
        <v>44737</v>
      </c>
      <c r="F2838" s="132">
        <v>2390.4</v>
      </c>
      <c r="G2838" s="133">
        <f>Tabla147[[#This Row],[Importe]]-Tabla147[[#This Row],[Pagado]]</f>
        <v>0</v>
      </c>
      <c r="H2838" s="134" t="s">
        <v>10</v>
      </c>
      <c r="I2838" s="135"/>
    </row>
    <row r="2839" spans="1:9" ht="21.75" customHeight="1" x14ac:dyDescent="0.25">
      <c r="A2839" s="127">
        <v>44737</v>
      </c>
      <c r="B2839" s="128" t="s">
        <v>20746</v>
      </c>
      <c r="C2839" s="129" t="s">
        <v>240</v>
      </c>
      <c r="D2839" s="130">
        <v>8612.6</v>
      </c>
      <c r="E2839" s="131">
        <v>44737</v>
      </c>
      <c r="F2839" s="132">
        <v>8612.6</v>
      </c>
      <c r="G2839" s="133">
        <f>Tabla147[[#This Row],[Importe]]-Tabla147[[#This Row],[Pagado]]</f>
        <v>0</v>
      </c>
      <c r="H2839" s="134" t="s">
        <v>10</v>
      </c>
      <c r="I2839" s="135"/>
    </row>
    <row r="2840" spans="1:9" ht="21.75" customHeight="1" x14ac:dyDescent="0.25">
      <c r="A2840" s="127">
        <v>44737</v>
      </c>
      <c r="B2840" s="128" t="s">
        <v>20747</v>
      </c>
      <c r="C2840" s="129" t="s">
        <v>654</v>
      </c>
      <c r="D2840" s="130">
        <v>7848.9</v>
      </c>
      <c r="E2840" s="131">
        <v>44739</v>
      </c>
      <c r="F2840" s="132">
        <v>7848.9</v>
      </c>
      <c r="G2840" s="133">
        <f>Tabla147[[#This Row],[Importe]]-Tabla147[[#This Row],[Pagado]]</f>
        <v>0</v>
      </c>
      <c r="H2840" s="134" t="s">
        <v>10</v>
      </c>
      <c r="I2840" s="135"/>
    </row>
    <row r="2841" spans="1:9" ht="21.75" customHeight="1" x14ac:dyDescent="0.25">
      <c r="A2841" s="127">
        <v>44737</v>
      </c>
      <c r="B2841" s="128" t="s">
        <v>20748</v>
      </c>
      <c r="C2841" s="129" t="s">
        <v>31</v>
      </c>
      <c r="D2841" s="130">
        <v>448.2</v>
      </c>
      <c r="E2841" s="131">
        <v>44737</v>
      </c>
      <c r="F2841" s="132">
        <v>448.2</v>
      </c>
      <c r="G2841" s="133">
        <f>Tabla147[[#This Row],[Importe]]-Tabla147[[#This Row],[Pagado]]</f>
        <v>0</v>
      </c>
      <c r="H2841" s="134" t="s">
        <v>10</v>
      </c>
      <c r="I2841" s="135"/>
    </row>
    <row r="2842" spans="1:9" ht="21.75" customHeight="1" x14ac:dyDescent="0.25">
      <c r="A2842" s="127">
        <v>44737</v>
      </c>
      <c r="B2842" s="128" t="s">
        <v>20749</v>
      </c>
      <c r="C2842" s="129" t="s">
        <v>31</v>
      </c>
      <c r="D2842" s="130">
        <v>2368.8000000000002</v>
      </c>
      <c r="E2842" s="131">
        <v>44737</v>
      </c>
      <c r="F2842" s="132">
        <v>2368.8000000000002</v>
      </c>
      <c r="G2842" s="133">
        <f>Tabla147[[#This Row],[Importe]]-Tabla147[[#This Row],[Pagado]]</f>
        <v>0</v>
      </c>
      <c r="H2842" s="134" t="s">
        <v>10</v>
      </c>
      <c r="I2842" s="135"/>
    </row>
    <row r="2843" spans="1:9" ht="21.75" customHeight="1" x14ac:dyDescent="0.25">
      <c r="A2843" s="127">
        <v>44737</v>
      </c>
      <c r="B2843" s="128" t="s">
        <v>20750</v>
      </c>
      <c r="C2843" s="129" t="s">
        <v>10840</v>
      </c>
      <c r="D2843" s="130">
        <v>1661.6</v>
      </c>
      <c r="E2843" s="131">
        <v>44737</v>
      </c>
      <c r="F2843" s="132">
        <v>1661.6</v>
      </c>
      <c r="G2843" s="133">
        <f>Tabla147[[#This Row],[Importe]]-Tabla147[[#This Row],[Pagado]]</f>
        <v>0</v>
      </c>
      <c r="H2843" s="134" t="s">
        <v>10</v>
      </c>
      <c r="I2843" s="135"/>
    </row>
    <row r="2844" spans="1:9" ht="21.75" customHeight="1" x14ac:dyDescent="0.25">
      <c r="A2844" s="127">
        <v>44737</v>
      </c>
      <c r="B2844" s="128" t="s">
        <v>20751</v>
      </c>
      <c r="C2844" s="129" t="s">
        <v>857</v>
      </c>
      <c r="D2844" s="130">
        <v>1692</v>
      </c>
      <c r="E2844" s="131">
        <v>44737</v>
      </c>
      <c r="F2844" s="132">
        <v>1692</v>
      </c>
      <c r="G2844" s="133">
        <f>Tabla147[[#This Row],[Importe]]-Tabla147[[#This Row],[Pagado]]</f>
        <v>0</v>
      </c>
      <c r="H2844" s="134" t="s">
        <v>10</v>
      </c>
      <c r="I2844" s="135"/>
    </row>
    <row r="2845" spans="1:9" ht="21.75" customHeight="1" x14ac:dyDescent="0.25">
      <c r="A2845" s="127">
        <v>44737</v>
      </c>
      <c r="B2845" s="128" t="s">
        <v>20752</v>
      </c>
      <c r="C2845" s="129" t="s">
        <v>24</v>
      </c>
      <c r="D2845" s="130">
        <v>3306</v>
      </c>
      <c r="E2845" s="131">
        <v>44738</v>
      </c>
      <c r="F2845" s="132">
        <v>3306</v>
      </c>
      <c r="G2845" s="133">
        <f>Tabla147[[#This Row],[Importe]]-Tabla147[[#This Row],[Pagado]]</f>
        <v>0</v>
      </c>
      <c r="H2845" s="134" t="s">
        <v>10</v>
      </c>
      <c r="I2845" s="135"/>
    </row>
    <row r="2846" spans="1:9" ht="21.75" customHeight="1" x14ac:dyDescent="0.25">
      <c r="A2846" s="127">
        <v>44738</v>
      </c>
      <c r="B2846" s="128" t="s">
        <v>20753</v>
      </c>
      <c r="C2846" s="129" t="s">
        <v>481</v>
      </c>
      <c r="D2846" s="130">
        <v>1368</v>
      </c>
      <c r="E2846" s="131">
        <v>44738</v>
      </c>
      <c r="F2846" s="132">
        <v>1368</v>
      </c>
      <c r="G2846" s="133">
        <f>Tabla147[[#This Row],[Importe]]-Tabla147[[#This Row],[Pagado]]</f>
        <v>0</v>
      </c>
      <c r="H2846" s="134" t="s">
        <v>10</v>
      </c>
      <c r="I2846" s="135"/>
    </row>
    <row r="2847" spans="1:9" ht="31.5" x14ac:dyDescent="0.25">
      <c r="A2847" s="127">
        <v>44738</v>
      </c>
      <c r="B2847" s="128" t="s">
        <v>20754</v>
      </c>
      <c r="C2847" s="129" t="s">
        <v>475</v>
      </c>
      <c r="D2847" s="130">
        <v>33938.1</v>
      </c>
      <c r="E2847" s="131" t="s">
        <v>20755</v>
      </c>
      <c r="F2847" s="132">
        <f>21200+12738.1</f>
        <v>33938.1</v>
      </c>
      <c r="G2847" s="133">
        <f>Tabla147[[#This Row],[Importe]]-Tabla147[[#This Row],[Pagado]]</f>
        <v>0</v>
      </c>
      <c r="H2847" s="134" t="s">
        <v>10</v>
      </c>
      <c r="I2847" s="135"/>
    </row>
    <row r="2848" spans="1:9" ht="21.75" customHeight="1" x14ac:dyDescent="0.25">
      <c r="A2848" s="127">
        <v>44738</v>
      </c>
      <c r="B2848" s="128" t="s">
        <v>20756</v>
      </c>
      <c r="C2848" s="129" t="s">
        <v>1187</v>
      </c>
      <c r="D2848" s="130">
        <v>2560</v>
      </c>
      <c r="E2848" s="131">
        <v>44738</v>
      </c>
      <c r="F2848" s="132">
        <v>2560</v>
      </c>
      <c r="G2848" s="133">
        <f>Tabla147[[#This Row],[Importe]]-Tabla147[[#This Row],[Pagado]]</f>
        <v>0</v>
      </c>
      <c r="H2848" s="134" t="s">
        <v>10</v>
      </c>
      <c r="I2848" s="135"/>
    </row>
    <row r="2849" spans="1:9" ht="21.75" customHeight="1" x14ac:dyDescent="0.25">
      <c r="A2849" s="127">
        <v>44738</v>
      </c>
      <c r="B2849" s="128" t="s">
        <v>20757</v>
      </c>
      <c r="C2849" s="129" t="s">
        <v>27</v>
      </c>
      <c r="D2849" s="130">
        <v>1753.1</v>
      </c>
      <c r="E2849" s="131">
        <v>44738</v>
      </c>
      <c r="F2849" s="132">
        <v>1753.1</v>
      </c>
      <c r="G2849" s="133">
        <f>Tabla147[[#This Row],[Importe]]-Tabla147[[#This Row],[Pagado]]</f>
        <v>0</v>
      </c>
      <c r="H2849" s="134" t="s">
        <v>10</v>
      </c>
      <c r="I2849" s="135"/>
    </row>
    <row r="2850" spans="1:9" ht="21.75" customHeight="1" x14ac:dyDescent="0.25">
      <c r="A2850" s="127">
        <v>44738</v>
      </c>
      <c r="B2850" s="128" t="s">
        <v>20758</v>
      </c>
      <c r="C2850" s="129" t="s">
        <v>9</v>
      </c>
      <c r="D2850" s="130">
        <v>12798.3</v>
      </c>
      <c r="E2850" s="131">
        <v>44738</v>
      </c>
      <c r="F2850" s="132">
        <v>12798.3</v>
      </c>
      <c r="G2850" s="133">
        <f>Tabla147[[#This Row],[Importe]]-Tabla147[[#This Row],[Pagado]]</f>
        <v>0</v>
      </c>
      <c r="H2850" s="134" t="s">
        <v>10</v>
      </c>
      <c r="I2850" s="135"/>
    </row>
    <row r="2851" spans="1:9" ht="21.75" customHeight="1" x14ac:dyDescent="0.25">
      <c r="A2851" s="127">
        <v>44738</v>
      </c>
      <c r="B2851" s="128" t="s">
        <v>20759</v>
      </c>
      <c r="C2851" s="129" t="s">
        <v>47</v>
      </c>
      <c r="D2851" s="130">
        <v>36560.800000000003</v>
      </c>
      <c r="E2851" s="131">
        <v>44738</v>
      </c>
      <c r="F2851" s="132">
        <v>36560.800000000003</v>
      </c>
      <c r="G2851" s="133">
        <f>Tabla147[[#This Row],[Importe]]-Tabla147[[#This Row],[Pagado]]</f>
        <v>0</v>
      </c>
      <c r="H2851" s="134" t="s">
        <v>10</v>
      </c>
      <c r="I2851" s="135"/>
    </row>
    <row r="2852" spans="1:9" ht="21.75" customHeight="1" x14ac:dyDescent="0.25">
      <c r="A2852" s="127">
        <v>44738</v>
      </c>
      <c r="B2852" s="128" t="s">
        <v>20760</v>
      </c>
      <c r="C2852" s="129" t="s">
        <v>224</v>
      </c>
      <c r="D2852" s="130">
        <v>4630</v>
      </c>
      <c r="E2852" s="131">
        <v>44738</v>
      </c>
      <c r="F2852" s="132">
        <v>4630</v>
      </c>
      <c r="G2852" s="133">
        <f>Tabla147[[#This Row],[Importe]]-Tabla147[[#This Row],[Pagado]]</f>
        <v>0</v>
      </c>
      <c r="H2852" s="134" t="s">
        <v>10</v>
      </c>
      <c r="I2852" s="135"/>
    </row>
    <row r="2853" spans="1:9" ht="21.75" customHeight="1" x14ac:dyDescent="0.25">
      <c r="A2853" s="127">
        <v>44738</v>
      </c>
      <c r="B2853" s="128" t="s">
        <v>20761</v>
      </c>
      <c r="C2853" s="129" t="s">
        <v>11033</v>
      </c>
      <c r="D2853" s="130">
        <v>1786.4</v>
      </c>
      <c r="E2853" s="131">
        <v>44738</v>
      </c>
      <c r="F2853" s="132">
        <v>1786.4</v>
      </c>
      <c r="G2853" s="133">
        <f>Tabla147[[#This Row],[Importe]]-Tabla147[[#This Row],[Pagado]]</f>
        <v>0</v>
      </c>
      <c r="H2853" s="134" t="s">
        <v>10</v>
      </c>
      <c r="I2853" s="135"/>
    </row>
    <row r="2854" spans="1:9" ht="21.75" customHeight="1" x14ac:dyDescent="0.25">
      <c r="A2854" s="127">
        <v>44738</v>
      </c>
      <c r="B2854" s="128" t="s">
        <v>20762</v>
      </c>
      <c r="C2854" s="129" t="s">
        <v>49</v>
      </c>
      <c r="D2854" s="130">
        <v>4126.8</v>
      </c>
      <c r="E2854" s="131">
        <v>44738</v>
      </c>
      <c r="F2854" s="132">
        <v>4126.8</v>
      </c>
      <c r="G2854" s="133">
        <f>Tabla147[[#This Row],[Importe]]-Tabla147[[#This Row],[Pagado]]</f>
        <v>0</v>
      </c>
      <c r="H2854" s="134" t="s">
        <v>10</v>
      </c>
      <c r="I2854" s="135"/>
    </row>
    <row r="2855" spans="1:9" ht="21.75" customHeight="1" x14ac:dyDescent="0.25">
      <c r="A2855" s="127">
        <v>44738</v>
      </c>
      <c r="B2855" s="128" t="s">
        <v>20763</v>
      </c>
      <c r="C2855" s="129" t="s">
        <v>22</v>
      </c>
      <c r="D2855" s="130">
        <v>46311.3</v>
      </c>
      <c r="E2855" s="131">
        <v>44739</v>
      </c>
      <c r="F2855" s="132">
        <v>46311.3</v>
      </c>
      <c r="G2855" s="133">
        <f>Tabla147[[#This Row],[Importe]]-Tabla147[[#This Row],[Pagado]]</f>
        <v>0</v>
      </c>
      <c r="H2855" s="134" t="s">
        <v>10</v>
      </c>
      <c r="I2855" s="135"/>
    </row>
    <row r="2856" spans="1:9" ht="21.75" customHeight="1" x14ac:dyDescent="0.25">
      <c r="A2856" s="127">
        <v>44738</v>
      </c>
      <c r="B2856" s="128" t="s">
        <v>20764</v>
      </c>
      <c r="C2856" s="129" t="s">
        <v>16</v>
      </c>
      <c r="D2856" s="130">
        <v>10850.4</v>
      </c>
      <c r="E2856" s="131">
        <v>44738</v>
      </c>
      <c r="F2856" s="132">
        <v>10850.4</v>
      </c>
      <c r="G2856" s="133">
        <f>Tabla147[[#This Row],[Importe]]-Tabla147[[#This Row],[Pagado]]</f>
        <v>0</v>
      </c>
      <c r="H2856" s="134" t="s">
        <v>10</v>
      </c>
      <c r="I2856" s="135"/>
    </row>
    <row r="2857" spans="1:9" ht="21.75" customHeight="1" x14ac:dyDescent="0.25">
      <c r="A2857" s="127">
        <v>44738</v>
      </c>
      <c r="B2857" s="128" t="s">
        <v>20765</v>
      </c>
      <c r="C2857" s="129" t="s">
        <v>22</v>
      </c>
      <c r="D2857" s="130">
        <v>1060</v>
      </c>
      <c r="E2857" s="131">
        <v>44738</v>
      </c>
      <c r="F2857" s="132">
        <v>1060</v>
      </c>
      <c r="G2857" s="133">
        <f>Tabla147[[#This Row],[Importe]]-Tabla147[[#This Row],[Pagado]]</f>
        <v>0</v>
      </c>
      <c r="H2857" s="134" t="s">
        <v>10</v>
      </c>
      <c r="I2857" s="135"/>
    </row>
    <row r="2858" spans="1:9" ht="21.75" customHeight="1" x14ac:dyDescent="0.25">
      <c r="A2858" s="127">
        <v>44738</v>
      </c>
      <c r="B2858" s="128" t="s">
        <v>20766</v>
      </c>
      <c r="C2858" s="129" t="s">
        <v>16</v>
      </c>
      <c r="D2858" s="130">
        <v>666.9</v>
      </c>
      <c r="E2858" s="131">
        <v>44738</v>
      </c>
      <c r="F2858" s="132">
        <v>666.9</v>
      </c>
      <c r="G2858" s="133">
        <f>Tabla147[[#This Row],[Importe]]-Tabla147[[#This Row],[Pagado]]</f>
        <v>0</v>
      </c>
      <c r="H2858" s="134" t="s">
        <v>10</v>
      </c>
      <c r="I2858" s="135"/>
    </row>
    <row r="2859" spans="1:9" ht="21.75" customHeight="1" x14ac:dyDescent="0.25">
      <c r="A2859" s="127">
        <v>44738</v>
      </c>
      <c r="B2859" s="128" t="s">
        <v>20767</v>
      </c>
      <c r="C2859" s="129" t="s">
        <v>33</v>
      </c>
      <c r="D2859" s="130">
        <v>14305.6</v>
      </c>
      <c r="E2859" s="131">
        <v>44738</v>
      </c>
      <c r="F2859" s="132">
        <v>14305.6</v>
      </c>
      <c r="G2859" s="133">
        <f>Tabla147[[#This Row],[Importe]]-Tabla147[[#This Row],[Pagado]]</f>
        <v>0</v>
      </c>
      <c r="H2859" s="134" t="s">
        <v>10</v>
      </c>
      <c r="I2859" s="135"/>
    </row>
    <row r="2860" spans="1:9" ht="21.75" customHeight="1" x14ac:dyDescent="0.25">
      <c r="A2860" s="127">
        <v>44738</v>
      </c>
      <c r="B2860" s="128" t="s">
        <v>20768</v>
      </c>
      <c r="C2860" s="129" t="s">
        <v>2151</v>
      </c>
      <c r="D2860" s="130">
        <v>12219.2</v>
      </c>
      <c r="E2860" s="131">
        <v>44738</v>
      </c>
      <c r="F2860" s="132">
        <v>12219.2</v>
      </c>
      <c r="G2860" s="133">
        <f>Tabla147[[#This Row],[Importe]]-Tabla147[[#This Row],[Pagado]]</f>
        <v>0</v>
      </c>
      <c r="H2860" s="134" t="s">
        <v>10</v>
      </c>
      <c r="I2860" s="135"/>
    </row>
    <row r="2861" spans="1:9" ht="21.75" customHeight="1" x14ac:dyDescent="0.25">
      <c r="A2861" s="127">
        <v>44738</v>
      </c>
      <c r="B2861" s="128" t="s">
        <v>20769</v>
      </c>
      <c r="C2861" s="129" t="s">
        <v>24</v>
      </c>
      <c r="D2861" s="130">
        <v>2507.4</v>
      </c>
      <c r="E2861" s="131">
        <v>44738</v>
      </c>
      <c r="F2861" s="132">
        <v>2507.4</v>
      </c>
      <c r="G2861" s="133">
        <f>Tabla147[[#This Row],[Importe]]-Tabla147[[#This Row],[Pagado]]</f>
        <v>0</v>
      </c>
      <c r="H2861" s="134" t="s">
        <v>10</v>
      </c>
      <c r="I2861" s="135"/>
    </row>
    <row r="2862" spans="1:9" ht="21.75" customHeight="1" x14ac:dyDescent="0.25">
      <c r="A2862" s="127">
        <v>44738</v>
      </c>
      <c r="B2862" s="128" t="s">
        <v>20770</v>
      </c>
      <c r="C2862" s="129" t="s">
        <v>12</v>
      </c>
      <c r="D2862" s="130">
        <v>7660.8</v>
      </c>
      <c r="E2862" s="131">
        <v>44738</v>
      </c>
      <c r="F2862" s="132">
        <v>7660.8</v>
      </c>
      <c r="G2862" s="133">
        <f>Tabla147[[#This Row],[Importe]]-Tabla147[[#This Row],[Pagado]]</f>
        <v>0</v>
      </c>
      <c r="H2862" s="134" t="s">
        <v>10</v>
      </c>
      <c r="I2862" s="135"/>
    </row>
    <row r="2863" spans="1:9" ht="21.75" customHeight="1" x14ac:dyDescent="0.25">
      <c r="A2863" s="127">
        <v>44738</v>
      </c>
      <c r="B2863" s="128" t="s">
        <v>20771</v>
      </c>
      <c r="C2863" s="129" t="s">
        <v>15039</v>
      </c>
      <c r="D2863" s="130">
        <v>4575.2</v>
      </c>
      <c r="E2863" s="131">
        <v>44738</v>
      </c>
      <c r="F2863" s="132">
        <v>4575.2</v>
      </c>
      <c r="G2863" s="133">
        <f>Tabla147[[#This Row],[Importe]]-Tabla147[[#This Row],[Pagado]]</f>
        <v>0</v>
      </c>
      <c r="H2863" s="134" t="s">
        <v>10</v>
      </c>
      <c r="I2863" s="135"/>
    </row>
    <row r="2864" spans="1:9" ht="21.75" customHeight="1" x14ac:dyDescent="0.25">
      <c r="A2864" s="127">
        <v>44738</v>
      </c>
      <c r="B2864" s="128" t="s">
        <v>20772</v>
      </c>
      <c r="C2864" s="129" t="s">
        <v>161</v>
      </c>
      <c r="D2864" s="130">
        <v>3975</v>
      </c>
      <c r="E2864" s="131">
        <v>44738</v>
      </c>
      <c r="F2864" s="132">
        <v>3975</v>
      </c>
      <c r="G2864" s="133">
        <f>Tabla147[[#This Row],[Importe]]-Tabla147[[#This Row],[Pagado]]</f>
        <v>0</v>
      </c>
      <c r="H2864" s="134" t="s">
        <v>10</v>
      </c>
      <c r="I2864" s="135"/>
    </row>
    <row r="2865" spans="1:9" ht="21.75" customHeight="1" x14ac:dyDescent="0.25">
      <c r="A2865" s="127">
        <v>44738</v>
      </c>
      <c r="B2865" s="128" t="s">
        <v>20773</v>
      </c>
      <c r="C2865" s="129" t="s">
        <v>29</v>
      </c>
      <c r="D2865" s="130">
        <v>11664</v>
      </c>
      <c r="E2865" s="131">
        <v>44738</v>
      </c>
      <c r="F2865" s="132">
        <v>11664</v>
      </c>
      <c r="G2865" s="133">
        <f>Tabla147[[#This Row],[Importe]]-Tabla147[[#This Row],[Pagado]]</f>
        <v>0</v>
      </c>
      <c r="H2865" s="134" t="s">
        <v>10</v>
      </c>
      <c r="I2865" s="135"/>
    </row>
    <row r="2866" spans="1:9" ht="21.75" customHeight="1" x14ac:dyDescent="0.25">
      <c r="A2866" s="127">
        <v>44738</v>
      </c>
      <c r="B2866" s="128" t="s">
        <v>20774</v>
      </c>
      <c r="C2866" s="129" t="s">
        <v>35</v>
      </c>
      <c r="D2866" s="130">
        <v>2120.4</v>
      </c>
      <c r="E2866" s="131">
        <v>44738</v>
      </c>
      <c r="F2866" s="132">
        <v>2120.4</v>
      </c>
      <c r="G2866" s="133">
        <f>Tabla147[[#This Row],[Importe]]-Tabla147[[#This Row],[Pagado]]</f>
        <v>0</v>
      </c>
      <c r="H2866" s="134" t="s">
        <v>10</v>
      </c>
      <c r="I2866" s="135"/>
    </row>
    <row r="2867" spans="1:9" ht="21.75" customHeight="1" x14ac:dyDescent="0.25">
      <c r="A2867" s="127">
        <v>44738</v>
      </c>
      <c r="B2867" s="128" t="s">
        <v>20775</v>
      </c>
      <c r="C2867" s="129" t="s">
        <v>56</v>
      </c>
      <c r="D2867" s="130">
        <v>10441.299999999999</v>
      </c>
      <c r="E2867" s="131">
        <v>44738</v>
      </c>
      <c r="F2867" s="132">
        <v>10441.299999999999</v>
      </c>
      <c r="G2867" s="133">
        <f>Tabla147[[#This Row],[Importe]]-Tabla147[[#This Row],[Pagado]]</f>
        <v>0</v>
      </c>
      <c r="H2867" s="134" t="s">
        <v>10</v>
      </c>
      <c r="I2867" s="135"/>
    </row>
    <row r="2868" spans="1:9" ht="21.75" customHeight="1" x14ac:dyDescent="0.25">
      <c r="A2868" s="127">
        <v>44738</v>
      </c>
      <c r="B2868" s="128" t="s">
        <v>20776</v>
      </c>
      <c r="C2868" s="129" t="s">
        <v>51</v>
      </c>
      <c r="D2868" s="130">
        <v>1380</v>
      </c>
      <c r="E2868" s="131">
        <v>44738</v>
      </c>
      <c r="F2868" s="132">
        <v>1380</v>
      </c>
      <c r="G2868" s="133">
        <f>Tabla147[[#This Row],[Importe]]-Tabla147[[#This Row],[Pagado]]</f>
        <v>0</v>
      </c>
      <c r="H2868" s="134" t="s">
        <v>10</v>
      </c>
      <c r="I2868" s="135"/>
    </row>
    <row r="2869" spans="1:9" ht="21.75" customHeight="1" x14ac:dyDescent="0.25">
      <c r="A2869" s="127">
        <v>44738</v>
      </c>
      <c r="B2869" s="128" t="s">
        <v>20777</v>
      </c>
      <c r="C2869" s="129" t="s">
        <v>501</v>
      </c>
      <c r="D2869" s="130">
        <v>12465.6</v>
      </c>
      <c r="E2869" s="131">
        <v>44738</v>
      </c>
      <c r="F2869" s="132">
        <v>12465.6</v>
      </c>
      <c r="G2869" s="133">
        <f>Tabla147[[#This Row],[Importe]]-Tabla147[[#This Row],[Pagado]]</f>
        <v>0</v>
      </c>
      <c r="H2869" s="134" t="s">
        <v>10</v>
      </c>
      <c r="I2869" s="135"/>
    </row>
    <row r="2870" spans="1:9" ht="21.75" customHeight="1" x14ac:dyDescent="0.25">
      <c r="A2870" s="127">
        <v>44738</v>
      </c>
      <c r="B2870" s="128" t="s">
        <v>20778</v>
      </c>
      <c r="C2870" s="129" t="s">
        <v>1003</v>
      </c>
      <c r="D2870" s="130">
        <v>5170.8</v>
      </c>
      <c r="E2870" s="131">
        <v>44743</v>
      </c>
      <c r="F2870" s="132">
        <v>5170.8</v>
      </c>
      <c r="G2870" s="133">
        <f>Tabla147[[#This Row],[Importe]]-Tabla147[[#This Row],[Pagado]]</f>
        <v>0</v>
      </c>
      <c r="H2870" s="134" t="s">
        <v>10</v>
      </c>
      <c r="I2870" s="135"/>
    </row>
    <row r="2871" spans="1:9" ht="21.75" customHeight="1" x14ac:dyDescent="0.25">
      <c r="A2871" s="127">
        <v>44738</v>
      </c>
      <c r="B2871" s="128" t="s">
        <v>20779</v>
      </c>
      <c r="C2871" s="129" t="s">
        <v>69</v>
      </c>
      <c r="D2871" s="130">
        <v>2755.2</v>
      </c>
      <c r="E2871" s="131">
        <v>44738</v>
      </c>
      <c r="F2871" s="132">
        <v>2755.2</v>
      </c>
      <c r="G2871" s="133">
        <f>Tabla147[[#This Row],[Importe]]-Tabla147[[#This Row],[Pagado]]</f>
        <v>0</v>
      </c>
      <c r="H2871" s="134" t="s">
        <v>10</v>
      </c>
      <c r="I2871" s="135"/>
    </row>
    <row r="2872" spans="1:9" ht="21.75" customHeight="1" x14ac:dyDescent="0.25">
      <c r="A2872" s="127">
        <v>44738</v>
      </c>
      <c r="B2872" s="128" t="s">
        <v>20780</v>
      </c>
      <c r="C2872" s="129" t="s">
        <v>216</v>
      </c>
      <c r="D2872" s="130">
        <v>2865.6</v>
      </c>
      <c r="E2872" s="131">
        <v>44738</v>
      </c>
      <c r="F2872" s="132">
        <v>2865.6</v>
      </c>
      <c r="G2872" s="133">
        <f>Tabla147[[#This Row],[Importe]]-Tabla147[[#This Row],[Pagado]]</f>
        <v>0</v>
      </c>
      <c r="H2872" s="134" t="s">
        <v>10</v>
      </c>
      <c r="I2872" s="135"/>
    </row>
    <row r="2873" spans="1:9" ht="21.75" customHeight="1" x14ac:dyDescent="0.25">
      <c r="A2873" s="127">
        <v>44738</v>
      </c>
      <c r="B2873" s="128" t="s">
        <v>20781</v>
      </c>
      <c r="C2873" s="129" t="s">
        <v>45</v>
      </c>
      <c r="D2873" s="130">
        <v>7804</v>
      </c>
      <c r="E2873" s="131">
        <v>44738</v>
      </c>
      <c r="F2873" s="132">
        <v>7804</v>
      </c>
      <c r="G2873" s="133">
        <f>Tabla147[[#This Row],[Importe]]-Tabla147[[#This Row],[Pagado]]</f>
        <v>0</v>
      </c>
      <c r="H2873" s="134" t="s">
        <v>10</v>
      </c>
      <c r="I2873" s="135"/>
    </row>
    <row r="2874" spans="1:9" ht="21.75" customHeight="1" x14ac:dyDescent="0.25">
      <c r="A2874" s="127">
        <v>44738</v>
      </c>
      <c r="B2874" s="128" t="s">
        <v>20782</v>
      </c>
      <c r="C2874" s="129" t="s">
        <v>191</v>
      </c>
      <c r="D2874" s="130">
        <v>3898.8</v>
      </c>
      <c r="E2874" s="131">
        <v>44738</v>
      </c>
      <c r="F2874" s="132">
        <v>3898.8</v>
      </c>
      <c r="G2874" s="133">
        <f>Tabla147[[#This Row],[Importe]]-Tabla147[[#This Row],[Pagado]]</f>
        <v>0</v>
      </c>
      <c r="H2874" s="134" t="s">
        <v>10</v>
      </c>
      <c r="I2874" s="135"/>
    </row>
    <row r="2875" spans="1:9" ht="21.75" customHeight="1" x14ac:dyDescent="0.25">
      <c r="A2875" s="127">
        <v>44738</v>
      </c>
      <c r="B2875" s="128" t="s">
        <v>20783</v>
      </c>
      <c r="C2875" s="129" t="s">
        <v>296</v>
      </c>
      <c r="D2875" s="130">
        <v>467.4</v>
      </c>
      <c r="E2875" s="131">
        <v>44738</v>
      </c>
      <c r="F2875" s="132">
        <v>467.4</v>
      </c>
      <c r="G2875" s="133">
        <f>Tabla147[[#This Row],[Importe]]-Tabla147[[#This Row],[Pagado]]</f>
        <v>0</v>
      </c>
      <c r="H2875" s="134" t="s">
        <v>10</v>
      </c>
      <c r="I2875" s="135"/>
    </row>
    <row r="2876" spans="1:9" ht="21.75" customHeight="1" x14ac:dyDescent="0.25">
      <c r="A2876" s="127">
        <v>44738</v>
      </c>
      <c r="B2876" s="128" t="s">
        <v>20784</v>
      </c>
      <c r="C2876" s="129" t="s">
        <v>670</v>
      </c>
      <c r="D2876" s="130">
        <v>5217</v>
      </c>
      <c r="E2876" s="131">
        <v>44738</v>
      </c>
      <c r="F2876" s="132">
        <v>5217</v>
      </c>
      <c r="G2876" s="133">
        <f>Tabla147[[#This Row],[Importe]]-Tabla147[[#This Row],[Pagado]]</f>
        <v>0</v>
      </c>
      <c r="H2876" s="134" t="s">
        <v>10</v>
      </c>
      <c r="I2876" s="135"/>
    </row>
    <row r="2877" spans="1:9" ht="21.75" customHeight="1" x14ac:dyDescent="0.25">
      <c r="A2877" s="127">
        <v>44738</v>
      </c>
      <c r="B2877" s="128" t="s">
        <v>20785</v>
      </c>
      <c r="C2877" s="129" t="s">
        <v>62</v>
      </c>
      <c r="D2877" s="130">
        <v>4215</v>
      </c>
      <c r="E2877" s="131">
        <v>44738</v>
      </c>
      <c r="F2877" s="132">
        <v>4215</v>
      </c>
      <c r="G2877" s="133">
        <f>Tabla147[[#This Row],[Importe]]-Tabla147[[#This Row],[Pagado]]</f>
        <v>0</v>
      </c>
      <c r="H2877" s="134" t="s">
        <v>10</v>
      </c>
      <c r="I2877" s="135"/>
    </row>
    <row r="2878" spans="1:9" ht="21.75" customHeight="1" x14ac:dyDescent="0.25">
      <c r="A2878" s="127">
        <v>44738</v>
      </c>
      <c r="B2878" s="128" t="s">
        <v>20786</v>
      </c>
      <c r="C2878" s="129" t="s">
        <v>67</v>
      </c>
      <c r="D2878" s="130">
        <v>3270.8</v>
      </c>
      <c r="E2878" s="131">
        <v>44738</v>
      </c>
      <c r="F2878" s="132">
        <v>3270.8</v>
      </c>
      <c r="G2878" s="133">
        <f>Tabla147[[#This Row],[Importe]]-Tabla147[[#This Row],[Pagado]]</f>
        <v>0</v>
      </c>
      <c r="H2878" s="134" t="s">
        <v>10</v>
      </c>
      <c r="I2878" s="135"/>
    </row>
    <row r="2879" spans="1:9" ht="21.75" customHeight="1" x14ac:dyDescent="0.25">
      <c r="A2879" s="127">
        <v>44738</v>
      </c>
      <c r="B2879" s="128" t="s">
        <v>20787</v>
      </c>
      <c r="C2879" s="129" t="s">
        <v>58</v>
      </c>
      <c r="D2879" s="130">
        <v>5726.4</v>
      </c>
      <c r="E2879" s="131">
        <v>44738</v>
      </c>
      <c r="F2879" s="132">
        <v>5726.4</v>
      </c>
      <c r="G2879" s="133">
        <f>Tabla147[[#This Row],[Importe]]-Tabla147[[#This Row],[Pagado]]</f>
        <v>0</v>
      </c>
      <c r="H2879" s="134" t="s">
        <v>10</v>
      </c>
      <c r="I2879" s="135"/>
    </row>
    <row r="2880" spans="1:9" ht="21.75" customHeight="1" x14ac:dyDescent="0.25">
      <c r="A2880" s="127">
        <v>44738</v>
      </c>
      <c r="B2880" s="128" t="s">
        <v>20788</v>
      </c>
      <c r="C2880" s="129" t="s">
        <v>53</v>
      </c>
      <c r="D2880" s="130">
        <v>1265.4000000000001</v>
      </c>
      <c r="E2880" s="131">
        <v>44738</v>
      </c>
      <c r="F2880" s="132">
        <v>1265.4000000000001</v>
      </c>
      <c r="G2880" s="133">
        <f>Tabla147[[#This Row],[Importe]]-Tabla147[[#This Row],[Pagado]]</f>
        <v>0</v>
      </c>
      <c r="H2880" s="134" t="s">
        <v>10</v>
      </c>
      <c r="I2880" s="135"/>
    </row>
    <row r="2881" spans="1:9" ht="21.75" customHeight="1" x14ac:dyDescent="0.25">
      <c r="A2881" s="127">
        <v>44738</v>
      </c>
      <c r="B2881" s="128" t="s">
        <v>20789</v>
      </c>
      <c r="C2881" s="129" t="s">
        <v>7818</v>
      </c>
      <c r="D2881" s="130">
        <v>1617</v>
      </c>
      <c r="E2881" s="131">
        <v>44738</v>
      </c>
      <c r="F2881" s="132">
        <v>1617</v>
      </c>
      <c r="G2881" s="133">
        <f>Tabla147[[#This Row],[Importe]]-Tabla147[[#This Row],[Pagado]]</f>
        <v>0</v>
      </c>
      <c r="H2881" s="134" t="s">
        <v>10</v>
      </c>
      <c r="I2881" s="135"/>
    </row>
    <row r="2882" spans="1:9" ht="21.75" customHeight="1" x14ac:dyDescent="0.25">
      <c r="A2882" s="127">
        <v>44738</v>
      </c>
      <c r="B2882" s="128" t="s">
        <v>20790</v>
      </c>
      <c r="C2882" s="129" t="s">
        <v>71</v>
      </c>
      <c r="D2882" s="130">
        <v>4157.2</v>
      </c>
      <c r="E2882" s="131">
        <v>44738</v>
      </c>
      <c r="F2882" s="132">
        <v>4157.2</v>
      </c>
      <c r="G2882" s="133">
        <f>Tabla147[[#This Row],[Importe]]-Tabla147[[#This Row],[Pagado]]</f>
        <v>0</v>
      </c>
      <c r="H2882" s="134" t="s">
        <v>10</v>
      </c>
      <c r="I2882" s="135"/>
    </row>
    <row r="2883" spans="1:9" ht="21.75" customHeight="1" x14ac:dyDescent="0.25">
      <c r="A2883" s="127">
        <v>44738</v>
      </c>
      <c r="B2883" s="128" t="s">
        <v>20791</v>
      </c>
      <c r="C2883" s="129" t="s">
        <v>56</v>
      </c>
      <c r="D2883" s="130">
        <v>7028.4</v>
      </c>
      <c r="E2883" s="131">
        <v>44738</v>
      </c>
      <c r="F2883" s="132">
        <v>7028.4</v>
      </c>
      <c r="G2883" s="133">
        <f>Tabla147[[#This Row],[Importe]]-Tabla147[[#This Row],[Pagado]]</f>
        <v>0</v>
      </c>
      <c r="H2883" s="134" t="s">
        <v>10</v>
      </c>
      <c r="I2883" s="135"/>
    </row>
    <row r="2884" spans="1:9" ht="21.75" customHeight="1" x14ac:dyDescent="0.25">
      <c r="A2884" s="127">
        <v>44738</v>
      </c>
      <c r="B2884" s="128" t="s">
        <v>20792</v>
      </c>
      <c r="C2884" s="129" t="s">
        <v>226</v>
      </c>
      <c r="D2884" s="130">
        <v>16844.8</v>
      </c>
      <c r="E2884" s="131">
        <v>44738</v>
      </c>
      <c r="F2884" s="132">
        <v>16844.8</v>
      </c>
      <c r="G2884" s="133">
        <f>Tabla147[[#This Row],[Importe]]-Tabla147[[#This Row],[Pagado]]</f>
        <v>0</v>
      </c>
      <c r="H2884" s="134" t="s">
        <v>10</v>
      </c>
      <c r="I2884" s="135"/>
    </row>
    <row r="2885" spans="1:9" ht="21.75" customHeight="1" x14ac:dyDescent="0.25">
      <c r="A2885" s="127">
        <v>44738</v>
      </c>
      <c r="B2885" s="128" t="s">
        <v>20793</v>
      </c>
      <c r="C2885" s="129" t="s">
        <v>1302</v>
      </c>
      <c r="D2885" s="130">
        <v>11343</v>
      </c>
      <c r="E2885" s="131">
        <v>44738</v>
      </c>
      <c r="F2885" s="132">
        <v>11343</v>
      </c>
      <c r="G2885" s="133">
        <f>Tabla147[[#This Row],[Importe]]-Tabla147[[#This Row],[Pagado]]</f>
        <v>0</v>
      </c>
      <c r="H2885" s="134" t="s">
        <v>10</v>
      </c>
      <c r="I2885" s="135"/>
    </row>
    <row r="2886" spans="1:9" ht="21.75" customHeight="1" x14ac:dyDescent="0.25">
      <c r="A2886" s="127">
        <v>44738</v>
      </c>
      <c r="B2886" s="128" t="s">
        <v>20794</v>
      </c>
      <c r="C2886" s="129" t="s">
        <v>291</v>
      </c>
      <c r="D2886" s="130">
        <v>2025.9</v>
      </c>
      <c r="E2886" s="131">
        <v>44738</v>
      </c>
      <c r="F2886" s="132">
        <v>2025.9</v>
      </c>
      <c r="G2886" s="133">
        <f>Tabla147[[#This Row],[Importe]]-Tabla147[[#This Row],[Pagado]]</f>
        <v>0</v>
      </c>
      <c r="H2886" s="134" t="s">
        <v>10</v>
      </c>
      <c r="I2886" s="135"/>
    </row>
    <row r="2887" spans="1:9" ht="21.75" customHeight="1" x14ac:dyDescent="0.25">
      <c r="A2887" s="127">
        <v>44738</v>
      </c>
      <c r="B2887" s="128" t="s">
        <v>20795</v>
      </c>
      <c r="C2887" s="129" t="s">
        <v>16</v>
      </c>
      <c r="D2887" s="130">
        <v>2171.6999999999998</v>
      </c>
      <c r="E2887" s="131">
        <v>44738</v>
      </c>
      <c r="F2887" s="132">
        <v>2171.6999999999998</v>
      </c>
      <c r="G2887" s="133">
        <f>Tabla147[[#This Row],[Importe]]-Tabla147[[#This Row],[Pagado]]</f>
        <v>0</v>
      </c>
      <c r="H2887" s="134" t="s">
        <v>10</v>
      </c>
      <c r="I2887" s="135"/>
    </row>
    <row r="2888" spans="1:9" ht="21.75" customHeight="1" x14ac:dyDescent="0.25">
      <c r="A2888" s="127">
        <v>44738</v>
      </c>
      <c r="B2888" s="128" t="s">
        <v>20796</v>
      </c>
      <c r="C2888" s="129" t="s">
        <v>296</v>
      </c>
      <c r="D2888" s="130">
        <v>3815.1</v>
      </c>
      <c r="E2888" s="131">
        <v>44738</v>
      </c>
      <c r="F2888" s="132">
        <v>3815.1</v>
      </c>
      <c r="G2888" s="133">
        <f>Tabla147[[#This Row],[Importe]]-Tabla147[[#This Row],[Pagado]]</f>
        <v>0</v>
      </c>
      <c r="H2888" s="134" t="s">
        <v>10</v>
      </c>
      <c r="I2888" s="135"/>
    </row>
    <row r="2889" spans="1:9" ht="21.75" customHeight="1" x14ac:dyDescent="0.25">
      <c r="A2889" s="127">
        <v>44738</v>
      </c>
      <c r="B2889" s="128" t="s">
        <v>20797</v>
      </c>
      <c r="C2889" s="129" t="s">
        <v>214</v>
      </c>
      <c r="D2889" s="130">
        <v>2376</v>
      </c>
      <c r="E2889" s="131">
        <v>44738</v>
      </c>
      <c r="F2889" s="132">
        <v>2376</v>
      </c>
      <c r="G2889" s="133">
        <f>Tabla147[[#This Row],[Importe]]-Tabla147[[#This Row],[Pagado]]</f>
        <v>0</v>
      </c>
      <c r="H2889" s="134" t="s">
        <v>10</v>
      </c>
      <c r="I2889" s="135"/>
    </row>
    <row r="2890" spans="1:9" ht="21.75" customHeight="1" x14ac:dyDescent="0.25">
      <c r="A2890" s="127">
        <v>44738</v>
      </c>
      <c r="B2890" s="128" t="s">
        <v>20798</v>
      </c>
      <c r="C2890" s="129" t="s">
        <v>442</v>
      </c>
      <c r="D2890" s="130">
        <v>1795.8</v>
      </c>
      <c r="E2890" s="131">
        <v>44738</v>
      </c>
      <c r="F2890" s="132">
        <v>1795.8</v>
      </c>
      <c r="G2890" s="133">
        <f>Tabla147[[#This Row],[Importe]]-Tabla147[[#This Row],[Pagado]]</f>
        <v>0</v>
      </c>
      <c r="H2890" s="134" t="s">
        <v>10</v>
      </c>
      <c r="I2890" s="135"/>
    </row>
    <row r="2891" spans="1:9" ht="21.75" customHeight="1" x14ac:dyDescent="0.25">
      <c r="A2891" s="127">
        <v>44738</v>
      </c>
      <c r="B2891" s="128" t="s">
        <v>20799</v>
      </c>
      <c r="C2891" s="129" t="s">
        <v>7745</v>
      </c>
      <c r="D2891" s="130">
        <v>25891.200000000001</v>
      </c>
      <c r="E2891" s="131">
        <v>44738</v>
      </c>
      <c r="F2891" s="132">
        <v>25891.200000000001</v>
      </c>
      <c r="G2891" s="133">
        <f>Tabla147[[#This Row],[Importe]]-Tabla147[[#This Row],[Pagado]]</f>
        <v>0</v>
      </c>
      <c r="H2891" s="134" t="s">
        <v>10</v>
      </c>
      <c r="I2891" s="135"/>
    </row>
    <row r="2892" spans="1:9" ht="21.75" customHeight="1" x14ac:dyDescent="0.25">
      <c r="A2892" s="127">
        <v>44738</v>
      </c>
      <c r="B2892" s="128" t="s">
        <v>20800</v>
      </c>
      <c r="C2892" s="129" t="s">
        <v>289</v>
      </c>
      <c r="D2892" s="130">
        <v>11400.8</v>
      </c>
      <c r="E2892" s="131">
        <v>44738</v>
      </c>
      <c r="F2892" s="132">
        <v>11400.8</v>
      </c>
      <c r="G2892" s="133">
        <f>Tabla147[[#This Row],[Importe]]-Tabla147[[#This Row],[Pagado]]</f>
        <v>0</v>
      </c>
      <c r="H2892" s="134" t="s">
        <v>10</v>
      </c>
      <c r="I2892" s="135"/>
    </row>
    <row r="2893" spans="1:9" ht="21.75" customHeight="1" x14ac:dyDescent="0.25">
      <c r="A2893" s="127">
        <v>44738</v>
      </c>
      <c r="B2893" s="128" t="s">
        <v>20801</v>
      </c>
      <c r="C2893" s="129" t="s">
        <v>85</v>
      </c>
      <c r="D2893" s="130">
        <v>1762.4</v>
      </c>
      <c r="E2893" s="131">
        <v>44739</v>
      </c>
      <c r="F2893" s="132">
        <v>1762.4</v>
      </c>
      <c r="G2893" s="133">
        <f>Tabla147[[#This Row],[Importe]]-Tabla147[[#This Row],[Pagado]]</f>
        <v>0</v>
      </c>
      <c r="H2893" s="134" t="s">
        <v>10</v>
      </c>
      <c r="I2893" s="135"/>
    </row>
    <row r="2894" spans="1:9" ht="21.75" customHeight="1" x14ac:dyDescent="0.25">
      <c r="A2894" s="127">
        <v>44739</v>
      </c>
      <c r="B2894" s="128" t="s">
        <v>20802</v>
      </c>
      <c r="C2894" s="129" t="s">
        <v>99</v>
      </c>
      <c r="D2894" s="130">
        <v>9345.6</v>
      </c>
      <c r="E2894" s="131">
        <v>44739</v>
      </c>
      <c r="F2894" s="132">
        <v>9345.6</v>
      </c>
      <c r="G2894" s="133">
        <f>Tabla147[[#This Row],[Importe]]-Tabla147[[#This Row],[Pagado]]</f>
        <v>0</v>
      </c>
      <c r="H2894" s="134" t="s">
        <v>10</v>
      </c>
      <c r="I2894" s="135"/>
    </row>
    <row r="2895" spans="1:9" ht="31.5" x14ac:dyDescent="0.25">
      <c r="A2895" s="127">
        <v>44739</v>
      </c>
      <c r="B2895" s="128" t="s">
        <v>20803</v>
      </c>
      <c r="C2895" s="129" t="s">
        <v>475</v>
      </c>
      <c r="D2895" s="130">
        <v>141120</v>
      </c>
      <c r="E2895" s="131" t="s">
        <v>20804</v>
      </c>
      <c r="F2895" s="132">
        <f>100500+40620</f>
        <v>141120</v>
      </c>
      <c r="G2895" s="133">
        <f>Tabla147[[#This Row],[Importe]]-Tabla147[[#This Row],[Pagado]]</f>
        <v>0</v>
      </c>
      <c r="H2895" s="134" t="s">
        <v>10</v>
      </c>
      <c r="I2895" s="135"/>
    </row>
    <row r="2896" spans="1:9" ht="21.75" customHeight="1" x14ac:dyDescent="0.25">
      <c r="A2896" s="127">
        <v>44739</v>
      </c>
      <c r="B2896" s="128" t="s">
        <v>20805</v>
      </c>
      <c r="C2896" s="129" t="s">
        <v>97</v>
      </c>
      <c r="D2896" s="130">
        <v>5600.7</v>
      </c>
      <c r="E2896" s="131">
        <v>44740</v>
      </c>
      <c r="F2896" s="132">
        <v>5600.7</v>
      </c>
      <c r="G2896" s="133">
        <f>Tabla147[[#This Row],[Importe]]-Tabla147[[#This Row],[Pagado]]</f>
        <v>0</v>
      </c>
      <c r="H2896" s="134" t="s">
        <v>10</v>
      </c>
      <c r="I2896" s="135"/>
    </row>
    <row r="2897" spans="1:9" ht="21.75" customHeight="1" x14ac:dyDescent="0.25">
      <c r="A2897" s="127">
        <v>44739</v>
      </c>
      <c r="B2897" s="128" t="s">
        <v>20806</v>
      </c>
      <c r="C2897" s="129" t="s">
        <v>64</v>
      </c>
      <c r="D2897" s="130">
        <v>5147.1000000000004</v>
      </c>
      <c r="E2897" s="131">
        <v>44740</v>
      </c>
      <c r="F2897" s="132">
        <v>5147.1000000000004</v>
      </c>
      <c r="G2897" s="133">
        <f>Tabla147[[#This Row],[Importe]]-Tabla147[[#This Row],[Pagado]]</f>
        <v>0</v>
      </c>
      <c r="H2897" s="134" t="s">
        <v>10</v>
      </c>
      <c r="I2897" s="135"/>
    </row>
    <row r="2898" spans="1:9" ht="21.75" customHeight="1" x14ac:dyDescent="0.25">
      <c r="A2898" s="127">
        <v>44739</v>
      </c>
      <c r="B2898" s="128" t="s">
        <v>20807</v>
      </c>
      <c r="C2898" s="129" t="s">
        <v>60</v>
      </c>
      <c r="D2898" s="130">
        <v>5090.3999999999996</v>
      </c>
      <c r="E2898" s="131">
        <v>44742</v>
      </c>
      <c r="F2898" s="132">
        <v>5090.3999999999996</v>
      </c>
      <c r="G2898" s="133">
        <f>Tabla147[[#This Row],[Importe]]-Tabla147[[#This Row],[Pagado]]</f>
        <v>0</v>
      </c>
      <c r="H2898" s="134" t="s">
        <v>10</v>
      </c>
      <c r="I2898" s="135"/>
    </row>
    <row r="2899" spans="1:9" ht="31.5" x14ac:dyDescent="0.25">
      <c r="A2899" s="127">
        <v>44739</v>
      </c>
      <c r="B2899" s="128" t="s">
        <v>20808</v>
      </c>
      <c r="C2899" s="129" t="s">
        <v>1650</v>
      </c>
      <c r="D2899" s="130">
        <v>8642.7999999999993</v>
      </c>
      <c r="E2899" s="131" t="s">
        <v>20804</v>
      </c>
      <c r="F2899" s="132">
        <f>4642+4000.8</f>
        <v>8642.7999999999993</v>
      </c>
      <c r="G2899" s="133">
        <f>Tabla147[[#This Row],[Importe]]-Tabla147[[#This Row],[Pagado]]</f>
        <v>0</v>
      </c>
      <c r="H2899" s="134" t="s">
        <v>10</v>
      </c>
      <c r="I2899" s="135"/>
    </row>
    <row r="2900" spans="1:9" ht="21.75" customHeight="1" x14ac:dyDescent="0.25">
      <c r="A2900" s="127">
        <v>44739</v>
      </c>
      <c r="B2900" s="128" t="s">
        <v>20809</v>
      </c>
      <c r="C2900" s="129" t="s">
        <v>114</v>
      </c>
      <c r="D2900" s="130">
        <v>11998.7</v>
      </c>
      <c r="E2900" s="131">
        <v>44740</v>
      </c>
      <c r="F2900" s="132">
        <v>11998.7</v>
      </c>
      <c r="G2900" s="133">
        <f>Tabla147[[#This Row],[Importe]]-Tabla147[[#This Row],[Pagado]]</f>
        <v>0</v>
      </c>
      <c r="H2900" s="134" t="s">
        <v>10</v>
      </c>
      <c r="I2900" s="135"/>
    </row>
    <row r="2901" spans="1:9" ht="21.75" customHeight="1" x14ac:dyDescent="0.25">
      <c r="A2901" s="127">
        <v>44739</v>
      </c>
      <c r="B2901" s="128" t="s">
        <v>20810</v>
      </c>
      <c r="C2901" s="129" t="s">
        <v>109</v>
      </c>
      <c r="D2901" s="130">
        <v>6161</v>
      </c>
      <c r="E2901" s="131">
        <v>44740</v>
      </c>
      <c r="F2901" s="132">
        <v>6161</v>
      </c>
      <c r="G2901" s="133">
        <f>Tabla147[[#This Row],[Importe]]-Tabla147[[#This Row],[Pagado]]</f>
        <v>0</v>
      </c>
      <c r="H2901" s="134" t="s">
        <v>10</v>
      </c>
      <c r="I2901" s="135"/>
    </row>
    <row r="2902" spans="1:9" ht="21.75" customHeight="1" x14ac:dyDescent="0.25">
      <c r="A2902" s="127">
        <v>44739</v>
      </c>
      <c r="B2902" s="128" t="s">
        <v>20811</v>
      </c>
      <c r="C2902" s="129" t="s">
        <v>2151</v>
      </c>
      <c r="D2902" s="130">
        <v>6124.4</v>
      </c>
      <c r="E2902" s="131">
        <v>44739</v>
      </c>
      <c r="F2902" s="132">
        <v>6124.4</v>
      </c>
      <c r="G2902" s="133">
        <f>Tabla147[[#This Row],[Importe]]-Tabla147[[#This Row],[Pagado]]</f>
        <v>0</v>
      </c>
      <c r="H2902" s="134" t="s">
        <v>10</v>
      </c>
      <c r="I2902" s="135"/>
    </row>
    <row r="2903" spans="1:9" ht="21.75" customHeight="1" x14ac:dyDescent="0.25">
      <c r="A2903" s="127">
        <v>44739</v>
      </c>
      <c r="B2903" s="128" t="s">
        <v>20812</v>
      </c>
      <c r="C2903" s="129" t="s">
        <v>353</v>
      </c>
      <c r="D2903" s="130">
        <v>1686.3</v>
      </c>
      <c r="E2903" s="131">
        <v>44739</v>
      </c>
      <c r="F2903" s="132">
        <v>1686.3</v>
      </c>
      <c r="G2903" s="133">
        <f>Tabla147[[#This Row],[Importe]]-Tabla147[[#This Row],[Pagado]]</f>
        <v>0</v>
      </c>
      <c r="H2903" s="134" t="s">
        <v>10</v>
      </c>
      <c r="I2903" s="135"/>
    </row>
    <row r="2904" spans="1:9" ht="21.75" customHeight="1" x14ac:dyDescent="0.25">
      <c r="A2904" s="127">
        <v>44739</v>
      </c>
      <c r="B2904" s="128" t="s">
        <v>20813</v>
      </c>
      <c r="C2904" s="129" t="s">
        <v>105</v>
      </c>
      <c r="D2904" s="130">
        <v>6442.3</v>
      </c>
      <c r="E2904" s="131">
        <v>44739</v>
      </c>
      <c r="F2904" s="132">
        <v>6442.3</v>
      </c>
      <c r="G2904" s="133">
        <f>Tabla147[[#This Row],[Importe]]-Tabla147[[#This Row],[Pagado]]</f>
        <v>0</v>
      </c>
      <c r="H2904" s="134" t="s">
        <v>10</v>
      </c>
      <c r="I2904" s="135"/>
    </row>
    <row r="2905" spans="1:9" ht="31.5" x14ac:dyDescent="0.25">
      <c r="A2905" s="127">
        <v>44739</v>
      </c>
      <c r="B2905" s="128" t="s">
        <v>20814</v>
      </c>
      <c r="C2905" s="129" t="s">
        <v>93</v>
      </c>
      <c r="D2905" s="130">
        <v>9425.7999999999993</v>
      </c>
      <c r="E2905" s="131" t="s">
        <v>21260</v>
      </c>
      <c r="F2905" s="132">
        <f>3800+5625.8</f>
        <v>9425.7999999999993</v>
      </c>
      <c r="G2905" s="133">
        <f>Tabla147[[#This Row],[Importe]]-Tabla147[[#This Row],[Pagado]]</f>
        <v>0</v>
      </c>
      <c r="H2905" s="134" t="s">
        <v>10</v>
      </c>
      <c r="I2905" s="135"/>
    </row>
    <row r="2906" spans="1:9" ht="21.75" customHeight="1" x14ac:dyDescent="0.25">
      <c r="A2906" s="127">
        <v>44739</v>
      </c>
      <c r="B2906" s="128" t="s">
        <v>20815</v>
      </c>
      <c r="C2906" s="129" t="s">
        <v>481</v>
      </c>
      <c r="D2906" s="130">
        <v>962.6</v>
      </c>
      <c r="E2906" s="131">
        <v>44739</v>
      </c>
      <c r="F2906" s="132">
        <v>962.6</v>
      </c>
      <c r="G2906" s="133">
        <f>Tabla147[[#This Row],[Importe]]-Tabla147[[#This Row],[Pagado]]</f>
        <v>0</v>
      </c>
      <c r="H2906" s="134" t="s">
        <v>10</v>
      </c>
      <c r="I2906" s="135"/>
    </row>
    <row r="2907" spans="1:9" ht="21.75" customHeight="1" x14ac:dyDescent="0.25">
      <c r="A2907" s="127">
        <v>44739</v>
      </c>
      <c r="B2907" s="128" t="s">
        <v>20816</v>
      </c>
      <c r="C2907" s="129" t="s">
        <v>348</v>
      </c>
      <c r="D2907" s="130">
        <v>3960.4</v>
      </c>
      <c r="E2907" s="131">
        <v>44739</v>
      </c>
      <c r="F2907" s="132">
        <v>3960.4</v>
      </c>
      <c r="G2907" s="133">
        <f>Tabla147[[#This Row],[Importe]]-Tabla147[[#This Row],[Pagado]]</f>
        <v>0</v>
      </c>
      <c r="H2907" s="134" t="s">
        <v>10</v>
      </c>
      <c r="I2907" s="135"/>
    </row>
    <row r="2908" spans="1:9" ht="21.75" customHeight="1" x14ac:dyDescent="0.25">
      <c r="A2908" s="127">
        <v>44739</v>
      </c>
      <c r="B2908" s="128" t="s">
        <v>20817</v>
      </c>
      <c r="C2908" s="129" t="s">
        <v>9</v>
      </c>
      <c r="D2908" s="130">
        <v>7545.3</v>
      </c>
      <c r="E2908" s="131">
        <v>44739</v>
      </c>
      <c r="F2908" s="132">
        <v>7545.3</v>
      </c>
      <c r="G2908" s="133">
        <f>Tabla147[[#This Row],[Importe]]-Tabla147[[#This Row],[Pagado]]</f>
        <v>0</v>
      </c>
      <c r="H2908" s="134" t="s">
        <v>10</v>
      </c>
      <c r="I2908" s="135"/>
    </row>
    <row r="2909" spans="1:9" ht="21.75" customHeight="1" x14ac:dyDescent="0.25">
      <c r="A2909" s="127">
        <v>44739</v>
      </c>
      <c r="B2909" s="128" t="s">
        <v>20818</v>
      </c>
      <c r="C2909" s="129" t="s">
        <v>89</v>
      </c>
      <c r="D2909" s="130">
        <v>8573.6</v>
      </c>
      <c r="E2909" s="131">
        <v>44740</v>
      </c>
      <c r="F2909" s="132">
        <v>8573.6</v>
      </c>
      <c r="G2909" s="133">
        <f>Tabla147[[#This Row],[Importe]]-Tabla147[[#This Row],[Pagado]]</f>
        <v>0</v>
      </c>
      <c r="H2909" s="134" t="s">
        <v>10</v>
      </c>
      <c r="I2909" s="135"/>
    </row>
    <row r="2910" spans="1:9" ht="21.75" customHeight="1" x14ac:dyDescent="0.25">
      <c r="A2910" s="127">
        <v>44739</v>
      </c>
      <c r="B2910" s="128" t="s">
        <v>20819</v>
      </c>
      <c r="C2910" s="129" t="s">
        <v>22</v>
      </c>
      <c r="D2910" s="130">
        <v>58419.5</v>
      </c>
      <c r="E2910" s="131">
        <v>44741</v>
      </c>
      <c r="F2910" s="132">
        <v>58419.5</v>
      </c>
      <c r="G2910" s="133">
        <f>Tabla147[[#This Row],[Importe]]-Tabla147[[#This Row],[Pagado]]</f>
        <v>0</v>
      </c>
      <c r="H2910" s="134" t="s">
        <v>10</v>
      </c>
      <c r="I2910" s="135"/>
    </row>
    <row r="2911" spans="1:9" ht="21.75" customHeight="1" x14ac:dyDescent="0.25">
      <c r="A2911" s="127">
        <v>44739</v>
      </c>
      <c r="B2911" s="128" t="s">
        <v>20820</v>
      </c>
      <c r="C2911" s="129" t="s">
        <v>31</v>
      </c>
      <c r="D2911" s="130">
        <v>1041.2</v>
      </c>
      <c r="E2911" s="131">
        <v>44739</v>
      </c>
      <c r="F2911" s="132">
        <v>1041.2</v>
      </c>
      <c r="G2911" s="133">
        <f>Tabla147[[#This Row],[Importe]]-Tabla147[[#This Row],[Pagado]]</f>
        <v>0</v>
      </c>
      <c r="H2911" s="134" t="s">
        <v>10</v>
      </c>
      <c r="I2911" s="135"/>
    </row>
    <row r="2912" spans="1:9" ht="21.75" customHeight="1" x14ac:dyDescent="0.25">
      <c r="A2912" s="127">
        <v>44739</v>
      </c>
      <c r="B2912" s="128" t="s">
        <v>20821</v>
      </c>
      <c r="C2912" s="129" t="s">
        <v>111</v>
      </c>
      <c r="D2912" s="130">
        <v>6063.4</v>
      </c>
      <c r="E2912" s="131">
        <v>44741</v>
      </c>
      <c r="F2912" s="132">
        <v>6063.4</v>
      </c>
      <c r="G2912" s="133">
        <f>Tabla147[[#This Row],[Importe]]-Tabla147[[#This Row],[Pagado]]</f>
        <v>0</v>
      </c>
      <c r="H2912" s="134" t="s">
        <v>10</v>
      </c>
      <c r="I2912" s="135"/>
    </row>
    <row r="2913" spans="1:9" ht="21.75" customHeight="1" x14ac:dyDescent="0.25">
      <c r="A2913" s="127">
        <v>44739</v>
      </c>
      <c r="B2913" s="128" t="s">
        <v>20822</v>
      </c>
      <c r="C2913" s="129" t="s">
        <v>12202</v>
      </c>
      <c r="D2913" s="130">
        <v>3120</v>
      </c>
      <c r="E2913" s="131">
        <v>44739</v>
      </c>
      <c r="F2913" s="132">
        <v>3120</v>
      </c>
      <c r="G2913" s="133">
        <f>Tabla147[[#This Row],[Importe]]-Tabla147[[#This Row],[Pagado]]</f>
        <v>0</v>
      </c>
      <c r="H2913" s="134" t="s">
        <v>10</v>
      </c>
      <c r="I2913" s="135"/>
    </row>
    <row r="2914" spans="1:9" ht="21.75" customHeight="1" x14ac:dyDescent="0.25">
      <c r="A2914" s="127">
        <v>44739</v>
      </c>
      <c r="B2914" s="128" t="s">
        <v>20823</v>
      </c>
      <c r="C2914" s="129" t="s">
        <v>83</v>
      </c>
      <c r="D2914" s="130">
        <v>10903</v>
      </c>
      <c r="E2914" s="131">
        <v>44739</v>
      </c>
      <c r="F2914" s="132">
        <v>10903</v>
      </c>
      <c r="G2914" s="133">
        <f>Tabla147[[#This Row],[Importe]]-Tabla147[[#This Row],[Pagado]]</f>
        <v>0</v>
      </c>
      <c r="H2914" s="134" t="s">
        <v>10</v>
      </c>
      <c r="I2914" s="135"/>
    </row>
    <row r="2915" spans="1:9" ht="21.75" customHeight="1" x14ac:dyDescent="0.25">
      <c r="A2915" s="127">
        <v>44739</v>
      </c>
      <c r="B2915" s="128" t="s">
        <v>20824</v>
      </c>
      <c r="C2915" s="129" t="s">
        <v>31</v>
      </c>
      <c r="D2915" s="130">
        <v>2496</v>
      </c>
      <c r="E2915" s="131">
        <v>44739</v>
      </c>
      <c r="F2915" s="132">
        <v>2496</v>
      </c>
      <c r="G2915" s="133">
        <f>Tabla147[[#This Row],[Importe]]-Tabla147[[#This Row],[Pagado]]</f>
        <v>0</v>
      </c>
      <c r="H2915" s="134" t="s">
        <v>10</v>
      </c>
      <c r="I2915" s="135"/>
    </row>
    <row r="2916" spans="1:9" ht="21.75" customHeight="1" x14ac:dyDescent="0.25">
      <c r="A2916" s="127">
        <v>44739</v>
      </c>
      <c r="B2916" s="128" t="s">
        <v>20825</v>
      </c>
      <c r="C2916" s="129" t="s">
        <v>31</v>
      </c>
      <c r="D2916" s="130">
        <v>3699</v>
      </c>
      <c r="E2916" s="131">
        <v>44739</v>
      </c>
      <c r="F2916" s="132">
        <v>3699</v>
      </c>
      <c r="G2916" s="133">
        <f>Tabla147[[#This Row],[Importe]]-Tabla147[[#This Row],[Pagado]]</f>
        <v>0</v>
      </c>
      <c r="H2916" s="134" t="s">
        <v>10</v>
      </c>
      <c r="I2916" s="135"/>
    </row>
    <row r="2917" spans="1:9" ht="21.75" customHeight="1" x14ac:dyDescent="0.25">
      <c r="A2917" s="127">
        <v>44739</v>
      </c>
      <c r="B2917" s="128" t="s">
        <v>20826</v>
      </c>
      <c r="C2917" s="129" t="s">
        <v>87</v>
      </c>
      <c r="D2917" s="130">
        <v>3136.8</v>
      </c>
      <c r="E2917" s="131">
        <v>44739</v>
      </c>
      <c r="F2917" s="132">
        <v>3136.8</v>
      </c>
      <c r="G2917" s="133">
        <f>Tabla147[[#This Row],[Importe]]-Tabla147[[#This Row],[Pagado]]</f>
        <v>0</v>
      </c>
      <c r="H2917" s="134" t="s">
        <v>10</v>
      </c>
      <c r="I2917" s="135"/>
    </row>
    <row r="2918" spans="1:9" ht="21.75" customHeight="1" x14ac:dyDescent="0.25">
      <c r="A2918" s="127">
        <v>44739</v>
      </c>
      <c r="B2918" s="128" t="s">
        <v>20827</v>
      </c>
      <c r="C2918" s="129" t="s">
        <v>135</v>
      </c>
      <c r="D2918" s="130">
        <v>1739</v>
      </c>
      <c r="E2918" s="131">
        <v>44739</v>
      </c>
      <c r="F2918" s="132">
        <v>1739</v>
      </c>
      <c r="G2918" s="133">
        <f>Tabla147[[#This Row],[Importe]]-Tabla147[[#This Row],[Pagado]]</f>
        <v>0</v>
      </c>
      <c r="H2918" s="134" t="s">
        <v>10</v>
      </c>
      <c r="I2918" s="135"/>
    </row>
    <row r="2919" spans="1:9" ht="21.75" customHeight="1" x14ac:dyDescent="0.25">
      <c r="A2919" s="127">
        <v>44739</v>
      </c>
      <c r="B2919" s="128" t="s">
        <v>20828</v>
      </c>
      <c r="C2919" s="129" t="s">
        <v>179</v>
      </c>
      <c r="D2919" s="130">
        <v>1562.4</v>
      </c>
      <c r="E2919" s="131">
        <v>44739</v>
      </c>
      <c r="F2919" s="132">
        <v>1562.4</v>
      </c>
      <c r="G2919" s="133">
        <f>Tabla147[[#This Row],[Importe]]-Tabla147[[#This Row],[Pagado]]</f>
        <v>0</v>
      </c>
      <c r="H2919" s="134" t="s">
        <v>10</v>
      </c>
      <c r="I2919" s="135"/>
    </row>
    <row r="2920" spans="1:9" ht="21.75" customHeight="1" x14ac:dyDescent="0.25">
      <c r="A2920" s="127">
        <v>44739</v>
      </c>
      <c r="B2920" s="128" t="s">
        <v>20829</v>
      </c>
      <c r="C2920" s="129" t="s">
        <v>27</v>
      </c>
      <c r="D2920" s="130">
        <v>3576.9</v>
      </c>
      <c r="E2920" s="131">
        <v>44739</v>
      </c>
      <c r="F2920" s="132">
        <v>3576.9</v>
      </c>
      <c r="G2920" s="133">
        <f>Tabla147[[#This Row],[Importe]]-Tabla147[[#This Row],[Pagado]]</f>
        <v>0</v>
      </c>
      <c r="H2920" s="134" t="s">
        <v>10</v>
      </c>
      <c r="I2920" s="135"/>
    </row>
    <row r="2921" spans="1:9" ht="21.75" customHeight="1" x14ac:dyDescent="0.25">
      <c r="A2921" s="127">
        <v>44739</v>
      </c>
      <c r="B2921" s="128" t="s">
        <v>20830</v>
      </c>
      <c r="C2921" s="129" t="s">
        <v>382</v>
      </c>
      <c r="D2921" s="130">
        <v>6716</v>
      </c>
      <c r="E2921" s="131">
        <v>44739</v>
      </c>
      <c r="F2921" s="132">
        <v>6716</v>
      </c>
      <c r="G2921" s="133">
        <f>Tabla147[[#This Row],[Importe]]-Tabla147[[#This Row],[Pagado]]</f>
        <v>0</v>
      </c>
      <c r="H2921" s="134" t="s">
        <v>10</v>
      </c>
      <c r="I2921" s="135"/>
    </row>
    <row r="2922" spans="1:9" ht="31.5" x14ac:dyDescent="0.25">
      <c r="A2922" s="127">
        <v>44739</v>
      </c>
      <c r="B2922" s="128" t="s">
        <v>20831</v>
      </c>
      <c r="C2922" s="129" t="s">
        <v>142</v>
      </c>
      <c r="D2922" s="130">
        <v>49528.800000000003</v>
      </c>
      <c r="E2922" s="131" t="s">
        <v>24632</v>
      </c>
      <c r="F2922" s="132">
        <f>24074.75+25454.05</f>
        <v>49528.800000000003</v>
      </c>
      <c r="G2922" s="133">
        <f>Tabla147[[#This Row],[Importe]]-Tabla147[[#This Row],[Pagado]]</f>
        <v>0</v>
      </c>
      <c r="H2922" s="134" t="s">
        <v>10</v>
      </c>
      <c r="I2922" s="135"/>
    </row>
    <row r="2923" spans="1:9" ht="21.75" customHeight="1" x14ac:dyDescent="0.25">
      <c r="A2923" s="127">
        <v>44739</v>
      </c>
      <c r="B2923" s="128" t="s">
        <v>20832</v>
      </c>
      <c r="C2923" s="129" t="s">
        <v>137</v>
      </c>
      <c r="D2923" s="130">
        <v>3000</v>
      </c>
      <c r="E2923" s="131">
        <v>44739</v>
      </c>
      <c r="F2923" s="132">
        <v>3000</v>
      </c>
      <c r="G2923" s="133">
        <f>Tabla147[[#This Row],[Importe]]-Tabla147[[#This Row],[Pagado]]</f>
        <v>0</v>
      </c>
      <c r="H2923" s="134" t="s">
        <v>10</v>
      </c>
      <c r="I2923" s="135"/>
    </row>
    <row r="2924" spans="1:9" ht="21.75" customHeight="1" x14ac:dyDescent="0.25">
      <c r="A2924" s="127">
        <v>44739</v>
      </c>
      <c r="B2924" s="128" t="s">
        <v>20833</v>
      </c>
      <c r="C2924" s="129" t="s">
        <v>16</v>
      </c>
      <c r="D2924" s="130">
        <v>5193.6000000000004</v>
      </c>
      <c r="E2924" s="131">
        <v>44739</v>
      </c>
      <c r="F2924" s="132">
        <v>5193.6000000000004</v>
      </c>
      <c r="G2924" s="133">
        <f>Tabla147[[#This Row],[Importe]]-Tabla147[[#This Row],[Pagado]]</f>
        <v>0</v>
      </c>
      <c r="H2924" s="134" t="s">
        <v>10</v>
      </c>
      <c r="I2924" s="135"/>
    </row>
    <row r="2925" spans="1:9" ht="21.75" customHeight="1" x14ac:dyDescent="0.25">
      <c r="A2925" s="127">
        <v>44739</v>
      </c>
      <c r="B2925" s="128" t="s">
        <v>20834</v>
      </c>
      <c r="C2925" s="129" t="s">
        <v>11033</v>
      </c>
      <c r="D2925" s="130">
        <v>1573.2</v>
      </c>
      <c r="E2925" s="131">
        <v>44739</v>
      </c>
      <c r="F2925" s="132">
        <v>1573.2</v>
      </c>
      <c r="G2925" s="133">
        <f>Tabla147[[#This Row],[Importe]]-Tabla147[[#This Row],[Pagado]]</f>
        <v>0</v>
      </c>
      <c r="H2925" s="134" t="s">
        <v>10</v>
      </c>
      <c r="I2925" s="135"/>
    </row>
    <row r="2926" spans="1:9" ht="21.75" customHeight="1" x14ac:dyDescent="0.25">
      <c r="A2926" s="127">
        <v>44739</v>
      </c>
      <c r="B2926" s="128" t="s">
        <v>20835</v>
      </c>
      <c r="C2926" s="129" t="s">
        <v>137</v>
      </c>
      <c r="D2926" s="130">
        <v>376</v>
      </c>
      <c r="E2926" s="131">
        <v>44739</v>
      </c>
      <c r="F2926" s="132">
        <v>376</v>
      </c>
      <c r="G2926" s="133">
        <f>Tabla147[[#This Row],[Importe]]-Tabla147[[#This Row],[Pagado]]</f>
        <v>0</v>
      </c>
      <c r="H2926" s="134" t="s">
        <v>10</v>
      </c>
      <c r="I2926" s="135"/>
    </row>
    <row r="2927" spans="1:9" ht="21.75" customHeight="1" x14ac:dyDescent="0.25">
      <c r="A2927" s="127">
        <v>44739</v>
      </c>
      <c r="B2927" s="128" t="s">
        <v>20836</v>
      </c>
      <c r="C2927" s="129" t="s">
        <v>198</v>
      </c>
      <c r="D2927" s="130">
        <v>4575</v>
      </c>
      <c r="E2927" s="131">
        <v>44739</v>
      </c>
      <c r="F2927" s="132">
        <v>4575</v>
      </c>
      <c r="G2927" s="133">
        <f>Tabla147[[#This Row],[Importe]]-Tabla147[[#This Row],[Pagado]]</f>
        <v>0</v>
      </c>
      <c r="H2927" s="134" t="s">
        <v>10</v>
      </c>
      <c r="I2927" s="135"/>
    </row>
    <row r="2928" spans="1:9" ht="21.75" customHeight="1" x14ac:dyDescent="0.25">
      <c r="A2928" s="127">
        <v>44739</v>
      </c>
      <c r="B2928" s="128" t="s">
        <v>20837</v>
      </c>
      <c r="C2928" s="129" t="s">
        <v>53</v>
      </c>
      <c r="D2928" s="130">
        <v>688.2</v>
      </c>
      <c r="E2928" s="131">
        <v>44739</v>
      </c>
      <c r="F2928" s="132">
        <v>688.2</v>
      </c>
      <c r="G2928" s="133">
        <f>Tabla147[[#This Row],[Importe]]-Tabla147[[#This Row],[Pagado]]</f>
        <v>0</v>
      </c>
      <c r="H2928" s="134" t="s">
        <v>10</v>
      </c>
      <c r="I2928" s="135"/>
    </row>
    <row r="2929" spans="1:9" ht="21.75" customHeight="1" x14ac:dyDescent="0.25">
      <c r="A2929" s="127">
        <v>44739</v>
      </c>
      <c r="B2929" s="128" t="s">
        <v>20838</v>
      </c>
      <c r="C2929" s="129" t="s">
        <v>212</v>
      </c>
      <c r="D2929" s="130">
        <v>42554.8</v>
      </c>
      <c r="E2929" s="131">
        <v>44742</v>
      </c>
      <c r="F2929" s="132">
        <v>42554.8</v>
      </c>
      <c r="G2929" s="133">
        <f>Tabla147[[#This Row],[Importe]]-Tabla147[[#This Row],[Pagado]]</f>
        <v>0</v>
      </c>
      <c r="H2929" s="134" t="s">
        <v>10</v>
      </c>
      <c r="I2929" s="135"/>
    </row>
    <row r="2930" spans="1:9" ht="21.75" customHeight="1" x14ac:dyDescent="0.25">
      <c r="A2930" s="127">
        <v>44739</v>
      </c>
      <c r="B2930" s="128" t="s">
        <v>20839</v>
      </c>
      <c r="C2930" s="129" t="s">
        <v>154</v>
      </c>
      <c r="D2930" s="130">
        <v>29334.400000000001</v>
      </c>
      <c r="E2930" s="131">
        <v>44744</v>
      </c>
      <c r="F2930" s="132">
        <v>29334.400000000001</v>
      </c>
      <c r="G2930" s="133">
        <f>Tabla147[[#This Row],[Importe]]-Tabla147[[#This Row],[Pagado]]</f>
        <v>0</v>
      </c>
      <c r="H2930" s="134" t="s">
        <v>10</v>
      </c>
      <c r="I2930" s="135"/>
    </row>
    <row r="2931" spans="1:9" ht="21.75" customHeight="1" x14ac:dyDescent="0.25">
      <c r="A2931" s="127">
        <v>44739</v>
      </c>
      <c r="B2931" s="128" t="s">
        <v>20840</v>
      </c>
      <c r="C2931" s="129" t="s">
        <v>56</v>
      </c>
      <c r="D2931" s="130">
        <v>5533.1</v>
      </c>
      <c r="E2931" s="131">
        <v>44739</v>
      </c>
      <c r="F2931" s="132">
        <v>5533.1</v>
      </c>
      <c r="G2931" s="133">
        <f>Tabla147[[#This Row],[Importe]]-Tabla147[[#This Row],[Pagado]]</f>
        <v>0</v>
      </c>
      <c r="H2931" s="134" t="s">
        <v>10</v>
      </c>
      <c r="I2931" s="135"/>
    </row>
    <row r="2932" spans="1:9" ht="21.75" customHeight="1" x14ac:dyDescent="0.25">
      <c r="A2932" s="127">
        <v>44739</v>
      </c>
      <c r="B2932" s="128" t="s">
        <v>20841</v>
      </c>
      <c r="C2932" s="129" t="s">
        <v>56</v>
      </c>
      <c r="D2932" s="130">
        <v>1669.2</v>
      </c>
      <c r="E2932" s="131">
        <v>44739</v>
      </c>
      <c r="F2932" s="132">
        <v>1669.2</v>
      </c>
      <c r="G2932" s="133">
        <f>Tabla147[[#This Row],[Importe]]-Tabla147[[#This Row],[Pagado]]</f>
        <v>0</v>
      </c>
      <c r="H2932" s="134" t="s">
        <v>10</v>
      </c>
      <c r="I2932" s="135"/>
    </row>
    <row r="2933" spans="1:9" ht="21.75" customHeight="1" x14ac:dyDescent="0.25">
      <c r="A2933" s="127">
        <v>44739</v>
      </c>
      <c r="B2933" s="128" t="s">
        <v>20842</v>
      </c>
      <c r="C2933" s="129" t="s">
        <v>49</v>
      </c>
      <c r="D2933" s="130">
        <v>4086.9</v>
      </c>
      <c r="E2933" s="131">
        <v>44739</v>
      </c>
      <c r="F2933" s="132">
        <v>4086.9</v>
      </c>
      <c r="G2933" s="133">
        <f>Tabla147[[#This Row],[Importe]]-Tabla147[[#This Row],[Pagado]]</f>
        <v>0</v>
      </c>
      <c r="H2933" s="134" t="s">
        <v>10</v>
      </c>
      <c r="I2933" s="135"/>
    </row>
    <row r="2934" spans="1:9" ht="21.75" customHeight="1" x14ac:dyDescent="0.25">
      <c r="A2934" s="127">
        <v>44739</v>
      </c>
      <c r="B2934" s="128" t="s">
        <v>20843</v>
      </c>
      <c r="C2934" s="129" t="s">
        <v>218</v>
      </c>
      <c r="D2934" s="130">
        <v>19772.400000000001</v>
      </c>
      <c r="E2934" s="131">
        <v>44742</v>
      </c>
      <c r="F2934" s="132">
        <v>19772.400000000001</v>
      </c>
      <c r="G2934" s="133">
        <f>Tabla147[[#This Row],[Importe]]-Tabla147[[#This Row],[Pagado]]</f>
        <v>0</v>
      </c>
      <c r="H2934" s="134" t="s">
        <v>10</v>
      </c>
      <c r="I2934" s="135"/>
    </row>
    <row r="2935" spans="1:9" ht="21.75" customHeight="1" x14ac:dyDescent="0.25">
      <c r="A2935" s="127">
        <v>44739</v>
      </c>
      <c r="B2935" s="128" t="s">
        <v>20844</v>
      </c>
      <c r="C2935" s="129" t="s">
        <v>206</v>
      </c>
      <c r="D2935" s="130">
        <v>23723</v>
      </c>
      <c r="E2935" s="131">
        <v>44742</v>
      </c>
      <c r="F2935" s="132">
        <v>23723</v>
      </c>
      <c r="G2935" s="133">
        <f>Tabla147[[#This Row],[Importe]]-Tabla147[[#This Row],[Pagado]]</f>
        <v>0</v>
      </c>
      <c r="H2935" s="134" t="s">
        <v>10</v>
      </c>
      <c r="I2935" s="135"/>
    </row>
    <row r="2936" spans="1:9" ht="21.75" customHeight="1" x14ac:dyDescent="0.25">
      <c r="A2936" s="127">
        <v>44739</v>
      </c>
      <c r="B2936" s="128" t="s">
        <v>20845</v>
      </c>
      <c r="C2936" s="129" t="s">
        <v>222</v>
      </c>
      <c r="D2936" s="130">
        <v>10614.7</v>
      </c>
      <c r="E2936" s="131">
        <v>44739</v>
      </c>
      <c r="F2936" s="132">
        <v>10614.7</v>
      </c>
      <c r="G2936" s="133">
        <f>Tabla147[[#This Row],[Importe]]-Tabla147[[#This Row],[Pagado]]</f>
        <v>0</v>
      </c>
      <c r="H2936" s="134" t="s">
        <v>10</v>
      </c>
      <c r="I2936" s="135"/>
    </row>
    <row r="2937" spans="1:9" ht="21.75" customHeight="1" x14ac:dyDescent="0.25">
      <c r="A2937" s="127">
        <v>44739</v>
      </c>
      <c r="B2937" s="128" t="s">
        <v>20846</v>
      </c>
      <c r="C2937" s="129" t="s">
        <v>173</v>
      </c>
      <c r="D2937" s="130">
        <v>31442.400000000001</v>
      </c>
      <c r="E2937" s="131">
        <v>44740</v>
      </c>
      <c r="F2937" s="132">
        <v>31442.400000000001</v>
      </c>
      <c r="G2937" s="133">
        <f>Tabla147[[#This Row],[Importe]]-Tabla147[[#This Row],[Pagado]]</f>
        <v>0</v>
      </c>
      <c r="H2937" s="134" t="s">
        <v>10</v>
      </c>
      <c r="I2937" s="135"/>
    </row>
    <row r="2938" spans="1:9" ht="21.75" customHeight="1" x14ac:dyDescent="0.25">
      <c r="A2938" s="127">
        <v>44739</v>
      </c>
      <c r="B2938" s="128" t="s">
        <v>20847</v>
      </c>
      <c r="C2938" s="129" t="s">
        <v>196</v>
      </c>
      <c r="D2938" s="130">
        <v>41033.42</v>
      </c>
      <c r="E2938" s="131">
        <v>44743</v>
      </c>
      <c r="F2938" s="132">
        <v>41033.42</v>
      </c>
      <c r="G2938" s="133">
        <f>Tabla147[[#This Row],[Importe]]-Tabla147[[#This Row],[Pagado]]</f>
        <v>0</v>
      </c>
      <c r="H2938" s="134" t="s">
        <v>10</v>
      </c>
      <c r="I2938" s="135"/>
    </row>
    <row r="2939" spans="1:9" ht="21.75" customHeight="1" x14ac:dyDescent="0.25">
      <c r="A2939" s="127">
        <v>44739</v>
      </c>
      <c r="B2939" s="128" t="s">
        <v>20848</v>
      </c>
      <c r="C2939" s="129" t="s">
        <v>14</v>
      </c>
      <c r="D2939" s="130">
        <v>22535.4</v>
      </c>
      <c r="E2939" s="131">
        <v>44739</v>
      </c>
      <c r="F2939" s="132">
        <v>22535.4</v>
      </c>
      <c r="G2939" s="133">
        <f>Tabla147[[#This Row],[Importe]]-Tabla147[[#This Row],[Pagado]]</f>
        <v>0</v>
      </c>
      <c r="H2939" s="134" t="s">
        <v>10</v>
      </c>
      <c r="I2939" s="135"/>
    </row>
    <row r="2940" spans="1:9" ht="21.75" customHeight="1" x14ac:dyDescent="0.25">
      <c r="A2940" s="127">
        <v>44739</v>
      </c>
      <c r="B2940" s="128" t="s">
        <v>20849</v>
      </c>
      <c r="C2940" s="129" t="s">
        <v>20850</v>
      </c>
      <c r="D2940" s="130">
        <v>7666.4</v>
      </c>
      <c r="E2940" s="131">
        <v>44740</v>
      </c>
      <c r="F2940" s="132">
        <v>7666.4</v>
      </c>
      <c r="G2940" s="133">
        <f>Tabla147[[#This Row],[Importe]]-Tabla147[[#This Row],[Pagado]]</f>
        <v>0</v>
      </c>
      <c r="H2940" s="134" t="s">
        <v>10</v>
      </c>
      <c r="I2940" s="135"/>
    </row>
    <row r="2941" spans="1:9" ht="21.75" customHeight="1" x14ac:dyDescent="0.25">
      <c r="A2941" s="127">
        <v>44739</v>
      </c>
      <c r="B2941" s="128" t="s">
        <v>20851</v>
      </c>
      <c r="C2941" s="129" t="s">
        <v>37</v>
      </c>
      <c r="D2941" s="130">
        <v>3151.5</v>
      </c>
      <c r="E2941" s="131">
        <v>44739</v>
      </c>
      <c r="F2941" s="132">
        <v>3151.5</v>
      </c>
      <c r="G2941" s="133">
        <f>Tabla147[[#This Row],[Importe]]-Tabla147[[#This Row],[Pagado]]</f>
        <v>0</v>
      </c>
      <c r="H2941" s="134" t="s">
        <v>10</v>
      </c>
      <c r="I2941" s="135"/>
    </row>
    <row r="2942" spans="1:9" ht="21.75" customHeight="1" x14ac:dyDescent="0.25">
      <c r="A2942" s="127">
        <v>44739</v>
      </c>
      <c r="B2942" s="128" t="s">
        <v>20852</v>
      </c>
      <c r="C2942" s="129" t="s">
        <v>24</v>
      </c>
      <c r="D2942" s="130">
        <v>5469.6</v>
      </c>
      <c r="E2942" s="131">
        <v>44739</v>
      </c>
      <c r="F2942" s="132">
        <v>5469.6</v>
      </c>
      <c r="G2942" s="133">
        <f>Tabla147[[#This Row],[Importe]]-Tabla147[[#This Row],[Pagado]]</f>
        <v>0</v>
      </c>
      <c r="H2942" s="134" t="s">
        <v>10</v>
      </c>
      <c r="I2942" s="135"/>
    </row>
    <row r="2943" spans="1:9" ht="21.75" customHeight="1" x14ac:dyDescent="0.25">
      <c r="A2943" s="127">
        <v>44739</v>
      </c>
      <c r="B2943" s="128" t="s">
        <v>20853</v>
      </c>
      <c r="C2943" s="129" t="s">
        <v>216</v>
      </c>
      <c r="D2943" s="130">
        <v>2181.6</v>
      </c>
      <c r="E2943" s="131">
        <v>44739</v>
      </c>
      <c r="F2943" s="132">
        <v>2181.6</v>
      </c>
      <c r="G2943" s="133">
        <f>Tabla147[[#This Row],[Importe]]-Tabla147[[#This Row],[Pagado]]</f>
        <v>0</v>
      </c>
      <c r="H2943" s="134" t="s">
        <v>10</v>
      </c>
      <c r="I2943" s="135"/>
    </row>
    <row r="2944" spans="1:9" ht="21.75" customHeight="1" x14ac:dyDescent="0.25">
      <c r="A2944" s="127">
        <v>44739</v>
      </c>
      <c r="B2944" s="128" t="s">
        <v>20854</v>
      </c>
      <c r="C2944" s="129" t="s">
        <v>45</v>
      </c>
      <c r="D2944" s="130">
        <v>12598.2</v>
      </c>
      <c r="E2944" s="131">
        <v>44739</v>
      </c>
      <c r="F2944" s="132">
        <v>12598.2</v>
      </c>
      <c r="G2944" s="133">
        <f>Tabla147[[#This Row],[Importe]]-Tabla147[[#This Row],[Pagado]]</f>
        <v>0</v>
      </c>
      <c r="H2944" s="134" t="s">
        <v>10</v>
      </c>
      <c r="I2944" s="135"/>
    </row>
    <row r="2945" spans="1:9" ht="21.75" customHeight="1" x14ac:dyDescent="0.25">
      <c r="A2945" s="127">
        <v>44739</v>
      </c>
      <c r="B2945" s="128" t="s">
        <v>20855</v>
      </c>
      <c r="C2945" s="129" t="s">
        <v>191</v>
      </c>
      <c r="D2945" s="130">
        <v>534.6</v>
      </c>
      <c r="E2945" s="131">
        <v>44739</v>
      </c>
      <c r="F2945" s="132">
        <v>534.6</v>
      </c>
      <c r="G2945" s="133">
        <f>Tabla147[[#This Row],[Importe]]-Tabla147[[#This Row],[Pagado]]</f>
        <v>0</v>
      </c>
      <c r="H2945" s="134" t="s">
        <v>10</v>
      </c>
      <c r="I2945" s="135"/>
    </row>
    <row r="2946" spans="1:9" ht="21.75" customHeight="1" x14ac:dyDescent="0.25">
      <c r="A2946" s="127">
        <v>44739</v>
      </c>
      <c r="B2946" s="128" t="s">
        <v>20856</v>
      </c>
      <c r="C2946" s="129" t="s">
        <v>2114</v>
      </c>
      <c r="D2946" s="130">
        <v>880</v>
      </c>
      <c r="E2946" s="131">
        <v>44739</v>
      </c>
      <c r="F2946" s="132">
        <v>880</v>
      </c>
      <c r="G2946" s="133">
        <f>Tabla147[[#This Row],[Importe]]-Tabla147[[#This Row],[Pagado]]</f>
        <v>0</v>
      </c>
      <c r="H2946" s="134" t="s">
        <v>10</v>
      </c>
      <c r="I2946" s="135"/>
    </row>
    <row r="2947" spans="1:9" ht="21.75" customHeight="1" x14ac:dyDescent="0.25">
      <c r="A2947" s="127">
        <v>44739</v>
      </c>
      <c r="B2947" s="128" t="s">
        <v>20857</v>
      </c>
      <c r="C2947" s="129" t="s">
        <v>31</v>
      </c>
      <c r="D2947" s="130">
        <v>2097.5</v>
      </c>
      <c r="E2947" s="131">
        <v>44739</v>
      </c>
      <c r="F2947" s="132">
        <v>2097.5</v>
      </c>
      <c r="G2947" s="133">
        <f>Tabla147[[#This Row],[Importe]]-Tabla147[[#This Row],[Pagado]]</f>
        <v>0</v>
      </c>
      <c r="H2947" s="134" t="s">
        <v>10</v>
      </c>
      <c r="I2947" s="135"/>
    </row>
    <row r="2948" spans="1:9" ht="21.75" customHeight="1" x14ac:dyDescent="0.25">
      <c r="A2948" s="127">
        <v>44739</v>
      </c>
      <c r="B2948" s="128" t="s">
        <v>20858</v>
      </c>
      <c r="C2948" s="129" t="s">
        <v>670</v>
      </c>
      <c r="D2948" s="130">
        <v>554.4</v>
      </c>
      <c r="E2948" s="131">
        <v>44739</v>
      </c>
      <c r="F2948" s="132">
        <v>554.4</v>
      </c>
      <c r="G2948" s="133">
        <f>Tabla147[[#This Row],[Importe]]-Tabla147[[#This Row],[Pagado]]</f>
        <v>0</v>
      </c>
      <c r="H2948" s="134" t="s">
        <v>10</v>
      </c>
      <c r="I2948" s="135"/>
    </row>
    <row r="2949" spans="1:9" ht="21.75" customHeight="1" x14ac:dyDescent="0.25">
      <c r="A2949" s="127">
        <v>44739</v>
      </c>
      <c r="B2949" s="128" t="s">
        <v>20859</v>
      </c>
      <c r="C2949" s="129" t="s">
        <v>246</v>
      </c>
      <c r="D2949" s="130">
        <v>58200</v>
      </c>
      <c r="E2949" s="131">
        <v>44739</v>
      </c>
      <c r="F2949" s="132">
        <v>58200</v>
      </c>
      <c r="G2949" s="133">
        <f>Tabla147[[#This Row],[Importe]]-Tabla147[[#This Row],[Pagado]]</f>
        <v>0</v>
      </c>
      <c r="H2949" s="134" t="s">
        <v>10</v>
      </c>
      <c r="I2949" s="135"/>
    </row>
    <row r="2950" spans="1:9" ht="21.75" customHeight="1" x14ac:dyDescent="0.25">
      <c r="A2950" s="127">
        <v>44739</v>
      </c>
      <c r="B2950" s="128" t="s">
        <v>20860</v>
      </c>
      <c r="C2950" s="129" t="s">
        <v>15039</v>
      </c>
      <c r="D2950" s="130">
        <v>4028</v>
      </c>
      <c r="E2950" s="131">
        <v>44739</v>
      </c>
      <c r="F2950" s="132">
        <v>4028</v>
      </c>
      <c r="G2950" s="133">
        <f>Tabla147[[#This Row],[Importe]]-Tabla147[[#This Row],[Pagado]]</f>
        <v>0</v>
      </c>
      <c r="H2950" s="134" t="s">
        <v>10</v>
      </c>
      <c r="I2950" s="135"/>
    </row>
    <row r="2951" spans="1:9" ht="21.75" customHeight="1" x14ac:dyDescent="0.25">
      <c r="A2951" s="127">
        <v>44739</v>
      </c>
      <c r="B2951" s="128" t="s">
        <v>20861</v>
      </c>
      <c r="C2951" s="129" t="s">
        <v>857</v>
      </c>
      <c r="D2951" s="130">
        <v>988</v>
      </c>
      <c r="E2951" s="131">
        <v>44739</v>
      </c>
      <c r="F2951" s="132">
        <v>988</v>
      </c>
      <c r="G2951" s="133">
        <f>Tabla147[[#This Row],[Importe]]-Tabla147[[#This Row],[Pagado]]</f>
        <v>0</v>
      </c>
      <c r="H2951" s="134" t="s">
        <v>10</v>
      </c>
      <c r="I2951" s="135"/>
    </row>
    <row r="2952" spans="1:9" ht="21.75" customHeight="1" x14ac:dyDescent="0.25">
      <c r="A2952" s="127">
        <v>44739</v>
      </c>
      <c r="B2952" s="128" t="s">
        <v>20862</v>
      </c>
      <c r="C2952" s="129" t="s">
        <v>654</v>
      </c>
      <c r="D2952" s="130">
        <v>2406.6</v>
      </c>
      <c r="E2952" s="131">
        <v>44739</v>
      </c>
      <c r="F2952" s="132">
        <v>2406.6</v>
      </c>
      <c r="G2952" s="133">
        <f>Tabla147[[#This Row],[Importe]]-Tabla147[[#This Row],[Pagado]]</f>
        <v>0</v>
      </c>
      <c r="H2952" s="134" t="s">
        <v>10</v>
      </c>
      <c r="I2952" s="135"/>
    </row>
    <row r="2953" spans="1:9" ht="21.75" customHeight="1" x14ac:dyDescent="0.25">
      <c r="A2953" s="127">
        <v>44739</v>
      </c>
      <c r="B2953" s="128" t="s">
        <v>20863</v>
      </c>
      <c r="C2953" s="129" t="s">
        <v>414</v>
      </c>
      <c r="D2953" s="130">
        <v>22852.799999999999</v>
      </c>
      <c r="E2953" s="131">
        <v>44739</v>
      </c>
      <c r="F2953" s="132">
        <v>22852.799999999999</v>
      </c>
      <c r="G2953" s="133">
        <f>Tabla147[[#This Row],[Importe]]-Tabla147[[#This Row],[Pagado]]</f>
        <v>0</v>
      </c>
      <c r="H2953" s="134" t="s">
        <v>10</v>
      </c>
      <c r="I2953" s="135"/>
    </row>
    <row r="2954" spans="1:9" ht="21.75" customHeight="1" x14ac:dyDescent="0.25">
      <c r="A2954" s="127">
        <v>44739</v>
      </c>
      <c r="B2954" s="128" t="s">
        <v>20864</v>
      </c>
      <c r="C2954" s="129" t="s">
        <v>144</v>
      </c>
      <c r="D2954" s="130">
        <v>2487.5</v>
      </c>
      <c r="E2954" s="131">
        <v>44739</v>
      </c>
      <c r="F2954" s="132">
        <v>2487.5</v>
      </c>
      <c r="G2954" s="133">
        <f>Tabla147[[#This Row],[Importe]]-Tabla147[[#This Row],[Pagado]]</f>
        <v>0</v>
      </c>
      <c r="H2954" s="134" t="s">
        <v>10</v>
      </c>
      <c r="I2954" s="135"/>
    </row>
    <row r="2955" spans="1:9" ht="21.75" customHeight="1" x14ac:dyDescent="0.25">
      <c r="A2955" s="127">
        <v>44739</v>
      </c>
      <c r="B2955" s="128" t="s">
        <v>20865</v>
      </c>
      <c r="C2955" s="129" t="s">
        <v>146</v>
      </c>
      <c r="D2955" s="130">
        <v>3898.2</v>
      </c>
      <c r="E2955" s="131">
        <v>44739</v>
      </c>
      <c r="F2955" s="132">
        <v>3898.2</v>
      </c>
      <c r="G2955" s="133">
        <f>Tabla147[[#This Row],[Importe]]-Tabla147[[#This Row],[Pagado]]</f>
        <v>0</v>
      </c>
      <c r="H2955" s="134" t="s">
        <v>10</v>
      </c>
      <c r="I2955" s="135"/>
    </row>
    <row r="2956" spans="1:9" ht="21.75" customHeight="1" x14ac:dyDescent="0.25">
      <c r="A2956" s="127">
        <v>44739</v>
      </c>
      <c r="B2956" s="128" t="s">
        <v>20866</v>
      </c>
      <c r="C2956" s="129" t="s">
        <v>664</v>
      </c>
      <c r="D2956" s="130">
        <v>7014</v>
      </c>
      <c r="E2956" s="131">
        <v>44739</v>
      </c>
      <c r="F2956" s="132">
        <v>7014</v>
      </c>
      <c r="G2956" s="133">
        <f>Tabla147[[#This Row],[Importe]]-Tabla147[[#This Row],[Pagado]]</f>
        <v>0</v>
      </c>
      <c r="H2956" s="134" t="s">
        <v>10</v>
      </c>
      <c r="I2956" s="135"/>
    </row>
    <row r="2957" spans="1:9" ht="21.75" customHeight="1" x14ac:dyDescent="0.25">
      <c r="A2957" s="127">
        <v>44739</v>
      </c>
      <c r="B2957" s="128" t="s">
        <v>20867</v>
      </c>
      <c r="C2957" s="129" t="s">
        <v>359</v>
      </c>
      <c r="D2957" s="130">
        <v>1476.6</v>
      </c>
      <c r="E2957" s="131">
        <v>44739</v>
      </c>
      <c r="F2957" s="132">
        <v>1476.6</v>
      </c>
      <c r="G2957" s="133">
        <f>Tabla147[[#This Row],[Importe]]-Tabla147[[#This Row],[Pagado]]</f>
        <v>0</v>
      </c>
      <c r="H2957" s="134" t="s">
        <v>10</v>
      </c>
      <c r="I2957" s="135"/>
    </row>
    <row r="2958" spans="1:9" ht="21.75" customHeight="1" x14ac:dyDescent="0.25">
      <c r="A2958" s="127">
        <v>44739</v>
      </c>
      <c r="B2958" s="128" t="s">
        <v>20868</v>
      </c>
      <c r="C2958" s="129" t="s">
        <v>426</v>
      </c>
      <c r="D2958" s="130">
        <v>4275</v>
      </c>
      <c r="E2958" s="131">
        <v>44739</v>
      </c>
      <c r="F2958" s="132">
        <v>4275</v>
      </c>
      <c r="G2958" s="133">
        <f>Tabla147[[#This Row],[Importe]]-Tabla147[[#This Row],[Pagado]]</f>
        <v>0</v>
      </c>
      <c r="H2958" s="134" t="s">
        <v>10</v>
      </c>
      <c r="I2958" s="135"/>
    </row>
    <row r="2959" spans="1:9" ht="21.75" customHeight="1" x14ac:dyDescent="0.25">
      <c r="A2959" s="127">
        <v>44739</v>
      </c>
      <c r="B2959" s="128" t="s">
        <v>20869</v>
      </c>
      <c r="C2959" s="129" t="s">
        <v>175</v>
      </c>
      <c r="D2959" s="130">
        <v>16421.2</v>
      </c>
      <c r="E2959" s="131">
        <v>44739</v>
      </c>
      <c r="F2959" s="132">
        <v>16421.2</v>
      </c>
      <c r="G2959" s="133">
        <f>Tabla147[[#This Row],[Importe]]-Tabla147[[#This Row],[Pagado]]</f>
        <v>0</v>
      </c>
      <c r="H2959" s="134" t="s">
        <v>10</v>
      </c>
      <c r="I2959" s="135"/>
    </row>
    <row r="2960" spans="1:9" ht="21.75" customHeight="1" x14ac:dyDescent="0.25">
      <c r="A2960" s="127">
        <v>44739</v>
      </c>
      <c r="B2960" s="128" t="s">
        <v>20870</v>
      </c>
      <c r="C2960" s="129" t="s">
        <v>140</v>
      </c>
      <c r="D2960" s="130">
        <v>6084.9</v>
      </c>
      <c r="E2960" s="131">
        <v>44739</v>
      </c>
      <c r="F2960" s="132">
        <v>6084.9</v>
      </c>
      <c r="G2960" s="133">
        <f>Tabla147[[#This Row],[Importe]]-Tabla147[[#This Row],[Pagado]]</f>
        <v>0</v>
      </c>
      <c r="H2960" s="134" t="s">
        <v>10</v>
      </c>
      <c r="I2960" s="135"/>
    </row>
    <row r="2961" spans="1:9" ht="21.75" customHeight="1" x14ac:dyDescent="0.25">
      <c r="A2961" s="127">
        <v>44739</v>
      </c>
      <c r="B2961" s="128" t="s">
        <v>20871</v>
      </c>
      <c r="C2961" s="129" t="s">
        <v>129</v>
      </c>
      <c r="D2961" s="130">
        <v>525.4</v>
      </c>
      <c r="E2961" s="131">
        <v>44739</v>
      </c>
      <c r="F2961" s="132">
        <v>525.4</v>
      </c>
      <c r="G2961" s="133">
        <f>Tabla147[[#This Row],[Importe]]-Tabla147[[#This Row],[Pagado]]</f>
        <v>0</v>
      </c>
      <c r="H2961" s="134" t="s">
        <v>10</v>
      </c>
      <c r="I2961" s="135"/>
    </row>
    <row r="2962" spans="1:9" ht="21.75" customHeight="1" x14ac:dyDescent="0.25">
      <c r="A2962" s="127">
        <v>44739</v>
      </c>
      <c r="B2962" s="128" t="s">
        <v>20872</v>
      </c>
      <c r="C2962" s="129" t="s">
        <v>127</v>
      </c>
      <c r="D2962" s="130">
        <v>5370</v>
      </c>
      <c r="E2962" s="131">
        <v>44739</v>
      </c>
      <c r="F2962" s="132">
        <v>5370</v>
      </c>
      <c r="G2962" s="133">
        <f>Tabla147[[#This Row],[Importe]]-Tabla147[[#This Row],[Pagado]]</f>
        <v>0</v>
      </c>
      <c r="H2962" s="134" t="s">
        <v>10</v>
      </c>
      <c r="I2962" s="135"/>
    </row>
    <row r="2963" spans="1:9" ht="21.75" customHeight="1" x14ac:dyDescent="0.25">
      <c r="A2963" s="127">
        <v>44739</v>
      </c>
      <c r="B2963" s="128" t="s">
        <v>20873</v>
      </c>
      <c r="C2963" s="129" t="s">
        <v>843</v>
      </c>
      <c r="D2963" s="130">
        <v>17404</v>
      </c>
      <c r="E2963" s="131">
        <v>44740</v>
      </c>
      <c r="F2963" s="132">
        <v>17404</v>
      </c>
      <c r="G2963" s="133">
        <f>Tabla147[[#This Row],[Importe]]-Tabla147[[#This Row],[Pagado]]</f>
        <v>0</v>
      </c>
      <c r="H2963" s="134" t="s">
        <v>10</v>
      </c>
      <c r="I2963" s="135"/>
    </row>
    <row r="2964" spans="1:9" ht="21.75" customHeight="1" x14ac:dyDescent="0.25">
      <c r="A2964" s="127">
        <v>44739</v>
      </c>
      <c r="B2964" s="128" t="s">
        <v>20874</v>
      </c>
      <c r="C2964" s="129" t="s">
        <v>58</v>
      </c>
      <c r="D2964" s="130">
        <v>4568</v>
      </c>
      <c r="E2964" s="131">
        <v>44739</v>
      </c>
      <c r="F2964" s="132">
        <v>4568</v>
      </c>
      <c r="G2964" s="133">
        <f>Tabla147[[#This Row],[Importe]]-Tabla147[[#This Row],[Pagado]]</f>
        <v>0</v>
      </c>
      <c r="H2964" s="134" t="s">
        <v>10</v>
      </c>
      <c r="I2964" s="135"/>
    </row>
    <row r="2965" spans="1:9" ht="21.75" customHeight="1" x14ac:dyDescent="0.25">
      <c r="A2965" s="127">
        <v>44739</v>
      </c>
      <c r="B2965" s="128" t="s">
        <v>20875</v>
      </c>
      <c r="C2965" s="129" t="s">
        <v>214</v>
      </c>
      <c r="D2965" s="130">
        <v>14019.4</v>
      </c>
      <c r="E2965" s="131">
        <v>44739</v>
      </c>
      <c r="F2965" s="132">
        <v>14019.4</v>
      </c>
      <c r="G2965" s="133">
        <f>Tabla147[[#This Row],[Importe]]-Tabla147[[#This Row],[Pagado]]</f>
        <v>0</v>
      </c>
      <c r="H2965" s="134" t="s">
        <v>10</v>
      </c>
      <c r="I2965" s="135"/>
    </row>
    <row r="2966" spans="1:9" ht="21.75" customHeight="1" x14ac:dyDescent="0.25">
      <c r="A2966" s="127">
        <v>44739</v>
      </c>
      <c r="B2966" s="128" t="s">
        <v>20876</v>
      </c>
      <c r="C2966" s="129" t="s">
        <v>681</v>
      </c>
      <c r="D2966" s="130">
        <v>2.74</v>
      </c>
      <c r="E2966" s="131">
        <v>44742</v>
      </c>
      <c r="F2966" s="132">
        <v>2.74</v>
      </c>
      <c r="G2966" s="133">
        <f>Tabla147[[#This Row],[Importe]]-Tabla147[[#This Row],[Pagado]]</f>
        <v>0</v>
      </c>
      <c r="H2966" s="134" t="s">
        <v>10</v>
      </c>
      <c r="I2966" s="135"/>
    </row>
    <row r="2967" spans="1:9" ht="21.75" customHeight="1" x14ac:dyDescent="0.25">
      <c r="A2967" s="127">
        <v>44739</v>
      </c>
      <c r="B2967" s="128" t="s">
        <v>20877</v>
      </c>
      <c r="C2967" s="129" t="s">
        <v>419</v>
      </c>
      <c r="D2967" s="130">
        <v>7002.2</v>
      </c>
      <c r="E2967" s="131">
        <v>44739</v>
      </c>
      <c r="F2967" s="132">
        <v>7002.2</v>
      </c>
      <c r="G2967" s="133">
        <f>Tabla147[[#This Row],[Importe]]-Tabla147[[#This Row],[Pagado]]</f>
        <v>0</v>
      </c>
      <c r="H2967" s="134" t="s">
        <v>10</v>
      </c>
      <c r="I2967" s="135"/>
    </row>
    <row r="2968" spans="1:9" ht="21.75" customHeight="1" x14ac:dyDescent="0.25">
      <c r="A2968" s="127">
        <v>44739</v>
      </c>
      <c r="B2968" s="128" t="s">
        <v>20878</v>
      </c>
      <c r="C2968" s="129" t="s">
        <v>275</v>
      </c>
      <c r="D2968" s="130">
        <v>114291.11</v>
      </c>
      <c r="E2968" s="131">
        <v>44750</v>
      </c>
      <c r="F2968" s="132">
        <v>114291.11</v>
      </c>
      <c r="G2968" s="133">
        <f>Tabla147[[#This Row],[Importe]]-Tabla147[[#This Row],[Pagado]]</f>
        <v>0</v>
      </c>
      <c r="H2968" s="134" t="s">
        <v>10</v>
      </c>
      <c r="I2968" s="135"/>
    </row>
    <row r="2969" spans="1:9" ht="21.75" customHeight="1" x14ac:dyDescent="0.25">
      <c r="A2969" s="127">
        <v>44739</v>
      </c>
      <c r="B2969" s="128" t="s">
        <v>20879</v>
      </c>
      <c r="C2969" s="129" t="s">
        <v>10678</v>
      </c>
      <c r="D2969" s="130">
        <v>4667.6000000000004</v>
      </c>
      <c r="E2969" s="131">
        <v>44739</v>
      </c>
      <c r="F2969" s="132">
        <v>4667.6000000000004</v>
      </c>
      <c r="G2969" s="133">
        <f>Tabla147[[#This Row],[Importe]]-Tabla147[[#This Row],[Pagado]]</f>
        <v>0</v>
      </c>
      <c r="H2969" s="134" t="s">
        <v>10</v>
      </c>
      <c r="I2969" s="135"/>
    </row>
    <row r="2970" spans="1:9" ht="21.75" customHeight="1" x14ac:dyDescent="0.25">
      <c r="A2970" s="127">
        <v>44739</v>
      </c>
      <c r="B2970" s="128" t="s">
        <v>20880</v>
      </c>
      <c r="C2970" s="129" t="s">
        <v>275</v>
      </c>
      <c r="D2970" s="130">
        <v>3493</v>
      </c>
      <c r="E2970" s="131">
        <v>44750</v>
      </c>
      <c r="F2970" s="132">
        <v>3493</v>
      </c>
      <c r="G2970" s="133">
        <f>Tabla147[[#This Row],[Importe]]-Tabla147[[#This Row],[Pagado]]</f>
        <v>0</v>
      </c>
      <c r="H2970" s="134" t="s">
        <v>10</v>
      </c>
      <c r="I2970" s="135"/>
    </row>
    <row r="2971" spans="1:9" ht="21.75" customHeight="1" x14ac:dyDescent="0.25">
      <c r="A2971" s="127">
        <v>44739</v>
      </c>
      <c r="B2971" s="128" t="s">
        <v>20881</v>
      </c>
      <c r="C2971" s="129" t="s">
        <v>2139</v>
      </c>
      <c r="D2971" s="130">
        <v>1459.2</v>
      </c>
      <c r="E2971" s="131">
        <v>44739</v>
      </c>
      <c r="F2971" s="132">
        <v>1459.2</v>
      </c>
      <c r="G2971" s="133">
        <f>Tabla147[[#This Row],[Importe]]-Tabla147[[#This Row],[Pagado]]</f>
        <v>0</v>
      </c>
      <c r="H2971" s="134" t="s">
        <v>10</v>
      </c>
      <c r="I2971" s="135"/>
    </row>
    <row r="2972" spans="1:9" ht="21.75" customHeight="1" x14ac:dyDescent="0.25">
      <c r="A2972" s="127">
        <v>44739</v>
      </c>
      <c r="B2972" s="128" t="s">
        <v>20882</v>
      </c>
      <c r="C2972" s="129" t="s">
        <v>470</v>
      </c>
      <c r="D2972" s="130">
        <v>17306.400000000001</v>
      </c>
      <c r="E2972" s="131">
        <v>44739</v>
      </c>
      <c r="F2972" s="132">
        <v>17306.400000000001</v>
      </c>
      <c r="G2972" s="133">
        <f>Tabla147[[#This Row],[Importe]]-Tabla147[[#This Row],[Pagado]]</f>
        <v>0</v>
      </c>
      <c r="H2972" s="134" t="s">
        <v>10</v>
      </c>
      <c r="I2972" s="135"/>
    </row>
    <row r="2973" spans="1:9" ht="21.75" customHeight="1" x14ac:dyDescent="0.25">
      <c r="A2973" s="127">
        <v>44739</v>
      </c>
      <c r="B2973" s="128" t="s">
        <v>20883</v>
      </c>
      <c r="C2973" s="129" t="s">
        <v>296</v>
      </c>
      <c r="D2973" s="130">
        <v>3899.8</v>
      </c>
      <c r="E2973" s="131">
        <v>44739</v>
      </c>
      <c r="F2973" s="132">
        <v>3899.8</v>
      </c>
      <c r="G2973" s="133">
        <f>Tabla147[[#This Row],[Importe]]-Tabla147[[#This Row],[Pagado]]</f>
        <v>0</v>
      </c>
      <c r="H2973" s="134" t="s">
        <v>10</v>
      </c>
      <c r="I2973" s="135"/>
    </row>
    <row r="2974" spans="1:9" ht="21.75" customHeight="1" x14ac:dyDescent="0.25">
      <c r="A2974" s="127">
        <v>44739</v>
      </c>
      <c r="B2974" s="128" t="s">
        <v>20884</v>
      </c>
      <c r="C2974" s="129" t="s">
        <v>9827</v>
      </c>
      <c r="D2974" s="130">
        <v>6415.2</v>
      </c>
      <c r="E2974" s="131">
        <v>44739</v>
      </c>
      <c r="F2974" s="132">
        <v>6415.2</v>
      </c>
      <c r="G2974" s="133">
        <f>Tabla147[[#This Row],[Importe]]-Tabla147[[#This Row],[Pagado]]</f>
        <v>0</v>
      </c>
      <c r="H2974" s="134" t="s">
        <v>10</v>
      </c>
      <c r="I2974" s="135"/>
    </row>
    <row r="2975" spans="1:9" ht="21.75" customHeight="1" x14ac:dyDescent="0.25">
      <c r="A2975" s="127">
        <v>44739</v>
      </c>
      <c r="B2975" s="128" t="s">
        <v>20885</v>
      </c>
      <c r="C2975" s="129" t="s">
        <v>698</v>
      </c>
      <c r="D2975" s="130">
        <v>8400</v>
      </c>
      <c r="E2975" s="131">
        <v>44739</v>
      </c>
      <c r="F2975" s="132">
        <v>8400</v>
      </c>
      <c r="G2975" s="133">
        <f>Tabla147[[#This Row],[Importe]]-Tabla147[[#This Row],[Pagado]]</f>
        <v>0</v>
      </c>
      <c r="H2975" s="134" t="s">
        <v>10</v>
      </c>
      <c r="I2975" s="135"/>
    </row>
    <row r="2976" spans="1:9" ht="21.75" customHeight="1" x14ac:dyDescent="0.25">
      <c r="A2976" s="127">
        <v>44739</v>
      </c>
      <c r="B2976" s="128" t="s">
        <v>20886</v>
      </c>
      <c r="C2976" s="129" t="s">
        <v>69</v>
      </c>
      <c r="D2976" s="130">
        <v>2160</v>
      </c>
      <c r="E2976" s="131">
        <v>44739</v>
      </c>
      <c r="F2976" s="132">
        <v>2160</v>
      </c>
      <c r="G2976" s="133">
        <f>Tabla147[[#This Row],[Importe]]-Tabla147[[#This Row],[Pagado]]</f>
        <v>0</v>
      </c>
      <c r="H2976" s="134" t="s">
        <v>10</v>
      </c>
      <c r="I2976" s="135"/>
    </row>
    <row r="2977" spans="1:9" ht="21.75" customHeight="1" x14ac:dyDescent="0.25">
      <c r="A2977" s="127">
        <v>44739</v>
      </c>
      <c r="B2977" s="128" t="s">
        <v>20887</v>
      </c>
      <c r="C2977" s="129" t="s">
        <v>53</v>
      </c>
      <c r="D2977" s="130">
        <v>1184</v>
      </c>
      <c r="E2977" s="131">
        <v>44739</v>
      </c>
      <c r="F2977" s="132">
        <v>1184</v>
      </c>
      <c r="G2977" s="133">
        <f>Tabla147[[#This Row],[Importe]]-Tabla147[[#This Row],[Pagado]]</f>
        <v>0</v>
      </c>
      <c r="H2977" s="134" t="s">
        <v>10</v>
      </c>
      <c r="I2977" s="135"/>
    </row>
    <row r="2978" spans="1:9" ht="21.75" customHeight="1" x14ac:dyDescent="0.25">
      <c r="A2978" s="127">
        <v>44739</v>
      </c>
      <c r="B2978" s="128" t="s">
        <v>20888</v>
      </c>
      <c r="C2978" s="129" t="s">
        <v>249</v>
      </c>
      <c r="D2978" s="130">
        <v>7021.5</v>
      </c>
      <c r="E2978" s="131">
        <v>44739</v>
      </c>
      <c r="F2978" s="132">
        <v>7021.5</v>
      </c>
      <c r="G2978" s="133">
        <f>Tabla147[[#This Row],[Importe]]-Tabla147[[#This Row],[Pagado]]</f>
        <v>0</v>
      </c>
      <c r="H2978" s="134" t="s">
        <v>10</v>
      </c>
      <c r="I2978" s="135"/>
    </row>
    <row r="2979" spans="1:9" ht="21.75" customHeight="1" x14ac:dyDescent="0.25">
      <c r="A2979" s="127">
        <v>44739</v>
      </c>
      <c r="B2979" s="128" t="s">
        <v>20889</v>
      </c>
      <c r="C2979" s="129" t="s">
        <v>1265</v>
      </c>
      <c r="D2979" s="130">
        <v>633.6</v>
      </c>
      <c r="E2979" s="131">
        <v>44739</v>
      </c>
      <c r="F2979" s="132">
        <v>633.6</v>
      </c>
      <c r="G2979" s="133">
        <f>Tabla147[[#This Row],[Importe]]-Tabla147[[#This Row],[Pagado]]</f>
        <v>0</v>
      </c>
      <c r="H2979" s="134" t="s">
        <v>10</v>
      </c>
      <c r="I2979" s="135"/>
    </row>
    <row r="2980" spans="1:9" ht="21.75" customHeight="1" x14ac:dyDescent="0.25">
      <c r="A2980" s="127">
        <v>44739</v>
      </c>
      <c r="B2980" s="128" t="s">
        <v>20890</v>
      </c>
      <c r="C2980" s="129" t="s">
        <v>284</v>
      </c>
      <c r="D2980" s="130">
        <v>7272</v>
      </c>
      <c r="E2980" s="131">
        <v>44740</v>
      </c>
      <c r="F2980" s="132">
        <v>7272</v>
      </c>
      <c r="G2980" s="133">
        <f>Tabla147[[#This Row],[Importe]]-Tabla147[[#This Row],[Pagado]]</f>
        <v>0</v>
      </c>
      <c r="H2980" s="134" t="s">
        <v>10</v>
      </c>
      <c r="I2980" s="135"/>
    </row>
    <row r="2981" spans="1:9" ht="21.75" customHeight="1" x14ac:dyDescent="0.25">
      <c r="A2981" s="127">
        <v>44739</v>
      </c>
      <c r="B2981" s="128" t="s">
        <v>20891</v>
      </c>
      <c r="C2981" s="129" t="s">
        <v>5345</v>
      </c>
      <c r="D2981" s="130">
        <v>1728</v>
      </c>
      <c r="E2981" s="131">
        <v>44740</v>
      </c>
      <c r="F2981" s="132">
        <v>1728</v>
      </c>
      <c r="G2981" s="133">
        <f>Tabla147[[#This Row],[Importe]]-Tabla147[[#This Row],[Pagado]]</f>
        <v>0</v>
      </c>
      <c r="H2981" s="134" t="s">
        <v>10</v>
      </c>
      <c r="I2981" s="135"/>
    </row>
    <row r="2982" spans="1:9" ht="21.75" customHeight="1" x14ac:dyDescent="0.25">
      <c r="A2982" s="127">
        <v>44739</v>
      </c>
      <c r="B2982" s="128" t="s">
        <v>20892</v>
      </c>
      <c r="C2982" s="129" t="s">
        <v>282</v>
      </c>
      <c r="D2982" s="130">
        <v>1656</v>
      </c>
      <c r="E2982" s="131">
        <v>44739</v>
      </c>
      <c r="F2982" s="132">
        <v>1656</v>
      </c>
      <c r="G2982" s="133">
        <f>Tabla147[[#This Row],[Importe]]-Tabla147[[#This Row],[Pagado]]</f>
        <v>0</v>
      </c>
      <c r="H2982" s="134" t="s">
        <v>10</v>
      </c>
      <c r="I2982" s="135"/>
    </row>
    <row r="2983" spans="1:9" ht="21.75" customHeight="1" x14ac:dyDescent="0.25">
      <c r="A2983" s="127">
        <v>44739</v>
      </c>
      <c r="B2983" s="128" t="s">
        <v>20893</v>
      </c>
      <c r="C2983" s="129" t="s">
        <v>10819</v>
      </c>
      <c r="D2983" s="130">
        <v>662.4</v>
      </c>
      <c r="E2983" s="131">
        <v>44739</v>
      </c>
      <c r="F2983" s="132">
        <v>662.4</v>
      </c>
      <c r="G2983" s="133">
        <f>Tabla147[[#This Row],[Importe]]-Tabla147[[#This Row],[Pagado]]</f>
        <v>0</v>
      </c>
      <c r="H2983" s="134" t="s">
        <v>10</v>
      </c>
      <c r="I2983" s="135"/>
    </row>
    <row r="2984" spans="1:9" ht="21.75" customHeight="1" x14ac:dyDescent="0.25">
      <c r="A2984" s="127">
        <v>44739</v>
      </c>
      <c r="B2984" s="128" t="s">
        <v>20894</v>
      </c>
      <c r="C2984" s="129" t="s">
        <v>53</v>
      </c>
      <c r="D2984" s="130">
        <v>1013.8</v>
      </c>
      <c r="E2984" s="131">
        <v>44739</v>
      </c>
      <c r="F2984" s="132">
        <v>1013.8</v>
      </c>
      <c r="G2984" s="133">
        <f>Tabla147[[#This Row],[Importe]]-Tabla147[[#This Row],[Pagado]]</f>
        <v>0</v>
      </c>
      <c r="H2984" s="134" t="s">
        <v>10</v>
      </c>
      <c r="I2984" s="135"/>
    </row>
    <row r="2985" spans="1:9" ht="21.75" customHeight="1" x14ac:dyDescent="0.25">
      <c r="A2985" s="127">
        <v>44739</v>
      </c>
      <c r="B2985" s="128" t="s">
        <v>20895</v>
      </c>
      <c r="C2985" s="129" t="s">
        <v>450</v>
      </c>
      <c r="D2985" s="130">
        <v>4871.6000000000004</v>
      </c>
      <c r="E2985" s="131">
        <v>44739</v>
      </c>
      <c r="F2985" s="132">
        <v>4871.6000000000004</v>
      </c>
      <c r="G2985" s="133">
        <f>Tabla147[[#This Row],[Importe]]-Tabla147[[#This Row],[Pagado]]</f>
        <v>0</v>
      </c>
      <c r="H2985" s="134" t="s">
        <v>10</v>
      </c>
      <c r="I2985" s="135"/>
    </row>
    <row r="2986" spans="1:9" ht="21.75" customHeight="1" x14ac:dyDescent="0.25">
      <c r="A2986" s="127">
        <v>44739</v>
      </c>
      <c r="B2986" s="128" t="s">
        <v>20896</v>
      </c>
      <c r="C2986" s="129" t="s">
        <v>421</v>
      </c>
      <c r="D2986" s="130">
        <v>7740.1</v>
      </c>
      <c r="E2986" s="131">
        <v>44739</v>
      </c>
      <c r="F2986" s="132">
        <v>7740.1</v>
      </c>
      <c r="G2986" s="133">
        <f>Tabla147[[#This Row],[Importe]]-Tabla147[[#This Row],[Pagado]]</f>
        <v>0</v>
      </c>
      <c r="H2986" s="134" t="s">
        <v>10</v>
      </c>
      <c r="I2986" s="135"/>
    </row>
    <row r="2987" spans="1:9" ht="21.75" customHeight="1" x14ac:dyDescent="0.25">
      <c r="A2987" s="127">
        <v>44739</v>
      </c>
      <c r="B2987" s="128" t="s">
        <v>20897</v>
      </c>
      <c r="C2987" s="129" t="s">
        <v>426</v>
      </c>
      <c r="D2987" s="130">
        <v>3993.6</v>
      </c>
      <c r="E2987" s="131">
        <v>44739</v>
      </c>
      <c r="F2987" s="132">
        <v>3993.6</v>
      </c>
      <c r="G2987" s="133">
        <f>Tabla147[[#This Row],[Importe]]-Tabla147[[#This Row],[Pagado]]</f>
        <v>0</v>
      </c>
      <c r="H2987" s="134" t="s">
        <v>10</v>
      </c>
      <c r="I2987" s="135"/>
    </row>
    <row r="2988" spans="1:9" ht="21.75" customHeight="1" x14ac:dyDescent="0.25">
      <c r="A2988" s="127">
        <v>44739</v>
      </c>
      <c r="B2988" s="128" t="s">
        <v>20898</v>
      </c>
      <c r="C2988" s="129" t="s">
        <v>2961</v>
      </c>
      <c r="D2988" s="130">
        <v>82036.399999999994</v>
      </c>
      <c r="E2988" s="131">
        <v>44740</v>
      </c>
      <c r="F2988" s="132">
        <v>82036.399999999994</v>
      </c>
      <c r="G2988" s="133">
        <f>Tabla147[[#This Row],[Importe]]-Tabla147[[#This Row],[Pagado]]</f>
        <v>0</v>
      </c>
      <c r="H2988" s="134" t="s">
        <v>10</v>
      </c>
      <c r="I2988" s="135"/>
    </row>
    <row r="2989" spans="1:9" ht="21.75" customHeight="1" x14ac:dyDescent="0.25">
      <c r="A2989" s="127">
        <v>44739</v>
      </c>
      <c r="B2989" s="128" t="s">
        <v>20899</v>
      </c>
      <c r="C2989" s="129" t="s">
        <v>654</v>
      </c>
      <c r="D2989" s="130">
        <v>5570</v>
      </c>
      <c r="E2989" s="131">
        <v>44740</v>
      </c>
      <c r="F2989" s="132">
        <v>5570</v>
      </c>
      <c r="G2989" s="133">
        <f>Tabla147[[#This Row],[Importe]]-Tabla147[[#This Row],[Pagado]]</f>
        <v>0</v>
      </c>
      <c r="H2989" s="134" t="s">
        <v>10</v>
      </c>
      <c r="I2989" s="135"/>
    </row>
    <row r="2990" spans="1:9" ht="21.75" customHeight="1" x14ac:dyDescent="0.25">
      <c r="A2990" s="127">
        <v>44739</v>
      </c>
      <c r="B2990" s="128" t="s">
        <v>20900</v>
      </c>
      <c r="C2990" s="129" t="s">
        <v>994</v>
      </c>
      <c r="D2990" s="130">
        <v>1168</v>
      </c>
      <c r="E2990" s="131">
        <v>44739</v>
      </c>
      <c r="F2990" s="132">
        <v>1168</v>
      </c>
      <c r="G2990" s="133">
        <f>Tabla147[[#This Row],[Importe]]-Tabla147[[#This Row],[Pagado]]</f>
        <v>0</v>
      </c>
      <c r="H2990" s="134" t="s">
        <v>10</v>
      </c>
      <c r="I2990" s="135"/>
    </row>
    <row r="2991" spans="1:9" ht="21.75" customHeight="1" x14ac:dyDescent="0.25">
      <c r="A2991" s="127">
        <v>44739</v>
      </c>
      <c r="B2991" s="128" t="s">
        <v>20901</v>
      </c>
      <c r="C2991" s="129" t="s">
        <v>142</v>
      </c>
      <c r="D2991" s="130">
        <v>9215.3700000000008</v>
      </c>
      <c r="E2991" s="131">
        <v>44799</v>
      </c>
      <c r="F2991" s="132">
        <v>9215.3700000000008</v>
      </c>
      <c r="G2991" s="133">
        <f>Tabla147[[#This Row],[Importe]]-Tabla147[[#This Row],[Pagado]]</f>
        <v>0</v>
      </c>
      <c r="H2991" s="134" t="s">
        <v>10</v>
      </c>
      <c r="I2991" s="135"/>
    </row>
    <row r="2992" spans="1:9" ht="21.75" customHeight="1" x14ac:dyDescent="0.25">
      <c r="A2992" s="127">
        <v>44739</v>
      </c>
      <c r="B2992" s="128" t="s">
        <v>20902</v>
      </c>
      <c r="C2992" s="129" t="s">
        <v>10840</v>
      </c>
      <c r="D2992" s="130">
        <v>30717</v>
      </c>
      <c r="E2992" s="131">
        <v>44746</v>
      </c>
      <c r="F2992" s="132">
        <v>30717</v>
      </c>
      <c r="G2992" s="133">
        <f>Tabla147[[#This Row],[Importe]]-Tabla147[[#This Row],[Pagado]]</f>
        <v>0</v>
      </c>
      <c r="H2992" s="134" t="s">
        <v>10</v>
      </c>
      <c r="I2992" s="135"/>
    </row>
    <row r="2993" spans="1:9" ht="21.75" customHeight="1" x14ac:dyDescent="0.25">
      <c r="A2993" s="127">
        <v>44739</v>
      </c>
      <c r="B2993" s="128" t="s">
        <v>20903</v>
      </c>
      <c r="C2993" s="129" t="s">
        <v>53</v>
      </c>
      <c r="D2993" s="130">
        <v>1154.4000000000001</v>
      </c>
      <c r="E2993" s="131">
        <v>44739</v>
      </c>
      <c r="F2993" s="132">
        <v>1154.4000000000001</v>
      </c>
      <c r="G2993" s="133">
        <f>Tabla147[[#This Row],[Importe]]-Tabla147[[#This Row],[Pagado]]</f>
        <v>0</v>
      </c>
      <c r="H2993" s="134" t="s">
        <v>10</v>
      </c>
      <c r="I2993" s="135"/>
    </row>
    <row r="2994" spans="1:9" ht="21.75" customHeight="1" x14ac:dyDescent="0.25">
      <c r="A2994" s="127">
        <v>44739</v>
      </c>
      <c r="B2994" s="128" t="s">
        <v>20904</v>
      </c>
      <c r="C2994" s="129" t="s">
        <v>612</v>
      </c>
      <c r="D2994" s="130">
        <v>1680</v>
      </c>
      <c r="E2994" s="131">
        <v>44739</v>
      </c>
      <c r="F2994" s="132">
        <v>1680</v>
      </c>
      <c r="G2994" s="133">
        <f>Tabla147[[#This Row],[Importe]]-Tabla147[[#This Row],[Pagado]]</f>
        <v>0</v>
      </c>
      <c r="H2994" s="134" t="s">
        <v>10</v>
      </c>
      <c r="I2994" s="135"/>
    </row>
    <row r="2995" spans="1:9" ht="21.75" customHeight="1" x14ac:dyDescent="0.25">
      <c r="A2995" s="127">
        <v>44739</v>
      </c>
      <c r="B2995" s="128" t="s">
        <v>20905</v>
      </c>
      <c r="C2995" s="129" t="s">
        <v>31</v>
      </c>
      <c r="D2995" s="130">
        <v>491.4</v>
      </c>
      <c r="E2995" s="131">
        <v>44739</v>
      </c>
      <c r="F2995" s="132">
        <v>491.4</v>
      </c>
      <c r="G2995" s="133">
        <f>Tabla147[[#This Row],[Importe]]-Tabla147[[#This Row],[Pagado]]</f>
        <v>0</v>
      </c>
      <c r="H2995" s="134" t="s">
        <v>10</v>
      </c>
      <c r="I2995" s="135"/>
    </row>
    <row r="2996" spans="1:9" ht="21.75" customHeight="1" x14ac:dyDescent="0.25">
      <c r="A2996" s="127">
        <v>44739</v>
      </c>
      <c r="B2996" s="128" t="s">
        <v>20906</v>
      </c>
      <c r="C2996" s="129" t="s">
        <v>246</v>
      </c>
      <c r="D2996" s="130">
        <v>46013.96</v>
      </c>
      <c r="E2996" s="131">
        <v>44739</v>
      </c>
      <c r="F2996" s="132">
        <v>46013.96</v>
      </c>
      <c r="G2996" s="133">
        <f>Tabla147[[#This Row],[Importe]]-Tabla147[[#This Row],[Pagado]]</f>
        <v>0</v>
      </c>
      <c r="H2996" s="134" t="s">
        <v>10</v>
      </c>
      <c r="I2996" s="135"/>
    </row>
    <row r="2997" spans="1:9" ht="21.75" customHeight="1" x14ac:dyDescent="0.25">
      <c r="A2997" s="127">
        <v>44739</v>
      </c>
      <c r="B2997" s="128" t="s">
        <v>20907</v>
      </c>
      <c r="C2997" s="129" t="s">
        <v>11383</v>
      </c>
      <c r="D2997" s="130">
        <v>37576</v>
      </c>
      <c r="E2997" s="131">
        <v>44739</v>
      </c>
      <c r="F2997" s="132">
        <v>37576</v>
      </c>
      <c r="G2997" s="133">
        <f>Tabla147[[#This Row],[Importe]]-Tabla147[[#This Row],[Pagado]]</f>
        <v>0</v>
      </c>
      <c r="H2997" s="134" t="s">
        <v>10</v>
      </c>
      <c r="I2997" s="135"/>
    </row>
    <row r="2998" spans="1:9" ht="21.75" customHeight="1" x14ac:dyDescent="0.25">
      <c r="A2998" s="127">
        <v>44739</v>
      </c>
      <c r="B2998" s="128" t="s">
        <v>20908</v>
      </c>
      <c r="C2998" s="129" t="s">
        <v>612</v>
      </c>
      <c r="D2998" s="130">
        <v>1680</v>
      </c>
      <c r="E2998" s="131">
        <v>44740</v>
      </c>
      <c r="F2998" s="132">
        <v>1680</v>
      </c>
      <c r="G2998" s="133">
        <f>Tabla147[[#This Row],[Importe]]-Tabla147[[#This Row],[Pagado]]</f>
        <v>0</v>
      </c>
      <c r="H2998" s="134" t="s">
        <v>10</v>
      </c>
      <c r="I2998" s="135"/>
    </row>
    <row r="2999" spans="1:9" ht="21.75" customHeight="1" x14ac:dyDescent="0.25">
      <c r="A2999" s="127">
        <v>44740</v>
      </c>
      <c r="B2999" s="128" t="s">
        <v>20909</v>
      </c>
      <c r="C2999" s="129" t="s">
        <v>20910</v>
      </c>
      <c r="D2999" s="130">
        <v>0</v>
      </c>
      <c r="E2999" s="136" t="s">
        <v>189</v>
      </c>
      <c r="F2999" s="132">
        <v>0</v>
      </c>
      <c r="G2999" s="133">
        <f>Tabla147[[#This Row],[Importe]]-Tabla147[[#This Row],[Pagado]]</f>
        <v>0</v>
      </c>
      <c r="H2999" s="137" t="s">
        <v>20911</v>
      </c>
      <c r="I2999" s="135"/>
    </row>
    <row r="3000" spans="1:9" ht="21.75" customHeight="1" x14ac:dyDescent="0.25">
      <c r="A3000" s="127">
        <v>44740</v>
      </c>
      <c r="B3000" s="128" t="s">
        <v>20912</v>
      </c>
      <c r="C3000" s="129" t="s">
        <v>75</v>
      </c>
      <c r="D3000" s="130">
        <v>5882.4</v>
      </c>
      <c r="E3000" s="131">
        <v>44740</v>
      </c>
      <c r="F3000" s="132">
        <v>5882.4</v>
      </c>
      <c r="G3000" s="133">
        <f>Tabla147[[#This Row],[Importe]]-Tabla147[[#This Row],[Pagado]]</f>
        <v>0</v>
      </c>
      <c r="H3000" s="134" t="s">
        <v>10</v>
      </c>
      <c r="I3000" s="135"/>
    </row>
    <row r="3001" spans="1:9" ht="21.75" customHeight="1" x14ac:dyDescent="0.25">
      <c r="A3001" s="127">
        <v>44740</v>
      </c>
      <c r="B3001" s="128" t="s">
        <v>20913</v>
      </c>
      <c r="C3001" s="129" t="s">
        <v>85</v>
      </c>
      <c r="D3001" s="130">
        <v>1499.2</v>
      </c>
      <c r="E3001" s="131">
        <v>44740</v>
      </c>
      <c r="F3001" s="132">
        <v>1499.2</v>
      </c>
      <c r="G3001" s="133">
        <f>Tabla147[[#This Row],[Importe]]-Tabla147[[#This Row],[Pagado]]</f>
        <v>0</v>
      </c>
      <c r="H3001" s="134" t="s">
        <v>10</v>
      </c>
      <c r="I3001" s="135"/>
    </row>
    <row r="3002" spans="1:9" ht="21.75" customHeight="1" x14ac:dyDescent="0.25">
      <c r="A3002" s="127">
        <v>44740</v>
      </c>
      <c r="B3002" s="128" t="s">
        <v>20914</v>
      </c>
      <c r="C3002" s="129" t="s">
        <v>473</v>
      </c>
      <c r="D3002" s="130">
        <v>13433.1</v>
      </c>
      <c r="E3002" s="131">
        <v>44740</v>
      </c>
      <c r="F3002" s="132">
        <v>13433.1</v>
      </c>
      <c r="G3002" s="133">
        <f>Tabla147[[#This Row],[Importe]]-Tabla147[[#This Row],[Pagado]]</f>
        <v>0</v>
      </c>
      <c r="H3002" s="134" t="s">
        <v>10</v>
      </c>
      <c r="I3002" s="135"/>
    </row>
    <row r="3003" spans="1:9" ht="21.75" customHeight="1" x14ac:dyDescent="0.25">
      <c r="A3003" s="127">
        <v>44740</v>
      </c>
      <c r="B3003" s="128" t="s">
        <v>20915</v>
      </c>
      <c r="C3003" s="129" t="s">
        <v>7771</v>
      </c>
      <c r="D3003" s="130">
        <v>0</v>
      </c>
      <c r="E3003" s="136" t="s">
        <v>189</v>
      </c>
      <c r="F3003" s="132">
        <v>0</v>
      </c>
      <c r="G3003" s="133">
        <f>Tabla147[[#This Row],[Importe]]-Tabla147[[#This Row],[Pagado]]</f>
        <v>0</v>
      </c>
      <c r="H3003" s="137" t="s">
        <v>20916</v>
      </c>
      <c r="I3003" s="135"/>
    </row>
    <row r="3004" spans="1:9" ht="21.75" customHeight="1" x14ac:dyDescent="0.25">
      <c r="A3004" s="127">
        <v>44740</v>
      </c>
      <c r="B3004" s="128" t="s">
        <v>20917</v>
      </c>
      <c r="C3004" s="129" t="s">
        <v>89</v>
      </c>
      <c r="D3004" s="130">
        <v>8584.7999999999993</v>
      </c>
      <c r="E3004" s="131">
        <v>44741</v>
      </c>
      <c r="F3004" s="132">
        <v>8584.7999999999993</v>
      </c>
      <c r="G3004" s="133">
        <f>Tabla147[[#This Row],[Importe]]-Tabla147[[#This Row],[Pagado]]</f>
        <v>0</v>
      </c>
      <c r="H3004" s="134" t="s">
        <v>10</v>
      </c>
      <c r="I3004" s="135"/>
    </row>
    <row r="3005" spans="1:9" ht="31.5" x14ac:dyDescent="0.25">
      <c r="A3005" s="127">
        <v>44740</v>
      </c>
      <c r="B3005" s="128" t="s">
        <v>20918</v>
      </c>
      <c r="C3005" s="129" t="s">
        <v>97</v>
      </c>
      <c r="D3005" s="130">
        <v>5011.2</v>
      </c>
      <c r="E3005" s="131" t="s">
        <v>20919</v>
      </c>
      <c r="F3005" s="132">
        <f>4011.2+1000</f>
        <v>5011.2</v>
      </c>
      <c r="G3005" s="133">
        <f>Tabla147[[#This Row],[Importe]]-Tabla147[[#This Row],[Pagado]]</f>
        <v>0</v>
      </c>
      <c r="H3005" s="134" t="s">
        <v>10</v>
      </c>
      <c r="I3005" s="135"/>
    </row>
    <row r="3006" spans="1:9" ht="21.75" customHeight="1" x14ac:dyDescent="0.25">
      <c r="A3006" s="127">
        <v>44740</v>
      </c>
      <c r="B3006" s="128" t="s">
        <v>20920</v>
      </c>
      <c r="C3006" s="129" t="s">
        <v>64</v>
      </c>
      <c r="D3006" s="130">
        <v>4979.2</v>
      </c>
      <c r="E3006" s="131">
        <v>44742</v>
      </c>
      <c r="F3006" s="132">
        <v>4979.2</v>
      </c>
      <c r="G3006" s="133">
        <f>Tabla147[[#This Row],[Importe]]-Tabla147[[#This Row],[Pagado]]</f>
        <v>0</v>
      </c>
      <c r="H3006" s="134" t="s">
        <v>10</v>
      </c>
      <c r="I3006" s="135"/>
    </row>
    <row r="3007" spans="1:9" ht="21.75" customHeight="1" x14ac:dyDescent="0.25">
      <c r="A3007" s="127">
        <v>44740</v>
      </c>
      <c r="B3007" s="128" t="s">
        <v>20921</v>
      </c>
      <c r="C3007" s="129" t="s">
        <v>326</v>
      </c>
      <c r="D3007" s="130">
        <v>5798.4</v>
      </c>
      <c r="E3007" s="131">
        <v>44742</v>
      </c>
      <c r="F3007" s="132">
        <v>5798.4</v>
      </c>
      <c r="G3007" s="133">
        <f>Tabla147[[#This Row],[Importe]]-Tabla147[[#This Row],[Pagado]]</f>
        <v>0</v>
      </c>
      <c r="H3007" s="134" t="s">
        <v>10</v>
      </c>
      <c r="I3007" s="135"/>
    </row>
    <row r="3008" spans="1:9" ht="31.5" x14ac:dyDescent="0.25">
      <c r="A3008" s="127">
        <v>44740</v>
      </c>
      <c r="B3008" s="128" t="s">
        <v>20922</v>
      </c>
      <c r="C3008" s="129" t="s">
        <v>99</v>
      </c>
      <c r="D3008" s="130">
        <v>4225.6000000000004</v>
      </c>
      <c r="E3008" s="131" t="s">
        <v>21260</v>
      </c>
      <c r="F3008" s="132">
        <f>3400+825.6</f>
        <v>4225.6000000000004</v>
      </c>
      <c r="G3008" s="133">
        <f>Tabla147[[#This Row],[Importe]]-Tabla147[[#This Row],[Pagado]]</f>
        <v>0</v>
      </c>
      <c r="H3008" s="134" t="s">
        <v>10</v>
      </c>
      <c r="I3008" s="135"/>
    </row>
    <row r="3009" spans="1:9" ht="21.75" customHeight="1" x14ac:dyDescent="0.25">
      <c r="A3009" s="127">
        <v>44740</v>
      </c>
      <c r="B3009" s="128" t="s">
        <v>20923</v>
      </c>
      <c r="C3009" s="129" t="s">
        <v>93</v>
      </c>
      <c r="D3009" s="130">
        <v>1241</v>
      </c>
      <c r="E3009" s="131">
        <v>44742</v>
      </c>
      <c r="F3009" s="132">
        <v>1241</v>
      </c>
      <c r="G3009" s="133">
        <f>Tabla147[[#This Row],[Importe]]-Tabla147[[#This Row],[Pagado]]</f>
        <v>0</v>
      </c>
      <c r="H3009" s="134" t="s">
        <v>10</v>
      </c>
      <c r="I3009" s="135"/>
    </row>
    <row r="3010" spans="1:9" ht="21.75" customHeight="1" x14ac:dyDescent="0.25">
      <c r="A3010" s="127">
        <v>44740</v>
      </c>
      <c r="B3010" s="128" t="s">
        <v>20924</v>
      </c>
      <c r="C3010" s="129" t="s">
        <v>348</v>
      </c>
      <c r="D3010" s="130">
        <v>2094.4</v>
      </c>
      <c r="E3010" s="131">
        <v>44740</v>
      </c>
      <c r="F3010" s="132">
        <v>2094.4</v>
      </c>
      <c r="G3010" s="133">
        <f>Tabla147[[#This Row],[Importe]]-Tabla147[[#This Row],[Pagado]]</f>
        <v>0</v>
      </c>
      <c r="H3010" s="134" t="s">
        <v>10</v>
      </c>
      <c r="I3010" s="135"/>
    </row>
    <row r="3011" spans="1:9" ht="21.75" customHeight="1" x14ac:dyDescent="0.25">
      <c r="A3011" s="127">
        <v>44740</v>
      </c>
      <c r="B3011" s="128" t="s">
        <v>20925</v>
      </c>
      <c r="C3011" s="129" t="s">
        <v>105</v>
      </c>
      <c r="D3011" s="130">
        <v>8073.6</v>
      </c>
      <c r="E3011" s="131">
        <v>44741</v>
      </c>
      <c r="F3011" s="132">
        <v>8073.6</v>
      </c>
      <c r="G3011" s="133">
        <f>Tabla147[[#This Row],[Importe]]-Tabla147[[#This Row],[Pagado]]</f>
        <v>0</v>
      </c>
      <c r="H3011" s="134" t="s">
        <v>10</v>
      </c>
      <c r="I3011" s="135"/>
    </row>
    <row r="3012" spans="1:9" ht="21.75" customHeight="1" x14ac:dyDescent="0.25">
      <c r="A3012" s="127">
        <v>44740</v>
      </c>
      <c r="B3012" s="128" t="s">
        <v>20926</v>
      </c>
      <c r="C3012" s="129" t="s">
        <v>481</v>
      </c>
      <c r="D3012" s="130">
        <v>782.1</v>
      </c>
      <c r="E3012" s="131">
        <v>44740</v>
      </c>
      <c r="F3012" s="132">
        <v>782.1</v>
      </c>
      <c r="G3012" s="133">
        <f>Tabla147[[#This Row],[Importe]]-Tabla147[[#This Row],[Pagado]]</f>
        <v>0</v>
      </c>
      <c r="H3012" s="134" t="s">
        <v>10</v>
      </c>
      <c r="I3012" s="135"/>
    </row>
    <row r="3013" spans="1:9" ht="21.75" customHeight="1" x14ac:dyDescent="0.25">
      <c r="A3013" s="127">
        <v>44740</v>
      </c>
      <c r="B3013" s="128" t="s">
        <v>20927</v>
      </c>
      <c r="C3013" s="129" t="s">
        <v>20</v>
      </c>
      <c r="D3013" s="130">
        <v>1825.9</v>
      </c>
      <c r="E3013" s="131">
        <v>44740</v>
      </c>
      <c r="F3013" s="132">
        <v>1825.9</v>
      </c>
      <c r="G3013" s="133">
        <f>Tabla147[[#This Row],[Importe]]-Tabla147[[#This Row],[Pagado]]</f>
        <v>0</v>
      </c>
      <c r="H3013" s="134" t="s">
        <v>10</v>
      </c>
      <c r="I3013" s="135"/>
    </row>
    <row r="3014" spans="1:9" ht="21.75" customHeight="1" x14ac:dyDescent="0.25">
      <c r="A3014" s="127">
        <v>44740</v>
      </c>
      <c r="B3014" s="128" t="s">
        <v>20928</v>
      </c>
      <c r="C3014" s="129" t="s">
        <v>2151</v>
      </c>
      <c r="D3014" s="130">
        <v>11053</v>
      </c>
      <c r="E3014" s="131">
        <v>44740</v>
      </c>
      <c r="F3014" s="132">
        <v>11053</v>
      </c>
      <c r="G3014" s="133">
        <f>Tabla147[[#This Row],[Importe]]-Tabla147[[#This Row],[Pagado]]</f>
        <v>0</v>
      </c>
      <c r="H3014" s="134" t="s">
        <v>10</v>
      </c>
      <c r="I3014" s="135"/>
    </row>
    <row r="3015" spans="1:9" ht="21.75" customHeight="1" x14ac:dyDescent="0.25">
      <c r="A3015" s="127">
        <v>44740</v>
      </c>
      <c r="B3015" s="128" t="s">
        <v>20929</v>
      </c>
      <c r="C3015" s="129" t="s">
        <v>9</v>
      </c>
      <c r="D3015" s="130">
        <v>8358.7000000000007</v>
      </c>
      <c r="E3015" s="131">
        <v>44740</v>
      </c>
      <c r="F3015" s="132">
        <v>8358.7000000000007</v>
      </c>
      <c r="G3015" s="133">
        <f>Tabla147[[#This Row],[Importe]]-Tabla147[[#This Row],[Pagado]]</f>
        <v>0</v>
      </c>
      <c r="H3015" s="134" t="s">
        <v>10</v>
      </c>
      <c r="I3015" s="135"/>
    </row>
    <row r="3016" spans="1:9" ht="21.75" customHeight="1" x14ac:dyDescent="0.25">
      <c r="A3016" s="127">
        <v>44740</v>
      </c>
      <c r="B3016" s="128" t="s">
        <v>20930</v>
      </c>
      <c r="C3016" s="129" t="s">
        <v>314</v>
      </c>
      <c r="D3016" s="130">
        <v>2145.6</v>
      </c>
      <c r="E3016" s="131">
        <v>44740</v>
      </c>
      <c r="F3016" s="132">
        <v>2145.6</v>
      </c>
      <c r="G3016" s="133">
        <f>Tabla147[[#This Row],[Importe]]-Tabla147[[#This Row],[Pagado]]</f>
        <v>0</v>
      </c>
      <c r="H3016" s="134" t="s">
        <v>10</v>
      </c>
      <c r="I3016" s="135"/>
    </row>
    <row r="3017" spans="1:9" ht="21.75" customHeight="1" x14ac:dyDescent="0.25">
      <c r="A3017" s="127">
        <v>44740</v>
      </c>
      <c r="B3017" s="128" t="s">
        <v>20931</v>
      </c>
      <c r="C3017" s="129" t="s">
        <v>87</v>
      </c>
      <c r="D3017" s="130">
        <v>1166.4000000000001</v>
      </c>
      <c r="E3017" s="131">
        <v>44740</v>
      </c>
      <c r="F3017" s="132">
        <v>1166.4000000000001</v>
      </c>
      <c r="G3017" s="133">
        <f>Tabla147[[#This Row],[Importe]]-Tabla147[[#This Row],[Pagado]]</f>
        <v>0</v>
      </c>
      <c r="H3017" s="134" t="s">
        <v>10</v>
      </c>
      <c r="I3017" s="135"/>
    </row>
    <row r="3018" spans="1:9" ht="21.75" customHeight="1" x14ac:dyDescent="0.25">
      <c r="A3018" s="127">
        <v>44740</v>
      </c>
      <c r="B3018" s="128" t="s">
        <v>20932</v>
      </c>
      <c r="C3018" s="129" t="s">
        <v>83</v>
      </c>
      <c r="D3018" s="130">
        <v>11173.2</v>
      </c>
      <c r="E3018" s="131">
        <v>44740</v>
      </c>
      <c r="F3018" s="132">
        <v>11173.2</v>
      </c>
      <c r="G3018" s="133">
        <f>Tabla147[[#This Row],[Importe]]-Tabla147[[#This Row],[Pagado]]</f>
        <v>0</v>
      </c>
      <c r="H3018" s="134" t="s">
        <v>10</v>
      </c>
      <c r="I3018" s="135"/>
    </row>
    <row r="3019" spans="1:9" ht="21.75" customHeight="1" x14ac:dyDescent="0.25">
      <c r="A3019" s="127">
        <v>44740</v>
      </c>
      <c r="B3019" s="128" t="s">
        <v>20933</v>
      </c>
      <c r="C3019" s="129" t="s">
        <v>140</v>
      </c>
      <c r="D3019" s="130">
        <v>1103</v>
      </c>
      <c r="E3019" s="131">
        <v>44740</v>
      </c>
      <c r="F3019" s="132">
        <v>1103</v>
      </c>
      <c r="G3019" s="133">
        <f>Tabla147[[#This Row],[Importe]]-Tabla147[[#This Row],[Pagado]]</f>
        <v>0</v>
      </c>
      <c r="H3019" s="134" t="s">
        <v>10</v>
      </c>
      <c r="I3019" s="135"/>
    </row>
    <row r="3020" spans="1:9" ht="31.5" x14ac:dyDescent="0.25">
      <c r="A3020" s="127">
        <v>44740</v>
      </c>
      <c r="B3020" s="128" t="s">
        <v>20934</v>
      </c>
      <c r="C3020" s="129" t="s">
        <v>22</v>
      </c>
      <c r="D3020" s="130">
        <v>39564.800000000003</v>
      </c>
      <c r="E3020" s="131" t="s">
        <v>20919</v>
      </c>
      <c r="F3020" s="132">
        <f>20000+19564.8</f>
        <v>39564.800000000003</v>
      </c>
      <c r="G3020" s="133">
        <f>Tabla147[[#This Row],[Importe]]-Tabla147[[#This Row],[Pagado]]</f>
        <v>0</v>
      </c>
      <c r="H3020" s="134" t="s">
        <v>10</v>
      </c>
      <c r="I3020" s="135"/>
    </row>
    <row r="3021" spans="1:9" ht="21.75" customHeight="1" x14ac:dyDescent="0.25">
      <c r="A3021" s="127">
        <v>44740</v>
      </c>
      <c r="B3021" s="128" t="s">
        <v>20935</v>
      </c>
      <c r="C3021" s="129" t="s">
        <v>127</v>
      </c>
      <c r="D3021" s="130">
        <v>1198.8</v>
      </c>
      <c r="E3021" s="131">
        <v>44740</v>
      </c>
      <c r="F3021" s="132">
        <v>1198.8</v>
      </c>
      <c r="G3021" s="133">
        <f>Tabla147[[#This Row],[Importe]]-Tabla147[[#This Row],[Pagado]]</f>
        <v>0</v>
      </c>
      <c r="H3021" s="134" t="s">
        <v>10</v>
      </c>
      <c r="I3021" s="135"/>
    </row>
    <row r="3022" spans="1:9" ht="21.75" customHeight="1" x14ac:dyDescent="0.25">
      <c r="A3022" s="127">
        <v>44740</v>
      </c>
      <c r="B3022" s="128" t="s">
        <v>20936</v>
      </c>
      <c r="C3022" s="129" t="s">
        <v>214</v>
      </c>
      <c r="D3022" s="130">
        <v>938</v>
      </c>
      <c r="E3022" s="131">
        <v>44740</v>
      </c>
      <c r="F3022" s="132">
        <v>938</v>
      </c>
      <c r="G3022" s="133">
        <f>Tabla147[[#This Row],[Importe]]-Tabla147[[#This Row],[Pagado]]</f>
        <v>0</v>
      </c>
      <c r="H3022" s="134" t="s">
        <v>10</v>
      </c>
      <c r="I3022" s="135"/>
    </row>
    <row r="3023" spans="1:9" ht="21.75" customHeight="1" x14ac:dyDescent="0.25">
      <c r="A3023" s="127">
        <v>44740</v>
      </c>
      <c r="B3023" s="128" t="s">
        <v>20937</v>
      </c>
      <c r="C3023" s="129" t="s">
        <v>339</v>
      </c>
      <c r="D3023" s="130">
        <v>958</v>
      </c>
      <c r="E3023" s="131">
        <v>44740</v>
      </c>
      <c r="F3023" s="132">
        <v>958</v>
      </c>
      <c r="G3023" s="133">
        <f>Tabla147[[#This Row],[Importe]]-Tabla147[[#This Row],[Pagado]]</f>
        <v>0</v>
      </c>
      <c r="H3023" s="134" t="s">
        <v>10</v>
      </c>
      <c r="I3023" s="135"/>
    </row>
    <row r="3024" spans="1:9" ht="21.75" customHeight="1" x14ac:dyDescent="0.25">
      <c r="A3024" s="127">
        <v>44740</v>
      </c>
      <c r="B3024" s="128" t="s">
        <v>20938</v>
      </c>
      <c r="C3024" s="129" t="s">
        <v>135</v>
      </c>
      <c r="D3024" s="130">
        <v>1628</v>
      </c>
      <c r="E3024" s="131">
        <v>44740</v>
      </c>
      <c r="F3024" s="132">
        <v>1628</v>
      </c>
      <c r="G3024" s="133">
        <f>Tabla147[[#This Row],[Importe]]-Tabla147[[#This Row],[Pagado]]</f>
        <v>0</v>
      </c>
      <c r="H3024" s="134" t="s">
        <v>10</v>
      </c>
      <c r="I3024" s="135"/>
    </row>
    <row r="3025" spans="1:9" ht="21.75" customHeight="1" x14ac:dyDescent="0.25">
      <c r="A3025" s="127">
        <v>44740</v>
      </c>
      <c r="B3025" s="128" t="s">
        <v>20939</v>
      </c>
      <c r="C3025" s="129" t="s">
        <v>129</v>
      </c>
      <c r="D3025" s="130">
        <v>6276.9</v>
      </c>
      <c r="E3025" s="131">
        <v>44740</v>
      </c>
      <c r="F3025" s="132">
        <v>6276.9</v>
      </c>
      <c r="G3025" s="133">
        <f>Tabla147[[#This Row],[Importe]]-Tabla147[[#This Row],[Pagado]]</f>
        <v>0</v>
      </c>
      <c r="H3025" s="134" t="s">
        <v>10</v>
      </c>
      <c r="I3025" s="135"/>
    </row>
    <row r="3026" spans="1:9" ht="21.75" customHeight="1" x14ac:dyDescent="0.25">
      <c r="A3026" s="127">
        <v>44740</v>
      </c>
      <c r="B3026" s="128" t="s">
        <v>20940</v>
      </c>
      <c r="C3026" s="129" t="s">
        <v>357</v>
      </c>
      <c r="D3026" s="130">
        <v>4440</v>
      </c>
      <c r="E3026" s="131">
        <v>44740</v>
      </c>
      <c r="F3026" s="132">
        <v>4440</v>
      </c>
      <c r="G3026" s="133">
        <f>Tabla147[[#This Row],[Importe]]-Tabla147[[#This Row],[Pagado]]</f>
        <v>0</v>
      </c>
      <c r="H3026" s="134" t="s">
        <v>10</v>
      </c>
      <c r="I3026" s="135"/>
    </row>
    <row r="3027" spans="1:9" ht="21.75" customHeight="1" x14ac:dyDescent="0.25">
      <c r="A3027" s="127">
        <v>44740</v>
      </c>
      <c r="B3027" s="128" t="s">
        <v>20941</v>
      </c>
      <c r="C3027" s="129" t="s">
        <v>151</v>
      </c>
      <c r="D3027" s="130">
        <v>14947.2</v>
      </c>
      <c r="E3027" s="131">
        <v>44740</v>
      </c>
      <c r="F3027" s="132">
        <v>14947.2</v>
      </c>
      <c r="G3027" s="133">
        <f>Tabla147[[#This Row],[Importe]]-Tabla147[[#This Row],[Pagado]]</f>
        <v>0</v>
      </c>
      <c r="H3027" s="134" t="s">
        <v>10</v>
      </c>
      <c r="I3027" s="135"/>
    </row>
    <row r="3028" spans="1:9" ht="21.75" customHeight="1" x14ac:dyDescent="0.25">
      <c r="A3028" s="127">
        <v>44740</v>
      </c>
      <c r="B3028" s="128" t="s">
        <v>20942</v>
      </c>
      <c r="C3028" s="129" t="s">
        <v>33</v>
      </c>
      <c r="D3028" s="130">
        <v>10640</v>
      </c>
      <c r="E3028" s="131">
        <v>44740</v>
      </c>
      <c r="F3028" s="132">
        <v>10640</v>
      </c>
      <c r="G3028" s="133">
        <f>Tabla147[[#This Row],[Importe]]-Tabla147[[#This Row],[Pagado]]</f>
        <v>0</v>
      </c>
      <c r="H3028" s="134" t="s">
        <v>10</v>
      </c>
      <c r="I3028" s="135"/>
    </row>
    <row r="3029" spans="1:9" ht="21.75" customHeight="1" x14ac:dyDescent="0.25">
      <c r="A3029" s="127">
        <v>44740</v>
      </c>
      <c r="B3029" s="128" t="s">
        <v>20943</v>
      </c>
      <c r="C3029" s="129" t="s">
        <v>319</v>
      </c>
      <c r="D3029" s="130">
        <v>8475.7000000000007</v>
      </c>
      <c r="E3029" s="131">
        <v>44740</v>
      </c>
      <c r="F3029" s="132">
        <v>8475.7000000000007</v>
      </c>
      <c r="G3029" s="133">
        <f>Tabla147[[#This Row],[Importe]]-Tabla147[[#This Row],[Pagado]]</f>
        <v>0</v>
      </c>
      <c r="H3029" s="134" t="s">
        <v>10</v>
      </c>
      <c r="I3029" s="135"/>
    </row>
    <row r="3030" spans="1:9" ht="21.75" customHeight="1" x14ac:dyDescent="0.25">
      <c r="A3030" s="127">
        <v>44740</v>
      </c>
      <c r="B3030" s="128" t="s">
        <v>20944</v>
      </c>
      <c r="C3030" s="129" t="s">
        <v>371</v>
      </c>
      <c r="D3030" s="130">
        <v>12276</v>
      </c>
      <c r="E3030" s="131">
        <v>44740</v>
      </c>
      <c r="F3030" s="132">
        <v>12276</v>
      </c>
      <c r="G3030" s="133">
        <f>Tabla147[[#This Row],[Importe]]-Tabla147[[#This Row],[Pagado]]</f>
        <v>0</v>
      </c>
      <c r="H3030" s="134" t="s">
        <v>10</v>
      </c>
      <c r="I3030" s="135"/>
    </row>
    <row r="3031" spans="1:9" ht="21.75" customHeight="1" x14ac:dyDescent="0.25">
      <c r="A3031" s="127">
        <v>44740</v>
      </c>
      <c r="B3031" s="128" t="s">
        <v>20945</v>
      </c>
      <c r="C3031" s="129" t="s">
        <v>24</v>
      </c>
      <c r="D3031" s="130">
        <v>3306.4</v>
      </c>
      <c r="E3031" s="131">
        <v>44740</v>
      </c>
      <c r="F3031" s="132">
        <v>3306.4</v>
      </c>
      <c r="G3031" s="133">
        <f>Tabla147[[#This Row],[Importe]]-Tabla147[[#This Row],[Pagado]]</f>
        <v>0</v>
      </c>
      <c r="H3031" s="134" t="s">
        <v>10</v>
      </c>
      <c r="I3031" s="135"/>
    </row>
    <row r="3032" spans="1:9" ht="21.75" customHeight="1" x14ac:dyDescent="0.25">
      <c r="A3032" s="127">
        <v>44740</v>
      </c>
      <c r="B3032" s="128" t="s">
        <v>20946</v>
      </c>
      <c r="C3032" s="129" t="s">
        <v>157</v>
      </c>
      <c r="D3032" s="130">
        <v>4464.3999999999996</v>
      </c>
      <c r="E3032" s="131">
        <v>44740</v>
      </c>
      <c r="F3032" s="132">
        <v>4464.3999999999996</v>
      </c>
      <c r="G3032" s="133">
        <f>Tabla147[[#This Row],[Importe]]-Tabla147[[#This Row],[Pagado]]</f>
        <v>0</v>
      </c>
      <c r="H3032" s="134" t="s">
        <v>10</v>
      </c>
      <c r="I3032" s="135"/>
    </row>
    <row r="3033" spans="1:9" ht="21.75" customHeight="1" x14ac:dyDescent="0.25">
      <c r="A3033" s="127">
        <v>44740</v>
      </c>
      <c r="B3033" s="128" t="s">
        <v>20947</v>
      </c>
      <c r="C3033" s="129" t="s">
        <v>365</v>
      </c>
      <c r="D3033" s="130">
        <v>477.5</v>
      </c>
      <c r="E3033" s="131">
        <v>44740</v>
      </c>
      <c r="F3033" s="132">
        <v>477.5</v>
      </c>
      <c r="G3033" s="133">
        <f>Tabla147[[#This Row],[Importe]]-Tabla147[[#This Row],[Pagado]]</f>
        <v>0</v>
      </c>
      <c r="H3033" s="134" t="s">
        <v>10</v>
      </c>
      <c r="I3033" s="135"/>
    </row>
    <row r="3034" spans="1:9" ht="21.75" customHeight="1" x14ac:dyDescent="0.25">
      <c r="A3034" s="127">
        <v>44740</v>
      </c>
      <c r="B3034" s="128" t="s">
        <v>20948</v>
      </c>
      <c r="C3034" s="129" t="s">
        <v>11033</v>
      </c>
      <c r="D3034" s="130">
        <v>1694</v>
      </c>
      <c r="E3034" s="131">
        <v>44740</v>
      </c>
      <c r="F3034" s="132">
        <v>1694</v>
      </c>
      <c r="G3034" s="133">
        <f>Tabla147[[#This Row],[Importe]]-Tabla147[[#This Row],[Pagado]]</f>
        <v>0</v>
      </c>
      <c r="H3034" s="134" t="s">
        <v>10</v>
      </c>
      <c r="I3034" s="135"/>
    </row>
    <row r="3035" spans="1:9" ht="21.75" customHeight="1" x14ac:dyDescent="0.25">
      <c r="A3035" s="127">
        <v>44740</v>
      </c>
      <c r="B3035" s="128" t="s">
        <v>20949</v>
      </c>
      <c r="C3035" s="129" t="s">
        <v>159</v>
      </c>
      <c r="D3035" s="130">
        <v>4472.8</v>
      </c>
      <c r="E3035" s="131">
        <v>44740</v>
      </c>
      <c r="F3035" s="132">
        <v>4472.8</v>
      </c>
      <c r="G3035" s="133">
        <f>Tabla147[[#This Row],[Importe]]-Tabla147[[#This Row],[Pagado]]</f>
        <v>0</v>
      </c>
      <c r="H3035" s="134" t="s">
        <v>10</v>
      </c>
      <c r="I3035" s="135"/>
    </row>
    <row r="3036" spans="1:9" ht="21.75" customHeight="1" x14ac:dyDescent="0.25">
      <c r="A3036" s="127">
        <v>44740</v>
      </c>
      <c r="B3036" s="128" t="s">
        <v>20950</v>
      </c>
      <c r="C3036" s="129" t="s">
        <v>966</v>
      </c>
      <c r="D3036" s="130">
        <v>453.2</v>
      </c>
      <c r="E3036" s="131">
        <v>44740</v>
      </c>
      <c r="F3036" s="132">
        <v>453.2</v>
      </c>
      <c r="G3036" s="133">
        <f>Tabla147[[#This Row],[Importe]]-Tabla147[[#This Row],[Pagado]]</f>
        <v>0</v>
      </c>
      <c r="H3036" s="134" t="s">
        <v>10</v>
      </c>
      <c r="I3036" s="135"/>
    </row>
    <row r="3037" spans="1:9" ht="21.75" customHeight="1" x14ac:dyDescent="0.25">
      <c r="A3037" s="127">
        <v>44740</v>
      </c>
      <c r="B3037" s="128" t="s">
        <v>20951</v>
      </c>
      <c r="C3037" s="129" t="s">
        <v>142</v>
      </c>
      <c r="D3037" s="130">
        <v>96875.6</v>
      </c>
      <c r="E3037" s="131">
        <v>44799</v>
      </c>
      <c r="F3037" s="132">
        <v>96875.6</v>
      </c>
      <c r="G3037" s="133">
        <f>Tabla147[[#This Row],[Importe]]-Tabla147[[#This Row],[Pagado]]</f>
        <v>0</v>
      </c>
      <c r="H3037" s="134" t="s">
        <v>10</v>
      </c>
      <c r="I3037" s="135"/>
    </row>
    <row r="3038" spans="1:9" ht="21.75" customHeight="1" x14ac:dyDescent="0.25">
      <c r="A3038" s="127">
        <v>44740</v>
      </c>
      <c r="B3038" s="128" t="s">
        <v>20952</v>
      </c>
      <c r="C3038" s="129" t="s">
        <v>16</v>
      </c>
      <c r="D3038" s="130">
        <v>7092.6</v>
      </c>
      <c r="E3038" s="131">
        <v>44740</v>
      </c>
      <c r="F3038" s="132">
        <v>7092.6</v>
      </c>
      <c r="G3038" s="133">
        <f>Tabla147[[#This Row],[Importe]]-Tabla147[[#This Row],[Pagado]]</f>
        <v>0</v>
      </c>
      <c r="H3038" s="134" t="s">
        <v>10</v>
      </c>
      <c r="I3038" s="135"/>
    </row>
    <row r="3039" spans="1:9" ht="21.75" customHeight="1" x14ac:dyDescent="0.25">
      <c r="A3039" s="127">
        <v>44740</v>
      </c>
      <c r="B3039" s="128" t="s">
        <v>20953</v>
      </c>
      <c r="C3039" s="129" t="s">
        <v>312</v>
      </c>
      <c r="D3039" s="130">
        <v>1473.2</v>
      </c>
      <c r="E3039" s="131">
        <v>44740</v>
      </c>
      <c r="F3039" s="132">
        <v>1473.2</v>
      </c>
      <c r="G3039" s="133">
        <f>Tabla147[[#This Row],[Importe]]-Tabla147[[#This Row],[Pagado]]</f>
        <v>0</v>
      </c>
      <c r="H3039" s="134" t="s">
        <v>10</v>
      </c>
      <c r="I3039" s="135"/>
    </row>
    <row r="3040" spans="1:9" ht="21.75" customHeight="1" x14ac:dyDescent="0.25">
      <c r="A3040" s="127">
        <v>44740</v>
      </c>
      <c r="B3040" s="128" t="s">
        <v>20954</v>
      </c>
      <c r="C3040" s="129" t="s">
        <v>56</v>
      </c>
      <c r="D3040" s="130">
        <v>6614.4</v>
      </c>
      <c r="E3040" s="131">
        <v>44740</v>
      </c>
      <c r="F3040" s="132">
        <v>6614.4</v>
      </c>
      <c r="G3040" s="133">
        <f>Tabla147[[#This Row],[Importe]]-Tabla147[[#This Row],[Pagado]]</f>
        <v>0</v>
      </c>
      <c r="H3040" s="134" t="s">
        <v>10</v>
      </c>
      <c r="I3040" s="135"/>
    </row>
    <row r="3041" spans="1:9" ht="21.75" customHeight="1" x14ac:dyDescent="0.25">
      <c r="A3041" s="127">
        <v>44740</v>
      </c>
      <c r="B3041" s="128" t="s">
        <v>20955</v>
      </c>
      <c r="C3041" s="129" t="s">
        <v>79</v>
      </c>
      <c r="D3041" s="130">
        <v>23676.7</v>
      </c>
      <c r="E3041" s="131">
        <v>44740</v>
      </c>
      <c r="F3041" s="132">
        <v>23676.7</v>
      </c>
      <c r="G3041" s="133">
        <f>Tabla147[[#This Row],[Importe]]-Tabla147[[#This Row],[Pagado]]</f>
        <v>0</v>
      </c>
      <c r="H3041" s="134" t="s">
        <v>10</v>
      </c>
      <c r="I3041" s="135"/>
    </row>
    <row r="3042" spans="1:9" ht="21.75" customHeight="1" x14ac:dyDescent="0.25">
      <c r="A3042" s="127">
        <v>44740</v>
      </c>
      <c r="B3042" s="128" t="s">
        <v>20956</v>
      </c>
      <c r="C3042" s="129" t="s">
        <v>49</v>
      </c>
      <c r="D3042" s="130">
        <v>3280.2</v>
      </c>
      <c r="E3042" s="131">
        <v>44740</v>
      </c>
      <c r="F3042" s="132">
        <v>3280.2</v>
      </c>
      <c r="G3042" s="133">
        <f>Tabla147[[#This Row],[Importe]]-Tabla147[[#This Row],[Pagado]]</f>
        <v>0</v>
      </c>
      <c r="H3042" s="134" t="s">
        <v>10</v>
      </c>
      <c r="I3042" s="135"/>
    </row>
    <row r="3043" spans="1:9" ht="21.75" customHeight="1" x14ac:dyDescent="0.25">
      <c r="A3043" s="127">
        <v>44740</v>
      </c>
      <c r="B3043" s="128" t="s">
        <v>20957</v>
      </c>
      <c r="C3043" s="129" t="s">
        <v>520</v>
      </c>
      <c r="D3043" s="130">
        <v>8828.7999999999993</v>
      </c>
      <c r="E3043" s="131">
        <v>44740</v>
      </c>
      <c r="F3043" s="132">
        <v>8828.7999999999993</v>
      </c>
      <c r="G3043" s="133">
        <f>Tabla147[[#This Row],[Importe]]-Tabla147[[#This Row],[Pagado]]</f>
        <v>0</v>
      </c>
      <c r="H3043" s="134" t="s">
        <v>10</v>
      </c>
      <c r="I3043" s="135"/>
    </row>
    <row r="3044" spans="1:9" ht="21.75" customHeight="1" x14ac:dyDescent="0.25">
      <c r="A3044" s="127">
        <v>44740</v>
      </c>
      <c r="B3044" s="128" t="s">
        <v>20958</v>
      </c>
      <c r="C3044" s="129" t="s">
        <v>45</v>
      </c>
      <c r="D3044" s="130">
        <v>9575.6</v>
      </c>
      <c r="E3044" s="131">
        <v>44740</v>
      </c>
      <c r="F3044" s="132">
        <v>9575.6</v>
      </c>
      <c r="G3044" s="133">
        <f>Tabla147[[#This Row],[Importe]]-Tabla147[[#This Row],[Pagado]]</f>
        <v>0</v>
      </c>
      <c r="H3044" s="134" t="s">
        <v>10</v>
      </c>
      <c r="I3044" s="135"/>
    </row>
    <row r="3045" spans="1:9" ht="21.75" customHeight="1" x14ac:dyDescent="0.25">
      <c r="A3045" s="127">
        <v>44740</v>
      </c>
      <c r="B3045" s="128" t="s">
        <v>20959</v>
      </c>
      <c r="C3045" s="129" t="s">
        <v>226</v>
      </c>
      <c r="D3045" s="130">
        <v>9131</v>
      </c>
      <c r="E3045" s="131">
        <v>44740</v>
      </c>
      <c r="F3045" s="132">
        <v>9131</v>
      </c>
      <c r="G3045" s="133">
        <f>Tabla147[[#This Row],[Importe]]-Tabla147[[#This Row],[Pagado]]</f>
        <v>0</v>
      </c>
      <c r="H3045" s="134" t="s">
        <v>10</v>
      </c>
      <c r="I3045" s="135"/>
    </row>
    <row r="3046" spans="1:9" ht="21.75" customHeight="1" x14ac:dyDescent="0.25">
      <c r="A3046" s="127">
        <v>44740</v>
      </c>
      <c r="B3046" s="128" t="s">
        <v>20960</v>
      </c>
      <c r="C3046" s="129" t="s">
        <v>31</v>
      </c>
      <c r="D3046" s="130">
        <v>1310.4000000000001</v>
      </c>
      <c r="E3046" s="131">
        <v>44740</v>
      </c>
      <c r="F3046" s="132">
        <v>1310.4000000000001</v>
      </c>
      <c r="G3046" s="133">
        <f>Tabla147[[#This Row],[Importe]]-Tabla147[[#This Row],[Pagado]]</f>
        <v>0</v>
      </c>
      <c r="H3046" s="134" t="s">
        <v>10</v>
      </c>
      <c r="I3046" s="135"/>
    </row>
    <row r="3047" spans="1:9" ht="21.75" customHeight="1" x14ac:dyDescent="0.25">
      <c r="A3047" s="127">
        <v>44740</v>
      </c>
      <c r="B3047" s="128" t="s">
        <v>20961</v>
      </c>
      <c r="C3047" s="129" t="s">
        <v>31</v>
      </c>
      <c r="D3047" s="130">
        <v>1368</v>
      </c>
      <c r="E3047" s="131">
        <v>44740</v>
      </c>
      <c r="F3047" s="132">
        <v>1368</v>
      </c>
      <c r="G3047" s="133">
        <f>Tabla147[[#This Row],[Importe]]-Tabla147[[#This Row],[Pagado]]</f>
        <v>0</v>
      </c>
      <c r="H3047" s="134" t="s">
        <v>10</v>
      </c>
      <c r="I3047" s="135"/>
    </row>
    <row r="3048" spans="1:9" ht="21.75" customHeight="1" x14ac:dyDescent="0.25">
      <c r="A3048" s="127">
        <v>44740</v>
      </c>
      <c r="B3048" s="128" t="s">
        <v>20962</v>
      </c>
      <c r="C3048" s="129" t="s">
        <v>9827</v>
      </c>
      <c r="D3048" s="130">
        <v>1389.6</v>
      </c>
      <c r="E3048" s="131">
        <v>44740</v>
      </c>
      <c r="F3048" s="132">
        <v>1389.6</v>
      </c>
      <c r="G3048" s="133">
        <f>Tabla147[[#This Row],[Importe]]-Tabla147[[#This Row],[Pagado]]</f>
        <v>0</v>
      </c>
      <c r="H3048" s="134" t="s">
        <v>10</v>
      </c>
      <c r="I3048" s="135"/>
    </row>
    <row r="3049" spans="1:9" ht="21.75" customHeight="1" x14ac:dyDescent="0.25">
      <c r="A3049" s="127">
        <v>44740</v>
      </c>
      <c r="B3049" s="128" t="s">
        <v>20963</v>
      </c>
      <c r="C3049" s="129" t="s">
        <v>67</v>
      </c>
      <c r="D3049" s="130">
        <v>2058.4</v>
      </c>
      <c r="E3049" s="131">
        <v>44740</v>
      </c>
      <c r="F3049" s="132">
        <v>2058.4</v>
      </c>
      <c r="G3049" s="133">
        <f>Tabla147[[#This Row],[Importe]]-Tabla147[[#This Row],[Pagado]]</f>
        <v>0</v>
      </c>
      <c r="H3049" s="134" t="s">
        <v>10</v>
      </c>
      <c r="I3049" s="135"/>
    </row>
    <row r="3050" spans="1:9" ht="21.75" customHeight="1" x14ac:dyDescent="0.25">
      <c r="A3050" s="127">
        <v>44740</v>
      </c>
      <c r="B3050" s="128" t="s">
        <v>20964</v>
      </c>
      <c r="C3050" s="129" t="s">
        <v>53</v>
      </c>
      <c r="D3050" s="130">
        <v>4701.8</v>
      </c>
      <c r="E3050" s="131">
        <v>44740</v>
      </c>
      <c r="F3050" s="132">
        <v>4701.8</v>
      </c>
      <c r="G3050" s="133">
        <f>Tabla147[[#This Row],[Importe]]-Tabla147[[#This Row],[Pagado]]</f>
        <v>0</v>
      </c>
      <c r="H3050" s="134" t="s">
        <v>10</v>
      </c>
      <c r="I3050" s="135"/>
    </row>
    <row r="3051" spans="1:9" ht="21.75" customHeight="1" x14ac:dyDescent="0.25">
      <c r="A3051" s="127">
        <v>44740</v>
      </c>
      <c r="B3051" s="128" t="s">
        <v>20965</v>
      </c>
      <c r="C3051" s="129" t="s">
        <v>466</v>
      </c>
      <c r="D3051" s="130">
        <v>6195.2</v>
      </c>
      <c r="E3051" s="131">
        <v>44740</v>
      </c>
      <c r="F3051" s="132">
        <v>6195.2</v>
      </c>
      <c r="G3051" s="133">
        <f>Tabla147[[#This Row],[Importe]]-Tabla147[[#This Row],[Pagado]]</f>
        <v>0</v>
      </c>
      <c r="H3051" s="134" t="s">
        <v>10</v>
      </c>
      <c r="I3051" s="135"/>
    </row>
    <row r="3052" spans="1:9" ht="21.75" customHeight="1" x14ac:dyDescent="0.25">
      <c r="A3052" s="127">
        <v>44740</v>
      </c>
      <c r="B3052" s="128" t="s">
        <v>20966</v>
      </c>
      <c r="C3052" s="129" t="s">
        <v>167</v>
      </c>
      <c r="D3052" s="130">
        <v>7907.2</v>
      </c>
      <c r="E3052" s="131">
        <v>44740</v>
      </c>
      <c r="F3052" s="132">
        <v>7907.2</v>
      </c>
      <c r="G3052" s="133">
        <f>Tabla147[[#This Row],[Importe]]-Tabla147[[#This Row],[Pagado]]</f>
        <v>0</v>
      </c>
      <c r="H3052" s="134" t="s">
        <v>10</v>
      </c>
      <c r="I3052" s="135"/>
    </row>
    <row r="3053" spans="1:9" ht="21.75" customHeight="1" x14ac:dyDescent="0.25">
      <c r="A3053" s="127">
        <v>44740</v>
      </c>
      <c r="B3053" s="128" t="s">
        <v>20967</v>
      </c>
      <c r="C3053" s="129" t="s">
        <v>4136</v>
      </c>
      <c r="D3053" s="130">
        <v>2787</v>
      </c>
      <c r="E3053" s="131">
        <v>44740</v>
      </c>
      <c r="F3053" s="132">
        <v>2787</v>
      </c>
      <c r="G3053" s="133">
        <f>Tabla147[[#This Row],[Importe]]-Tabla147[[#This Row],[Pagado]]</f>
        <v>0</v>
      </c>
      <c r="H3053" s="134" t="s">
        <v>10</v>
      </c>
      <c r="I3053" s="135"/>
    </row>
    <row r="3054" spans="1:9" ht="21.75" customHeight="1" x14ac:dyDescent="0.25">
      <c r="A3054" s="127">
        <v>44740</v>
      </c>
      <c r="B3054" s="128" t="s">
        <v>20968</v>
      </c>
      <c r="C3054" s="129" t="s">
        <v>15039</v>
      </c>
      <c r="D3054" s="130">
        <v>2171.1</v>
      </c>
      <c r="E3054" s="131">
        <v>44740</v>
      </c>
      <c r="F3054" s="132">
        <v>2171.1</v>
      </c>
      <c r="G3054" s="133">
        <f>Tabla147[[#This Row],[Importe]]-Tabla147[[#This Row],[Pagado]]</f>
        <v>0</v>
      </c>
      <c r="H3054" s="134" t="s">
        <v>10</v>
      </c>
      <c r="I3054" s="135"/>
    </row>
    <row r="3055" spans="1:9" ht="21.75" customHeight="1" x14ac:dyDescent="0.25">
      <c r="A3055" s="127">
        <v>44740</v>
      </c>
      <c r="B3055" s="128" t="s">
        <v>20969</v>
      </c>
      <c r="C3055" s="129" t="s">
        <v>275</v>
      </c>
      <c r="D3055" s="130">
        <v>57718.6</v>
      </c>
      <c r="E3055" s="131">
        <v>44750</v>
      </c>
      <c r="F3055" s="132">
        <v>57718.6</v>
      </c>
      <c r="G3055" s="133">
        <f>Tabla147[[#This Row],[Importe]]-Tabla147[[#This Row],[Pagado]]</f>
        <v>0</v>
      </c>
      <c r="H3055" s="134" t="s">
        <v>10</v>
      </c>
      <c r="I3055" s="135"/>
    </row>
    <row r="3056" spans="1:9" ht="21.75" customHeight="1" x14ac:dyDescent="0.25">
      <c r="A3056" s="127">
        <v>44740</v>
      </c>
      <c r="B3056" s="128" t="s">
        <v>20970</v>
      </c>
      <c r="C3056" s="129" t="s">
        <v>840</v>
      </c>
      <c r="D3056" s="130">
        <v>6955.2</v>
      </c>
      <c r="E3056" s="131">
        <v>44740</v>
      </c>
      <c r="F3056" s="132">
        <v>6955.2</v>
      </c>
      <c r="G3056" s="133">
        <f>Tabla147[[#This Row],[Importe]]-Tabla147[[#This Row],[Pagado]]</f>
        <v>0</v>
      </c>
      <c r="H3056" s="134" t="s">
        <v>10</v>
      </c>
      <c r="I3056" s="135"/>
    </row>
    <row r="3057" spans="1:9" ht="21.75" customHeight="1" x14ac:dyDescent="0.25">
      <c r="A3057" s="127">
        <v>44740</v>
      </c>
      <c r="B3057" s="128" t="s">
        <v>20971</v>
      </c>
      <c r="C3057" s="129" t="s">
        <v>230</v>
      </c>
      <c r="D3057" s="130">
        <v>4895.2</v>
      </c>
      <c r="E3057" s="131">
        <v>44740</v>
      </c>
      <c r="F3057" s="132">
        <v>4895.2</v>
      </c>
      <c r="G3057" s="133">
        <f>Tabla147[[#This Row],[Importe]]-Tabla147[[#This Row],[Pagado]]</f>
        <v>0</v>
      </c>
      <c r="H3057" s="134" t="s">
        <v>10</v>
      </c>
      <c r="I3057" s="135"/>
    </row>
    <row r="3058" spans="1:9" ht="21.75" customHeight="1" x14ac:dyDescent="0.25">
      <c r="A3058" s="127">
        <v>44740</v>
      </c>
      <c r="B3058" s="128" t="s">
        <v>20972</v>
      </c>
      <c r="C3058" s="129" t="s">
        <v>233</v>
      </c>
      <c r="D3058" s="130">
        <v>5124.6000000000004</v>
      </c>
      <c r="E3058" s="131">
        <v>44740</v>
      </c>
      <c r="F3058" s="132">
        <v>5124.6000000000004</v>
      </c>
      <c r="G3058" s="133">
        <f>Tabla147[[#This Row],[Importe]]-Tabla147[[#This Row],[Pagado]]</f>
        <v>0</v>
      </c>
      <c r="H3058" s="134" t="s">
        <v>10</v>
      </c>
      <c r="I3058" s="135"/>
    </row>
    <row r="3059" spans="1:9" ht="21.75" customHeight="1" x14ac:dyDescent="0.25">
      <c r="A3059" s="127">
        <v>44740</v>
      </c>
      <c r="B3059" s="128" t="s">
        <v>20973</v>
      </c>
      <c r="C3059" s="129" t="s">
        <v>1362</v>
      </c>
      <c r="D3059" s="130">
        <v>4647.2</v>
      </c>
      <c r="E3059" s="131">
        <v>44741</v>
      </c>
      <c r="F3059" s="132">
        <v>4647.2</v>
      </c>
      <c r="G3059" s="133">
        <f>Tabla147[[#This Row],[Importe]]-Tabla147[[#This Row],[Pagado]]</f>
        <v>0</v>
      </c>
      <c r="H3059" s="134" t="s">
        <v>10</v>
      </c>
      <c r="I3059" s="135"/>
    </row>
    <row r="3060" spans="1:9" ht="21.75" customHeight="1" x14ac:dyDescent="0.25">
      <c r="A3060" s="127">
        <v>44740</v>
      </c>
      <c r="B3060" s="128" t="s">
        <v>20974</v>
      </c>
      <c r="C3060" s="129" t="s">
        <v>698</v>
      </c>
      <c r="D3060" s="130">
        <v>2049</v>
      </c>
      <c r="E3060" s="131">
        <v>44740</v>
      </c>
      <c r="F3060" s="132">
        <v>2049</v>
      </c>
      <c r="G3060" s="133">
        <f>Tabla147[[#This Row],[Importe]]-Tabla147[[#This Row],[Pagado]]</f>
        <v>0</v>
      </c>
      <c r="H3060" s="134" t="s">
        <v>10</v>
      </c>
      <c r="I3060" s="135"/>
    </row>
    <row r="3061" spans="1:9" ht="31.5" x14ac:dyDescent="0.25">
      <c r="A3061" s="127">
        <v>44740</v>
      </c>
      <c r="B3061" s="128" t="s">
        <v>20975</v>
      </c>
      <c r="C3061" s="129" t="s">
        <v>275</v>
      </c>
      <c r="D3061" s="130">
        <v>236443.7</v>
      </c>
      <c r="E3061" s="131" t="s">
        <v>21265</v>
      </c>
      <c r="F3061" s="132">
        <f>112278.55+124165.15</f>
        <v>236443.7</v>
      </c>
      <c r="G3061" s="133">
        <f>Tabla147[[#This Row],[Importe]]-Tabla147[[#This Row],[Pagado]]</f>
        <v>0</v>
      </c>
      <c r="H3061" s="134" t="s">
        <v>10</v>
      </c>
      <c r="I3061" s="135"/>
    </row>
    <row r="3062" spans="1:9" ht="21.75" customHeight="1" x14ac:dyDescent="0.25">
      <c r="A3062" s="127">
        <v>44740</v>
      </c>
      <c r="B3062" s="128" t="s">
        <v>20976</v>
      </c>
      <c r="C3062" s="129" t="s">
        <v>58</v>
      </c>
      <c r="D3062" s="130">
        <v>4980.3999999999996</v>
      </c>
      <c r="E3062" s="131">
        <v>44740</v>
      </c>
      <c r="F3062" s="132">
        <v>4980.3999999999996</v>
      </c>
      <c r="G3062" s="133">
        <f>Tabla147[[#This Row],[Importe]]-Tabla147[[#This Row],[Pagado]]</f>
        <v>0</v>
      </c>
      <c r="H3062" s="134" t="s">
        <v>10</v>
      </c>
      <c r="I3062" s="135"/>
    </row>
    <row r="3063" spans="1:9" ht="21.75" customHeight="1" x14ac:dyDescent="0.25">
      <c r="A3063" s="127">
        <v>44740</v>
      </c>
      <c r="B3063" s="128" t="s">
        <v>20977</v>
      </c>
      <c r="C3063" s="129" t="s">
        <v>146</v>
      </c>
      <c r="D3063" s="130">
        <v>328.5</v>
      </c>
      <c r="E3063" s="131">
        <v>44741</v>
      </c>
      <c r="F3063" s="132">
        <v>328.5</v>
      </c>
      <c r="G3063" s="133">
        <f>Tabla147[[#This Row],[Importe]]-Tabla147[[#This Row],[Pagado]]</f>
        <v>0</v>
      </c>
      <c r="H3063" s="134" t="s">
        <v>10</v>
      </c>
      <c r="I3063" s="135"/>
    </row>
    <row r="3064" spans="1:9" ht="21.75" customHeight="1" x14ac:dyDescent="0.25">
      <c r="A3064" s="127">
        <v>44740</v>
      </c>
      <c r="B3064" s="128" t="s">
        <v>20978</v>
      </c>
      <c r="C3064" s="129" t="s">
        <v>107</v>
      </c>
      <c r="D3064" s="130">
        <v>14972.8</v>
      </c>
      <c r="E3064" s="131">
        <v>44741</v>
      </c>
      <c r="F3064" s="132">
        <v>14972.8</v>
      </c>
      <c r="G3064" s="133">
        <f>Tabla147[[#This Row],[Importe]]-Tabla147[[#This Row],[Pagado]]</f>
        <v>0</v>
      </c>
      <c r="H3064" s="134" t="s">
        <v>10</v>
      </c>
      <c r="I3064" s="135"/>
    </row>
    <row r="3065" spans="1:9" ht="21.75" customHeight="1" x14ac:dyDescent="0.25">
      <c r="A3065" s="127">
        <v>44740</v>
      </c>
      <c r="B3065" s="128" t="s">
        <v>20979</v>
      </c>
      <c r="C3065" s="129" t="s">
        <v>670</v>
      </c>
      <c r="D3065" s="130">
        <v>5184.3999999999996</v>
      </c>
      <c r="E3065" s="131">
        <v>44740</v>
      </c>
      <c r="F3065" s="132">
        <v>5184.3999999999996</v>
      </c>
      <c r="G3065" s="133">
        <f>Tabla147[[#This Row],[Importe]]-Tabla147[[#This Row],[Pagado]]</f>
        <v>0</v>
      </c>
      <c r="H3065" s="134" t="s">
        <v>10</v>
      </c>
      <c r="I3065" s="135"/>
    </row>
    <row r="3066" spans="1:9" ht="21.75" customHeight="1" x14ac:dyDescent="0.25">
      <c r="A3066" s="127">
        <v>44740</v>
      </c>
      <c r="B3066" s="128" t="s">
        <v>20980</v>
      </c>
      <c r="C3066" s="129" t="s">
        <v>214</v>
      </c>
      <c r="D3066" s="130">
        <v>3150</v>
      </c>
      <c r="E3066" s="131">
        <v>44741</v>
      </c>
      <c r="F3066" s="132">
        <v>3150</v>
      </c>
      <c r="G3066" s="133">
        <f>Tabla147[[#This Row],[Importe]]-Tabla147[[#This Row],[Pagado]]</f>
        <v>0</v>
      </c>
      <c r="H3066" s="134" t="s">
        <v>10</v>
      </c>
      <c r="I3066" s="135"/>
    </row>
    <row r="3067" spans="1:9" ht="21.75" customHeight="1" x14ac:dyDescent="0.25">
      <c r="A3067" s="127">
        <v>44740</v>
      </c>
      <c r="B3067" s="128" t="s">
        <v>20981</v>
      </c>
      <c r="C3067" s="129" t="s">
        <v>484</v>
      </c>
      <c r="D3067" s="130">
        <v>6130.9</v>
      </c>
      <c r="E3067" s="131">
        <v>44740</v>
      </c>
      <c r="F3067" s="132">
        <v>6130.9</v>
      </c>
      <c r="G3067" s="133">
        <f>Tabla147[[#This Row],[Importe]]-Tabla147[[#This Row],[Pagado]]</f>
        <v>0</v>
      </c>
      <c r="H3067" s="134" t="s">
        <v>10</v>
      </c>
      <c r="I3067" s="135"/>
    </row>
    <row r="3068" spans="1:9" ht="21.75" customHeight="1" x14ac:dyDescent="0.25">
      <c r="A3068" s="127">
        <v>44740</v>
      </c>
      <c r="B3068" s="128" t="s">
        <v>20982</v>
      </c>
      <c r="C3068" s="129" t="s">
        <v>419</v>
      </c>
      <c r="D3068" s="130">
        <v>7330.8</v>
      </c>
      <c r="E3068" s="131">
        <v>44740</v>
      </c>
      <c r="F3068" s="132">
        <v>7330.8</v>
      </c>
      <c r="G3068" s="133">
        <f>Tabla147[[#This Row],[Importe]]-Tabla147[[#This Row],[Pagado]]</f>
        <v>0</v>
      </c>
      <c r="H3068" s="134" t="s">
        <v>10</v>
      </c>
      <c r="I3068" s="135"/>
    </row>
    <row r="3069" spans="1:9" ht="21.75" customHeight="1" x14ac:dyDescent="0.25">
      <c r="A3069" s="127">
        <v>44740</v>
      </c>
      <c r="B3069" s="128" t="s">
        <v>20983</v>
      </c>
      <c r="C3069" s="129" t="s">
        <v>31</v>
      </c>
      <c r="D3069" s="130">
        <v>3765.6</v>
      </c>
      <c r="E3069" s="131">
        <v>44740</v>
      </c>
      <c r="F3069" s="132">
        <v>3765.6</v>
      </c>
      <c r="G3069" s="133">
        <f>Tabla147[[#This Row],[Importe]]-Tabla147[[#This Row],[Pagado]]</f>
        <v>0</v>
      </c>
      <c r="H3069" s="134" t="s">
        <v>10</v>
      </c>
      <c r="I3069" s="135"/>
    </row>
    <row r="3070" spans="1:9" ht="21.75" customHeight="1" x14ac:dyDescent="0.25">
      <c r="A3070" s="127">
        <v>44740</v>
      </c>
      <c r="B3070" s="128" t="s">
        <v>20984</v>
      </c>
      <c r="C3070" s="129" t="s">
        <v>179</v>
      </c>
      <c r="D3070" s="130">
        <v>691.2</v>
      </c>
      <c r="E3070" s="131">
        <v>44740</v>
      </c>
      <c r="F3070" s="132">
        <v>691.2</v>
      </c>
      <c r="G3070" s="133">
        <f>Tabla147[[#This Row],[Importe]]-Tabla147[[#This Row],[Pagado]]</f>
        <v>0</v>
      </c>
      <c r="H3070" s="134" t="s">
        <v>10</v>
      </c>
      <c r="I3070" s="135"/>
    </row>
    <row r="3071" spans="1:9" ht="21.75" customHeight="1" x14ac:dyDescent="0.25">
      <c r="A3071" s="127">
        <v>44740</v>
      </c>
      <c r="B3071" s="128" t="s">
        <v>20985</v>
      </c>
      <c r="C3071" s="129" t="s">
        <v>31</v>
      </c>
      <c r="D3071" s="130">
        <v>639</v>
      </c>
      <c r="E3071" s="131">
        <v>44740</v>
      </c>
      <c r="F3071" s="132">
        <v>639</v>
      </c>
      <c r="G3071" s="133">
        <f>Tabla147[[#This Row],[Importe]]-Tabla147[[#This Row],[Pagado]]</f>
        <v>0</v>
      </c>
      <c r="H3071" s="134" t="s">
        <v>10</v>
      </c>
      <c r="I3071" s="135"/>
    </row>
    <row r="3072" spans="1:9" ht="21.75" customHeight="1" x14ac:dyDescent="0.25">
      <c r="A3072" s="127">
        <v>44740</v>
      </c>
      <c r="B3072" s="128" t="s">
        <v>20986</v>
      </c>
      <c r="C3072" s="129" t="s">
        <v>204</v>
      </c>
      <c r="D3072" s="130">
        <v>3353.5</v>
      </c>
      <c r="E3072" s="131">
        <v>44740</v>
      </c>
      <c r="F3072" s="132">
        <v>3353.5</v>
      </c>
      <c r="G3072" s="133">
        <f>Tabla147[[#This Row],[Importe]]-Tabla147[[#This Row],[Pagado]]</f>
        <v>0</v>
      </c>
      <c r="H3072" s="134" t="s">
        <v>10</v>
      </c>
      <c r="I3072" s="135"/>
    </row>
    <row r="3073" spans="1:9" ht="21.75" customHeight="1" x14ac:dyDescent="0.25">
      <c r="A3073" s="127">
        <v>44740</v>
      </c>
      <c r="B3073" s="128" t="s">
        <v>20987</v>
      </c>
      <c r="C3073" s="129" t="s">
        <v>433</v>
      </c>
      <c r="D3073" s="130">
        <v>36000</v>
      </c>
      <c r="E3073" s="131">
        <v>44740</v>
      </c>
      <c r="F3073" s="132">
        <v>36000</v>
      </c>
      <c r="G3073" s="133">
        <f>Tabla147[[#This Row],[Importe]]-Tabla147[[#This Row],[Pagado]]</f>
        <v>0</v>
      </c>
      <c r="H3073" s="134" t="s">
        <v>10</v>
      </c>
      <c r="I3073" s="135"/>
    </row>
    <row r="3074" spans="1:9" ht="21.75" customHeight="1" x14ac:dyDescent="0.25">
      <c r="A3074" s="127">
        <v>44740</v>
      </c>
      <c r="B3074" s="128" t="s">
        <v>20988</v>
      </c>
      <c r="C3074" s="129" t="s">
        <v>181</v>
      </c>
      <c r="D3074" s="130">
        <v>9129</v>
      </c>
      <c r="E3074" s="131">
        <v>44741</v>
      </c>
      <c r="F3074" s="132">
        <v>9129</v>
      </c>
      <c r="G3074" s="133">
        <f>Tabla147[[#This Row],[Importe]]-Tabla147[[#This Row],[Pagado]]</f>
        <v>0</v>
      </c>
      <c r="H3074" s="134" t="s">
        <v>10</v>
      </c>
      <c r="I3074" s="135"/>
    </row>
    <row r="3075" spans="1:9" ht="21.75" customHeight="1" x14ac:dyDescent="0.25">
      <c r="A3075" s="127">
        <v>44740</v>
      </c>
      <c r="B3075" s="128" t="s">
        <v>20989</v>
      </c>
      <c r="C3075" s="129" t="s">
        <v>181</v>
      </c>
      <c r="D3075" s="130">
        <v>5205</v>
      </c>
      <c r="E3075" s="131">
        <v>44741</v>
      </c>
      <c r="F3075" s="132">
        <v>5205</v>
      </c>
      <c r="G3075" s="133">
        <f>Tabla147[[#This Row],[Importe]]-Tabla147[[#This Row],[Pagado]]</f>
        <v>0</v>
      </c>
      <c r="H3075" s="134" t="s">
        <v>10</v>
      </c>
      <c r="I3075" s="135"/>
    </row>
    <row r="3076" spans="1:9" ht="21.75" customHeight="1" x14ac:dyDescent="0.25">
      <c r="A3076" s="127">
        <v>44740</v>
      </c>
      <c r="B3076" s="128" t="s">
        <v>20990</v>
      </c>
      <c r="C3076" s="129" t="s">
        <v>452</v>
      </c>
      <c r="D3076" s="130">
        <v>3800</v>
      </c>
      <c r="E3076" s="131">
        <v>44740</v>
      </c>
      <c r="F3076" s="132">
        <v>3800</v>
      </c>
      <c r="G3076" s="133">
        <f>Tabla147[[#This Row],[Importe]]-Tabla147[[#This Row],[Pagado]]</f>
        <v>0</v>
      </c>
      <c r="H3076" s="134" t="s">
        <v>10</v>
      </c>
      <c r="I3076" s="135"/>
    </row>
    <row r="3077" spans="1:9" ht="21.75" customHeight="1" x14ac:dyDescent="0.25">
      <c r="A3077" s="127">
        <v>44740</v>
      </c>
      <c r="B3077" s="128" t="s">
        <v>20991</v>
      </c>
      <c r="C3077" s="129" t="s">
        <v>1421</v>
      </c>
      <c r="D3077" s="130">
        <v>22767</v>
      </c>
      <c r="E3077" s="131">
        <v>44740</v>
      </c>
      <c r="F3077" s="132">
        <v>22767</v>
      </c>
      <c r="G3077" s="133">
        <f>Tabla147[[#This Row],[Importe]]-Tabla147[[#This Row],[Pagado]]</f>
        <v>0</v>
      </c>
      <c r="H3077" s="134" t="s">
        <v>10</v>
      </c>
      <c r="I3077" s="135"/>
    </row>
    <row r="3078" spans="1:9" ht="21.75" customHeight="1" x14ac:dyDescent="0.25">
      <c r="A3078" s="127">
        <v>44740</v>
      </c>
      <c r="B3078" s="128" t="s">
        <v>20992</v>
      </c>
      <c r="C3078" s="129" t="s">
        <v>22</v>
      </c>
      <c r="D3078" s="130">
        <v>11497.6</v>
      </c>
      <c r="E3078" s="131">
        <v>44741</v>
      </c>
      <c r="F3078" s="132">
        <v>11497.6</v>
      </c>
      <c r="G3078" s="133">
        <f>Tabla147[[#This Row],[Importe]]-Tabla147[[#This Row],[Pagado]]</f>
        <v>0</v>
      </c>
      <c r="H3078" s="134" t="s">
        <v>10</v>
      </c>
      <c r="I3078" s="135"/>
    </row>
    <row r="3079" spans="1:9" ht="21.75" customHeight="1" x14ac:dyDescent="0.25">
      <c r="A3079" s="127">
        <v>44740</v>
      </c>
      <c r="B3079" s="128" t="s">
        <v>20993</v>
      </c>
      <c r="C3079" s="129" t="s">
        <v>426</v>
      </c>
      <c r="D3079" s="130">
        <v>4695</v>
      </c>
      <c r="E3079" s="131">
        <v>44741</v>
      </c>
      <c r="F3079" s="132">
        <v>4695</v>
      </c>
      <c r="G3079" s="133">
        <f>Tabla147[[#This Row],[Importe]]-Tabla147[[#This Row],[Pagado]]</f>
        <v>0</v>
      </c>
      <c r="H3079" s="134" t="s">
        <v>10</v>
      </c>
      <c r="I3079" s="135"/>
    </row>
    <row r="3080" spans="1:9" ht="21.75" customHeight="1" x14ac:dyDescent="0.25">
      <c r="A3080" s="127">
        <v>44740</v>
      </c>
      <c r="B3080" s="128" t="s">
        <v>20994</v>
      </c>
      <c r="C3080" s="129" t="s">
        <v>200</v>
      </c>
      <c r="D3080" s="130">
        <v>1360.8</v>
      </c>
      <c r="E3080" s="131">
        <v>44741</v>
      </c>
      <c r="F3080" s="132">
        <v>1360.8</v>
      </c>
      <c r="G3080" s="133">
        <f>Tabla147[[#This Row],[Importe]]-Tabla147[[#This Row],[Pagado]]</f>
        <v>0</v>
      </c>
      <c r="H3080" s="134" t="s">
        <v>10</v>
      </c>
      <c r="I3080" s="135"/>
    </row>
    <row r="3081" spans="1:9" ht="21.75" customHeight="1" x14ac:dyDescent="0.25">
      <c r="A3081" s="127">
        <v>44740</v>
      </c>
      <c r="B3081" s="128" t="s">
        <v>20995</v>
      </c>
      <c r="C3081" s="129" t="s">
        <v>1421</v>
      </c>
      <c r="D3081" s="130">
        <v>211.8</v>
      </c>
      <c r="E3081" s="131">
        <v>44740</v>
      </c>
      <c r="F3081" s="132">
        <v>211.8</v>
      </c>
      <c r="G3081" s="133">
        <f>Tabla147[[#This Row],[Importe]]-Tabla147[[#This Row],[Pagado]]</f>
        <v>0</v>
      </c>
      <c r="H3081" s="134" t="s">
        <v>10</v>
      </c>
      <c r="I3081" s="135"/>
    </row>
    <row r="3082" spans="1:9" ht="21.75" customHeight="1" x14ac:dyDescent="0.25">
      <c r="A3082" s="127">
        <v>44740</v>
      </c>
      <c r="B3082" s="128" t="s">
        <v>20996</v>
      </c>
      <c r="C3082" s="129" t="s">
        <v>450</v>
      </c>
      <c r="D3082" s="130">
        <v>550</v>
      </c>
      <c r="E3082" s="131">
        <v>44740</v>
      </c>
      <c r="F3082" s="132">
        <v>550</v>
      </c>
      <c r="G3082" s="133">
        <f>Tabla147[[#This Row],[Importe]]-Tabla147[[#This Row],[Pagado]]</f>
        <v>0</v>
      </c>
      <c r="H3082" s="134" t="s">
        <v>10</v>
      </c>
      <c r="I3082" s="135"/>
    </row>
    <row r="3083" spans="1:9" ht="21.75" customHeight="1" x14ac:dyDescent="0.25">
      <c r="A3083" s="127">
        <v>44740</v>
      </c>
      <c r="B3083" s="128" t="s">
        <v>20997</v>
      </c>
      <c r="C3083" s="129" t="s">
        <v>9</v>
      </c>
      <c r="D3083" s="130">
        <v>4942.5</v>
      </c>
      <c r="E3083" s="131">
        <v>44740</v>
      </c>
      <c r="F3083" s="132">
        <v>4942.5</v>
      </c>
      <c r="G3083" s="133">
        <f>Tabla147[[#This Row],[Importe]]-Tabla147[[#This Row],[Pagado]]</f>
        <v>0</v>
      </c>
      <c r="H3083" s="134" t="s">
        <v>10</v>
      </c>
      <c r="I3083" s="135"/>
    </row>
    <row r="3084" spans="1:9" ht="21.75" customHeight="1" x14ac:dyDescent="0.25">
      <c r="A3084" s="127">
        <v>44740</v>
      </c>
      <c r="B3084" s="128" t="s">
        <v>20998</v>
      </c>
      <c r="C3084" s="129" t="s">
        <v>196</v>
      </c>
      <c r="D3084" s="130">
        <v>133753.5</v>
      </c>
      <c r="E3084" s="131">
        <v>44743</v>
      </c>
      <c r="F3084" s="132">
        <v>133753.5</v>
      </c>
      <c r="G3084" s="133">
        <f>Tabla147[[#This Row],[Importe]]-Tabla147[[#This Row],[Pagado]]</f>
        <v>0</v>
      </c>
      <c r="H3084" s="134" t="s">
        <v>10</v>
      </c>
      <c r="I3084" s="135"/>
    </row>
    <row r="3085" spans="1:9" ht="21.75" customHeight="1" x14ac:dyDescent="0.25">
      <c r="A3085" s="127">
        <v>44740</v>
      </c>
      <c r="B3085" s="128" t="s">
        <v>20999</v>
      </c>
      <c r="C3085" s="129" t="s">
        <v>14</v>
      </c>
      <c r="D3085" s="130">
        <v>6479</v>
      </c>
      <c r="E3085" s="131">
        <v>44740</v>
      </c>
      <c r="F3085" s="132">
        <v>6479</v>
      </c>
      <c r="G3085" s="133">
        <f>Tabla147[[#This Row],[Importe]]-Tabla147[[#This Row],[Pagado]]</f>
        <v>0</v>
      </c>
      <c r="H3085" s="134" t="s">
        <v>10</v>
      </c>
      <c r="I3085" s="135"/>
    </row>
    <row r="3086" spans="1:9" ht="21.75" customHeight="1" x14ac:dyDescent="0.25">
      <c r="A3086" s="127">
        <v>44740</v>
      </c>
      <c r="B3086" s="128" t="s">
        <v>21000</v>
      </c>
      <c r="C3086" s="129" t="s">
        <v>14</v>
      </c>
      <c r="D3086" s="130">
        <v>1845</v>
      </c>
      <c r="E3086" s="131">
        <v>44740</v>
      </c>
      <c r="F3086" s="132">
        <v>1845</v>
      </c>
      <c r="G3086" s="133">
        <f>Tabla147[[#This Row],[Importe]]-Tabla147[[#This Row],[Pagado]]</f>
        <v>0</v>
      </c>
      <c r="H3086" s="134" t="s">
        <v>10</v>
      </c>
      <c r="I3086" s="135"/>
    </row>
    <row r="3087" spans="1:9" ht="21.75" customHeight="1" x14ac:dyDescent="0.25">
      <c r="A3087" s="127">
        <v>44740</v>
      </c>
      <c r="B3087" s="128" t="s">
        <v>21001</v>
      </c>
      <c r="C3087" s="129" t="s">
        <v>407</v>
      </c>
      <c r="D3087" s="130">
        <v>14400</v>
      </c>
      <c r="E3087" s="131">
        <v>44742</v>
      </c>
      <c r="F3087" s="132">
        <v>14400</v>
      </c>
      <c r="G3087" s="133">
        <f>Tabla147[[#This Row],[Importe]]-Tabla147[[#This Row],[Pagado]]</f>
        <v>0</v>
      </c>
      <c r="H3087" s="134" t="s">
        <v>10</v>
      </c>
      <c r="I3087" s="135"/>
    </row>
    <row r="3088" spans="1:9" ht="21.75" customHeight="1" x14ac:dyDescent="0.25">
      <c r="A3088" s="127">
        <v>44740</v>
      </c>
      <c r="B3088" s="128" t="s">
        <v>21002</v>
      </c>
      <c r="C3088" s="129" t="s">
        <v>804</v>
      </c>
      <c r="D3088" s="130">
        <v>14157.8</v>
      </c>
      <c r="E3088" s="131">
        <v>44740</v>
      </c>
      <c r="F3088" s="132">
        <v>14157.8</v>
      </c>
      <c r="G3088" s="133">
        <f>Tabla147[[#This Row],[Importe]]-Tabla147[[#This Row],[Pagado]]</f>
        <v>0</v>
      </c>
      <c r="H3088" s="134" t="s">
        <v>10</v>
      </c>
      <c r="I3088" s="135"/>
    </row>
    <row r="3089" spans="1:9" ht="21.75" customHeight="1" x14ac:dyDescent="0.25">
      <c r="A3089" s="127">
        <v>44740</v>
      </c>
      <c r="B3089" s="128" t="s">
        <v>21003</v>
      </c>
      <c r="C3089" s="129" t="s">
        <v>146</v>
      </c>
      <c r="D3089" s="130">
        <v>2956.5</v>
      </c>
      <c r="E3089" s="131">
        <v>44741</v>
      </c>
      <c r="F3089" s="132">
        <v>2956.5</v>
      </c>
      <c r="G3089" s="133">
        <f>Tabla147[[#This Row],[Importe]]-Tabla147[[#This Row],[Pagado]]</f>
        <v>0</v>
      </c>
      <c r="H3089" s="134" t="s">
        <v>10</v>
      </c>
      <c r="I3089" s="135"/>
    </row>
    <row r="3090" spans="1:9" ht="21.75" customHeight="1" x14ac:dyDescent="0.25">
      <c r="A3090" s="127">
        <v>44740</v>
      </c>
      <c r="B3090" s="128" t="s">
        <v>21004</v>
      </c>
      <c r="C3090" s="129" t="s">
        <v>10678</v>
      </c>
      <c r="D3090" s="130">
        <v>2608.9</v>
      </c>
      <c r="E3090" s="131">
        <v>44740</v>
      </c>
      <c r="F3090" s="132">
        <v>2608.9</v>
      </c>
      <c r="G3090" s="133">
        <f>Tabla147[[#This Row],[Importe]]-Tabla147[[#This Row],[Pagado]]</f>
        <v>0</v>
      </c>
      <c r="H3090" s="134" t="s">
        <v>10</v>
      </c>
      <c r="I3090" s="135"/>
    </row>
    <row r="3091" spans="1:9" ht="21.75" customHeight="1" x14ac:dyDescent="0.25">
      <c r="A3091" s="127">
        <v>44740</v>
      </c>
      <c r="B3091" s="128" t="s">
        <v>21005</v>
      </c>
      <c r="C3091" s="129" t="s">
        <v>5694</v>
      </c>
      <c r="D3091" s="130">
        <v>4409.2</v>
      </c>
      <c r="E3091" s="131">
        <v>44740</v>
      </c>
      <c r="F3091" s="132">
        <v>4409.2</v>
      </c>
      <c r="G3091" s="133">
        <f>Tabla147[[#This Row],[Importe]]-Tabla147[[#This Row],[Pagado]]</f>
        <v>0</v>
      </c>
      <c r="H3091" s="134" t="s">
        <v>10</v>
      </c>
      <c r="I3091" s="135"/>
    </row>
    <row r="3092" spans="1:9" ht="21.75" customHeight="1" x14ac:dyDescent="0.25">
      <c r="A3092" s="127">
        <v>44740</v>
      </c>
      <c r="B3092" s="128" t="s">
        <v>21006</v>
      </c>
      <c r="C3092" s="129" t="s">
        <v>240</v>
      </c>
      <c r="D3092" s="130">
        <v>12028</v>
      </c>
      <c r="E3092" s="131">
        <v>44740</v>
      </c>
      <c r="F3092" s="132">
        <v>12028</v>
      </c>
      <c r="G3092" s="133">
        <f>Tabla147[[#This Row],[Importe]]-Tabla147[[#This Row],[Pagado]]</f>
        <v>0</v>
      </c>
      <c r="H3092" s="134" t="s">
        <v>10</v>
      </c>
      <c r="I3092" s="135"/>
    </row>
    <row r="3093" spans="1:9" ht="21.75" customHeight="1" x14ac:dyDescent="0.25">
      <c r="A3093" s="127">
        <v>44740</v>
      </c>
      <c r="B3093" s="128" t="s">
        <v>21007</v>
      </c>
      <c r="C3093" s="129" t="s">
        <v>654</v>
      </c>
      <c r="D3093" s="130">
        <v>8232.6</v>
      </c>
      <c r="E3093" s="131">
        <v>44743</v>
      </c>
      <c r="F3093" s="132">
        <v>8232.6</v>
      </c>
      <c r="G3093" s="133">
        <f>Tabla147[[#This Row],[Importe]]-Tabla147[[#This Row],[Pagado]]</f>
        <v>0</v>
      </c>
      <c r="H3093" s="134" t="s">
        <v>10</v>
      </c>
      <c r="I3093" s="135"/>
    </row>
    <row r="3094" spans="1:9" ht="21.75" customHeight="1" x14ac:dyDescent="0.25">
      <c r="A3094" s="127">
        <v>44740</v>
      </c>
      <c r="B3094" s="128" t="s">
        <v>21008</v>
      </c>
      <c r="C3094" s="129" t="s">
        <v>373</v>
      </c>
      <c r="D3094" s="130">
        <v>1930.4</v>
      </c>
      <c r="E3094" s="131">
        <v>44740</v>
      </c>
      <c r="F3094" s="132">
        <v>1930.4</v>
      </c>
      <c r="G3094" s="133">
        <f>Tabla147[[#This Row],[Importe]]-Tabla147[[#This Row],[Pagado]]</f>
        <v>0</v>
      </c>
      <c r="H3094" s="134" t="s">
        <v>10</v>
      </c>
      <c r="I3094" s="135"/>
    </row>
    <row r="3095" spans="1:9" ht="21.75" customHeight="1" x14ac:dyDescent="0.25">
      <c r="A3095" s="127">
        <v>44740</v>
      </c>
      <c r="B3095" s="128" t="s">
        <v>21009</v>
      </c>
      <c r="C3095" s="129" t="s">
        <v>161</v>
      </c>
      <c r="D3095" s="130">
        <v>4070</v>
      </c>
      <c r="E3095" s="131">
        <v>44741</v>
      </c>
      <c r="F3095" s="132">
        <v>4070</v>
      </c>
      <c r="G3095" s="133">
        <f>Tabla147[[#This Row],[Importe]]-Tabla147[[#This Row],[Pagado]]</f>
        <v>0</v>
      </c>
      <c r="H3095" s="134" t="s">
        <v>10</v>
      </c>
      <c r="I3095" s="135"/>
    </row>
    <row r="3096" spans="1:9" ht="21.75" customHeight="1" x14ac:dyDescent="0.25">
      <c r="A3096" s="127">
        <v>44740</v>
      </c>
      <c r="B3096" s="128" t="s">
        <v>21010</v>
      </c>
      <c r="C3096" s="129" t="s">
        <v>53</v>
      </c>
      <c r="D3096" s="130">
        <v>1110</v>
      </c>
      <c r="E3096" s="131">
        <v>44740</v>
      </c>
      <c r="F3096" s="132">
        <v>1110</v>
      </c>
      <c r="G3096" s="133">
        <f>Tabla147[[#This Row],[Importe]]-Tabla147[[#This Row],[Pagado]]</f>
        <v>0</v>
      </c>
      <c r="H3096" s="134" t="s">
        <v>10</v>
      </c>
      <c r="I3096" s="135"/>
    </row>
    <row r="3097" spans="1:9" ht="21.75" customHeight="1" x14ac:dyDescent="0.25">
      <c r="A3097" s="127">
        <v>44740</v>
      </c>
      <c r="B3097" s="128" t="s">
        <v>21011</v>
      </c>
      <c r="C3097" s="129" t="s">
        <v>280</v>
      </c>
      <c r="D3097" s="130">
        <v>756</v>
      </c>
      <c r="E3097" s="131">
        <v>44741</v>
      </c>
      <c r="F3097" s="132">
        <v>756</v>
      </c>
      <c r="G3097" s="133">
        <f>Tabla147[[#This Row],[Importe]]-Tabla147[[#This Row],[Pagado]]</f>
        <v>0</v>
      </c>
      <c r="H3097" s="134" t="s">
        <v>10</v>
      </c>
      <c r="I3097" s="135"/>
    </row>
    <row r="3098" spans="1:9" ht="21.75" customHeight="1" x14ac:dyDescent="0.25">
      <c r="A3098" s="127">
        <v>44740</v>
      </c>
      <c r="B3098" s="128" t="s">
        <v>21012</v>
      </c>
      <c r="C3098" s="129" t="s">
        <v>282</v>
      </c>
      <c r="D3098" s="130">
        <v>1461.6</v>
      </c>
      <c r="E3098" s="131">
        <v>44741</v>
      </c>
      <c r="F3098" s="132">
        <v>1461.6</v>
      </c>
      <c r="G3098" s="133">
        <f>Tabla147[[#This Row],[Importe]]-Tabla147[[#This Row],[Pagado]]</f>
        <v>0</v>
      </c>
      <c r="H3098" s="134" t="s">
        <v>10</v>
      </c>
      <c r="I3098" s="135"/>
    </row>
    <row r="3099" spans="1:9" ht="21.75" customHeight="1" x14ac:dyDescent="0.25">
      <c r="A3099" s="127">
        <v>44740</v>
      </c>
      <c r="B3099" s="128" t="s">
        <v>21013</v>
      </c>
      <c r="C3099" s="129" t="s">
        <v>284</v>
      </c>
      <c r="D3099" s="130">
        <v>9007.2000000000007</v>
      </c>
      <c r="E3099" s="131">
        <v>44741</v>
      </c>
      <c r="F3099" s="132">
        <v>9007.2000000000007</v>
      </c>
      <c r="G3099" s="133">
        <f>Tabla147[[#This Row],[Importe]]-Tabla147[[#This Row],[Pagado]]</f>
        <v>0</v>
      </c>
      <c r="H3099" s="134" t="s">
        <v>10</v>
      </c>
      <c r="I3099" s="135"/>
    </row>
    <row r="3100" spans="1:9" ht="21.75" customHeight="1" x14ac:dyDescent="0.25">
      <c r="A3100" s="127">
        <v>44740</v>
      </c>
      <c r="B3100" s="128" t="s">
        <v>21014</v>
      </c>
      <c r="C3100" s="129" t="s">
        <v>296</v>
      </c>
      <c r="D3100" s="130">
        <v>3019.2</v>
      </c>
      <c r="E3100" s="131">
        <v>44741</v>
      </c>
      <c r="F3100" s="132">
        <v>3019.2</v>
      </c>
      <c r="G3100" s="133">
        <f>Tabla147[[#This Row],[Importe]]-Tabla147[[#This Row],[Pagado]]</f>
        <v>0</v>
      </c>
      <c r="H3100" s="134" t="s">
        <v>10</v>
      </c>
      <c r="I3100" s="135"/>
    </row>
    <row r="3101" spans="1:9" ht="21.75" customHeight="1" x14ac:dyDescent="0.25">
      <c r="A3101" s="127">
        <v>44741</v>
      </c>
      <c r="B3101" s="128" t="s">
        <v>21015</v>
      </c>
      <c r="C3101" s="129" t="s">
        <v>75</v>
      </c>
      <c r="D3101" s="130">
        <v>3520.8</v>
      </c>
      <c r="E3101" s="131">
        <v>44741</v>
      </c>
      <c r="F3101" s="132">
        <v>3520.8</v>
      </c>
      <c r="G3101" s="133">
        <f>Tabla147[[#This Row],[Importe]]-Tabla147[[#This Row],[Pagado]]</f>
        <v>0</v>
      </c>
      <c r="H3101" s="134" t="s">
        <v>10</v>
      </c>
      <c r="I3101" s="135"/>
    </row>
    <row r="3102" spans="1:9" ht="21.75" customHeight="1" x14ac:dyDescent="0.25">
      <c r="A3102" s="127">
        <v>44741</v>
      </c>
      <c r="B3102" s="128" t="s">
        <v>21016</v>
      </c>
      <c r="C3102" s="129" t="s">
        <v>212</v>
      </c>
      <c r="D3102" s="130">
        <v>30686.7</v>
      </c>
      <c r="E3102" s="131">
        <v>44748</v>
      </c>
      <c r="F3102" s="132">
        <v>30686.7</v>
      </c>
      <c r="G3102" s="133">
        <f>Tabla147[[#This Row],[Importe]]-Tabla147[[#This Row],[Pagado]]</f>
        <v>0</v>
      </c>
      <c r="H3102" s="134" t="s">
        <v>10</v>
      </c>
      <c r="I3102" s="135"/>
    </row>
    <row r="3103" spans="1:9" ht="31.5" x14ac:dyDescent="0.25">
      <c r="A3103" s="127">
        <v>44741</v>
      </c>
      <c r="B3103" s="128" t="s">
        <v>21017</v>
      </c>
      <c r="C3103" s="129" t="s">
        <v>475</v>
      </c>
      <c r="D3103" s="130">
        <v>55251.199999999997</v>
      </c>
      <c r="E3103" s="131" t="s">
        <v>21260</v>
      </c>
      <c r="F3103" s="132">
        <f>46500+8751.2</f>
        <v>55251.199999999997</v>
      </c>
      <c r="G3103" s="133">
        <f>Tabla147[[#This Row],[Importe]]-Tabla147[[#This Row],[Pagado]]</f>
        <v>0</v>
      </c>
      <c r="H3103" s="134" t="s">
        <v>10</v>
      </c>
      <c r="I3103" s="135"/>
    </row>
    <row r="3104" spans="1:9" ht="21.75" customHeight="1" x14ac:dyDescent="0.25">
      <c r="A3104" s="127">
        <v>44741</v>
      </c>
      <c r="B3104" s="128" t="s">
        <v>21018</v>
      </c>
      <c r="C3104" s="129" t="s">
        <v>154</v>
      </c>
      <c r="D3104" s="130">
        <v>42140.3</v>
      </c>
      <c r="E3104" s="131">
        <v>44744</v>
      </c>
      <c r="F3104" s="132">
        <v>42140.3</v>
      </c>
      <c r="G3104" s="133">
        <f>Tabla147[[#This Row],[Importe]]-Tabla147[[#This Row],[Pagado]]</f>
        <v>0</v>
      </c>
      <c r="H3104" s="134" t="s">
        <v>10</v>
      </c>
      <c r="I3104" s="135"/>
    </row>
    <row r="3105" spans="1:9" ht="21.75" customHeight="1" x14ac:dyDescent="0.25">
      <c r="A3105" s="127">
        <v>44741</v>
      </c>
      <c r="B3105" s="128" t="s">
        <v>21019</v>
      </c>
      <c r="C3105" s="129" t="s">
        <v>353</v>
      </c>
      <c r="D3105" s="130">
        <v>1040.9000000000001</v>
      </c>
      <c r="E3105" s="131">
        <v>44741</v>
      </c>
      <c r="F3105" s="132">
        <v>1040.9000000000001</v>
      </c>
      <c r="G3105" s="133">
        <f>Tabla147[[#This Row],[Importe]]-Tabla147[[#This Row],[Pagado]]</f>
        <v>0</v>
      </c>
      <c r="H3105" s="134" t="s">
        <v>10</v>
      </c>
      <c r="I3105" s="135"/>
    </row>
    <row r="3106" spans="1:9" ht="21.75" customHeight="1" x14ac:dyDescent="0.25">
      <c r="A3106" s="127">
        <v>44741</v>
      </c>
      <c r="B3106" s="128" t="s">
        <v>21020</v>
      </c>
      <c r="C3106" s="129" t="s">
        <v>218</v>
      </c>
      <c r="D3106" s="130">
        <v>21449.5</v>
      </c>
      <c r="E3106" s="131">
        <v>44744</v>
      </c>
      <c r="F3106" s="132">
        <v>21449.5</v>
      </c>
      <c r="G3106" s="133">
        <f>Tabla147[[#This Row],[Importe]]-Tabla147[[#This Row],[Pagado]]</f>
        <v>0</v>
      </c>
      <c r="H3106" s="134" t="s">
        <v>10</v>
      </c>
      <c r="I3106" s="135"/>
    </row>
    <row r="3107" spans="1:9" ht="21.75" customHeight="1" x14ac:dyDescent="0.25">
      <c r="A3107" s="127">
        <v>44741</v>
      </c>
      <c r="B3107" s="128" t="s">
        <v>21021</v>
      </c>
      <c r="C3107" s="129" t="s">
        <v>206</v>
      </c>
      <c r="D3107" s="130">
        <v>33371.199999999997</v>
      </c>
      <c r="E3107" s="131">
        <v>44744</v>
      </c>
      <c r="F3107" s="132">
        <v>33371.199999999997</v>
      </c>
      <c r="G3107" s="133">
        <f>Tabla147[[#This Row],[Importe]]-Tabla147[[#This Row],[Pagado]]</f>
        <v>0</v>
      </c>
      <c r="H3107" s="134" t="s">
        <v>10</v>
      </c>
      <c r="I3107" s="135"/>
    </row>
    <row r="3108" spans="1:9" ht="21.75" customHeight="1" x14ac:dyDescent="0.25">
      <c r="A3108" s="127">
        <v>44741</v>
      </c>
      <c r="B3108" s="128" t="s">
        <v>21022</v>
      </c>
      <c r="C3108" s="129" t="s">
        <v>484</v>
      </c>
      <c r="D3108" s="130">
        <v>1656</v>
      </c>
      <c r="E3108" s="131">
        <v>44741</v>
      </c>
      <c r="F3108" s="132">
        <v>1656</v>
      </c>
      <c r="G3108" s="133">
        <f>Tabla147[[#This Row],[Importe]]-Tabla147[[#This Row],[Pagado]]</f>
        <v>0</v>
      </c>
      <c r="H3108" s="134" t="s">
        <v>10</v>
      </c>
      <c r="I3108" s="135"/>
    </row>
    <row r="3109" spans="1:9" ht="21.75" customHeight="1" x14ac:dyDescent="0.25">
      <c r="A3109" s="127">
        <v>44741</v>
      </c>
      <c r="B3109" s="128" t="s">
        <v>21023</v>
      </c>
      <c r="C3109" s="129" t="s">
        <v>131</v>
      </c>
      <c r="D3109" s="130">
        <v>5716.8</v>
      </c>
      <c r="E3109" s="131">
        <v>44741</v>
      </c>
      <c r="F3109" s="132">
        <v>5716.8</v>
      </c>
      <c r="G3109" s="133">
        <f>Tabla147[[#This Row],[Importe]]-Tabla147[[#This Row],[Pagado]]</f>
        <v>0</v>
      </c>
      <c r="H3109" s="134" t="s">
        <v>10</v>
      </c>
      <c r="I3109" s="135"/>
    </row>
    <row r="3110" spans="1:9" ht="21.75" customHeight="1" x14ac:dyDescent="0.25">
      <c r="A3110" s="127">
        <v>44741</v>
      </c>
      <c r="B3110" s="128" t="s">
        <v>21024</v>
      </c>
      <c r="C3110" s="129" t="s">
        <v>173</v>
      </c>
      <c r="D3110" s="130">
        <v>18949.84</v>
      </c>
      <c r="E3110" s="131">
        <v>44742</v>
      </c>
      <c r="F3110" s="132">
        <v>18949.84</v>
      </c>
      <c r="G3110" s="133">
        <f>Tabla147[[#This Row],[Importe]]-Tabla147[[#This Row],[Pagado]]</f>
        <v>0</v>
      </c>
      <c r="H3110" s="134" t="s">
        <v>10</v>
      </c>
      <c r="I3110" s="135"/>
    </row>
    <row r="3111" spans="1:9" ht="21.75" customHeight="1" x14ac:dyDescent="0.25">
      <c r="A3111" s="127">
        <v>44741</v>
      </c>
      <c r="B3111" s="128" t="s">
        <v>21025</v>
      </c>
      <c r="C3111" s="129" t="s">
        <v>133</v>
      </c>
      <c r="D3111" s="130">
        <v>14950.4</v>
      </c>
      <c r="E3111" s="131">
        <v>44742</v>
      </c>
      <c r="F3111" s="132">
        <v>14950.4</v>
      </c>
      <c r="G3111" s="133">
        <f>Tabla147[[#This Row],[Importe]]-Tabla147[[#This Row],[Pagado]]</f>
        <v>0</v>
      </c>
      <c r="H3111" s="134" t="s">
        <v>10</v>
      </c>
      <c r="I3111" s="135"/>
    </row>
    <row r="3112" spans="1:9" ht="21.75" customHeight="1" x14ac:dyDescent="0.25">
      <c r="A3112" s="127">
        <v>44741</v>
      </c>
      <c r="B3112" s="128" t="s">
        <v>21026</v>
      </c>
      <c r="C3112" s="129" t="s">
        <v>9</v>
      </c>
      <c r="D3112" s="130">
        <v>8214.7000000000007</v>
      </c>
      <c r="E3112" s="131">
        <v>44741</v>
      </c>
      <c r="F3112" s="132">
        <v>8214.7000000000007</v>
      </c>
      <c r="G3112" s="133">
        <f>Tabla147[[#This Row],[Importe]]-Tabla147[[#This Row],[Pagado]]</f>
        <v>0</v>
      </c>
      <c r="H3112" s="134" t="s">
        <v>10</v>
      </c>
      <c r="I3112" s="135"/>
    </row>
    <row r="3113" spans="1:9" ht="21.75" customHeight="1" x14ac:dyDescent="0.25">
      <c r="A3113" s="127">
        <v>44741</v>
      </c>
      <c r="B3113" s="128" t="s">
        <v>21027</v>
      </c>
      <c r="C3113" s="129" t="s">
        <v>64</v>
      </c>
      <c r="D3113" s="130">
        <v>5280</v>
      </c>
      <c r="E3113" s="131">
        <v>44742</v>
      </c>
      <c r="F3113" s="132">
        <v>5280</v>
      </c>
      <c r="G3113" s="133">
        <f>Tabla147[[#This Row],[Importe]]-Tabla147[[#This Row],[Pagado]]</f>
        <v>0</v>
      </c>
      <c r="H3113" s="134" t="s">
        <v>10</v>
      </c>
      <c r="I3113" s="135"/>
    </row>
    <row r="3114" spans="1:9" ht="21.75" customHeight="1" x14ac:dyDescent="0.25">
      <c r="A3114" s="127">
        <v>44741</v>
      </c>
      <c r="B3114" s="128" t="s">
        <v>21028</v>
      </c>
      <c r="C3114" s="129" t="s">
        <v>99</v>
      </c>
      <c r="D3114" s="130">
        <v>5108.8</v>
      </c>
      <c r="E3114" s="131">
        <v>44743</v>
      </c>
      <c r="F3114" s="132">
        <v>5108.8</v>
      </c>
      <c r="G3114" s="133">
        <f>Tabla147[[#This Row],[Importe]]-Tabla147[[#This Row],[Pagado]]</f>
        <v>0</v>
      </c>
      <c r="H3114" s="134" t="s">
        <v>10</v>
      </c>
      <c r="I3114" s="135"/>
    </row>
    <row r="3115" spans="1:9" ht="21.75" customHeight="1" x14ac:dyDescent="0.25">
      <c r="A3115" s="127">
        <v>44741</v>
      </c>
      <c r="B3115" s="128" t="s">
        <v>21029</v>
      </c>
      <c r="C3115" s="129" t="s">
        <v>116</v>
      </c>
      <c r="D3115" s="130">
        <v>8024</v>
      </c>
      <c r="E3115" s="131">
        <v>44742</v>
      </c>
      <c r="F3115" s="132">
        <v>8024</v>
      </c>
      <c r="G3115" s="133">
        <f>Tabla147[[#This Row],[Importe]]-Tabla147[[#This Row],[Pagado]]</f>
        <v>0</v>
      </c>
      <c r="H3115" s="134" t="s">
        <v>10</v>
      </c>
      <c r="I3115" s="135"/>
    </row>
    <row r="3116" spans="1:9" ht="21.75" customHeight="1" x14ac:dyDescent="0.25">
      <c r="A3116" s="127">
        <v>44741</v>
      </c>
      <c r="B3116" s="128" t="s">
        <v>21030</v>
      </c>
      <c r="C3116" s="129" t="s">
        <v>97</v>
      </c>
      <c r="D3116" s="130">
        <v>5299.2</v>
      </c>
      <c r="E3116" s="131">
        <v>44742</v>
      </c>
      <c r="F3116" s="132">
        <v>5299.2</v>
      </c>
      <c r="G3116" s="133">
        <f>Tabla147[[#This Row],[Importe]]-Tabla147[[#This Row],[Pagado]]</f>
        <v>0</v>
      </c>
      <c r="H3116" s="134" t="s">
        <v>10</v>
      </c>
      <c r="I3116" s="135"/>
    </row>
    <row r="3117" spans="1:9" ht="21.75" customHeight="1" x14ac:dyDescent="0.25">
      <c r="A3117" s="127">
        <v>44741</v>
      </c>
      <c r="B3117" s="128" t="s">
        <v>21031</v>
      </c>
      <c r="C3117" s="129" t="s">
        <v>2563</v>
      </c>
      <c r="D3117" s="130">
        <v>5568</v>
      </c>
      <c r="E3117" s="131">
        <v>44742</v>
      </c>
      <c r="F3117" s="132">
        <v>5568</v>
      </c>
      <c r="G3117" s="133">
        <f>Tabla147[[#This Row],[Importe]]-Tabla147[[#This Row],[Pagado]]</f>
        <v>0</v>
      </c>
      <c r="H3117" s="134" t="s">
        <v>10</v>
      </c>
      <c r="I3117" s="135"/>
    </row>
    <row r="3118" spans="1:9" ht="21.75" customHeight="1" x14ac:dyDescent="0.25">
      <c r="A3118" s="127">
        <v>44741</v>
      </c>
      <c r="B3118" s="128" t="s">
        <v>21032</v>
      </c>
      <c r="C3118" s="129" t="s">
        <v>111</v>
      </c>
      <c r="D3118" s="130">
        <v>5778.4</v>
      </c>
      <c r="E3118" s="131">
        <v>44742</v>
      </c>
      <c r="F3118" s="132">
        <v>5778.4</v>
      </c>
      <c r="G3118" s="133">
        <f>Tabla147[[#This Row],[Importe]]-Tabla147[[#This Row],[Pagado]]</f>
        <v>0</v>
      </c>
      <c r="H3118" s="134" t="s">
        <v>10</v>
      </c>
      <c r="I3118" s="135"/>
    </row>
    <row r="3119" spans="1:9" ht="21.75" customHeight="1" x14ac:dyDescent="0.25">
      <c r="A3119" s="127">
        <v>44741</v>
      </c>
      <c r="B3119" s="128" t="s">
        <v>21033</v>
      </c>
      <c r="C3119" s="129" t="s">
        <v>93</v>
      </c>
      <c r="D3119" s="130">
        <v>9624.4</v>
      </c>
      <c r="E3119" s="131">
        <v>44743</v>
      </c>
      <c r="F3119" s="132">
        <v>9624.4</v>
      </c>
      <c r="G3119" s="133">
        <f>Tabla147[[#This Row],[Importe]]-Tabla147[[#This Row],[Pagado]]</f>
        <v>0</v>
      </c>
      <c r="H3119" s="134" t="s">
        <v>10</v>
      </c>
      <c r="I3119" s="135"/>
    </row>
    <row r="3120" spans="1:9" ht="21.75" customHeight="1" x14ac:dyDescent="0.25">
      <c r="A3120" s="127">
        <v>44741</v>
      </c>
      <c r="B3120" s="128" t="s">
        <v>21034</v>
      </c>
      <c r="C3120" s="129" t="s">
        <v>120</v>
      </c>
      <c r="D3120" s="130">
        <v>4915.2</v>
      </c>
      <c r="E3120" s="131">
        <v>44741</v>
      </c>
      <c r="F3120" s="132">
        <v>4915.2</v>
      </c>
      <c r="G3120" s="133">
        <f>Tabla147[[#This Row],[Importe]]-Tabla147[[#This Row],[Pagado]]</f>
        <v>0</v>
      </c>
      <c r="H3120" s="134" t="s">
        <v>10</v>
      </c>
      <c r="I3120" s="135"/>
    </row>
    <row r="3121" spans="1:9" ht="21.75" customHeight="1" x14ac:dyDescent="0.25">
      <c r="A3121" s="127">
        <v>44741</v>
      </c>
      <c r="B3121" s="128" t="s">
        <v>21035</v>
      </c>
      <c r="C3121" s="129" t="s">
        <v>114</v>
      </c>
      <c r="D3121" s="130">
        <v>5146</v>
      </c>
      <c r="E3121" s="131">
        <v>44742</v>
      </c>
      <c r="F3121" s="132">
        <v>5146</v>
      </c>
      <c r="G3121" s="133">
        <f>Tabla147[[#This Row],[Importe]]-Tabla147[[#This Row],[Pagado]]</f>
        <v>0</v>
      </c>
      <c r="H3121" s="134" t="s">
        <v>10</v>
      </c>
      <c r="I3121" s="135"/>
    </row>
    <row r="3122" spans="1:9" ht="21.75" customHeight="1" x14ac:dyDescent="0.25">
      <c r="A3122" s="127">
        <v>44741</v>
      </c>
      <c r="B3122" s="128" t="s">
        <v>21036</v>
      </c>
      <c r="C3122" s="129" t="s">
        <v>105</v>
      </c>
      <c r="D3122" s="130">
        <v>12525.4</v>
      </c>
      <c r="E3122" s="131">
        <v>44742</v>
      </c>
      <c r="F3122" s="132">
        <v>12525.4</v>
      </c>
      <c r="G3122" s="133">
        <f>Tabla147[[#This Row],[Importe]]-Tabla147[[#This Row],[Pagado]]</f>
        <v>0</v>
      </c>
      <c r="H3122" s="134" t="s">
        <v>10</v>
      </c>
      <c r="I3122" s="135"/>
    </row>
    <row r="3123" spans="1:9" ht="21.75" customHeight="1" x14ac:dyDescent="0.25">
      <c r="A3123" s="127">
        <v>44741</v>
      </c>
      <c r="B3123" s="128" t="s">
        <v>21037</v>
      </c>
      <c r="C3123" s="129" t="s">
        <v>2151</v>
      </c>
      <c r="D3123" s="130">
        <v>16932.2</v>
      </c>
      <c r="E3123" s="131">
        <v>44741</v>
      </c>
      <c r="F3123" s="132">
        <v>16932.2</v>
      </c>
      <c r="G3123" s="133">
        <f>Tabla147[[#This Row],[Importe]]-Tabla147[[#This Row],[Pagado]]</f>
        <v>0</v>
      </c>
      <c r="H3123" s="134" t="s">
        <v>10</v>
      </c>
      <c r="I3123" s="135"/>
    </row>
    <row r="3124" spans="1:9" ht="21.75" customHeight="1" x14ac:dyDescent="0.25">
      <c r="A3124" s="127">
        <v>44741</v>
      </c>
      <c r="B3124" s="128" t="s">
        <v>21038</v>
      </c>
      <c r="C3124" s="129" t="s">
        <v>5816</v>
      </c>
      <c r="D3124" s="130">
        <v>14874</v>
      </c>
      <c r="E3124" s="131">
        <v>44742</v>
      </c>
      <c r="F3124" s="132">
        <v>14874</v>
      </c>
      <c r="G3124" s="133">
        <f>Tabla147[[#This Row],[Importe]]-Tabla147[[#This Row],[Pagado]]</f>
        <v>0</v>
      </c>
      <c r="H3124" s="134" t="s">
        <v>10</v>
      </c>
      <c r="I3124" s="135"/>
    </row>
    <row r="3125" spans="1:9" ht="21.75" customHeight="1" x14ac:dyDescent="0.25">
      <c r="A3125" s="127">
        <v>44741</v>
      </c>
      <c r="B3125" s="128" t="s">
        <v>21039</v>
      </c>
      <c r="C3125" s="129" t="s">
        <v>348</v>
      </c>
      <c r="D3125" s="130">
        <v>4037.6</v>
      </c>
      <c r="E3125" s="131">
        <v>44741</v>
      </c>
      <c r="F3125" s="132">
        <v>4037.6</v>
      </c>
      <c r="G3125" s="133">
        <f>Tabla147[[#This Row],[Importe]]-Tabla147[[#This Row],[Pagado]]</f>
        <v>0</v>
      </c>
      <c r="H3125" s="134" t="s">
        <v>10</v>
      </c>
      <c r="I3125" s="135"/>
    </row>
    <row r="3126" spans="1:9" ht="21.75" customHeight="1" x14ac:dyDescent="0.25">
      <c r="A3126" s="127">
        <v>44741</v>
      </c>
      <c r="B3126" s="128" t="s">
        <v>21040</v>
      </c>
      <c r="C3126" s="129" t="s">
        <v>89</v>
      </c>
      <c r="D3126" s="130">
        <v>11189.4</v>
      </c>
      <c r="E3126" s="131">
        <v>44742</v>
      </c>
      <c r="F3126" s="132">
        <v>11189.4</v>
      </c>
      <c r="G3126" s="133">
        <f>Tabla147[[#This Row],[Importe]]-Tabla147[[#This Row],[Pagado]]</f>
        <v>0</v>
      </c>
      <c r="H3126" s="134" t="s">
        <v>10</v>
      </c>
      <c r="I3126" s="135"/>
    </row>
    <row r="3127" spans="1:9" ht="21.75" customHeight="1" x14ac:dyDescent="0.25">
      <c r="A3127" s="127">
        <v>44741</v>
      </c>
      <c r="B3127" s="128" t="s">
        <v>21041</v>
      </c>
      <c r="C3127" s="129" t="s">
        <v>5816</v>
      </c>
      <c r="D3127" s="130">
        <v>7828</v>
      </c>
      <c r="E3127" s="131">
        <v>44742</v>
      </c>
      <c r="F3127" s="132">
        <v>7828</v>
      </c>
      <c r="G3127" s="133">
        <f>Tabla147[[#This Row],[Importe]]-Tabla147[[#This Row],[Pagado]]</f>
        <v>0</v>
      </c>
      <c r="H3127" s="134" t="s">
        <v>10</v>
      </c>
      <c r="I3127" s="135"/>
    </row>
    <row r="3128" spans="1:9" ht="21.75" customHeight="1" x14ac:dyDescent="0.25">
      <c r="A3128" s="127">
        <v>44741</v>
      </c>
      <c r="B3128" s="128" t="s">
        <v>21042</v>
      </c>
      <c r="C3128" s="129" t="s">
        <v>1038</v>
      </c>
      <c r="D3128" s="130">
        <v>2299.8000000000002</v>
      </c>
      <c r="E3128" s="131">
        <v>44741</v>
      </c>
      <c r="F3128" s="132">
        <v>2299.8000000000002</v>
      </c>
      <c r="G3128" s="133">
        <f>Tabla147[[#This Row],[Importe]]-Tabla147[[#This Row],[Pagado]]</f>
        <v>0</v>
      </c>
      <c r="H3128" s="134" t="s">
        <v>10</v>
      </c>
      <c r="I3128" s="135"/>
    </row>
    <row r="3129" spans="1:9" ht="21.75" customHeight="1" x14ac:dyDescent="0.25">
      <c r="A3129" s="127">
        <v>44741</v>
      </c>
      <c r="B3129" s="128" t="s">
        <v>21043</v>
      </c>
      <c r="C3129" s="129" t="s">
        <v>83</v>
      </c>
      <c r="D3129" s="130">
        <v>5826.9</v>
      </c>
      <c r="E3129" s="131">
        <v>44741</v>
      </c>
      <c r="F3129" s="132">
        <v>5826.9</v>
      </c>
      <c r="G3129" s="133">
        <f>Tabla147[[#This Row],[Importe]]-Tabla147[[#This Row],[Pagado]]</f>
        <v>0</v>
      </c>
      <c r="H3129" s="134" t="s">
        <v>10</v>
      </c>
      <c r="I3129" s="135"/>
    </row>
    <row r="3130" spans="1:9" ht="21.75" customHeight="1" x14ac:dyDescent="0.25">
      <c r="A3130" s="127">
        <v>44741</v>
      </c>
      <c r="B3130" s="128" t="s">
        <v>21044</v>
      </c>
      <c r="C3130" s="129" t="s">
        <v>87</v>
      </c>
      <c r="D3130" s="130">
        <v>2360.8000000000002</v>
      </c>
      <c r="E3130" s="131">
        <v>44741</v>
      </c>
      <c r="F3130" s="132">
        <v>2360.8000000000002</v>
      </c>
      <c r="G3130" s="133">
        <f>Tabla147[[#This Row],[Importe]]-Tabla147[[#This Row],[Pagado]]</f>
        <v>0</v>
      </c>
      <c r="H3130" s="134" t="s">
        <v>10</v>
      </c>
      <c r="I3130" s="135"/>
    </row>
    <row r="3131" spans="1:9" ht="21.75" customHeight="1" x14ac:dyDescent="0.25">
      <c r="A3131" s="127">
        <v>44741</v>
      </c>
      <c r="B3131" s="128" t="s">
        <v>21045</v>
      </c>
      <c r="C3131" s="129" t="s">
        <v>357</v>
      </c>
      <c r="D3131" s="130">
        <v>592</v>
      </c>
      <c r="E3131" s="131">
        <v>44741</v>
      </c>
      <c r="F3131" s="132">
        <v>592</v>
      </c>
      <c r="G3131" s="133">
        <f>Tabla147[[#This Row],[Importe]]-Tabla147[[#This Row],[Pagado]]</f>
        <v>0</v>
      </c>
      <c r="H3131" s="134" t="s">
        <v>10</v>
      </c>
      <c r="I3131" s="135"/>
    </row>
    <row r="3132" spans="1:9" ht="21.75" customHeight="1" x14ac:dyDescent="0.25">
      <c r="A3132" s="127">
        <v>44741</v>
      </c>
      <c r="B3132" s="128" t="s">
        <v>21046</v>
      </c>
      <c r="C3132" s="129" t="s">
        <v>541</v>
      </c>
      <c r="D3132" s="130">
        <v>4435.2</v>
      </c>
      <c r="E3132" s="131">
        <v>44742</v>
      </c>
      <c r="F3132" s="132">
        <v>4435.2</v>
      </c>
      <c r="G3132" s="133">
        <f>Tabla147[[#This Row],[Importe]]-Tabla147[[#This Row],[Pagado]]</f>
        <v>0</v>
      </c>
      <c r="H3132" s="134" t="s">
        <v>10</v>
      </c>
      <c r="I3132" s="135"/>
    </row>
    <row r="3133" spans="1:9" ht="21.75" customHeight="1" x14ac:dyDescent="0.25">
      <c r="A3133" s="127">
        <v>44741</v>
      </c>
      <c r="B3133" s="128" t="s">
        <v>21047</v>
      </c>
      <c r="C3133" s="129" t="s">
        <v>664</v>
      </c>
      <c r="D3133" s="130">
        <v>5698</v>
      </c>
      <c r="E3133" s="131">
        <v>44741</v>
      </c>
      <c r="F3133" s="132">
        <v>5698</v>
      </c>
      <c r="G3133" s="133">
        <f>Tabla147[[#This Row],[Importe]]-Tabla147[[#This Row],[Pagado]]</f>
        <v>0</v>
      </c>
      <c r="H3133" s="134" t="s">
        <v>10</v>
      </c>
      <c r="I3133" s="135"/>
    </row>
    <row r="3134" spans="1:9" ht="21.75" customHeight="1" x14ac:dyDescent="0.25">
      <c r="A3134" s="127">
        <v>44741</v>
      </c>
      <c r="B3134" s="128" t="s">
        <v>21048</v>
      </c>
      <c r="C3134" s="129" t="s">
        <v>849</v>
      </c>
      <c r="D3134" s="130">
        <v>800</v>
      </c>
      <c r="E3134" s="131">
        <v>44741</v>
      </c>
      <c r="F3134" s="132">
        <v>800</v>
      </c>
      <c r="G3134" s="133">
        <f>Tabla147[[#This Row],[Importe]]-Tabla147[[#This Row],[Pagado]]</f>
        <v>0</v>
      </c>
      <c r="H3134" s="134" t="s">
        <v>10</v>
      </c>
      <c r="I3134" s="135"/>
    </row>
    <row r="3135" spans="1:9" ht="21.75" customHeight="1" x14ac:dyDescent="0.25">
      <c r="A3135" s="127">
        <v>44741</v>
      </c>
      <c r="B3135" s="128" t="s">
        <v>21049</v>
      </c>
      <c r="C3135" s="129" t="s">
        <v>56</v>
      </c>
      <c r="D3135" s="130">
        <v>8520</v>
      </c>
      <c r="E3135" s="131">
        <v>44741</v>
      </c>
      <c r="F3135" s="132">
        <v>8520</v>
      </c>
      <c r="G3135" s="133">
        <f>Tabla147[[#This Row],[Importe]]-Tabla147[[#This Row],[Pagado]]</f>
        <v>0</v>
      </c>
      <c r="H3135" s="134" t="s">
        <v>10</v>
      </c>
      <c r="I3135" s="135"/>
    </row>
    <row r="3136" spans="1:9" ht="21.75" customHeight="1" x14ac:dyDescent="0.25">
      <c r="A3136" s="127">
        <v>44741</v>
      </c>
      <c r="B3136" s="128" t="s">
        <v>21050</v>
      </c>
      <c r="C3136" s="129" t="s">
        <v>31</v>
      </c>
      <c r="D3136" s="130">
        <v>1667.5</v>
      </c>
      <c r="E3136" s="131">
        <v>44741</v>
      </c>
      <c r="F3136" s="132">
        <v>1667.5</v>
      </c>
      <c r="G3136" s="133">
        <f>Tabla147[[#This Row],[Importe]]-Tabla147[[#This Row],[Pagado]]</f>
        <v>0</v>
      </c>
      <c r="H3136" s="134" t="s">
        <v>10</v>
      </c>
      <c r="I3136" s="135"/>
    </row>
    <row r="3137" spans="1:9" ht="31.5" x14ac:dyDescent="0.25">
      <c r="A3137" s="127">
        <v>44741</v>
      </c>
      <c r="B3137" s="128" t="s">
        <v>21051</v>
      </c>
      <c r="C3137" s="129" t="s">
        <v>22</v>
      </c>
      <c r="D3137" s="130">
        <v>52025.599999999999</v>
      </c>
      <c r="E3137" s="131" t="s">
        <v>21260</v>
      </c>
      <c r="F3137" s="132">
        <f>43000+9025.6</f>
        <v>52025.599999999999</v>
      </c>
      <c r="G3137" s="133">
        <f>Tabla147[[#This Row],[Importe]]-Tabla147[[#This Row],[Pagado]]</f>
        <v>0</v>
      </c>
      <c r="H3137" s="134" t="s">
        <v>10</v>
      </c>
      <c r="I3137" s="135"/>
    </row>
    <row r="3138" spans="1:9" ht="21.75" customHeight="1" x14ac:dyDescent="0.25">
      <c r="A3138" s="127">
        <v>44741</v>
      </c>
      <c r="B3138" s="128" t="s">
        <v>21052</v>
      </c>
      <c r="C3138" s="129" t="s">
        <v>31</v>
      </c>
      <c r="D3138" s="130">
        <v>991.6</v>
      </c>
      <c r="E3138" s="131">
        <v>44741</v>
      </c>
      <c r="F3138" s="132">
        <v>991.6</v>
      </c>
      <c r="G3138" s="133">
        <f>Tabla147[[#This Row],[Importe]]-Tabla147[[#This Row],[Pagado]]</f>
        <v>0</v>
      </c>
      <c r="H3138" s="134" t="s">
        <v>10</v>
      </c>
      <c r="I3138" s="135"/>
    </row>
    <row r="3139" spans="1:9" ht="21.75" customHeight="1" x14ac:dyDescent="0.25">
      <c r="A3139" s="127">
        <v>44741</v>
      </c>
      <c r="B3139" s="128" t="s">
        <v>21053</v>
      </c>
      <c r="C3139" s="129" t="s">
        <v>27</v>
      </c>
      <c r="D3139" s="130">
        <v>1808.4</v>
      </c>
      <c r="E3139" s="131">
        <v>44741</v>
      </c>
      <c r="F3139" s="132">
        <v>1808.4</v>
      </c>
      <c r="G3139" s="133">
        <f>Tabla147[[#This Row],[Importe]]-Tabla147[[#This Row],[Pagado]]</f>
        <v>0</v>
      </c>
      <c r="H3139" s="134" t="s">
        <v>10</v>
      </c>
      <c r="I3139" s="135"/>
    </row>
    <row r="3140" spans="1:9" ht="21.75" customHeight="1" x14ac:dyDescent="0.25">
      <c r="A3140" s="127">
        <v>44741</v>
      </c>
      <c r="B3140" s="128" t="s">
        <v>21054</v>
      </c>
      <c r="C3140" s="129" t="s">
        <v>924</v>
      </c>
      <c r="D3140" s="130">
        <v>13869.2</v>
      </c>
      <c r="E3140" s="131">
        <v>44741</v>
      </c>
      <c r="F3140" s="132">
        <v>13869.2</v>
      </c>
      <c r="G3140" s="133">
        <f>Tabla147[[#This Row],[Importe]]-Tabla147[[#This Row],[Pagado]]</f>
        <v>0</v>
      </c>
      <c r="H3140" s="134" t="s">
        <v>10</v>
      </c>
      <c r="I3140" s="135"/>
    </row>
    <row r="3141" spans="1:9" ht="21.75" customHeight="1" x14ac:dyDescent="0.25">
      <c r="A3141" s="127">
        <v>44741</v>
      </c>
      <c r="B3141" s="128" t="s">
        <v>21055</v>
      </c>
      <c r="C3141" s="129" t="s">
        <v>924</v>
      </c>
      <c r="D3141" s="130">
        <v>504</v>
      </c>
      <c r="E3141" s="131">
        <v>44741</v>
      </c>
      <c r="F3141" s="132">
        <v>504</v>
      </c>
      <c r="G3141" s="133">
        <f>Tabla147[[#This Row],[Importe]]-Tabla147[[#This Row],[Pagado]]</f>
        <v>0</v>
      </c>
      <c r="H3141" s="134" t="s">
        <v>10</v>
      </c>
      <c r="I3141" s="135"/>
    </row>
    <row r="3142" spans="1:9" ht="21.75" customHeight="1" x14ac:dyDescent="0.25">
      <c r="A3142" s="127">
        <v>44741</v>
      </c>
      <c r="B3142" s="128" t="s">
        <v>21056</v>
      </c>
      <c r="C3142" s="129" t="s">
        <v>664</v>
      </c>
      <c r="D3142" s="130">
        <v>336</v>
      </c>
      <c r="E3142" s="131">
        <v>44741</v>
      </c>
      <c r="F3142" s="132">
        <v>336</v>
      </c>
      <c r="G3142" s="133">
        <f>Tabla147[[#This Row],[Importe]]-Tabla147[[#This Row],[Pagado]]</f>
        <v>0</v>
      </c>
      <c r="H3142" s="134" t="s">
        <v>10</v>
      </c>
      <c r="I3142" s="135"/>
    </row>
    <row r="3143" spans="1:9" ht="21.75" customHeight="1" x14ac:dyDescent="0.25">
      <c r="A3143" s="127">
        <v>44741</v>
      </c>
      <c r="B3143" s="128" t="s">
        <v>21057</v>
      </c>
      <c r="C3143" s="129" t="s">
        <v>127</v>
      </c>
      <c r="D3143" s="130">
        <v>4987.5</v>
      </c>
      <c r="E3143" s="131">
        <v>44741</v>
      </c>
      <c r="F3143" s="132">
        <v>4987.5</v>
      </c>
      <c r="G3143" s="133">
        <f>Tabla147[[#This Row],[Importe]]-Tabla147[[#This Row],[Pagado]]</f>
        <v>0</v>
      </c>
      <c r="H3143" s="134" t="s">
        <v>10</v>
      </c>
      <c r="I3143" s="135"/>
    </row>
    <row r="3144" spans="1:9" ht="21.75" customHeight="1" x14ac:dyDescent="0.25">
      <c r="A3144" s="127">
        <v>44741</v>
      </c>
      <c r="B3144" s="128" t="s">
        <v>21058</v>
      </c>
      <c r="C3144" s="129" t="s">
        <v>140</v>
      </c>
      <c r="D3144" s="130">
        <v>1711.2</v>
      </c>
      <c r="E3144" s="131">
        <v>44741</v>
      </c>
      <c r="F3144" s="132">
        <v>1711.2</v>
      </c>
      <c r="G3144" s="133">
        <f>Tabla147[[#This Row],[Importe]]-Tabla147[[#This Row],[Pagado]]</f>
        <v>0</v>
      </c>
      <c r="H3144" s="134" t="s">
        <v>10</v>
      </c>
      <c r="I3144" s="135"/>
    </row>
    <row r="3145" spans="1:9" ht="21.75" customHeight="1" x14ac:dyDescent="0.25">
      <c r="A3145" s="127">
        <v>44741</v>
      </c>
      <c r="B3145" s="128" t="s">
        <v>21059</v>
      </c>
      <c r="C3145" s="129" t="s">
        <v>129</v>
      </c>
      <c r="D3145" s="130">
        <v>1221</v>
      </c>
      <c r="E3145" s="131">
        <v>44741</v>
      </c>
      <c r="F3145" s="132">
        <v>1221</v>
      </c>
      <c r="G3145" s="133">
        <f>Tabla147[[#This Row],[Importe]]-Tabla147[[#This Row],[Pagado]]</f>
        <v>0</v>
      </c>
      <c r="H3145" s="134" t="s">
        <v>10</v>
      </c>
      <c r="I3145" s="135"/>
    </row>
    <row r="3146" spans="1:9" ht="21.75" customHeight="1" x14ac:dyDescent="0.25">
      <c r="A3146" s="127">
        <v>44741</v>
      </c>
      <c r="B3146" s="128" t="s">
        <v>21060</v>
      </c>
      <c r="C3146" s="129" t="s">
        <v>333</v>
      </c>
      <c r="D3146" s="130">
        <v>475</v>
      </c>
      <c r="E3146" s="131">
        <v>44741</v>
      </c>
      <c r="F3146" s="132">
        <v>475</v>
      </c>
      <c r="G3146" s="133">
        <f>Tabla147[[#This Row],[Importe]]-Tabla147[[#This Row],[Pagado]]</f>
        <v>0</v>
      </c>
      <c r="H3146" s="134" t="s">
        <v>10</v>
      </c>
      <c r="I3146" s="135"/>
    </row>
    <row r="3147" spans="1:9" ht="21.75" customHeight="1" x14ac:dyDescent="0.25">
      <c r="A3147" s="127">
        <v>44741</v>
      </c>
      <c r="B3147" s="128" t="s">
        <v>21061</v>
      </c>
      <c r="C3147" s="129" t="s">
        <v>62</v>
      </c>
      <c r="D3147" s="130">
        <v>4050</v>
      </c>
      <c r="E3147" s="131">
        <v>44741</v>
      </c>
      <c r="F3147" s="132">
        <v>4050</v>
      </c>
      <c r="G3147" s="133">
        <f>Tabla147[[#This Row],[Importe]]-Tabla147[[#This Row],[Pagado]]</f>
        <v>0</v>
      </c>
      <c r="H3147" s="134" t="s">
        <v>10</v>
      </c>
      <c r="I3147" s="135"/>
    </row>
    <row r="3148" spans="1:9" ht="21.75" customHeight="1" x14ac:dyDescent="0.25">
      <c r="A3148" s="127">
        <v>44741</v>
      </c>
      <c r="B3148" s="128" t="s">
        <v>21062</v>
      </c>
      <c r="C3148" s="129" t="s">
        <v>31</v>
      </c>
      <c r="D3148" s="130">
        <v>1350.9</v>
      </c>
      <c r="E3148" s="131">
        <v>44741</v>
      </c>
      <c r="F3148" s="132">
        <v>1350.9</v>
      </c>
      <c r="G3148" s="133">
        <f>Tabla147[[#This Row],[Importe]]-Tabla147[[#This Row],[Pagado]]</f>
        <v>0</v>
      </c>
      <c r="H3148" s="134" t="s">
        <v>10</v>
      </c>
      <c r="I3148" s="135"/>
    </row>
    <row r="3149" spans="1:9" ht="21.75" customHeight="1" x14ac:dyDescent="0.25">
      <c r="A3149" s="127">
        <v>44741</v>
      </c>
      <c r="B3149" s="128" t="s">
        <v>21063</v>
      </c>
      <c r="C3149" s="129" t="s">
        <v>85</v>
      </c>
      <c r="D3149" s="130">
        <v>1224</v>
      </c>
      <c r="E3149" s="131">
        <v>44741</v>
      </c>
      <c r="F3149" s="132">
        <v>1224</v>
      </c>
      <c r="G3149" s="133">
        <f>Tabla147[[#This Row],[Importe]]-Tabla147[[#This Row],[Pagado]]</f>
        <v>0</v>
      </c>
      <c r="H3149" s="134" t="s">
        <v>10</v>
      </c>
      <c r="I3149" s="135"/>
    </row>
    <row r="3150" spans="1:9" ht="21.75" customHeight="1" x14ac:dyDescent="0.25">
      <c r="A3150" s="127">
        <v>44741</v>
      </c>
      <c r="B3150" s="128" t="s">
        <v>21064</v>
      </c>
      <c r="C3150" s="129" t="s">
        <v>15151</v>
      </c>
      <c r="D3150" s="130">
        <v>0</v>
      </c>
      <c r="E3150" s="136" t="s">
        <v>189</v>
      </c>
      <c r="F3150" s="132">
        <v>0</v>
      </c>
      <c r="G3150" s="133">
        <f>Tabla147[[#This Row],[Importe]]-Tabla147[[#This Row],[Pagado]]</f>
        <v>0</v>
      </c>
      <c r="H3150" s="137" t="s">
        <v>21065</v>
      </c>
      <c r="I3150" s="135"/>
    </row>
    <row r="3151" spans="1:9" ht="21.75" customHeight="1" x14ac:dyDescent="0.25">
      <c r="A3151" s="127">
        <v>44741</v>
      </c>
      <c r="B3151" s="128" t="s">
        <v>21066</v>
      </c>
      <c r="C3151" s="129" t="s">
        <v>348</v>
      </c>
      <c r="D3151" s="130">
        <v>3676.4</v>
      </c>
      <c r="E3151" s="131">
        <v>44741</v>
      </c>
      <c r="F3151" s="132">
        <v>3676.4</v>
      </c>
      <c r="G3151" s="133">
        <f>Tabla147[[#This Row],[Importe]]-Tabla147[[#This Row],[Pagado]]</f>
        <v>0</v>
      </c>
      <c r="H3151" s="134" t="s">
        <v>10</v>
      </c>
      <c r="I3151" s="135"/>
    </row>
    <row r="3152" spans="1:9" ht="21.75" customHeight="1" x14ac:dyDescent="0.25">
      <c r="A3152" s="127">
        <v>44741</v>
      </c>
      <c r="B3152" s="128" t="s">
        <v>21067</v>
      </c>
      <c r="C3152" s="129" t="s">
        <v>7179</v>
      </c>
      <c r="D3152" s="130">
        <v>0</v>
      </c>
      <c r="E3152" s="136" t="s">
        <v>189</v>
      </c>
      <c r="F3152" s="132">
        <v>0</v>
      </c>
      <c r="G3152" s="133">
        <f>Tabla147[[#This Row],[Importe]]-Tabla147[[#This Row],[Pagado]]</f>
        <v>0</v>
      </c>
      <c r="H3152" s="137" t="s">
        <v>21068</v>
      </c>
      <c r="I3152" s="135"/>
    </row>
    <row r="3153" spans="1:9" ht="21.75" customHeight="1" x14ac:dyDescent="0.25">
      <c r="A3153" s="127">
        <v>44741</v>
      </c>
      <c r="B3153" s="128" t="s">
        <v>21069</v>
      </c>
      <c r="C3153" s="129" t="s">
        <v>107</v>
      </c>
      <c r="D3153" s="130">
        <v>10884.8</v>
      </c>
      <c r="E3153" s="131">
        <v>44741</v>
      </c>
      <c r="F3153" s="132">
        <v>10884.8</v>
      </c>
      <c r="G3153" s="133">
        <f>Tabla147[[#This Row],[Importe]]-Tabla147[[#This Row],[Pagado]]</f>
        <v>0</v>
      </c>
      <c r="H3153" s="134" t="s">
        <v>10</v>
      </c>
      <c r="I3153" s="135"/>
    </row>
    <row r="3154" spans="1:9" ht="21.75" customHeight="1" x14ac:dyDescent="0.25">
      <c r="A3154" s="127">
        <v>44741</v>
      </c>
      <c r="B3154" s="128" t="s">
        <v>21070</v>
      </c>
      <c r="C3154" s="129" t="s">
        <v>16</v>
      </c>
      <c r="D3154" s="130">
        <v>6662.5</v>
      </c>
      <c r="E3154" s="131">
        <v>44741</v>
      </c>
      <c r="F3154" s="132">
        <v>6662.5</v>
      </c>
      <c r="G3154" s="133">
        <f>Tabla147[[#This Row],[Importe]]-Tabla147[[#This Row],[Pagado]]</f>
        <v>0</v>
      </c>
      <c r="H3154" s="134" t="s">
        <v>10</v>
      </c>
      <c r="I3154" s="135"/>
    </row>
    <row r="3155" spans="1:9" ht="21.75" customHeight="1" x14ac:dyDescent="0.25">
      <c r="A3155" s="127">
        <v>44741</v>
      </c>
      <c r="B3155" s="128" t="s">
        <v>21071</v>
      </c>
      <c r="C3155" s="129" t="s">
        <v>24</v>
      </c>
      <c r="D3155" s="130">
        <v>4644.3999999999996</v>
      </c>
      <c r="E3155" s="131">
        <v>44741</v>
      </c>
      <c r="F3155" s="132">
        <v>4644.3999999999996</v>
      </c>
      <c r="G3155" s="133">
        <f>Tabla147[[#This Row],[Importe]]-Tabla147[[#This Row],[Pagado]]</f>
        <v>0</v>
      </c>
      <c r="H3155" s="134" t="s">
        <v>10</v>
      </c>
      <c r="I3155" s="135"/>
    </row>
    <row r="3156" spans="1:9" ht="21.75" customHeight="1" x14ac:dyDescent="0.25">
      <c r="A3156" s="127">
        <v>44741</v>
      </c>
      <c r="B3156" s="128" t="s">
        <v>21072</v>
      </c>
      <c r="C3156" s="129" t="s">
        <v>45</v>
      </c>
      <c r="D3156" s="130">
        <v>10053.700000000001</v>
      </c>
      <c r="E3156" s="131">
        <v>44741</v>
      </c>
      <c r="F3156" s="132">
        <v>10053.700000000001</v>
      </c>
      <c r="G3156" s="133">
        <f>Tabla147[[#This Row],[Importe]]-Tabla147[[#This Row],[Pagado]]</f>
        <v>0</v>
      </c>
      <c r="H3156" s="134" t="s">
        <v>10</v>
      </c>
      <c r="I3156" s="135"/>
    </row>
    <row r="3157" spans="1:9" ht="21.75" customHeight="1" x14ac:dyDescent="0.25">
      <c r="A3157" s="127">
        <v>44741</v>
      </c>
      <c r="B3157" s="128" t="s">
        <v>21073</v>
      </c>
      <c r="C3157" s="129" t="s">
        <v>14</v>
      </c>
      <c r="D3157" s="130">
        <v>24871.200000000001</v>
      </c>
      <c r="E3157" s="131">
        <v>44741</v>
      </c>
      <c r="F3157" s="132">
        <v>24871.200000000001</v>
      </c>
      <c r="G3157" s="133">
        <f>Tabla147[[#This Row],[Importe]]-Tabla147[[#This Row],[Pagado]]</f>
        <v>0</v>
      </c>
      <c r="H3157" s="134" t="s">
        <v>10</v>
      </c>
      <c r="I3157" s="135"/>
    </row>
    <row r="3158" spans="1:9" ht="21.75" customHeight="1" x14ac:dyDescent="0.25">
      <c r="A3158" s="127">
        <v>44741</v>
      </c>
      <c r="B3158" s="128" t="s">
        <v>21074</v>
      </c>
      <c r="C3158" s="129" t="s">
        <v>12202</v>
      </c>
      <c r="D3158" s="130">
        <v>24960</v>
      </c>
      <c r="E3158" s="131">
        <v>44741</v>
      </c>
      <c r="F3158" s="132">
        <v>24960</v>
      </c>
      <c r="G3158" s="133">
        <f>Tabla147[[#This Row],[Importe]]-Tabla147[[#This Row],[Pagado]]</f>
        <v>0</v>
      </c>
      <c r="H3158" s="134" t="s">
        <v>10</v>
      </c>
      <c r="I3158" s="135"/>
    </row>
    <row r="3159" spans="1:9" ht="21.75" customHeight="1" x14ac:dyDescent="0.25">
      <c r="A3159" s="127">
        <v>44741</v>
      </c>
      <c r="B3159" s="128" t="s">
        <v>21075</v>
      </c>
      <c r="C3159" s="129" t="s">
        <v>440</v>
      </c>
      <c r="D3159" s="130">
        <v>21260.240000000002</v>
      </c>
      <c r="E3159" s="131">
        <v>44751</v>
      </c>
      <c r="F3159" s="132">
        <v>21260.240000000002</v>
      </c>
      <c r="G3159" s="133">
        <f>Tabla147[[#This Row],[Importe]]-Tabla147[[#This Row],[Pagado]]</f>
        <v>0</v>
      </c>
      <c r="H3159" s="134" t="s">
        <v>10</v>
      </c>
      <c r="I3159" s="135"/>
    </row>
    <row r="3160" spans="1:9" ht="21.75" customHeight="1" x14ac:dyDescent="0.25">
      <c r="A3160" s="127">
        <v>44741</v>
      </c>
      <c r="B3160" s="128" t="s">
        <v>21076</v>
      </c>
      <c r="C3160" s="129" t="s">
        <v>214</v>
      </c>
      <c r="D3160" s="130">
        <v>1440</v>
      </c>
      <c r="E3160" s="131">
        <v>44741</v>
      </c>
      <c r="F3160" s="132">
        <v>1440</v>
      </c>
      <c r="G3160" s="133">
        <f>Tabla147[[#This Row],[Importe]]-Tabla147[[#This Row],[Pagado]]</f>
        <v>0</v>
      </c>
      <c r="H3160" s="134" t="s">
        <v>10</v>
      </c>
      <c r="I3160" s="135"/>
    </row>
    <row r="3161" spans="1:9" ht="21.75" customHeight="1" x14ac:dyDescent="0.25">
      <c r="A3161" s="127">
        <v>44741</v>
      </c>
      <c r="B3161" s="128" t="s">
        <v>21077</v>
      </c>
      <c r="C3161" s="129" t="s">
        <v>14</v>
      </c>
      <c r="D3161" s="130">
        <v>3232</v>
      </c>
      <c r="E3161" s="131">
        <v>44741</v>
      </c>
      <c r="F3161" s="132">
        <v>3232</v>
      </c>
      <c r="G3161" s="133">
        <f>Tabla147[[#This Row],[Importe]]-Tabla147[[#This Row],[Pagado]]</f>
        <v>0</v>
      </c>
      <c r="H3161" s="134" t="s">
        <v>10</v>
      </c>
      <c r="I3161" s="135"/>
    </row>
    <row r="3162" spans="1:9" ht="21.75" customHeight="1" x14ac:dyDescent="0.25">
      <c r="A3162" s="127">
        <v>44741</v>
      </c>
      <c r="B3162" s="128" t="s">
        <v>21078</v>
      </c>
      <c r="C3162" s="129" t="s">
        <v>291</v>
      </c>
      <c r="D3162" s="130">
        <v>2115.1999999999998</v>
      </c>
      <c r="E3162" s="131">
        <v>44742</v>
      </c>
      <c r="F3162" s="132">
        <v>2115.1999999999998</v>
      </c>
      <c r="G3162" s="133">
        <f>Tabla147[[#This Row],[Importe]]-Tabla147[[#This Row],[Pagado]]</f>
        <v>0</v>
      </c>
      <c r="H3162" s="134" t="s">
        <v>10</v>
      </c>
      <c r="I3162" s="135"/>
    </row>
    <row r="3163" spans="1:9" ht="21.75" customHeight="1" x14ac:dyDescent="0.25">
      <c r="A3163" s="127">
        <v>44741</v>
      </c>
      <c r="B3163" s="128" t="s">
        <v>21079</v>
      </c>
      <c r="C3163" s="129" t="s">
        <v>291</v>
      </c>
      <c r="D3163" s="130">
        <v>1480.5</v>
      </c>
      <c r="E3163" s="131">
        <v>44742</v>
      </c>
      <c r="F3163" s="132">
        <v>1480.5</v>
      </c>
      <c r="G3163" s="133">
        <f>Tabla147[[#This Row],[Importe]]-Tabla147[[#This Row],[Pagado]]</f>
        <v>0</v>
      </c>
      <c r="H3163" s="134" t="s">
        <v>10</v>
      </c>
      <c r="I3163" s="135"/>
    </row>
    <row r="3164" spans="1:9" ht="21.75" customHeight="1" x14ac:dyDescent="0.25">
      <c r="A3164" s="127">
        <v>44741</v>
      </c>
      <c r="B3164" s="128" t="s">
        <v>21080</v>
      </c>
      <c r="C3164" s="129" t="s">
        <v>2156</v>
      </c>
      <c r="D3164" s="130">
        <v>31118.400000000001</v>
      </c>
      <c r="E3164" s="131">
        <v>44741</v>
      </c>
      <c r="F3164" s="132">
        <v>31118.400000000001</v>
      </c>
      <c r="G3164" s="133">
        <f>Tabla147[[#This Row],[Importe]]-Tabla147[[#This Row],[Pagado]]</f>
        <v>0</v>
      </c>
      <c r="H3164" s="134" t="s">
        <v>10</v>
      </c>
      <c r="I3164" s="135"/>
    </row>
    <row r="3165" spans="1:9" ht="21.75" customHeight="1" x14ac:dyDescent="0.25">
      <c r="A3165" s="127">
        <v>44741</v>
      </c>
      <c r="B3165" s="128" t="s">
        <v>21081</v>
      </c>
      <c r="C3165" s="129" t="s">
        <v>146</v>
      </c>
      <c r="D3165" s="130">
        <v>3854.4</v>
      </c>
      <c r="E3165" s="131">
        <v>44741</v>
      </c>
      <c r="F3165" s="132">
        <v>3854.4</v>
      </c>
      <c r="G3165" s="133">
        <f>Tabla147[[#This Row],[Importe]]-Tabla147[[#This Row],[Pagado]]</f>
        <v>0</v>
      </c>
      <c r="H3165" s="134" t="s">
        <v>10</v>
      </c>
      <c r="I3165" s="135"/>
    </row>
    <row r="3166" spans="1:9" ht="21.75" customHeight="1" x14ac:dyDescent="0.25">
      <c r="A3166" s="127">
        <v>44741</v>
      </c>
      <c r="B3166" s="128" t="s">
        <v>21082</v>
      </c>
      <c r="C3166" s="129" t="s">
        <v>226</v>
      </c>
      <c r="D3166" s="130">
        <v>4751.2</v>
      </c>
      <c r="E3166" s="131">
        <v>44741</v>
      </c>
      <c r="F3166" s="132">
        <v>4751.2</v>
      </c>
      <c r="G3166" s="133">
        <f>Tabla147[[#This Row],[Importe]]-Tabla147[[#This Row],[Pagado]]</f>
        <v>0</v>
      </c>
      <c r="H3166" s="134" t="s">
        <v>10</v>
      </c>
      <c r="I3166" s="135"/>
    </row>
    <row r="3167" spans="1:9" ht="21.75" customHeight="1" x14ac:dyDescent="0.25">
      <c r="A3167" s="127">
        <v>44741</v>
      </c>
      <c r="B3167" s="128" t="s">
        <v>21083</v>
      </c>
      <c r="C3167" s="129" t="s">
        <v>230</v>
      </c>
      <c r="D3167" s="130">
        <v>4733.1000000000004</v>
      </c>
      <c r="E3167" s="131">
        <v>44741</v>
      </c>
      <c r="F3167" s="132">
        <v>4733.1000000000004</v>
      </c>
      <c r="G3167" s="133">
        <f>Tabla147[[#This Row],[Importe]]-Tabla147[[#This Row],[Pagado]]</f>
        <v>0</v>
      </c>
      <c r="H3167" s="134" t="s">
        <v>10</v>
      </c>
      <c r="I3167" s="135"/>
    </row>
    <row r="3168" spans="1:9" ht="21.75" customHeight="1" x14ac:dyDescent="0.25">
      <c r="A3168" s="127">
        <v>44741</v>
      </c>
      <c r="B3168" s="128" t="s">
        <v>21084</v>
      </c>
      <c r="C3168" s="129" t="s">
        <v>21085</v>
      </c>
      <c r="D3168" s="130">
        <v>11181.6</v>
      </c>
      <c r="E3168" s="131">
        <v>44741</v>
      </c>
      <c r="F3168" s="132">
        <v>11181.6</v>
      </c>
      <c r="G3168" s="133">
        <f>Tabla147[[#This Row],[Importe]]-Tabla147[[#This Row],[Pagado]]</f>
        <v>0</v>
      </c>
      <c r="H3168" s="134" t="s">
        <v>10</v>
      </c>
      <c r="I3168" s="135"/>
    </row>
    <row r="3169" spans="1:9" ht="21.75" customHeight="1" x14ac:dyDescent="0.25">
      <c r="A3169" s="127">
        <v>44741</v>
      </c>
      <c r="B3169" s="128" t="s">
        <v>21086</v>
      </c>
      <c r="C3169" s="129" t="s">
        <v>698</v>
      </c>
      <c r="D3169" s="130">
        <v>10185.1</v>
      </c>
      <c r="E3169" s="131">
        <v>44741</v>
      </c>
      <c r="F3169" s="132">
        <v>10185.1</v>
      </c>
      <c r="G3169" s="133">
        <f>Tabla147[[#This Row],[Importe]]-Tabla147[[#This Row],[Pagado]]</f>
        <v>0</v>
      </c>
      <c r="H3169" s="134" t="s">
        <v>10</v>
      </c>
      <c r="I3169" s="135"/>
    </row>
    <row r="3170" spans="1:9" ht="21.75" customHeight="1" x14ac:dyDescent="0.25">
      <c r="A3170" s="127">
        <v>44741</v>
      </c>
      <c r="B3170" s="128" t="s">
        <v>21087</v>
      </c>
      <c r="C3170" s="129" t="s">
        <v>555</v>
      </c>
      <c r="D3170" s="130">
        <v>44566.32</v>
      </c>
      <c r="E3170" s="131">
        <v>44743</v>
      </c>
      <c r="F3170" s="132">
        <v>44566.32</v>
      </c>
      <c r="G3170" s="133">
        <f>Tabla147[[#This Row],[Importe]]-Tabla147[[#This Row],[Pagado]]</f>
        <v>0</v>
      </c>
      <c r="H3170" s="134" t="s">
        <v>10</v>
      </c>
      <c r="I3170" s="135"/>
    </row>
    <row r="3171" spans="1:9" ht="21.75" customHeight="1" x14ac:dyDescent="0.25">
      <c r="A3171" s="127">
        <v>44741</v>
      </c>
      <c r="B3171" s="128" t="s">
        <v>21088</v>
      </c>
      <c r="C3171" s="129" t="s">
        <v>216</v>
      </c>
      <c r="D3171" s="130">
        <v>1958.4</v>
      </c>
      <c r="E3171" s="131">
        <v>44741</v>
      </c>
      <c r="F3171" s="132">
        <v>1958.4</v>
      </c>
      <c r="G3171" s="133">
        <f>Tabla147[[#This Row],[Importe]]-Tabla147[[#This Row],[Pagado]]</f>
        <v>0</v>
      </c>
      <c r="H3171" s="134" t="s">
        <v>10</v>
      </c>
      <c r="I3171" s="135"/>
    </row>
    <row r="3172" spans="1:9" ht="21.75" customHeight="1" x14ac:dyDescent="0.25">
      <c r="A3172" s="127">
        <v>44741</v>
      </c>
      <c r="B3172" s="128" t="s">
        <v>21089</v>
      </c>
      <c r="C3172" s="129" t="s">
        <v>670</v>
      </c>
      <c r="D3172" s="130">
        <v>4882.3</v>
      </c>
      <c r="E3172" s="131">
        <v>44741</v>
      </c>
      <c r="F3172" s="132">
        <v>4882.3</v>
      </c>
      <c r="G3172" s="133">
        <f>Tabla147[[#This Row],[Importe]]-Tabla147[[#This Row],[Pagado]]</f>
        <v>0</v>
      </c>
      <c r="H3172" s="134" t="s">
        <v>10</v>
      </c>
      <c r="I3172" s="135"/>
    </row>
    <row r="3173" spans="1:9" ht="21.75" customHeight="1" x14ac:dyDescent="0.25">
      <c r="A3173" s="127">
        <v>44741</v>
      </c>
      <c r="B3173" s="128" t="s">
        <v>21090</v>
      </c>
      <c r="C3173" s="129" t="s">
        <v>2151</v>
      </c>
      <c r="D3173" s="130">
        <v>13105</v>
      </c>
      <c r="E3173" s="131">
        <v>44741</v>
      </c>
      <c r="F3173" s="132">
        <v>13105</v>
      </c>
      <c r="G3173" s="133">
        <f>Tabla147[[#This Row],[Importe]]-Tabla147[[#This Row],[Pagado]]</f>
        <v>0</v>
      </c>
      <c r="H3173" s="134" t="s">
        <v>10</v>
      </c>
      <c r="I3173" s="135"/>
    </row>
    <row r="3174" spans="1:9" ht="21.75" customHeight="1" x14ac:dyDescent="0.25">
      <c r="A3174" s="127">
        <v>44741</v>
      </c>
      <c r="B3174" s="128" t="s">
        <v>21091</v>
      </c>
      <c r="C3174" s="129" t="s">
        <v>142</v>
      </c>
      <c r="D3174" s="130">
        <v>26574.6</v>
      </c>
      <c r="E3174" s="131">
        <v>44799</v>
      </c>
      <c r="F3174" s="132">
        <v>26574.6</v>
      </c>
      <c r="G3174" s="133">
        <f>Tabla147[[#This Row],[Importe]]-Tabla147[[#This Row],[Pagado]]</f>
        <v>0</v>
      </c>
      <c r="H3174" s="134" t="s">
        <v>10</v>
      </c>
      <c r="I3174" s="135"/>
    </row>
    <row r="3175" spans="1:9" ht="21.75" customHeight="1" x14ac:dyDescent="0.25">
      <c r="A3175" s="127">
        <v>44741</v>
      </c>
      <c r="B3175" s="128" t="s">
        <v>21092</v>
      </c>
      <c r="C3175" s="129" t="s">
        <v>175</v>
      </c>
      <c r="D3175" s="130">
        <v>1070.7</v>
      </c>
      <c r="E3175" s="131">
        <v>44741</v>
      </c>
      <c r="F3175" s="132">
        <v>1070.7</v>
      </c>
      <c r="G3175" s="133">
        <f>Tabla147[[#This Row],[Importe]]-Tabla147[[#This Row],[Pagado]]</f>
        <v>0</v>
      </c>
      <c r="H3175" s="134" t="s">
        <v>10</v>
      </c>
      <c r="I3175" s="135"/>
    </row>
    <row r="3176" spans="1:9" ht="21.75" customHeight="1" x14ac:dyDescent="0.25">
      <c r="A3176" s="127">
        <v>44741</v>
      </c>
      <c r="B3176" s="128" t="s">
        <v>21093</v>
      </c>
      <c r="C3176" s="129" t="s">
        <v>426</v>
      </c>
      <c r="D3176" s="130">
        <v>1129</v>
      </c>
      <c r="E3176" s="131">
        <v>44741</v>
      </c>
      <c r="F3176" s="132">
        <v>1129</v>
      </c>
      <c r="G3176" s="133">
        <f>Tabla147[[#This Row],[Importe]]-Tabla147[[#This Row],[Pagado]]</f>
        <v>0</v>
      </c>
      <c r="H3176" s="134" t="s">
        <v>10</v>
      </c>
      <c r="I3176" s="135"/>
    </row>
    <row r="3177" spans="1:9" ht="21.75" customHeight="1" x14ac:dyDescent="0.25">
      <c r="A3177" s="127">
        <v>44741</v>
      </c>
      <c r="B3177" s="128" t="s">
        <v>21094</v>
      </c>
      <c r="C3177" s="129" t="s">
        <v>587</v>
      </c>
      <c r="D3177" s="130">
        <v>4850.7</v>
      </c>
      <c r="E3177" s="131">
        <v>44741</v>
      </c>
      <c r="F3177" s="132">
        <v>4850.7</v>
      </c>
      <c r="G3177" s="133">
        <f>Tabla147[[#This Row],[Importe]]-Tabla147[[#This Row],[Pagado]]</f>
        <v>0</v>
      </c>
      <c r="H3177" s="134" t="s">
        <v>10</v>
      </c>
      <c r="I3177" s="135"/>
    </row>
    <row r="3178" spans="1:9" ht="21.75" customHeight="1" x14ac:dyDescent="0.25">
      <c r="A3178" s="127">
        <v>44741</v>
      </c>
      <c r="B3178" s="128" t="s">
        <v>21095</v>
      </c>
      <c r="C3178" s="129" t="s">
        <v>1174</v>
      </c>
      <c r="D3178" s="130">
        <v>29088</v>
      </c>
      <c r="E3178" s="131">
        <v>44741</v>
      </c>
      <c r="F3178" s="132">
        <v>29088</v>
      </c>
      <c r="G3178" s="133">
        <f>Tabla147[[#This Row],[Importe]]-Tabla147[[#This Row],[Pagado]]</f>
        <v>0</v>
      </c>
      <c r="H3178" s="134" t="s">
        <v>10</v>
      </c>
      <c r="I3178" s="135"/>
    </row>
    <row r="3179" spans="1:9" ht="21.75" customHeight="1" x14ac:dyDescent="0.25">
      <c r="A3179" s="127">
        <v>44741</v>
      </c>
      <c r="B3179" s="128" t="s">
        <v>21096</v>
      </c>
      <c r="C3179" s="129" t="s">
        <v>19637</v>
      </c>
      <c r="D3179" s="130">
        <v>4168.1000000000004</v>
      </c>
      <c r="E3179" s="131">
        <v>44749</v>
      </c>
      <c r="F3179" s="132">
        <v>4168.1000000000004</v>
      </c>
      <c r="G3179" s="133">
        <f>Tabla147[[#This Row],[Importe]]-Tabla147[[#This Row],[Pagado]]</f>
        <v>0</v>
      </c>
      <c r="H3179" s="134" t="s">
        <v>10</v>
      </c>
      <c r="I3179" s="135"/>
    </row>
    <row r="3180" spans="1:9" ht="21.75" customHeight="1" x14ac:dyDescent="0.25">
      <c r="A3180" s="127">
        <v>44741</v>
      </c>
      <c r="B3180" s="128" t="s">
        <v>21097</v>
      </c>
      <c r="C3180" s="129" t="s">
        <v>9827</v>
      </c>
      <c r="D3180" s="130">
        <v>705.6</v>
      </c>
      <c r="E3180" s="131">
        <v>44741</v>
      </c>
      <c r="F3180" s="132">
        <v>705.6</v>
      </c>
      <c r="G3180" s="133">
        <f>Tabla147[[#This Row],[Importe]]-Tabla147[[#This Row],[Pagado]]</f>
        <v>0</v>
      </c>
      <c r="H3180" s="134" t="s">
        <v>10</v>
      </c>
      <c r="I3180" s="135"/>
    </row>
    <row r="3181" spans="1:9" ht="21.75" customHeight="1" x14ac:dyDescent="0.25">
      <c r="A3181" s="127">
        <v>44741</v>
      </c>
      <c r="B3181" s="128" t="s">
        <v>21098</v>
      </c>
      <c r="C3181" s="129" t="s">
        <v>409</v>
      </c>
      <c r="D3181" s="130">
        <v>10915.8</v>
      </c>
      <c r="E3181" s="131">
        <v>44748</v>
      </c>
      <c r="F3181" s="132">
        <v>10915.8</v>
      </c>
      <c r="G3181" s="133">
        <f>Tabla147[[#This Row],[Importe]]-Tabla147[[#This Row],[Pagado]]</f>
        <v>0</v>
      </c>
      <c r="H3181" s="134" t="s">
        <v>10</v>
      </c>
      <c r="I3181" s="135"/>
    </row>
    <row r="3182" spans="1:9" ht="21.75" customHeight="1" x14ac:dyDescent="0.25">
      <c r="A3182" s="127">
        <v>44741</v>
      </c>
      <c r="B3182" s="128" t="s">
        <v>21099</v>
      </c>
      <c r="C3182" s="129" t="s">
        <v>421</v>
      </c>
      <c r="D3182" s="130">
        <v>6846.2</v>
      </c>
      <c r="E3182" s="131">
        <v>44741</v>
      </c>
      <c r="F3182" s="132">
        <v>6846.2</v>
      </c>
      <c r="G3182" s="133">
        <f>Tabla147[[#This Row],[Importe]]-Tabla147[[#This Row],[Pagado]]</f>
        <v>0</v>
      </c>
      <c r="H3182" s="134" t="s">
        <v>10</v>
      </c>
      <c r="I3182" s="135"/>
    </row>
    <row r="3183" spans="1:9" ht="21.75" customHeight="1" x14ac:dyDescent="0.25">
      <c r="A3183" s="127">
        <v>44741</v>
      </c>
      <c r="B3183" s="128" t="s">
        <v>21100</v>
      </c>
      <c r="C3183" s="129" t="s">
        <v>31</v>
      </c>
      <c r="D3183" s="130">
        <v>1828.5</v>
      </c>
      <c r="E3183" s="131">
        <v>44741</v>
      </c>
      <c r="F3183" s="132">
        <v>1828.5</v>
      </c>
      <c r="G3183" s="133">
        <f>Tabla147[[#This Row],[Importe]]-Tabla147[[#This Row],[Pagado]]</f>
        <v>0</v>
      </c>
      <c r="H3183" s="134" t="s">
        <v>10</v>
      </c>
      <c r="I3183" s="135"/>
    </row>
    <row r="3184" spans="1:9" ht="21.75" customHeight="1" x14ac:dyDescent="0.25">
      <c r="A3184" s="127">
        <v>44741</v>
      </c>
      <c r="B3184" s="128" t="s">
        <v>21101</v>
      </c>
      <c r="C3184" s="129" t="s">
        <v>131</v>
      </c>
      <c r="D3184" s="130">
        <v>1540.7</v>
      </c>
      <c r="E3184" s="131">
        <v>44741</v>
      </c>
      <c r="F3184" s="132">
        <v>1540.7</v>
      </c>
      <c r="G3184" s="133">
        <f>Tabla147[[#This Row],[Importe]]-Tabla147[[#This Row],[Pagado]]</f>
        <v>0</v>
      </c>
      <c r="H3184" s="134" t="s">
        <v>10</v>
      </c>
      <c r="I3184" s="135"/>
    </row>
    <row r="3185" spans="1:9" ht="21.75" customHeight="1" x14ac:dyDescent="0.25">
      <c r="A3185" s="127">
        <v>44741</v>
      </c>
      <c r="B3185" s="128" t="s">
        <v>21102</v>
      </c>
      <c r="C3185" s="129" t="s">
        <v>450</v>
      </c>
      <c r="D3185" s="130">
        <v>3838</v>
      </c>
      <c r="E3185" s="131">
        <v>44741</v>
      </c>
      <c r="F3185" s="132">
        <v>3838</v>
      </c>
      <c r="G3185" s="133">
        <f>Tabla147[[#This Row],[Importe]]-Tabla147[[#This Row],[Pagado]]</f>
        <v>0</v>
      </c>
      <c r="H3185" s="134" t="s">
        <v>10</v>
      </c>
      <c r="I3185" s="135"/>
    </row>
    <row r="3186" spans="1:9" ht="21.75" customHeight="1" x14ac:dyDescent="0.25">
      <c r="A3186" s="127">
        <v>44741</v>
      </c>
      <c r="B3186" s="128" t="s">
        <v>21103</v>
      </c>
      <c r="C3186" s="129" t="s">
        <v>22</v>
      </c>
      <c r="D3186" s="130">
        <v>1456</v>
      </c>
      <c r="E3186" s="131">
        <v>44742</v>
      </c>
      <c r="F3186" s="132">
        <v>1456</v>
      </c>
      <c r="G3186" s="133">
        <f>Tabla147[[#This Row],[Importe]]-Tabla147[[#This Row],[Pagado]]</f>
        <v>0</v>
      </c>
      <c r="H3186" s="134" t="s">
        <v>10</v>
      </c>
      <c r="I3186" s="135"/>
    </row>
    <row r="3187" spans="1:9" ht="21.75" customHeight="1" x14ac:dyDescent="0.25">
      <c r="A3187" s="127">
        <v>44741</v>
      </c>
      <c r="B3187" s="128" t="s">
        <v>21104</v>
      </c>
      <c r="C3187" s="129" t="s">
        <v>275</v>
      </c>
      <c r="D3187" s="130">
        <v>60694.2</v>
      </c>
      <c r="E3187" s="131">
        <v>44757</v>
      </c>
      <c r="F3187" s="132">
        <v>60694.2</v>
      </c>
      <c r="G3187" s="133">
        <f>Tabla147[[#This Row],[Importe]]-Tabla147[[#This Row],[Pagado]]</f>
        <v>0</v>
      </c>
      <c r="H3187" s="134" t="s">
        <v>10</v>
      </c>
      <c r="I3187" s="135"/>
    </row>
    <row r="3188" spans="1:9" ht="21.75" customHeight="1" x14ac:dyDescent="0.25">
      <c r="A3188" s="127">
        <v>44741</v>
      </c>
      <c r="B3188" s="128" t="s">
        <v>21105</v>
      </c>
      <c r="C3188" s="129" t="s">
        <v>10826</v>
      </c>
      <c r="D3188" s="130">
        <v>4477</v>
      </c>
      <c r="E3188" s="131">
        <v>44741</v>
      </c>
      <c r="F3188" s="132">
        <v>4477</v>
      </c>
      <c r="G3188" s="133">
        <f>Tabla147[[#This Row],[Importe]]-Tabla147[[#This Row],[Pagado]]</f>
        <v>0</v>
      </c>
      <c r="H3188" s="134" t="s">
        <v>10</v>
      </c>
      <c r="I3188" s="135"/>
    </row>
    <row r="3189" spans="1:9" ht="21.75" customHeight="1" x14ac:dyDescent="0.25">
      <c r="A3189" s="127">
        <v>44741</v>
      </c>
      <c r="B3189" s="128" t="s">
        <v>21106</v>
      </c>
      <c r="C3189" s="129" t="s">
        <v>31</v>
      </c>
      <c r="D3189" s="130">
        <v>416</v>
      </c>
      <c r="E3189" s="131">
        <v>44741</v>
      </c>
      <c r="F3189" s="132">
        <v>416</v>
      </c>
      <c r="G3189" s="133">
        <f>Tabla147[[#This Row],[Importe]]-Tabla147[[#This Row],[Pagado]]</f>
        <v>0</v>
      </c>
      <c r="H3189" s="134" t="s">
        <v>10</v>
      </c>
      <c r="I3189" s="135"/>
    </row>
    <row r="3190" spans="1:9" ht="21.75" customHeight="1" x14ac:dyDescent="0.25">
      <c r="A3190" s="127">
        <v>44741</v>
      </c>
      <c r="B3190" s="128" t="s">
        <v>21107</v>
      </c>
      <c r="C3190" s="129" t="s">
        <v>31</v>
      </c>
      <c r="D3190" s="130">
        <v>1430.7</v>
      </c>
      <c r="E3190" s="131">
        <v>44741</v>
      </c>
      <c r="F3190" s="132">
        <v>1430.7</v>
      </c>
      <c r="G3190" s="133">
        <f>Tabla147[[#This Row],[Importe]]-Tabla147[[#This Row],[Pagado]]</f>
        <v>0</v>
      </c>
      <c r="H3190" s="134" t="s">
        <v>10</v>
      </c>
      <c r="I3190" s="135"/>
    </row>
    <row r="3191" spans="1:9" ht="21.75" customHeight="1" x14ac:dyDescent="0.25">
      <c r="A3191" s="127">
        <v>44741</v>
      </c>
      <c r="B3191" s="128" t="s">
        <v>21108</v>
      </c>
      <c r="C3191" s="129" t="s">
        <v>442</v>
      </c>
      <c r="D3191" s="130">
        <v>24790</v>
      </c>
      <c r="E3191" s="131">
        <v>44741</v>
      </c>
      <c r="F3191" s="132">
        <v>24790</v>
      </c>
      <c r="G3191" s="133">
        <f>Tabla147[[#This Row],[Importe]]-Tabla147[[#This Row],[Pagado]]</f>
        <v>0</v>
      </c>
      <c r="H3191" s="134" t="s">
        <v>10</v>
      </c>
      <c r="I3191" s="135"/>
    </row>
    <row r="3192" spans="1:9" ht="21.75" customHeight="1" x14ac:dyDescent="0.25">
      <c r="A3192" s="127">
        <v>44741</v>
      </c>
      <c r="B3192" s="128" t="s">
        <v>21109</v>
      </c>
      <c r="C3192" s="129" t="s">
        <v>15306</v>
      </c>
      <c r="D3192" s="130">
        <v>7311.8</v>
      </c>
      <c r="E3192" s="131">
        <v>44741</v>
      </c>
      <c r="F3192" s="132">
        <v>7311.8</v>
      </c>
      <c r="G3192" s="133">
        <f>Tabla147[[#This Row],[Importe]]-Tabla147[[#This Row],[Pagado]]</f>
        <v>0</v>
      </c>
      <c r="H3192" s="134" t="s">
        <v>10</v>
      </c>
      <c r="I3192" s="135"/>
    </row>
    <row r="3193" spans="1:9" ht="21.75" customHeight="1" x14ac:dyDescent="0.25">
      <c r="A3193" s="127">
        <v>44741</v>
      </c>
      <c r="B3193" s="128" t="s">
        <v>21110</v>
      </c>
      <c r="C3193" s="129" t="s">
        <v>407</v>
      </c>
      <c r="D3193" s="130">
        <v>12153.6</v>
      </c>
      <c r="E3193" s="131">
        <v>44744</v>
      </c>
      <c r="F3193" s="132">
        <v>12153.6</v>
      </c>
      <c r="G3193" s="133">
        <f>Tabla147[[#This Row],[Importe]]-Tabla147[[#This Row],[Pagado]]</f>
        <v>0</v>
      </c>
      <c r="H3193" s="134" t="s">
        <v>10</v>
      </c>
      <c r="I3193" s="135"/>
    </row>
    <row r="3194" spans="1:9" ht="21.75" customHeight="1" x14ac:dyDescent="0.25">
      <c r="A3194" s="127">
        <v>44741</v>
      </c>
      <c r="B3194" s="128" t="s">
        <v>21111</v>
      </c>
      <c r="C3194" s="129" t="s">
        <v>414</v>
      </c>
      <c r="D3194" s="130">
        <v>1125</v>
      </c>
      <c r="E3194" s="131">
        <v>44761</v>
      </c>
      <c r="F3194" s="132">
        <v>1125</v>
      </c>
      <c r="G3194" s="133">
        <f>Tabla147[[#This Row],[Importe]]-Tabla147[[#This Row],[Pagado]]</f>
        <v>0</v>
      </c>
      <c r="H3194" s="134" t="s">
        <v>10</v>
      </c>
      <c r="I3194" s="135"/>
    </row>
    <row r="3195" spans="1:9" ht="21.75" customHeight="1" x14ac:dyDescent="0.25">
      <c r="A3195" s="127">
        <v>44741</v>
      </c>
      <c r="B3195" s="128" t="s">
        <v>21112</v>
      </c>
      <c r="C3195" s="129" t="s">
        <v>681</v>
      </c>
      <c r="D3195" s="130">
        <v>5.65</v>
      </c>
      <c r="E3195" s="131">
        <v>44747</v>
      </c>
      <c r="F3195" s="132">
        <v>5.65</v>
      </c>
      <c r="G3195" s="133">
        <f>Tabla147[[#This Row],[Importe]]-Tabla147[[#This Row],[Pagado]]</f>
        <v>0</v>
      </c>
      <c r="H3195" s="134" t="s">
        <v>10</v>
      </c>
      <c r="I3195" s="135"/>
    </row>
    <row r="3196" spans="1:9" ht="21.75" customHeight="1" x14ac:dyDescent="0.25">
      <c r="A3196" s="127">
        <v>44741</v>
      </c>
      <c r="B3196" s="128" t="s">
        <v>21113</v>
      </c>
      <c r="C3196" s="129" t="s">
        <v>1239</v>
      </c>
      <c r="D3196" s="130">
        <v>1740</v>
      </c>
      <c r="E3196" s="131">
        <v>44741</v>
      </c>
      <c r="F3196" s="132">
        <v>1740</v>
      </c>
      <c r="G3196" s="133">
        <f>Tabla147[[#This Row],[Importe]]-Tabla147[[#This Row],[Pagado]]</f>
        <v>0</v>
      </c>
      <c r="H3196" s="134" t="s">
        <v>10</v>
      </c>
      <c r="I3196" s="135"/>
    </row>
    <row r="3197" spans="1:9" ht="21.75" customHeight="1" x14ac:dyDescent="0.25">
      <c r="A3197" s="127">
        <v>44741</v>
      </c>
      <c r="B3197" s="128" t="s">
        <v>21114</v>
      </c>
      <c r="C3197" s="129" t="s">
        <v>53</v>
      </c>
      <c r="D3197" s="130">
        <v>2271.8000000000002</v>
      </c>
      <c r="E3197" s="131">
        <v>44741</v>
      </c>
      <c r="F3197" s="132">
        <v>2271.8000000000002</v>
      </c>
      <c r="G3197" s="133">
        <f>Tabla147[[#This Row],[Importe]]-Tabla147[[#This Row],[Pagado]]</f>
        <v>0</v>
      </c>
      <c r="H3197" s="134" t="s">
        <v>10</v>
      </c>
      <c r="I3197" s="135"/>
    </row>
    <row r="3198" spans="1:9" ht="21.75" customHeight="1" x14ac:dyDescent="0.25">
      <c r="A3198" s="127">
        <v>44741</v>
      </c>
      <c r="B3198" s="128" t="s">
        <v>21115</v>
      </c>
      <c r="C3198" s="129" t="s">
        <v>214</v>
      </c>
      <c r="D3198" s="130">
        <v>7784.8</v>
      </c>
      <c r="E3198" s="131">
        <v>44742</v>
      </c>
      <c r="F3198" s="132">
        <v>7784.8</v>
      </c>
      <c r="G3198" s="133">
        <f>Tabla147[[#This Row],[Importe]]-Tabla147[[#This Row],[Pagado]]</f>
        <v>0</v>
      </c>
      <c r="H3198" s="134" t="s">
        <v>10</v>
      </c>
      <c r="I3198" s="135"/>
    </row>
    <row r="3199" spans="1:9" ht="21.75" customHeight="1" x14ac:dyDescent="0.25">
      <c r="A3199" s="127">
        <v>44741</v>
      </c>
      <c r="B3199" s="128" t="s">
        <v>21116</v>
      </c>
      <c r="C3199" s="129" t="s">
        <v>53</v>
      </c>
      <c r="D3199" s="130">
        <v>1731.6</v>
      </c>
      <c r="E3199" s="131">
        <v>44741</v>
      </c>
      <c r="F3199" s="132">
        <v>1731.6</v>
      </c>
      <c r="G3199" s="133">
        <f>Tabla147[[#This Row],[Importe]]-Tabla147[[#This Row],[Pagado]]</f>
        <v>0</v>
      </c>
      <c r="H3199" s="134" t="s">
        <v>10</v>
      </c>
      <c r="I3199" s="135"/>
    </row>
    <row r="3200" spans="1:9" ht="21.75" customHeight="1" x14ac:dyDescent="0.25">
      <c r="A3200" s="127">
        <v>44741</v>
      </c>
      <c r="B3200" s="128" t="s">
        <v>21117</v>
      </c>
      <c r="C3200" s="129" t="s">
        <v>1339</v>
      </c>
      <c r="D3200" s="130">
        <v>3572.8</v>
      </c>
      <c r="E3200" s="131">
        <v>44767</v>
      </c>
      <c r="F3200" s="132">
        <v>3572.8</v>
      </c>
      <c r="G3200" s="133">
        <f>Tabla147[[#This Row],[Importe]]-Tabla147[[#This Row],[Pagado]]</f>
        <v>0</v>
      </c>
      <c r="H3200" s="134" t="s">
        <v>10</v>
      </c>
      <c r="I3200" s="135"/>
    </row>
    <row r="3201" spans="1:9" ht="21.75" customHeight="1" x14ac:dyDescent="0.25">
      <c r="A3201" s="127">
        <v>44741</v>
      </c>
      <c r="B3201" s="128" t="s">
        <v>21118</v>
      </c>
      <c r="C3201" s="129" t="s">
        <v>284</v>
      </c>
      <c r="D3201" s="130">
        <v>7200</v>
      </c>
      <c r="E3201" s="131">
        <v>44742</v>
      </c>
      <c r="F3201" s="132">
        <v>7200</v>
      </c>
      <c r="G3201" s="133">
        <f>Tabla147[[#This Row],[Importe]]-Tabla147[[#This Row],[Pagado]]</f>
        <v>0</v>
      </c>
      <c r="H3201" s="134" t="s">
        <v>10</v>
      </c>
      <c r="I3201" s="135"/>
    </row>
    <row r="3202" spans="1:9" ht="21.75" customHeight="1" x14ac:dyDescent="0.25">
      <c r="A3202" s="127">
        <v>44741</v>
      </c>
      <c r="B3202" s="128" t="s">
        <v>21119</v>
      </c>
      <c r="C3202" s="129" t="s">
        <v>5345</v>
      </c>
      <c r="D3202" s="130">
        <v>3103.2</v>
      </c>
      <c r="E3202" s="131">
        <v>44742</v>
      </c>
      <c r="F3202" s="132">
        <v>3103.2</v>
      </c>
      <c r="G3202" s="133">
        <f>Tabla147[[#This Row],[Importe]]-Tabla147[[#This Row],[Pagado]]</f>
        <v>0</v>
      </c>
      <c r="H3202" s="134" t="s">
        <v>10</v>
      </c>
      <c r="I3202" s="135"/>
    </row>
    <row r="3203" spans="1:9" ht="21.75" customHeight="1" x14ac:dyDescent="0.25">
      <c r="A3203" s="127">
        <v>44741</v>
      </c>
      <c r="B3203" s="128" t="s">
        <v>21120</v>
      </c>
      <c r="C3203" s="129" t="s">
        <v>58</v>
      </c>
      <c r="D3203" s="130">
        <v>2088.8000000000002</v>
      </c>
      <c r="E3203" s="131">
        <v>44741</v>
      </c>
      <c r="F3203" s="132">
        <v>2088.8000000000002</v>
      </c>
      <c r="G3203" s="133">
        <f>Tabla147[[#This Row],[Importe]]-Tabla147[[#This Row],[Pagado]]</f>
        <v>0</v>
      </c>
      <c r="H3203" s="134" t="s">
        <v>10</v>
      </c>
      <c r="I3203" s="135"/>
    </row>
    <row r="3204" spans="1:9" ht="21.75" customHeight="1" x14ac:dyDescent="0.25">
      <c r="A3204" s="127">
        <v>44741</v>
      </c>
      <c r="B3204" s="128" t="s">
        <v>21121</v>
      </c>
      <c r="C3204" s="129" t="s">
        <v>280</v>
      </c>
      <c r="D3204" s="130">
        <v>1353.6</v>
      </c>
      <c r="E3204" s="131">
        <v>44742</v>
      </c>
      <c r="F3204" s="132">
        <v>1353.6</v>
      </c>
      <c r="G3204" s="133">
        <f>Tabla147[[#This Row],[Importe]]-Tabla147[[#This Row],[Pagado]]</f>
        <v>0</v>
      </c>
      <c r="H3204" s="134" t="s">
        <v>10</v>
      </c>
      <c r="I3204" s="135"/>
    </row>
    <row r="3205" spans="1:9" ht="21.75" customHeight="1" x14ac:dyDescent="0.25">
      <c r="A3205" s="127">
        <v>44741</v>
      </c>
      <c r="B3205" s="128" t="s">
        <v>21122</v>
      </c>
      <c r="C3205" s="129" t="s">
        <v>10819</v>
      </c>
      <c r="D3205" s="130">
        <v>763.2</v>
      </c>
      <c r="E3205" s="131">
        <v>44742</v>
      </c>
      <c r="F3205" s="132">
        <v>763.2</v>
      </c>
      <c r="G3205" s="133">
        <f>Tabla147[[#This Row],[Importe]]-Tabla147[[#This Row],[Pagado]]</f>
        <v>0</v>
      </c>
      <c r="H3205" s="134" t="s">
        <v>10</v>
      </c>
      <c r="I3205" s="135"/>
    </row>
    <row r="3206" spans="1:9" ht="21.75" customHeight="1" x14ac:dyDescent="0.25">
      <c r="A3206" s="127">
        <v>44741</v>
      </c>
      <c r="B3206" s="128" t="s">
        <v>21123</v>
      </c>
      <c r="C3206" s="129" t="s">
        <v>282</v>
      </c>
      <c r="D3206" s="130">
        <v>1850.4</v>
      </c>
      <c r="E3206" s="131">
        <v>44742</v>
      </c>
      <c r="F3206" s="132">
        <v>1850.4</v>
      </c>
      <c r="G3206" s="133">
        <f>Tabla147[[#This Row],[Importe]]-Tabla147[[#This Row],[Pagado]]</f>
        <v>0</v>
      </c>
      <c r="H3206" s="134" t="s">
        <v>10</v>
      </c>
      <c r="I3206" s="135"/>
    </row>
    <row r="3207" spans="1:9" ht="21.75" customHeight="1" x14ac:dyDescent="0.25">
      <c r="A3207" s="127">
        <v>44741</v>
      </c>
      <c r="B3207" s="128" t="s">
        <v>21124</v>
      </c>
      <c r="C3207" s="129" t="s">
        <v>179</v>
      </c>
      <c r="D3207" s="130">
        <v>1404</v>
      </c>
      <c r="E3207" s="131">
        <v>44742</v>
      </c>
      <c r="F3207" s="132">
        <v>1404</v>
      </c>
      <c r="G3207" s="133">
        <f>Tabla147[[#This Row],[Importe]]-Tabla147[[#This Row],[Pagado]]</f>
        <v>0</v>
      </c>
      <c r="H3207" s="134" t="s">
        <v>10</v>
      </c>
      <c r="I3207" s="135"/>
    </row>
    <row r="3208" spans="1:9" ht="21.75" customHeight="1" x14ac:dyDescent="0.25">
      <c r="A3208" s="127">
        <v>44741</v>
      </c>
      <c r="B3208" s="128" t="s">
        <v>21125</v>
      </c>
      <c r="C3208" s="129" t="s">
        <v>5345</v>
      </c>
      <c r="D3208" s="130">
        <v>750</v>
      </c>
      <c r="E3208" s="131">
        <v>44742</v>
      </c>
      <c r="F3208" s="132">
        <v>750</v>
      </c>
      <c r="G3208" s="133">
        <f>Tabla147[[#This Row],[Importe]]-Tabla147[[#This Row],[Pagado]]</f>
        <v>0</v>
      </c>
      <c r="H3208" s="134" t="s">
        <v>10</v>
      </c>
      <c r="I3208" s="135"/>
    </row>
    <row r="3209" spans="1:9" ht="21.75" customHeight="1" x14ac:dyDescent="0.25">
      <c r="A3209" s="127">
        <v>44741</v>
      </c>
      <c r="B3209" s="128" t="s">
        <v>21126</v>
      </c>
      <c r="C3209" s="129" t="s">
        <v>2961</v>
      </c>
      <c r="D3209" s="130">
        <v>36188.199999999997</v>
      </c>
      <c r="E3209" s="131">
        <v>44749</v>
      </c>
      <c r="F3209" s="132">
        <v>36188.199999999997</v>
      </c>
      <c r="G3209" s="133">
        <f>Tabla147[[#This Row],[Importe]]-Tabla147[[#This Row],[Pagado]]</f>
        <v>0</v>
      </c>
      <c r="H3209" s="134" t="s">
        <v>10</v>
      </c>
      <c r="I3209" s="135"/>
    </row>
    <row r="3210" spans="1:9" ht="21.75" customHeight="1" x14ac:dyDescent="0.25">
      <c r="A3210" s="127">
        <v>44741</v>
      </c>
      <c r="B3210" s="128" t="s">
        <v>21127</v>
      </c>
      <c r="C3210" s="129" t="s">
        <v>9577</v>
      </c>
      <c r="D3210" s="130">
        <v>21388.2</v>
      </c>
      <c r="E3210" s="131">
        <v>44742</v>
      </c>
      <c r="F3210" s="132">
        <v>21388.2</v>
      </c>
      <c r="G3210" s="133">
        <f>Tabla147[[#This Row],[Importe]]-Tabla147[[#This Row],[Pagado]]</f>
        <v>0</v>
      </c>
      <c r="H3210" s="134" t="s">
        <v>10</v>
      </c>
      <c r="I3210" s="135"/>
    </row>
    <row r="3211" spans="1:9" ht="21.75" customHeight="1" x14ac:dyDescent="0.25">
      <c r="A3211" s="127">
        <v>44741</v>
      </c>
      <c r="B3211" s="128" t="s">
        <v>21128</v>
      </c>
      <c r="C3211" s="129" t="s">
        <v>296</v>
      </c>
      <c r="D3211" s="130">
        <v>2397.6</v>
      </c>
      <c r="E3211" s="131">
        <v>44741</v>
      </c>
      <c r="F3211" s="132">
        <v>2397.6</v>
      </c>
      <c r="G3211" s="133">
        <f>Tabla147[[#This Row],[Importe]]-Tabla147[[#This Row],[Pagado]]</f>
        <v>0</v>
      </c>
      <c r="H3211" s="134" t="s">
        <v>10</v>
      </c>
      <c r="I3211" s="135"/>
    </row>
    <row r="3212" spans="1:9" ht="21.75" customHeight="1" x14ac:dyDescent="0.25">
      <c r="A3212" s="127">
        <v>44741</v>
      </c>
      <c r="B3212" s="128" t="s">
        <v>21129</v>
      </c>
      <c r="C3212" s="129" t="s">
        <v>10190</v>
      </c>
      <c r="D3212" s="130">
        <v>13464</v>
      </c>
      <c r="E3212" s="131">
        <v>44742</v>
      </c>
      <c r="F3212" s="132">
        <v>13464</v>
      </c>
      <c r="G3212" s="133">
        <f>Tabla147[[#This Row],[Importe]]-Tabla147[[#This Row],[Pagado]]</f>
        <v>0</v>
      </c>
      <c r="H3212" s="134" t="s">
        <v>10</v>
      </c>
      <c r="I3212" s="135"/>
    </row>
    <row r="3213" spans="1:9" ht="21.75" customHeight="1" x14ac:dyDescent="0.25">
      <c r="A3213" s="127">
        <v>44741</v>
      </c>
      <c r="B3213" s="128" t="s">
        <v>21130</v>
      </c>
      <c r="C3213" s="129" t="s">
        <v>610</v>
      </c>
      <c r="D3213" s="130">
        <v>20638.8</v>
      </c>
      <c r="E3213" s="131">
        <v>44741</v>
      </c>
      <c r="F3213" s="132">
        <v>20638.8</v>
      </c>
      <c r="G3213" s="133">
        <f>Tabla147[[#This Row],[Importe]]-Tabla147[[#This Row],[Pagado]]</f>
        <v>0</v>
      </c>
      <c r="H3213" s="134" t="s">
        <v>10</v>
      </c>
      <c r="I3213" s="135"/>
    </row>
    <row r="3214" spans="1:9" ht="21.75" customHeight="1" x14ac:dyDescent="0.25">
      <c r="A3214" s="127">
        <v>44742</v>
      </c>
      <c r="B3214" s="128" t="s">
        <v>21131</v>
      </c>
      <c r="C3214" s="129" t="s">
        <v>20</v>
      </c>
      <c r="D3214" s="130">
        <v>1554.2</v>
      </c>
      <c r="E3214" s="131">
        <v>44742</v>
      </c>
      <c r="F3214" s="132">
        <v>1554.2</v>
      </c>
      <c r="G3214" s="133">
        <f>Tabla147[[#This Row],[Importe]]-Tabla147[[#This Row],[Pagado]]</f>
        <v>0</v>
      </c>
      <c r="H3214" s="134" t="s">
        <v>10</v>
      </c>
      <c r="I3214" s="135"/>
    </row>
    <row r="3215" spans="1:9" ht="21.75" customHeight="1" x14ac:dyDescent="0.25">
      <c r="A3215" s="127">
        <v>44742</v>
      </c>
      <c r="B3215" s="128" t="s">
        <v>21132</v>
      </c>
      <c r="C3215" s="129" t="s">
        <v>95</v>
      </c>
      <c r="D3215" s="130">
        <v>29650</v>
      </c>
      <c r="E3215" s="131">
        <v>44742</v>
      </c>
      <c r="F3215" s="132">
        <v>29650</v>
      </c>
      <c r="G3215" s="133">
        <f>Tabla147[[#This Row],[Importe]]-Tabla147[[#This Row],[Pagado]]</f>
        <v>0</v>
      </c>
      <c r="H3215" s="134" t="s">
        <v>10</v>
      </c>
      <c r="I3215" s="135"/>
    </row>
    <row r="3216" spans="1:9" ht="26.25" customHeight="1" x14ac:dyDescent="0.25">
      <c r="A3216" s="127">
        <v>44742</v>
      </c>
      <c r="B3216" s="128" t="s">
        <v>21133</v>
      </c>
      <c r="C3216" s="129" t="s">
        <v>475</v>
      </c>
      <c r="D3216" s="130">
        <v>88179.199999999997</v>
      </c>
      <c r="E3216" s="131" t="s">
        <v>21261</v>
      </c>
      <c r="F3216" s="132">
        <f>27700+60479.2</f>
        <v>88179.199999999997</v>
      </c>
      <c r="G3216" s="133">
        <f>Tabla147[[#This Row],[Importe]]-Tabla147[[#This Row],[Pagado]]</f>
        <v>0</v>
      </c>
      <c r="H3216" s="134" t="s">
        <v>10</v>
      </c>
      <c r="I3216" s="135"/>
    </row>
    <row r="3217" spans="1:9" ht="21.75" customHeight="1" x14ac:dyDescent="0.25">
      <c r="A3217" s="127">
        <v>44742</v>
      </c>
      <c r="B3217" s="128" t="s">
        <v>21134</v>
      </c>
      <c r="C3217" s="129" t="s">
        <v>348</v>
      </c>
      <c r="D3217" s="130">
        <v>6187.6</v>
      </c>
      <c r="E3217" s="131">
        <v>44742</v>
      </c>
      <c r="F3217" s="132">
        <v>6187.6</v>
      </c>
      <c r="G3217" s="133">
        <f>Tabla147[[#This Row],[Importe]]-Tabla147[[#This Row],[Pagado]]</f>
        <v>0</v>
      </c>
      <c r="H3217" s="134" t="s">
        <v>10</v>
      </c>
      <c r="I3217" s="135"/>
    </row>
    <row r="3218" spans="1:9" ht="21.75" customHeight="1" x14ac:dyDescent="0.25">
      <c r="A3218" s="127">
        <v>44742</v>
      </c>
      <c r="B3218" s="128" t="s">
        <v>21135</v>
      </c>
      <c r="C3218" s="129" t="s">
        <v>114</v>
      </c>
      <c r="D3218" s="130">
        <v>5053</v>
      </c>
      <c r="E3218" s="131">
        <v>44743</v>
      </c>
      <c r="F3218" s="132">
        <v>5053</v>
      </c>
      <c r="G3218" s="133">
        <f>Tabla147[[#This Row],[Importe]]-Tabla147[[#This Row],[Pagado]]</f>
        <v>0</v>
      </c>
      <c r="H3218" s="134" t="s">
        <v>10</v>
      </c>
      <c r="I3218" s="135"/>
    </row>
    <row r="3219" spans="1:9" ht="21.75" customHeight="1" x14ac:dyDescent="0.25">
      <c r="A3219" s="127">
        <v>44742</v>
      </c>
      <c r="B3219" s="128" t="s">
        <v>21136</v>
      </c>
      <c r="C3219" s="129" t="s">
        <v>64</v>
      </c>
      <c r="D3219" s="130">
        <v>5177.6000000000004</v>
      </c>
      <c r="E3219" s="131">
        <v>44743</v>
      </c>
      <c r="F3219" s="132">
        <v>5177.6000000000004</v>
      </c>
      <c r="G3219" s="133">
        <f>Tabla147[[#This Row],[Importe]]-Tabla147[[#This Row],[Pagado]]</f>
        <v>0</v>
      </c>
      <c r="H3219" s="134" t="s">
        <v>10</v>
      </c>
      <c r="I3219" s="135"/>
    </row>
    <row r="3220" spans="1:9" ht="21.75" customHeight="1" x14ac:dyDescent="0.25">
      <c r="A3220" s="127">
        <v>44742</v>
      </c>
      <c r="B3220" s="128" t="s">
        <v>21137</v>
      </c>
      <c r="C3220" s="129" t="s">
        <v>89</v>
      </c>
      <c r="D3220" s="130">
        <v>11916.8</v>
      </c>
      <c r="E3220" s="131">
        <v>44743</v>
      </c>
      <c r="F3220" s="132">
        <v>11916.8</v>
      </c>
      <c r="G3220" s="133">
        <f>Tabla147[[#This Row],[Importe]]-Tabla147[[#This Row],[Pagado]]</f>
        <v>0</v>
      </c>
      <c r="H3220" s="134" t="s">
        <v>10</v>
      </c>
      <c r="I3220" s="135"/>
    </row>
    <row r="3221" spans="1:9" ht="21.75" customHeight="1" x14ac:dyDescent="0.25">
      <c r="A3221" s="127">
        <v>44742</v>
      </c>
      <c r="B3221" s="128" t="s">
        <v>21138</v>
      </c>
      <c r="C3221" s="129" t="s">
        <v>97</v>
      </c>
      <c r="D3221" s="130">
        <v>5126.3999999999996</v>
      </c>
      <c r="E3221" s="131">
        <v>44743</v>
      </c>
      <c r="F3221" s="132">
        <v>5126.3999999999996</v>
      </c>
      <c r="G3221" s="133">
        <f>Tabla147[[#This Row],[Importe]]-Tabla147[[#This Row],[Pagado]]</f>
        <v>0</v>
      </c>
      <c r="H3221" s="134" t="s">
        <v>10</v>
      </c>
      <c r="I3221" s="135"/>
    </row>
    <row r="3222" spans="1:9" ht="21.75" customHeight="1" x14ac:dyDescent="0.25">
      <c r="A3222" s="127">
        <v>44742</v>
      </c>
      <c r="B3222" s="128" t="s">
        <v>21139</v>
      </c>
      <c r="C3222" s="129" t="s">
        <v>99</v>
      </c>
      <c r="D3222" s="130">
        <v>3365.6</v>
      </c>
      <c r="E3222" s="131">
        <v>44744</v>
      </c>
      <c r="F3222" s="132">
        <v>3365.6</v>
      </c>
      <c r="G3222" s="133">
        <f>Tabla147[[#This Row],[Importe]]-Tabla147[[#This Row],[Pagado]]</f>
        <v>0</v>
      </c>
      <c r="H3222" s="134" t="s">
        <v>10</v>
      </c>
      <c r="I3222" s="135"/>
    </row>
    <row r="3223" spans="1:9" ht="21.75" customHeight="1" x14ac:dyDescent="0.25">
      <c r="A3223" s="127">
        <v>44742</v>
      </c>
      <c r="B3223" s="128" t="s">
        <v>21140</v>
      </c>
      <c r="C3223" s="129" t="s">
        <v>345</v>
      </c>
      <c r="D3223" s="130">
        <v>620.5</v>
      </c>
      <c r="E3223" s="131">
        <v>44742</v>
      </c>
      <c r="F3223" s="132">
        <v>620.5</v>
      </c>
      <c r="G3223" s="133">
        <f>Tabla147[[#This Row],[Importe]]-Tabla147[[#This Row],[Pagado]]</f>
        <v>0</v>
      </c>
      <c r="H3223" s="134" t="s">
        <v>10</v>
      </c>
      <c r="I3223" s="135"/>
    </row>
    <row r="3224" spans="1:9" ht="21.75" customHeight="1" x14ac:dyDescent="0.25">
      <c r="A3224" s="127">
        <v>44742</v>
      </c>
      <c r="B3224" s="128" t="s">
        <v>21141</v>
      </c>
      <c r="C3224" s="129" t="s">
        <v>481</v>
      </c>
      <c r="D3224" s="130">
        <v>1155.2</v>
      </c>
      <c r="E3224" s="131">
        <v>44742</v>
      </c>
      <c r="F3224" s="132">
        <v>1155.2</v>
      </c>
      <c r="G3224" s="133">
        <f>Tabla147[[#This Row],[Importe]]-Tabla147[[#This Row],[Pagado]]</f>
        <v>0</v>
      </c>
      <c r="H3224" s="134" t="s">
        <v>10</v>
      </c>
      <c r="I3224" s="135"/>
    </row>
    <row r="3225" spans="1:9" ht="21.75" customHeight="1" x14ac:dyDescent="0.25">
      <c r="A3225" s="127">
        <v>44742</v>
      </c>
      <c r="B3225" s="128" t="s">
        <v>21142</v>
      </c>
      <c r="C3225" s="129" t="s">
        <v>326</v>
      </c>
      <c r="D3225" s="130">
        <v>7781.5</v>
      </c>
      <c r="E3225" s="131">
        <v>44743</v>
      </c>
      <c r="F3225" s="132">
        <v>7781.5</v>
      </c>
      <c r="G3225" s="133">
        <f>Tabla147[[#This Row],[Importe]]-Tabla147[[#This Row],[Pagado]]</f>
        <v>0</v>
      </c>
      <c r="H3225" s="134" t="s">
        <v>10</v>
      </c>
      <c r="I3225" s="135"/>
    </row>
    <row r="3226" spans="1:9" ht="21.75" customHeight="1" x14ac:dyDescent="0.25">
      <c r="A3226" s="127">
        <v>44742</v>
      </c>
      <c r="B3226" s="128" t="s">
        <v>21143</v>
      </c>
      <c r="C3226" s="129" t="s">
        <v>105</v>
      </c>
      <c r="D3226" s="130">
        <v>7384.2</v>
      </c>
      <c r="E3226" s="131">
        <v>44743</v>
      </c>
      <c r="F3226" s="132">
        <v>7384.2</v>
      </c>
      <c r="G3226" s="133">
        <f>Tabla147[[#This Row],[Importe]]-Tabla147[[#This Row],[Pagado]]</f>
        <v>0</v>
      </c>
      <c r="H3226" s="134" t="s">
        <v>10</v>
      </c>
      <c r="I3226" s="135"/>
    </row>
    <row r="3227" spans="1:9" ht="21.75" customHeight="1" x14ac:dyDescent="0.25">
      <c r="A3227" s="127">
        <v>44742</v>
      </c>
      <c r="B3227" s="128" t="s">
        <v>21144</v>
      </c>
      <c r="C3227" s="129" t="s">
        <v>116</v>
      </c>
      <c r="D3227" s="130">
        <v>3248</v>
      </c>
      <c r="E3227" s="131">
        <v>44743</v>
      </c>
      <c r="F3227" s="132">
        <v>3248</v>
      </c>
      <c r="G3227" s="133">
        <f>Tabla147[[#This Row],[Importe]]-Tabla147[[#This Row],[Pagado]]</f>
        <v>0</v>
      </c>
      <c r="H3227" s="134" t="s">
        <v>10</v>
      </c>
      <c r="I3227" s="135"/>
    </row>
    <row r="3228" spans="1:9" ht="21.75" customHeight="1" x14ac:dyDescent="0.25">
      <c r="A3228" s="127">
        <v>44742</v>
      </c>
      <c r="B3228" s="128" t="s">
        <v>21145</v>
      </c>
      <c r="C3228" s="129" t="s">
        <v>2151</v>
      </c>
      <c r="D3228" s="130">
        <v>17322.8</v>
      </c>
      <c r="E3228" s="131">
        <v>44742</v>
      </c>
      <c r="F3228" s="132">
        <v>17322.8</v>
      </c>
      <c r="G3228" s="133">
        <f>Tabla147[[#This Row],[Importe]]-Tabla147[[#This Row],[Pagado]]</f>
        <v>0</v>
      </c>
      <c r="H3228" s="134" t="s">
        <v>10</v>
      </c>
      <c r="I3228" s="135"/>
    </row>
    <row r="3229" spans="1:9" ht="21.75" customHeight="1" x14ac:dyDescent="0.25">
      <c r="A3229" s="127">
        <v>44742</v>
      </c>
      <c r="B3229" s="128" t="s">
        <v>21146</v>
      </c>
      <c r="C3229" s="129" t="s">
        <v>618</v>
      </c>
      <c r="D3229" s="130">
        <v>11241.4</v>
      </c>
      <c r="E3229" s="131">
        <v>44742</v>
      </c>
      <c r="F3229" s="132">
        <v>11241.4</v>
      </c>
      <c r="G3229" s="133">
        <f>Tabla147[[#This Row],[Importe]]-Tabla147[[#This Row],[Pagado]]</f>
        <v>0</v>
      </c>
      <c r="H3229" s="134" t="s">
        <v>10</v>
      </c>
      <c r="I3229" s="135"/>
    </row>
    <row r="3230" spans="1:9" ht="21.75" customHeight="1" x14ac:dyDescent="0.25">
      <c r="A3230" s="127">
        <v>44742</v>
      </c>
      <c r="B3230" s="128" t="s">
        <v>21147</v>
      </c>
      <c r="C3230" s="129" t="s">
        <v>1650</v>
      </c>
      <c r="D3230" s="130">
        <v>6192</v>
      </c>
      <c r="E3230" s="131">
        <v>44742</v>
      </c>
      <c r="F3230" s="132">
        <v>6192</v>
      </c>
      <c r="G3230" s="133">
        <f>Tabla147[[#This Row],[Importe]]-Tabla147[[#This Row],[Pagado]]</f>
        <v>0</v>
      </c>
      <c r="H3230" s="134" t="s">
        <v>10</v>
      </c>
      <c r="I3230" s="135"/>
    </row>
    <row r="3231" spans="1:9" ht="21.75" customHeight="1" x14ac:dyDescent="0.25">
      <c r="A3231" s="127">
        <v>44742</v>
      </c>
      <c r="B3231" s="128" t="s">
        <v>21148</v>
      </c>
      <c r="C3231" s="129" t="s">
        <v>12716</v>
      </c>
      <c r="D3231" s="130">
        <v>0</v>
      </c>
      <c r="E3231" s="136" t="s">
        <v>189</v>
      </c>
      <c r="F3231" s="132">
        <v>0</v>
      </c>
      <c r="G3231" s="133">
        <f>Tabla147[[#This Row],[Importe]]-Tabla147[[#This Row],[Pagado]]</f>
        <v>0</v>
      </c>
      <c r="H3231" s="137" t="s">
        <v>21149</v>
      </c>
      <c r="I3231" s="135"/>
    </row>
    <row r="3232" spans="1:9" ht="21.75" customHeight="1" x14ac:dyDescent="0.25">
      <c r="A3232" s="127">
        <v>44742</v>
      </c>
      <c r="B3232" s="128" t="s">
        <v>21150</v>
      </c>
      <c r="C3232" s="129" t="s">
        <v>85</v>
      </c>
      <c r="D3232" s="130">
        <v>1224</v>
      </c>
      <c r="E3232" s="131">
        <v>44742</v>
      </c>
      <c r="F3232" s="132">
        <v>1224</v>
      </c>
      <c r="G3232" s="133">
        <f>Tabla147[[#This Row],[Importe]]-Tabla147[[#This Row],[Pagado]]</f>
        <v>0</v>
      </c>
      <c r="H3232" s="134" t="s">
        <v>10</v>
      </c>
      <c r="I3232" s="135"/>
    </row>
    <row r="3233" spans="1:9" ht="21.75" customHeight="1" x14ac:dyDescent="0.25">
      <c r="A3233" s="127">
        <v>44742</v>
      </c>
      <c r="B3233" s="128" t="s">
        <v>21151</v>
      </c>
      <c r="C3233" s="129" t="s">
        <v>9</v>
      </c>
      <c r="D3233" s="130">
        <v>4532.8</v>
      </c>
      <c r="E3233" s="131">
        <v>44742</v>
      </c>
      <c r="F3233" s="132">
        <v>4532.8</v>
      </c>
      <c r="G3233" s="133">
        <f>Tabla147[[#This Row],[Importe]]-Tabla147[[#This Row],[Pagado]]</f>
        <v>0</v>
      </c>
      <c r="H3233" s="134" t="s">
        <v>10</v>
      </c>
      <c r="I3233" s="135"/>
    </row>
    <row r="3234" spans="1:9" ht="21.75" customHeight="1" x14ac:dyDescent="0.25">
      <c r="A3234" s="127">
        <v>44742</v>
      </c>
      <c r="B3234" s="128" t="s">
        <v>21152</v>
      </c>
      <c r="C3234" s="129" t="s">
        <v>131</v>
      </c>
      <c r="D3234" s="130">
        <v>7974</v>
      </c>
      <c r="E3234" s="131">
        <v>44742</v>
      </c>
      <c r="F3234" s="132">
        <v>7974</v>
      </c>
      <c r="G3234" s="133">
        <f>Tabla147[[#This Row],[Importe]]-Tabla147[[#This Row],[Pagado]]</f>
        <v>0</v>
      </c>
      <c r="H3234" s="134" t="s">
        <v>10</v>
      </c>
      <c r="I3234" s="135"/>
    </row>
    <row r="3235" spans="1:9" ht="21.75" customHeight="1" x14ac:dyDescent="0.25">
      <c r="A3235" s="127">
        <v>44742</v>
      </c>
      <c r="B3235" s="128" t="s">
        <v>21153</v>
      </c>
      <c r="C3235" s="129" t="s">
        <v>1187</v>
      </c>
      <c r="D3235" s="130">
        <v>2949.5</v>
      </c>
      <c r="E3235" s="131">
        <v>44742</v>
      </c>
      <c r="F3235" s="132">
        <v>2949.5</v>
      </c>
      <c r="G3235" s="133">
        <f>Tabla147[[#This Row],[Importe]]-Tabla147[[#This Row],[Pagado]]</f>
        <v>0</v>
      </c>
      <c r="H3235" s="134" t="s">
        <v>10</v>
      </c>
      <c r="I3235" s="135"/>
    </row>
    <row r="3236" spans="1:9" ht="22.5" customHeight="1" x14ac:dyDescent="0.25">
      <c r="A3236" s="127">
        <v>44742</v>
      </c>
      <c r="B3236" s="128" t="s">
        <v>21154</v>
      </c>
      <c r="C3236" s="129" t="s">
        <v>22</v>
      </c>
      <c r="D3236" s="130">
        <v>60622.400000000001</v>
      </c>
      <c r="E3236" s="131" t="s">
        <v>21261</v>
      </c>
      <c r="F3236" s="132">
        <f>50000+10622.4</f>
        <v>60622.400000000001</v>
      </c>
      <c r="G3236" s="133">
        <f>Tabla147[[#This Row],[Importe]]-Tabla147[[#This Row],[Pagado]]</f>
        <v>0</v>
      </c>
      <c r="H3236" s="134" t="s">
        <v>10</v>
      </c>
      <c r="I3236" s="135"/>
    </row>
    <row r="3237" spans="1:9" ht="21.75" customHeight="1" x14ac:dyDescent="0.25">
      <c r="A3237" s="127">
        <v>44742</v>
      </c>
      <c r="B3237" s="128" t="s">
        <v>21155</v>
      </c>
      <c r="C3237" s="129" t="s">
        <v>31</v>
      </c>
      <c r="D3237" s="130">
        <v>1235.8</v>
      </c>
      <c r="E3237" s="131">
        <v>44742</v>
      </c>
      <c r="F3237" s="132">
        <v>1235.8</v>
      </c>
      <c r="G3237" s="133">
        <f>Tabla147[[#This Row],[Importe]]-Tabla147[[#This Row],[Pagado]]</f>
        <v>0</v>
      </c>
      <c r="H3237" s="134" t="s">
        <v>10</v>
      </c>
      <c r="I3237" s="135"/>
    </row>
    <row r="3238" spans="1:9" ht="21.75" customHeight="1" x14ac:dyDescent="0.25">
      <c r="A3238" s="127">
        <v>44742</v>
      </c>
      <c r="B3238" s="128" t="s">
        <v>21156</v>
      </c>
      <c r="C3238" s="129" t="s">
        <v>83</v>
      </c>
      <c r="D3238" s="130">
        <v>11198.1</v>
      </c>
      <c r="E3238" s="131">
        <v>44742</v>
      </c>
      <c r="F3238" s="132">
        <v>11198.1</v>
      </c>
      <c r="G3238" s="133">
        <f>Tabla147[[#This Row],[Importe]]-Tabla147[[#This Row],[Pagado]]</f>
        <v>0</v>
      </c>
      <c r="H3238" s="134" t="s">
        <v>10</v>
      </c>
      <c r="I3238" s="135"/>
    </row>
    <row r="3239" spans="1:9" ht="21.75" customHeight="1" x14ac:dyDescent="0.25">
      <c r="A3239" s="127">
        <v>44742</v>
      </c>
      <c r="B3239" s="128" t="s">
        <v>21157</v>
      </c>
      <c r="C3239" s="129" t="s">
        <v>87</v>
      </c>
      <c r="D3239" s="130">
        <v>2993.6</v>
      </c>
      <c r="E3239" s="131">
        <v>44742</v>
      </c>
      <c r="F3239" s="132">
        <v>2993.6</v>
      </c>
      <c r="G3239" s="133">
        <f>Tabla147[[#This Row],[Importe]]-Tabla147[[#This Row],[Pagado]]</f>
        <v>0</v>
      </c>
      <c r="H3239" s="134" t="s">
        <v>10</v>
      </c>
      <c r="I3239" s="135"/>
    </row>
    <row r="3240" spans="1:9" ht="21.75" customHeight="1" x14ac:dyDescent="0.25">
      <c r="A3240" s="127">
        <v>44742</v>
      </c>
      <c r="B3240" s="128" t="s">
        <v>21158</v>
      </c>
      <c r="C3240" s="129" t="s">
        <v>140</v>
      </c>
      <c r="D3240" s="130">
        <v>5864.9</v>
      </c>
      <c r="E3240" s="131">
        <v>44742</v>
      </c>
      <c r="F3240" s="132">
        <v>5864.9</v>
      </c>
      <c r="G3240" s="133">
        <f>Tabla147[[#This Row],[Importe]]-Tabla147[[#This Row],[Pagado]]</f>
        <v>0</v>
      </c>
      <c r="H3240" s="134" t="s">
        <v>10</v>
      </c>
      <c r="I3240" s="135"/>
    </row>
    <row r="3241" spans="1:9" ht="21.75" customHeight="1" x14ac:dyDescent="0.25">
      <c r="A3241" s="127">
        <v>44742</v>
      </c>
      <c r="B3241" s="128" t="s">
        <v>21159</v>
      </c>
      <c r="C3241" s="129" t="s">
        <v>146</v>
      </c>
      <c r="D3241" s="130">
        <v>2357.9</v>
      </c>
      <c r="E3241" s="131">
        <v>44742</v>
      </c>
      <c r="F3241" s="132">
        <v>2357.9</v>
      </c>
      <c r="G3241" s="133">
        <f>Tabla147[[#This Row],[Importe]]-Tabla147[[#This Row],[Pagado]]</f>
        <v>0</v>
      </c>
      <c r="H3241" s="134" t="s">
        <v>10</v>
      </c>
      <c r="I3241" s="135"/>
    </row>
    <row r="3242" spans="1:9" ht="21.75" customHeight="1" x14ac:dyDescent="0.25">
      <c r="A3242" s="127">
        <v>44742</v>
      </c>
      <c r="B3242" s="128" t="s">
        <v>21160</v>
      </c>
      <c r="C3242" s="129" t="s">
        <v>27</v>
      </c>
      <c r="D3242" s="130">
        <v>1901.7</v>
      </c>
      <c r="E3242" s="131">
        <v>44742</v>
      </c>
      <c r="F3242" s="132">
        <v>1901.7</v>
      </c>
      <c r="G3242" s="133">
        <f>Tabla147[[#This Row],[Importe]]-Tabla147[[#This Row],[Pagado]]</f>
        <v>0</v>
      </c>
      <c r="H3242" s="134" t="s">
        <v>10</v>
      </c>
      <c r="I3242" s="135"/>
    </row>
    <row r="3243" spans="1:9" ht="21.75" customHeight="1" x14ac:dyDescent="0.25">
      <c r="A3243" s="127">
        <v>44742</v>
      </c>
      <c r="B3243" s="128" t="s">
        <v>21161</v>
      </c>
      <c r="C3243" s="129" t="s">
        <v>484</v>
      </c>
      <c r="D3243" s="130">
        <v>4036.5</v>
      </c>
      <c r="E3243" s="131">
        <v>44742</v>
      </c>
      <c r="F3243" s="132">
        <v>4036.5</v>
      </c>
      <c r="G3243" s="133">
        <f>Tabla147[[#This Row],[Importe]]-Tabla147[[#This Row],[Pagado]]</f>
        <v>0</v>
      </c>
      <c r="H3243" s="134" t="s">
        <v>10</v>
      </c>
      <c r="I3243" s="135"/>
    </row>
    <row r="3244" spans="1:9" ht="21.75" customHeight="1" x14ac:dyDescent="0.25">
      <c r="A3244" s="127">
        <v>44742</v>
      </c>
      <c r="B3244" s="128" t="s">
        <v>21162</v>
      </c>
      <c r="C3244" s="129" t="s">
        <v>129</v>
      </c>
      <c r="D3244" s="130">
        <v>1990</v>
      </c>
      <c r="E3244" s="131">
        <v>44742</v>
      </c>
      <c r="F3244" s="132">
        <v>1990</v>
      </c>
      <c r="G3244" s="133">
        <f>Tabla147[[#This Row],[Importe]]-Tabla147[[#This Row],[Pagado]]</f>
        <v>0</v>
      </c>
      <c r="H3244" s="134" t="s">
        <v>10</v>
      </c>
      <c r="I3244" s="135"/>
    </row>
    <row r="3245" spans="1:9" ht="21.75" customHeight="1" x14ac:dyDescent="0.25">
      <c r="A3245" s="127">
        <v>44742</v>
      </c>
      <c r="B3245" s="128" t="s">
        <v>21163</v>
      </c>
      <c r="C3245" s="129" t="s">
        <v>11033</v>
      </c>
      <c r="D3245" s="130">
        <v>3366.8</v>
      </c>
      <c r="E3245" s="131">
        <v>44742</v>
      </c>
      <c r="F3245" s="132">
        <v>3366.8</v>
      </c>
      <c r="G3245" s="133">
        <f>Tabla147[[#This Row],[Importe]]-Tabla147[[#This Row],[Pagado]]</f>
        <v>0</v>
      </c>
      <c r="H3245" s="134" t="s">
        <v>10</v>
      </c>
      <c r="I3245" s="135"/>
    </row>
    <row r="3246" spans="1:9" ht="21.75" customHeight="1" x14ac:dyDescent="0.25">
      <c r="A3246" s="127">
        <v>44742</v>
      </c>
      <c r="B3246" s="128" t="s">
        <v>21164</v>
      </c>
      <c r="C3246" s="129" t="s">
        <v>339</v>
      </c>
      <c r="D3246" s="130">
        <v>643.79999999999995</v>
      </c>
      <c r="E3246" s="131">
        <v>44742</v>
      </c>
      <c r="F3246" s="132">
        <v>643.79999999999995</v>
      </c>
      <c r="G3246" s="133">
        <f>Tabla147[[#This Row],[Importe]]-Tabla147[[#This Row],[Pagado]]</f>
        <v>0</v>
      </c>
      <c r="H3246" s="134" t="s">
        <v>10</v>
      </c>
      <c r="I3246" s="135"/>
    </row>
    <row r="3247" spans="1:9" ht="21.75" customHeight="1" x14ac:dyDescent="0.25">
      <c r="A3247" s="127">
        <v>44742</v>
      </c>
      <c r="B3247" s="128" t="s">
        <v>21165</v>
      </c>
      <c r="C3247" s="129" t="s">
        <v>333</v>
      </c>
      <c r="D3247" s="130">
        <v>1339.5</v>
      </c>
      <c r="E3247" s="131">
        <v>44742</v>
      </c>
      <c r="F3247" s="132">
        <v>1339.5</v>
      </c>
      <c r="G3247" s="133">
        <f>Tabla147[[#This Row],[Importe]]-Tabla147[[#This Row],[Pagado]]</f>
        <v>0</v>
      </c>
      <c r="H3247" s="134" t="s">
        <v>10</v>
      </c>
      <c r="I3247" s="135"/>
    </row>
    <row r="3248" spans="1:9" ht="21.75" customHeight="1" x14ac:dyDescent="0.25">
      <c r="A3248" s="127">
        <v>44742</v>
      </c>
      <c r="B3248" s="128" t="s">
        <v>21166</v>
      </c>
      <c r="C3248" s="129" t="s">
        <v>107</v>
      </c>
      <c r="D3248" s="130">
        <v>17888</v>
      </c>
      <c r="E3248" s="131">
        <v>44742</v>
      </c>
      <c r="F3248" s="132">
        <v>17888</v>
      </c>
      <c r="G3248" s="133">
        <f>Tabla147[[#This Row],[Importe]]-Tabla147[[#This Row],[Pagado]]</f>
        <v>0</v>
      </c>
      <c r="H3248" s="134" t="s">
        <v>10</v>
      </c>
      <c r="I3248" s="135"/>
    </row>
    <row r="3249" spans="1:9" ht="21.75" customHeight="1" x14ac:dyDescent="0.25">
      <c r="A3249" s="127">
        <v>44742</v>
      </c>
      <c r="B3249" s="128" t="s">
        <v>21167</v>
      </c>
      <c r="C3249" s="129" t="s">
        <v>1064</v>
      </c>
      <c r="D3249" s="130">
        <v>9000</v>
      </c>
      <c r="E3249" s="131">
        <v>44742</v>
      </c>
      <c r="F3249" s="132">
        <v>9000</v>
      </c>
      <c r="G3249" s="133">
        <f>Tabla147[[#This Row],[Importe]]-Tabla147[[#This Row],[Pagado]]</f>
        <v>0</v>
      </c>
      <c r="H3249" s="134" t="s">
        <v>10</v>
      </c>
      <c r="I3249" s="135"/>
    </row>
    <row r="3250" spans="1:9" ht="21.75" customHeight="1" x14ac:dyDescent="0.25">
      <c r="A3250" s="127">
        <v>44742</v>
      </c>
      <c r="B3250" s="128" t="s">
        <v>21168</v>
      </c>
      <c r="C3250" s="129" t="s">
        <v>111</v>
      </c>
      <c r="D3250" s="130">
        <v>5177</v>
      </c>
      <c r="E3250" s="131">
        <v>44744</v>
      </c>
      <c r="F3250" s="132">
        <v>5177</v>
      </c>
      <c r="G3250" s="133">
        <f>Tabla147[[#This Row],[Importe]]-Tabla147[[#This Row],[Pagado]]</f>
        <v>0</v>
      </c>
      <c r="H3250" s="134" t="s">
        <v>10</v>
      </c>
      <c r="I3250" s="135"/>
    </row>
    <row r="3251" spans="1:9" ht="21.75" customHeight="1" x14ac:dyDescent="0.25">
      <c r="A3251" s="127">
        <v>44742</v>
      </c>
      <c r="B3251" s="128" t="s">
        <v>21169</v>
      </c>
      <c r="C3251" s="129" t="s">
        <v>60</v>
      </c>
      <c r="D3251" s="130">
        <v>5440</v>
      </c>
      <c r="E3251" s="131">
        <v>44745</v>
      </c>
      <c r="F3251" s="132">
        <v>5440</v>
      </c>
      <c r="G3251" s="133">
        <f>Tabla147[[#This Row],[Importe]]-Tabla147[[#This Row],[Pagado]]</f>
        <v>0</v>
      </c>
      <c r="H3251" s="134" t="s">
        <v>10</v>
      </c>
      <c r="I3251" s="135"/>
    </row>
    <row r="3252" spans="1:9" ht="21.75" customHeight="1" x14ac:dyDescent="0.25">
      <c r="A3252" s="127">
        <v>44742</v>
      </c>
      <c r="B3252" s="128" t="s">
        <v>21170</v>
      </c>
      <c r="C3252" s="129" t="s">
        <v>31</v>
      </c>
      <c r="D3252" s="130">
        <v>2880</v>
      </c>
      <c r="E3252" s="131">
        <v>44743</v>
      </c>
      <c r="F3252" s="132">
        <v>2880</v>
      </c>
      <c r="G3252" s="133">
        <f>Tabla147[[#This Row],[Importe]]-Tabla147[[#This Row],[Pagado]]</f>
        <v>0</v>
      </c>
      <c r="H3252" s="134" t="s">
        <v>10</v>
      </c>
      <c r="I3252" s="135"/>
    </row>
    <row r="3253" spans="1:9" ht="21.75" customHeight="1" x14ac:dyDescent="0.25">
      <c r="A3253" s="127">
        <v>44742</v>
      </c>
      <c r="B3253" s="128" t="s">
        <v>21171</v>
      </c>
      <c r="C3253" s="129" t="s">
        <v>31</v>
      </c>
      <c r="D3253" s="130">
        <v>1600</v>
      </c>
      <c r="E3253" s="131">
        <v>44742</v>
      </c>
      <c r="F3253" s="132">
        <v>1600</v>
      </c>
      <c r="G3253" s="133">
        <f>Tabla147[[#This Row],[Importe]]-Tabla147[[#This Row],[Pagado]]</f>
        <v>0</v>
      </c>
      <c r="H3253" s="134" t="s">
        <v>10</v>
      </c>
      <c r="I3253" s="135"/>
    </row>
    <row r="3254" spans="1:9" ht="21.75" customHeight="1" x14ac:dyDescent="0.25">
      <c r="A3254" s="127">
        <v>44742</v>
      </c>
      <c r="B3254" s="128" t="s">
        <v>21172</v>
      </c>
      <c r="C3254" s="129" t="s">
        <v>56</v>
      </c>
      <c r="D3254" s="130">
        <v>6107.8</v>
      </c>
      <c r="E3254" s="131">
        <v>44742</v>
      </c>
      <c r="F3254" s="132">
        <v>6107.8</v>
      </c>
      <c r="G3254" s="133">
        <f>Tabla147[[#This Row],[Importe]]-Tabla147[[#This Row],[Pagado]]</f>
        <v>0</v>
      </c>
      <c r="H3254" s="134" t="s">
        <v>10</v>
      </c>
      <c r="I3254" s="135"/>
    </row>
    <row r="3255" spans="1:9" ht="21.75" customHeight="1" x14ac:dyDescent="0.25">
      <c r="A3255" s="127">
        <v>44742</v>
      </c>
      <c r="B3255" s="128" t="s">
        <v>21173</v>
      </c>
      <c r="C3255" s="129" t="s">
        <v>31</v>
      </c>
      <c r="D3255" s="130">
        <v>5895.4</v>
      </c>
      <c r="E3255" s="131">
        <v>44742</v>
      </c>
      <c r="F3255" s="132">
        <v>5895.4</v>
      </c>
      <c r="G3255" s="133">
        <f>Tabla147[[#This Row],[Importe]]-Tabla147[[#This Row],[Pagado]]</f>
        <v>0</v>
      </c>
      <c r="H3255" s="134" t="s">
        <v>10</v>
      </c>
      <c r="I3255" s="135"/>
    </row>
    <row r="3256" spans="1:9" ht="21.75" customHeight="1" x14ac:dyDescent="0.25">
      <c r="A3256" s="127">
        <v>44742</v>
      </c>
      <c r="B3256" s="128" t="s">
        <v>21174</v>
      </c>
      <c r="C3256" s="129" t="s">
        <v>53</v>
      </c>
      <c r="D3256" s="130">
        <v>1909.2</v>
      </c>
      <c r="E3256" s="131">
        <v>44742</v>
      </c>
      <c r="F3256" s="132">
        <v>1909.2</v>
      </c>
      <c r="G3256" s="133">
        <f>Tabla147[[#This Row],[Importe]]-Tabla147[[#This Row],[Pagado]]</f>
        <v>0</v>
      </c>
      <c r="H3256" s="134" t="s">
        <v>10</v>
      </c>
      <c r="I3256" s="135"/>
    </row>
    <row r="3257" spans="1:9" ht="21.75" customHeight="1" x14ac:dyDescent="0.25">
      <c r="A3257" s="127">
        <v>44742</v>
      </c>
      <c r="B3257" s="128" t="s">
        <v>21175</v>
      </c>
      <c r="C3257" s="129" t="s">
        <v>21176</v>
      </c>
      <c r="D3257" s="130">
        <v>0</v>
      </c>
      <c r="E3257" s="136" t="s">
        <v>189</v>
      </c>
      <c r="F3257" s="132">
        <v>0</v>
      </c>
      <c r="G3257" s="133">
        <f>Tabla147[[#This Row],[Importe]]-Tabla147[[#This Row],[Pagado]]</f>
        <v>0</v>
      </c>
      <c r="H3257" s="137" t="s">
        <v>21177</v>
      </c>
      <c r="I3257" s="135"/>
    </row>
    <row r="3258" spans="1:9" ht="21.75" customHeight="1" x14ac:dyDescent="0.25">
      <c r="A3258" s="127">
        <v>44742</v>
      </c>
      <c r="B3258" s="128" t="s">
        <v>21178</v>
      </c>
      <c r="C3258" s="129" t="s">
        <v>647</v>
      </c>
      <c r="D3258" s="130">
        <v>3377.5</v>
      </c>
      <c r="E3258" s="131">
        <v>44742</v>
      </c>
      <c r="F3258" s="132">
        <v>3377.5</v>
      </c>
      <c r="G3258" s="133">
        <f>Tabla147[[#This Row],[Importe]]-Tabla147[[#This Row],[Pagado]]</f>
        <v>0</v>
      </c>
      <c r="H3258" s="134" t="s">
        <v>10</v>
      </c>
      <c r="I3258" s="135"/>
    </row>
    <row r="3259" spans="1:9" ht="21.75" customHeight="1" x14ac:dyDescent="0.25">
      <c r="A3259" s="127">
        <v>44742</v>
      </c>
      <c r="B3259" s="128" t="s">
        <v>21179</v>
      </c>
      <c r="C3259" s="129" t="s">
        <v>45</v>
      </c>
      <c r="D3259" s="130">
        <v>14836.2</v>
      </c>
      <c r="E3259" s="131">
        <v>44742</v>
      </c>
      <c r="F3259" s="132">
        <v>14836.2</v>
      </c>
      <c r="G3259" s="133">
        <f>Tabla147[[#This Row],[Importe]]-Tabla147[[#This Row],[Pagado]]</f>
        <v>0</v>
      </c>
      <c r="H3259" s="134" t="s">
        <v>10</v>
      </c>
      <c r="I3259" s="135"/>
    </row>
    <row r="3260" spans="1:9" ht="21.75" customHeight="1" x14ac:dyDescent="0.25">
      <c r="A3260" s="127">
        <v>44742</v>
      </c>
      <c r="B3260" s="128" t="s">
        <v>21180</v>
      </c>
      <c r="C3260" s="129" t="s">
        <v>214</v>
      </c>
      <c r="D3260" s="130">
        <v>1569.6</v>
      </c>
      <c r="E3260" s="131">
        <v>44742</v>
      </c>
      <c r="F3260" s="132">
        <v>1569.6</v>
      </c>
      <c r="G3260" s="133">
        <f>Tabla147[[#This Row],[Importe]]-Tabla147[[#This Row],[Pagado]]</f>
        <v>0</v>
      </c>
      <c r="H3260" s="134" t="s">
        <v>10</v>
      </c>
      <c r="I3260" s="135"/>
    </row>
    <row r="3261" spans="1:9" ht="21.75" customHeight="1" x14ac:dyDescent="0.25">
      <c r="A3261" s="127">
        <v>44742</v>
      </c>
      <c r="B3261" s="128" t="s">
        <v>21181</v>
      </c>
      <c r="C3261" s="129" t="s">
        <v>226</v>
      </c>
      <c r="D3261" s="130">
        <v>13749.8</v>
      </c>
      <c r="E3261" s="131">
        <v>44742</v>
      </c>
      <c r="F3261" s="132">
        <v>13749.8</v>
      </c>
      <c r="G3261" s="133">
        <f>Tabla147[[#This Row],[Importe]]-Tabla147[[#This Row],[Pagado]]</f>
        <v>0</v>
      </c>
      <c r="H3261" s="134" t="s">
        <v>10</v>
      </c>
      <c r="I3261" s="135"/>
    </row>
    <row r="3262" spans="1:9" ht="21.75" customHeight="1" x14ac:dyDescent="0.25">
      <c r="A3262" s="127">
        <v>44742</v>
      </c>
      <c r="B3262" s="128" t="s">
        <v>21182</v>
      </c>
      <c r="C3262" s="129" t="s">
        <v>222</v>
      </c>
      <c r="D3262" s="130">
        <v>11073</v>
      </c>
      <c r="E3262" s="131">
        <v>44742</v>
      </c>
      <c r="F3262" s="132">
        <v>11073</v>
      </c>
      <c r="G3262" s="133">
        <f>Tabla147[[#This Row],[Importe]]-Tabla147[[#This Row],[Pagado]]</f>
        <v>0</v>
      </c>
      <c r="H3262" s="134" t="s">
        <v>10</v>
      </c>
      <c r="I3262" s="135"/>
    </row>
    <row r="3263" spans="1:9" ht="21.75" customHeight="1" x14ac:dyDescent="0.25">
      <c r="A3263" s="127">
        <v>44742</v>
      </c>
      <c r="B3263" s="128" t="s">
        <v>21183</v>
      </c>
      <c r="C3263" s="129" t="s">
        <v>222</v>
      </c>
      <c r="D3263" s="130">
        <v>1189.44</v>
      </c>
      <c r="E3263" s="131">
        <v>44742</v>
      </c>
      <c r="F3263" s="132">
        <v>1189.44</v>
      </c>
      <c r="G3263" s="133">
        <f>Tabla147[[#This Row],[Importe]]-Tabla147[[#This Row],[Pagado]]</f>
        <v>0</v>
      </c>
      <c r="H3263" s="134" t="s">
        <v>10</v>
      </c>
      <c r="I3263" s="135"/>
    </row>
    <row r="3264" spans="1:9" ht="21.75" customHeight="1" x14ac:dyDescent="0.25">
      <c r="A3264" s="127">
        <v>44742</v>
      </c>
      <c r="B3264" s="128" t="s">
        <v>21184</v>
      </c>
      <c r="C3264" s="129" t="s">
        <v>31</v>
      </c>
      <c r="D3264" s="130">
        <v>756</v>
      </c>
      <c r="E3264" s="131">
        <v>44742</v>
      </c>
      <c r="F3264" s="132">
        <v>756</v>
      </c>
      <c r="G3264" s="133">
        <f>Tabla147[[#This Row],[Importe]]-Tabla147[[#This Row],[Pagado]]</f>
        <v>0</v>
      </c>
      <c r="H3264" s="134" t="s">
        <v>10</v>
      </c>
      <c r="I3264" s="135"/>
    </row>
    <row r="3265" spans="1:9" ht="21.75" customHeight="1" x14ac:dyDescent="0.25">
      <c r="A3265" s="127">
        <v>44742</v>
      </c>
      <c r="B3265" s="128" t="s">
        <v>21185</v>
      </c>
      <c r="C3265" s="129" t="s">
        <v>49</v>
      </c>
      <c r="D3265" s="130">
        <v>4796.3999999999996</v>
      </c>
      <c r="E3265" s="131">
        <v>44742</v>
      </c>
      <c r="F3265" s="132">
        <v>4796.3999999999996</v>
      </c>
      <c r="G3265" s="133">
        <f>Tabla147[[#This Row],[Importe]]-Tabla147[[#This Row],[Pagado]]</f>
        <v>0</v>
      </c>
      <c r="H3265" s="134" t="s">
        <v>10</v>
      </c>
      <c r="I3265" s="135"/>
    </row>
    <row r="3266" spans="1:9" ht="21.75" customHeight="1" x14ac:dyDescent="0.25">
      <c r="A3266" s="127">
        <v>44742</v>
      </c>
      <c r="B3266" s="128" t="s">
        <v>21186</v>
      </c>
      <c r="C3266" s="129" t="s">
        <v>246</v>
      </c>
      <c r="D3266" s="130">
        <v>1824.9</v>
      </c>
      <c r="E3266" s="131">
        <v>44742</v>
      </c>
      <c r="F3266" s="132">
        <v>1824.9</v>
      </c>
      <c r="G3266" s="133">
        <f>Tabla147[[#This Row],[Importe]]-Tabla147[[#This Row],[Pagado]]</f>
        <v>0</v>
      </c>
      <c r="H3266" s="134" t="s">
        <v>10</v>
      </c>
      <c r="I3266" s="135"/>
    </row>
    <row r="3267" spans="1:9" ht="21.75" customHeight="1" x14ac:dyDescent="0.25">
      <c r="A3267" s="127">
        <v>44742</v>
      </c>
      <c r="B3267" s="128" t="s">
        <v>21187</v>
      </c>
      <c r="C3267" s="129" t="s">
        <v>31</v>
      </c>
      <c r="D3267" s="130">
        <v>3607.2</v>
      </c>
      <c r="E3267" s="131">
        <v>44742</v>
      </c>
      <c r="F3267" s="132">
        <v>3607.2</v>
      </c>
      <c r="G3267" s="133">
        <f>Tabla147[[#This Row],[Importe]]-Tabla147[[#This Row],[Pagado]]</f>
        <v>0</v>
      </c>
      <c r="H3267" s="134" t="s">
        <v>10</v>
      </c>
      <c r="I3267" s="135"/>
    </row>
    <row r="3268" spans="1:9" ht="21.75" customHeight="1" x14ac:dyDescent="0.25">
      <c r="A3268" s="127">
        <v>44742</v>
      </c>
      <c r="B3268" s="128" t="s">
        <v>21188</v>
      </c>
      <c r="C3268" s="129" t="s">
        <v>196</v>
      </c>
      <c r="D3268" s="130">
        <v>132774.54</v>
      </c>
      <c r="E3268" s="131">
        <v>44743</v>
      </c>
      <c r="F3268" s="132">
        <v>132774.54</v>
      </c>
      <c r="G3268" s="133">
        <f>Tabla147[[#This Row],[Importe]]-Tabla147[[#This Row],[Pagado]]</f>
        <v>0</v>
      </c>
      <c r="H3268" s="134" t="s">
        <v>10</v>
      </c>
      <c r="I3268" s="135"/>
    </row>
    <row r="3269" spans="1:9" ht="21.75" customHeight="1" x14ac:dyDescent="0.25">
      <c r="A3269" s="127">
        <v>44742</v>
      </c>
      <c r="B3269" s="128" t="s">
        <v>21189</v>
      </c>
      <c r="C3269" s="129" t="s">
        <v>698</v>
      </c>
      <c r="D3269" s="130">
        <v>4801.2</v>
      </c>
      <c r="E3269" s="131">
        <v>44742</v>
      </c>
      <c r="F3269" s="132">
        <v>4801.2</v>
      </c>
      <c r="G3269" s="133">
        <f>Tabla147[[#This Row],[Importe]]-Tabla147[[#This Row],[Pagado]]</f>
        <v>0</v>
      </c>
      <c r="H3269" s="134" t="s">
        <v>10</v>
      </c>
      <c r="I3269" s="135"/>
    </row>
    <row r="3270" spans="1:9" ht="21.75" customHeight="1" x14ac:dyDescent="0.25">
      <c r="A3270" s="127">
        <v>44742</v>
      </c>
      <c r="B3270" s="128" t="s">
        <v>21190</v>
      </c>
      <c r="C3270" s="129" t="s">
        <v>9415</v>
      </c>
      <c r="D3270" s="130">
        <v>9377.4</v>
      </c>
      <c r="E3270" s="131">
        <v>44743</v>
      </c>
      <c r="F3270" s="132">
        <v>9377.4</v>
      </c>
      <c r="G3270" s="133">
        <f>Tabla147[[#This Row],[Importe]]-Tabla147[[#This Row],[Pagado]]</f>
        <v>0</v>
      </c>
      <c r="H3270" s="134" t="s">
        <v>10</v>
      </c>
      <c r="I3270" s="135"/>
    </row>
    <row r="3271" spans="1:9" ht="21.75" customHeight="1" x14ac:dyDescent="0.25">
      <c r="A3271" s="127">
        <v>44742</v>
      </c>
      <c r="B3271" s="128" t="s">
        <v>21191</v>
      </c>
      <c r="C3271" s="129" t="s">
        <v>31</v>
      </c>
      <c r="D3271" s="130">
        <v>540</v>
      </c>
      <c r="E3271" s="131">
        <v>44742</v>
      </c>
      <c r="F3271" s="132">
        <v>540</v>
      </c>
      <c r="G3271" s="133">
        <f>Tabla147[[#This Row],[Importe]]-Tabla147[[#This Row],[Pagado]]</f>
        <v>0</v>
      </c>
      <c r="H3271" s="134" t="s">
        <v>10</v>
      </c>
      <c r="I3271" s="135"/>
    </row>
    <row r="3272" spans="1:9" ht="21.75" customHeight="1" x14ac:dyDescent="0.25">
      <c r="A3272" s="127">
        <v>44742</v>
      </c>
      <c r="B3272" s="128" t="s">
        <v>21192</v>
      </c>
      <c r="C3272" s="129" t="s">
        <v>843</v>
      </c>
      <c r="D3272" s="130">
        <v>19486.400000000001</v>
      </c>
      <c r="E3272" s="131">
        <v>44742</v>
      </c>
      <c r="F3272" s="132">
        <v>19486.400000000001</v>
      </c>
      <c r="G3272" s="133">
        <f>Tabla147[[#This Row],[Importe]]-Tabla147[[#This Row],[Pagado]]</f>
        <v>0</v>
      </c>
      <c r="H3272" s="134" t="s">
        <v>10</v>
      </c>
      <c r="I3272" s="135"/>
    </row>
    <row r="3273" spans="1:9" ht="21.75" customHeight="1" x14ac:dyDescent="0.25">
      <c r="A3273" s="127">
        <v>44742</v>
      </c>
      <c r="B3273" s="128" t="s">
        <v>21193</v>
      </c>
      <c r="C3273" s="129" t="s">
        <v>263</v>
      </c>
      <c r="D3273" s="130">
        <v>8405.6</v>
      </c>
      <c r="E3273" s="131">
        <v>44747</v>
      </c>
      <c r="F3273" s="132">
        <v>8405.6</v>
      </c>
      <c r="G3273" s="133">
        <f>Tabla147[[#This Row],[Importe]]-Tabla147[[#This Row],[Pagado]]</f>
        <v>0</v>
      </c>
      <c r="H3273" s="134" t="s">
        <v>10</v>
      </c>
      <c r="I3273" s="135"/>
    </row>
    <row r="3274" spans="1:9" ht="21.75" customHeight="1" x14ac:dyDescent="0.25">
      <c r="A3274" s="127">
        <v>44742</v>
      </c>
      <c r="B3274" s="128" t="s">
        <v>21194</v>
      </c>
      <c r="C3274" s="129" t="s">
        <v>396</v>
      </c>
      <c r="D3274" s="130">
        <v>11235.95</v>
      </c>
      <c r="E3274" s="131">
        <v>44749</v>
      </c>
      <c r="F3274" s="132">
        <v>11235.95</v>
      </c>
      <c r="G3274" s="133">
        <f>Tabla147[[#This Row],[Importe]]-Tabla147[[#This Row],[Pagado]]</f>
        <v>0</v>
      </c>
      <c r="H3274" s="134" t="s">
        <v>10</v>
      </c>
      <c r="I3274" s="135"/>
    </row>
    <row r="3275" spans="1:9" ht="21.75" customHeight="1" x14ac:dyDescent="0.25">
      <c r="A3275" s="127">
        <v>44742</v>
      </c>
      <c r="B3275" s="128" t="s">
        <v>21195</v>
      </c>
      <c r="C3275" s="129" t="s">
        <v>450</v>
      </c>
      <c r="D3275" s="130">
        <v>12456</v>
      </c>
      <c r="E3275" s="131">
        <v>44742</v>
      </c>
      <c r="F3275" s="132">
        <v>12456</v>
      </c>
      <c r="G3275" s="133">
        <f>Tabla147[[#This Row],[Importe]]-Tabla147[[#This Row],[Pagado]]</f>
        <v>0</v>
      </c>
      <c r="H3275" s="134" t="s">
        <v>10</v>
      </c>
      <c r="I3275" s="135"/>
    </row>
    <row r="3276" spans="1:9" ht="21.75" customHeight="1" x14ac:dyDescent="0.25">
      <c r="A3276" s="127">
        <v>44742</v>
      </c>
      <c r="B3276" s="128" t="s">
        <v>21196</v>
      </c>
      <c r="C3276" s="129" t="s">
        <v>159</v>
      </c>
      <c r="D3276" s="130">
        <v>2021.6</v>
      </c>
      <c r="E3276" s="131">
        <v>44743</v>
      </c>
      <c r="F3276" s="132">
        <v>2021.6</v>
      </c>
      <c r="G3276" s="133">
        <f>Tabla147[[#This Row],[Importe]]-Tabla147[[#This Row],[Pagado]]</f>
        <v>0</v>
      </c>
      <c r="H3276" s="134" t="s">
        <v>10</v>
      </c>
      <c r="I3276" s="135"/>
    </row>
    <row r="3277" spans="1:9" ht="21.75" customHeight="1" x14ac:dyDescent="0.25">
      <c r="A3277" s="127">
        <v>44742</v>
      </c>
      <c r="B3277" s="128" t="s">
        <v>21197</v>
      </c>
      <c r="C3277" s="129" t="s">
        <v>157</v>
      </c>
      <c r="D3277" s="130">
        <v>5765.8</v>
      </c>
      <c r="E3277" s="131">
        <v>44743</v>
      </c>
      <c r="F3277" s="132">
        <v>5765.8</v>
      </c>
      <c r="G3277" s="133">
        <f>Tabla147[[#This Row],[Importe]]-Tabla147[[#This Row],[Pagado]]</f>
        <v>0</v>
      </c>
      <c r="H3277" s="134" t="s">
        <v>10</v>
      </c>
      <c r="I3277" s="135"/>
    </row>
    <row r="3278" spans="1:9" ht="21.75" customHeight="1" x14ac:dyDescent="0.25">
      <c r="A3278" s="127">
        <v>44742</v>
      </c>
      <c r="B3278" s="128" t="s">
        <v>21198</v>
      </c>
      <c r="C3278" s="129" t="s">
        <v>319</v>
      </c>
      <c r="D3278" s="130">
        <v>8047.5</v>
      </c>
      <c r="E3278" s="131">
        <v>44743</v>
      </c>
      <c r="F3278" s="132">
        <v>8047.5</v>
      </c>
      <c r="G3278" s="133">
        <f>Tabla147[[#This Row],[Importe]]-Tabla147[[#This Row],[Pagado]]</f>
        <v>0</v>
      </c>
      <c r="H3278" s="134" t="s">
        <v>10</v>
      </c>
      <c r="I3278" s="135"/>
    </row>
    <row r="3279" spans="1:9" ht="21.75" customHeight="1" x14ac:dyDescent="0.25">
      <c r="A3279" s="127">
        <v>44742</v>
      </c>
      <c r="B3279" s="128" t="s">
        <v>21199</v>
      </c>
      <c r="C3279" s="129" t="s">
        <v>5906</v>
      </c>
      <c r="D3279" s="130">
        <v>926.9</v>
      </c>
      <c r="E3279" s="131">
        <v>44743</v>
      </c>
      <c r="F3279" s="132">
        <v>926.9</v>
      </c>
      <c r="G3279" s="133">
        <f>Tabla147[[#This Row],[Importe]]-Tabla147[[#This Row],[Pagado]]</f>
        <v>0</v>
      </c>
      <c r="H3279" s="134" t="s">
        <v>10</v>
      </c>
      <c r="I3279" s="135"/>
    </row>
    <row r="3280" spans="1:9" ht="21.75" customHeight="1" x14ac:dyDescent="0.25">
      <c r="A3280" s="127">
        <v>44742</v>
      </c>
      <c r="B3280" s="128" t="s">
        <v>21200</v>
      </c>
      <c r="C3280" s="129" t="s">
        <v>151</v>
      </c>
      <c r="D3280" s="130">
        <v>29425.360000000001</v>
      </c>
      <c r="E3280" s="131">
        <v>44743</v>
      </c>
      <c r="F3280" s="132">
        <v>29425.360000000001</v>
      </c>
      <c r="G3280" s="133">
        <f>Tabla147[[#This Row],[Importe]]-Tabla147[[#This Row],[Pagado]]</f>
        <v>0</v>
      </c>
      <c r="H3280" s="134" t="s">
        <v>10</v>
      </c>
      <c r="I3280" s="135"/>
    </row>
    <row r="3281" spans="1:9" ht="21.75" customHeight="1" x14ac:dyDescent="0.25">
      <c r="A3281" s="127">
        <v>44742</v>
      </c>
      <c r="B3281" s="128" t="s">
        <v>21201</v>
      </c>
      <c r="C3281" s="129" t="s">
        <v>520</v>
      </c>
      <c r="D3281" s="130">
        <v>7287</v>
      </c>
      <c r="E3281" s="131">
        <v>44743</v>
      </c>
      <c r="F3281" s="132">
        <v>7287</v>
      </c>
      <c r="G3281" s="133">
        <f>Tabla147[[#This Row],[Importe]]-Tabla147[[#This Row],[Pagado]]</f>
        <v>0</v>
      </c>
      <c r="H3281" s="134" t="s">
        <v>10</v>
      </c>
      <c r="I3281" s="135"/>
    </row>
    <row r="3282" spans="1:9" ht="21.75" customHeight="1" x14ac:dyDescent="0.25">
      <c r="A3282" s="127">
        <v>44742</v>
      </c>
      <c r="B3282" s="128" t="s">
        <v>21202</v>
      </c>
      <c r="C3282" s="129" t="s">
        <v>1505</v>
      </c>
      <c r="D3282" s="130">
        <v>4869.8</v>
      </c>
      <c r="E3282" s="131">
        <v>44742</v>
      </c>
      <c r="F3282" s="132">
        <v>4869.8</v>
      </c>
      <c r="G3282" s="133">
        <f>Tabla147[[#This Row],[Importe]]-Tabla147[[#This Row],[Pagado]]</f>
        <v>0</v>
      </c>
      <c r="H3282" s="134" t="s">
        <v>10</v>
      </c>
      <c r="I3282" s="135"/>
    </row>
    <row r="3283" spans="1:9" ht="21.75" customHeight="1" x14ac:dyDescent="0.25">
      <c r="A3283" s="127">
        <v>44742</v>
      </c>
      <c r="B3283" s="128" t="s">
        <v>21203</v>
      </c>
      <c r="C3283" s="129" t="s">
        <v>3402</v>
      </c>
      <c r="D3283" s="130">
        <v>2181.6</v>
      </c>
      <c r="E3283" s="131">
        <v>44742</v>
      </c>
      <c r="F3283" s="132">
        <v>2181.6</v>
      </c>
      <c r="G3283" s="133">
        <f>Tabla147[[#This Row],[Importe]]-Tabla147[[#This Row],[Pagado]]</f>
        <v>0</v>
      </c>
      <c r="H3283" s="134" t="s">
        <v>10</v>
      </c>
      <c r="I3283" s="135"/>
    </row>
    <row r="3284" spans="1:9" ht="21.75" customHeight="1" x14ac:dyDescent="0.25">
      <c r="A3284" s="127">
        <v>44742</v>
      </c>
      <c r="B3284" s="128" t="s">
        <v>21204</v>
      </c>
      <c r="C3284" s="129" t="s">
        <v>79</v>
      </c>
      <c r="D3284" s="130">
        <v>12454.7</v>
      </c>
      <c r="E3284" s="131">
        <v>44743</v>
      </c>
      <c r="F3284" s="132">
        <v>12454.7</v>
      </c>
      <c r="G3284" s="133">
        <f>Tabla147[[#This Row],[Importe]]-Tabla147[[#This Row],[Pagado]]</f>
        <v>0</v>
      </c>
      <c r="H3284" s="134" t="s">
        <v>10</v>
      </c>
      <c r="I3284" s="135"/>
    </row>
    <row r="3285" spans="1:9" ht="21.75" customHeight="1" x14ac:dyDescent="0.25">
      <c r="A3285" s="127">
        <v>44742</v>
      </c>
      <c r="B3285" s="128" t="s">
        <v>21205</v>
      </c>
      <c r="C3285" s="129" t="s">
        <v>371</v>
      </c>
      <c r="D3285" s="130">
        <v>7208.4</v>
      </c>
      <c r="E3285" s="131">
        <v>44743</v>
      </c>
      <c r="F3285" s="132">
        <v>7208.4</v>
      </c>
      <c r="G3285" s="133">
        <f>Tabla147[[#This Row],[Importe]]-Tabla147[[#This Row],[Pagado]]</f>
        <v>0</v>
      </c>
      <c r="H3285" s="134" t="s">
        <v>10</v>
      </c>
      <c r="I3285" s="135"/>
    </row>
    <row r="3286" spans="1:9" ht="21.75" customHeight="1" x14ac:dyDescent="0.25">
      <c r="A3286" s="127">
        <v>44742</v>
      </c>
      <c r="B3286" s="128" t="s">
        <v>21206</v>
      </c>
      <c r="C3286" s="129" t="s">
        <v>10678</v>
      </c>
      <c r="D3286" s="130">
        <v>4082.4</v>
      </c>
      <c r="E3286" s="131">
        <v>44742</v>
      </c>
      <c r="F3286" s="132">
        <v>4082.4</v>
      </c>
      <c r="G3286" s="133">
        <f>Tabla147[[#This Row],[Importe]]-Tabla147[[#This Row],[Pagado]]</f>
        <v>0</v>
      </c>
      <c r="H3286" s="134" t="s">
        <v>10</v>
      </c>
      <c r="I3286" s="135"/>
    </row>
    <row r="3287" spans="1:9" ht="21.75" customHeight="1" x14ac:dyDescent="0.25">
      <c r="A3287" s="127">
        <v>44742</v>
      </c>
      <c r="B3287" s="128" t="s">
        <v>21207</v>
      </c>
      <c r="C3287" s="129" t="s">
        <v>9827</v>
      </c>
      <c r="D3287" s="130">
        <v>1864.8</v>
      </c>
      <c r="E3287" s="131">
        <v>44742</v>
      </c>
      <c r="F3287" s="132">
        <v>1864.8</v>
      </c>
      <c r="G3287" s="133">
        <f>Tabla147[[#This Row],[Importe]]-Tabla147[[#This Row],[Pagado]]</f>
        <v>0</v>
      </c>
      <c r="H3287" s="134" t="s">
        <v>10</v>
      </c>
      <c r="I3287" s="135"/>
    </row>
    <row r="3288" spans="1:9" ht="21.75" customHeight="1" x14ac:dyDescent="0.25">
      <c r="A3288" s="127">
        <v>44742</v>
      </c>
      <c r="B3288" s="128" t="s">
        <v>21208</v>
      </c>
      <c r="C3288" s="129" t="s">
        <v>142</v>
      </c>
      <c r="D3288" s="130">
        <v>110618.06</v>
      </c>
      <c r="E3288" s="131">
        <v>44799</v>
      </c>
      <c r="F3288" s="132">
        <v>110618.06</v>
      </c>
      <c r="G3288" s="133">
        <f>Tabla147[[#This Row],[Importe]]-Tabla147[[#This Row],[Pagado]]</f>
        <v>0</v>
      </c>
      <c r="H3288" s="134" t="s">
        <v>10</v>
      </c>
      <c r="I3288" s="135"/>
    </row>
    <row r="3289" spans="1:9" ht="21.75" customHeight="1" x14ac:dyDescent="0.25">
      <c r="A3289" s="127">
        <v>44742</v>
      </c>
      <c r="B3289" s="128" t="s">
        <v>21209</v>
      </c>
      <c r="C3289" s="129" t="s">
        <v>365</v>
      </c>
      <c r="D3289" s="130">
        <v>585</v>
      </c>
      <c r="E3289" s="131">
        <v>44742</v>
      </c>
      <c r="F3289" s="132">
        <v>585</v>
      </c>
      <c r="G3289" s="133">
        <f>Tabla147[[#This Row],[Importe]]-Tabla147[[#This Row],[Pagado]]</f>
        <v>0</v>
      </c>
      <c r="H3289" s="134" t="s">
        <v>10</v>
      </c>
      <c r="I3289" s="135"/>
    </row>
    <row r="3290" spans="1:9" ht="21.75" customHeight="1" x14ac:dyDescent="0.25">
      <c r="A3290" s="127">
        <v>44742</v>
      </c>
      <c r="B3290" s="128" t="s">
        <v>21210</v>
      </c>
      <c r="C3290" s="129" t="s">
        <v>142</v>
      </c>
      <c r="D3290" s="130">
        <v>3223.2</v>
      </c>
      <c r="E3290" s="131">
        <v>44799</v>
      </c>
      <c r="F3290" s="132">
        <v>3223.2</v>
      </c>
      <c r="G3290" s="133">
        <f>Tabla147[[#This Row],[Importe]]-Tabla147[[#This Row],[Pagado]]</f>
        <v>0</v>
      </c>
      <c r="H3290" s="134" t="s">
        <v>10</v>
      </c>
      <c r="I3290" s="135"/>
    </row>
    <row r="3291" spans="1:9" ht="21.75" customHeight="1" x14ac:dyDescent="0.25">
      <c r="A3291" s="127">
        <v>44742</v>
      </c>
      <c r="B3291" s="128" t="s">
        <v>21211</v>
      </c>
      <c r="C3291" s="129" t="s">
        <v>9827</v>
      </c>
      <c r="D3291" s="130">
        <v>5155.2</v>
      </c>
      <c r="E3291" s="131">
        <v>44742</v>
      </c>
      <c r="F3291" s="132">
        <v>5155.2</v>
      </c>
      <c r="G3291" s="133">
        <f>Tabla147[[#This Row],[Importe]]-Tabla147[[#This Row],[Pagado]]</f>
        <v>0</v>
      </c>
      <c r="H3291" s="134" t="s">
        <v>10</v>
      </c>
      <c r="I3291" s="135"/>
    </row>
    <row r="3292" spans="1:9" ht="21.75" customHeight="1" x14ac:dyDescent="0.25">
      <c r="A3292" s="127">
        <v>44742</v>
      </c>
      <c r="B3292" s="128" t="s">
        <v>21212</v>
      </c>
      <c r="C3292" s="129" t="s">
        <v>198</v>
      </c>
      <c r="D3292" s="130">
        <v>5056</v>
      </c>
      <c r="E3292" s="131">
        <v>44743</v>
      </c>
      <c r="F3292" s="132">
        <v>5056</v>
      </c>
      <c r="G3292" s="133">
        <f>Tabla147[[#This Row],[Importe]]-Tabla147[[#This Row],[Pagado]]</f>
        <v>0</v>
      </c>
      <c r="H3292" s="134" t="s">
        <v>10</v>
      </c>
      <c r="I3292" s="135"/>
    </row>
    <row r="3293" spans="1:9" ht="21.75" customHeight="1" x14ac:dyDescent="0.25">
      <c r="A3293" s="127">
        <v>44742</v>
      </c>
      <c r="B3293" s="128" t="s">
        <v>21213</v>
      </c>
      <c r="C3293" s="129" t="s">
        <v>58</v>
      </c>
      <c r="D3293" s="130">
        <v>2956.8</v>
      </c>
      <c r="E3293" s="131">
        <v>44742</v>
      </c>
      <c r="F3293" s="132">
        <v>2956.8</v>
      </c>
      <c r="G3293" s="133">
        <f>Tabla147[[#This Row],[Importe]]-Tabla147[[#This Row],[Pagado]]</f>
        <v>0</v>
      </c>
      <c r="H3293" s="134" t="s">
        <v>10</v>
      </c>
      <c r="I3293" s="135"/>
    </row>
    <row r="3294" spans="1:9" ht="21.75" customHeight="1" x14ac:dyDescent="0.25">
      <c r="A3294" s="127">
        <v>44742</v>
      </c>
      <c r="B3294" s="128" t="s">
        <v>21214</v>
      </c>
      <c r="C3294" s="129" t="s">
        <v>16</v>
      </c>
      <c r="D3294" s="130">
        <v>2518</v>
      </c>
      <c r="E3294" s="131">
        <v>44742</v>
      </c>
      <c r="F3294" s="132">
        <v>2518</v>
      </c>
      <c r="G3294" s="133">
        <f>Tabla147[[#This Row],[Importe]]-Tabla147[[#This Row],[Pagado]]</f>
        <v>0</v>
      </c>
      <c r="H3294" s="134" t="s">
        <v>10</v>
      </c>
      <c r="I3294" s="135"/>
    </row>
    <row r="3295" spans="1:9" ht="21.75" customHeight="1" x14ac:dyDescent="0.25">
      <c r="A3295" s="127">
        <v>44742</v>
      </c>
      <c r="B3295" s="128" t="s">
        <v>21215</v>
      </c>
      <c r="C3295" s="129" t="s">
        <v>31</v>
      </c>
      <c r="D3295" s="130">
        <v>244</v>
      </c>
      <c r="E3295" s="131">
        <v>44742</v>
      </c>
      <c r="F3295" s="132">
        <v>244</v>
      </c>
      <c r="G3295" s="133">
        <f>Tabla147[[#This Row],[Importe]]-Tabla147[[#This Row],[Pagado]]</f>
        <v>0</v>
      </c>
      <c r="H3295" s="134" t="s">
        <v>10</v>
      </c>
      <c r="I3295" s="135"/>
    </row>
    <row r="3296" spans="1:9" ht="21.75" customHeight="1" x14ac:dyDescent="0.25">
      <c r="A3296" s="127">
        <v>44742</v>
      </c>
      <c r="B3296" s="128" t="s">
        <v>21216</v>
      </c>
      <c r="C3296" s="129" t="s">
        <v>2151</v>
      </c>
      <c r="D3296" s="130">
        <v>9008.5</v>
      </c>
      <c r="E3296" s="131">
        <v>44742</v>
      </c>
      <c r="F3296" s="132">
        <v>9008.5</v>
      </c>
      <c r="G3296" s="133">
        <f>Tabla147[[#This Row],[Importe]]-Tabla147[[#This Row],[Pagado]]</f>
        <v>0</v>
      </c>
      <c r="H3296" s="134" t="s">
        <v>10</v>
      </c>
      <c r="I3296" s="135"/>
    </row>
    <row r="3297" spans="1:9" ht="21.75" customHeight="1" x14ac:dyDescent="0.25">
      <c r="A3297" s="127">
        <v>44742</v>
      </c>
      <c r="B3297" s="128" t="s">
        <v>21217</v>
      </c>
      <c r="C3297" s="129" t="s">
        <v>419</v>
      </c>
      <c r="D3297" s="130">
        <v>8569.2000000000007</v>
      </c>
      <c r="E3297" s="131">
        <v>44742</v>
      </c>
      <c r="F3297" s="132">
        <v>8569.2000000000007</v>
      </c>
      <c r="G3297" s="133">
        <f>Tabla147[[#This Row],[Importe]]-Tabla147[[#This Row],[Pagado]]</f>
        <v>0</v>
      </c>
      <c r="H3297" s="134" t="s">
        <v>10</v>
      </c>
      <c r="I3297" s="135"/>
    </row>
    <row r="3298" spans="1:9" ht="21.75" customHeight="1" x14ac:dyDescent="0.25">
      <c r="A3298" s="127">
        <v>44742</v>
      </c>
      <c r="B3298" s="128" t="s">
        <v>21218</v>
      </c>
      <c r="C3298" s="129" t="s">
        <v>67</v>
      </c>
      <c r="D3298" s="130">
        <v>599.20000000000005</v>
      </c>
      <c r="E3298" s="131">
        <v>44742</v>
      </c>
      <c r="F3298" s="132">
        <v>599.20000000000005</v>
      </c>
      <c r="G3298" s="133">
        <f>Tabla147[[#This Row],[Importe]]-Tabla147[[#This Row],[Pagado]]</f>
        <v>0</v>
      </c>
      <c r="H3298" s="134" t="s">
        <v>10</v>
      </c>
      <c r="I3298" s="135"/>
    </row>
    <row r="3299" spans="1:9" ht="21.75" customHeight="1" x14ac:dyDescent="0.25">
      <c r="A3299" s="127">
        <v>44742</v>
      </c>
      <c r="B3299" s="128" t="s">
        <v>21219</v>
      </c>
      <c r="C3299" s="129" t="s">
        <v>31</v>
      </c>
      <c r="D3299" s="130">
        <v>1365</v>
      </c>
      <c r="E3299" s="131">
        <v>44742</v>
      </c>
      <c r="F3299" s="132">
        <v>1365</v>
      </c>
      <c r="G3299" s="133">
        <f>Tabla147[[#This Row],[Importe]]-Tabla147[[#This Row],[Pagado]]</f>
        <v>0</v>
      </c>
      <c r="H3299" s="134" t="s">
        <v>10</v>
      </c>
      <c r="I3299" s="135"/>
    </row>
    <row r="3300" spans="1:9" ht="21.75" customHeight="1" x14ac:dyDescent="0.25">
      <c r="A3300" s="127">
        <v>44742</v>
      </c>
      <c r="B3300" s="128" t="s">
        <v>21220</v>
      </c>
      <c r="C3300" s="129" t="s">
        <v>31</v>
      </c>
      <c r="D3300" s="130">
        <v>284</v>
      </c>
      <c r="E3300" s="131">
        <v>44742</v>
      </c>
      <c r="F3300" s="132">
        <v>284</v>
      </c>
      <c r="G3300" s="133">
        <f>Tabla147[[#This Row],[Importe]]-Tabla147[[#This Row],[Pagado]]</f>
        <v>0</v>
      </c>
      <c r="H3300" s="134" t="s">
        <v>10</v>
      </c>
      <c r="I3300" s="135"/>
    </row>
    <row r="3301" spans="1:9" ht="21.75" customHeight="1" x14ac:dyDescent="0.25">
      <c r="A3301" s="127">
        <v>44742</v>
      </c>
      <c r="B3301" s="128" t="s">
        <v>21221</v>
      </c>
      <c r="C3301" s="129" t="s">
        <v>2139</v>
      </c>
      <c r="D3301" s="130">
        <v>2364.6</v>
      </c>
      <c r="E3301" s="131">
        <v>44742</v>
      </c>
      <c r="F3301" s="132">
        <v>2364.6</v>
      </c>
      <c r="G3301" s="133">
        <f>Tabla147[[#This Row],[Importe]]-Tabla147[[#This Row],[Pagado]]</f>
        <v>0</v>
      </c>
      <c r="H3301" s="134" t="s">
        <v>10</v>
      </c>
      <c r="I3301" s="135"/>
    </row>
    <row r="3302" spans="1:9" ht="21.75" customHeight="1" x14ac:dyDescent="0.25">
      <c r="A3302" s="127">
        <v>44742</v>
      </c>
      <c r="B3302" s="128" t="s">
        <v>21222</v>
      </c>
      <c r="C3302" s="129" t="s">
        <v>12202</v>
      </c>
      <c r="D3302" s="130">
        <v>3900</v>
      </c>
      <c r="E3302" s="131">
        <v>44742</v>
      </c>
      <c r="F3302" s="132">
        <v>3900</v>
      </c>
      <c r="G3302" s="133">
        <f>Tabla147[[#This Row],[Importe]]-Tabla147[[#This Row],[Pagado]]</f>
        <v>0</v>
      </c>
      <c r="H3302" s="134" t="s">
        <v>10</v>
      </c>
      <c r="I3302" s="135"/>
    </row>
    <row r="3303" spans="1:9" ht="21.75" customHeight="1" x14ac:dyDescent="0.25">
      <c r="A3303" s="127">
        <v>44742</v>
      </c>
      <c r="B3303" s="128" t="s">
        <v>21223</v>
      </c>
      <c r="C3303" s="129" t="s">
        <v>275</v>
      </c>
      <c r="D3303" s="130">
        <v>78756.38</v>
      </c>
      <c r="E3303" s="131">
        <v>44757</v>
      </c>
      <c r="F3303" s="132">
        <v>78756.38</v>
      </c>
      <c r="G3303" s="133">
        <f>Tabla147[[#This Row],[Importe]]-Tabla147[[#This Row],[Pagado]]</f>
        <v>0</v>
      </c>
      <c r="H3303" s="134" t="s">
        <v>10</v>
      </c>
      <c r="I3303" s="135"/>
    </row>
    <row r="3304" spans="1:9" ht="21.75" customHeight="1" x14ac:dyDescent="0.25">
      <c r="A3304" s="127">
        <v>44742</v>
      </c>
      <c r="B3304" s="128" t="s">
        <v>21224</v>
      </c>
      <c r="C3304" s="129" t="s">
        <v>994</v>
      </c>
      <c r="D3304" s="130">
        <v>1138.8</v>
      </c>
      <c r="E3304" s="131">
        <v>44742</v>
      </c>
      <c r="F3304" s="132">
        <v>1138.8</v>
      </c>
      <c r="G3304" s="133">
        <f>Tabla147[[#This Row],[Importe]]-Tabla147[[#This Row],[Pagado]]</f>
        <v>0</v>
      </c>
      <c r="H3304" s="134" t="s">
        <v>10</v>
      </c>
      <c r="I3304" s="135"/>
    </row>
    <row r="3305" spans="1:9" ht="21.75" customHeight="1" x14ac:dyDescent="0.25">
      <c r="A3305" s="127">
        <v>44742</v>
      </c>
      <c r="B3305" s="128" t="s">
        <v>21225</v>
      </c>
      <c r="C3305" s="129" t="s">
        <v>11957</v>
      </c>
      <c r="D3305" s="130">
        <v>0</v>
      </c>
      <c r="E3305" s="136" t="s">
        <v>189</v>
      </c>
      <c r="F3305" s="132">
        <v>0</v>
      </c>
      <c r="G3305" s="133">
        <f>Tabla147[[#This Row],[Importe]]-Tabla147[[#This Row],[Pagado]]</f>
        <v>0</v>
      </c>
      <c r="H3305" s="134" t="s">
        <v>189</v>
      </c>
      <c r="I3305" s="135"/>
    </row>
    <row r="3306" spans="1:9" ht="21.75" customHeight="1" x14ac:dyDescent="0.25">
      <c r="A3306" s="127">
        <v>44742</v>
      </c>
      <c r="B3306" s="128" t="s">
        <v>21226</v>
      </c>
      <c r="C3306" s="129" t="s">
        <v>135</v>
      </c>
      <c r="D3306" s="130">
        <v>1484.4</v>
      </c>
      <c r="E3306" s="131">
        <v>44742</v>
      </c>
      <c r="F3306" s="132">
        <v>1484.4</v>
      </c>
      <c r="G3306" s="133">
        <f>Tabla147[[#This Row],[Importe]]-Tabla147[[#This Row],[Pagado]]</f>
        <v>0</v>
      </c>
      <c r="H3306" s="134" t="s">
        <v>10</v>
      </c>
      <c r="I3306" s="135"/>
    </row>
    <row r="3307" spans="1:9" ht="21.75" customHeight="1" x14ac:dyDescent="0.25">
      <c r="A3307" s="127">
        <v>44742</v>
      </c>
      <c r="B3307" s="128" t="s">
        <v>21227</v>
      </c>
      <c r="C3307" s="129" t="s">
        <v>11957</v>
      </c>
      <c r="D3307" s="130">
        <v>0</v>
      </c>
      <c r="E3307" s="136" t="s">
        <v>189</v>
      </c>
      <c r="F3307" s="132">
        <v>0</v>
      </c>
      <c r="G3307" s="133">
        <f>Tabla147[[#This Row],[Importe]]-Tabla147[[#This Row],[Pagado]]</f>
        <v>0</v>
      </c>
      <c r="H3307" s="134" t="s">
        <v>189</v>
      </c>
      <c r="I3307" s="135"/>
    </row>
    <row r="3308" spans="1:9" ht="21.75" customHeight="1" x14ac:dyDescent="0.25">
      <c r="A3308" s="127">
        <v>44742</v>
      </c>
      <c r="B3308" s="128" t="s">
        <v>21228</v>
      </c>
      <c r="C3308" s="129" t="s">
        <v>7862</v>
      </c>
      <c r="D3308" s="130">
        <v>17544.36</v>
      </c>
      <c r="E3308" s="131">
        <v>44742</v>
      </c>
      <c r="F3308" s="132">
        <v>17544.36</v>
      </c>
      <c r="G3308" s="133">
        <f>Tabla147[[#This Row],[Importe]]-Tabla147[[#This Row],[Pagado]]</f>
        <v>0</v>
      </c>
      <c r="H3308" s="134" t="s">
        <v>10</v>
      </c>
      <c r="I3308" s="135"/>
    </row>
    <row r="3309" spans="1:9" ht="21.75" customHeight="1" x14ac:dyDescent="0.25">
      <c r="A3309" s="127">
        <v>44742</v>
      </c>
      <c r="B3309" s="128" t="s">
        <v>21229</v>
      </c>
      <c r="C3309" s="129" t="s">
        <v>31</v>
      </c>
      <c r="D3309" s="130">
        <v>2989</v>
      </c>
      <c r="E3309" s="131">
        <v>44742</v>
      </c>
      <c r="F3309" s="132">
        <v>2989</v>
      </c>
      <c r="G3309" s="133">
        <f>Tabla147[[#This Row],[Importe]]-Tabla147[[#This Row],[Pagado]]</f>
        <v>0</v>
      </c>
      <c r="H3309" s="134" t="s">
        <v>10</v>
      </c>
      <c r="I3309" s="135"/>
    </row>
    <row r="3310" spans="1:9" ht="21.75" customHeight="1" x14ac:dyDescent="0.25">
      <c r="A3310" s="127">
        <v>44742</v>
      </c>
      <c r="B3310" s="128" t="s">
        <v>21230</v>
      </c>
      <c r="C3310" s="129" t="s">
        <v>181</v>
      </c>
      <c r="D3310" s="130">
        <v>14615</v>
      </c>
      <c r="E3310" s="131">
        <v>44743</v>
      </c>
      <c r="F3310" s="132">
        <v>14615</v>
      </c>
      <c r="G3310" s="133">
        <f>Tabla147[[#This Row],[Importe]]-Tabla147[[#This Row],[Pagado]]</f>
        <v>0</v>
      </c>
      <c r="H3310" s="134" t="s">
        <v>10</v>
      </c>
      <c r="I3310" s="135"/>
    </row>
    <row r="3311" spans="1:9" ht="21.75" customHeight="1" x14ac:dyDescent="0.25">
      <c r="A3311" s="127">
        <v>44742</v>
      </c>
      <c r="B3311" s="128" t="s">
        <v>21231</v>
      </c>
      <c r="C3311" s="129" t="s">
        <v>175</v>
      </c>
      <c r="D3311" s="130">
        <v>26257.4</v>
      </c>
      <c r="E3311" s="131">
        <v>44743</v>
      </c>
      <c r="F3311" s="132">
        <v>26257.4</v>
      </c>
      <c r="G3311" s="133">
        <f>Tabla147[[#This Row],[Importe]]-Tabla147[[#This Row],[Pagado]]</f>
        <v>0</v>
      </c>
      <c r="H3311" s="134" t="s">
        <v>10</v>
      </c>
      <c r="I3311" s="135"/>
    </row>
    <row r="3312" spans="1:9" ht="21.75" customHeight="1" x14ac:dyDescent="0.25">
      <c r="A3312" s="127">
        <v>44742</v>
      </c>
      <c r="B3312" s="128" t="s">
        <v>21232</v>
      </c>
      <c r="C3312" s="129" t="s">
        <v>1481</v>
      </c>
      <c r="D3312" s="130">
        <v>2470.4</v>
      </c>
      <c r="E3312" s="131">
        <v>44743</v>
      </c>
      <c r="F3312" s="132">
        <v>2470.4</v>
      </c>
      <c r="G3312" s="133">
        <f>Tabla147[[#This Row],[Importe]]-Tabla147[[#This Row],[Pagado]]</f>
        <v>0</v>
      </c>
      <c r="H3312" s="134" t="s">
        <v>10</v>
      </c>
      <c r="I3312" s="135"/>
    </row>
    <row r="3313" spans="1:9" ht="21.75" customHeight="1" x14ac:dyDescent="0.25">
      <c r="A3313" s="127">
        <v>44742</v>
      </c>
      <c r="B3313" s="128" t="s">
        <v>21233</v>
      </c>
      <c r="C3313" s="129" t="s">
        <v>400</v>
      </c>
      <c r="D3313" s="130">
        <v>5186.3999999999996</v>
      </c>
      <c r="E3313" s="131">
        <v>44749</v>
      </c>
      <c r="F3313" s="132">
        <v>5186.3999999999996</v>
      </c>
      <c r="G3313" s="133">
        <f>Tabla147[[#This Row],[Importe]]-Tabla147[[#This Row],[Pagado]]</f>
        <v>0</v>
      </c>
      <c r="H3313" s="134" t="s">
        <v>10</v>
      </c>
      <c r="I3313" s="135"/>
    </row>
    <row r="3314" spans="1:9" ht="21.75" customHeight="1" x14ac:dyDescent="0.25">
      <c r="A3314" s="127">
        <v>44742</v>
      </c>
      <c r="B3314" s="128" t="s">
        <v>21234</v>
      </c>
      <c r="C3314" s="129" t="s">
        <v>10819</v>
      </c>
      <c r="D3314" s="130">
        <v>604.79999999999995</v>
      </c>
      <c r="E3314" s="131">
        <v>44743</v>
      </c>
      <c r="F3314" s="132">
        <v>604.79999999999995</v>
      </c>
      <c r="G3314" s="133">
        <f>Tabla147[[#This Row],[Importe]]-Tabla147[[#This Row],[Pagado]]</f>
        <v>0</v>
      </c>
      <c r="H3314" s="134" t="s">
        <v>10</v>
      </c>
      <c r="I3314" s="135"/>
    </row>
    <row r="3315" spans="1:9" ht="21.75" customHeight="1" x14ac:dyDescent="0.25">
      <c r="A3315" s="127">
        <v>44742</v>
      </c>
      <c r="B3315" s="128" t="s">
        <v>21235</v>
      </c>
      <c r="C3315" s="129" t="s">
        <v>729</v>
      </c>
      <c r="D3315" s="130">
        <v>26251.599999999999</v>
      </c>
      <c r="E3315" s="131">
        <v>44743</v>
      </c>
      <c r="F3315" s="132">
        <v>26251.599999999999</v>
      </c>
      <c r="G3315" s="133">
        <f>Tabla147[[#This Row],[Importe]]-Tabla147[[#This Row],[Pagado]]</f>
        <v>0</v>
      </c>
      <c r="H3315" s="134" t="s">
        <v>10</v>
      </c>
      <c r="I3315" s="135"/>
    </row>
    <row r="3316" spans="1:9" ht="21.75" customHeight="1" x14ac:dyDescent="0.25">
      <c r="A3316" s="127">
        <v>44742</v>
      </c>
      <c r="B3316" s="128" t="s">
        <v>21236</v>
      </c>
      <c r="C3316" s="129" t="s">
        <v>5345</v>
      </c>
      <c r="D3316" s="130">
        <v>3038.4</v>
      </c>
      <c r="E3316" s="131">
        <v>44743</v>
      </c>
      <c r="F3316" s="132">
        <v>3038.4</v>
      </c>
      <c r="G3316" s="133">
        <f>Tabla147[[#This Row],[Importe]]-Tabla147[[#This Row],[Pagado]]</f>
        <v>0</v>
      </c>
      <c r="H3316" s="134" t="s">
        <v>10</v>
      </c>
      <c r="I3316" s="135"/>
    </row>
    <row r="3317" spans="1:9" ht="21.75" customHeight="1" x14ac:dyDescent="0.25">
      <c r="A3317" s="127">
        <v>44742</v>
      </c>
      <c r="B3317" s="128" t="s">
        <v>21237</v>
      </c>
      <c r="C3317" s="129" t="s">
        <v>200</v>
      </c>
      <c r="D3317" s="130">
        <v>1130.4000000000001</v>
      </c>
      <c r="E3317" s="131">
        <v>44743</v>
      </c>
      <c r="F3317" s="132">
        <v>1130.4000000000001</v>
      </c>
      <c r="G3317" s="133">
        <f>Tabla147[[#This Row],[Importe]]-Tabla147[[#This Row],[Pagado]]</f>
        <v>0</v>
      </c>
      <c r="H3317" s="134" t="s">
        <v>10</v>
      </c>
      <c r="I3317" s="135"/>
    </row>
    <row r="3318" spans="1:9" ht="21.75" customHeight="1" x14ac:dyDescent="0.25">
      <c r="A3318" s="127">
        <v>44742</v>
      </c>
      <c r="B3318" s="128" t="s">
        <v>21238</v>
      </c>
      <c r="C3318" s="129" t="s">
        <v>402</v>
      </c>
      <c r="D3318" s="130">
        <v>15322.2</v>
      </c>
      <c r="E3318" s="131">
        <v>44749</v>
      </c>
      <c r="F3318" s="132">
        <v>15322.2</v>
      </c>
      <c r="G3318" s="133">
        <f>Tabla147[[#This Row],[Importe]]-Tabla147[[#This Row],[Pagado]]</f>
        <v>0</v>
      </c>
      <c r="H3318" s="134" t="s">
        <v>10</v>
      </c>
      <c r="I3318" s="135"/>
    </row>
    <row r="3319" spans="1:9" ht="21.75" customHeight="1" x14ac:dyDescent="0.25">
      <c r="A3319" s="127">
        <v>44742</v>
      </c>
      <c r="B3319" s="128" t="s">
        <v>21239</v>
      </c>
      <c r="C3319" s="129" t="s">
        <v>282</v>
      </c>
      <c r="D3319" s="130">
        <v>1353.6</v>
      </c>
      <c r="E3319" s="131">
        <v>44743</v>
      </c>
      <c r="F3319" s="132">
        <v>1353.6</v>
      </c>
      <c r="G3319" s="133">
        <f>Tabla147[[#This Row],[Importe]]-Tabla147[[#This Row],[Pagado]]</f>
        <v>0</v>
      </c>
      <c r="H3319" s="134" t="s">
        <v>10</v>
      </c>
      <c r="I3319" s="135"/>
    </row>
    <row r="3320" spans="1:9" ht="21.75" customHeight="1" x14ac:dyDescent="0.25">
      <c r="A3320" s="127">
        <v>44742</v>
      </c>
      <c r="B3320" s="128" t="s">
        <v>21240</v>
      </c>
      <c r="C3320" s="129" t="s">
        <v>402</v>
      </c>
      <c r="D3320" s="130">
        <v>2774</v>
      </c>
      <c r="E3320" s="131">
        <v>44749</v>
      </c>
      <c r="F3320" s="132">
        <v>2774</v>
      </c>
      <c r="G3320" s="133">
        <f>Tabla147[[#This Row],[Importe]]-Tabla147[[#This Row],[Pagado]]</f>
        <v>0</v>
      </c>
      <c r="H3320" s="134" t="s">
        <v>10</v>
      </c>
      <c r="I3320" s="135"/>
    </row>
    <row r="3321" spans="1:9" ht="21.75" customHeight="1" x14ac:dyDescent="0.25">
      <c r="A3321" s="127">
        <v>44742</v>
      </c>
      <c r="B3321" s="128" t="s">
        <v>21241</v>
      </c>
      <c r="C3321" s="129" t="s">
        <v>280</v>
      </c>
      <c r="D3321" s="130">
        <v>1317.6</v>
      </c>
      <c r="E3321" s="131">
        <v>44743</v>
      </c>
      <c r="F3321" s="132">
        <v>1317.6</v>
      </c>
      <c r="G3321" s="133">
        <f>Tabla147[[#This Row],[Importe]]-Tabla147[[#This Row],[Pagado]]</f>
        <v>0</v>
      </c>
      <c r="H3321" s="134" t="s">
        <v>10</v>
      </c>
      <c r="I3321" s="135"/>
    </row>
    <row r="3322" spans="1:9" ht="21.75" customHeight="1" x14ac:dyDescent="0.25">
      <c r="A3322" s="127">
        <v>44742</v>
      </c>
      <c r="B3322" s="128" t="s">
        <v>21242</v>
      </c>
      <c r="C3322" s="129" t="s">
        <v>284</v>
      </c>
      <c r="D3322" s="130">
        <v>8719.2000000000007</v>
      </c>
      <c r="E3322" s="131">
        <v>44743</v>
      </c>
      <c r="F3322" s="132">
        <v>8719.2000000000007</v>
      </c>
      <c r="G3322" s="133">
        <f>Tabla147[[#This Row],[Importe]]-Tabla147[[#This Row],[Pagado]]</f>
        <v>0</v>
      </c>
      <c r="H3322" s="134" t="s">
        <v>10</v>
      </c>
      <c r="I3322" s="135"/>
    </row>
    <row r="3323" spans="1:9" ht="21.75" customHeight="1" x14ac:dyDescent="0.25">
      <c r="A3323" s="127">
        <v>44742</v>
      </c>
      <c r="B3323" s="128" t="s">
        <v>21243</v>
      </c>
      <c r="C3323" s="129" t="s">
        <v>53</v>
      </c>
      <c r="D3323" s="130">
        <v>2055.6799999999998</v>
      </c>
      <c r="E3323" s="131">
        <v>44742</v>
      </c>
      <c r="F3323" s="132">
        <v>2055.6799999999998</v>
      </c>
      <c r="G3323" s="133">
        <f>Tabla147[[#This Row],[Importe]]-Tabla147[[#This Row],[Pagado]]</f>
        <v>0</v>
      </c>
      <c r="H3323" s="134" t="s">
        <v>10</v>
      </c>
      <c r="I3323" s="135"/>
    </row>
    <row r="3324" spans="1:9" ht="21.75" customHeight="1" x14ac:dyDescent="0.25">
      <c r="A3324" s="127">
        <v>44742</v>
      </c>
      <c r="B3324" s="128" t="s">
        <v>21244</v>
      </c>
      <c r="C3324" s="129" t="s">
        <v>291</v>
      </c>
      <c r="D3324" s="130">
        <v>576</v>
      </c>
      <c r="E3324" s="131">
        <v>44743</v>
      </c>
      <c r="F3324" s="132">
        <v>576</v>
      </c>
      <c r="G3324" s="133">
        <f>Tabla147[[#This Row],[Importe]]-Tabla147[[#This Row],[Pagado]]</f>
        <v>0</v>
      </c>
      <c r="H3324" s="134" t="s">
        <v>10</v>
      </c>
      <c r="I3324" s="135"/>
    </row>
    <row r="3325" spans="1:9" ht="21.75" customHeight="1" x14ac:dyDescent="0.25">
      <c r="A3325" s="127">
        <v>44742</v>
      </c>
      <c r="B3325" s="128" t="s">
        <v>21245</v>
      </c>
      <c r="C3325" s="129" t="s">
        <v>31</v>
      </c>
      <c r="D3325" s="130">
        <v>1333.86</v>
      </c>
      <c r="E3325" s="131">
        <v>44742</v>
      </c>
      <c r="F3325" s="132">
        <v>1333.86</v>
      </c>
      <c r="G3325" s="133">
        <f>Tabla147[[#This Row],[Importe]]-Tabla147[[#This Row],[Pagado]]</f>
        <v>0</v>
      </c>
      <c r="H3325" s="134" t="s">
        <v>10</v>
      </c>
      <c r="I3325" s="135"/>
    </row>
    <row r="3326" spans="1:9" ht="21.75" customHeight="1" x14ac:dyDescent="0.25">
      <c r="A3326" s="127">
        <v>44742</v>
      </c>
      <c r="B3326" s="128" t="s">
        <v>21246</v>
      </c>
      <c r="C3326" s="129" t="s">
        <v>21247</v>
      </c>
      <c r="D3326" s="130">
        <v>0</v>
      </c>
      <c r="E3326" s="136" t="s">
        <v>189</v>
      </c>
      <c r="F3326" s="132">
        <v>0</v>
      </c>
      <c r="G3326" s="133">
        <f>Tabla147[[#This Row],[Importe]]-Tabla147[[#This Row],[Pagado]]</f>
        <v>0</v>
      </c>
      <c r="H3326" s="137" t="s">
        <v>21248</v>
      </c>
      <c r="I3326" s="135"/>
    </row>
    <row r="3327" spans="1:9" ht="21.75" customHeight="1" x14ac:dyDescent="0.25">
      <c r="A3327" s="127">
        <v>44742</v>
      </c>
      <c r="B3327" s="128" t="s">
        <v>21249</v>
      </c>
      <c r="C3327" s="129" t="s">
        <v>583</v>
      </c>
      <c r="D3327" s="130">
        <v>4466</v>
      </c>
      <c r="E3327" s="131">
        <v>44742</v>
      </c>
      <c r="F3327" s="132">
        <v>4466</v>
      </c>
      <c r="G3327" s="133">
        <f>Tabla147[[#This Row],[Importe]]-Tabla147[[#This Row],[Pagado]]</f>
        <v>0</v>
      </c>
      <c r="H3327" s="134" t="s">
        <v>10</v>
      </c>
      <c r="I3327" s="135"/>
    </row>
    <row r="3328" spans="1:9" ht="31.5" x14ac:dyDescent="0.25">
      <c r="A3328" s="127">
        <v>44742</v>
      </c>
      <c r="B3328" s="128" t="s">
        <v>21250</v>
      </c>
      <c r="C3328" s="129" t="s">
        <v>7444</v>
      </c>
      <c r="D3328" s="130">
        <v>18796</v>
      </c>
      <c r="E3328" s="131" t="s">
        <v>21262</v>
      </c>
      <c r="F3328" s="132">
        <f>6000+12796</f>
        <v>18796</v>
      </c>
      <c r="G3328" s="133">
        <f>Tabla147[[#This Row],[Importe]]-Tabla147[[#This Row],[Pagado]]</f>
        <v>0</v>
      </c>
      <c r="H3328" s="134" t="s">
        <v>10</v>
      </c>
      <c r="I3328" s="135"/>
    </row>
    <row r="3329" spans="1:9" ht="21.75" customHeight="1" x14ac:dyDescent="0.25">
      <c r="A3329" s="127">
        <v>44742</v>
      </c>
      <c r="B3329" s="128" t="s">
        <v>21251</v>
      </c>
      <c r="C3329" s="129" t="s">
        <v>179</v>
      </c>
      <c r="D3329" s="130">
        <v>1296</v>
      </c>
      <c r="E3329" s="131">
        <v>44743</v>
      </c>
      <c r="F3329" s="132">
        <v>1296</v>
      </c>
      <c r="G3329" s="133">
        <f>Tabla147[[#This Row],[Importe]]-Tabla147[[#This Row],[Pagado]]</f>
        <v>0</v>
      </c>
      <c r="H3329" s="134" t="s">
        <v>10</v>
      </c>
      <c r="I3329" s="135"/>
    </row>
    <row r="3330" spans="1:9" ht="21.75" customHeight="1" x14ac:dyDescent="0.25">
      <c r="A3330" s="127">
        <v>44742</v>
      </c>
      <c r="B3330" s="128" t="s">
        <v>21252</v>
      </c>
      <c r="C3330" s="129" t="s">
        <v>31</v>
      </c>
      <c r="D3330" s="130">
        <v>618</v>
      </c>
      <c r="E3330" s="131">
        <v>44742</v>
      </c>
      <c r="F3330" s="132">
        <v>618</v>
      </c>
      <c r="G3330" s="133">
        <f>Tabla147[[#This Row],[Importe]]-Tabla147[[#This Row],[Pagado]]</f>
        <v>0</v>
      </c>
      <c r="H3330" s="134" t="s">
        <v>10</v>
      </c>
      <c r="I3330" s="135"/>
    </row>
    <row r="3331" spans="1:9" ht="21.75" customHeight="1" x14ac:dyDescent="0.25">
      <c r="A3331" s="127">
        <v>44742</v>
      </c>
      <c r="B3331" s="128" t="s">
        <v>21253</v>
      </c>
      <c r="C3331" s="129" t="s">
        <v>31</v>
      </c>
      <c r="D3331" s="130">
        <v>62</v>
      </c>
      <c r="E3331" s="131">
        <v>44742</v>
      </c>
      <c r="F3331" s="132">
        <v>62</v>
      </c>
      <c r="G3331" s="133">
        <f>Tabla147[[#This Row],[Importe]]-Tabla147[[#This Row],[Pagado]]</f>
        <v>0</v>
      </c>
      <c r="H3331" s="134" t="s">
        <v>10</v>
      </c>
      <c r="I3331" s="135"/>
    </row>
    <row r="3332" spans="1:9" ht="21.75" customHeight="1" x14ac:dyDescent="0.25">
      <c r="A3332" s="127">
        <v>44742</v>
      </c>
      <c r="B3332" s="128" t="s">
        <v>21254</v>
      </c>
      <c r="C3332" s="129" t="s">
        <v>296</v>
      </c>
      <c r="D3332" s="130">
        <v>1374.6</v>
      </c>
      <c r="E3332" s="131">
        <v>44742</v>
      </c>
      <c r="F3332" s="132">
        <v>1374.6</v>
      </c>
      <c r="G3332" s="133">
        <f>Tabla147[[#This Row],[Importe]]-Tabla147[[#This Row],[Pagado]]</f>
        <v>0</v>
      </c>
      <c r="H3332" s="134" t="s">
        <v>10</v>
      </c>
      <c r="I3332" s="135"/>
    </row>
    <row r="3333" spans="1:9" ht="21.75" customHeight="1" x14ac:dyDescent="0.25">
      <c r="A3333" s="127">
        <v>44742</v>
      </c>
      <c r="B3333" s="128" t="s">
        <v>21255</v>
      </c>
      <c r="C3333" s="129" t="s">
        <v>31</v>
      </c>
      <c r="D3333" s="130">
        <v>159420.29999999999</v>
      </c>
      <c r="E3333" s="131">
        <v>44742</v>
      </c>
      <c r="F3333" s="132">
        <v>159420.29999999999</v>
      </c>
      <c r="G3333" s="133">
        <f>Tabla147[[#This Row],[Importe]]-Tabla147[[#This Row],[Pagado]]</f>
        <v>0</v>
      </c>
      <c r="H3333" s="134" t="s">
        <v>10</v>
      </c>
      <c r="I3333" s="135"/>
    </row>
    <row r="3334" spans="1:9" ht="21.75" customHeight="1" x14ac:dyDescent="0.25">
      <c r="A3334" s="127">
        <v>44742</v>
      </c>
      <c r="B3334" s="128" t="s">
        <v>21256</v>
      </c>
      <c r="C3334" s="129" t="s">
        <v>373</v>
      </c>
      <c r="D3334" s="130">
        <v>777.3</v>
      </c>
      <c r="E3334" s="131">
        <v>44742</v>
      </c>
      <c r="F3334" s="132">
        <v>777.3</v>
      </c>
      <c r="G3334" s="133">
        <f>Tabla147[[#This Row],[Importe]]-Tabla147[[#This Row],[Pagado]]</f>
        <v>0</v>
      </c>
      <c r="H3334" s="134" t="s">
        <v>10</v>
      </c>
      <c r="I3334" s="135"/>
    </row>
    <row r="3335" spans="1:9" ht="21.75" customHeight="1" x14ac:dyDescent="0.25">
      <c r="A3335" s="127">
        <v>44742</v>
      </c>
      <c r="B3335" s="128" t="s">
        <v>21257</v>
      </c>
      <c r="C3335" s="129" t="s">
        <v>289</v>
      </c>
      <c r="D3335" s="130">
        <v>11357.2</v>
      </c>
      <c r="E3335" s="131">
        <v>44742</v>
      </c>
      <c r="F3335" s="132">
        <v>11357.2</v>
      </c>
      <c r="G3335" s="133">
        <f>Tabla147[[#This Row],[Importe]]-Tabla147[[#This Row],[Pagado]]</f>
        <v>0</v>
      </c>
      <c r="H3335" s="134" t="s">
        <v>10</v>
      </c>
      <c r="I3335" s="135"/>
    </row>
    <row r="3336" spans="1:9" ht="21.75" customHeight="1" x14ac:dyDescent="0.25">
      <c r="A3336" s="127">
        <v>44742</v>
      </c>
      <c r="B3336" s="128" t="s">
        <v>21258</v>
      </c>
      <c r="C3336" s="129" t="s">
        <v>69</v>
      </c>
      <c r="D3336" s="130">
        <v>2275.1999999999998</v>
      </c>
      <c r="E3336" s="131">
        <v>44742</v>
      </c>
      <c r="F3336" s="132">
        <v>2275.1999999999998</v>
      </c>
      <c r="G3336" s="133">
        <f>Tabla147[[#This Row],[Importe]]-Tabla147[[#This Row],[Pagado]]</f>
        <v>0</v>
      </c>
      <c r="H3336" s="134" t="s">
        <v>10</v>
      </c>
      <c r="I3336" s="135"/>
    </row>
    <row r="3337" spans="1:9" x14ac:dyDescent="0.25">
      <c r="D3337" s="125">
        <v>0</v>
      </c>
      <c r="E3337" s="139"/>
      <c r="F3337" s="125">
        <v>0</v>
      </c>
      <c r="G3337" s="140">
        <v>0</v>
      </c>
    </row>
    <row r="3338" spans="1:9" ht="27" customHeight="1" x14ac:dyDescent="0.25">
      <c r="D3338" s="142">
        <f>SUBTOTAL(109,Tabla147[Importe])</f>
        <v>34567876.949999966</v>
      </c>
      <c r="E3338" s="143"/>
      <c r="F3338" s="142">
        <f>SUBTOTAL(109,Tabla147[Pagado])</f>
        <v>34567876.949999966</v>
      </c>
      <c r="G3338" s="144">
        <f>SUBTOTAL(109,Tabla147[Saldo])</f>
        <v>0</v>
      </c>
      <c r="H3338" s="145"/>
    </row>
    <row r="3342" spans="1:9" ht="16.5" thickBot="1" x14ac:dyDescent="0.3"/>
    <row r="3343" spans="1:9" x14ac:dyDescent="0.25">
      <c r="D3343" s="220" t="s">
        <v>10570</v>
      </c>
      <c r="E3343" s="222">
        <f>Tabla147[[#Totals],[Importe]]-Tabla147[[#Totals],[Pagado]]</f>
        <v>0</v>
      </c>
      <c r="F3343" s="223"/>
    </row>
    <row r="3344" spans="1:9" ht="16.5" thickBot="1" x14ac:dyDescent="0.3">
      <c r="D3344" s="221"/>
      <c r="E3344" s="224"/>
      <c r="F3344" s="225"/>
    </row>
  </sheetData>
  <mergeCells count="2">
    <mergeCell ref="D3343:D3344"/>
    <mergeCell ref="E3343:F3344"/>
  </mergeCells>
  <pageMargins left="0.7" right="0.7" top="0.75" bottom="0.75" header="0.3" footer="0.3"/>
  <drawing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90033"/>
  </sheetPr>
  <dimension ref="A1:H3238"/>
  <sheetViews>
    <sheetView zoomScale="130" zoomScaleNormal="130" workbookViewId="0">
      <pane xSplit="2" ySplit="1" topLeftCell="D2781" activePane="bottomRight" state="frozen"/>
      <selection pane="topRight" activeCell="C1" sqref="C1"/>
      <selection pane="bottomLeft" activeCell="A2" sqref="A2"/>
      <selection pane="bottomRight" activeCell="E2795" sqref="E2795"/>
    </sheetView>
  </sheetViews>
  <sheetFormatPr baseColWidth="10" defaultRowHeight="15.75" x14ac:dyDescent="0.25"/>
  <cols>
    <col min="1" max="1" width="15.28515625" style="31" customWidth="1"/>
    <col min="2" max="2" width="13" style="32" bestFit="1" customWidth="1"/>
    <col min="3" max="3" width="50.140625" style="33" bestFit="1" customWidth="1"/>
    <col min="4" max="4" width="18.28515625" style="34" customWidth="1"/>
    <col min="5" max="5" width="15.7109375" style="31" customWidth="1"/>
    <col min="6" max="6" width="18.140625" style="34" customWidth="1"/>
    <col min="7" max="7" width="17.7109375" style="36" customWidth="1"/>
    <col min="8" max="8" width="11.7109375" style="33" bestFit="1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3" t="s">
        <v>2</v>
      </c>
      <c r="D1" s="34" t="s">
        <v>3</v>
      </c>
      <c r="E1" s="31" t="s">
        <v>4</v>
      </c>
      <c r="F1" s="34" t="s">
        <v>5</v>
      </c>
      <c r="G1" s="36" t="s">
        <v>6</v>
      </c>
      <c r="H1" s="33" t="s">
        <v>7</v>
      </c>
    </row>
    <row r="2" spans="1:8" x14ac:dyDescent="0.25">
      <c r="A2" s="73">
        <v>44743</v>
      </c>
      <c r="B2" s="74" t="s">
        <v>21266</v>
      </c>
      <c r="C2" s="75" t="s">
        <v>475</v>
      </c>
      <c r="D2" s="81">
        <v>46572.800000000003</v>
      </c>
      <c r="E2" s="151">
        <v>44744</v>
      </c>
      <c r="F2" s="81">
        <v>46572.800000000003</v>
      </c>
      <c r="G2" s="152">
        <f>Tabla18[[#This Row],[Importe]]-Tabla18[[#This Row],[Pagado]]</f>
        <v>0</v>
      </c>
      <c r="H2" s="75" t="s">
        <v>10</v>
      </c>
    </row>
    <row r="3" spans="1:8" x14ac:dyDescent="0.25">
      <c r="A3" s="148">
        <v>44743</v>
      </c>
      <c r="B3" s="149" t="s">
        <v>21267</v>
      </c>
      <c r="C3" s="153" t="s">
        <v>353</v>
      </c>
      <c r="D3" s="154">
        <v>981.5</v>
      </c>
      <c r="E3" s="155">
        <v>44743</v>
      </c>
      <c r="F3" s="154">
        <v>981.5</v>
      </c>
      <c r="G3" s="156">
        <f>Tabla18[[#This Row],[Importe]]-Tabla18[[#This Row],[Pagado]]</f>
        <v>0</v>
      </c>
      <c r="H3" s="153" t="s">
        <v>10</v>
      </c>
    </row>
    <row r="4" spans="1:8" x14ac:dyDescent="0.25">
      <c r="A4" s="73">
        <v>44743</v>
      </c>
      <c r="B4" s="74" t="s">
        <v>21268</v>
      </c>
      <c r="C4" s="75" t="s">
        <v>31</v>
      </c>
      <c r="D4" s="81">
        <v>5941</v>
      </c>
      <c r="E4" s="151">
        <v>44743</v>
      </c>
      <c r="F4" s="81">
        <v>5941</v>
      </c>
      <c r="G4" s="156">
        <f>Tabla18[[#This Row],[Importe]]-Tabla18[[#This Row],[Pagado]]</f>
        <v>0</v>
      </c>
      <c r="H4" s="75" t="s">
        <v>10</v>
      </c>
    </row>
    <row r="5" spans="1:8" x14ac:dyDescent="0.25">
      <c r="A5" s="148">
        <v>44743</v>
      </c>
      <c r="B5" s="149" t="s">
        <v>21269</v>
      </c>
      <c r="C5" s="153" t="s">
        <v>89</v>
      </c>
      <c r="D5" s="154">
        <v>13697.6</v>
      </c>
      <c r="E5" s="155">
        <v>44744</v>
      </c>
      <c r="F5" s="154">
        <v>13697.6</v>
      </c>
      <c r="G5" s="156">
        <f>Tabla18[[#This Row],[Importe]]-Tabla18[[#This Row],[Pagado]]</f>
        <v>0</v>
      </c>
      <c r="H5" s="153" t="s">
        <v>10</v>
      </c>
    </row>
    <row r="6" spans="1:8" x14ac:dyDescent="0.25">
      <c r="A6" s="73">
        <v>44743</v>
      </c>
      <c r="B6" s="74" t="s">
        <v>21270</v>
      </c>
      <c r="C6" s="75" t="s">
        <v>473</v>
      </c>
      <c r="D6" s="81">
        <v>13966.3</v>
      </c>
      <c r="E6" s="151">
        <v>44743</v>
      </c>
      <c r="F6" s="81">
        <v>13966.3</v>
      </c>
      <c r="G6" s="156">
        <f>Tabla18[[#This Row],[Importe]]-Tabla18[[#This Row],[Pagado]]</f>
        <v>0</v>
      </c>
      <c r="H6" s="75" t="s">
        <v>10</v>
      </c>
    </row>
    <row r="7" spans="1:8" x14ac:dyDescent="0.25">
      <c r="A7" s="148">
        <v>44743</v>
      </c>
      <c r="B7" s="149" t="s">
        <v>21271</v>
      </c>
      <c r="C7" s="153" t="s">
        <v>116</v>
      </c>
      <c r="D7" s="154">
        <v>3309.6</v>
      </c>
      <c r="E7" s="155">
        <v>44744</v>
      </c>
      <c r="F7" s="154">
        <v>3309.6</v>
      </c>
      <c r="G7" s="156">
        <f>Tabla18[[#This Row],[Importe]]-Tabla18[[#This Row],[Pagado]]</f>
        <v>0</v>
      </c>
      <c r="H7" s="153" t="s">
        <v>10</v>
      </c>
    </row>
    <row r="8" spans="1:8" x14ac:dyDescent="0.25">
      <c r="A8" s="73">
        <v>44743</v>
      </c>
      <c r="B8" s="74" t="s">
        <v>21272</v>
      </c>
      <c r="C8" s="75" t="s">
        <v>97</v>
      </c>
      <c r="D8" s="81">
        <v>10700.8</v>
      </c>
      <c r="E8" s="151">
        <v>44744</v>
      </c>
      <c r="F8" s="81">
        <v>10700.8</v>
      </c>
      <c r="G8" s="156">
        <f>Tabla18[[#This Row],[Importe]]-Tabla18[[#This Row],[Pagado]]</f>
        <v>0</v>
      </c>
      <c r="H8" s="75" t="s">
        <v>10</v>
      </c>
    </row>
    <row r="9" spans="1:8" x14ac:dyDescent="0.25">
      <c r="A9" s="148">
        <v>44743</v>
      </c>
      <c r="B9" s="149" t="s">
        <v>21273</v>
      </c>
      <c r="C9" s="153" t="s">
        <v>5043</v>
      </c>
      <c r="D9" s="154">
        <v>5945.6</v>
      </c>
      <c r="E9" s="155">
        <v>44746</v>
      </c>
      <c r="F9" s="154">
        <v>5945.6</v>
      </c>
      <c r="G9" s="156">
        <f>Tabla18[[#This Row],[Importe]]-Tabla18[[#This Row],[Pagado]]</f>
        <v>0</v>
      </c>
      <c r="H9" s="153" t="s">
        <v>10</v>
      </c>
    </row>
    <row r="10" spans="1:8" x14ac:dyDescent="0.25">
      <c r="A10" s="73">
        <v>44743</v>
      </c>
      <c r="B10" s="74" t="s">
        <v>21274</v>
      </c>
      <c r="C10" s="75" t="s">
        <v>326</v>
      </c>
      <c r="D10" s="81">
        <v>5817.6</v>
      </c>
      <c r="E10" s="151">
        <v>44744</v>
      </c>
      <c r="F10" s="81">
        <v>5817.6</v>
      </c>
      <c r="G10" s="156">
        <f>Tabla18[[#This Row],[Importe]]-Tabla18[[#This Row],[Pagado]]</f>
        <v>0</v>
      </c>
      <c r="H10" s="75" t="s">
        <v>10</v>
      </c>
    </row>
    <row r="11" spans="1:8" x14ac:dyDescent="0.25">
      <c r="A11" s="148">
        <v>44743</v>
      </c>
      <c r="B11" s="149" t="s">
        <v>21275</v>
      </c>
      <c r="C11" s="153" t="s">
        <v>109</v>
      </c>
      <c r="D11" s="154">
        <v>5890</v>
      </c>
      <c r="E11" s="155">
        <v>44744</v>
      </c>
      <c r="F11" s="154">
        <v>5890</v>
      </c>
      <c r="G11" s="156">
        <f>Tabla18[[#This Row],[Importe]]-Tabla18[[#This Row],[Pagado]]</f>
        <v>0</v>
      </c>
      <c r="H11" s="153" t="s">
        <v>10</v>
      </c>
    </row>
    <row r="12" spans="1:8" x14ac:dyDescent="0.25">
      <c r="A12" s="73">
        <v>44743</v>
      </c>
      <c r="B12" s="74" t="s">
        <v>21276</v>
      </c>
      <c r="C12" s="75" t="s">
        <v>10747</v>
      </c>
      <c r="D12" s="81">
        <v>6489.6</v>
      </c>
      <c r="E12" s="151">
        <v>44743</v>
      </c>
      <c r="F12" s="81">
        <v>6489.6</v>
      </c>
      <c r="G12" s="156">
        <f>Tabla18[[#This Row],[Importe]]-Tabla18[[#This Row],[Pagado]]</f>
        <v>0</v>
      </c>
      <c r="H12" s="75" t="s">
        <v>10</v>
      </c>
    </row>
    <row r="13" spans="1:8" x14ac:dyDescent="0.25">
      <c r="A13" s="148">
        <v>44743</v>
      </c>
      <c r="B13" s="149" t="s">
        <v>21277</v>
      </c>
      <c r="C13" s="153" t="s">
        <v>64</v>
      </c>
      <c r="D13" s="154">
        <v>10860.8</v>
      </c>
      <c r="E13" s="155">
        <v>44744</v>
      </c>
      <c r="F13" s="154">
        <v>10860.8</v>
      </c>
      <c r="G13" s="156">
        <f>Tabla18[[#This Row],[Importe]]-Tabla18[[#This Row],[Pagado]]</f>
        <v>0</v>
      </c>
      <c r="H13" s="153" t="s">
        <v>10</v>
      </c>
    </row>
    <row r="14" spans="1:8" x14ac:dyDescent="0.25">
      <c r="A14" s="73">
        <v>44743</v>
      </c>
      <c r="B14" s="74" t="s">
        <v>21278</v>
      </c>
      <c r="C14" s="75" t="s">
        <v>16819</v>
      </c>
      <c r="D14" s="81">
        <v>6144.2</v>
      </c>
      <c r="E14" s="151">
        <v>44743</v>
      </c>
      <c r="F14" s="81">
        <v>6144.2</v>
      </c>
      <c r="G14" s="156">
        <f>Tabla18[[#This Row],[Importe]]-Tabla18[[#This Row],[Pagado]]</f>
        <v>0</v>
      </c>
      <c r="H14" s="75" t="s">
        <v>10</v>
      </c>
    </row>
    <row r="15" spans="1:8" ht="31.5" x14ac:dyDescent="0.25">
      <c r="A15" s="148">
        <v>44743</v>
      </c>
      <c r="B15" s="149" t="s">
        <v>21279</v>
      </c>
      <c r="C15" s="153" t="s">
        <v>93</v>
      </c>
      <c r="D15" s="154">
        <v>11444.2</v>
      </c>
      <c r="E15" s="150" t="s">
        <v>21280</v>
      </c>
      <c r="F15" s="154">
        <f>6000+5444.2</f>
        <v>11444.2</v>
      </c>
      <c r="G15" s="156">
        <f>Tabla18[[#This Row],[Importe]]-Tabla18[[#This Row],[Pagado]]</f>
        <v>0</v>
      </c>
      <c r="H15" s="153" t="s">
        <v>10</v>
      </c>
    </row>
    <row r="16" spans="1:8" ht="31.5" x14ac:dyDescent="0.25">
      <c r="A16" s="73">
        <v>44743</v>
      </c>
      <c r="B16" s="74" t="s">
        <v>21281</v>
      </c>
      <c r="C16" s="75" t="s">
        <v>99</v>
      </c>
      <c r="D16" s="81">
        <v>9653.6</v>
      </c>
      <c r="E16" s="147" t="s">
        <v>21280</v>
      </c>
      <c r="F16" s="81">
        <f>7900+1753.6</f>
        <v>9653.6</v>
      </c>
      <c r="G16" s="156">
        <f>Tabla18[[#This Row],[Importe]]-Tabla18[[#This Row],[Pagado]]</f>
        <v>0</v>
      </c>
      <c r="H16" s="75" t="s">
        <v>10</v>
      </c>
    </row>
    <row r="17" spans="1:8" x14ac:dyDescent="0.25">
      <c r="A17" s="148">
        <v>44743</v>
      </c>
      <c r="B17" s="149" t="s">
        <v>21282</v>
      </c>
      <c r="C17" s="153" t="s">
        <v>2151</v>
      </c>
      <c r="D17" s="154">
        <v>12282.6</v>
      </c>
      <c r="E17" s="155">
        <v>44743</v>
      </c>
      <c r="F17" s="154">
        <v>12282.6</v>
      </c>
      <c r="G17" s="156">
        <f>Tabla18[[#This Row],[Importe]]-Tabla18[[#This Row],[Pagado]]</f>
        <v>0</v>
      </c>
      <c r="H17" s="153" t="s">
        <v>10</v>
      </c>
    </row>
    <row r="18" spans="1:8" x14ac:dyDescent="0.25">
      <c r="A18" s="73">
        <v>44743</v>
      </c>
      <c r="B18" s="74" t="s">
        <v>21283</v>
      </c>
      <c r="C18" s="75" t="s">
        <v>105</v>
      </c>
      <c r="D18" s="81">
        <v>6869.6</v>
      </c>
      <c r="E18" s="151">
        <v>44744</v>
      </c>
      <c r="F18" s="81">
        <v>6869.6</v>
      </c>
      <c r="G18" s="156">
        <f>Tabla18[[#This Row],[Importe]]-Tabla18[[#This Row],[Pagado]]</f>
        <v>0</v>
      </c>
      <c r="H18" s="75" t="s">
        <v>10</v>
      </c>
    </row>
    <row r="19" spans="1:8" x14ac:dyDescent="0.25">
      <c r="A19" s="148">
        <v>44743</v>
      </c>
      <c r="B19" s="149" t="s">
        <v>21284</v>
      </c>
      <c r="C19" s="153" t="s">
        <v>348</v>
      </c>
      <c r="D19" s="154">
        <v>3722</v>
      </c>
      <c r="E19" s="155">
        <v>44743</v>
      </c>
      <c r="F19" s="154">
        <v>3722</v>
      </c>
      <c r="G19" s="156">
        <f>Tabla18[[#This Row],[Importe]]-Tabla18[[#This Row],[Pagado]]</f>
        <v>0</v>
      </c>
      <c r="H19" s="153" t="s">
        <v>10</v>
      </c>
    </row>
    <row r="20" spans="1:8" x14ac:dyDescent="0.25">
      <c r="A20" s="73">
        <v>44743</v>
      </c>
      <c r="B20" s="74" t="s">
        <v>21285</v>
      </c>
      <c r="C20" s="75" t="s">
        <v>918</v>
      </c>
      <c r="D20" s="81">
        <v>478.5</v>
      </c>
      <c r="E20" s="151">
        <v>44743</v>
      </c>
      <c r="F20" s="81">
        <v>478.5</v>
      </c>
      <c r="G20" s="156">
        <f>Tabla18[[#This Row],[Importe]]-Tabla18[[#This Row],[Pagado]]</f>
        <v>0</v>
      </c>
      <c r="H20" s="75" t="s">
        <v>10</v>
      </c>
    </row>
    <row r="21" spans="1:8" x14ac:dyDescent="0.25">
      <c r="A21" s="148">
        <v>44743</v>
      </c>
      <c r="B21" s="149" t="s">
        <v>21286</v>
      </c>
      <c r="C21" s="153" t="s">
        <v>9</v>
      </c>
      <c r="D21" s="154">
        <v>10419.700000000001</v>
      </c>
      <c r="E21" s="155">
        <v>44743</v>
      </c>
      <c r="F21" s="154">
        <v>10419.700000000001</v>
      </c>
      <c r="G21" s="156">
        <f>Tabla18[[#This Row],[Importe]]-Tabla18[[#This Row],[Pagado]]</f>
        <v>0</v>
      </c>
      <c r="H21" s="153" t="s">
        <v>10</v>
      </c>
    </row>
    <row r="22" spans="1:8" x14ac:dyDescent="0.25">
      <c r="A22" s="73">
        <v>44743</v>
      </c>
      <c r="B22" s="74" t="s">
        <v>21287</v>
      </c>
      <c r="C22" s="75" t="s">
        <v>1650</v>
      </c>
      <c r="D22" s="81">
        <v>8524.7999999999993</v>
      </c>
      <c r="E22" s="151">
        <v>44743</v>
      </c>
      <c r="F22" s="81">
        <v>8524.7999999999993</v>
      </c>
      <c r="G22" s="156">
        <f>Tabla18[[#This Row],[Importe]]-Tabla18[[#This Row],[Pagado]]</f>
        <v>0</v>
      </c>
      <c r="H22" s="75" t="s">
        <v>10</v>
      </c>
    </row>
    <row r="23" spans="1:8" x14ac:dyDescent="0.25">
      <c r="A23" s="148">
        <v>44743</v>
      </c>
      <c r="B23" s="149" t="s">
        <v>21288</v>
      </c>
      <c r="C23" s="153" t="s">
        <v>85</v>
      </c>
      <c r="D23" s="154">
        <v>2548.8000000000002</v>
      </c>
      <c r="E23" s="155">
        <v>44743</v>
      </c>
      <c r="F23" s="154">
        <v>2548.8000000000002</v>
      </c>
      <c r="G23" s="156">
        <f>Tabla18[[#This Row],[Importe]]-Tabla18[[#This Row],[Pagado]]</f>
        <v>0</v>
      </c>
      <c r="H23" s="153" t="s">
        <v>10</v>
      </c>
    </row>
    <row r="24" spans="1:8" x14ac:dyDescent="0.25">
      <c r="A24" s="73">
        <v>44743</v>
      </c>
      <c r="B24" s="74" t="s">
        <v>21289</v>
      </c>
      <c r="C24" s="75" t="s">
        <v>111</v>
      </c>
      <c r="D24" s="81">
        <v>5573.8</v>
      </c>
      <c r="E24" s="151">
        <v>44744</v>
      </c>
      <c r="F24" s="81">
        <v>5573.8</v>
      </c>
      <c r="G24" s="156">
        <f>Tabla18[[#This Row],[Importe]]-Tabla18[[#This Row],[Pagado]]</f>
        <v>0</v>
      </c>
      <c r="H24" s="75" t="s">
        <v>10</v>
      </c>
    </row>
    <row r="25" spans="1:8" x14ac:dyDescent="0.25">
      <c r="A25" s="148">
        <v>44743</v>
      </c>
      <c r="B25" s="149" t="s">
        <v>21290</v>
      </c>
      <c r="C25" s="153" t="s">
        <v>212</v>
      </c>
      <c r="D25" s="154">
        <v>36911.199999999997</v>
      </c>
      <c r="E25" s="155">
        <v>44748</v>
      </c>
      <c r="F25" s="154">
        <v>36911.199999999997</v>
      </c>
      <c r="G25" s="156">
        <f>Tabla18[[#This Row],[Importe]]-Tabla18[[#This Row],[Pagado]]</f>
        <v>0</v>
      </c>
      <c r="H25" s="153" t="s">
        <v>10</v>
      </c>
    </row>
    <row r="26" spans="1:8" x14ac:dyDescent="0.25">
      <c r="A26" s="73">
        <v>44743</v>
      </c>
      <c r="B26" s="74" t="s">
        <v>21291</v>
      </c>
      <c r="C26" s="75" t="s">
        <v>49</v>
      </c>
      <c r="D26" s="81">
        <v>4052.7</v>
      </c>
      <c r="E26" s="151">
        <v>44743</v>
      </c>
      <c r="F26" s="81">
        <v>4052.7</v>
      </c>
      <c r="G26" s="156">
        <f>Tabla18[[#This Row],[Importe]]-Tabla18[[#This Row],[Pagado]]</f>
        <v>0</v>
      </c>
      <c r="H26" s="75" t="s">
        <v>10</v>
      </c>
    </row>
    <row r="27" spans="1:8" x14ac:dyDescent="0.25">
      <c r="A27" s="148">
        <v>44743</v>
      </c>
      <c r="B27" s="149" t="s">
        <v>21292</v>
      </c>
      <c r="C27" s="153" t="s">
        <v>56</v>
      </c>
      <c r="D27" s="154">
        <v>9187.5</v>
      </c>
      <c r="E27" s="155">
        <v>44743</v>
      </c>
      <c r="F27" s="154">
        <v>9187.5</v>
      </c>
      <c r="G27" s="156">
        <f>Tabla18[[#This Row],[Importe]]-Tabla18[[#This Row],[Pagado]]</f>
        <v>0</v>
      </c>
      <c r="H27" s="153" t="s">
        <v>10</v>
      </c>
    </row>
    <row r="28" spans="1:8" x14ac:dyDescent="0.25">
      <c r="A28" s="73">
        <v>44743</v>
      </c>
      <c r="B28" s="74" t="s">
        <v>21293</v>
      </c>
      <c r="C28" s="75" t="s">
        <v>131</v>
      </c>
      <c r="D28" s="81">
        <v>7761.6</v>
      </c>
      <c r="E28" s="151">
        <v>44743</v>
      </c>
      <c r="F28" s="81">
        <v>7761.6</v>
      </c>
      <c r="G28" s="156">
        <f>Tabla18[[#This Row],[Importe]]-Tabla18[[#This Row],[Pagado]]</f>
        <v>0</v>
      </c>
      <c r="H28" s="75" t="s">
        <v>10</v>
      </c>
    </row>
    <row r="29" spans="1:8" x14ac:dyDescent="0.25">
      <c r="A29" s="148">
        <v>44743</v>
      </c>
      <c r="B29" s="149" t="s">
        <v>21294</v>
      </c>
      <c r="C29" s="153" t="s">
        <v>24</v>
      </c>
      <c r="D29" s="154">
        <v>4527.6000000000004</v>
      </c>
      <c r="E29" s="155">
        <v>44743</v>
      </c>
      <c r="F29" s="154">
        <v>4527.6000000000004</v>
      </c>
      <c r="G29" s="156">
        <f>Tabla18[[#This Row],[Importe]]-Tabla18[[#This Row],[Pagado]]</f>
        <v>0</v>
      </c>
      <c r="H29" s="153" t="s">
        <v>10</v>
      </c>
    </row>
    <row r="30" spans="1:8" ht="31.5" x14ac:dyDescent="0.25">
      <c r="A30" s="73">
        <v>44743</v>
      </c>
      <c r="B30" s="74" t="s">
        <v>21295</v>
      </c>
      <c r="C30" s="75" t="s">
        <v>22</v>
      </c>
      <c r="D30" s="81">
        <v>68931.199999999997</v>
      </c>
      <c r="E30" s="147" t="s">
        <v>21296</v>
      </c>
      <c r="F30" s="81">
        <f>53000+15931.2</f>
        <v>68931.199999999997</v>
      </c>
      <c r="G30" s="156">
        <f>Tabla18[[#This Row],[Importe]]-Tabla18[[#This Row],[Pagado]]</f>
        <v>0</v>
      </c>
      <c r="H30" s="75" t="s">
        <v>10</v>
      </c>
    </row>
    <row r="31" spans="1:8" x14ac:dyDescent="0.25">
      <c r="A31" s="148">
        <v>44743</v>
      </c>
      <c r="B31" s="149" t="s">
        <v>21297</v>
      </c>
      <c r="C31" s="153" t="s">
        <v>27</v>
      </c>
      <c r="D31" s="154">
        <v>2871.3</v>
      </c>
      <c r="E31" s="155">
        <v>44743</v>
      </c>
      <c r="F31" s="154">
        <v>2871.3</v>
      </c>
      <c r="G31" s="156">
        <f>Tabla18[[#This Row],[Importe]]-Tabla18[[#This Row],[Pagado]]</f>
        <v>0</v>
      </c>
      <c r="H31" s="153" t="s">
        <v>10</v>
      </c>
    </row>
    <row r="32" spans="1:8" x14ac:dyDescent="0.25">
      <c r="A32" s="73">
        <v>44743</v>
      </c>
      <c r="B32" s="74" t="s">
        <v>21298</v>
      </c>
      <c r="C32" s="75" t="s">
        <v>173</v>
      </c>
      <c r="D32" s="81">
        <v>32570</v>
      </c>
      <c r="E32" s="151">
        <v>44744</v>
      </c>
      <c r="F32" s="81">
        <v>32570</v>
      </c>
      <c r="G32" s="156">
        <f>Tabla18[[#This Row],[Importe]]-Tabla18[[#This Row],[Pagado]]</f>
        <v>0</v>
      </c>
      <c r="H32" s="75" t="s">
        <v>10</v>
      </c>
    </row>
    <row r="33" spans="1:8" x14ac:dyDescent="0.25">
      <c r="A33" s="148">
        <v>44743</v>
      </c>
      <c r="B33" s="149" t="s">
        <v>21299</v>
      </c>
      <c r="C33" s="153" t="s">
        <v>11033</v>
      </c>
      <c r="D33" s="154">
        <v>2202.1999999999998</v>
      </c>
      <c r="E33" s="155">
        <v>44743</v>
      </c>
      <c r="F33" s="154">
        <v>2202.1999999999998</v>
      </c>
      <c r="G33" s="156">
        <f>Tabla18[[#This Row],[Importe]]-Tabla18[[#This Row],[Pagado]]</f>
        <v>0</v>
      </c>
      <c r="H33" s="153" t="s">
        <v>10</v>
      </c>
    </row>
    <row r="34" spans="1:8" x14ac:dyDescent="0.25">
      <c r="A34" s="73">
        <v>44743</v>
      </c>
      <c r="B34" s="74" t="s">
        <v>21300</v>
      </c>
      <c r="C34" s="75" t="s">
        <v>35</v>
      </c>
      <c r="D34" s="81">
        <v>3877.1</v>
      </c>
      <c r="E34" s="151">
        <v>44743</v>
      </c>
      <c r="F34" s="81">
        <v>3877.1</v>
      </c>
      <c r="G34" s="156">
        <f>Tabla18[[#This Row],[Importe]]-Tabla18[[#This Row],[Pagado]]</f>
        <v>0</v>
      </c>
      <c r="H34" s="75" t="s">
        <v>10</v>
      </c>
    </row>
    <row r="35" spans="1:8" x14ac:dyDescent="0.25">
      <c r="A35" s="148">
        <v>44743</v>
      </c>
      <c r="B35" s="149" t="s">
        <v>21301</v>
      </c>
      <c r="C35" s="153" t="s">
        <v>133</v>
      </c>
      <c r="D35" s="154">
        <v>26075.599999999999</v>
      </c>
      <c r="E35" s="155">
        <v>44758</v>
      </c>
      <c r="F35" s="154">
        <v>26075.599999999999</v>
      </c>
      <c r="G35" s="156">
        <f>Tabla18[[#This Row],[Importe]]-Tabla18[[#This Row],[Pagado]]</f>
        <v>0</v>
      </c>
      <c r="H35" s="153" t="s">
        <v>10</v>
      </c>
    </row>
    <row r="36" spans="1:8" x14ac:dyDescent="0.25">
      <c r="A36" s="73">
        <v>44743</v>
      </c>
      <c r="B36" s="74" t="s">
        <v>21302</v>
      </c>
      <c r="C36" s="75" t="s">
        <v>21303</v>
      </c>
      <c r="D36" s="81">
        <v>10867.5</v>
      </c>
      <c r="E36" s="151">
        <v>44744</v>
      </c>
      <c r="F36" s="81">
        <v>10867.5</v>
      </c>
      <c r="G36" s="156">
        <f>Tabla18[[#This Row],[Importe]]-Tabla18[[#This Row],[Pagado]]</f>
        <v>0</v>
      </c>
      <c r="H36" s="75" t="s">
        <v>10</v>
      </c>
    </row>
    <row r="37" spans="1:8" x14ac:dyDescent="0.25">
      <c r="A37" s="148">
        <v>44743</v>
      </c>
      <c r="B37" s="149" t="s">
        <v>21304</v>
      </c>
      <c r="C37" s="153" t="s">
        <v>1378</v>
      </c>
      <c r="D37" s="154">
        <v>35805.300000000003</v>
      </c>
      <c r="E37" s="155">
        <v>44744</v>
      </c>
      <c r="F37" s="154">
        <v>35805.300000000003</v>
      </c>
      <c r="G37" s="156">
        <f>Tabla18[[#This Row],[Importe]]-Tabla18[[#This Row],[Pagado]]</f>
        <v>0</v>
      </c>
      <c r="H37" s="153" t="s">
        <v>10</v>
      </c>
    </row>
    <row r="38" spans="1:8" x14ac:dyDescent="0.25">
      <c r="A38" s="73">
        <v>44743</v>
      </c>
      <c r="B38" s="74" t="s">
        <v>21305</v>
      </c>
      <c r="C38" s="75" t="s">
        <v>365</v>
      </c>
      <c r="D38" s="81">
        <v>957</v>
      </c>
      <c r="E38" s="151">
        <v>44743</v>
      </c>
      <c r="F38" s="81">
        <v>957</v>
      </c>
      <c r="G38" s="156">
        <f>Tabla18[[#This Row],[Importe]]-Tabla18[[#This Row],[Pagado]]</f>
        <v>0</v>
      </c>
      <c r="H38" s="75" t="s">
        <v>10</v>
      </c>
    </row>
    <row r="39" spans="1:8" x14ac:dyDescent="0.25">
      <c r="A39" s="148">
        <v>44743</v>
      </c>
      <c r="B39" s="149" t="s">
        <v>21306</v>
      </c>
      <c r="C39" s="153" t="s">
        <v>647</v>
      </c>
      <c r="D39" s="154">
        <v>2742.1</v>
      </c>
      <c r="E39" s="155">
        <v>44743</v>
      </c>
      <c r="F39" s="154">
        <v>2742.1</v>
      </c>
      <c r="G39" s="156">
        <f>Tabla18[[#This Row],[Importe]]-Tabla18[[#This Row],[Pagado]]</f>
        <v>0</v>
      </c>
      <c r="H39" s="153" t="s">
        <v>10</v>
      </c>
    </row>
    <row r="40" spans="1:8" x14ac:dyDescent="0.25">
      <c r="A40" s="73">
        <v>44743</v>
      </c>
      <c r="B40" s="74" t="s">
        <v>21307</v>
      </c>
      <c r="C40" s="75" t="s">
        <v>9827</v>
      </c>
      <c r="D40" s="81">
        <v>2570.4</v>
      </c>
      <c r="E40" s="151">
        <v>44743</v>
      </c>
      <c r="F40" s="81">
        <v>2570.4</v>
      </c>
      <c r="G40" s="156">
        <f>Tabla18[[#This Row],[Importe]]-Tabla18[[#This Row],[Pagado]]</f>
        <v>0</v>
      </c>
      <c r="H40" s="75" t="s">
        <v>10</v>
      </c>
    </row>
    <row r="41" spans="1:8" x14ac:dyDescent="0.25">
      <c r="A41" s="148">
        <v>44743</v>
      </c>
      <c r="B41" s="149" t="s">
        <v>21308</v>
      </c>
      <c r="C41" s="153" t="s">
        <v>161</v>
      </c>
      <c r="D41" s="154">
        <v>4158.8</v>
      </c>
      <c r="E41" s="155">
        <v>44743</v>
      </c>
      <c r="F41" s="154">
        <v>4158.8</v>
      </c>
      <c r="G41" s="156">
        <f>Tabla18[[#This Row],[Importe]]-Tabla18[[#This Row],[Pagado]]</f>
        <v>0</v>
      </c>
      <c r="H41" s="153" t="s">
        <v>10</v>
      </c>
    </row>
    <row r="42" spans="1:8" x14ac:dyDescent="0.25">
      <c r="A42" s="73">
        <v>44743</v>
      </c>
      <c r="B42" s="74" t="s">
        <v>21309</v>
      </c>
      <c r="C42" s="75" t="s">
        <v>191</v>
      </c>
      <c r="D42" s="81">
        <v>4134.3999999999996</v>
      </c>
      <c r="E42" s="151">
        <v>44743</v>
      </c>
      <c r="F42" s="81">
        <v>4134.3999999999996</v>
      </c>
      <c r="G42" s="156">
        <f>Tabla18[[#This Row],[Importe]]-Tabla18[[#This Row],[Pagado]]</f>
        <v>0</v>
      </c>
      <c r="H42" s="75" t="s">
        <v>10</v>
      </c>
    </row>
    <row r="43" spans="1:8" x14ac:dyDescent="0.25">
      <c r="A43" s="148">
        <v>44743</v>
      </c>
      <c r="B43" s="149" t="s">
        <v>21310</v>
      </c>
      <c r="C43" s="153" t="s">
        <v>592</v>
      </c>
      <c r="D43" s="154">
        <v>37015.5</v>
      </c>
      <c r="E43" s="155">
        <v>44751</v>
      </c>
      <c r="F43" s="154">
        <v>37015.5</v>
      </c>
      <c r="G43" s="156">
        <f>Tabla18[[#This Row],[Importe]]-Tabla18[[#This Row],[Pagado]]</f>
        <v>0</v>
      </c>
      <c r="H43" s="153" t="s">
        <v>10</v>
      </c>
    </row>
    <row r="44" spans="1:8" x14ac:dyDescent="0.25">
      <c r="A44" s="73">
        <v>44743</v>
      </c>
      <c r="B44" s="74" t="s">
        <v>21311</v>
      </c>
      <c r="C44" s="75" t="s">
        <v>51</v>
      </c>
      <c r="D44" s="81">
        <v>2700</v>
      </c>
      <c r="E44" s="151">
        <v>44743</v>
      </c>
      <c r="F44" s="81">
        <v>2700</v>
      </c>
      <c r="G44" s="156">
        <f>Tabla18[[#This Row],[Importe]]-Tabla18[[#This Row],[Pagado]]</f>
        <v>0</v>
      </c>
      <c r="H44" s="75" t="s">
        <v>10</v>
      </c>
    </row>
    <row r="45" spans="1:8" x14ac:dyDescent="0.25">
      <c r="A45" s="148">
        <v>44743</v>
      </c>
      <c r="B45" s="149" t="s">
        <v>21312</v>
      </c>
      <c r="C45" s="153" t="s">
        <v>49</v>
      </c>
      <c r="D45" s="154">
        <v>814</v>
      </c>
      <c r="E45" s="155">
        <v>44743</v>
      </c>
      <c r="F45" s="154">
        <v>814</v>
      </c>
      <c r="G45" s="156">
        <f>Tabla18[[#This Row],[Importe]]-Tabla18[[#This Row],[Pagado]]</f>
        <v>0</v>
      </c>
      <c r="H45" s="153" t="s">
        <v>10</v>
      </c>
    </row>
    <row r="46" spans="1:8" x14ac:dyDescent="0.25">
      <c r="A46" s="73">
        <v>44743</v>
      </c>
      <c r="B46" s="74" t="s">
        <v>21313</v>
      </c>
      <c r="C46" s="75" t="s">
        <v>45</v>
      </c>
      <c r="D46" s="81">
        <v>12049</v>
      </c>
      <c r="E46" s="151">
        <v>44743</v>
      </c>
      <c r="F46" s="81">
        <v>12049</v>
      </c>
      <c r="G46" s="156">
        <f>Tabla18[[#This Row],[Importe]]-Tabla18[[#This Row],[Pagado]]</f>
        <v>0</v>
      </c>
      <c r="H46" s="75" t="s">
        <v>10</v>
      </c>
    </row>
    <row r="47" spans="1:8" x14ac:dyDescent="0.25">
      <c r="A47" s="148">
        <v>44743</v>
      </c>
      <c r="B47" s="149" t="s">
        <v>21314</v>
      </c>
      <c r="C47" s="153" t="s">
        <v>10157</v>
      </c>
      <c r="D47" s="154">
        <v>45822.04</v>
      </c>
      <c r="E47" s="155">
        <v>44750</v>
      </c>
      <c r="F47" s="154">
        <v>45822.04</v>
      </c>
      <c r="G47" s="156">
        <f>Tabla18[[#This Row],[Importe]]-Tabla18[[#This Row],[Pagado]]</f>
        <v>0</v>
      </c>
      <c r="H47" s="153" t="s">
        <v>10</v>
      </c>
    </row>
    <row r="48" spans="1:8" x14ac:dyDescent="0.25">
      <c r="A48" s="73">
        <v>44743</v>
      </c>
      <c r="B48" s="74" t="s">
        <v>21315</v>
      </c>
      <c r="C48" s="75" t="s">
        <v>214</v>
      </c>
      <c r="D48" s="81">
        <v>1792.8</v>
      </c>
      <c r="E48" s="151">
        <v>44743</v>
      </c>
      <c r="F48" s="81">
        <v>1792.8</v>
      </c>
      <c r="G48" s="156">
        <f>Tabla18[[#This Row],[Importe]]-Tabla18[[#This Row],[Pagado]]</f>
        <v>0</v>
      </c>
      <c r="H48" s="75" t="s">
        <v>10</v>
      </c>
    </row>
    <row r="49" spans="1:8" x14ac:dyDescent="0.25">
      <c r="A49" s="148">
        <v>44743</v>
      </c>
      <c r="B49" s="149" t="s">
        <v>21316</v>
      </c>
      <c r="C49" s="153" t="s">
        <v>31</v>
      </c>
      <c r="D49" s="154">
        <v>312</v>
      </c>
      <c r="E49" s="155">
        <v>44743</v>
      </c>
      <c r="F49" s="154">
        <v>312</v>
      </c>
      <c r="G49" s="156">
        <f>Tabla18[[#This Row],[Importe]]-Tabla18[[#This Row],[Pagado]]</f>
        <v>0</v>
      </c>
      <c r="H49" s="153" t="s">
        <v>10</v>
      </c>
    </row>
    <row r="50" spans="1:8" x14ac:dyDescent="0.25">
      <c r="A50" s="73">
        <v>44743</v>
      </c>
      <c r="B50" s="74" t="s">
        <v>21317</v>
      </c>
      <c r="C50" s="75" t="s">
        <v>142</v>
      </c>
      <c r="D50" s="81">
        <v>65436.19</v>
      </c>
      <c r="E50" s="151">
        <v>44799</v>
      </c>
      <c r="F50" s="81">
        <v>65436.19</v>
      </c>
      <c r="G50" s="156">
        <f>Tabla18[[#This Row],[Importe]]-Tabla18[[#This Row],[Pagado]]</f>
        <v>0</v>
      </c>
      <c r="H50" s="75" t="s">
        <v>10</v>
      </c>
    </row>
    <row r="51" spans="1:8" x14ac:dyDescent="0.25">
      <c r="A51" s="148">
        <v>44743</v>
      </c>
      <c r="B51" s="149" t="s">
        <v>21318</v>
      </c>
      <c r="C51" s="153" t="s">
        <v>198</v>
      </c>
      <c r="D51" s="154">
        <v>4492.5</v>
      </c>
      <c r="E51" s="155">
        <v>44744</v>
      </c>
      <c r="F51" s="154">
        <v>4492.5</v>
      </c>
      <c r="G51" s="156">
        <f>Tabla18[[#This Row],[Importe]]-Tabla18[[#This Row],[Pagado]]</f>
        <v>0</v>
      </c>
      <c r="H51" s="153" t="s">
        <v>10</v>
      </c>
    </row>
    <row r="52" spans="1:8" x14ac:dyDescent="0.25">
      <c r="A52" s="73">
        <v>44743</v>
      </c>
      <c r="B52" s="74" t="s">
        <v>21319</v>
      </c>
      <c r="C52" s="75" t="s">
        <v>5816</v>
      </c>
      <c r="D52" s="81">
        <v>866.4</v>
      </c>
      <c r="E52" s="151">
        <v>44744</v>
      </c>
      <c r="F52" s="81">
        <v>866.4</v>
      </c>
      <c r="G52" s="156">
        <f>Tabla18[[#This Row],[Importe]]-Tabla18[[#This Row],[Pagado]]</f>
        <v>0</v>
      </c>
      <c r="H52" s="75" t="s">
        <v>10</v>
      </c>
    </row>
    <row r="53" spans="1:8" x14ac:dyDescent="0.25">
      <c r="A53" s="148">
        <v>44743</v>
      </c>
      <c r="B53" s="149" t="s">
        <v>21320</v>
      </c>
      <c r="C53" s="153" t="s">
        <v>670</v>
      </c>
      <c r="D53" s="154">
        <v>4906.2</v>
      </c>
      <c r="E53" s="155">
        <v>44743</v>
      </c>
      <c r="F53" s="154">
        <v>4906.2</v>
      </c>
      <c r="G53" s="156">
        <f>Tabla18[[#This Row],[Importe]]-Tabla18[[#This Row],[Pagado]]</f>
        <v>0</v>
      </c>
      <c r="H53" s="153" t="s">
        <v>10</v>
      </c>
    </row>
    <row r="54" spans="1:8" ht="31.5" x14ac:dyDescent="0.25">
      <c r="A54" s="73">
        <v>44743</v>
      </c>
      <c r="B54" s="74" t="s">
        <v>21321</v>
      </c>
      <c r="C54" s="75" t="s">
        <v>670</v>
      </c>
      <c r="D54" s="81">
        <v>1486.7</v>
      </c>
      <c r="E54" s="147" t="s">
        <v>21322</v>
      </c>
      <c r="F54" s="81">
        <f>1000+486.7</f>
        <v>1486.7</v>
      </c>
      <c r="G54" s="156">
        <f>Tabla18[[#This Row],[Importe]]-Tabla18[[#This Row],[Pagado]]</f>
        <v>0</v>
      </c>
      <c r="H54" s="75" t="s">
        <v>10</v>
      </c>
    </row>
    <row r="55" spans="1:8" x14ac:dyDescent="0.25">
      <c r="A55" s="148">
        <v>44743</v>
      </c>
      <c r="B55" s="149" t="s">
        <v>21323</v>
      </c>
      <c r="C55" s="153" t="s">
        <v>2114</v>
      </c>
      <c r="D55" s="154">
        <v>2527.1999999999998</v>
      </c>
      <c r="E55" s="155">
        <v>44743</v>
      </c>
      <c r="F55" s="154">
        <v>2527.1999999999998</v>
      </c>
      <c r="G55" s="156">
        <f>Tabla18[[#This Row],[Importe]]-Tabla18[[#This Row],[Pagado]]</f>
        <v>0</v>
      </c>
      <c r="H55" s="153" t="s">
        <v>10</v>
      </c>
    </row>
    <row r="56" spans="1:8" x14ac:dyDescent="0.25">
      <c r="A56" s="73">
        <v>44743</v>
      </c>
      <c r="B56" s="74" t="s">
        <v>21324</v>
      </c>
      <c r="C56" s="75" t="s">
        <v>212</v>
      </c>
      <c r="D56" s="81">
        <v>34082.9</v>
      </c>
      <c r="E56" s="151">
        <v>44748</v>
      </c>
      <c r="F56" s="81">
        <v>34082.9</v>
      </c>
      <c r="G56" s="156">
        <f>Tabla18[[#This Row],[Importe]]-Tabla18[[#This Row],[Pagado]]</f>
        <v>0</v>
      </c>
      <c r="H56" s="75" t="s">
        <v>10</v>
      </c>
    </row>
    <row r="57" spans="1:8" x14ac:dyDescent="0.25">
      <c r="A57" s="148">
        <v>44743</v>
      </c>
      <c r="B57" s="149" t="s">
        <v>21325</v>
      </c>
      <c r="C57" s="153" t="s">
        <v>206</v>
      </c>
      <c r="D57" s="154">
        <v>39186.199999999997</v>
      </c>
      <c r="E57" s="155">
        <v>44748</v>
      </c>
      <c r="F57" s="154">
        <v>39186.199999999997</v>
      </c>
      <c r="G57" s="156">
        <f>Tabla18[[#This Row],[Importe]]-Tabla18[[#This Row],[Pagado]]</f>
        <v>0</v>
      </c>
      <c r="H57" s="153" t="s">
        <v>10</v>
      </c>
    </row>
    <row r="58" spans="1:8" x14ac:dyDescent="0.25">
      <c r="A58" s="73">
        <v>44743</v>
      </c>
      <c r="B58" s="74" t="s">
        <v>21326</v>
      </c>
      <c r="C58" s="75" t="s">
        <v>218</v>
      </c>
      <c r="D58" s="81">
        <v>26617.3</v>
      </c>
      <c r="E58" s="151">
        <v>44748</v>
      </c>
      <c r="F58" s="81">
        <v>26617.3</v>
      </c>
      <c r="G58" s="156">
        <f>Tabla18[[#This Row],[Importe]]-Tabla18[[#This Row],[Pagado]]</f>
        <v>0</v>
      </c>
      <c r="H58" s="75" t="s">
        <v>10</v>
      </c>
    </row>
    <row r="59" spans="1:8" x14ac:dyDescent="0.25">
      <c r="A59" s="148">
        <v>44743</v>
      </c>
      <c r="B59" s="149" t="s">
        <v>21327</v>
      </c>
      <c r="C59" s="153" t="s">
        <v>1237</v>
      </c>
      <c r="D59" s="154">
        <v>48384</v>
      </c>
      <c r="E59" s="155">
        <v>44743</v>
      </c>
      <c r="F59" s="154">
        <v>48384</v>
      </c>
      <c r="G59" s="156">
        <f>Tabla18[[#This Row],[Importe]]-Tabla18[[#This Row],[Pagado]]</f>
        <v>0</v>
      </c>
      <c r="H59" s="153" t="s">
        <v>10</v>
      </c>
    </row>
    <row r="60" spans="1:8" x14ac:dyDescent="0.25">
      <c r="A60" s="73">
        <v>44743</v>
      </c>
      <c r="B60" s="74" t="s">
        <v>21328</v>
      </c>
      <c r="C60" s="75" t="s">
        <v>179</v>
      </c>
      <c r="D60" s="81">
        <v>2455.1999999999998</v>
      </c>
      <c r="E60" s="151">
        <v>44743</v>
      </c>
      <c r="F60" s="81">
        <v>2455.1999999999998</v>
      </c>
      <c r="G60" s="156">
        <f>Tabla18[[#This Row],[Importe]]-Tabla18[[#This Row],[Pagado]]</f>
        <v>0</v>
      </c>
      <c r="H60" s="75" t="s">
        <v>10</v>
      </c>
    </row>
    <row r="61" spans="1:8" x14ac:dyDescent="0.25">
      <c r="A61" s="148">
        <v>44743</v>
      </c>
      <c r="B61" s="149" t="s">
        <v>21329</v>
      </c>
      <c r="C61" s="153" t="s">
        <v>135</v>
      </c>
      <c r="D61" s="154">
        <v>1073</v>
      </c>
      <c r="E61" s="155">
        <v>44743</v>
      </c>
      <c r="F61" s="154">
        <v>1073</v>
      </c>
      <c r="G61" s="156">
        <f>Tabla18[[#This Row],[Importe]]-Tabla18[[#This Row],[Pagado]]</f>
        <v>0</v>
      </c>
      <c r="H61" s="153" t="s">
        <v>10</v>
      </c>
    </row>
    <row r="62" spans="1:8" x14ac:dyDescent="0.25">
      <c r="A62" s="73">
        <v>44743</v>
      </c>
      <c r="B62" s="74" t="s">
        <v>21330</v>
      </c>
      <c r="C62" s="75" t="s">
        <v>1003</v>
      </c>
      <c r="D62" s="81">
        <v>3224.9</v>
      </c>
      <c r="E62" s="151">
        <v>44744</v>
      </c>
      <c r="F62" s="81">
        <v>3224.9</v>
      </c>
      <c r="G62" s="156">
        <f>Tabla18[[#This Row],[Importe]]-Tabla18[[#This Row],[Pagado]]</f>
        <v>0</v>
      </c>
      <c r="H62" s="75" t="s">
        <v>10</v>
      </c>
    </row>
    <row r="63" spans="1:8" x14ac:dyDescent="0.25">
      <c r="A63" s="148">
        <v>44743</v>
      </c>
      <c r="B63" s="149" t="s">
        <v>21331</v>
      </c>
      <c r="C63" s="153" t="s">
        <v>154</v>
      </c>
      <c r="D63" s="154">
        <v>51506</v>
      </c>
      <c r="E63" s="155">
        <v>44749</v>
      </c>
      <c r="F63" s="154">
        <v>51506</v>
      </c>
      <c r="G63" s="156">
        <f>Tabla18[[#This Row],[Importe]]-Tabla18[[#This Row],[Pagado]]</f>
        <v>0</v>
      </c>
      <c r="H63" s="153" t="s">
        <v>10</v>
      </c>
    </row>
    <row r="64" spans="1:8" x14ac:dyDescent="0.25">
      <c r="A64" s="73">
        <v>44743</v>
      </c>
      <c r="B64" s="74" t="s">
        <v>21332</v>
      </c>
      <c r="C64" s="75" t="s">
        <v>1003</v>
      </c>
      <c r="D64" s="81">
        <v>5153.3999999999996</v>
      </c>
      <c r="E64" s="151">
        <v>44744</v>
      </c>
      <c r="F64" s="81">
        <v>5153.3999999999996</v>
      </c>
      <c r="G64" s="156">
        <f>Tabla18[[#This Row],[Importe]]-Tabla18[[#This Row],[Pagado]]</f>
        <v>0</v>
      </c>
      <c r="H64" s="75" t="s">
        <v>10</v>
      </c>
    </row>
    <row r="65" spans="1:8" x14ac:dyDescent="0.25">
      <c r="A65" s="148">
        <v>44743</v>
      </c>
      <c r="B65" s="149" t="s">
        <v>21333</v>
      </c>
      <c r="C65" s="153" t="s">
        <v>314</v>
      </c>
      <c r="D65" s="154">
        <v>4226.3999999999996</v>
      </c>
      <c r="E65" s="155">
        <v>44743</v>
      </c>
      <c r="F65" s="154">
        <v>4226.3999999999996</v>
      </c>
      <c r="G65" s="156">
        <f>Tabla18[[#This Row],[Importe]]-Tabla18[[#This Row],[Pagado]]</f>
        <v>0</v>
      </c>
      <c r="H65" s="153" t="s">
        <v>10</v>
      </c>
    </row>
    <row r="66" spans="1:8" x14ac:dyDescent="0.25">
      <c r="A66" s="73">
        <v>44743</v>
      </c>
      <c r="B66" s="74" t="s">
        <v>21334</v>
      </c>
      <c r="C66" s="75" t="s">
        <v>107</v>
      </c>
      <c r="D66" s="81">
        <v>11479.2</v>
      </c>
      <c r="E66" s="151">
        <v>44743</v>
      </c>
      <c r="F66" s="81">
        <v>11479.2</v>
      </c>
      <c r="G66" s="156">
        <f>Tabla18[[#This Row],[Importe]]-Tabla18[[#This Row],[Pagado]]</f>
        <v>0</v>
      </c>
      <c r="H66" s="75" t="s">
        <v>10</v>
      </c>
    </row>
    <row r="67" spans="1:8" x14ac:dyDescent="0.25">
      <c r="A67" s="148">
        <v>44743</v>
      </c>
      <c r="B67" s="149" t="s">
        <v>21335</v>
      </c>
      <c r="C67" s="153" t="s">
        <v>87</v>
      </c>
      <c r="D67" s="154">
        <v>3920.6</v>
      </c>
      <c r="E67" s="155">
        <v>44743</v>
      </c>
      <c r="F67" s="154">
        <v>3920.6</v>
      </c>
      <c r="G67" s="156">
        <f>Tabla18[[#This Row],[Importe]]-Tabla18[[#This Row],[Pagado]]</f>
        <v>0</v>
      </c>
      <c r="H67" s="153" t="s">
        <v>10</v>
      </c>
    </row>
    <row r="68" spans="1:8" x14ac:dyDescent="0.25">
      <c r="A68" s="73">
        <v>44743</v>
      </c>
      <c r="B68" s="74" t="s">
        <v>21336</v>
      </c>
      <c r="C68" s="75" t="s">
        <v>664</v>
      </c>
      <c r="D68" s="81">
        <v>7658</v>
      </c>
      <c r="E68" s="151">
        <v>44743</v>
      </c>
      <c r="F68" s="81">
        <v>7658</v>
      </c>
      <c r="G68" s="156">
        <f>Tabla18[[#This Row],[Importe]]-Tabla18[[#This Row],[Pagado]]</f>
        <v>0</v>
      </c>
      <c r="H68" s="75" t="s">
        <v>10</v>
      </c>
    </row>
    <row r="69" spans="1:8" x14ac:dyDescent="0.25">
      <c r="A69" s="148">
        <v>44743</v>
      </c>
      <c r="B69" s="149" t="s">
        <v>21337</v>
      </c>
      <c r="C69" s="153" t="s">
        <v>291</v>
      </c>
      <c r="D69" s="154">
        <v>2050</v>
      </c>
      <c r="E69" s="155">
        <v>44743</v>
      </c>
      <c r="F69" s="154">
        <v>2050</v>
      </c>
      <c r="G69" s="156">
        <f>Tabla18[[#This Row],[Importe]]-Tabla18[[#This Row],[Pagado]]</f>
        <v>0</v>
      </c>
      <c r="H69" s="153" t="s">
        <v>10</v>
      </c>
    </row>
    <row r="70" spans="1:8" x14ac:dyDescent="0.25">
      <c r="A70" s="73">
        <v>44743</v>
      </c>
      <c r="B70" s="74" t="s">
        <v>21338</v>
      </c>
      <c r="C70" s="75" t="s">
        <v>58</v>
      </c>
      <c r="D70" s="81">
        <v>2632</v>
      </c>
      <c r="E70" s="151">
        <v>44743</v>
      </c>
      <c r="F70" s="81">
        <v>2632</v>
      </c>
      <c r="G70" s="156">
        <f>Tabla18[[#This Row],[Importe]]-Tabla18[[#This Row],[Pagado]]</f>
        <v>0</v>
      </c>
      <c r="H70" s="75" t="s">
        <v>10</v>
      </c>
    </row>
    <row r="71" spans="1:8" x14ac:dyDescent="0.25">
      <c r="A71" s="148">
        <v>44743</v>
      </c>
      <c r="B71" s="149" t="s">
        <v>21339</v>
      </c>
      <c r="C71" s="153" t="s">
        <v>129</v>
      </c>
      <c r="D71" s="154">
        <v>4957.5</v>
      </c>
      <c r="E71" s="155">
        <v>44743</v>
      </c>
      <c r="F71" s="154">
        <v>4957.5</v>
      </c>
      <c r="G71" s="156">
        <f>Tabla18[[#This Row],[Importe]]-Tabla18[[#This Row],[Pagado]]</f>
        <v>0</v>
      </c>
      <c r="H71" s="153" t="s">
        <v>10</v>
      </c>
    </row>
    <row r="72" spans="1:8" x14ac:dyDescent="0.25">
      <c r="A72" s="73">
        <v>44743</v>
      </c>
      <c r="B72" s="74" t="s">
        <v>21340</v>
      </c>
      <c r="C72" s="75" t="s">
        <v>146</v>
      </c>
      <c r="D72" s="81">
        <v>12016.6</v>
      </c>
      <c r="E72" s="151">
        <v>44743</v>
      </c>
      <c r="F72" s="81">
        <v>12016.6</v>
      </c>
      <c r="G72" s="156">
        <f>Tabla18[[#This Row],[Importe]]-Tabla18[[#This Row],[Pagado]]</f>
        <v>0</v>
      </c>
      <c r="H72" s="75" t="s">
        <v>10</v>
      </c>
    </row>
    <row r="73" spans="1:8" x14ac:dyDescent="0.25">
      <c r="A73" s="148">
        <v>44743</v>
      </c>
      <c r="B73" s="149" t="s">
        <v>21341</v>
      </c>
      <c r="C73" s="153" t="s">
        <v>129</v>
      </c>
      <c r="D73" s="154">
        <v>1228.4000000000001</v>
      </c>
      <c r="E73" s="155">
        <v>44743</v>
      </c>
      <c r="F73" s="154">
        <v>1228.4000000000001</v>
      </c>
      <c r="G73" s="156">
        <f>Tabla18[[#This Row],[Importe]]-Tabla18[[#This Row],[Pagado]]</f>
        <v>0</v>
      </c>
      <c r="H73" s="153" t="s">
        <v>10</v>
      </c>
    </row>
    <row r="74" spans="1:8" x14ac:dyDescent="0.25">
      <c r="A74" s="73">
        <v>44743</v>
      </c>
      <c r="B74" s="74" t="s">
        <v>21342</v>
      </c>
      <c r="C74" s="75" t="s">
        <v>357</v>
      </c>
      <c r="D74" s="81">
        <v>1568.8</v>
      </c>
      <c r="E74" s="151">
        <v>44743</v>
      </c>
      <c r="F74" s="81">
        <v>1568.8</v>
      </c>
      <c r="G74" s="156">
        <f>Tabla18[[#This Row],[Importe]]-Tabla18[[#This Row],[Pagado]]</f>
        <v>0</v>
      </c>
      <c r="H74" s="75" t="s">
        <v>10</v>
      </c>
    </row>
    <row r="75" spans="1:8" x14ac:dyDescent="0.25">
      <c r="A75" s="148">
        <v>44743</v>
      </c>
      <c r="B75" s="149" t="s">
        <v>21343</v>
      </c>
      <c r="C75" s="153" t="s">
        <v>6528</v>
      </c>
      <c r="D75" s="154">
        <v>14394.4</v>
      </c>
      <c r="E75" s="155">
        <v>44743</v>
      </c>
      <c r="F75" s="154">
        <v>14394.4</v>
      </c>
      <c r="G75" s="156">
        <f>Tabla18[[#This Row],[Importe]]-Tabla18[[#This Row],[Pagado]]</f>
        <v>0</v>
      </c>
      <c r="H75" s="153" t="s">
        <v>10</v>
      </c>
    </row>
    <row r="76" spans="1:8" x14ac:dyDescent="0.25">
      <c r="A76" s="73">
        <v>44743</v>
      </c>
      <c r="B76" s="74" t="s">
        <v>21344</v>
      </c>
      <c r="C76" s="75" t="s">
        <v>419</v>
      </c>
      <c r="D76" s="81">
        <v>7883.4</v>
      </c>
      <c r="E76" s="151">
        <v>44743</v>
      </c>
      <c r="F76" s="81">
        <v>7883.4</v>
      </c>
      <c r="G76" s="156">
        <f>Tabla18[[#This Row],[Importe]]-Tabla18[[#This Row],[Pagado]]</f>
        <v>0</v>
      </c>
      <c r="H76" s="75" t="s">
        <v>10</v>
      </c>
    </row>
    <row r="77" spans="1:8" x14ac:dyDescent="0.25">
      <c r="A77" s="148">
        <v>44743</v>
      </c>
      <c r="B77" s="149" t="s">
        <v>21345</v>
      </c>
      <c r="C77" s="153" t="s">
        <v>140</v>
      </c>
      <c r="D77" s="154">
        <v>1558.2</v>
      </c>
      <c r="E77" s="155">
        <v>44743</v>
      </c>
      <c r="F77" s="154">
        <v>1558.2</v>
      </c>
      <c r="G77" s="156">
        <f>Tabla18[[#This Row],[Importe]]-Tabla18[[#This Row],[Pagado]]</f>
        <v>0</v>
      </c>
      <c r="H77" s="153" t="s">
        <v>10</v>
      </c>
    </row>
    <row r="78" spans="1:8" x14ac:dyDescent="0.25">
      <c r="A78" s="73">
        <v>44743</v>
      </c>
      <c r="B78" s="74" t="s">
        <v>21346</v>
      </c>
      <c r="C78" s="75" t="s">
        <v>127</v>
      </c>
      <c r="D78" s="81">
        <v>3972.6</v>
      </c>
      <c r="E78" s="151">
        <v>44743</v>
      </c>
      <c r="F78" s="81">
        <v>3972.6</v>
      </c>
      <c r="G78" s="156">
        <f>Tabla18[[#This Row],[Importe]]-Tabla18[[#This Row],[Pagado]]</f>
        <v>0</v>
      </c>
      <c r="H78" s="75" t="s">
        <v>10</v>
      </c>
    </row>
    <row r="79" spans="1:8" x14ac:dyDescent="0.25">
      <c r="A79" s="148">
        <v>44743</v>
      </c>
      <c r="B79" s="149" t="s">
        <v>21347</v>
      </c>
      <c r="C79" s="153" t="s">
        <v>226</v>
      </c>
      <c r="D79" s="154">
        <v>7387.5</v>
      </c>
      <c r="E79" s="155">
        <v>44743</v>
      </c>
      <c r="F79" s="154">
        <v>7387.5</v>
      </c>
      <c r="G79" s="156">
        <f>Tabla18[[#This Row],[Importe]]-Tabla18[[#This Row],[Pagado]]</f>
        <v>0</v>
      </c>
      <c r="H79" s="153" t="s">
        <v>10</v>
      </c>
    </row>
    <row r="80" spans="1:8" x14ac:dyDescent="0.25">
      <c r="A80" s="73">
        <v>44743</v>
      </c>
      <c r="B80" s="74" t="s">
        <v>21348</v>
      </c>
      <c r="C80" s="75" t="s">
        <v>226</v>
      </c>
      <c r="D80" s="81">
        <v>3883</v>
      </c>
      <c r="E80" s="151">
        <v>44743</v>
      </c>
      <c r="F80" s="81">
        <v>3883</v>
      </c>
      <c r="G80" s="156">
        <f>Tabla18[[#This Row],[Importe]]-Tabla18[[#This Row],[Pagado]]</f>
        <v>0</v>
      </c>
      <c r="H80" s="75" t="s">
        <v>10</v>
      </c>
    </row>
    <row r="81" spans="1:8" x14ac:dyDescent="0.25">
      <c r="A81" s="148">
        <v>44743</v>
      </c>
      <c r="B81" s="149" t="s">
        <v>21349</v>
      </c>
      <c r="C81" s="153" t="s">
        <v>233</v>
      </c>
      <c r="D81" s="154">
        <v>5445.8</v>
      </c>
      <c r="E81" s="155">
        <v>44743</v>
      </c>
      <c r="F81" s="154">
        <v>5445.8</v>
      </c>
      <c r="G81" s="156">
        <f>Tabla18[[#This Row],[Importe]]-Tabla18[[#This Row],[Pagado]]</f>
        <v>0</v>
      </c>
      <c r="H81" s="153" t="s">
        <v>10</v>
      </c>
    </row>
    <row r="82" spans="1:8" x14ac:dyDescent="0.25">
      <c r="A82" s="73">
        <v>44743</v>
      </c>
      <c r="B82" s="74" t="s">
        <v>21350</v>
      </c>
      <c r="C82" s="75" t="s">
        <v>9827</v>
      </c>
      <c r="D82" s="81">
        <v>2664</v>
      </c>
      <c r="E82" s="151">
        <v>44743</v>
      </c>
      <c r="F82" s="81">
        <v>2664</v>
      </c>
      <c r="G82" s="156">
        <f>Tabla18[[#This Row],[Importe]]-Tabla18[[#This Row],[Pagado]]</f>
        <v>0</v>
      </c>
      <c r="H82" s="75" t="s">
        <v>10</v>
      </c>
    </row>
    <row r="83" spans="1:8" x14ac:dyDescent="0.25">
      <c r="A83" s="148">
        <v>44743</v>
      </c>
      <c r="B83" s="149" t="s">
        <v>21351</v>
      </c>
      <c r="C83" s="153" t="s">
        <v>31</v>
      </c>
      <c r="D83" s="154">
        <v>1144.8</v>
      </c>
      <c r="E83" s="155">
        <v>44743</v>
      </c>
      <c r="F83" s="154">
        <v>1144.8</v>
      </c>
      <c r="G83" s="156">
        <f>Tabla18[[#This Row],[Importe]]-Tabla18[[#This Row],[Pagado]]</f>
        <v>0</v>
      </c>
      <c r="H83" s="153" t="s">
        <v>10</v>
      </c>
    </row>
    <row r="84" spans="1:8" x14ac:dyDescent="0.25">
      <c r="A84" s="73">
        <v>44743</v>
      </c>
      <c r="B84" s="74" t="s">
        <v>21352</v>
      </c>
      <c r="C84" s="75" t="s">
        <v>654</v>
      </c>
      <c r="D84" s="81">
        <v>11171</v>
      </c>
      <c r="E84" s="151">
        <v>44744</v>
      </c>
      <c r="F84" s="81">
        <v>11171</v>
      </c>
      <c r="G84" s="156">
        <f>Tabla18[[#This Row],[Importe]]-Tabla18[[#This Row],[Pagado]]</f>
        <v>0</v>
      </c>
      <c r="H84" s="75" t="s">
        <v>10</v>
      </c>
    </row>
    <row r="85" spans="1:8" x14ac:dyDescent="0.25">
      <c r="A85" s="148">
        <v>44743</v>
      </c>
      <c r="B85" s="149" t="s">
        <v>21353</v>
      </c>
      <c r="C85" s="153" t="s">
        <v>31</v>
      </c>
      <c r="D85" s="154">
        <v>1773</v>
      </c>
      <c r="E85" s="155">
        <v>44743</v>
      </c>
      <c r="F85" s="154">
        <v>1773</v>
      </c>
      <c r="G85" s="156">
        <f>Tabla18[[#This Row],[Importe]]-Tabla18[[#This Row],[Pagado]]</f>
        <v>0</v>
      </c>
      <c r="H85" s="153" t="s">
        <v>10</v>
      </c>
    </row>
    <row r="86" spans="1:8" x14ac:dyDescent="0.25">
      <c r="A86" s="73">
        <v>44743</v>
      </c>
      <c r="B86" s="74" t="s">
        <v>21354</v>
      </c>
      <c r="C86" s="75" t="s">
        <v>31</v>
      </c>
      <c r="D86" s="81">
        <v>576</v>
      </c>
      <c r="E86" s="151">
        <v>44743</v>
      </c>
      <c r="F86" s="81">
        <v>576</v>
      </c>
      <c r="G86" s="156">
        <f>Tabla18[[#This Row],[Importe]]-Tabla18[[#This Row],[Pagado]]</f>
        <v>0</v>
      </c>
      <c r="H86" s="75" t="s">
        <v>10</v>
      </c>
    </row>
    <row r="87" spans="1:8" x14ac:dyDescent="0.25">
      <c r="A87" s="148">
        <v>44743</v>
      </c>
      <c r="B87" s="149" t="s">
        <v>21355</v>
      </c>
      <c r="C87" s="153" t="s">
        <v>246</v>
      </c>
      <c r="D87" s="154">
        <v>4985.6000000000004</v>
      </c>
      <c r="E87" s="155">
        <v>44743</v>
      </c>
      <c r="F87" s="154">
        <v>4985.6000000000004</v>
      </c>
      <c r="G87" s="156">
        <f>Tabla18[[#This Row],[Importe]]-Tabla18[[#This Row],[Pagado]]</f>
        <v>0</v>
      </c>
      <c r="H87" s="153" t="s">
        <v>10</v>
      </c>
    </row>
    <row r="88" spans="1:8" x14ac:dyDescent="0.25">
      <c r="A88" s="73">
        <v>44743</v>
      </c>
      <c r="B88" s="74" t="s">
        <v>21356</v>
      </c>
      <c r="C88" s="75" t="s">
        <v>31</v>
      </c>
      <c r="D88" s="81">
        <v>621</v>
      </c>
      <c r="E88" s="151">
        <v>44743</v>
      </c>
      <c r="F88" s="81">
        <v>621</v>
      </c>
      <c r="G88" s="156">
        <f>Tabla18[[#This Row],[Importe]]-Tabla18[[#This Row],[Pagado]]</f>
        <v>0</v>
      </c>
      <c r="H88" s="75" t="s">
        <v>10</v>
      </c>
    </row>
    <row r="89" spans="1:8" x14ac:dyDescent="0.25">
      <c r="A89" s="148">
        <v>44743</v>
      </c>
      <c r="B89" s="149" t="s">
        <v>21357</v>
      </c>
      <c r="C89" s="153" t="s">
        <v>67</v>
      </c>
      <c r="D89" s="154">
        <v>13031</v>
      </c>
      <c r="E89" s="155">
        <v>44743</v>
      </c>
      <c r="F89" s="154">
        <v>13031</v>
      </c>
      <c r="G89" s="156">
        <f>Tabla18[[#This Row],[Importe]]-Tabla18[[#This Row],[Pagado]]</f>
        <v>0</v>
      </c>
      <c r="H89" s="153" t="s">
        <v>10</v>
      </c>
    </row>
    <row r="90" spans="1:8" x14ac:dyDescent="0.25">
      <c r="A90" s="73">
        <v>44743</v>
      </c>
      <c r="B90" s="74" t="s">
        <v>21358</v>
      </c>
      <c r="C90" s="75" t="s">
        <v>4136</v>
      </c>
      <c r="D90" s="81">
        <v>1415.1</v>
      </c>
      <c r="E90" s="151">
        <v>44743</v>
      </c>
      <c r="F90" s="81">
        <v>1415.1</v>
      </c>
      <c r="G90" s="156">
        <f>Tabla18[[#This Row],[Importe]]-Tabla18[[#This Row],[Pagado]]</f>
        <v>0</v>
      </c>
      <c r="H90" s="75" t="s">
        <v>10</v>
      </c>
    </row>
    <row r="91" spans="1:8" x14ac:dyDescent="0.25">
      <c r="A91" s="148">
        <v>44743</v>
      </c>
      <c r="B91" s="149" t="s">
        <v>21359</v>
      </c>
      <c r="C91" s="153" t="s">
        <v>6112</v>
      </c>
      <c r="D91" s="154">
        <v>6436.8</v>
      </c>
      <c r="E91" s="155">
        <v>44743</v>
      </c>
      <c r="F91" s="154">
        <v>6436.8</v>
      </c>
      <c r="G91" s="156">
        <f>Tabla18[[#This Row],[Importe]]-Tabla18[[#This Row],[Pagado]]</f>
        <v>0</v>
      </c>
      <c r="H91" s="153" t="s">
        <v>10</v>
      </c>
    </row>
    <row r="92" spans="1:8" x14ac:dyDescent="0.25">
      <c r="A92" s="73">
        <v>44743</v>
      </c>
      <c r="B92" s="74" t="s">
        <v>21360</v>
      </c>
      <c r="C92" s="75" t="s">
        <v>849</v>
      </c>
      <c r="D92" s="81">
        <v>5376</v>
      </c>
      <c r="E92" s="151">
        <v>44743</v>
      </c>
      <c r="F92" s="81">
        <v>5376</v>
      </c>
      <c r="G92" s="156">
        <f>Tabla18[[#This Row],[Importe]]-Tabla18[[#This Row],[Pagado]]</f>
        <v>0</v>
      </c>
      <c r="H92" s="75" t="s">
        <v>10</v>
      </c>
    </row>
    <row r="93" spans="1:8" x14ac:dyDescent="0.25">
      <c r="A93" s="148">
        <v>44743</v>
      </c>
      <c r="B93" s="149" t="s">
        <v>21361</v>
      </c>
      <c r="C93" s="153" t="s">
        <v>31</v>
      </c>
      <c r="D93" s="154">
        <v>1388</v>
      </c>
      <c r="E93" s="155">
        <v>44743</v>
      </c>
      <c r="F93" s="154">
        <v>1388</v>
      </c>
      <c r="G93" s="156">
        <f>Tabla18[[#This Row],[Importe]]-Tabla18[[#This Row],[Pagado]]</f>
        <v>0</v>
      </c>
      <c r="H93" s="153" t="s">
        <v>10</v>
      </c>
    </row>
    <row r="94" spans="1:8" x14ac:dyDescent="0.25">
      <c r="A94" s="73">
        <v>44743</v>
      </c>
      <c r="B94" s="74" t="s">
        <v>21362</v>
      </c>
      <c r="C94" s="75" t="s">
        <v>31</v>
      </c>
      <c r="D94" s="81">
        <v>214.4</v>
      </c>
      <c r="E94" s="151">
        <v>44743</v>
      </c>
      <c r="F94" s="81">
        <v>214.4</v>
      </c>
      <c r="G94" s="156">
        <f>Tabla18[[#This Row],[Importe]]-Tabla18[[#This Row],[Pagado]]</f>
        <v>0</v>
      </c>
      <c r="H94" s="75" t="s">
        <v>10</v>
      </c>
    </row>
    <row r="95" spans="1:8" x14ac:dyDescent="0.25">
      <c r="A95" s="148">
        <v>44743</v>
      </c>
      <c r="B95" s="149" t="s">
        <v>21363</v>
      </c>
      <c r="C95" s="153" t="s">
        <v>698</v>
      </c>
      <c r="D95" s="154">
        <v>5827.5</v>
      </c>
      <c r="E95" s="155">
        <v>44743</v>
      </c>
      <c r="F95" s="154">
        <v>5827.5</v>
      </c>
      <c r="G95" s="156">
        <f>Tabla18[[#This Row],[Importe]]-Tabla18[[#This Row],[Pagado]]</f>
        <v>0</v>
      </c>
      <c r="H95" s="153" t="s">
        <v>10</v>
      </c>
    </row>
    <row r="96" spans="1:8" x14ac:dyDescent="0.25">
      <c r="A96" s="73">
        <v>44743</v>
      </c>
      <c r="B96" s="74" t="s">
        <v>21364</v>
      </c>
      <c r="C96" s="75" t="s">
        <v>698</v>
      </c>
      <c r="D96" s="81">
        <v>1051.2</v>
      </c>
      <c r="E96" s="151">
        <v>44743</v>
      </c>
      <c r="F96" s="81">
        <v>1051.2</v>
      </c>
      <c r="G96" s="156">
        <f>Tabla18[[#This Row],[Importe]]-Tabla18[[#This Row],[Pagado]]</f>
        <v>0</v>
      </c>
      <c r="H96" s="75" t="s">
        <v>10</v>
      </c>
    </row>
    <row r="97" spans="1:8" x14ac:dyDescent="0.25">
      <c r="A97" s="148">
        <v>44743</v>
      </c>
      <c r="B97" s="149" t="s">
        <v>21365</v>
      </c>
      <c r="C97" s="153" t="s">
        <v>414</v>
      </c>
      <c r="D97" s="154">
        <v>21542.400000000001</v>
      </c>
      <c r="E97" s="155">
        <v>44743</v>
      </c>
      <c r="F97" s="154">
        <v>21542.400000000001</v>
      </c>
      <c r="G97" s="156">
        <f>Tabla18[[#This Row],[Importe]]-Tabla18[[#This Row],[Pagado]]</f>
        <v>0</v>
      </c>
      <c r="H97" s="153" t="s">
        <v>10</v>
      </c>
    </row>
    <row r="98" spans="1:8" x14ac:dyDescent="0.25">
      <c r="A98" s="73">
        <v>44743</v>
      </c>
      <c r="B98" s="74" t="s">
        <v>21366</v>
      </c>
      <c r="C98" s="75" t="s">
        <v>845</v>
      </c>
      <c r="D98" s="81">
        <v>1789.9</v>
      </c>
      <c r="E98" s="151">
        <v>44743</v>
      </c>
      <c r="F98" s="81">
        <v>1789.9</v>
      </c>
      <c r="G98" s="156">
        <f>Tabla18[[#This Row],[Importe]]-Tabla18[[#This Row],[Pagado]]</f>
        <v>0</v>
      </c>
      <c r="H98" s="75" t="s">
        <v>10</v>
      </c>
    </row>
    <row r="99" spans="1:8" x14ac:dyDescent="0.25">
      <c r="A99" s="148">
        <v>44743</v>
      </c>
      <c r="B99" s="149" t="s">
        <v>21367</v>
      </c>
      <c r="C99" s="153" t="s">
        <v>450</v>
      </c>
      <c r="D99" s="154">
        <v>2091.9</v>
      </c>
      <c r="E99" s="155">
        <v>44743</v>
      </c>
      <c r="F99" s="154">
        <v>2091.9</v>
      </c>
      <c r="G99" s="156">
        <f>Tabla18[[#This Row],[Importe]]-Tabla18[[#This Row],[Pagado]]</f>
        <v>0</v>
      </c>
      <c r="H99" s="153" t="s">
        <v>10</v>
      </c>
    </row>
    <row r="100" spans="1:8" x14ac:dyDescent="0.25">
      <c r="A100" s="73">
        <v>44743</v>
      </c>
      <c r="B100" s="74" t="s">
        <v>21368</v>
      </c>
      <c r="C100" s="75" t="s">
        <v>9</v>
      </c>
      <c r="D100" s="81">
        <v>4224</v>
      </c>
      <c r="E100" s="151">
        <v>44743</v>
      </c>
      <c r="F100" s="81">
        <v>4224</v>
      </c>
      <c r="G100" s="156">
        <f>Tabla18[[#This Row],[Importe]]-Tabla18[[#This Row],[Pagado]]</f>
        <v>0</v>
      </c>
      <c r="H100" s="75" t="s">
        <v>10</v>
      </c>
    </row>
    <row r="101" spans="1:8" x14ac:dyDescent="0.25">
      <c r="A101" s="148">
        <v>44743</v>
      </c>
      <c r="B101" s="149" t="s">
        <v>21369</v>
      </c>
      <c r="C101" s="153" t="s">
        <v>31</v>
      </c>
      <c r="D101" s="154">
        <v>568.79999999999995</v>
      </c>
      <c r="E101" s="155">
        <v>44743</v>
      </c>
      <c r="F101" s="154">
        <v>568.79999999999995</v>
      </c>
      <c r="G101" s="156">
        <f>Tabla18[[#This Row],[Importe]]-Tabla18[[#This Row],[Pagado]]</f>
        <v>0</v>
      </c>
      <c r="H101" s="153" t="s">
        <v>10</v>
      </c>
    </row>
    <row r="102" spans="1:8" x14ac:dyDescent="0.25">
      <c r="A102" s="73">
        <v>44743</v>
      </c>
      <c r="B102" s="74" t="s">
        <v>21370</v>
      </c>
      <c r="C102" s="75" t="s">
        <v>3747</v>
      </c>
      <c r="D102" s="81">
        <v>6076</v>
      </c>
      <c r="E102" s="151">
        <v>44743</v>
      </c>
      <c r="F102" s="81">
        <v>6076</v>
      </c>
      <c r="G102" s="156">
        <f>Tabla18[[#This Row],[Importe]]-Tabla18[[#This Row],[Pagado]]</f>
        <v>0</v>
      </c>
      <c r="H102" s="75" t="s">
        <v>10</v>
      </c>
    </row>
    <row r="103" spans="1:8" x14ac:dyDescent="0.25">
      <c r="A103" s="148">
        <v>44743</v>
      </c>
      <c r="B103" s="149" t="s">
        <v>21371</v>
      </c>
      <c r="C103" s="153" t="s">
        <v>31</v>
      </c>
      <c r="D103" s="154">
        <v>6300</v>
      </c>
      <c r="E103" s="155">
        <v>44743</v>
      </c>
      <c r="F103" s="154">
        <v>6300</v>
      </c>
      <c r="G103" s="156">
        <f>Tabla18[[#This Row],[Importe]]-Tabla18[[#This Row],[Pagado]]</f>
        <v>0</v>
      </c>
      <c r="H103" s="153" t="s">
        <v>10</v>
      </c>
    </row>
    <row r="104" spans="1:8" x14ac:dyDescent="0.25">
      <c r="A104" s="73">
        <v>44743</v>
      </c>
      <c r="B104" s="74" t="s">
        <v>21372</v>
      </c>
      <c r="C104" s="75" t="s">
        <v>22</v>
      </c>
      <c r="D104" s="81">
        <v>5555.2</v>
      </c>
      <c r="E104" s="151">
        <v>44744</v>
      </c>
      <c r="F104" s="81">
        <v>5555.2</v>
      </c>
      <c r="G104" s="156">
        <f>Tabla18[[#This Row],[Importe]]-Tabla18[[#This Row],[Pagado]]</f>
        <v>0</v>
      </c>
      <c r="H104" s="75" t="s">
        <v>10</v>
      </c>
    </row>
    <row r="105" spans="1:8" x14ac:dyDescent="0.25">
      <c r="A105" s="148">
        <v>44743</v>
      </c>
      <c r="B105" s="149" t="s">
        <v>21373</v>
      </c>
      <c r="C105" s="153" t="s">
        <v>426</v>
      </c>
      <c r="D105" s="154">
        <v>8149.6</v>
      </c>
      <c r="E105" s="155">
        <v>44744</v>
      </c>
      <c r="F105" s="154">
        <v>8149.6</v>
      </c>
      <c r="G105" s="156">
        <f>Tabla18[[#This Row],[Importe]]-Tabla18[[#This Row],[Pagado]]</f>
        <v>0</v>
      </c>
      <c r="H105" s="153" t="s">
        <v>10</v>
      </c>
    </row>
    <row r="106" spans="1:8" x14ac:dyDescent="0.25">
      <c r="A106" s="73">
        <v>44743</v>
      </c>
      <c r="B106" s="74" t="s">
        <v>21374</v>
      </c>
      <c r="C106" s="75" t="s">
        <v>21375</v>
      </c>
      <c r="D106" s="81">
        <v>0</v>
      </c>
      <c r="E106" s="157" t="s">
        <v>189</v>
      </c>
      <c r="F106" s="81">
        <v>0</v>
      </c>
      <c r="G106" s="156">
        <f>Tabla18[[#This Row],[Importe]]-Tabla18[[#This Row],[Pagado]]</f>
        <v>0</v>
      </c>
      <c r="H106" s="75" t="s">
        <v>189</v>
      </c>
    </row>
    <row r="107" spans="1:8" x14ac:dyDescent="0.25">
      <c r="A107" s="148">
        <v>44743</v>
      </c>
      <c r="B107" s="149" t="s">
        <v>21376</v>
      </c>
      <c r="C107" s="153" t="s">
        <v>200</v>
      </c>
      <c r="D107" s="154">
        <v>2232</v>
      </c>
      <c r="E107" s="155">
        <v>44744</v>
      </c>
      <c r="F107" s="154">
        <v>2232</v>
      </c>
      <c r="G107" s="156">
        <f>Tabla18[[#This Row],[Importe]]-Tabla18[[#This Row],[Pagado]]</f>
        <v>0</v>
      </c>
      <c r="H107" s="153" t="s">
        <v>10</v>
      </c>
    </row>
    <row r="108" spans="1:8" x14ac:dyDescent="0.25">
      <c r="A108" s="73">
        <v>44743</v>
      </c>
      <c r="B108" s="74" t="s">
        <v>21377</v>
      </c>
      <c r="C108" s="75" t="s">
        <v>275</v>
      </c>
      <c r="D108" s="81">
        <v>92938.1</v>
      </c>
      <c r="E108" s="151">
        <v>44757</v>
      </c>
      <c r="F108" s="81">
        <v>92938.1</v>
      </c>
      <c r="G108" s="156">
        <f>Tabla18[[#This Row],[Importe]]-Tabla18[[#This Row],[Pagado]]</f>
        <v>0</v>
      </c>
      <c r="H108" s="75" t="s">
        <v>10</v>
      </c>
    </row>
    <row r="109" spans="1:8" x14ac:dyDescent="0.25">
      <c r="A109" s="148">
        <v>44743</v>
      </c>
      <c r="B109" s="149" t="s">
        <v>21378</v>
      </c>
      <c r="C109" s="153" t="s">
        <v>484</v>
      </c>
      <c r="D109" s="154">
        <v>7593.3</v>
      </c>
      <c r="E109" s="155">
        <v>44743</v>
      </c>
      <c r="F109" s="154">
        <v>7593.3</v>
      </c>
      <c r="G109" s="156">
        <f>Tabla18[[#This Row],[Importe]]-Tabla18[[#This Row],[Pagado]]</f>
        <v>0</v>
      </c>
      <c r="H109" s="153" t="s">
        <v>10</v>
      </c>
    </row>
    <row r="110" spans="1:8" x14ac:dyDescent="0.25">
      <c r="A110" s="73">
        <v>44743</v>
      </c>
      <c r="B110" s="74" t="s">
        <v>21379</v>
      </c>
      <c r="C110" s="75" t="s">
        <v>273</v>
      </c>
      <c r="D110" s="81">
        <v>2480</v>
      </c>
      <c r="E110" s="151">
        <v>44744</v>
      </c>
      <c r="F110" s="81">
        <v>2480</v>
      </c>
      <c r="G110" s="156">
        <f>Tabla18[[#This Row],[Importe]]-Tabla18[[#This Row],[Pagado]]</f>
        <v>0</v>
      </c>
      <c r="H110" s="75" t="s">
        <v>10</v>
      </c>
    </row>
    <row r="111" spans="1:8" x14ac:dyDescent="0.25">
      <c r="A111" s="148">
        <v>44743</v>
      </c>
      <c r="B111" s="149" t="s">
        <v>21380</v>
      </c>
      <c r="C111" s="153" t="s">
        <v>31</v>
      </c>
      <c r="D111" s="154">
        <v>320</v>
      </c>
      <c r="E111" s="155">
        <v>44743</v>
      </c>
      <c r="F111" s="154">
        <v>320</v>
      </c>
      <c r="G111" s="156">
        <f>Tabla18[[#This Row],[Importe]]-Tabla18[[#This Row],[Pagado]]</f>
        <v>0</v>
      </c>
      <c r="H111" s="153" t="s">
        <v>10</v>
      </c>
    </row>
    <row r="112" spans="1:8" x14ac:dyDescent="0.25">
      <c r="A112" s="73">
        <v>44743</v>
      </c>
      <c r="B112" s="74" t="s">
        <v>21381</v>
      </c>
      <c r="C112" s="75" t="s">
        <v>450</v>
      </c>
      <c r="D112" s="81">
        <v>1820.4</v>
      </c>
      <c r="E112" s="151">
        <v>44743</v>
      </c>
      <c r="F112" s="81">
        <v>1820.4</v>
      </c>
      <c r="G112" s="156">
        <f>Tabla18[[#This Row],[Importe]]-Tabla18[[#This Row],[Pagado]]</f>
        <v>0</v>
      </c>
      <c r="H112" s="75" t="s">
        <v>10</v>
      </c>
    </row>
    <row r="113" spans="1:8" x14ac:dyDescent="0.25">
      <c r="A113" s="148">
        <v>44743</v>
      </c>
      <c r="B113" s="149" t="s">
        <v>21382</v>
      </c>
      <c r="C113" s="153" t="s">
        <v>10678</v>
      </c>
      <c r="D113" s="154">
        <v>2962.4</v>
      </c>
      <c r="E113" s="155">
        <v>44743</v>
      </c>
      <c r="F113" s="154">
        <v>2962.4</v>
      </c>
      <c r="G113" s="156">
        <f>Tabla18[[#This Row],[Importe]]-Tabla18[[#This Row],[Pagado]]</f>
        <v>0</v>
      </c>
      <c r="H113" s="153" t="s">
        <v>10</v>
      </c>
    </row>
    <row r="114" spans="1:8" x14ac:dyDescent="0.25">
      <c r="A114" s="73">
        <v>44743</v>
      </c>
      <c r="B114" s="74" t="s">
        <v>21383</v>
      </c>
      <c r="C114" s="75" t="s">
        <v>555</v>
      </c>
      <c r="D114" s="81">
        <v>31200</v>
      </c>
      <c r="E114" s="151">
        <v>44744</v>
      </c>
      <c r="F114" s="81">
        <v>31200</v>
      </c>
      <c r="G114" s="156">
        <f>Tabla18[[#This Row],[Importe]]-Tabla18[[#This Row],[Pagado]]</f>
        <v>0</v>
      </c>
      <c r="H114" s="75" t="s">
        <v>10</v>
      </c>
    </row>
    <row r="115" spans="1:8" x14ac:dyDescent="0.25">
      <c r="A115" s="148">
        <v>44743</v>
      </c>
      <c r="B115" s="149" t="s">
        <v>21384</v>
      </c>
      <c r="C115" s="153" t="s">
        <v>14</v>
      </c>
      <c r="D115" s="154">
        <v>14167.2</v>
      </c>
      <c r="E115" s="155">
        <v>44743</v>
      </c>
      <c r="F115" s="154">
        <v>14167.2</v>
      </c>
      <c r="G115" s="156">
        <f>Tabla18[[#This Row],[Importe]]-Tabla18[[#This Row],[Pagado]]</f>
        <v>0</v>
      </c>
      <c r="H115" s="153" t="s">
        <v>10</v>
      </c>
    </row>
    <row r="116" spans="1:8" x14ac:dyDescent="0.25">
      <c r="A116" s="73">
        <v>44743</v>
      </c>
      <c r="B116" s="74" t="s">
        <v>21385</v>
      </c>
      <c r="C116" s="75" t="s">
        <v>359</v>
      </c>
      <c r="D116" s="81">
        <v>1297.2</v>
      </c>
      <c r="E116" s="151">
        <v>44744</v>
      </c>
      <c r="F116" s="81">
        <v>1297.2</v>
      </c>
      <c r="G116" s="156">
        <f>Tabla18[[#This Row],[Importe]]-Tabla18[[#This Row],[Pagado]]</f>
        <v>0</v>
      </c>
      <c r="H116" s="75" t="s">
        <v>10</v>
      </c>
    </row>
    <row r="117" spans="1:8" x14ac:dyDescent="0.25">
      <c r="A117" s="148">
        <v>44743</v>
      </c>
      <c r="B117" s="149" t="s">
        <v>21386</v>
      </c>
      <c r="C117" s="153" t="s">
        <v>53</v>
      </c>
      <c r="D117" s="154">
        <v>1113.0999999999999</v>
      </c>
      <c r="E117" s="155">
        <v>44743</v>
      </c>
      <c r="F117" s="154">
        <v>1113.0999999999999</v>
      </c>
      <c r="G117" s="156">
        <f>Tabla18[[#This Row],[Importe]]-Tabla18[[#This Row],[Pagado]]</f>
        <v>0</v>
      </c>
      <c r="H117" s="153" t="s">
        <v>10</v>
      </c>
    </row>
    <row r="118" spans="1:8" x14ac:dyDescent="0.25">
      <c r="A118" s="73">
        <v>44743</v>
      </c>
      <c r="B118" s="74" t="s">
        <v>21387</v>
      </c>
      <c r="C118" s="75" t="s">
        <v>454</v>
      </c>
      <c r="D118" s="81">
        <v>4400</v>
      </c>
      <c r="E118" s="151">
        <v>44743</v>
      </c>
      <c r="F118" s="81">
        <v>4400</v>
      </c>
      <c r="G118" s="156">
        <f>Tabla18[[#This Row],[Importe]]-Tabla18[[#This Row],[Pagado]]</f>
        <v>0</v>
      </c>
      <c r="H118" s="75" t="s">
        <v>10</v>
      </c>
    </row>
    <row r="119" spans="1:8" x14ac:dyDescent="0.25">
      <c r="A119" s="148">
        <v>44743</v>
      </c>
      <c r="B119" s="149" t="s">
        <v>21388</v>
      </c>
      <c r="C119" s="153" t="s">
        <v>857</v>
      </c>
      <c r="D119" s="154">
        <v>1340.6</v>
      </c>
      <c r="E119" s="155">
        <v>44743</v>
      </c>
      <c r="F119" s="154">
        <v>1340.6</v>
      </c>
      <c r="G119" s="156">
        <f>Tabla18[[#This Row],[Importe]]-Tabla18[[#This Row],[Pagado]]</f>
        <v>0</v>
      </c>
      <c r="H119" s="153" t="s">
        <v>10</v>
      </c>
    </row>
    <row r="120" spans="1:8" x14ac:dyDescent="0.25">
      <c r="A120" s="73">
        <v>44743</v>
      </c>
      <c r="B120" s="74" t="s">
        <v>21389</v>
      </c>
      <c r="C120" s="75" t="s">
        <v>16</v>
      </c>
      <c r="D120" s="81">
        <v>752.4</v>
      </c>
      <c r="E120" s="151">
        <v>44743</v>
      </c>
      <c r="F120" s="81">
        <v>752.4</v>
      </c>
      <c r="G120" s="156">
        <f>Tabla18[[#This Row],[Importe]]-Tabla18[[#This Row],[Pagado]]</f>
        <v>0</v>
      </c>
      <c r="H120" s="75" t="s">
        <v>10</v>
      </c>
    </row>
    <row r="121" spans="1:8" x14ac:dyDescent="0.25">
      <c r="A121" s="148">
        <v>44743</v>
      </c>
      <c r="B121" s="149" t="s">
        <v>21390</v>
      </c>
      <c r="C121" s="153" t="s">
        <v>69</v>
      </c>
      <c r="D121" s="154">
        <v>1864.8</v>
      </c>
      <c r="E121" s="155">
        <v>44743</v>
      </c>
      <c r="F121" s="154">
        <v>1864.8</v>
      </c>
      <c r="G121" s="156">
        <f>Tabla18[[#This Row],[Importe]]-Tabla18[[#This Row],[Pagado]]</f>
        <v>0</v>
      </c>
      <c r="H121" s="153" t="s">
        <v>10</v>
      </c>
    </row>
    <row r="122" spans="1:8" x14ac:dyDescent="0.25">
      <c r="A122" s="73">
        <v>44743</v>
      </c>
      <c r="B122" s="74" t="s">
        <v>21391</v>
      </c>
      <c r="C122" s="75" t="s">
        <v>56</v>
      </c>
      <c r="D122" s="81">
        <v>1934.2</v>
      </c>
      <c r="E122" s="151">
        <v>44743</v>
      </c>
      <c r="F122" s="81">
        <v>1934.2</v>
      </c>
      <c r="G122" s="156">
        <f>Tabla18[[#This Row],[Importe]]-Tabla18[[#This Row],[Pagado]]</f>
        <v>0</v>
      </c>
      <c r="H122" s="75" t="s">
        <v>10</v>
      </c>
    </row>
    <row r="123" spans="1:8" x14ac:dyDescent="0.25">
      <c r="A123" s="148">
        <v>44743</v>
      </c>
      <c r="B123" s="149" t="s">
        <v>21392</v>
      </c>
      <c r="C123" s="153" t="s">
        <v>296</v>
      </c>
      <c r="D123" s="154">
        <v>1176.5999999999999</v>
      </c>
      <c r="E123" s="155">
        <v>44743</v>
      </c>
      <c r="F123" s="154">
        <v>1176.5999999999999</v>
      </c>
      <c r="G123" s="156">
        <f>Tabla18[[#This Row],[Importe]]-Tabla18[[#This Row],[Pagado]]</f>
        <v>0</v>
      </c>
      <c r="H123" s="153" t="s">
        <v>10</v>
      </c>
    </row>
    <row r="124" spans="1:8" x14ac:dyDescent="0.25">
      <c r="A124" s="73">
        <v>44743</v>
      </c>
      <c r="B124" s="74" t="s">
        <v>21393</v>
      </c>
      <c r="C124" s="75" t="s">
        <v>365</v>
      </c>
      <c r="D124" s="81">
        <v>1554</v>
      </c>
      <c r="E124" s="151">
        <v>44743</v>
      </c>
      <c r="F124" s="81">
        <v>1554</v>
      </c>
      <c r="G124" s="156">
        <f>Tabla18[[#This Row],[Importe]]-Tabla18[[#This Row],[Pagado]]</f>
        <v>0</v>
      </c>
      <c r="H124" s="75" t="s">
        <v>10</v>
      </c>
    </row>
    <row r="125" spans="1:8" x14ac:dyDescent="0.25">
      <c r="A125" s="148">
        <v>44743</v>
      </c>
      <c r="B125" s="149" t="s">
        <v>21394</v>
      </c>
      <c r="C125" s="153" t="s">
        <v>31</v>
      </c>
      <c r="D125" s="154">
        <v>393.6</v>
      </c>
      <c r="E125" s="155">
        <v>44743</v>
      </c>
      <c r="F125" s="154">
        <v>393.6</v>
      </c>
      <c r="G125" s="156">
        <f>Tabla18[[#This Row],[Importe]]-Tabla18[[#This Row],[Pagado]]</f>
        <v>0</v>
      </c>
      <c r="H125" s="153" t="s">
        <v>10</v>
      </c>
    </row>
    <row r="126" spans="1:8" x14ac:dyDescent="0.25">
      <c r="A126" s="73">
        <v>44743</v>
      </c>
      <c r="B126" s="74" t="s">
        <v>21395</v>
      </c>
      <c r="C126" s="75" t="s">
        <v>89</v>
      </c>
      <c r="D126" s="81">
        <v>45</v>
      </c>
      <c r="E126" s="151">
        <v>44743</v>
      </c>
      <c r="F126" s="81">
        <v>45</v>
      </c>
      <c r="G126" s="156">
        <f>Tabla18[[#This Row],[Importe]]-Tabla18[[#This Row],[Pagado]]</f>
        <v>0</v>
      </c>
      <c r="H126" s="75" t="s">
        <v>10</v>
      </c>
    </row>
    <row r="127" spans="1:8" x14ac:dyDescent="0.25">
      <c r="A127" s="148">
        <v>44743</v>
      </c>
      <c r="B127" s="149" t="s">
        <v>21396</v>
      </c>
      <c r="C127" s="153" t="s">
        <v>10819</v>
      </c>
      <c r="D127" s="154">
        <v>720</v>
      </c>
      <c r="E127" s="155">
        <v>44744</v>
      </c>
      <c r="F127" s="154">
        <v>720</v>
      </c>
      <c r="G127" s="156">
        <f>Tabla18[[#This Row],[Importe]]-Tabla18[[#This Row],[Pagado]]</f>
        <v>0</v>
      </c>
      <c r="H127" s="153" t="s">
        <v>10</v>
      </c>
    </row>
    <row r="128" spans="1:8" x14ac:dyDescent="0.25">
      <c r="A128" s="73">
        <v>44743</v>
      </c>
      <c r="B128" s="74" t="s">
        <v>21397</v>
      </c>
      <c r="C128" s="75" t="s">
        <v>280</v>
      </c>
      <c r="D128" s="81">
        <v>1180.8</v>
      </c>
      <c r="E128" s="151">
        <v>44744</v>
      </c>
      <c r="F128" s="81">
        <v>1180.8</v>
      </c>
      <c r="G128" s="156">
        <f>Tabla18[[#This Row],[Importe]]-Tabla18[[#This Row],[Pagado]]</f>
        <v>0</v>
      </c>
      <c r="H128" s="75" t="s">
        <v>10</v>
      </c>
    </row>
    <row r="129" spans="1:8" x14ac:dyDescent="0.25">
      <c r="A129" s="148">
        <v>44743</v>
      </c>
      <c r="B129" s="149" t="s">
        <v>21398</v>
      </c>
      <c r="C129" s="153" t="s">
        <v>5345</v>
      </c>
      <c r="D129" s="154">
        <v>1260</v>
      </c>
      <c r="E129" s="155">
        <v>44744</v>
      </c>
      <c r="F129" s="154">
        <v>1260</v>
      </c>
      <c r="G129" s="156">
        <f>Tabla18[[#This Row],[Importe]]-Tabla18[[#This Row],[Pagado]]</f>
        <v>0</v>
      </c>
      <c r="H129" s="153" t="s">
        <v>10</v>
      </c>
    </row>
    <row r="130" spans="1:8" x14ac:dyDescent="0.25">
      <c r="A130" s="73">
        <v>44743</v>
      </c>
      <c r="B130" s="74" t="s">
        <v>21399</v>
      </c>
      <c r="C130" s="75" t="s">
        <v>31</v>
      </c>
      <c r="D130" s="81">
        <v>57.2</v>
      </c>
      <c r="E130" s="151">
        <v>44744</v>
      </c>
      <c r="F130" s="81">
        <v>57.2</v>
      </c>
      <c r="G130" s="156">
        <f>Tabla18[[#This Row],[Importe]]-Tabla18[[#This Row],[Pagado]]</f>
        <v>0</v>
      </c>
      <c r="H130" s="75" t="s">
        <v>10</v>
      </c>
    </row>
    <row r="131" spans="1:8" x14ac:dyDescent="0.25">
      <c r="A131" s="148">
        <v>44743</v>
      </c>
      <c r="B131" s="149" t="s">
        <v>21400</v>
      </c>
      <c r="C131" s="153" t="s">
        <v>11383</v>
      </c>
      <c r="D131" s="154">
        <v>26009</v>
      </c>
      <c r="E131" s="155">
        <v>44744</v>
      </c>
      <c r="F131" s="154">
        <v>26009</v>
      </c>
      <c r="G131" s="156">
        <f>Tabla18[[#This Row],[Importe]]-Tabla18[[#This Row],[Pagado]]</f>
        <v>0</v>
      </c>
      <c r="H131" s="153" t="s">
        <v>10</v>
      </c>
    </row>
    <row r="132" spans="1:8" x14ac:dyDescent="0.25">
      <c r="A132" s="73">
        <v>44743</v>
      </c>
      <c r="B132" s="74" t="s">
        <v>21401</v>
      </c>
      <c r="C132" s="75" t="s">
        <v>282</v>
      </c>
      <c r="D132" s="81">
        <v>5976</v>
      </c>
      <c r="E132" s="151">
        <v>44744</v>
      </c>
      <c r="F132" s="81">
        <v>5976</v>
      </c>
      <c r="G132" s="156">
        <f>Tabla18[[#This Row],[Importe]]-Tabla18[[#This Row],[Pagado]]</f>
        <v>0</v>
      </c>
      <c r="H132" s="75" t="s">
        <v>10</v>
      </c>
    </row>
    <row r="133" spans="1:8" x14ac:dyDescent="0.25">
      <c r="A133" s="148">
        <v>44743</v>
      </c>
      <c r="B133" s="149" t="s">
        <v>21402</v>
      </c>
      <c r="C133" s="153" t="s">
        <v>284</v>
      </c>
      <c r="D133" s="154">
        <v>9576</v>
      </c>
      <c r="E133" s="155">
        <v>44744</v>
      </c>
      <c r="F133" s="154">
        <v>9576</v>
      </c>
      <c r="G133" s="156">
        <f>Tabla18[[#This Row],[Importe]]-Tabla18[[#This Row],[Pagado]]</f>
        <v>0</v>
      </c>
      <c r="H133" s="153" t="s">
        <v>10</v>
      </c>
    </row>
    <row r="134" spans="1:8" x14ac:dyDescent="0.25">
      <c r="A134" s="73">
        <v>44743</v>
      </c>
      <c r="B134" s="74" t="s">
        <v>21403</v>
      </c>
      <c r="C134" s="75" t="s">
        <v>431</v>
      </c>
      <c r="D134" s="81">
        <v>3585.6</v>
      </c>
      <c r="E134" s="151">
        <v>44744</v>
      </c>
      <c r="F134" s="81">
        <v>3585.6</v>
      </c>
      <c r="G134" s="156">
        <f>Tabla18[[#This Row],[Importe]]-Tabla18[[#This Row],[Pagado]]</f>
        <v>0</v>
      </c>
      <c r="H134" s="75" t="s">
        <v>10</v>
      </c>
    </row>
    <row r="135" spans="1:8" x14ac:dyDescent="0.25">
      <c r="A135" s="148">
        <v>44743</v>
      </c>
      <c r="B135" s="149" t="s">
        <v>21404</v>
      </c>
      <c r="C135" s="153" t="s">
        <v>5345</v>
      </c>
      <c r="D135" s="154">
        <v>1281.5999999999999</v>
      </c>
      <c r="E135" s="155">
        <v>44744</v>
      </c>
      <c r="F135" s="154">
        <v>1281.5999999999999</v>
      </c>
      <c r="G135" s="156">
        <f>Tabla18[[#This Row],[Importe]]-Tabla18[[#This Row],[Pagado]]</f>
        <v>0</v>
      </c>
      <c r="H135" s="153" t="s">
        <v>10</v>
      </c>
    </row>
    <row r="136" spans="1:8" x14ac:dyDescent="0.25">
      <c r="A136" s="73">
        <v>44743</v>
      </c>
      <c r="B136" s="74" t="s">
        <v>21405</v>
      </c>
      <c r="C136" s="75" t="s">
        <v>196</v>
      </c>
      <c r="D136" s="81">
        <v>86830.49</v>
      </c>
      <c r="E136" s="151">
        <v>44750</v>
      </c>
      <c r="F136" s="81">
        <v>86830.49</v>
      </c>
      <c r="G136" s="156">
        <f>Tabla18[[#This Row],[Importe]]-Tabla18[[#This Row],[Pagado]]</f>
        <v>0</v>
      </c>
      <c r="H136" s="75" t="s">
        <v>10</v>
      </c>
    </row>
    <row r="137" spans="1:8" ht="31.5" x14ac:dyDescent="0.25">
      <c r="A137" s="148">
        <v>44744</v>
      </c>
      <c r="B137" s="149" t="s">
        <v>21406</v>
      </c>
      <c r="C137" s="153" t="s">
        <v>475</v>
      </c>
      <c r="D137" s="154">
        <v>45542.400000000001</v>
      </c>
      <c r="E137" s="150" t="s">
        <v>21407</v>
      </c>
      <c r="F137" s="154">
        <f>11000+34542.4</f>
        <v>45542.400000000001</v>
      </c>
      <c r="G137" s="156">
        <f>Tabla18[[#This Row],[Importe]]-Tabla18[[#This Row],[Pagado]]</f>
        <v>0</v>
      </c>
      <c r="H137" s="153" t="s">
        <v>10</v>
      </c>
    </row>
    <row r="138" spans="1:8" x14ac:dyDescent="0.25">
      <c r="A138" s="73">
        <v>44744</v>
      </c>
      <c r="B138" s="74" t="s">
        <v>21408</v>
      </c>
      <c r="C138" s="75" t="s">
        <v>18</v>
      </c>
      <c r="D138" s="81">
        <v>1593.9</v>
      </c>
      <c r="E138" s="151">
        <v>44744</v>
      </c>
      <c r="F138" s="81">
        <v>1593.9</v>
      </c>
      <c r="G138" s="156">
        <f>Tabla18[[#This Row],[Importe]]-Tabla18[[#This Row],[Pagado]]</f>
        <v>0</v>
      </c>
      <c r="H138" s="75" t="s">
        <v>10</v>
      </c>
    </row>
    <row r="139" spans="1:8" x14ac:dyDescent="0.25">
      <c r="A139" s="148">
        <v>44744</v>
      </c>
      <c r="B139" s="149" t="s">
        <v>21409</v>
      </c>
      <c r="C139" s="153" t="s">
        <v>481</v>
      </c>
      <c r="D139" s="154">
        <v>1626.4</v>
      </c>
      <c r="E139" s="155">
        <v>44744</v>
      </c>
      <c r="F139" s="154">
        <v>1626.4</v>
      </c>
      <c r="G139" s="156">
        <f>Tabla18[[#This Row],[Importe]]-Tabla18[[#This Row],[Pagado]]</f>
        <v>0</v>
      </c>
      <c r="H139" s="153" t="s">
        <v>10</v>
      </c>
    </row>
    <row r="140" spans="1:8" x14ac:dyDescent="0.25">
      <c r="A140" s="73">
        <v>44744</v>
      </c>
      <c r="B140" s="74" t="s">
        <v>21410</v>
      </c>
      <c r="C140" s="75" t="s">
        <v>95</v>
      </c>
      <c r="D140" s="81">
        <v>8904</v>
      </c>
      <c r="E140" s="151">
        <v>44744</v>
      </c>
      <c r="F140" s="81">
        <v>8904</v>
      </c>
      <c r="G140" s="156">
        <f>Tabla18[[#This Row],[Importe]]-Tabla18[[#This Row],[Pagado]]</f>
        <v>0</v>
      </c>
      <c r="H140" s="75" t="s">
        <v>10</v>
      </c>
    </row>
    <row r="141" spans="1:8" x14ac:dyDescent="0.25">
      <c r="A141" s="148">
        <v>44744</v>
      </c>
      <c r="B141" s="149" t="s">
        <v>21411</v>
      </c>
      <c r="C141" s="153" t="s">
        <v>105</v>
      </c>
      <c r="D141" s="154">
        <v>20079.599999999999</v>
      </c>
      <c r="E141" s="155">
        <v>44746</v>
      </c>
      <c r="F141" s="154">
        <v>20079.599999999999</v>
      </c>
      <c r="G141" s="156">
        <f>Tabla18[[#This Row],[Importe]]-Tabla18[[#This Row],[Pagado]]</f>
        <v>0</v>
      </c>
      <c r="H141" s="153" t="s">
        <v>10</v>
      </c>
    </row>
    <row r="142" spans="1:8" x14ac:dyDescent="0.25">
      <c r="A142" s="73">
        <v>44744</v>
      </c>
      <c r="B142" s="74" t="s">
        <v>21412</v>
      </c>
      <c r="C142" s="75" t="s">
        <v>109</v>
      </c>
      <c r="D142" s="81">
        <v>5511.8</v>
      </c>
      <c r="E142" s="151">
        <v>44746</v>
      </c>
      <c r="F142" s="81">
        <v>5511.8</v>
      </c>
      <c r="G142" s="156">
        <f>Tabla18[[#This Row],[Importe]]-Tabla18[[#This Row],[Pagado]]</f>
        <v>0</v>
      </c>
      <c r="H142" s="75" t="s">
        <v>10</v>
      </c>
    </row>
    <row r="143" spans="1:8" x14ac:dyDescent="0.25">
      <c r="A143" s="148">
        <v>44744</v>
      </c>
      <c r="B143" s="149" t="s">
        <v>21413</v>
      </c>
      <c r="C143" s="153" t="s">
        <v>326</v>
      </c>
      <c r="D143" s="154">
        <v>16147.2</v>
      </c>
      <c r="E143" s="155">
        <v>44746</v>
      </c>
      <c r="F143" s="154">
        <v>16147.2</v>
      </c>
      <c r="G143" s="156">
        <f>Tabla18[[#This Row],[Importe]]-Tabla18[[#This Row],[Pagado]]</f>
        <v>0</v>
      </c>
      <c r="H143" s="153" t="s">
        <v>10</v>
      </c>
    </row>
    <row r="144" spans="1:8" x14ac:dyDescent="0.25">
      <c r="A144" s="73">
        <v>44744</v>
      </c>
      <c r="B144" s="74" t="s">
        <v>21414</v>
      </c>
      <c r="C144" s="75" t="s">
        <v>5043</v>
      </c>
      <c r="D144" s="81">
        <v>5516.8</v>
      </c>
      <c r="E144" s="151">
        <v>44746</v>
      </c>
      <c r="F144" s="81">
        <v>5516.8</v>
      </c>
      <c r="G144" s="156">
        <f>Tabla18[[#This Row],[Importe]]-Tabla18[[#This Row],[Pagado]]</f>
        <v>0</v>
      </c>
      <c r="H144" s="75" t="s">
        <v>10</v>
      </c>
    </row>
    <row r="145" spans="1:8" x14ac:dyDescent="0.25">
      <c r="A145" s="148">
        <v>44744</v>
      </c>
      <c r="B145" s="149" t="s">
        <v>21415</v>
      </c>
      <c r="C145" s="153" t="s">
        <v>64</v>
      </c>
      <c r="D145" s="154">
        <v>11756.8</v>
      </c>
      <c r="E145" s="155">
        <v>44746</v>
      </c>
      <c r="F145" s="154">
        <v>11756.8</v>
      </c>
      <c r="G145" s="156">
        <f>Tabla18[[#This Row],[Importe]]-Tabla18[[#This Row],[Pagado]]</f>
        <v>0</v>
      </c>
      <c r="H145" s="153" t="s">
        <v>10</v>
      </c>
    </row>
    <row r="146" spans="1:8" x14ac:dyDescent="0.25">
      <c r="A146" s="73">
        <v>44744</v>
      </c>
      <c r="B146" s="74" t="s">
        <v>21416</v>
      </c>
      <c r="C146" s="75" t="s">
        <v>89</v>
      </c>
      <c r="D146" s="81">
        <v>17281.599999999999</v>
      </c>
      <c r="E146" s="151">
        <v>44746</v>
      </c>
      <c r="F146" s="81">
        <v>17281.599999999999</v>
      </c>
      <c r="G146" s="156">
        <f>Tabla18[[#This Row],[Importe]]-Tabla18[[#This Row],[Pagado]]</f>
        <v>0</v>
      </c>
      <c r="H146" s="75" t="s">
        <v>10</v>
      </c>
    </row>
    <row r="147" spans="1:8" x14ac:dyDescent="0.25">
      <c r="A147" s="148">
        <v>44744</v>
      </c>
      <c r="B147" s="149" t="s">
        <v>21417</v>
      </c>
      <c r="C147" s="153" t="s">
        <v>2563</v>
      </c>
      <c r="D147" s="154">
        <v>5766.4</v>
      </c>
      <c r="E147" s="155">
        <v>44746</v>
      </c>
      <c r="F147" s="154">
        <v>5766.4</v>
      </c>
      <c r="G147" s="156">
        <f>Tabla18[[#This Row],[Importe]]-Tabla18[[#This Row],[Pagado]]</f>
        <v>0</v>
      </c>
      <c r="H147" s="153" t="s">
        <v>10</v>
      </c>
    </row>
    <row r="148" spans="1:8" x14ac:dyDescent="0.25">
      <c r="A148" s="73">
        <v>44744</v>
      </c>
      <c r="B148" s="74" t="s">
        <v>21418</v>
      </c>
      <c r="C148" s="75" t="s">
        <v>10586</v>
      </c>
      <c r="D148" s="81">
        <v>5425</v>
      </c>
      <c r="E148" s="151">
        <v>44746</v>
      </c>
      <c r="F148" s="81">
        <v>5425</v>
      </c>
      <c r="G148" s="156">
        <f>Tabla18[[#This Row],[Importe]]-Tabla18[[#This Row],[Pagado]]</f>
        <v>0</v>
      </c>
      <c r="H148" s="75" t="s">
        <v>10</v>
      </c>
    </row>
    <row r="149" spans="1:8" x14ac:dyDescent="0.25">
      <c r="A149" s="148">
        <v>44744</v>
      </c>
      <c r="B149" s="149" t="s">
        <v>21419</v>
      </c>
      <c r="C149" s="153" t="s">
        <v>10747</v>
      </c>
      <c r="D149" s="154">
        <v>5996.8</v>
      </c>
      <c r="E149" s="155">
        <v>44744</v>
      </c>
      <c r="F149" s="154">
        <v>5996.8</v>
      </c>
      <c r="G149" s="156">
        <f>Tabla18[[#This Row],[Importe]]-Tabla18[[#This Row],[Pagado]]</f>
        <v>0</v>
      </c>
      <c r="H149" s="153" t="s">
        <v>10</v>
      </c>
    </row>
    <row r="150" spans="1:8" ht="31.5" x14ac:dyDescent="0.25">
      <c r="A150" s="73">
        <v>44744</v>
      </c>
      <c r="B150" s="74" t="s">
        <v>21420</v>
      </c>
      <c r="C150" s="75" t="s">
        <v>93</v>
      </c>
      <c r="D150" s="81">
        <v>24227.3</v>
      </c>
      <c r="E150" s="147" t="s">
        <v>21421</v>
      </c>
      <c r="F150" s="81">
        <f>13000+11227.3</f>
        <v>24227.3</v>
      </c>
      <c r="G150" s="156">
        <f>Tabla18[[#This Row],[Importe]]-Tabla18[[#This Row],[Pagado]]</f>
        <v>0</v>
      </c>
      <c r="H150" s="75" t="s">
        <v>10</v>
      </c>
    </row>
    <row r="151" spans="1:8" x14ac:dyDescent="0.25">
      <c r="A151" s="148">
        <v>44744</v>
      </c>
      <c r="B151" s="149" t="s">
        <v>21422</v>
      </c>
      <c r="C151" s="153" t="s">
        <v>99</v>
      </c>
      <c r="D151" s="154">
        <v>10533.8</v>
      </c>
      <c r="E151" s="155">
        <v>44746</v>
      </c>
      <c r="F151" s="154">
        <v>10533.8</v>
      </c>
      <c r="G151" s="156">
        <f>Tabla18[[#This Row],[Importe]]-Tabla18[[#This Row],[Pagado]]</f>
        <v>0</v>
      </c>
      <c r="H151" s="153" t="s">
        <v>10</v>
      </c>
    </row>
    <row r="152" spans="1:8" x14ac:dyDescent="0.25">
      <c r="A152" s="73">
        <v>44744</v>
      </c>
      <c r="B152" s="74" t="s">
        <v>21423</v>
      </c>
      <c r="C152" s="75" t="s">
        <v>2151</v>
      </c>
      <c r="D152" s="81">
        <v>42819.4</v>
      </c>
      <c r="E152" s="151">
        <v>44744</v>
      </c>
      <c r="F152" s="81">
        <v>42819.4</v>
      </c>
      <c r="G152" s="156">
        <f>Tabla18[[#This Row],[Importe]]-Tabla18[[#This Row],[Pagado]]</f>
        <v>0</v>
      </c>
      <c r="H152" s="75" t="s">
        <v>10</v>
      </c>
    </row>
    <row r="153" spans="1:8" ht="31.5" x14ac:dyDescent="0.25">
      <c r="A153" s="148">
        <v>44744</v>
      </c>
      <c r="B153" s="149" t="s">
        <v>21424</v>
      </c>
      <c r="C153" s="153" t="s">
        <v>22</v>
      </c>
      <c r="D153" s="154">
        <v>86636.800000000003</v>
      </c>
      <c r="E153" s="150" t="s">
        <v>21407</v>
      </c>
      <c r="F153" s="154">
        <f>70000+16636.8</f>
        <v>86636.800000000003</v>
      </c>
      <c r="G153" s="156">
        <f>Tabla18[[#This Row],[Importe]]-Tabla18[[#This Row],[Pagado]]</f>
        <v>0</v>
      </c>
      <c r="H153" s="153" t="s">
        <v>10</v>
      </c>
    </row>
    <row r="154" spans="1:8" x14ac:dyDescent="0.25">
      <c r="A154" s="73">
        <v>44744</v>
      </c>
      <c r="B154" s="74" t="s">
        <v>21425</v>
      </c>
      <c r="C154" s="75" t="s">
        <v>31</v>
      </c>
      <c r="D154" s="81">
        <v>3659.4</v>
      </c>
      <c r="E154" s="151">
        <v>44744</v>
      </c>
      <c r="F154" s="81">
        <v>3659.4</v>
      </c>
      <c r="G154" s="156">
        <f>Tabla18[[#This Row],[Importe]]-Tabla18[[#This Row],[Pagado]]</f>
        <v>0</v>
      </c>
      <c r="H154" s="75" t="s">
        <v>10</v>
      </c>
    </row>
    <row r="155" spans="1:8" x14ac:dyDescent="0.25">
      <c r="A155" s="148">
        <v>44744</v>
      </c>
      <c r="B155" s="149" t="s">
        <v>21426</v>
      </c>
      <c r="C155" s="153" t="s">
        <v>114</v>
      </c>
      <c r="D155" s="154">
        <v>17399.400000000001</v>
      </c>
      <c r="E155" s="155">
        <v>44746</v>
      </c>
      <c r="F155" s="154">
        <v>17399.400000000001</v>
      </c>
      <c r="G155" s="156">
        <f>Tabla18[[#This Row],[Importe]]-Tabla18[[#This Row],[Pagado]]</f>
        <v>0</v>
      </c>
      <c r="H155" s="153" t="s">
        <v>10</v>
      </c>
    </row>
    <row r="156" spans="1:8" x14ac:dyDescent="0.25">
      <c r="A156" s="73">
        <v>44744</v>
      </c>
      <c r="B156" s="74" t="s">
        <v>21427</v>
      </c>
      <c r="C156" s="75" t="s">
        <v>9</v>
      </c>
      <c r="D156" s="81">
        <v>9932</v>
      </c>
      <c r="E156" s="151">
        <v>44744</v>
      </c>
      <c r="F156" s="81">
        <v>9932</v>
      </c>
      <c r="G156" s="156">
        <f>Tabla18[[#This Row],[Importe]]-Tabla18[[#This Row],[Pagado]]</f>
        <v>0</v>
      </c>
      <c r="H156" s="75" t="s">
        <v>10</v>
      </c>
    </row>
    <row r="157" spans="1:8" x14ac:dyDescent="0.25">
      <c r="A157" s="148">
        <v>44744</v>
      </c>
      <c r="B157" s="149" t="s">
        <v>21428</v>
      </c>
      <c r="C157" s="153" t="s">
        <v>97</v>
      </c>
      <c r="D157" s="154">
        <v>13173.4</v>
      </c>
      <c r="E157" s="155">
        <v>44746</v>
      </c>
      <c r="F157" s="154">
        <v>13173.4</v>
      </c>
      <c r="G157" s="156">
        <f>Tabla18[[#This Row],[Importe]]-Tabla18[[#This Row],[Pagado]]</f>
        <v>0</v>
      </c>
      <c r="H157" s="153" t="s">
        <v>10</v>
      </c>
    </row>
    <row r="158" spans="1:8" x14ac:dyDescent="0.25">
      <c r="A158" s="73">
        <v>44744</v>
      </c>
      <c r="B158" s="74" t="s">
        <v>21429</v>
      </c>
      <c r="C158" s="75" t="s">
        <v>348</v>
      </c>
      <c r="D158" s="81">
        <v>5062.3999999999996</v>
      </c>
      <c r="E158" s="151">
        <v>44746</v>
      </c>
      <c r="F158" s="81">
        <v>5062.3999999999996</v>
      </c>
      <c r="G158" s="156">
        <f>Tabla18[[#This Row],[Importe]]-Tabla18[[#This Row],[Pagado]]</f>
        <v>0</v>
      </c>
      <c r="H158" s="75" t="s">
        <v>10</v>
      </c>
    </row>
    <row r="159" spans="1:8" x14ac:dyDescent="0.25">
      <c r="A159" s="148">
        <v>44744</v>
      </c>
      <c r="B159" s="149" t="s">
        <v>21430</v>
      </c>
      <c r="C159" s="153" t="s">
        <v>116</v>
      </c>
      <c r="D159" s="154">
        <v>12233.6</v>
      </c>
      <c r="E159" s="155">
        <v>44746</v>
      </c>
      <c r="F159" s="154">
        <v>12233.6</v>
      </c>
      <c r="G159" s="156">
        <f>Tabla18[[#This Row],[Importe]]-Tabla18[[#This Row],[Pagado]]</f>
        <v>0</v>
      </c>
      <c r="H159" s="153" t="s">
        <v>10</v>
      </c>
    </row>
    <row r="160" spans="1:8" x14ac:dyDescent="0.25">
      <c r="A160" s="73">
        <v>44744</v>
      </c>
      <c r="B160" s="74" t="s">
        <v>21431</v>
      </c>
      <c r="C160" s="75" t="s">
        <v>24</v>
      </c>
      <c r="D160" s="81">
        <v>6242.2</v>
      </c>
      <c r="E160" s="151">
        <v>44744</v>
      </c>
      <c r="F160" s="81">
        <v>6242.2</v>
      </c>
      <c r="G160" s="156">
        <f>Tabla18[[#This Row],[Importe]]-Tabla18[[#This Row],[Pagado]]</f>
        <v>0</v>
      </c>
      <c r="H160" s="75" t="s">
        <v>10</v>
      </c>
    </row>
    <row r="161" spans="1:8" x14ac:dyDescent="0.25">
      <c r="A161" s="148">
        <v>44744</v>
      </c>
      <c r="B161" s="149" t="s">
        <v>21432</v>
      </c>
      <c r="C161" s="153" t="s">
        <v>1187</v>
      </c>
      <c r="D161" s="154">
        <v>2613</v>
      </c>
      <c r="E161" s="155">
        <v>44744</v>
      </c>
      <c r="F161" s="154">
        <v>2613</v>
      </c>
      <c r="G161" s="156">
        <f>Tabla18[[#This Row],[Importe]]-Tabla18[[#This Row],[Pagado]]</f>
        <v>0</v>
      </c>
      <c r="H161" s="153" t="s">
        <v>10</v>
      </c>
    </row>
    <row r="162" spans="1:8" ht="31.5" x14ac:dyDescent="0.25">
      <c r="A162" s="73">
        <v>44744</v>
      </c>
      <c r="B162" s="74" t="s">
        <v>21433</v>
      </c>
      <c r="C162" s="75" t="s">
        <v>1650</v>
      </c>
      <c r="D162" s="81">
        <v>25099.200000000001</v>
      </c>
      <c r="E162" s="147" t="s">
        <v>21296</v>
      </c>
      <c r="F162" s="81">
        <f>13000+12099.2</f>
        <v>25099.200000000001</v>
      </c>
      <c r="G162" s="156">
        <f>Tabla18[[#This Row],[Importe]]-Tabla18[[#This Row],[Pagado]]</f>
        <v>0</v>
      </c>
      <c r="H162" s="75" t="s">
        <v>10</v>
      </c>
    </row>
    <row r="163" spans="1:8" x14ac:dyDescent="0.25">
      <c r="A163" s="148">
        <v>44744</v>
      </c>
      <c r="B163" s="149" t="s">
        <v>21434</v>
      </c>
      <c r="C163" s="153" t="s">
        <v>85</v>
      </c>
      <c r="D163" s="154">
        <v>2289.6</v>
      </c>
      <c r="E163" s="155">
        <v>44744</v>
      </c>
      <c r="F163" s="154">
        <v>2289.6</v>
      </c>
      <c r="G163" s="156">
        <f>Tabla18[[#This Row],[Importe]]-Tabla18[[#This Row],[Pagado]]</f>
        <v>0</v>
      </c>
      <c r="H163" s="153" t="s">
        <v>10</v>
      </c>
    </row>
    <row r="164" spans="1:8" x14ac:dyDescent="0.25">
      <c r="A164" s="73">
        <v>44744</v>
      </c>
      <c r="B164" s="74" t="s">
        <v>21435</v>
      </c>
      <c r="C164" s="75" t="s">
        <v>87</v>
      </c>
      <c r="D164" s="81">
        <v>3598.8</v>
      </c>
      <c r="E164" s="151">
        <v>44744</v>
      </c>
      <c r="F164" s="81">
        <v>3598.8</v>
      </c>
      <c r="G164" s="156">
        <f>Tabla18[[#This Row],[Importe]]-Tabla18[[#This Row],[Pagado]]</f>
        <v>0</v>
      </c>
      <c r="H164" s="75" t="s">
        <v>10</v>
      </c>
    </row>
    <row r="165" spans="1:8" x14ac:dyDescent="0.25">
      <c r="A165" s="148">
        <v>44744</v>
      </c>
      <c r="B165" s="149" t="s">
        <v>21436</v>
      </c>
      <c r="C165" s="153" t="s">
        <v>314</v>
      </c>
      <c r="D165" s="154">
        <v>3830.4</v>
      </c>
      <c r="E165" s="155">
        <v>44744</v>
      </c>
      <c r="F165" s="154">
        <v>3830.4</v>
      </c>
      <c r="G165" s="156">
        <f>Tabla18[[#This Row],[Importe]]-Tabla18[[#This Row],[Pagado]]</f>
        <v>0</v>
      </c>
      <c r="H165" s="153" t="s">
        <v>10</v>
      </c>
    </row>
    <row r="166" spans="1:8" x14ac:dyDescent="0.25">
      <c r="A166" s="73">
        <v>44744</v>
      </c>
      <c r="B166" s="74" t="s">
        <v>21437</v>
      </c>
      <c r="C166" s="75" t="s">
        <v>49</v>
      </c>
      <c r="D166" s="81">
        <v>5321.6</v>
      </c>
      <c r="E166" s="151">
        <v>44744</v>
      </c>
      <c r="F166" s="81">
        <v>5321.6</v>
      </c>
      <c r="G166" s="156">
        <f>Tabla18[[#This Row],[Importe]]-Tabla18[[#This Row],[Pagado]]</f>
        <v>0</v>
      </c>
      <c r="H166" s="75" t="s">
        <v>10</v>
      </c>
    </row>
    <row r="167" spans="1:8" x14ac:dyDescent="0.25">
      <c r="A167" s="148">
        <v>44744</v>
      </c>
      <c r="B167" s="149" t="s">
        <v>21438</v>
      </c>
      <c r="C167" s="153" t="s">
        <v>924</v>
      </c>
      <c r="D167" s="154">
        <v>6550.5</v>
      </c>
      <c r="E167" s="155">
        <v>44744</v>
      </c>
      <c r="F167" s="154">
        <v>6550.5</v>
      </c>
      <c r="G167" s="156">
        <f>Tabla18[[#This Row],[Importe]]-Tabla18[[#This Row],[Pagado]]</f>
        <v>0</v>
      </c>
      <c r="H167" s="153" t="s">
        <v>10</v>
      </c>
    </row>
    <row r="168" spans="1:8" x14ac:dyDescent="0.25">
      <c r="A168" s="73">
        <v>44744</v>
      </c>
      <c r="B168" s="74" t="s">
        <v>21439</v>
      </c>
      <c r="C168" s="75" t="s">
        <v>56</v>
      </c>
      <c r="D168" s="81">
        <v>9657</v>
      </c>
      <c r="E168" s="151">
        <v>44744</v>
      </c>
      <c r="F168" s="81">
        <v>9657</v>
      </c>
      <c r="G168" s="156">
        <f>Tabla18[[#This Row],[Importe]]-Tabla18[[#This Row],[Pagado]]</f>
        <v>0</v>
      </c>
      <c r="H168" s="75" t="s">
        <v>10</v>
      </c>
    </row>
    <row r="169" spans="1:8" x14ac:dyDescent="0.25">
      <c r="A169" s="148">
        <v>44744</v>
      </c>
      <c r="B169" s="149" t="s">
        <v>21440</v>
      </c>
      <c r="C169" s="153" t="s">
        <v>11033</v>
      </c>
      <c r="D169" s="154">
        <v>1771</v>
      </c>
      <c r="E169" s="155">
        <v>44744</v>
      </c>
      <c r="F169" s="154">
        <v>1771</v>
      </c>
      <c r="G169" s="156">
        <f>Tabla18[[#This Row],[Importe]]-Tabla18[[#This Row],[Pagado]]</f>
        <v>0</v>
      </c>
      <c r="H169" s="153" t="s">
        <v>10</v>
      </c>
    </row>
    <row r="170" spans="1:8" x14ac:dyDescent="0.25">
      <c r="A170" s="73">
        <v>44744</v>
      </c>
      <c r="B170" s="74" t="s">
        <v>21441</v>
      </c>
      <c r="C170" s="75" t="s">
        <v>60</v>
      </c>
      <c r="D170" s="81">
        <v>5209.6000000000004</v>
      </c>
      <c r="E170" s="151">
        <v>44745</v>
      </c>
      <c r="F170" s="81">
        <v>5209.6000000000004</v>
      </c>
      <c r="G170" s="156">
        <f>Tabla18[[#This Row],[Importe]]-Tabla18[[#This Row],[Pagado]]</f>
        <v>0</v>
      </c>
      <c r="H170" s="75" t="s">
        <v>10</v>
      </c>
    </row>
    <row r="171" spans="1:8" x14ac:dyDescent="0.25">
      <c r="A171" s="148">
        <v>44744</v>
      </c>
      <c r="B171" s="149" t="s">
        <v>21442</v>
      </c>
      <c r="C171" s="153" t="s">
        <v>111</v>
      </c>
      <c r="D171" s="154">
        <v>5902.4</v>
      </c>
      <c r="E171" s="155">
        <v>44746</v>
      </c>
      <c r="F171" s="154">
        <v>5902.4</v>
      </c>
      <c r="G171" s="156">
        <f>Tabla18[[#This Row],[Importe]]-Tabla18[[#This Row],[Pagado]]</f>
        <v>0</v>
      </c>
      <c r="H171" s="153" t="s">
        <v>10</v>
      </c>
    </row>
    <row r="172" spans="1:8" ht="31.5" x14ac:dyDescent="0.25">
      <c r="A172" s="73">
        <v>44744</v>
      </c>
      <c r="B172" s="74" t="s">
        <v>21443</v>
      </c>
      <c r="C172" s="75" t="s">
        <v>275</v>
      </c>
      <c r="D172" s="81">
        <v>199121.48</v>
      </c>
      <c r="E172" s="147" t="s">
        <v>21444</v>
      </c>
      <c r="F172" s="81">
        <f>193168.17+5953.31</f>
        <v>199121.48</v>
      </c>
      <c r="G172" s="156">
        <f>Tabla18[[#This Row],[Importe]]-Tabla18[[#This Row],[Pagado]]</f>
        <v>0</v>
      </c>
      <c r="H172" s="75" t="s">
        <v>10</v>
      </c>
    </row>
    <row r="173" spans="1:8" x14ac:dyDescent="0.25">
      <c r="A173" s="148">
        <v>44744</v>
      </c>
      <c r="B173" s="149" t="s">
        <v>21445</v>
      </c>
      <c r="C173" s="153" t="s">
        <v>33</v>
      </c>
      <c r="D173" s="154">
        <v>2948.8</v>
      </c>
      <c r="E173" s="155">
        <v>44744</v>
      </c>
      <c r="F173" s="154">
        <v>2948.8</v>
      </c>
      <c r="G173" s="156">
        <f>Tabla18[[#This Row],[Importe]]-Tabla18[[#This Row],[Pagado]]</f>
        <v>0</v>
      </c>
      <c r="H173" s="153" t="s">
        <v>10</v>
      </c>
    </row>
    <row r="174" spans="1:8" x14ac:dyDescent="0.25">
      <c r="A174" s="73">
        <v>44744</v>
      </c>
      <c r="B174" s="74" t="s">
        <v>21446</v>
      </c>
      <c r="C174" s="75" t="s">
        <v>129</v>
      </c>
      <c r="D174" s="81">
        <v>5654.4</v>
      </c>
      <c r="E174" s="151">
        <v>44744</v>
      </c>
      <c r="F174" s="81">
        <v>5654.4</v>
      </c>
      <c r="G174" s="156">
        <f>Tabla18[[#This Row],[Importe]]-Tabla18[[#This Row],[Pagado]]</f>
        <v>0</v>
      </c>
      <c r="H174" s="75" t="s">
        <v>10</v>
      </c>
    </row>
    <row r="175" spans="1:8" x14ac:dyDescent="0.25">
      <c r="A175" s="148">
        <v>44744</v>
      </c>
      <c r="B175" s="149" t="s">
        <v>21447</v>
      </c>
      <c r="C175" s="153" t="s">
        <v>127</v>
      </c>
      <c r="D175" s="154">
        <v>7177.2</v>
      </c>
      <c r="E175" s="155">
        <v>44744</v>
      </c>
      <c r="F175" s="154">
        <v>7177.2</v>
      </c>
      <c r="G175" s="156">
        <f>Tabla18[[#This Row],[Importe]]-Tabla18[[#This Row],[Pagado]]</f>
        <v>0</v>
      </c>
      <c r="H175" s="153" t="s">
        <v>10</v>
      </c>
    </row>
    <row r="176" spans="1:8" x14ac:dyDescent="0.25">
      <c r="A176" s="73">
        <v>44744</v>
      </c>
      <c r="B176" s="74" t="s">
        <v>21448</v>
      </c>
      <c r="C176" s="75" t="s">
        <v>140</v>
      </c>
      <c r="D176" s="81">
        <v>1768.6</v>
      </c>
      <c r="E176" s="151">
        <v>44744</v>
      </c>
      <c r="F176" s="81">
        <v>1768.6</v>
      </c>
      <c r="G176" s="156">
        <f>Tabla18[[#This Row],[Importe]]-Tabla18[[#This Row],[Pagado]]</f>
        <v>0</v>
      </c>
      <c r="H176" s="75" t="s">
        <v>10</v>
      </c>
    </row>
    <row r="177" spans="1:8" x14ac:dyDescent="0.25">
      <c r="A177" s="148">
        <v>44744</v>
      </c>
      <c r="B177" s="149" t="s">
        <v>21449</v>
      </c>
      <c r="C177" s="153" t="s">
        <v>339</v>
      </c>
      <c r="D177" s="154">
        <v>870</v>
      </c>
      <c r="E177" s="155">
        <v>44744</v>
      </c>
      <c r="F177" s="154">
        <v>870</v>
      </c>
      <c r="G177" s="156">
        <f>Tabla18[[#This Row],[Importe]]-Tabla18[[#This Row],[Pagado]]</f>
        <v>0</v>
      </c>
      <c r="H177" s="153" t="s">
        <v>10</v>
      </c>
    </row>
    <row r="178" spans="1:8" x14ac:dyDescent="0.25">
      <c r="A178" s="73">
        <v>44744</v>
      </c>
      <c r="B178" s="74" t="s">
        <v>21450</v>
      </c>
      <c r="C178" s="75" t="s">
        <v>196</v>
      </c>
      <c r="D178" s="81">
        <v>142079.78</v>
      </c>
      <c r="E178" s="151">
        <v>44750</v>
      </c>
      <c r="F178" s="81">
        <v>142079.78</v>
      </c>
      <c r="G178" s="156">
        <f>Tabla18[[#This Row],[Importe]]-Tabla18[[#This Row],[Pagado]]</f>
        <v>0</v>
      </c>
      <c r="H178" s="75" t="s">
        <v>10</v>
      </c>
    </row>
    <row r="179" spans="1:8" x14ac:dyDescent="0.25">
      <c r="A179" s="148">
        <v>44744</v>
      </c>
      <c r="B179" s="149" t="s">
        <v>21451</v>
      </c>
      <c r="C179" s="153" t="s">
        <v>16</v>
      </c>
      <c r="D179" s="154">
        <v>6165.8</v>
      </c>
      <c r="E179" s="155">
        <v>44744</v>
      </c>
      <c r="F179" s="154">
        <v>6165.8</v>
      </c>
      <c r="G179" s="156">
        <f>Tabla18[[#This Row],[Importe]]-Tabla18[[#This Row],[Pagado]]</f>
        <v>0</v>
      </c>
      <c r="H179" s="153" t="s">
        <v>10</v>
      </c>
    </row>
    <row r="180" spans="1:8" x14ac:dyDescent="0.25">
      <c r="A180" s="73">
        <v>44744</v>
      </c>
      <c r="B180" s="74" t="s">
        <v>21452</v>
      </c>
      <c r="C180" s="75" t="s">
        <v>31</v>
      </c>
      <c r="D180" s="81">
        <v>2619.6</v>
      </c>
      <c r="E180" s="151">
        <v>44744</v>
      </c>
      <c r="F180" s="81">
        <v>2619.6</v>
      </c>
      <c r="G180" s="156">
        <f>Tabla18[[#This Row],[Importe]]-Tabla18[[#This Row],[Pagado]]</f>
        <v>0</v>
      </c>
      <c r="H180" s="75" t="s">
        <v>10</v>
      </c>
    </row>
    <row r="181" spans="1:8" x14ac:dyDescent="0.25">
      <c r="A181" s="148">
        <v>44744</v>
      </c>
      <c r="B181" s="149" t="s">
        <v>21453</v>
      </c>
      <c r="C181" s="153" t="s">
        <v>1302</v>
      </c>
      <c r="D181" s="154">
        <v>9889.5</v>
      </c>
      <c r="E181" s="155">
        <v>44744</v>
      </c>
      <c r="F181" s="154">
        <v>9889.5</v>
      </c>
      <c r="G181" s="156">
        <f>Tabla18[[#This Row],[Importe]]-Tabla18[[#This Row],[Pagado]]</f>
        <v>0</v>
      </c>
      <c r="H181" s="153" t="s">
        <v>10</v>
      </c>
    </row>
    <row r="182" spans="1:8" x14ac:dyDescent="0.25">
      <c r="A182" s="73">
        <v>44744</v>
      </c>
      <c r="B182" s="74" t="s">
        <v>21454</v>
      </c>
      <c r="C182" s="75" t="s">
        <v>555</v>
      </c>
      <c r="D182" s="81">
        <v>39900</v>
      </c>
      <c r="E182" s="151">
        <v>44744</v>
      </c>
      <c r="F182" s="81">
        <v>39900</v>
      </c>
      <c r="G182" s="156">
        <f>Tabla18[[#This Row],[Importe]]-Tabla18[[#This Row],[Pagado]]</f>
        <v>0</v>
      </c>
      <c r="H182" s="75" t="s">
        <v>10</v>
      </c>
    </row>
    <row r="183" spans="1:8" x14ac:dyDescent="0.25">
      <c r="A183" s="148">
        <v>44744</v>
      </c>
      <c r="B183" s="149" t="s">
        <v>21455</v>
      </c>
      <c r="C183" s="153" t="s">
        <v>289</v>
      </c>
      <c r="D183" s="154">
        <v>6981.7</v>
      </c>
      <c r="E183" s="155">
        <v>44744</v>
      </c>
      <c r="F183" s="154">
        <v>6981.7</v>
      </c>
      <c r="G183" s="156">
        <f>Tabla18[[#This Row],[Importe]]-Tabla18[[#This Row],[Pagado]]</f>
        <v>0</v>
      </c>
      <c r="H183" s="153" t="s">
        <v>10</v>
      </c>
    </row>
    <row r="184" spans="1:8" x14ac:dyDescent="0.25">
      <c r="A184" s="73">
        <v>44744</v>
      </c>
      <c r="B184" s="74" t="s">
        <v>21456</v>
      </c>
      <c r="C184" s="75" t="s">
        <v>131</v>
      </c>
      <c r="D184" s="81">
        <v>10281.6</v>
      </c>
      <c r="E184" s="151">
        <v>44744</v>
      </c>
      <c r="F184" s="81">
        <v>10281.6</v>
      </c>
      <c r="G184" s="156">
        <f>Tabla18[[#This Row],[Importe]]-Tabla18[[#This Row],[Pagado]]</f>
        <v>0</v>
      </c>
      <c r="H184" s="75" t="s">
        <v>10</v>
      </c>
    </row>
    <row r="185" spans="1:8" x14ac:dyDescent="0.25">
      <c r="A185" s="148">
        <v>44744</v>
      </c>
      <c r="B185" s="149" t="s">
        <v>21457</v>
      </c>
      <c r="C185" s="153" t="s">
        <v>12202</v>
      </c>
      <c r="D185" s="154">
        <v>5740</v>
      </c>
      <c r="E185" s="155">
        <v>44744</v>
      </c>
      <c r="F185" s="154">
        <v>5740</v>
      </c>
      <c r="G185" s="156">
        <f>Tabla18[[#This Row],[Importe]]-Tabla18[[#This Row],[Pagado]]</f>
        <v>0</v>
      </c>
      <c r="H185" s="153" t="s">
        <v>10</v>
      </c>
    </row>
    <row r="186" spans="1:8" x14ac:dyDescent="0.25">
      <c r="A186" s="73">
        <v>44744</v>
      </c>
      <c r="B186" s="74" t="s">
        <v>21458</v>
      </c>
      <c r="C186" s="75" t="s">
        <v>804</v>
      </c>
      <c r="D186" s="81">
        <v>13758.7</v>
      </c>
      <c r="E186" s="151">
        <v>44744</v>
      </c>
      <c r="F186" s="81">
        <v>13758.7</v>
      </c>
      <c r="G186" s="156">
        <f>Tabla18[[#This Row],[Importe]]-Tabla18[[#This Row],[Pagado]]</f>
        <v>0</v>
      </c>
      <c r="H186" s="75" t="s">
        <v>10</v>
      </c>
    </row>
    <row r="187" spans="1:8" x14ac:dyDescent="0.25">
      <c r="A187" s="148">
        <v>44744</v>
      </c>
      <c r="B187" s="149" t="s">
        <v>21459</v>
      </c>
      <c r="C187" s="153" t="s">
        <v>1378</v>
      </c>
      <c r="D187" s="154">
        <v>38908</v>
      </c>
      <c r="E187" s="155">
        <v>44744</v>
      </c>
      <c r="F187" s="154">
        <v>38908</v>
      </c>
      <c r="G187" s="156">
        <f>Tabla18[[#This Row],[Importe]]-Tabla18[[#This Row],[Pagado]]</f>
        <v>0</v>
      </c>
      <c r="H187" s="153" t="s">
        <v>10</v>
      </c>
    </row>
    <row r="188" spans="1:8" x14ac:dyDescent="0.25">
      <c r="A188" s="73">
        <v>44744</v>
      </c>
      <c r="B188" s="74" t="s">
        <v>21460</v>
      </c>
      <c r="C188" s="75" t="s">
        <v>173</v>
      </c>
      <c r="D188" s="81">
        <v>1189.9000000000001</v>
      </c>
      <c r="E188" s="151">
        <v>44744</v>
      </c>
      <c r="F188" s="81">
        <v>1189.9000000000001</v>
      </c>
      <c r="G188" s="156">
        <f>Tabla18[[#This Row],[Importe]]-Tabla18[[#This Row],[Pagado]]</f>
        <v>0</v>
      </c>
      <c r="H188" s="75" t="s">
        <v>10</v>
      </c>
    </row>
    <row r="189" spans="1:8" x14ac:dyDescent="0.25">
      <c r="A189" s="148">
        <v>44744</v>
      </c>
      <c r="B189" s="149" t="s">
        <v>21461</v>
      </c>
      <c r="C189" s="153" t="s">
        <v>45</v>
      </c>
      <c r="D189" s="154">
        <v>12147.6</v>
      </c>
      <c r="E189" s="155">
        <v>44744</v>
      </c>
      <c r="F189" s="154">
        <v>12147.6</v>
      </c>
      <c r="G189" s="156">
        <f>Tabla18[[#This Row],[Importe]]-Tabla18[[#This Row],[Pagado]]</f>
        <v>0</v>
      </c>
      <c r="H189" s="153" t="s">
        <v>10</v>
      </c>
    </row>
    <row r="190" spans="1:8" x14ac:dyDescent="0.25">
      <c r="A190" s="73">
        <v>44744</v>
      </c>
      <c r="B190" s="74" t="s">
        <v>21462</v>
      </c>
      <c r="C190" s="75" t="s">
        <v>698</v>
      </c>
      <c r="D190" s="81">
        <v>5795.8</v>
      </c>
      <c r="E190" s="151">
        <v>44744</v>
      </c>
      <c r="F190" s="81">
        <v>5795.8</v>
      </c>
      <c r="G190" s="156">
        <f>Tabla18[[#This Row],[Importe]]-Tabla18[[#This Row],[Pagado]]</f>
        <v>0</v>
      </c>
      <c r="H190" s="75" t="s">
        <v>10</v>
      </c>
    </row>
    <row r="191" spans="1:8" x14ac:dyDescent="0.25">
      <c r="A191" s="148">
        <v>44744</v>
      </c>
      <c r="B191" s="149" t="s">
        <v>21463</v>
      </c>
      <c r="C191" s="153" t="s">
        <v>29</v>
      </c>
      <c r="D191" s="154">
        <v>8136</v>
      </c>
      <c r="E191" s="155">
        <v>44744</v>
      </c>
      <c r="F191" s="154">
        <v>8136</v>
      </c>
      <c r="G191" s="156">
        <f>Tabla18[[#This Row],[Importe]]-Tabla18[[#This Row],[Pagado]]</f>
        <v>0</v>
      </c>
      <c r="H191" s="153" t="s">
        <v>10</v>
      </c>
    </row>
    <row r="192" spans="1:8" x14ac:dyDescent="0.25">
      <c r="A192" s="73">
        <v>44744</v>
      </c>
      <c r="B192" s="74" t="s">
        <v>21464</v>
      </c>
      <c r="C192" s="75" t="s">
        <v>326</v>
      </c>
      <c r="D192" s="81">
        <v>1466.5</v>
      </c>
      <c r="E192" s="151">
        <v>44744</v>
      </c>
      <c r="F192" s="81">
        <v>1466.5</v>
      </c>
      <c r="G192" s="156">
        <f>Tabla18[[#This Row],[Importe]]-Tabla18[[#This Row],[Pagado]]</f>
        <v>0</v>
      </c>
      <c r="H192" s="75" t="s">
        <v>10</v>
      </c>
    </row>
    <row r="193" spans="1:8" x14ac:dyDescent="0.25">
      <c r="A193" s="148">
        <v>44744</v>
      </c>
      <c r="B193" s="149" t="s">
        <v>21465</v>
      </c>
      <c r="C193" s="153" t="s">
        <v>230</v>
      </c>
      <c r="D193" s="154">
        <v>548</v>
      </c>
      <c r="E193" s="155">
        <v>44744</v>
      </c>
      <c r="F193" s="154">
        <v>548</v>
      </c>
      <c r="G193" s="156">
        <f>Tabla18[[#This Row],[Importe]]-Tabla18[[#This Row],[Pagado]]</f>
        <v>0</v>
      </c>
      <c r="H193" s="153" t="s">
        <v>10</v>
      </c>
    </row>
    <row r="194" spans="1:8" x14ac:dyDescent="0.25">
      <c r="A194" s="73">
        <v>44744</v>
      </c>
      <c r="B194" s="74" t="s">
        <v>21466</v>
      </c>
      <c r="C194" s="75" t="s">
        <v>31</v>
      </c>
      <c r="D194" s="81">
        <v>2873.6</v>
      </c>
      <c r="E194" s="151">
        <v>44744</v>
      </c>
      <c r="F194" s="81">
        <v>2873.6</v>
      </c>
      <c r="G194" s="156">
        <f>Tabla18[[#This Row],[Importe]]-Tabla18[[#This Row],[Pagado]]</f>
        <v>0</v>
      </c>
      <c r="H194" s="75" t="s">
        <v>10</v>
      </c>
    </row>
    <row r="195" spans="1:8" x14ac:dyDescent="0.25">
      <c r="A195" s="148">
        <v>44744</v>
      </c>
      <c r="B195" s="149" t="s">
        <v>21467</v>
      </c>
      <c r="C195" s="153" t="s">
        <v>62</v>
      </c>
      <c r="D195" s="154">
        <v>3735</v>
      </c>
      <c r="E195" s="155">
        <v>44744</v>
      </c>
      <c r="F195" s="154">
        <v>3735</v>
      </c>
      <c r="G195" s="156">
        <f>Tabla18[[#This Row],[Importe]]-Tabla18[[#This Row],[Pagado]]</f>
        <v>0</v>
      </c>
      <c r="H195" s="153" t="s">
        <v>10</v>
      </c>
    </row>
    <row r="196" spans="1:8" x14ac:dyDescent="0.25">
      <c r="A196" s="73">
        <v>44744</v>
      </c>
      <c r="B196" s="74" t="s">
        <v>21468</v>
      </c>
      <c r="C196" s="75" t="s">
        <v>409</v>
      </c>
      <c r="D196" s="81">
        <v>9876.6</v>
      </c>
      <c r="E196" s="151">
        <v>44748</v>
      </c>
      <c r="F196" s="81">
        <v>9876.6</v>
      </c>
      <c r="G196" s="156">
        <f>Tabla18[[#This Row],[Importe]]-Tabla18[[#This Row],[Pagado]]</f>
        <v>0</v>
      </c>
      <c r="H196" s="75" t="s">
        <v>10</v>
      </c>
    </row>
    <row r="197" spans="1:8" x14ac:dyDescent="0.25">
      <c r="A197" s="148">
        <v>44744</v>
      </c>
      <c r="B197" s="149" t="s">
        <v>21469</v>
      </c>
      <c r="C197" s="153" t="s">
        <v>1003</v>
      </c>
      <c r="D197" s="154">
        <v>6741</v>
      </c>
      <c r="E197" s="155">
        <v>44745</v>
      </c>
      <c r="F197" s="154">
        <v>6741</v>
      </c>
      <c r="G197" s="156">
        <f>Tabla18[[#This Row],[Importe]]-Tabla18[[#This Row],[Pagado]]</f>
        <v>0</v>
      </c>
      <c r="H197" s="153" t="s">
        <v>10</v>
      </c>
    </row>
    <row r="198" spans="1:8" x14ac:dyDescent="0.25">
      <c r="A198" s="73">
        <v>44744</v>
      </c>
      <c r="B198" s="74" t="s">
        <v>21470</v>
      </c>
      <c r="C198" s="75" t="s">
        <v>22</v>
      </c>
      <c r="D198" s="81">
        <v>11834.4</v>
      </c>
      <c r="E198" s="151">
        <v>44745</v>
      </c>
      <c r="F198" s="81">
        <v>11834.4</v>
      </c>
      <c r="G198" s="156">
        <f>Tabla18[[#This Row],[Importe]]-Tabla18[[#This Row],[Pagado]]</f>
        <v>0</v>
      </c>
      <c r="H198" s="75" t="s">
        <v>10</v>
      </c>
    </row>
    <row r="199" spans="1:8" x14ac:dyDescent="0.25">
      <c r="A199" s="148">
        <v>44744</v>
      </c>
      <c r="B199" s="149" t="s">
        <v>21471</v>
      </c>
      <c r="C199" s="153" t="s">
        <v>654</v>
      </c>
      <c r="D199" s="154">
        <v>24468</v>
      </c>
      <c r="E199" s="155">
        <v>44746</v>
      </c>
      <c r="F199" s="154">
        <v>24468</v>
      </c>
      <c r="G199" s="156">
        <f>Tabla18[[#This Row],[Importe]]-Tabla18[[#This Row],[Pagado]]</f>
        <v>0</v>
      </c>
      <c r="H199" s="153" t="s">
        <v>10</v>
      </c>
    </row>
    <row r="200" spans="1:8" x14ac:dyDescent="0.25">
      <c r="A200" s="73">
        <v>44744</v>
      </c>
      <c r="B200" s="74" t="s">
        <v>21472</v>
      </c>
      <c r="C200" s="75" t="s">
        <v>53</v>
      </c>
      <c r="D200" s="81">
        <v>6208.6</v>
      </c>
      <c r="E200" s="151">
        <v>44744</v>
      </c>
      <c r="F200" s="81">
        <v>6208.6</v>
      </c>
      <c r="G200" s="156">
        <f>Tabla18[[#This Row],[Importe]]-Tabla18[[#This Row],[Pagado]]</f>
        <v>0</v>
      </c>
      <c r="H200" s="75" t="s">
        <v>10</v>
      </c>
    </row>
    <row r="201" spans="1:8" x14ac:dyDescent="0.25">
      <c r="A201" s="148">
        <v>44744</v>
      </c>
      <c r="B201" s="149" t="s">
        <v>21473</v>
      </c>
      <c r="C201" s="153" t="s">
        <v>62</v>
      </c>
      <c r="D201" s="154">
        <v>377</v>
      </c>
      <c r="E201" s="155">
        <v>44744</v>
      </c>
      <c r="F201" s="154">
        <v>377</v>
      </c>
      <c r="G201" s="156">
        <f>Tabla18[[#This Row],[Importe]]-Tabla18[[#This Row],[Pagado]]</f>
        <v>0</v>
      </c>
      <c r="H201" s="153" t="s">
        <v>10</v>
      </c>
    </row>
    <row r="202" spans="1:8" x14ac:dyDescent="0.25">
      <c r="A202" s="73">
        <v>44744</v>
      </c>
      <c r="B202" s="74" t="s">
        <v>21474</v>
      </c>
      <c r="C202" s="75" t="s">
        <v>142</v>
      </c>
      <c r="D202" s="81">
        <v>60853.03</v>
      </c>
      <c r="E202" s="151">
        <v>44799</v>
      </c>
      <c r="F202" s="81">
        <v>60853.03</v>
      </c>
      <c r="G202" s="156">
        <f>Tabla18[[#This Row],[Importe]]-Tabla18[[#This Row],[Pagado]]</f>
        <v>0</v>
      </c>
      <c r="H202" s="75" t="s">
        <v>10</v>
      </c>
    </row>
    <row r="203" spans="1:8" x14ac:dyDescent="0.25">
      <c r="A203" s="148">
        <v>44744</v>
      </c>
      <c r="B203" s="149" t="s">
        <v>21475</v>
      </c>
      <c r="C203" s="153" t="s">
        <v>392</v>
      </c>
      <c r="D203" s="154">
        <v>487.5</v>
      </c>
      <c r="E203" s="155">
        <v>44751</v>
      </c>
      <c r="F203" s="154">
        <v>487.5</v>
      </c>
      <c r="G203" s="156">
        <f>Tabla18[[#This Row],[Importe]]-Tabla18[[#This Row],[Pagado]]</f>
        <v>0</v>
      </c>
      <c r="H203" s="153" t="s">
        <v>10</v>
      </c>
    </row>
    <row r="204" spans="1:8" x14ac:dyDescent="0.25">
      <c r="A204" s="73">
        <v>44744</v>
      </c>
      <c r="B204" s="74" t="s">
        <v>21476</v>
      </c>
      <c r="C204" s="75" t="s">
        <v>392</v>
      </c>
      <c r="D204" s="81">
        <v>22735.4</v>
      </c>
      <c r="E204" s="151">
        <v>44751</v>
      </c>
      <c r="F204" s="81">
        <v>22735.4</v>
      </c>
      <c r="G204" s="156">
        <f>Tabla18[[#This Row],[Importe]]-Tabla18[[#This Row],[Pagado]]</f>
        <v>0</v>
      </c>
      <c r="H204" s="75" t="s">
        <v>10</v>
      </c>
    </row>
    <row r="205" spans="1:8" x14ac:dyDescent="0.25">
      <c r="A205" s="148">
        <v>44744</v>
      </c>
      <c r="B205" s="149" t="s">
        <v>21477</v>
      </c>
      <c r="C205" s="153" t="s">
        <v>319</v>
      </c>
      <c r="D205" s="154">
        <v>11152.7</v>
      </c>
      <c r="E205" s="155">
        <v>44745</v>
      </c>
      <c r="F205" s="154">
        <v>11152.7</v>
      </c>
      <c r="G205" s="156">
        <f>Tabla18[[#This Row],[Importe]]-Tabla18[[#This Row],[Pagado]]</f>
        <v>0</v>
      </c>
      <c r="H205" s="153" t="s">
        <v>10</v>
      </c>
    </row>
    <row r="206" spans="1:8" x14ac:dyDescent="0.25">
      <c r="A206" s="73">
        <v>44744</v>
      </c>
      <c r="B206" s="74" t="s">
        <v>21478</v>
      </c>
      <c r="C206" s="75" t="s">
        <v>319</v>
      </c>
      <c r="D206" s="81">
        <v>1162</v>
      </c>
      <c r="E206" s="151">
        <v>44745</v>
      </c>
      <c r="F206" s="81">
        <v>1162</v>
      </c>
      <c r="G206" s="156">
        <f>Tabla18[[#This Row],[Importe]]-Tabla18[[#This Row],[Pagado]]</f>
        <v>0</v>
      </c>
      <c r="H206" s="75" t="s">
        <v>10</v>
      </c>
    </row>
    <row r="207" spans="1:8" x14ac:dyDescent="0.25">
      <c r="A207" s="148">
        <v>44744</v>
      </c>
      <c r="B207" s="149" t="s">
        <v>21479</v>
      </c>
      <c r="C207" s="153" t="s">
        <v>216</v>
      </c>
      <c r="D207" s="154">
        <v>2448</v>
      </c>
      <c r="E207" s="155">
        <v>44744</v>
      </c>
      <c r="F207" s="154">
        <v>2448</v>
      </c>
      <c r="G207" s="156">
        <f>Tabla18[[#This Row],[Importe]]-Tabla18[[#This Row],[Pagado]]</f>
        <v>0</v>
      </c>
      <c r="H207" s="153" t="s">
        <v>10</v>
      </c>
    </row>
    <row r="208" spans="1:8" x14ac:dyDescent="0.25">
      <c r="A208" s="73">
        <v>44744</v>
      </c>
      <c r="B208" s="74" t="s">
        <v>21480</v>
      </c>
      <c r="C208" s="75" t="s">
        <v>520</v>
      </c>
      <c r="D208" s="81">
        <v>22197</v>
      </c>
      <c r="E208" s="151">
        <v>44745</v>
      </c>
      <c r="F208" s="81">
        <v>22197</v>
      </c>
      <c r="G208" s="156">
        <f>Tabla18[[#This Row],[Importe]]-Tabla18[[#This Row],[Pagado]]</f>
        <v>0</v>
      </c>
      <c r="H208" s="75" t="s">
        <v>10</v>
      </c>
    </row>
    <row r="209" spans="1:8" x14ac:dyDescent="0.25">
      <c r="A209" s="148">
        <v>44744</v>
      </c>
      <c r="B209" s="149" t="s">
        <v>21481</v>
      </c>
      <c r="C209" s="153" t="s">
        <v>151</v>
      </c>
      <c r="D209" s="154">
        <v>18278.400000000001</v>
      </c>
      <c r="E209" s="155">
        <v>44745</v>
      </c>
      <c r="F209" s="154">
        <v>18278.400000000001</v>
      </c>
      <c r="G209" s="156">
        <f>Tabla18[[#This Row],[Importe]]-Tabla18[[#This Row],[Pagado]]</f>
        <v>0</v>
      </c>
      <c r="H209" s="153" t="s">
        <v>10</v>
      </c>
    </row>
    <row r="210" spans="1:8" x14ac:dyDescent="0.25">
      <c r="A210" s="73">
        <v>44744</v>
      </c>
      <c r="B210" s="74" t="s">
        <v>21482</v>
      </c>
      <c r="C210" s="75" t="s">
        <v>214</v>
      </c>
      <c r="D210" s="81">
        <v>1663.2</v>
      </c>
      <c r="E210" s="151">
        <v>44744</v>
      </c>
      <c r="F210" s="81">
        <v>1663.2</v>
      </c>
      <c r="G210" s="156">
        <f>Tabla18[[#This Row],[Importe]]-Tabla18[[#This Row],[Pagado]]</f>
        <v>0</v>
      </c>
      <c r="H210" s="75" t="s">
        <v>10</v>
      </c>
    </row>
    <row r="211" spans="1:8" x14ac:dyDescent="0.25">
      <c r="A211" s="148">
        <v>44744</v>
      </c>
      <c r="B211" s="149" t="s">
        <v>21483</v>
      </c>
      <c r="C211" s="153" t="s">
        <v>966</v>
      </c>
      <c r="D211" s="154">
        <v>1852.32</v>
      </c>
      <c r="E211" s="155">
        <v>44745</v>
      </c>
      <c r="F211" s="154">
        <v>1852.32</v>
      </c>
      <c r="G211" s="156">
        <f>Tabla18[[#This Row],[Importe]]-Tabla18[[#This Row],[Pagado]]</f>
        <v>0</v>
      </c>
      <c r="H211" s="153" t="s">
        <v>10</v>
      </c>
    </row>
    <row r="212" spans="1:8" x14ac:dyDescent="0.25">
      <c r="A212" s="73">
        <v>44744</v>
      </c>
      <c r="B212" s="74" t="s">
        <v>21484</v>
      </c>
      <c r="C212" s="75" t="s">
        <v>518</v>
      </c>
      <c r="D212" s="81">
        <v>1277.5</v>
      </c>
      <c r="E212" s="151">
        <v>44745</v>
      </c>
      <c r="F212" s="81">
        <v>1277.5</v>
      </c>
      <c r="G212" s="156">
        <f>Tabla18[[#This Row],[Importe]]-Tabla18[[#This Row],[Pagado]]</f>
        <v>0</v>
      </c>
      <c r="H212" s="75" t="s">
        <v>10</v>
      </c>
    </row>
    <row r="213" spans="1:8" x14ac:dyDescent="0.25">
      <c r="A213" s="148">
        <v>44744</v>
      </c>
      <c r="B213" s="149" t="s">
        <v>21485</v>
      </c>
      <c r="C213" s="153" t="s">
        <v>159</v>
      </c>
      <c r="D213" s="154">
        <v>5710.6</v>
      </c>
      <c r="E213" s="155">
        <v>44745</v>
      </c>
      <c r="F213" s="154">
        <v>5710.6</v>
      </c>
      <c r="G213" s="156">
        <f>Tabla18[[#This Row],[Importe]]-Tabla18[[#This Row],[Pagado]]</f>
        <v>0</v>
      </c>
      <c r="H213" s="153" t="s">
        <v>10</v>
      </c>
    </row>
    <row r="214" spans="1:8" x14ac:dyDescent="0.25">
      <c r="A214" s="73">
        <v>44744</v>
      </c>
      <c r="B214" s="74" t="s">
        <v>21486</v>
      </c>
      <c r="C214" s="75" t="s">
        <v>484</v>
      </c>
      <c r="D214" s="81">
        <v>3818.1</v>
      </c>
      <c r="E214" s="151">
        <v>44744</v>
      </c>
      <c r="F214" s="81">
        <v>3818.1</v>
      </c>
      <c r="G214" s="156">
        <f>Tabla18[[#This Row],[Importe]]-Tabla18[[#This Row],[Pagado]]</f>
        <v>0</v>
      </c>
      <c r="H214" s="75" t="s">
        <v>10</v>
      </c>
    </row>
    <row r="215" spans="1:8" x14ac:dyDescent="0.25">
      <c r="A215" s="148">
        <v>44744</v>
      </c>
      <c r="B215" s="149" t="s">
        <v>21487</v>
      </c>
      <c r="C215" s="153" t="s">
        <v>157</v>
      </c>
      <c r="D215" s="154">
        <v>8361.4</v>
      </c>
      <c r="E215" s="155">
        <v>44745</v>
      </c>
      <c r="F215" s="154">
        <v>8361.4</v>
      </c>
      <c r="G215" s="156">
        <f>Tabla18[[#This Row],[Importe]]-Tabla18[[#This Row],[Pagado]]</f>
        <v>0</v>
      </c>
      <c r="H215" s="153" t="s">
        <v>10</v>
      </c>
    </row>
    <row r="216" spans="1:8" x14ac:dyDescent="0.25">
      <c r="A216" s="73">
        <v>44744</v>
      </c>
      <c r="B216" s="74" t="s">
        <v>21488</v>
      </c>
      <c r="C216" s="75" t="s">
        <v>31</v>
      </c>
      <c r="D216" s="81">
        <v>640.79999999999995</v>
      </c>
      <c r="E216" s="151">
        <v>44744</v>
      </c>
      <c r="F216" s="81">
        <v>640.79999999999995</v>
      </c>
      <c r="G216" s="156">
        <f>Tabla18[[#This Row],[Importe]]-Tabla18[[#This Row],[Pagado]]</f>
        <v>0</v>
      </c>
      <c r="H216" s="75" t="s">
        <v>10</v>
      </c>
    </row>
    <row r="217" spans="1:8" x14ac:dyDescent="0.25">
      <c r="A217" s="148">
        <v>44744</v>
      </c>
      <c r="B217" s="149" t="s">
        <v>21489</v>
      </c>
      <c r="C217" s="153" t="s">
        <v>525</v>
      </c>
      <c r="D217" s="154">
        <v>3056.2</v>
      </c>
      <c r="E217" s="155">
        <v>44745</v>
      </c>
      <c r="F217" s="154">
        <v>3056.2</v>
      </c>
      <c r="G217" s="156">
        <f>Tabla18[[#This Row],[Importe]]-Tabla18[[#This Row],[Pagado]]</f>
        <v>0</v>
      </c>
      <c r="H217" s="153" t="s">
        <v>10</v>
      </c>
    </row>
    <row r="218" spans="1:8" x14ac:dyDescent="0.25">
      <c r="A218" s="73">
        <v>44744</v>
      </c>
      <c r="B218" s="74" t="s">
        <v>21490</v>
      </c>
      <c r="C218" s="75" t="s">
        <v>9827</v>
      </c>
      <c r="D218" s="81">
        <v>8848</v>
      </c>
      <c r="E218" s="151">
        <v>44744</v>
      </c>
      <c r="F218" s="81">
        <v>8848</v>
      </c>
      <c r="G218" s="156">
        <f>Tabla18[[#This Row],[Importe]]-Tabla18[[#This Row],[Pagado]]</f>
        <v>0</v>
      </c>
      <c r="H218" s="75" t="s">
        <v>10</v>
      </c>
    </row>
    <row r="219" spans="1:8" x14ac:dyDescent="0.25">
      <c r="A219" s="148">
        <v>44744</v>
      </c>
      <c r="B219" s="149" t="s">
        <v>21491</v>
      </c>
      <c r="C219" s="153" t="s">
        <v>9827</v>
      </c>
      <c r="D219" s="154">
        <v>488.4</v>
      </c>
      <c r="E219" s="155">
        <v>44744</v>
      </c>
      <c r="F219" s="154">
        <v>488.4</v>
      </c>
      <c r="G219" s="156">
        <f>Tabla18[[#This Row],[Importe]]-Tabla18[[#This Row],[Pagado]]</f>
        <v>0</v>
      </c>
      <c r="H219" s="153" t="s">
        <v>10</v>
      </c>
    </row>
    <row r="220" spans="1:8" x14ac:dyDescent="0.25">
      <c r="A220" s="73">
        <v>44744</v>
      </c>
      <c r="B220" s="74" t="s">
        <v>21492</v>
      </c>
      <c r="C220" s="75" t="s">
        <v>58</v>
      </c>
      <c r="D220" s="81">
        <v>3959.8</v>
      </c>
      <c r="E220" s="151">
        <v>44744</v>
      </c>
      <c r="F220" s="81">
        <v>3959.8</v>
      </c>
      <c r="G220" s="156">
        <f>Tabla18[[#This Row],[Importe]]-Tabla18[[#This Row],[Pagado]]</f>
        <v>0</v>
      </c>
      <c r="H220" s="75" t="s">
        <v>10</v>
      </c>
    </row>
    <row r="221" spans="1:8" x14ac:dyDescent="0.25">
      <c r="A221" s="148">
        <v>44744</v>
      </c>
      <c r="B221" s="149" t="s">
        <v>21493</v>
      </c>
      <c r="C221" s="153" t="s">
        <v>670</v>
      </c>
      <c r="D221" s="154">
        <v>4854.3999999999996</v>
      </c>
      <c r="E221" s="155">
        <v>44744</v>
      </c>
      <c r="F221" s="154">
        <v>4854.3999999999996</v>
      </c>
      <c r="G221" s="156">
        <f>Tabla18[[#This Row],[Importe]]-Tabla18[[#This Row],[Pagado]]</f>
        <v>0</v>
      </c>
      <c r="H221" s="153" t="s">
        <v>10</v>
      </c>
    </row>
    <row r="222" spans="1:8" x14ac:dyDescent="0.25">
      <c r="A222" s="73">
        <v>44744</v>
      </c>
      <c r="B222" s="74" t="s">
        <v>21494</v>
      </c>
      <c r="C222" s="75" t="s">
        <v>79</v>
      </c>
      <c r="D222" s="81">
        <v>23016.799999999999</v>
      </c>
      <c r="E222" s="151">
        <v>44744</v>
      </c>
      <c r="F222" s="81">
        <v>23016.799999999999</v>
      </c>
      <c r="G222" s="156">
        <f>Tabla18[[#This Row],[Importe]]-Tabla18[[#This Row],[Pagado]]</f>
        <v>0</v>
      </c>
      <c r="H222" s="75" t="s">
        <v>10</v>
      </c>
    </row>
    <row r="223" spans="1:8" x14ac:dyDescent="0.25">
      <c r="A223" s="148">
        <v>44744</v>
      </c>
      <c r="B223" s="149" t="s">
        <v>21495</v>
      </c>
      <c r="C223" s="153" t="s">
        <v>31</v>
      </c>
      <c r="D223" s="154">
        <v>1099.7</v>
      </c>
      <c r="E223" s="155">
        <v>44744</v>
      </c>
      <c r="F223" s="154">
        <v>1099.7</v>
      </c>
      <c r="G223" s="156">
        <f>Tabla18[[#This Row],[Importe]]-Tabla18[[#This Row],[Pagado]]</f>
        <v>0</v>
      </c>
      <c r="H223" s="153" t="s">
        <v>10</v>
      </c>
    </row>
    <row r="224" spans="1:8" x14ac:dyDescent="0.25">
      <c r="A224" s="73">
        <v>44744</v>
      </c>
      <c r="B224" s="74" t="s">
        <v>21496</v>
      </c>
      <c r="C224" s="75" t="s">
        <v>67</v>
      </c>
      <c r="D224" s="81">
        <v>3089.6</v>
      </c>
      <c r="E224" s="151">
        <v>44744</v>
      </c>
      <c r="F224" s="81">
        <v>3089.6</v>
      </c>
      <c r="G224" s="156">
        <f>Tabla18[[#This Row],[Importe]]-Tabla18[[#This Row],[Pagado]]</f>
        <v>0</v>
      </c>
      <c r="H224" s="75" t="s">
        <v>10</v>
      </c>
    </row>
    <row r="225" spans="1:8" x14ac:dyDescent="0.25">
      <c r="A225" s="148">
        <v>44744</v>
      </c>
      <c r="B225" s="149" t="s">
        <v>21497</v>
      </c>
      <c r="C225" s="153" t="s">
        <v>107</v>
      </c>
      <c r="D225" s="154">
        <v>31283.200000000001</v>
      </c>
      <c r="E225" s="155">
        <v>44744</v>
      </c>
      <c r="F225" s="154">
        <v>31283.200000000001</v>
      </c>
      <c r="G225" s="156">
        <f>Tabla18[[#This Row],[Importe]]-Tabla18[[#This Row],[Pagado]]</f>
        <v>0</v>
      </c>
      <c r="H225" s="153" t="s">
        <v>10</v>
      </c>
    </row>
    <row r="226" spans="1:8" x14ac:dyDescent="0.25">
      <c r="A226" s="73">
        <v>44744</v>
      </c>
      <c r="B226" s="74" t="s">
        <v>21498</v>
      </c>
      <c r="C226" s="75" t="s">
        <v>12202</v>
      </c>
      <c r="D226" s="81">
        <v>4100</v>
      </c>
      <c r="E226" s="151">
        <v>44744</v>
      </c>
      <c r="F226" s="81">
        <v>4100</v>
      </c>
      <c r="G226" s="156">
        <f>Tabla18[[#This Row],[Importe]]-Tabla18[[#This Row],[Pagado]]</f>
        <v>0</v>
      </c>
      <c r="H226" s="75" t="s">
        <v>10</v>
      </c>
    </row>
    <row r="227" spans="1:8" x14ac:dyDescent="0.25">
      <c r="A227" s="148">
        <v>44744</v>
      </c>
      <c r="B227" s="149" t="s">
        <v>21499</v>
      </c>
      <c r="C227" s="153" t="s">
        <v>421</v>
      </c>
      <c r="D227" s="154">
        <v>2174.9</v>
      </c>
      <c r="E227" s="155">
        <v>44744</v>
      </c>
      <c r="F227" s="154">
        <v>2174.9</v>
      </c>
      <c r="G227" s="156">
        <f>Tabla18[[#This Row],[Importe]]-Tabla18[[#This Row],[Pagado]]</f>
        <v>0</v>
      </c>
      <c r="H227" s="153" t="s">
        <v>10</v>
      </c>
    </row>
    <row r="228" spans="1:8" x14ac:dyDescent="0.25">
      <c r="A228" s="73">
        <v>44744</v>
      </c>
      <c r="B228" s="74" t="s">
        <v>21500</v>
      </c>
      <c r="C228" s="75" t="s">
        <v>7444</v>
      </c>
      <c r="D228" s="81">
        <v>15080</v>
      </c>
      <c r="E228" s="151">
        <v>44749</v>
      </c>
      <c r="F228" s="81">
        <v>15080</v>
      </c>
      <c r="G228" s="156">
        <f>Tabla18[[#This Row],[Importe]]-Tabla18[[#This Row],[Pagado]]</f>
        <v>0</v>
      </c>
      <c r="H228" s="75" t="s">
        <v>10</v>
      </c>
    </row>
    <row r="229" spans="1:8" x14ac:dyDescent="0.25">
      <c r="A229" s="148">
        <v>44744</v>
      </c>
      <c r="B229" s="149" t="s">
        <v>21501</v>
      </c>
      <c r="C229" s="153" t="s">
        <v>414</v>
      </c>
      <c r="D229" s="154">
        <v>21672</v>
      </c>
      <c r="E229" s="155">
        <v>44744</v>
      </c>
      <c r="F229" s="154">
        <v>21672</v>
      </c>
      <c r="G229" s="156">
        <f>Tabla18[[#This Row],[Importe]]-Tabla18[[#This Row],[Pagado]]</f>
        <v>0</v>
      </c>
      <c r="H229" s="153" t="s">
        <v>10</v>
      </c>
    </row>
    <row r="230" spans="1:8" x14ac:dyDescent="0.25">
      <c r="A230" s="73">
        <v>44744</v>
      </c>
      <c r="B230" s="74" t="s">
        <v>21502</v>
      </c>
      <c r="C230" s="75" t="s">
        <v>414</v>
      </c>
      <c r="D230" s="81">
        <v>291330</v>
      </c>
      <c r="E230" s="151" t="s">
        <v>4813</v>
      </c>
      <c r="F230" s="81">
        <v>0</v>
      </c>
      <c r="G230" s="156">
        <f>Tabla18[[#This Row],[Importe]]-Tabla18[[#This Row],[Pagado]]</f>
        <v>291330</v>
      </c>
      <c r="H230" s="75" t="s">
        <v>4814</v>
      </c>
    </row>
    <row r="231" spans="1:8" x14ac:dyDescent="0.25">
      <c r="A231" s="148">
        <v>44744</v>
      </c>
      <c r="B231" s="149" t="s">
        <v>21503</v>
      </c>
      <c r="C231" s="153" t="s">
        <v>181</v>
      </c>
      <c r="D231" s="154">
        <v>19405.8</v>
      </c>
      <c r="E231" s="155">
        <v>44745</v>
      </c>
      <c r="F231" s="154">
        <v>19405.8</v>
      </c>
      <c r="G231" s="156">
        <f>Tabla18[[#This Row],[Importe]]-Tabla18[[#This Row],[Pagado]]</f>
        <v>0</v>
      </c>
      <c r="H231" s="153" t="s">
        <v>10</v>
      </c>
    </row>
    <row r="232" spans="1:8" x14ac:dyDescent="0.25">
      <c r="A232" s="73">
        <v>44744</v>
      </c>
      <c r="B232" s="74" t="s">
        <v>21504</v>
      </c>
      <c r="C232" s="75" t="s">
        <v>200</v>
      </c>
      <c r="D232" s="81">
        <v>3569.7</v>
      </c>
      <c r="E232" s="151">
        <v>44745</v>
      </c>
      <c r="F232" s="81">
        <v>3569.7</v>
      </c>
      <c r="G232" s="156">
        <f>Tabla18[[#This Row],[Importe]]-Tabla18[[#This Row],[Pagado]]</f>
        <v>0</v>
      </c>
      <c r="H232" s="75" t="s">
        <v>10</v>
      </c>
    </row>
    <row r="233" spans="1:8" x14ac:dyDescent="0.25">
      <c r="A233" s="148">
        <v>44744</v>
      </c>
      <c r="B233" s="149" t="s">
        <v>21505</v>
      </c>
      <c r="C233" s="153" t="s">
        <v>426</v>
      </c>
      <c r="D233" s="154">
        <v>250.8</v>
      </c>
      <c r="E233" s="155">
        <v>44745</v>
      </c>
      <c r="F233" s="154">
        <v>250.8</v>
      </c>
      <c r="G233" s="156">
        <f>Tabla18[[#This Row],[Importe]]-Tabla18[[#This Row],[Pagado]]</f>
        <v>0</v>
      </c>
      <c r="H233" s="153" t="s">
        <v>10</v>
      </c>
    </row>
    <row r="234" spans="1:8" x14ac:dyDescent="0.25">
      <c r="A234" s="73">
        <v>44744</v>
      </c>
      <c r="B234" s="74" t="s">
        <v>21506</v>
      </c>
      <c r="C234" s="75" t="s">
        <v>576</v>
      </c>
      <c r="D234" s="81">
        <v>320</v>
      </c>
      <c r="E234" s="151">
        <v>44745</v>
      </c>
      <c r="F234" s="81">
        <v>320</v>
      </c>
      <c r="G234" s="156">
        <f>Tabla18[[#This Row],[Importe]]-Tabla18[[#This Row],[Pagado]]</f>
        <v>0</v>
      </c>
      <c r="H234" s="75" t="s">
        <v>10</v>
      </c>
    </row>
    <row r="235" spans="1:8" x14ac:dyDescent="0.25">
      <c r="A235" s="148">
        <v>44744</v>
      </c>
      <c r="B235" s="149" t="s">
        <v>21507</v>
      </c>
      <c r="C235" s="153" t="s">
        <v>35</v>
      </c>
      <c r="D235" s="154">
        <v>3821.6</v>
      </c>
      <c r="E235" s="155">
        <v>44744</v>
      </c>
      <c r="F235" s="154">
        <v>3821.6</v>
      </c>
      <c r="G235" s="156">
        <f>Tabla18[[#This Row],[Importe]]-Tabla18[[#This Row],[Pagado]]</f>
        <v>0</v>
      </c>
      <c r="H235" s="153" t="s">
        <v>10</v>
      </c>
    </row>
    <row r="236" spans="1:8" ht="31.5" x14ac:dyDescent="0.25">
      <c r="A236" s="73">
        <v>44744</v>
      </c>
      <c r="B236" s="74" t="s">
        <v>21508</v>
      </c>
      <c r="C236" s="75" t="s">
        <v>2151</v>
      </c>
      <c r="D236" s="81">
        <v>5114.8999999999996</v>
      </c>
      <c r="E236" s="147" t="s">
        <v>21509</v>
      </c>
      <c r="F236" s="81">
        <f>4114.9+1000</f>
        <v>5114.8999999999996</v>
      </c>
      <c r="G236" s="156">
        <f>Tabla18[[#This Row],[Importe]]-Tabla18[[#This Row],[Pagado]]</f>
        <v>0</v>
      </c>
      <c r="H236" s="75" t="s">
        <v>10</v>
      </c>
    </row>
    <row r="237" spans="1:8" x14ac:dyDescent="0.25">
      <c r="A237" s="148">
        <v>44744</v>
      </c>
      <c r="B237" s="149" t="s">
        <v>21510</v>
      </c>
      <c r="C237" s="153" t="s">
        <v>9</v>
      </c>
      <c r="D237" s="154">
        <v>564.20000000000005</v>
      </c>
      <c r="E237" s="155">
        <v>44744</v>
      </c>
      <c r="F237" s="154">
        <v>564.20000000000005</v>
      </c>
      <c r="G237" s="156">
        <f>Tabla18[[#This Row],[Importe]]-Tabla18[[#This Row],[Pagado]]</f>
        <v>0</v>
      </c>
      <c r="H237" s="153" t="s">
        <v>10</v>
      </c>
    </row>
    <row r="238" spans="1:8" x14ac:dyDescent="0.25">
      <c r="A238" s="73">
        <v>44744</v>
      </c>
      <c r="B238" s="74" t="s">
        <v>21511</v>
      </c>
      <c r="C238" s="75" t="s">
        <v>175</v>
      </c>
      <c r="D238" s="81">
        <v>9538.2000000000007</v>
      </c>
      <c r="E238" s="151">
        <v>44745</v>
      </c>
      <c r="F238" s="81">
        <v>9538.2000000000007</v>
      </c>
      <c r="G238" s="156">
        <f>Tabla18[[#This Row],[Importe]]-Tabla18[[#This Row],[Pagado]]</f>
        <v>0</v>
      </c>
      <c r="H238" s="75" t="s">
        <v>10</v>
      </c>
    </row>
    <row r="239" spans="1:8" x14ac:dyDescent="0.25">
      <c r="A239" s="148">
        <v>44744</v>
      </c>
      <c r="B239" s="149" t="s">
        <v>21512</v>
      </c>
      <c r="C239" s="153" t="s">
        <v>31</v>
      </c>
      <c r="D239" s="154">
        <v>2188</v>
      </c>
      <c r="E239" s="155">
        <v>44744</v>
      </c>
      <c r="F239" s="154">
        <v>2188</v>
      </c>
      <c r="G239" s="156">
        <f>Tabla18[[#This Row],[Importe]]-Tabla18[[#This Row],[Pagado]]</f>
        <v>0</v>
      </c>
      <c r="H239" s="153" t="s">
        <v>10</v>
      </c>
    </row>
    <row r="240" spans="1:8" x14ac:dyDescent="0.25">
      <c r="A240" s="73">
        <v>44744</v>
      </c>
      <c r="B240" s="74" t="s">
        <v>21513</v>
      </c>
      <c r="C240" s="75" t="s">
        <v>273</v>
      </c>
      <c r="D240" s="81">
        <v>2402.4</v>
      </c>
      <c r="E240" s="151">
        <v>44745</v>
      </c>
      <c r="F240" s="81">
        <v>2402.4</v>
      </c>
      <c r="G240" s="156">
        <f>Tabla18[[#This Row],[Importe]]-Tabla18[[#This Row],[Pagado]]</f>
        <v>0</v>
      </c>
      <c r="H240" s="75" t="s">
        <v>10</v>
      </c>
    </row>
    <row r="241" spans="1:8" x14ac:dyDescent="0.25">
      <c r="A241" s="148">
        <v>44744</v>
      </c>
      <c r="B241" s="149" t="s">
        <v>21514</v>
      </c>
      <c r="C241" s="153" t="s">
        <v>296</v>
      </c>
      <c r="D241" s="154">
        <v>2456</v>
      </c>
      <c r="E241" s="155">
        <v>44744</v>
      </c>
      <c r="F241" s="154">
        <v>2456</v>
      </c>
      <c r="G241" s="156">
        <f>Tabla18[[#This Row],[Importe]]-Tabla18[[#This Row],[Pagado]]</f>
        <v>0</v>
      </c>
      <c r="H241" s="153" t="s">
        <v>10</v>
      </c>
    </row>
    <row r="242" spans="1:8" x14ac:dyDescent="0.25">
      <c r="A242" s="73">
        <v>44744</v>
      </c>
      <c r="B242" s="74" t="s">
        <v>21515</v>
      </c>
      <c r="C242" s="75" t="s">
        <v>857</v>
      </c>
      <c r="D242" s="81">
        <v>1272</v>
      </c>
      <c r="E242" s="151">
        <v>44744</v>
      </c>
      <c r="F242" s="81">
        <v>1272</v>
      </c>
      <c r="G242" s="156">
        <f>Tabla18[[#This Row],[Importe]]-Tabla18[[#This Row],[Pagado]]</f>
        <v>0</v>
      </c>
      <c r="H242" s="75" t="s">
        <v>10</v>
      </c>
    </row>
    <row r="243" spans="1:8" x14ac:dyDescent="0.25">
      <c r="A243" s="148">
        <v>44744</v>
      </c>
      <c r="B243" s="149" t="s">
        <v>21516</v>
      </c>
      <c r="C243" s="153" t="s">
        <v>21517</v>
      </c>
      <c r="D243" s="154">
        <v>0</v>
      </c>
      <c r="E243" s="158" t="s">
        <v>189</v>
      </c>
      <c r="F243" s="154">
        <v>0</v>
      </c>
      <c r="G243" s="156">
        <f>Tabla18[[#This Row],[Importe]]-Tabla18[[#This Row],[Pagado]]</f>
        <v>0</v>
      </c>
      <c r="H243" s="159" t="s">
        <v>21518</v>
      </c>
    </row>
    <row r="244" spans="1:8" x14ac:dyDescent="0.25">
      <c r="A244" s="73">
        <v>44744</v>
      </c>
      <c r="B244" s="74" t="s">
        <v>21519</v>
      </c>
      <c r="C244" s="75" t="s">
        <v>9993</v>
      </c>
      <c r="D244" s="81">
        <v>56999.91</v>
      </c>
      <c r="E244" s="151">
        <v>44744</v>
      </c>
      <c r="F244" s="81">
        <v>56999.91</v>
      </c>
      <c r="G244" s="156">
        <f>Tabla18[[#This Row],[Importe]]-Tabla18[[#This Row],[Pagado]]</f>
        <v>0</v>
      </c>
      <c r="H244" s="75" t="s">
        <v>10</v>
      </c>
    </row>
    <row r="245" spans="1:8" x14ac:dyDescent="0.25">
      <c r="A245" s="148">
        <v>44744</v>
      </c>
      <c r="B245" s="149" t="s">
        <v>21520</v>
      </c>
      <c r="C245" s="153" t="s">
        <v>284</v>
      </c>
      <c r="D245" s="154">
        <v>15912</v>
      </c>
      <c r="E245" s="155">
        <v>44745</v>
      </c>
      <c r="F245" s="154">
        <v>15912</v>
      </c>
      <c r="G245" s="156">
        <f>Tabla18[[#This Row],[Importe]]-Tabla18[[#This Row],[Pagado]]</f>
        <v>0</v>
      </c>
      <c r="H245" s="153" t="s">
        <v>10</v>
      </c>
    </row>
    <row r="246" spans="1:8" x14ac:dyDescent="0.25">
      <c r="A246" s="73">
        <v>44744</v>
      </c>
      <c r="B246" s="74" t="s">
        <v>21521</v>
      </c>
      <c r="C246" s="75" t="s">
        <v>5345</v>
      </c>
      <c r="D246" s="81">
        <v>7351.2</v>
      </c>
      <c r="E246" s="151">
        <v>44745</v>
      </c>
      <c r="F246" s="81">
        <v>7351.2</v>
      </c>
      <c r="G246" s="156">
        <f>Tabla18[[#This Row],[Importe]]-Tabla18[[#This Row],[Pagado]]</f>
        <v>0</v>
      </c>
      <c r="H246" s="75" t="s">
        <v>10</v>
      </c>
    </row>
    <row r="247" spans="1:8" x14ac:dyDescent="0.25">
      <c r="A247" s="148">
        <v>44744</v>
      </c>
      <c r="B247" s="149" t="s">
        <v>21522</v>
      </c>
      <c r="C247" s="153" t="s">
        <v>280</v>
      </c>
      <c r="D247" s="154">
        <v>2224.8000000000002</v>
      </c>
      <c r="E247" s="155">
        <v>44745</v>
      </c>
      <c r="F247" s="154">
        <v>2224.8000000000002</v>
      </c>
      <c r="G247" s="156">
        <f>Tabla18[[#This Row],[Importe]]-Tabla18[[#This Row],[Pagado]]</f>
        <v>0</v>
      </c>
      <c r="H247" s="153" t="s">
        <v>10</v>
      </c>
    </row>
    <row r="248" spans="1:8" x14ac:dyDescent="0.25">
      <c r="A248" s="73">
        <v>44744</v>
      </c>
      <c r="B248" s="74" t="s">
        <v>21523</v>
      </c>
      <c r="C248" s="75" t="s">
        <v>282</v>
      </c>
      <c r="D248" s="81">
        <v>2419.1999999999998</v>
      </c>
      <c r="E248" s="151">
        <v>44745</v>
      </c>
      <c r="F248" s="81">
        <v>2419.1999999999998</v>
      </c>
      <c r="G248" s="156">
        <f>Tabla18[[#This Row],[Importe]]-Tabla18[[#This Row],[Pagado]]</f>
        <v>0</v>
      </c>
      <c r="H248" s="75" t="s">
        <v>10</v>
      </c>
    </row>
    <row r="249" spans="1:8" x14ac:dyDescent="0.25">
      <c r="A249" s="148">
        <v>44744</v>
      </c>
      <c r="B249" s="149" t="s">
        <v>21524</v>
      </c>
      <c r="C249" s="153" t="s">
        <v>1350</v>
      </c>
      <c r="D249" s="154">
        <v>975.2</v>
      </c>
      <c r="E249" s="155">
        <v>44745</v>
      </c>
      <c r="F249" s="154">
        <v>975.2</v>
      </c>
      <c r="G249" s="156">
        <f>Tabla18[[#This Row],[Importe]]-Tabla18[[#This Row],[Pagado]]</f>
        <v>0</v>
      </c>
      <c r="H249" s="153" t="s">
        <v>10</v>
      </c>
    </row>
    <row r="250" spans="1:8" x14ac:dyDescent="0.25">
      <c r="A250" s="73">
        <v>44744</v>
      </c>
      <c r="B250" s="74" t="s">
        <v>21525</v>
      </c>
      <c r="C250" s="75" t="s">
        <v>179</v>
      </c>
      <c r="D250" s="81">
        <v>1771.2</v>
      </c>
      <c r="E250" s="151">
        <v>44745</v>
      </c>
      <c r="F250" s="81">
        <v>1771.2</v>
      </c>
      <c r="G250" s="156">
        <f>Tabla18[[#This Row],[Importe]]-Tabla18[[#This Row],[Pagado]]</f>
        <v>0</v>
      </c>
      <c r="H250" s="75" t="s">
        <v>10</v>
      </c>
    </row>
    <row r="251" spans="1:8" x14ac:dyDescent="0.25">
      <c r="A251" s="148">
        <v>44744</v>
      </c>
      <c r="B251" s="149" t="s">
        <v>21526</v>
      </c>
      <c r="C251" s="153" t="s">
        <v>431</v>
      </c>
      <c r="D251" s="154">
        <v>885.6</v>
      </c>
      <c r="E251" s="155">
        <v>44745</v>
      </c>
      <c r="F251" s="154">
        <v>885.6</v>
      </c>
      <c r="G251" s="156">
        <f>Tabla18[[#This Row],[Importe]]-Tabla18[[#This Row],[Pagado]]</f>
        <v>0</v>
      </c>
      <c r="H251" s="153" t="s">
        <v>10</v>
      </c>
    </row>
    <row r="252" spans="1:8" x14ac:dyDescent="0.25">
      <c r="A252" s="73">
        <v>44744</v>
      </c>
      <c r="B252" s="74" t="s">
        <v>21527</v>
      </c>
      <c r="C252" s="75" t="s">
        <v>135</v>
      </c>
      <c r="D252" s="81">
        <v>1028.5999999999999</v>
      </c>
      <c r="E252" s="151">
        <v>44745</v>
      </c>
      <c r="F252" s="81">
        <v>1028.5999999999999</v>
      </c>
      <c r="G252" s="156">
        <f>Tabla18[[#This Row],[Importe]]-Tabla18[[#This Row],[Pagado]]</f>
        <v>0</v>
      </c>
      <c r="H252" s="75" t="s">
        <v>10</v>
      </c>
    </row>
    <row r="253" spans="1:8" x14ac:dyDescent="0.25">
      <c r="A253" s="148">
        <v>44744</v>
      </c>
      <c r="B253" s="149" t="s">
        <v>21528</v>
      </c>
      <c r="C253" s="153" t="s">
        <v>10819</v>
      </c>
      <c r="D253" s="154">
        <v>1518.4</v>
      </c>
      <c r="E253" s="155">
        <v>44745</v>
      </c>
      <c r="F253" s="154">
        <v>1518.4</v>
      </c>
      <c r="G253" s="156">
        <f>Tabla18[[#This Row],[Importe]]-Tabla18[[#This Row],[Pagado]]</f>
        <v>0</v>
      </c>
      <c r="H253" s="153" t="s">
        <v>10</v>
      </c>
    </row>
    <row r="254" spans="1:8" x14ac:dyDescent="0.25">
      <c r="A254" s="73">
        <v>44744</v>
      </c>
      <c r="B254" s="74" t="s">
        <v>21529</v>
      </c>
      <c r="C254" s="75" t="s">
        <v>142</v>
      </c>
      <c r="D254" s="81">
        <v>5205</v>
      </c>
      <c r="E254" s="151">
        <v>44799</v>
      </c>
      <c r="F254" s="81">
        <v>5205</v>
      </c>
      <c r="G254" s="156">
        <f>Tabla18[[#This Row],[Importe]]-Tabla18[[#This Row],[Pagado]]</f>
        <v>0</v>
      </c>
      <c r="H254" s="75" t="s">
        <v>10</v>
      </c>
    </row>
    <row r="255" spans="1:8" x14ac:dyDescent="0.25">
      <c r="A255" s="148">
        <v>44744</v>
      </c>
      <c r="B255" s="149" t="s">
        <v>21530</v>
      </c>
      <c r="C255" s="153" t="s">
        <v>10840</v>
      </c>
      <c r="D255" s="154">
        <v>4758</v>
      </c>
      <c r="E255" s="155">
        <v>44744</v>
      </c>
      <c r="F255" s="154">
        <v>4758</v>
      </c>
      <c r="G255" s="156">
        <f>Tabla18[[#This Row],[Importe]]-Tabla18[[#This Row],[Pagado]]</f>
        <v>0</v>
      </c>
      <c r="H255" s="153" t="s">
        <v>10</v>
      </c>
    </row>
    <row r="256" spans="1:8" x14ac:dyDescent="0.25">
      <c r="A256" s="73">
        <v>44744</v>
      </c>
      <c r="B256" s="74" t="s">
        <v>21531</v>
      </c>
      <c r="C256" s="75" t="s">
        <v>10190</v>
      </c>
      <c r="D256" s="81">
        <v>18158.400000000001</v>
      </c>
      <c r="E256" s="151">
        <v>44745</v>
      </c>
      <c r="F256" s="81">
        <v>18158.400000000001</v>
      </c>
      <c r="G256" s="156">
        <f>Tabla18[[#This Row],[Importe]]-Tabla18[[#This Row],[Pagado]]</f>
        <v>0</v>
      </c>
      <c r="H256" s="75" t="s">
        <v>10</v>
      </c>
    </row>
    <row r="257" spans="1:8" x14ac:dyDescent="0.25">
      <c r="A257" s="148">
        <v>44744</v>
      </c>
      <c r="B257" s="149" t="s">
        <v>21532</v>
      </c>
      <c r="C257" s="153" t="s">
        <v>31</v>
      </c>
      <c r="D257" s="154">
        <v>7406.4</v>
      </c>
      <c r="E257" s="155">
        <v>44744</v>
      </c>
      <c r="F257" s="154">
        <v>7406.4</v>
      </c>
      <c r="G257" s="156">
        <f>Tabla18[[#This Row],[Importe]]-Tabla18[[#This Row],[Pagado]]</f>
        <v>0</v>
      </c>
      <c r="H257" s="153" t="s">
        <v>10</v>
      </c>
    </row>
    <row r="258" spans="1:8" x14ac:dyDescent="0.25">
      <c r="A258" s="73">
        <v>44744</v>
      </c>
      <c r="B258" s="74" t="s">
        <v>21533</v>
      </c>
      <c r="C258" s="75" t="s">
        <v>442</v>
      </c>
      <c r="D258" s="81">
        <v>11542.6</v>
      </c>
      <c r="E258" s="151">
        <v>44744</v>
      </c>
      <c r="F258" s="81">
        <v>11542.6</v>
      </c>
      <c r="G258" s="156">
        <f>Tabla18[[#This Row],[Importe]]-Tabla18[[#This Row],[Pagado]]</f>
        <v>0</v>
      </c>
      <c r="H258" s="75" t="s">
        <v>10</v>
      </c>
    </row>
    <row r="259" spans="1:8" x14ac:dyDescent="0.25">
      <c r="A259" s="148">
        <v>44744</v>
      </c>
      <c r="B259" s="149" t="s">
        <v>21534</v>
      </c>
      <c r="C259" s="153" t="s">
        <v>407</v>
      </c>
      <c r="D259" s="154">
        <v>1684.8</v>
      </c>
      <c r="E259" s="155">
        <v>44746</v>
      </c>
      <c r="F259" s="154">
        <v>1684.8</v>
      </c>
      <c r="G259" s="156">
        <f>Tabla18[[#This Row],[Importe]]-Tabla18[[#This Row],[Pagado]]</f>
        <v>0</v>
      </c>
      <c r="H259" s="153" t="s">
        <v>10</v>
      </c>
    </row>
    <row r="260" spans="1:8" x14ac:dyDescent="0.25">
      <c r="A260" s="73">
        <v>44744</v>
      </c>
      <c r="B260" s="74" t="s">
        <v>21535</v>
      </c>
      <c r="C260" s="75" t="s">
        <v>31</v>
      </c>
      <c r="D260" s="81">
        <v>3055.2</v>
      </c>
      <c r="E260" s="151">
        <v>44744</v>
      </c>
      <c r="F260" s="81">
        <v>3055.2</v>
      </c>
      <c r="G260" s="156">
        <f>Tabla18[[#This Row],[Importe]]-Tabla18[[#This Row],[Pagado]]</f>
        <v>0</v>
      </c>
      <c r="H260" s="75" t="s">
        <v>10</v>
      </c>
    </row>
    <row r="261" spans="1:8" x14ac:dyDescent="0.25">
      <c r="A261" s="148">
        <v>44744</v>
      </c>
      <c r="B261" s="149" t="s">
        <v>21536</v>
      </c>
      <c r="C261" s="153" t="s">
        <v>51</v>
      </c>
      <c r="D261" s="154">
        <v>3672</v>
      </c>
      <c r="E261" s="155">
        <v>44744</v>
      </c>
      <c r="F261" s="154">
        <v>3672</v>
      </c>
      <c r="G261" s="156">
        <f>Tabla18[[#This Row],[Importe]]-Tabla18[[#This Row],[Pagado]]</f>
        <v>0</v>
      </c>
      <c r="H261" s="153" t="s">
        <v>10</v>
      </c>
    </row>
    <row r="262" spans="1:8" x14ac:dyDescent="0.25">
      <c r="A262" s="73">
        <v>44744</v>
      </c>
      <c r="B262" s="74" t="s">
        <v>21537</v>
      </c>
      <c r="C262" s="75" t="s">
        <v>7098</v>
      </c>
      <c r="D262" s="81">
        <v>400</v>
      </c>
      <c r="E262" s="151">
        <v>44745</v>
      </c>
      <c r="F262" s="81">
        <v>400</v>
      </c>
      <c r="G262" s="156">
        <f>Tabla18[[#This Row],[Importe]]-Tabla18[[#This Row],[Pagado]]</f>
        <v>0</v>
      </c>
      <c r="H262" s="75" t="s">
        <v>10</v>
      </c>
    </row>
    <row r="263" spans="1:8" x14ac:dyDescent="0.25">
      <c r="A263" s="148">
        <v>44744</v>
      </c>
      <c r="B263" s="149" t="s">
        <v>21538</v>
      </c>
      <c r="C263" s="153" t="s">
        <v>67</v>
      </c>
      <c r="D263" s="154">
        <v>309</v>
      </c>
      <c r="E263" s="155">
        <v>44744</v>
      </c>
      <c r="F263" s="154">
        <v>309</v>
      </c>
      <c r="G263" s="156">
        <f>Tabla18[[#This Row],[Importe]]-Tabla18[[#This Row],[Pagado]]</f>
        <v>0</v>
      </c>
      <c r="H263" s="153" t="s">
        <v>10</v>
      </c>
    </row>
    <row r="264" spans="1:8" x14ac:dyDescent="0.25">
      <c r="A264" s="73">
        <v>44744</v>
      </c>
      <c r="B264" s="74" t="s">
        <v>21539</v>
      </c>
      <c r="C264" s="75" t="s">
        <v>14</v>
      </c>
      <c r="D264" s="81">
        <v>25244.2</v>
      </c>
      <c r="E264" s="151">
        <v>44745</v>
      </c>
      <c r="F264" s="81">
        <v>25244.2</v>
      </c>
      <c r="G264" s="156">
        <f>Tabla18[[#This Row],[Importe]]-Tabla18[[#This Row],[Pagado]]</f>
        <v>0</v>
      </c>
      <c r="H264" s="75" t="s">
        <v>10</v>
      </c>
    </row>
    <row r="265" spans="1:8" x14ac:dyDescent="0.25">
      <c r="A265" s="148">
        <v>44744</v>
      </c>
      <c r="B265" s="149" t="s">
        <v>21540</v>
      </c>
      <c r="C265" s="153" t="s">
        <v>1706</v>
      </c>
      <c r="D265" s="154">
        <v>7800</v>
      </c>
      <c r="E265" s="155">
        <v>44745</v>
      </c>
      <c r="F265" s="154">
        <v>7800</v>
      </c>
      <c r="G265" s="156">
        <f>Tabla18[[#This Row],[Importe]]-Tabla18[[#This Row],[Pagado]]</f>
        <v>0</v>
      </c>
      <c r="H265" s="153" t="s">
        <v>10</v>
      </c>
    </row>
    <row r="266" spans="1:8" x14ac:dyDescent="0.25">
      <c r="A266" s="73">
        <v>44744</v>
      </c>
      <c r="B266" s="74" t="s">
        <v>21541</v>
      </c>
      <c r="C266" s="75" t="s">
        <v>275</v>
      </c>
      <c r="D266" s="81">
        <v>50075.99</v>
      </c>
      <c r="E266" s="151">
        <v>44764</v>
      </c>
      <c r="F266" s="81">
        <v>50075.99</v>
      </c>
      <c r="G266" s="156">
        <f>Tabla18[[#This Row],[Importe]]-Tabla18[[#This Row],[Pagado]]</f>
        <v>0</v>
      </c>
      <c r="H266" s="75" t="s">
        <v>10</v>
      </c>
    </row>
    <row r="267" spans="1:8" x14ac:dyDescent="0.25">
      <c r="A267" s="148">
        <v>44745</v>
      </c>
      <c r="B267" s="149" t="s">
        <v>21542</v>
      </c>
      <c r="C267" s="153" t="s">
        <v>475</v>
      </c>
      <c r="D267" s="154">
        <v>55692.800000000003</v>
      </c>
      <c r="E267" s="155">
        <v>44746</v>
      </c>
      <c r="F267" s="154">
        <v>55692.800000000003</v>
      </c>
      <c r="G267" s="156">
        <f>Tabla18[[#This Row],[Importe]]-Tabla18[[#This Row],[Pagado]]</f>
        <v>0</v>
      </c>
      <c r="H267" s="153" t="s">
        <v>10</v>
      </c>
    </row>
    <row r="268" spans="1:8" x14ac:dyDescent="0.25">
      <c r="A268" s="73">
        <v>44745</v>
      </c>
      <c r="B268" s="74" t="s">
        <v>21543</v>
      </c>
      <c r="C268" s="75" t="s">
        <v>33</v>
      </c>
      <c r="D268" s="81">
        <v>13328</v>
      </c>
      <c r="E268" s="151">
        <v>44745</v>
      </c>
      <c r="F268" s="81">
        <v>13328</v>
      </c>
      <c r="G268" s="156">
        <f>Tabla18[[#This Row],[Importe]]-Tabla18[[#This Row],[Pagado]]</f>
        <v>0</v>
      </c>
      <c r="H268" s="75" t="s">
        <v>10</v>
      </c>
    </row>
    <row r="269" spans="1:8" x14ac:dyDescent="0.25">
      <c r="A269" s="148">
        <v>44745</v>
      </c>
      <c r="B269" s="149" t="s">
        <v>21544</v>
      </c>
      <c r="C269" s="153" t="s">
        <v>481</v>
      </c>
      <c r="D269" s="154">
        <v>1574.6</v>
      </c>
      <c r="E269" s="155">
        <v>44745</v>
      </c>
      <c r="F269" s="154">
        <v>1574.6</v>
      </c>
      <c r="G269" s="156">
        <f>Tabla18[[#This Row],[Importe]]-Tabla18[[#This Row],[Pagado]]</f>
        <v>0</v>
      </c>
      <c r="H269" s="153" t="s">
        <v>10</v>
      </c>
    </row>
    <row r="270" spans="1:8" x14ac:dyDescent="0.25">
      <c r="A270" s="73">
        <v>44745</v>
      </c>
      <c r="B270" s="74" t="s">
        <v>21545</v>
      </c>
      <c r="C270" s="75" t="s">
        <v>9</v>
      </c>
      <c r="D270" s="81">
        <v>11771.3</v>
      </c>
      <c r="E270" s="151">
        <v>44745</v>
      </c>
      <c r="F270" s="81">
        <v>11771.3</v>
      </c>
      <c r="G270" s="156">
        <f>Tabla18[[#This Row],[Importe]]-Tabla18[[#This Row],[Pagado]]</f>
        <v>0</v>
      </c>
      <c r="H270" s="75" t="s">
        <v>10</v>
      </c>
    </row>
    <row r="271" spans="1:8" x14ac:dyDescent="0.25">
      <c r="A271" s="148">
        <v>44745</v>
      </c>
      <c r="B271" s="149" t="s">
        <v>21546</v>
      </c>
      <c r="C271" s="153" t="s">
        <v>1187</v>
      </c>
      <c r="D271" s="154">
        <v>1105.2</v>
      </c>
      <c r="E271" s="155">
        <v>44745</v>
      </c>
      <c r="F271" s="154">
        <v>1105.2</v>
      </c>
      <c r="G271" s="156">
        <f>Tabla18[[#This Row],[Importe]]-Tabla18[[#This Row],[Pagado]]</f>
        <v>0</v>
      </c>
      <c r="H271" s="153" t="s">
        <v>10</v>
      </c>
    </row>
    <row r="272" spans="1:8" x14ac:dyDescent="0.25">
      <c r="A272" s="73">
        <v>44745</v>
      </c>
      <c r="B272" s="74" t="s">
        <v>21547</v>
      </c>
      <c r="C272" s="75" t="s">
        <v>105</v>
      </c>
      <c r="D272" s="81">
        <v>2299.5</v>
      </c>
      <c r="E272" s="151">
        <v>44745</v>
      </c>
      <c r="F272" s="81">
        <v>2299.5</v>
      </c>
      <c r="G272" s="156">
        <f>Tabla18[[#This Row],[Importe]]-Tabla18[[#This Row],[Pagado]]</f>
        <v>0</v>
      </c>
      <c r="H272" s="75" t="s">
        <v>10</v>
      </c>
    </row>
    <row r="273" spans="1:8" x14ac:dyDescent="0.25">
      <c r="A273" s="148">
        <v>44745</v>
      </c>
      <c r="B273" s="149" t="s">
        <v>21548</v>
      </c>
      <c r="C273" s="153" t="s">
        <v>348</v>
      </c>
      <c r="D273" s="154">
        <v>1022</v>
      </c>
      <c r="E273" s="155">
        <v>44745</v>
      </c>
      <c r="F273" s="154">
        <v>1022</v>
      </c>
      <c r="G273" s="156">
        <f>Tabla18[[#This Row],[Importe]]-Tabla18[[#This Row],[Pagado]]</f>
        <v>0</v>
      </c>
      <c r="H273" s="153" t="s">
        <v>10</v>
      </c>
    </row>
    <row r="274" spans="1:8" x14ac:dyDescent="0.25">
      <c r="A274" s="73">
        <v>44745</v>
      </c>
      <c r="B274" s="74" t="s">
        <v>21549</v>
      </c>
      <c r="C274" s="75" t="s">
        <v>22</v>
      </c>
      <c r="D274" s="81">
        <v>80599.399999999994</v>
      </c>
      <c r="E274" s="151">
        <v>44746</v>
      </c>
      <c r="F274" s="81">
        <v>80599.399999999994</v>
      </c>
      <c r="G274" s="156">
        <f>Tabla18[[#This Row],[Importe]]-Tabla18[[#This Row],[Pagado]]</f>
        <v>0</v>
      </c>
      <c r="H274" s="75" t="s">
        <v>10</v>
      </c>
    </row>
    <row r="275" spans="1:8" x14ac:dyDescent="0.25">
      <c r="A275" s="148">
        <v>44745</v>
      </c>
      <c r="B275" s="149" t="s">
        <v>21550</v>
      </c>
      <c r="C275" s="153" t="s">
        <v>16</v>
      </c>
      <c r="D275" s="154">
        <v>11259.4</v>
      </c>
      <c r="E275" s="155">
        <v>44745</v>
      </c>
      <c r="F275" s="154">
        <v>11259.4</v>
      </c>
      <c r="G275" s="156">
        <f>Tabla18[[#This Row],[Importe]]-Tabla18[[#This Row],[Pagado]]</f>
        <v>0</v>
      </c>
      <c r="H275" s="153" t="s">
        <v>10</v>
      </c>
    </row>
    <row r="276" spans="1:8" x14ac:dyDescent="0.25">
      <c r="A276" s="73">
        <v>44745</v>
      </c>
      <c r="B276" s="74" t="s">
        <v>21551</v>
      </c>
      <c r="C276" s="75" t="s">
        <v>56</v>
      </c>
      <c r="D276" s="81">
        <v>8310</v>
      </c>
      <c r="E276" s="151">
        <v>44745</v>
      </c>
      <c r="F276" s="81">
        <v>8310</v>
      </c>
      <c r="G276" s="156">
        <f>Tabla18[[#This Row],[Importe]]-Tabla18[[#This Row],[Pagado]]</f>
        <v>0</v>
      </c>
      <c r="H276" s="75" t="s">
        <v>10</v>
      </c>
    </row>
    <row r="277" spans="1:8" x14ac:dyDescent="0.25">
      <c r="A277" s="148">
        <v>44745</v>
      </c>
      <c r="B277" s="149" t="s">
        <v>21552</v>
      </c>
      <c r="C277" s="153" t="s">
        <v>12</v>
      </c>
      <c r="D277" s="154">
        <v>7714</v>
      </c>
      <c r="E277" s="155">
        <v>44745</v>
      </c>
      <c r="F277" s="154">
        <v>7714</v>
      </c>
      <c r="G277" s="156">
        <f>Tabla18[[#This Row],[Importe]]-Tabla18[[#This Row],[Pagado]]</f>
        <v>0</v>
      </c>
      <c r="H277" s="153" t="s">
        <v>10</v>
      </c>
    </row>
    <row r="278" spans="1:8" x14ac:dyDescent="0.25">
      <c r="A278" s="73">
        <v>44745</v>
      </c>
      <c r="B278" s="74" t="s">
        <v>21553</v>
      </c>
      <c r="C278" s="75" t="s">
        <v>24</v>
      </c>
      <c r="D278" s="81">
        <v>3714.8</v>
      </c>
      <c r="E278" s="151">
        <v>44745</v>
      </c>
      <c r="F278" s="81">
        <v>3714.8</v>
      </c>
      <c r="G278" s="156">
        <f>Tabla18[[#This Row],[Importe]]-Tabla18[[#This Row],[Pagado]]</f>
        <v>0</v>
      </c>
      <c r="H278" s="75" t="s">
        <v>10</v>
      </c>
    </row>
    <row r="279" spans="1:8" x14ac:dyDescent="0.25">
      <c r="A279" s="148">
        <v>44745</v>
      </c>
      <c r="B279" s="149" t="s">
        <v>21554</v>
      </c>
      <c r="C279" s="153" t="s">
        <v>56</v>
      </c>
      <c r="D279" s="154">
        <v>1467.2</v>
      </c>
      <c r="E279" s="155">
        <v>44745</v>
      </c>
      <c r="F279" s="154">
        <v>1467.2</v>
      </c>
      <c r="G279" s="156">
        <f>Tabla18[[#This Row],[Importe]]-Tabla18[[#This Row],[Pagado]]</f>
        <v>0</v>
      </c>
      <c r="H279" s="153" t="s">
        <v>10</v>
      </c>
    </row>
    <row r="280" spans="1:8" x14ac:dyDescent="0.25">
      <c r="A280" s="73">
        <v>44745</v>
      </c>
      <c r="B280" s="74" t="s">
        <v>21555</v>
      </c>
      <c r="C280" s="75" t="s">
        <v>49</v>
      </c>
      <c r="D280" s="81">
        <v>5171.6000000000004</v>
      </c>
      <c r="E280" s="151">
        <v>44745</v>
      </c>
      <c r="F280" s="81">
        <v>5171.6000000000004</v>
      </c>
      <c r="G280" s="156">
        <f>Tabla18[[#This Row],[Importe]]-Tabla18[[#This Row],[Pagado]]</f>
        <v>0</v>
      </c>
      <c r="H280" s="75" t="s">
        <v>10</v>
      </c>
    </row>
    <row r="281" spans="1:8" x14ac:dyDescent="0.25">
      <c r="A281" s="148">
        <v>44745</v>
      </c>
      <c r="B281" s="149" t="s">
        <v>21556</v>
      </c>
      <c r="C281" s="153" t="s">
        <v>20</v>
      </c>
      <c r="D281" s="154">
        <v>1519.6</v>
      </c>
      <c r="E281" s="155">
        <v>44745</v>
      </c>
      <c r="F281" s="154">
        <v>1519.6</v>
      </c>
      <c r="G281" s="156">
        <f>Tabla18[[#This Row],[Importe]]-Tabla18[[#This Row],[Pagado]]</f>
        <v>0</v>
      </c>
      <c r="H281" s="153" t="s">
        <v>10</v>
      </c>
    </row>
    <row r="282" spans="1:8" x14ac:dyDescent="0.25">
      <c r="A282" s="73">
        <v>44745</v>
      </c>
      <c r="B282" s="74" t="s">
        <v>21557</v>
      </c>
      <c r="C282" s="75" t="s">
        <v>29</v>
      </c>
      <c r="D282" s="81">
        <v>10756.8</v>
      </c>
      <c r="E282" s="151">
        <v>44745</v>
      </c>
      <c r="F282" s="81">
        <v>10756.8</v>
      </c>
      <c r="G282" s="156">
        <f>Tabla18[[#This Row],[Importe]]-Tabla18[[#This Row],[Pagado]]</f>
        <v>0</v>
      </c>
      <c r="H282" s="75" t="s">
        <v>10</v>
      </c>
    </row>
    <row r="283" spans="1:8" x14ac:dyDescent="0.25">
      <c r="A283" s="148">
        <v>44745</v>
      </c>
      <c r="B283" s="149" t="s">
        <v>21558</v>
      </c>
      <c r="C283" s="153" t="s">
        <v>20</v>
      </c>
      <c r="D283" s="154">
        <v>9042.4</v>
      </c>
      <c r="E283" s="155">
        <v>44745</v>
      </c>
      <c r="F283" s="154">
        <v>9042.4</v>
      </c>
      <c r="G283" s="156">
        <f>Tabla18[[#This Row],[Importe]]-Tabla18[[#This Row],[Pagado]]</f>
        <v>0</v>
      </c>
      <c r="H283" s="153" t="s">
        <v>10</v>
      </c>
    </row>
    <row r="284" spans="1:8" x14ac:dyDescent="0.25">
      <c r="A284" s="73">
        <v>44745</v>
      </c>
      <c r="B284" s="74" t="s">
        <v>21559</v>
      </c>
      <c r="C284" s="75" t="s">
        <v>37</v>
      </c>
      <c r="D284" s="81">
        <v>2123.8000000000002</v>
      </c>
      <c r="E284" s="151">
        <v>44745</v>
      </c>
      <c r="F284" s="81">
        <v>2123.8000000000002</v>
      </c>
      <c r="G284" s="156">
        <f>Tabla18[[#This Row],[Importe]]-Tabla18[[#This Row],[Pagado]]</f>
        <v>0</v>
      </c>
      <c r="H284" s="75" t="s">
        <v>10</v>
      </c>
    </row>
    <row r="285" spans="1:8" x14ac:dyDescent="0.25">
      <c r="A285" s="148">
        <v>44745</v>
      </c>
      <c r="B285" s="149" t="s">
        <v>21560</v>
      </c>
      <c r="C285" s="153" t="s">
        <v>1003</v>
      </c>
      <c r="D285" s="154">
        <v>12436.2</v>
      </c>
      <c r="E285" s="155">
        <v>44749</v>
      </c>
      <c r="F285" s="154">
        <v>12436.2</v>
      </c>
      <c r="G285" s="156">
        <f>Tabla18[[#This Row],[Importe]]-Tabla18[[#This Row],[Pagado]]</f>
        <v>0</v>
      </c>
      <c r="H285" s="153" t="s">
        <v>10</v>
      </c>
    </row>
    <row r="286" spans="1:8" x14ac:dyDescent="0.25">
      <c r="A286" s="73">
        <v>44745</v>
      </c>
      <c r="B286" s="74" t="s">
        <v>21561</v>
      </c>
      <c r="C286" s="75" t="s">
        <v>6528</v>
      </c>
      <c r="D286" s="81">
        <v>9560.7999999999993</v>
      </c>
      <c r="E286" s="151">
        <v>44745</v>
      </c>
      <c r="F286" s="81">
        <v>9560.7999999999993</v>
      </c>
      <c r="G286" s="156">
        <f>Tabla18[[#This Row],[Importe]]-Tabla18[[#This Row],[Pagado]]</f>
        <v>0</v>
      </c>
      <c r="H286" s="75" t="s">
        <v>10</v>
      </c>
    </row>
    <row r="287" spans="1:8" x14ac:dyDescent="0.25">
      <c r="A287" s="148">
        <v>44745</v>
      </c>
      <c r="B287" s="149" t="s">
        <v>21562</v>
      </c>
      <c r="C287" s="153" t="s">
        <v>45</v>
      </c>
      <c r="D287" s="154">
        <v>8997</v>
      </c>
      <c r="E287" s="155">
        <v>44745</v>
      </c>
      <c r="F287" s="154">
        <v>8997</v>
      </c>
      <c r="G287" s="156">
        <f>Tabla18[[#This Row],[Importe]]-Tabla18[[#This Row],[Pagado]]</f>
        <v>0</v>
      </c>
      <c r="H287" s="153" t="s">
        <v>10</v>
      </c>
    </row>
    <row r="288" spans="1:8" x14ac:dyDescent="0.25">
      <c r="A288" s="73">
        <v>44745</v>
      </c>
      <c r="B288" s="74" t="s">
        <v>21563</v>
      </c>
      <c r="C288" s="75" t="s">
        <v>216</v>
      </c>
      <c r="D288" s="81">
        <v>3254.4</v>
      </c>
      <c r="E288" s="151">
        <v>44745</v>
      </c>
      <c r="F288" s="81">
        <v>3254.4</v>
      </c>
      <c r="G288" s="156">
        <f>Tabla18[[#This Row],[Importe]]-Tabla18[[#This Row],[Pagado]]</f>
        <v>0</v>
      </c>
      <c r="H288" s="75" t="s">
        <v>10</v>
      </c>
    </row>
    <row r="289" spans="1:8" x14ac:dyDescent="0.25">
      <c r="A289" s="148">
        <v>44745</v>
      </c>
      <c r="B289" s="149" t="s">
        <v>21564</v>
      </c>
      <c r="C289" s="153" t="s">
        <v>191</v>
      </c>
      <c r="D289" s="154">
        <v>180.4</v>
      </c>
      <c r="E289" s="155">
        <v>44745</v>
      </c>
      <c r="F289" s="154">
        <v>180.4</v>
      </c>
      <c r="G289" s="156">
        <f>Tabla18[[#This Row],[Importe]]-Tabla18[[#This Row],[Pagado]]</f>
        <v>0</v>
      </c>
      <c r="H289" s="153" t="s">
        <v>10</v>
      </c>
    </row>
    <row r="290" spans="1:8" x14ac:dyDescent="0.25">
      <c r="A290" s="73">
        <v>44745</v>
      </c>
      <c r="B290" s="74" t="s">
        <v>21565</v>
      </c>
      <c r="C290" s="75" t="s">
        <v>2139</v>
      </c>
      <c r="D290" s="81">
        <v>1719.5</v>
      </c>
      <c r="E290" s="151">
        <v>44745</v>
      </c>
      <c r="F290" s="81">
        <v>1719.5</v>
      </c>
      <c r="G290" s="156">
        <f>Tabla18[[#This Row],[Importe]]-Tabla18[[#This Row],[Pagado]]</f>
        <v>0</v>
      </c>
      <c r="H290" s="75" t="s">
        <v>10</v>
      </c>
    </row>
    <row r="291" spans="1:8" x14ac:dyDescent="0.25">
      <c r="A291" s="148">
        <v>44745</v>
      </c>
      <c r="B291" s="149" t="s">
        <v>21566</v>
      </c>
      <c r="C291" s="153" t="s">
        <v>4136</v>
      </c>
      <c r="D291" s="154">
        <v>2103.3000000000002</v>
      </c>
      <c r="E291" s="155">
        <v>44745</v>
      </c>
      <c r="F291" s="154">
        <v>2103.3000000000002</v>
      </c>
      <c r="G291" s="156">
        <f>Tabla18[[#This Row],[Importe]]-Tabla18[[#This Row],[Pagado]]</f>
        <v>0</v>
      </c>
      <c r="H291" s="153" t="s">
        <v>10</v>
      </c>
    </row>
    <row r="292" spans="1:8" x14ac:dyDescent="0.25">
      <c r="A292" s="73">
        <v>44745</v>
      </c>
      <c r="B292" s="74" t="s">
        <v>21567</v>
      </c>
      <c r="C292" s="75" t="s">
        <v>296</v>
      </c>
      <c r="D292" s="81">
        <v>5584.4</v>
      </c>
      <c r="E292" s="151">
        <v>44745</v>
      </c>
      <c r="F292" s="81">
        <v>5584.4</v>
      </c>
      <c r="G292" s="156">
        <f>Tabla18[[#This Row],[Importe]]-Tabla18[[#This Row],[Pagado]]</f>
        <v>0</v>
      </c>
      <c r="H292" s="75" t="s">
        <v>10</v>
      </c>
    </row>
    <row r="293" spans="1:8" x14ac:dyDescent="0.25">
      <c r="A293" s="148">
        <v>44745</v>
      </c>
      <c r="B293" s="149" t="s">
        <v>21568</v>
      </c>
      <c r="C293" s="153" t="s">
        <v>382</v>
      </c>
      <c r="D293" s="154">
        <v>6891.2</v>
      </c>
      <c r="E293" s="155">
        <v>44745</v>
      </c>
      <c r="F293" s="154">
        <v>6891.2</v>
      </c>
      <c r="G293" s="156">
        <f>Tabla18[[#This Row],[Importe]]-Tabla18[[#This Row],[Pagado]]</f>
        <v>0</v>
      </c>
      <c r="H293" s="153" t="s">
        <v>10</v>
      </c>
    </row>
    <row r="294" spans="1:8" x14ac:dyDescent="0.25">
      <c r="A294" s="73">
        <v>44745</v>
      </c>
      <c r="B294" s="74" t="s">
        <v>21569</v>
      </c>
      <c r="C294" s="75" t="s">
        <v>244</v>
      </c>
      <c r="D294" s="81">
        <v>1036.5999999999999</v>
      </c>
      <c r="E294" s="151">
        <v>44745</v>
      </c>
      <c r="F294" s="81">
        <v>1036.5999999999999</v>
      </c>
      <c r="G294" s="156">
        <f>Tabla18[[#This Row],[Importe]]-Tabla18[[#This Row],[Pagado]]</f>
        <v>0</v>
      </c>
      <c r="H294" s="75" t="s">
        <v>10</v>
      </c>
    </row>
    <row r="295" spans="1:8" x14ac:dyDescent="0.25">
      <c r="A295" s="148">
        <v>44745</v>
      </c>
      <c r="B295" s="149" t="s">
        <v>21570</v>
      </c>
      <c r="C295" s="153" t="s">
        <v>31</v>
      </c>
      <c r="D295" s="154">
        <v>590.4</v>
      </c>
      <c r="E295" s="155">
        <v>44745</v>
      </c>
      <c r="F295" s="154">
        <v>590.4</v>
      </c>
      <c r="G295" s="156">
        <f>Tabla18[[#This Row],[Importe]]-Tabla18[[#This Row],[Pagado]]</f>
        <v>0</v>
      </c>
      <c r="H295" s="153" t="s">
        <v>10</v>
      </c>
    </row>
    <row r="296" spans="1:8" x14ac:dyDescent="0.25">
      <c r="A296" s="73">
        <v>44745</v>
      </c>
      <c r="B296" s="74" t="s">
        <v>21571</v>
      </c>
      <c r="C296" s="75" t="s">
        <v>67</v>
      </c>
      <c r="D296" s="81">
        <v>4111.2</v>
      </c>
      <c r="E296" s="151">
        <v>44745</v>
      </c>
      <c r="F296" s="81">
        <v>4111.2</v>
      </c>
      <c r="G296" s="156">
        <f>Tabla18[[#This Row],[Importe]]-Tabla18[[#This Row],[Pagado]]</f>
        <v>0</v>
      </c>
      <c r="H296" s="75" t="s">
        <v>10</v>
      </c>
    </row>
    <row r="297" spans="1:8" x14ac:dyDescent="0.25">
      <c r="A297" s="148">
        <v>44745</v>
      </c>
      <c r="B297" s="149" t="s">
        <v>21572</v>
      </c>
      <c r="C297" s="153" t="s">
        <v>67</v>
      </c>
      <c r="D297" s="154">
        <v>274.39999999999998</v>
      </c>
      <c r="E297" s="155">
        <v>44745</v>
      </c>
      <c r="F297" s="154">
        <v>274.39999999999998</v>
      </c>
      <c r="G297" s="156">
        <f>Tabla18[[#This Row],[Importe]]-Tabla18[[#This Row],[Pagado]]</f>
        <v>0</v>
      </c>
      <c r="H297" s="153" t="s">
        <v>10</v>
      </c>
    </row>
    <row r="298" spans="1:8" x14ac:dyDescent="0.25">
      <c r="A298" s="73">
        <v>44745</v>
      </c>
      <c r="B298" s="74" t="s">
        <v>21573</v>
      </c>
      <c r="C298" s="75" t="s">
        <v>58</v>
      </c>
      <c r="D298" s="81">
        <v>3171.28</v>
      </c>
      <c r="E298" s="151">
        <v>44745</v>
      </c>
      <c r="F298" s="81">
        <v>3171.28</v>
      </c>
      <c r="G298" s="156">
        <f>Tabla18[[#This Row],[Importe]]-Tabla18[[#This Row],[Pagado]]</f>
        <v>0</v>
      </c>
      <c r="H298" s="75" t="s">
        <v>10</v>
      </c>
    </row>
    <row r="299" spans="1:8" x14ac:dyDescent="0.25">
      <c r="A299" s="148">
        <v>44745</v>
      </c>
      <c r="B299" s="149" t="s">
        <v>21574</v>
      </c>
      <c r="C299" s="153" t="s">
        <v>71</v>
      </c>
      <c r="D299" s="154">
        <v>4392.8</v>
      </c>
      <c r="E299" s="155">
        <v>44745</v>
      </c>
      <c r="F299" s="154">
        <v>4392.8</v>
      </c>
      <c r="G299" s="156">
        <f>Tabla18[[#This Row],[Importe]]-Tabla18[[#This Row],[Pagado]]</f>
        <v>0</v>
      </c>
      <c r="H299" s="153" t="s">
        <v>10</v>
      </c>
    </row>
    <row r="300" spans="1:8" x14ac:dyDescent="0.25">
      <c r="A300" s="73">
        <v>44745</v>
      </c>
      <c r="B300" s="74" t="s">
        <v>21575</v>
      </c>
      <c r="C300" s="75" t="s">
        <v>56</v>
      </c>
      <c r="D300" s="81">
        <v>2265</v>
      </c>
      <c r="E300" s="151">
        <v>44745</v>
      </c>
      <c r="F300" s="81">
        <v>2265</v>
      </c>
      <c r="G300" s="156">
        <f>Tabla18[[#This Row],[Importe]]-Tabla18[[#This Row],[Pagado]]</f>
        <v>0</v>
      </c>
      <c r="H300" s="75" t="s">
        <v>10</v>
      </c>
    </row>
    <row r="301" spans="1:8" x14ac:dyDescent="0.25">
      <c r="A301" s="148">
        <v>44745</v>
      </c>
      <c r="B301" s="149" t="s">
        <v>21576</v>
      </c>
      <c r="C301" s="153" t="s">
        <v>31</v>
      </c>
      <c r="D301" s="154">
        <v>584.6</v>
      </c>
      <c r="E301" s="155">
        <v>44745</v>
      </c>
      <c r="F301" s="154">
        <v>584.6</v>
      </c>
      <c r="G301" s="156">
        <f>Tabla18[[#This Row],[Importe]]-Tabla18[[#This Row],[Pagado]]</f>
        <v>0</v>
      </c>
      <c r="H301" s="153" t="s">
        <v>10</v>
      </c>
    </row>
    <row r="302" spans="1:8" x14ac:dyDescent="0.25">
      <c r="A302" s="73">
        <v>44745</v>
      </c>
      <c r="B302" s="74" t="s">
        <v>21577</v>
      </c>
      <c r="C302" s="75" t="s">
        <v>365</v>
      </c>
      <c r="D302" s="81">
        <v>758.1</v>
      </c>
      <c r="E302" s="151">
        <v>44745</v>
      </c>
      <c r="F302" s="81">
        <v>758.1</v>
      </c>
      <c r="G302" s="156">
        <f>Tabla18[[#This Row],[Importe]]-Tabla18[[#This Row],[Pagado]]</f>
        <v>0</v>
      </c>
      <c r="H302" s="75" t="s">
        <v>10</v>
      </c>
    </row>
    <row r="303" spans="1:8" x14ac:dyDescent="0.25">
      <c r="A303" s="148">
        <v>44745</v>
      </c>
      <c r="B303" s="149" t="s">
        <v>21578</v>
      </c>
      <c r="C303" s="153" t="s">
        <v>365</v>
      </c>
      <c r="D303" s="154">
        <v>2652.8</v>
      </c>
      <c r="E303" s="155">
        <v>44745</v>
      </c>
      <c r="F303" s="154">
        <v>2652.8</v>
      </c>
      <c r="G303" s="156">
        <f>Tabla18[[#This Row],[Importe]]-Tabla18[[#This Row],[Pagado]]</f>
        <v>0</v>
      </c>
      <c r="H303" s="153" t="s">
        <v>10</v>
      </c>
    </row>
    <row r="304" spans="1:8" x14ac:dyDescent="0.25">
      <c r="A304" s="73">
        <v>44745</v>
      </c>
      <c r="B304" s="74" t="s">
        <v>21579</v>
      </c>
      <c r="C304" s="75" t="s">
        <v>15039</v>
      </c>
      <c r="D304" s="81">
        <v>2025.1</v>
      </c>
      <c r="E304" s="151">
        <v>44745</v>
      </c>
      <c r="F304" s="81">
        <v>2025.1</v>
      </c>
      <c r="G304" s="156">
        <f>Tabla18[[#This Row],[Importe]]-Tabla18[[#This Row],[Pagado]]</f>
        <v>0</v>
      </c>
      <c r="H304" s="75" t="s">
        <v>10</v>
      </c>
    </row>
    <row r="305" spans="1:8" x14ac:dyDescent="0.25">
      <c r="A305" s="148">
        <v>44745</v>
      </c>
      <c r="B305" s="149" t="s">
        <v>21580</v>
      </c>
      <c r="C305" s="153" t="s">
        <v>16</v>
      </c>
      <c r="D305" s="154">
        <v>2878.5</v>
      </c>
      <c r="E305" s="155">
        <v>44745</v>
      </c>
      <c r="F305" s="154">
        <v>2878.5</v>
      </c>
      <c r="G305" s="156">
        <f>Tabla18[[#This Row],[Importe]]-Tabla18[[#This Row],[Pagado]]</f>
        <v>0</v>
      </c>
      <c r="H305" s="153" t="s">
        <v>10</v>
      </c>
    </row>
    <row r="306" spans="1:8" x14ac:dyDescent="0.25">
      <c r="A306" s="73">
        <v>44745</v>
      </c>
      <c r="B306" s="74" t="s">
        <v>21581</v>
      </c>
      <c r="C306" s="75" t="s">
        <v>69</v>
      </c>
      <c r="D306" s="81">
        <v>2815.2</v>
      </c>
      <c r="E306" s="151">
        <v>44745</v>
      </c>
      <c r="F306" s="81">
        <v>2815.2</v>
      </c>
      <c r="G306" s="156">
        <f>Tabla18[[#This Row],[Importe]]-Tabla18[[#This Row],[Pagado]]</f>
        <v>0</v>
      </c>
      <c r="H306" s="75" t="s">
        <v>10</v>
      </c>
    </row>
    <row r="307" spans="1:8" x14ac:dyDescent="0.25">
      <c r="A307" s="148">
        <v>44745</v>
      </c>
      <c r="B307" s="149" t="s">
        <v>21582</v>
      </c>
      <c r="C307" s="153" t="s">
        <v>296</v>
      </c>
      <c r="D307" s="154">
        <v>2227.4</v>
      </c>
      <c r="E307" s="155">
        <v>44745</v>
      </c>
      <c r="F307" s="154">
        <v>2227.4</v>
      </c>
      <c r="G307" s="156">
        <f>Tabla18[[#This Row],[Importe]]-Tabla18[[#This Row],[Pagado]]</f>
        <v>0</v>
      </c>
      <c r="H307" s="153" t="s">
        <v>10</v>
      </c>
    </row>
    <row r="308" spans="1:8" x14ac:dyDescent="0.25">
      <c r="A308" s="73">
        <v>44745</v>
      </c>
      <c r="B308" s="74" t="s">
        <v>21583</v>
      </c>
      <c r="C308" s="75" t="s">
        <v>53</v>
      </c>
      <c r="D308" s="81">
        <v>672</v>
      </c>
      <c r="E308" s="151">
        <v>44745</v>
      </c>
      <c r="F308" s="81">
        <v>672</v>
      </c>
      <c r="G308" s="156">
        <f>Tabla18[[#This Row],[Importe]]-Tabla18[[#This Row],[Pagado]]</f>
        <v>0</v>
      </c>
      <c r="H308" s="75" t="s">
        <v>10</v>
      </c>
    </row>
    <row r="309" spans="1:8" x14ac:dyDescent="0.25">
      <c r="A309" s="148">
        <v>44745</v>
      </c>
      <c r="B309" s="149" t="s">
        <v>21584</v>
      </c>
      <c r="C309" s="153" t="s">
        <v>35</v>
      </c>
      <c r="D309" s="154">
        <v>577.20000000000005</v>
      </c>
      <c r="E309" s="155">
        <v>44745</v>
      </c>
      <c r="F309" s="154">
        <v>577.20000000000005</v>
      </c>
      <c r="G309" s="156">
        <f>Tabla18[[#This Row],[Importe]]-Tabla18[[#This Row],[Pagado]]</f>
        <v>0</v>
      </c>
      <c r="H309" s="153" t="s">
        <v>10</v>
      </c>
    </row>
    <row r="310" spans="1:8" x14ac:dyDescent="0.25">
      <c r="A310" s="73">
        <v>44745</v>
      </c>
      <c r="B310" s="74" t="s">
        <v>21585</v>
      </c>
      <c r="C310" s="75" t="s">
        <v>373</v>
      </c>
      <c r="D310" s="81">
        <v>2029.2</v>
      </c>
      <c r="E310" s="151">
        <v>44745</v>
      </c>
      <c r="F310" s="81">
        <v>2029.2</v>
      </c>
      <c r="G310" s="156">
        <f>Tabla18[[#This Row],[Importe]]-Tabla18[[#This Row],[Pagado]]</f>
        <v>0</v>
      </c>
      <c r="H310" s="75" t="s">
        <v>10</v>
      </c>
    </row>
    <row r="311" spans="1:8" x14ac:dyDescent="0.25">
      <c r="A311" s="148">
        <v>44745</v>
      </c>
      <c r="B311" s="149" t="s">
        <v>21586</v>
      </c>
      <c r="C311" s="153" t="s">
        <v>67</v>
      </c>
      <c r="D311" s="154">
        <v>1150.2</v>
      </c>
      <c r="E311" s="155">
        <v>44745</v>
      </c>
      <c r="F311" s="154">
        <v>1150.2</v>
      </c>
      <c r="G311" s="156">
        <f>Tabla18[[#This Row],[Importe]]-Tabla18[[#This Row],[Pagado]]</f>
        <v>0</v>
      </c>
      <c r="H311" s="153" t="s">
        <v>10</v>
      </c>
    </row>
    <row r="312" spans="1:8" x14ac:dyDescent="0.25">
      <c r="A312" s="73">
        <v>44745</v>
      </c>
      <c r="B312" s="74" t="s">
        <v>21587</v>
      </c>
      <c r="C312" s="75" t="s">
        <v>67</v>
      </c>
      <c r="D312" s="81">
        <v>141</v>
      </c>
      <c r="E312" s="151">
        <v>44745</v>
      </c>
      <c r="F312" s="81">
        <v>141</v>
      </c>
      <c r="G312" s="156">
        <f>Tabla18[[#This Row],[Importe]]-Tabla18[[#This Row],[Pagado]]</f>
        <v>0</v>
      </c>
      <c r="H312" s="75" t="s">
        <v>10</v>
      </c>
    </row>
    <row r="313" spans="1:8" x14ac:dyDescent="0.25">
      <c r="A313" s="148">
        <v>44745</v>
      </c>
      <c r="B313" s="149" t="s">
        <v>21588</v>
      </c>
      <c r="C313" s="153" t="s">
        <v>31</v>
      </c>
      <c r="D313" s="154">
        <v>619.20000000000005</v>
      </c>
      <c r="E313" s="155">
        <v>44745</v>
      </c>
      <c r="F313" s="154">
        <v>619.20000000000005</v>
      </c>
      <c r="G313" s="156">
        <f>Tabla18[[#This Row],[Importe]]-Tabla18[[#This Row],[Pagado]]</f>
        <v>0</v>
      </c>
      <c r="H313" s="153" t="s">
        <v>10</v>
      </c>
    </row>
    <row r="314" spans="1:8" x14ac:dyDescent="0.25">
      <c r="A314" s="73">
        <v>44745</v>
      </c>
      <c r="B314" s="74" t="s">
        <v>21589</v>
      </c>
      <c r="C314" s="75" t="s">
        <v>4136</v>
      </c>
      <c r="D314" s="81">
        <v>803.7</v>
      </c>
      <c r="E314" s="151">
        <v>44745</v>
      </c>
      <c r="F314" s="81">
        <v>803.7</v>
      </c>
      <c r="G314" s="156">
        <f>Tabla18[[#This Row],[Importe]]-Tabla18[[#This Row],[Pagado]]</f>
        <v>0</v>
      </c>
      <c r="H314" s="75" t="s">
        <v>10</v>
      </c>
    </row>
    <row r="315" spans="1:8" x14ac:dyDescent="0.25">
      <c r="A315" s="148">
        <v>44745</v>
      </c>
      <c r="B315" s="149" t="s">
        <v>21590</v>
      </c>
      <c r="C315" s="153" t="s">
        <v>289</v>
      </c>
      <c r="D315" s="154">
        <v>11381.7</v>
      </c>
      <c r="E315" s="155">
        <v>44746</v>
      </c>
      <c r="F315" s="154">
        <v>11381.7</v>
      </c>
      <c r="G315" s="156">
        <f>Tabla18[[#This Row],[Importe]]-Tabla18[[#This Row],[Pagado]]</f>
        <v>0</v>
      </c>
      <c r="H315" s="153" t="s">
        <v>10</v>
      </c>
    </row>
    <row r="316" spans="1:8" x14ac:dyDescent="0.25">
      <c r="A316" s="73">
        <v>44746</v>
      </c>
      <c r="B316" s="74" t="s">
        <v>21591</v>
      </c>
      <c r="C316" s="75" t="s">
        <v>85</v>
      </c>
      <c r="D316" s="81">
        <v>1781.6</v>
      </c>
      <c r="E316" s="151">
        <v>44746</v>
      </c>
      <c r="F316" s="81">
        <v>1781.6</v>
      </c>
      <c r="G316" s="156">
        <f>Tabla18[[#This Row],[Importe]]-Tabla18[[#This Row],[Pagado]]</f>
        <v>0</v>
      </c>
      <c r="H316" s="75" t="s">
        <v>10</v>
      </c>
    </row>
    <row r="317" spans="1:8" x14ac:dyDescent="0.25">
      <c r="A317" s="148">
        <v>44746</v>
      </c>
      <c r="B317" s="149" t="s">
        <v>21592</v>
      </c>
      <c r="C317" s="153" t="s">
        <v>75</v>
      </c>
      <c r="D317" s="154">
        <v>8020.8</v>
      </c>
      <c r="E317" s="155">
        <v>44746</v>
      </c>
      <c r="F317" s="154">
        <v>8020.8</v>
      </c>
      <c r="G317" s="156">
        <f>Tabla18[[#This Row],[Importe]]-Tabla18[[#This Row],[Pagado]]</f>
        <v>0</v>
      </c>
      <c r="H317" s="153" t="s">
        <v>10</v>
      </c>
    </row>
    <row r="318" spans="1:8" x14ac:dyDescent="0.25">
      <c r="A318" s="73">
        <v>44746</v>
      </c>
      <c r="B318" s="74" t="s">
        <v>21593</v>
      </c>
      <c r="C318" s="75" t="s">
        <v>87</v>
      </c>
      <c r="D318" s="81">
        <v>3536</v>
      </c>
      <c r="E318" s="151">
        <v>44746</v>
      </c>
      <c r="F318" s="81">
        <v>3536</v>
      </c>
      <c r="G318" s="156">
        <f>Tabla18[[#This Row],[Importe]]-Tabla18[[#This Row],[Pagado]]</f>
        <v>0</v>
      </c>
      <c r="H318" s="75" t="s">
        <v>10</v>
      </c>
    </row>
    <row r="319" spans="1:8" x14ac:dyDescent="0.25">
      <c r="A319" s="148">
        <v>44746</v>
      </c>
      <c r="B319" s="149" t="s">
        <v>21594</v>
      </c>
      <c r="C319" s="153" t="s">
        <v>314</v>
      </c>
      <c r="D319" s="154">
        <v>1807.2</v>
      </c>
      <c r="E319" s="155">
        <v>44746</v>
      </c>
      <c r="F319" s="154">
        <v>1807.2</v>
      </c>
      <c r="G319" s="156">
        <f>Tabla18[[#This Row],[Importe]]-Tabla18[[#This Row],[Pagado]]</f>
        <v>0</v>
      </c>
      <c r="H319" s="153" t="s">
        <v>10</v>
      </c>
    </row>
    <row r="320" spans="1:8" ht="31.5" x14ac:dyDescent="0.25">
      <c r="A320" s="73">
        <v>44746</v>
      </c>
      <c r="B320" s="74" t="s">
        <v>21595</v>
      </c>
      <c r="C320" s="75" t="s">
        <v>475</v>
      </c>
      <c r="D320" s="81">
        <v>125862.39999999999</v>
      </c>
      <c r="E320" s="147" t="s">
        <v>21596</v>
      </c>
      <c r="F320" s="81">
        <f>109000+16862.4</f>
        <v>125862.39999999999</v>
      </c>
      <c r="G320" s="156">
        <f>Tabla18[[#This Row],[Importe]]-Tabla18[[#This Row],[Pagado]]</f>
        <v>0</v>
      </c>
      <c r="H320" s="75" t="s">
        <v>10</v>
      </c>
    </row>
    <row r="321" spans="1:8" x14ac:dyDescent="0.25">
      <c r="A321" s="148">
        <v>44746</v>
      </c>
      <c r="B321" s="149" t="s">
        <v>21597</v>
      </c>
      <c r="C321" s="153" t="s">
        <v>18</v>
      </c>
      <c r="D321" s="154">
        <v>1987.5</v>
      </c>
      <c r="E321" s="155">
        <v>44746</v>
      </c>
      <c r="F321" s="154">
        <v>1987.5</v>
      </c>
      <c r="G321" s="156">
        <f>Tabla18[[#This Row],[Importe]]-Tabla18[[#This Row],[Pagado]]</f>
        <v>0</v>
      </c>
      <c r="H321" s="153" t="s">
        <v>10</v>
      </c>
    </row>
    <row r="322" spans="1:8" x14ac:dyDescent="0.25">
      <c r="A322" s="73">
        <v>44746</v>
      </c>
      <c r="B322" s="74" t="s">
        <v>21598</v>
      </c>
      <c r="C322" s="75" t="s">
        <v>97</v>
      </c>
      <c r="D322" s="81">
        <v>11027.2</v>
      </c>
      <c r="E322" s="151">
        <v>44747</v>
      </c>
      <c r="F322" s="81">
        <v>11027.2</v>
      </c>
      <c r="G322" s="156">
        <f>Tabla18[[#This Row],[Importe]]-Tabla18[[#This Row],[Pagado]]</f>
        <v>0</v>
      </c>
      <c r="H322" s="75" t="s">
        <v>10</v>
      </c>
    </row>
    <row r="323" spans="1:8" x14ac:dyDescent="0.25">
      <c r="A323" s="148">
        <v>44746</v>
      </c>
      <c r="B323" s="149" t="s">
        <v>21599</v>
      </c>
      <c r="C323" s="153" t="s">
        <v>93</v>
      </c>
      <c r="D323" s="154">
        <v>5505.6</v>
      </c>
      <c r="E323" s="155">
        <v>44748</v>
      </c>
      <c r="F323" s="154">
        <v>5505.6</v>
      </c>
      <c r="G323" s="156">
        <f>Tabla18[[#This Row],[Importe]]-Tabla18[[#This Row],[Pagado]]</f>
        <v>0</v>
      </c>
      <c r="H323" s="153" t="s">
        <v>10</v>
      </c>
    </row>
    <row r="324" spans="1:8" x14ac:dyDescent="0.25">
      <c r="A324" s="73">
        <v>44746</v>
      </c>
      <c r="B324" s="74" t="s">
        <v>21600</v>
      </c>
      <c r="C324" s="75" t="s">
        <v>60</v>
      </c>
      <c r="D324" s="81">
        <v>4896</v>
      </c>
      <c r="E324" s="151">
        <v>44749</v>
      </c>
      <c r="F324" s="81">
        <v>4896</v>
      </c>
      <c r="G324" s="156">
        <f>Tabla18[[#This Row],[Importe]]-Tabla18[[#This Row],[Pagado]]</f>
        <v>0</v>
      </c>
      <c r="H324" s="75" t="s">
        <v>10</v>
      </c>
    </row>
    <row r="325" spans="1:8" x14ac:dyDescent="0.25">
      <c r="A325" s="148">
        <v>44746</v>
      </c>
      <c r="B325" s="149" t="s">
        <v>21601</v>
      </c>
      <c r="C325" s="153" t="s">
        <v>2563</v>
      </c>
      <c r="D325" s="154">
        <v>5158.3999999999996</v>
      </c>
      <c r="E325" s="155">
        <v>44747</v>
      </c>
      <c r="F325" s="154">
        <v>5158.3999999999996</v>
      </c>
      <c r="G325" s="156">
        <f>Tabla18[[#This Row],[Importe]]-Tabla18[[#This Row],[Pagado]]</f>
        <v>0</v>
      </c>
      <c r="H325" s="153" t="s">
        <v>10</v>
      </c>
    </row>
    <row r="326" spans="1:8" x14ac:dyDescent="0.25">
      <c r="A326" s="73">
        <v>44746</v>
      </c>
      <c r="B326" s="74" t="s">
        <v>21602</v>
      </c>
      <c r="C326" s="75" t="s">
        <v>109</v>
      </c>
      <c r="D326" s="81">
        <v>5666.8</v>
      </c>
      <c r="E326" s="151">
        <v>44747</v>
      </c>
      <c r="F326" s="81">
        <v>5666.8</v>
      </c>
      <c r="G326" s="156">
        <f>Tabla18[[#This Row],[Importe]]-Tabla18[[#This Row],[Pagado]]</f>
        <v>0</v>
      </c>
      <c r="H326" s="75" t="s">
        <v>10</v>
      </c>
    </row>
    <row r="327" spans="1:8" x14ac:dyDescent="0.25">
      <c r="A327" s="148">
        <v>44746</v>
      </c>
      <c r="B327" s="149" t="s">
        <v>21603</v>
      </c>
      <c r="C327" s="153" t="s">
        <v>353</v>
      </c>
      <c r="D327" s="154">
        <v>1162.8</v>
      </c>
      <c r="E327" s="155">
        <v>44746</v>
      </c>
      <c r="F327" s="154">
        <v>1162.8</v>
      </c>
      <c r="G327" s="156">
        <f>Tabla18[[#This Row],[Importe]]-Tabla18[[#This Row],[Pagado]]</f>
        <v>0</v>
      </c>
      <c r="H327" s="153" t="s">
        <v>10</v>
      </c>
    </row>
    <row r="328" spans="1:8" ht="31.5" x14ac:dyDescent="0.25">
      <c r="A328" s="73">
        <v>44746</v>
      </c>
      <c r="B328" s="74" t="s">
        <v>21604</v>
      </c>
      <c r="C328" s="75" t="s">
        <v>111</v>
      </c>
      <c r="D328" s="81">
        <v>5902.4</v>
      </c>
      <c r="E328" s="147" t="s">
        <v>21605</v>
      </c>
      <c r="F328" s="81">
        <f>5100+802.4</f>
        <v>5902.4</v>
      </c>
      <c r="G328" s="156">
        <f>Tabla18[[#This Row],[Importe]]-Tabla18[[#This Row],[Pagado]]</f>
        <v>0</v>
      </c>
      <c r="H328" s="75" t="s">
        <v>10</v>
      </c>
    </row>
    <row r="329" spans="1:8" x14ac:dyDescent="0.25">
      <c r="A329" s="148">
        <v>44746</v>
      </c>
      <c r="B329" s="149" t="s">
        <v>21606</v>
      </c>
      <c r="C329" s="153" t="s">
        <v>64</v>
      </c>
      <c r="D329" s="154">
        <v>5427.2</v>
      </c>
      <c r="E329" s="155">
        <v>44747</v>
      </c>
      <c r="F329" s="154">
        <v>5427.2</v>
      </c>
      <c r="G329" s="156">
        <f>Tabla18[[#This Row],[Importe]]-Tabla18[[#This Row],[Pagado]]</f>
        <v>0</v>
      </c>
      <c r="H329" s="153" t="s">
        <v>10</v>
      </c>
    </row>
    <row r="330" spans="1:8" x14ac:dyDescent="0.25">
      <c r="A330" s="73">
        <v>44746</v>
      </c>
      <c r="B330" s="74" t="s">
        <v>21607</v>
      </c>
      <c r="C330" s="75" t="s">
        <v>105</v>
      </c>
      <c r="D330" s="81">
        <v>4953.8</v>
      </c>
      <c r="E330" s="151">
        <v>44747</v>
      </c>
      <c r="F330" s="81">
        <v>4953.8</v>
      </c>
      <c r="G330" s="156">
        <f>Tabla18[[#This Row],[Importe]]-Tabla18[[#This Row],[Pagado]]</f>
        <v>0</v>
      </c>
      <c r="H330" s="75" t="s">
        <v>10</v>
      </c>
    </row>
    <row r="331" spans="1:8" x14ac:dyDescent="0.25">
      <c r="A331" s="148">
        <v>44746</v>
      </c>
      <c r="B331" s="149" t="s">
        <v>21608</v>
      </c>
      <c r="C331" s="153" t="s">
        <v>99</v>
      </c>
      <c r="D331" s="154">
        <v>4364.8</v>
      </c>
      <c r="E331" s="155">
        <v>44747</v>
      </c>
      <c r="F331" s="154">
        <v>4364.8</v>
      </c>
      <c r="G331" s="156">
        <f>Tabla18[[#This Row],[Importe]]-Tabla18[[#This Row],[Pagado]]</f>
        <v>0</v>
      </c>
      <c r="H331" s="153" t="s">
        <v>10</v>
      </c>
    </row>
    <row r="332" spans="1:8" x14ac:dyDescent="0.25">
      <c r="A332" s="73">
        <v>44746</v>
      </c>
      <c r="B332" s="74" t="s">
        <v>21609</v>
      </c>
      <c r="C332" s="75" t="s">
        <v>2151</v>
      </c>
      <c r="D332" s="81">
        <v>16281.6</v>
      </c>
      <c r="E332" s="151">
        <v>44747</v>
      </c>
      <c r="F332" s="81">
        <v>16281.6</v>
      </c>
      <c r="G332" s="156">
        <f>Tabla18[[#This Row],[Importe]]-Tabla18[[#This Row],[Pagado]]</f>
        <v>0</v>
      </c>
      <c r="H332" s="75" t="s">
        <v>10</v>
      </c>
    </row>
    <row r="333" spans="1:8" x14ac:dyDescent="0.25">
      <c r="A333" s="148">
        <v>44746</v>
      </c>
      <c r="B333" s="149" t="s">
        <v>21610</v>
      </c>
      <c r="C333" s="153" t="s">
        <v>89</v>
      </c>
      <c r="D333" s="154">
        <v>7996.8</v>
      </c>
      <c r="E333" s="155">
        <v>44747</v>
      </c>
      <c r="F333" s="154">
        <v>7996.8</v>
      </c>
      <c r="G333" s="156">
        <f>Tabla18[[#This Row],[Importe]]-Tabla18[[#This Row],[Pagado]]</f>
        <v>0</v>
      </c>
      <c r="H333" s="153" t="s">
        <v>10</v>
      </c>
    </row>
    <row r="334" spans="1:8" x14ac:dyDescent="0.25">
      <c r="A334" s="73">
        <v>44746</v>
      </c>
      <c r="B334" s="74" t="s">
        <v>21611</v>
      </c>
      <c r="C334" s="75" t="s">
        <v>10586</v>
      </c>
      <c r="D334" s="81">
        <v>5877.6</v>
      </c>
      <c r="E334" s="151">
        <v>44748</v>
      </c>
      <c r="F334" s="81">
        <v>5877.6</v>
      </c>
      <c r="G334" s="156">
        <f>Tabla18[[#This Row],[Importe]]-Tabla18[[#This Row],[Pagado]]</f>
        <v>0</v>
      </c>
      <c r="H334" s="75" t="s">
        <v>10</v>
      </c>
    </row>
    <row r="335" spans="1:8" x14ac:dyDescent="0.25">
      <c r="A335" s="148">
        <v>44746</v>
      </c>
      <c r="B335" s="149" t="s">
        <v>21612</v>
      </c>
      <c r="C335" s="153" t="s">
        <v>116</v>
      </c>
      <c r="D335" s="154">
        <v>3427.2</v>
      </c>
      <c r="E335" s="155">
        <v>44747</v>
      </c>
      <c r="F335" s="154">
        <v>3427.2</v>
      </c>
      <c r="G335" s="156">
        <f>Tabla18[[#This Row],[Importe]]-Tabla18[[#This Row],[Pagado]]</f>
        <v>0</v>
      </c>
      <c r="H335" s="153" t="s">
        <v>10</v>
      </c>
    </row>
    <row r="336" spans="1:8" x14ac:dyDescent="0.25">
      <c r="A336" s="73">
        <v>44746</v>
      </c>
      <c r="B336" s="74" t="s">
        <v>21613</v>
      </c>
      <c r="C336" s="75" t="s">
        <v>114</v>
      </c>
      <c r="D336" s="81">
        <v>11922.6</v>
      </c>
      <c r="E336" s="151">
        <v>44747</v>
      </c>
      <c r="F336" s="81">
        <v>11922.6</v>
      </c>
      <c r="G336" s="156">
        <f>Tabla18[[#This Row],[Importe]]-Tabla18[[#This Row],[Pagado]]</f>
        <v>0</v>
      </c>
      <c r="H336" s="75" t="s">
        <v>10</v>
      </c>
    </row>
    <row r="337" spans="1:8" x14ac:dyDescent="0.25">
      <c r="A337" s="148">
        <v>44746</v>
      </c>
      <c r="B337" s="149" t="s">
        <v>21614</v>
      </c>
      <c r="C337" s="153" t="s">
        <v>2151</v>
      </c>
      <c r="D337" s="154">
        <v>7033.6</v>
      </c>
      <c r="E337" s="155">
        <v>44746</v>
      </c>
      <c r="F337" s="154">
        <v>7033.6</v>
      </c>
      <c r="G337" s="156">
        <f>Tabla18[[#This Row],[Importe]]-Tabla18[[#This Row],[Pagado]]</f>
        <v>0</v>
      </c>
      <c r="H337" s="153" t="s">
        <v>10</v>
      </c>
    </row>
    <row r="338" spans="1:8" x14ac:dyDescent="0.25">
      <c r="A338" s="73">
        <v>44746</v>
      </c>
      <c r="B338" s="74" t="s">
        <v>21615</v>
      </c>
      <c r="C338" s="75" t="s">
        <v>345</v>
      </c>
      <c r="D338" s="81">
        <v>319</v>
      </c>
      <c r="E338" s="151">
        <v>44746</v>
      </c>
      <c r="F338" s="81">
        <v>319</v>
      </c>
      <c r="G338" s="156">
        <f>Tabla18[[#This Row],[Importe]]-Tabla18[[#This Row],[Pagado]]</f>
        <v>0</v>
      </c>
      <c r="H338" s="75" t="s">
        <v>10</v>
      </c>
    </row>
    <row r="339" spans="1:8" x14ac:dyDescent="0.25">
      <c r="A339" s="148">
        <v>44746</v>
      </c>
      <c r="B339" s="149" t="s">
        <v>21616</v>
      </c>
      <c r="C339" s="153" t="s">
        <v>105</v>
      </c>
      <c r="D339" s="154">
        <v>1428</v>
      </c>
      <c r="E339" s="155">
        <v>44747</v>
      </c>
      <c r="F339" s="154">
        <v>1428</v>
      </c>
      <c r="G339" s="156">
        <f>Tabla18[[#This Row],[Importe]]-Tabla18[[#This Row],[Pagado]]</f>
        <v>0</v>
      </c>
      <c r="H339" s="153" t="s">
        <v>10</v>
      </c>
    </row>
    <row r="340" spans="1:8" x14ac:dyDescent="0.25">
      <c r="A340" s="73">
        <v>44746</v>
      </c>
      <c r="B340" s="74" t="s">
        <v>21617</v>
      </c>
      <c r="C340" s="75" t="s">
        <v>348</v>
      </c>
      <c r="D340" s="81">
        <v>2828</v>
      </c>
      <c r="E340" s="151">
        <v>44746</v>
      </c>
      <c r="F340" s="81">
        <v>2828</v>
      </c>
      <c r="G340" s="156">
        <f>Tabla18[[#This Row],[Importe]]-Tabla18[[#This Row],[Pagado]]</f>
        <v>0</v>
      </c>
      <c r="H340" s="75" t="s">
        <v>10</v>
      </c>
    </row>
    <row r="341" spans="1:8" x14ac:dyDescent="0.25">
      <c r="A341" s="148">
        <v>44746</v>
      </c>
      <c r="B341" s="149" t="s">
        <v>21618</v>
      </c>
      <c r="C341" s="153" t="s">
        <v>22</v>
      </c>
      <c r="D341" s="154">
        <v>71586.399999999994</v>
      </c>
      <c r="E341" s="155">
        <v>44747</v>
      </c>
      <c r="F341" s="154">
        <v>71586.399999999994</v>
      </c>
      <c r="G341" s="156">
        <f>Tabla18[[#This Row],[Importe]]-Tabla18[[#This Row],[Pagado]]</f>
        <v>0</v>
      </c>
      <c r="H341" s="153" t="s">
        <v>10</v>
      </c>
    </row>
    <row r="342" spans="1:8" x14ac:dyDescent="0.25">
      <c r="A342" s="73">
        <v>44746</v>
      </c>
      <c r="B342" s="74" t="s">
        <v>21619</v>
      </c>
      <c r="C342" s="75" t="s">
        <v>407</v>
      </c>
      <c r="D342" s="81">
        <v>9400</v>
      </c>
      <c r="E342" s="151">
        <v>44746</v>
      </c>
      <c r="F342" s="81">
        <v>9400</v>
      </c>
      <c r="G342" s="156">
        <f>Tabla18[[#This Row],[Importe]]-Tabla18[[#This Row],[Pagado]]</f>
        <v>0</v>
      </c>
      <c r="H342" s="75" t="s">
        <v>10</v>
      </c>
    </row>
    <row r="343" spans="1:8" x14ac:dyDescent="0.25">
      <c r="A343" s="148">
        <v>44746</v>
      </c>
      <c r="B343" s="149" t="s">
        <v>21620</v>
      </c>
      <c r="C343" s="153" t="s">
        <v>83</v>
      </c>
      <c r="D343" s="154">
        <v>11792.46</v>
      </c>
      <c r="E343" s="155">
        <v>44746</v>
      </c>
      <c r="F343" s="154">
        <v>11792.46</v>
      </c>
      <c r="G343" s="156">
        <f>Tabla18[[#This Row],[Importe]]-Tabla18[[#This Row],[Pagado]]</f>
        <v>0</v>
      </c>
      <c r="H343" s="153" t="s">
        <v>10</v>
      </c>
    </row>
    <row r="344" spans="1:8" x14ac:dyDescent="0.25">
      <c r="A344" s="73">
        <v>44746</v>
      </c>
      <c r="B344" s="74" t="s">
        <v>21621</v>
      </c>
      <c r="C344" s="75" t="s">
        <v>9</v>
      </c>
      <c r="D344" s="81">
        <v>7376.4</v>
      </c>
      <c r="E344" s="151">
        <v>44746</v>
      </c>
      <c r="F344" s="81">
        <v>7376.4</v>
      </c>
      <c r="G344" s="156">
        <f>Tabla18[[#This Row],[Importe]]-Tabla18[[#This Row],[Pagado]]</f>
        <v>0</v>
      </c>
      <c r="H344" s="75" t="s">
        <v>10</v>
      </c>
    </row>
    <row r="345" spans="1:8" x14ac:dyDescent="0.25">
      <c r="A345" s="148">
        <v>44746</v>
      </c>
      <c r="B345" s="149" t="s">
        <v>21622</v>
      </c>
      <c r="C345" s="153" t="s">
        <v>93</v>
      </c>
      <c r="D345" s="154">
        <v>3626</v>
      </c>
      <c r="E345" s="155">
        <v>44749</v>
      </c>
      <c r="F345" s="154">
        <v>3626</v>
      </c>
      <c r="G345" s="156">
        <f>Tabla18[[#This Row],[Importe]]-Tabla18[[#This Row],[Pagado]]</f>
        <v>0</v>
      </c>
      <c r="H345" s="153" t="s">
        <v>10</v>
      </c>
    </row>
    <row r="346" spans="1:8" x14ac:dyDescent="0.25">
      <c r="A346" s="73">
        <v>44746</v>
      </c>
      <c r="B346" s="74" t="s">
        <v>21623</v>
      </c>
      <c r="C346" s="75" t="s">
        <v>99</v>
      </c>
      <c r="D346" s="81">
        <v>1620.6</v>
      </c>
      <c r="E346" s="151">
        <v>44748</v>
      </c>
      <c r="F346" s="81">
        <v>1620.6</v>
      </c>
      <c r="G346" s="156">
        <f>Tabla18[[#This Row],[Importe]]-Tabla18[[#This Row],[Pagado]]</f>
        <v>0</v>
      </c>
      <c r="H346" s="75" t="s">
        <v>10</v>
      </c>
    </row>
    <row r="347" spans="1:8" x14ac:dyDescent="0.25">
      <c r="A347" s="148">
        <v>44746</v>
      </c>
      <c r="B347" s="149" t="s">
        <v>21624</v>
      </c>
      <c r="C347" s="153" t="s">
        <v>12202</v>
      </c>
      <c r="D347" s="154">
        <v>2460</v>
      </c>
      <c r="E347" s="155">
        <v>44746</v>
      </c>
      <c r="F347" s="154">
        <v>2460</v>
      </c>
      <c r="G347" s="156">
        <f>Tabla18[[#This Row],[Importe]]-Tabla18[[#This Row],[Pagado]]</f>
        <v>0</v>
      </c>
      <c r="H347" s="153" t="s">
        <v>10</v>
      </c>
    </row>
    <row r="348" spans="1:8" x14ac:dyDescent="0.25">
      <c r="A348" s="73">
        <v>44746</v>
      </c>
      <c r="B348" s="74" t="s">
        <v>21625</v>
      </c>
      <c r="C348" s="75" t="s">
        <v>21626</v>
      </c>
      <c r="D348" s="81">
        <v>0</v>
      </c>
      <c r="E348" s="157" t="s">
        <v>189</v>
      </c>
      <c r="F348" s="81">
        <v>0</v>
      </c>
      <c r="G348" s="156">
        <f>Tabla18[[#This Row],[Importe]]-Tabla18[[#This Row],[Pagado]]</f>
        <v>0</v>
      </c>
      <c r="H348" s="75" t="s">
        <v>189</v>
      </c>
    </row>
    <row r="349" spans="1:8" x14ac:dyDescent="0.25">
      <c r="A349" s="148">
        <v>44746</v>
      </c>
      <c r="B349" s="149" t="s">
        <v>21627</v>
      </c>
      <c r="C349" s="153" t="s">
        <v>31</v>
      </c>
      <c r="D349" s="154">
        <v>2710.5</v>
      </c>
      <c r="E349" s="155">
        <v>44746</v>
      </c>
      <c r="F349" s="154">
        <v>2710.5</v>
      </c>
      <c r="G349" s="156">
        <f>Tabla18[[#This Row],[Importe]]-Tabla18[[#This Row],[Pagado]]</f>
        <v>0</v>
      </c>
      <c r="H349" s="153" t="s">
        <v>10</v>
      </c>
    </row>
    <row r="350" spans="1:8" x14ac:dyDescent="0.25">
      <c r="A350" s="73">
        <v>44746</v>
      </c>
      <c r="B350" s="74" t="s">
        <v>21628</v>
      </c>
      <c r="C350" s="75" t="s">
        <v>107</v>
      </c>
      <c r="D350" s="81">
        <v>9196.7999999999993</v>
      </c>
      <c r="E350" s="151">
        <v>44746</v>
      </c>
      <c r="F350" s="81">
        <v>9196.7999999999993</v>
      </c>
      <c r="G350" s="156">
        <f>Tabla18[[#This Row],[Importe]]-Tabla18[[#This Row],[Pagado]]</f>
        <v>0</v>
      </c>
      <c r="H350" s="75" t="s">
        <v>10</v>
      </c>
    </row>
    <row r="351" spans="1:8" x14ac:dyDescent="0.25">
      <c r="A351" s="148">
        <v>44746</v>
      </c>
      <c r="B351" s="149" t="s">
        <v>21629</v>
      </c>
      <c r="C351" s="153" t="s">
        <v>31</v>
      </c>
      <c r="D351" s="154">
        <v>5799.6</v>
      </c>
      <c r="E351" s="155">
        <v>44746</v>
      </c>
      <c r="F351" s="154">
        <v>5799.6</v>
      </c>
      <c r="G351" s="156">
        <f>Tabla18[[#This Row],[Importe]]-Tabla18[[#This Row],[Pagado]]</f>
        <v>0</v>
      </c>
      <c r="H351" s="153" t="s">
        <v>10</v>
      </c>
    </row>
    <row r="352" spans="1:8" x14ac:dyDescent="0.25">
      <c r="A352" s="73">
        <v>44746</v>
      </c>
      <c r="B352" s="74" t="s">
        <v>21630</v>
      </c>
      <c r="C352" s="75" t="s">
        <v>146</v>
      </c>
      <c r="D352" s="81">
        <v>3628.1</v>
      </c>
      <c r="E352" s="151">
        <v>44746</v>
      </c>
      <c r="F352" s="81">
        <v>3628.1</v>
      </c>
      <c r="G352" s="156">
        <f>Tabla18[[#This Row],[Importe]]-Tabla18[[#This Row],[Pagado]]</f>
        <v>0</v>
      </c>
      <c r="H352" s="75" t="s">
        <v>10</v>
      </c>
    </row>
    <row r="353" spans="1:8" x14ac:dyDescent="0.25">
      <c r="A353" s="148">
        <v>44746</v>
      </c>
      <c r="B353" s="149" t="s">
        <v>21631</v>
      </c>
      <c r="C353" s="153" t="s">
        <v>664</v>
      </c>
      <c r="D353" s="154">
        <v>7002.1</v>
      </c>
      <c r="E353" s="155">
        <v>44746</v>
      </c>
      <c r="F353" s="154">
        <v>7002.1</v>
      </c>
      <c r="G353" s="156">
        <f>Tabla18[[#This Row],[Importe]]-Tabla18[[#This Row],[Pagado]]</f>
        <v>0</v>
      </c>
      <c r="H353" s="153" t="s">
        <v>10</v>
      </c>
    </row>
    <row r="354" spans="1:8" x14ac:dyDescent="0.25">
      <c r="A354" s="73">
        <v>44746</v>
      </c>
      <c r="B354" s="74" t="s">
        <v>21632</v>
      </c>
      <c r="C354" s="75" t="s">
        <v>27</v>
      </c>
      <c r="D354" s="81">
        <v>3587.3</v>
      </c>
      <c r="E354" s="151">
        <v>44746</v>
      </c>
      <c r="F354" s="81">
        <v>3587.3</v>
      </c>
      <c r="G354" s="156">
        <f>Tabla18[[#This Row],[Importe]]-Tabla18[[#This Row],[Pagado]]</f>
        <v>0</v>
      </c>
      <c r="H354" s="75" t="s">
        <v>10</v>
      </c>
    </row>
    <row r="355" spans="1:8" x14ac:dyDescent="0.25">
      <c r="A355" s="148">
        <v>44746</v>
      </c>
      <c r="B355" s="149" t="s">
        <v>21633</v>
      </c>
      <c r="C355" s="153" t="s">
        <v>214</v>
      </c>
      <c r="D355" s="154">
        <v>10609.6</v>
      </c>
      <c r="E355" s="155">
        <v>44746</v>
      </c>
      <c r="F355" s="154">
        <v>10609.6</v>
      </c>
      <c r="G355" s="156">
        <f>Tabla18[[#This Row],[Importe]]-Tabla18[[#This Row],[Pagado]]</f>
        <v>0</v>
      </c>
      <c r="H355" s="153" t="s">
        <v>10</v>
      </c>
    </row>
    <row r="356" spans="1:8" x14ac:dyDescent="0.25">
      <c r="A356" s="73">
        <v>44746</v>
      </c>
      <c r="B356" s="74" t="s">
        <v>21634</v>
      </c>
      <c r="C356" s="75" t="s">
        <v>924</v>
      </c>
      <c r="D356" s="81">
        <v>13984.3</v>
      </c>
      <c r="E356" s="151">
        <v>44746</v>
      </c>
      <c r="F356" s="81">
        <v>13984.3</v>
      </c>
      <c r="G356" s="156">
        <f>Tabla18[[#This Row],[Importe]]-Tabla18[[#This Row],[Pagado]]</f>
        <v>0</v>
      </c>
      <c r="H356" s="75" t="s">
        <v>10</v>
      </c>
    </row>
    <row r="357" spans="1:8" x14ac:dyDescent="0.25">
      <c r="A357" s="148">
        <v>44746</v>
      </c>
      <c r="B357" s="149" t="s">
        <v>21635</v>
      </c>
      <c r="C357" s="153" t="s">
        <v>357</v>
      </c>
      <c r="D357" s="154">
        <v>688.2</v>
      </c>
      <c r="E357" s="155">
        <v>44746</v>
      </c>
      <c r="F357" s="154">
        <v>688.2</v>
      </c>
      <c r="G357" s="156">
        <f>Tabla18[[#This Row],[Importe]]-Tabla18[[#This Row],[Pagado]]</f>
        <v>0</v>
      </c>
      <c r="H357" s="153" t="s">
        <v>10</v>
      </c>
    </row>
    <row r="358" spans="1:8" x14ac:dyDescent="0.25">
      <c r="A358" s="73">
        <v>44746</v>
      </c>
      <c r="B358" s="74" t="s">
        <v>21636</v>
      </c>
      <c r="C358" s="75" t="s">
        <v>140</v>
      </c>
      <c r="D358" s="81">
        <v>5167.5</v>
      </c>
      <c r="E358" s="151">
        <v>44746</v>
      </c>
      <c r="F358" s="81">
        <v>5167.5</v>
      </c>
      <c r="G358" s="156">
        <f>Tabla18[[#This Row],[Importe]]-Tabla18[[#This Row],[Pagado]]</f>
        <v>0</v>
      </c>
      <c r="H358" s="75" t="s">
        <v>10</v>
      </c>
    </row>
    <row r="359" spans="1:8" x14ac:dyDescent="0.25">
      <c r="A359" s="148">
        <v>44746</v>
      </c>
      <c r="B359" s="149" t="s">
        <v>21637</v>
      </c>
      <c r="C359" s="153" t="s">
        <v>127</v>
      </c>
      <c r="D359" s="154">
        <v>5992.5</v>
      </c>
      <c r="E359" s="155">
        <v>44746</v>
      </c>
      <c r="F359" s="154">
        <v>5992.5</v>
      </c>
      <c r="G359" s="156">
        <f>Tabla18[[#This Row],[Importe]]-Tabla18[[#This Row],[Pagado]]</f>
        <v>0</v>
      </c>
      <c r="H359" s="153" t="s">
        <v>10</v>
      </c>
    </row>
    <row r="360" spans="1:8" x14ac:dyDescent="0.25">
      <c r="A360" s="73">
        <v>44746</v>
      </c>
      <c r="B360" s="74" t="s">
        <v>21638</v>
      </c>
      <c r="C360" s="75" t="s">
        <v>129</v>
      </c>
      <c r="D360" s="81">
        <v>5623.7</v>
      </c>
      <c r="E360" s="151">
        <v>44746</v>
      </c>
      <c r="F360" s="81">
        <v>5623.7</v>
      </c>
      <c r="G360" s="156">
        <f>Tabla18[[#This Row],[Importe]]-Tabla18[[#This Row],[Pagado]]</f>
        <v>0</v>
      </c>
      <c r="H360" s="75" t="s">
        <v>10</v>
      </c>
    </row>
    <row r="361" spans="1:8" x14ac:dyDescent="0.25">
      <c r="A361" s="148">
        <v>44746</v>
      </c>
      <c r="B361" s="149" t="s">
        <v>21639</v>
      </c>
      <c r="C361" s="153" t="s">
        <v>137</v>
      </c>
      <c r="D361" s="154">
        <v>3700</v>
      </c>
      <c r="E361" s="155">
        <v>44746</v>
      </c>
      <c r="F361" s="154">
        <v>3700</v>
      </c>
      <c r="G361" s="156">
        <f>Tabla18[[#This Row],[Importe]]-Tabla18[[#This Row],[Pagado]]</f>
        <v>0</v>
      </c>
      <c r="H361" s="153" t="s">
        <v>10</v>
      </c>
    </row>
    <row r="362" spans="1:8" x14ac:dyDescent="0.25">
      <c r="A362" s="73">
        <v>44746</v>
      </c>
      <c r="B362" s="74" t="s">
        <v>21640</v>
      </c>
      <c r="C362" s="75" t="s">
        <v>11033</v>
      </c>
      <c r="D362" s="81">
        <v>3898.8</v>
      </c>
      <c r="E362" s="151">
        <v>44746</v>
      </c>
      <c r="F362" s="81">
        <v>3898.8</v>
      </c>
      <c r="G362" s="156">
        <f>Tabla18[[#This Row],[Importe]]-Tabla18[[#This Row],[Pagado]]</f>
        <v>0</v>
      </c>
      <c r="H362" s="75" t="s">
        <v>10</v>
      </c>
    </row>
    <row r="363" spans="1:8" x14ac:dyDescent="0.25">
      <c r="A363" s="148">
        <v>44746</v>
      </c>
      <c r="B363" s="149" t="s">
        <v>21641</v>
      </c>
      <c r="C363" s="153" t="s">
        <v>333</v>
      </c>
      <c r="D363" s="154">
        <v>1429.06</v>
      </c>
      <c r="E363" s="155">
        <v>44746</v>
      </c>
      <c r="F363" s="154">
        <v>1429.06</v>
      </c>
      <c r="G363" s="156">
        <f>Tabla18[[#This Row],[Importe]]-Tabla18[[#This Row],[Pagado]]</f>
        <v>0</v>
      </c>
      <c r="H363" s="153" t="s">
        <v>10</v>
      </c>
    </row>
    <row r="364" spans="1:8" x14ac:dyDescent="0.25">
      <c r="A364" s="73">
        <v>44746</v>
      </c>
      <c r="B364" s="74" t="s">
        <v>21642</v>
      </c>
      <c r="C364" s="75" t="s">
        <v>16</v>
      </c>
      <c r="D364" s="81">
        <v>5882.4</v>
      </c>
      <c r="E364" s="151">
        <v>44746</v>
      </c>
      <c r="F364" s="81">
        <v>5882.4</v>
      </c>
      <c r="G364" s="156">
        <f>Tabla18[[#This Row],[Importe]]-Tabla18[[#This Row],[Pagado]]</f>
        <v>0</v>
      </c>
      <c r="H364" s="75" t="s">
        <v>10</v>
      </c>
    </row>
    <row r="365" spans="1:8" x14ac:dyDescent="0.25">
      <c r="A365" s="148">
        <v>44746</v>
      </c>
      <c r="B365" s="149" t="s">
        <v>21643</v>
      </c>
      <c r="C365" s="153" t="s">
        <v>212</v>
      </c>
      <c r="D365" s="154">
        <v>51595.199999999997</v>
      </c>
      <c r="E365" s="155">
        <v>44749</v>
      </c>
      <c r="F365" s="154">
        <v>51595.199999999997</v>
      </c>
      <c r="G365" s="156">
        <f>Tabla18[[#This Row],[Importe]]-Tabla18[[#This Row],[Pagado]]</f>
        <v>0</v>
      </c>
      <c r="H365" s="153" t="s">
        <v>10</v>
      </c>
    </row>
    <row r="366" spans="1:8" x14ac:dyDescent="0.25">
      <c r="A366" s="73">
        <v>44746</v>
      </c>
      <c r="B366" s="74" t="s">
        <v>21644</v>
      </c>
      <c r="C366" s="75" t="s">
        <v>49</v>
      </c>
      <c r="D366" s="81">
        <v>4672.8999999999996</v>
      </c>
      <c r="E366" s="151">
        <v>44746</v>
      </c>
      <c r="F366" s="81">
        <v>4672.8999999999996</v>
      </c>
      <c r="G366" s="156">
        <f>Tabla18[[#This Row],[Importe]]-Tabla18[[#This Row],[Pagado]]</f>
        <v>0</v>
      </c>
      <c r="H366" s="75" t="s">
        <v>10</v>
      </c>
    </row>
    <row r="367" spans="1:8" x14ac:dyDescent="0.25">
      <c r="A367" s="148">
        <v>44746</v>
      </c>
      <c r="B367" s="149" t="s">
        <v>21645</v>
      </c>
      <c r="C367" s="153" t="s">
        <v>365</v>
      </c>
      <c r="D367" s="154">
        <v>960</v>
      </c>
      <c r="E367" s="155">
        <v>44746</v>
      </c>
      <c r="F367" s="154">
        <v>960</v>
      </c>
      <c r="G367" s="156">
        <f>Tabla18[[#This Row],[Importe]]-Tabla18[[#This Row],[Pagado]]</f>
        <v>0</v>
      </c>
      <c r="H367" s="153" t="s">
        <v>10</v>
      </c>
    </row>
    <row r="368" spans="1:8" x14ac:dyDescent="0.25">
      <c r="A368" s="73">
        <v>44746</v>
      </c>
      <c r="B368" s="74" t="s">
        <v>21646</v>
      </c>
      <c r="C368" s="75" t="s">
        <v>154</v>
      </c>
      <c r="D368" s="81">
        <v>29663.9</v>
      </c>
      <c r="E368" s="151">
        <v>44749</v>
      </c>
      <c r="F368" s="81">
        <v>29663.9</v>
      </c>
      <c r="G368" s="156">
        <f>Tabla18[[#This Row],[Importe]]-Tabla18[[#This Row],[Pagado]]</f>
        <v>0</v>
      </c>
      <c r="H368" s="75" t="s">
        <v>10</v>
      </c>
    </row>
    <row r="369" spans="1:8" x14ac:dyDescent="0.25">
      <c r="A369" s="148">
        <v>44746</v>
      </c>
      <c r="B369" s="149" t="s">
        <v>21647</v>
      </c>
      <c r="C369" s="153" t="s">
        <v>173</v>
      </c>
      <c r="D369" s="154">
        <v>33552</v>
      </c>
      <c r="E369" s="155">
        <v>44747</v>
      </c>
      <c r="F369" s="154">
        <v>33552</v>
      </c>
      <c r="G369" s="156">
        <f>Tabla18[[#This Row],[Importe]]-Tabla18[[#This Row],[Pagado]]</f>
        <v>0</v>
      </c>
      <c r="H369" s="153" t="s">
        <v>10</v>
      </c>
    </row>
    <row r="370" spans="1:8" x14ac:dyDescent="0.25">
      <c r="A370" s="73">
        <v>44746</v>
      </c>
      <c r="B370" s="74" t="s">
        <v>21648</v>
      </c>
      <c r="C370" s="75" t="s">
        <v>218</v>
      </c>
      <c r="D370" s="81">
        <v>20124.5</v>
      </c>
      <c r="E370" s="151">
        <v>44750</v>
      </c>
      <c r="F370" s="81">
        <v>20124.5</v>
      </c>
      <c r="G370" s="156">
        <f>Tabla18[[#This Row],[Importe]]-Tabla18[[#This Row],[Pagado]]</f>
        <v>0</v>
      </c>
      <c r="H370" s="75" t="s">
        <v>10</v>
      </c>
    </row>
    <row r="371" spans="1:8" x14ac:dyDescent="0.25">
      <c r="A371" s="148">
        <v>44746</v>
      </c>
      <c r="B371" s="149" t="s">
        <v>21649</v>
      </c>
      <c r="C371" s="153" t="s">
        <v>224</v>
      </c>
      <c r="D371" s="154">
        <v>16152</v>
      </c>
      <c r="E371" s="155">
        <v>44760</v>
      </c>
      <c r="F371" s="154">
        <v>16152</v>
      </c>
      <c r="G371" s="156">
        <f>Tabla18[[#This Row],[Importe]]-Tabla18[[#This Row],[Pagado]]</f>
        <v>0</v>
      </c>
      <c r="H371" s="153" t="s">
        <v>10</v>
      </c>
    </row>
    <row r="372" spans="1:8" x14ac:dyDescent="0.25">
      <c r="A372" s="73">
        <v>44746</v>
      </c>
      <c r="B372" s="74" t="s">
        <v>21650</v>
      </c>
      <c r="C372" s="75" t="s">
        <v>142</v>
      </c>
      <c r="D372" s="81">
        <v>67911.399999999994</v>
      </c>
      <c r="E372" s="151">
        <v>44799</v>
      </c>
      <c r="F372" s="81">
        <v>67911.399999999994</v>
      </c>
      <c r="G372" s="156">
        <f>Tabla18[[#This Row],[Importe]]-Tabla18[[#This Row],[Pagado]]</f>
        <v>0</v>
      </c>
      <c r="H372" s="75" t="s">
        <v>10</v>
      </c>
    </row>
    <row r="373" spans="1:8" x14ac:dyDescent="0.25">
      <c r="A373" s="148">
        <v>44746</v>
      </c>
      <c r="B373" s="149" t="s">
        <v>21651</v>
      </c>
      <c r="C373" s="153" t="s">
        <v>206</v>
      </c>
      <c r="D373" s="154">
        <v>27468.6</v>
      </c>
      <c r="E373" s="155">
        <v>44750</v>
      </c>
      <c r="F373" s="154">
        <v>27468.6</v>
      </c>
      <c r="G373" s="156">
        <f>Tabla18[[#This Row],[Importe]]-Tabla18[[#This Row],[Pagado]]</f>
        <v>0</v>
      </c>
      <c r="H373" s="153" t="s">
        <v>10</v>
      </c>
    </row>
    <row r="374" spans="1:8" x14ac:dyDescent="0.25">
      <c r="A374" s="73">
        <v>44746</v>
      </c>
      <c r="B374" s="74" t="s">
        <v>21652</v>
      </c>
      <c r="C374" s="75" t="s">
        <v>208</v>
      </c>
      <c r="D374" s="81">
        <v>9122.7000000000007</v>
      </c>
      <c r="E374" s="151">
        <v>44749</v>
      </c>
      <c r="F374" s="81">
        <v>9122.7000000000007</v>
      </c>
      <c r="G374" s="156">
        <f>Tabla18[[#This Row],[Importe]]-Tabla18[[#This Row],[Pagado]]</f>
        <v>0</v>
      </c>
      <c r="H374" s="75" t="s">
        <v>10</v>
      </c>
    </row>
    <row r="375" spans="1:8" x14ac:dyDescent="0.25">
      <c r="A375" s="148">
        <v>44746</v>
      </c>
      <c r="B375" s="149" t="s">
        <v>21653</v>
      </c>
      <c r="C375" s="153" t="s">
        <v>312</v>
      </c>
      <c r="D375" s="154">
        <v>5415</v>
      </c>
      <c r="E375" s="155">
        <v>44746</v>
      </c>
      <c r="F375" s="154">
        <v>5415</v>
      </c>
      <c r="G375" s="156">
        <f>Tabla18[[#This Row],[Importe]]-Tabla18[[#This Row],[Pagado]]</f>
        <v>0</v>
      </c>
      <c r="H375" s="153" t="s">
        <v>10</v>
      </c>
    </row>
    <row r="376" spans="1:8" x14ac:dyDescent="0.25">
      <c r="A376" s="73">
        <v>44746</v>
      </c>
      <c r="B376" s="74" t="s">
        <v>21654</v>
      </c>
      <c r="C376" s="75" t="s">
        <v>142</v>
      </c>
      <c r="D376" s="81">
        <v>831.6</v>
      </c>
      <c r="E376" s="151">
        <v>44746</v>
      </c>
      <c r="F376" s="81">
        <v>831.6</v>
      </c>
      <c r="G376" s="156">
        <f>Tabla18[[#This Row],[Importe]]-Tabla18[[#This Row],[Pagado]]</f>
        <v>0</v>
      </c>
      <c r="H376" s="75" t="s">
        <v>10</v>
      </c>
    </row>
    <row r="377" spans="1:8" x14ac:dyDescent="0.25">
      <c r="A377" s="148">
        <v>44746</v>
      </c>
      <c r="B377" s="149" t="s">
        <v>21655</v>
      </c>
      <c r="C377" s="153" t="s">
        <v>198</v>
      </c>
      <c r="D377" s="154">
        <v>643.79999999999995</v>
      </c>
      <c r="E377" s="155">
        <v>44746</v>
      </c>
      <c r="F377" s="154">
        <v>643.79999999999995</v>
      </c>
      <c r="G377" s="156">
        <f>Tabla18[[#This Row],[Importe]]-Tabla18[[#This Row],[Pagado]]</f>
        <v>0</v>
      </c>
      <c r="H377" s="153" t="s">
        <v>10</v>
      </c>
    </row>
    <row r="378" spans="1:8" x14ac:dyDescent="0.25">
      <c r="A378" s="73">
        <v>44746</v>
      </c>
      <c r="B378" s="74" t="s">
        <v>21656</v>
      </c>
      <c r="C378" s="75" t="s">
        <v>161</v>
      </c>
      <c r="D378" s="81">
        <v>3833.2</v>
      </c>
      <c r="E378" s="151">
        <v>44746</v>
      </c>
      <c r="F378" s="81">
        <v>3833.2</v>
      </c>
      <c r="G378" s="156">
        <f>Tabla18[[#This Row],[Importe]]-Tabla18[[#This Row],[Pagado]]</f>
        <v>0</v>
      </c>
      <c r="H378" s="75" t="s">
        <v>10</v>
      </c>
    </row>
    <row r="379" spans="1:8" x14ac:dyDescent="0.25">
      <c r="A379" s="148">
        <v>44746</v>
      </c>
      <c r="B379" s="149" t="s">
        <v>21657</v>
      </c>
      <c r="C379" s="153" t="s">
        <v>359</v>
      </c>
      <c r="D379" s="154">
        <v>627.9</v>
      </c>
      <c r="E379" s="155">
        <v>44746</v>
      </c>
      <c r="F379" s="154">
        <v>627.9</v>
      </c>
      <c r="G379" s="156">
        <f>Tabla18[[#This Row],[Importe]]-Tabla18[[#This Row],[Pagado]]</f>
        <v>0</v>
      </c>
      <c r="H379" s="153" t="s">
        <v>10</v>
      </c>
    </row>
    <row r="380" spans="1:8" x14ac:dyDescent="0.25">
      <c r="A380" s="73">
        <v>44746</v>
      </c>
      <c r="B380" s="74" t="s">
        <v>21658</v>
      </c>
      <c r="C380" s="75" t="s">
        <v>31</v>
      </c>
      <c r="D380" s="81">
        <v>621.6</v>
      </c>
      <c r="E380" s="151">
        <v>44746</v>
      </c>
      <c r="F380" s="81">
        <v>621.6</v>
      </c>
      <c r="G380" s="156">
        <f>Tabla18[[#This Row],[Importe]]-Tabla18[[#This Row],[Pagado]]</f>
        <v>0</v>
      </c>
      <c r="H380" s="75" t="s">
        <v>10</v>
      </c>
    </row>
    <row r="381" spans="1:8" x14ac:dyDescent="0.25">
      <c r="A381" s="148">
        <v>44746</v>
      </c>
      <c r="B381" s="149" t="s">
        <v>21659</v>
      </c>
      <c r="C381" s="153" t="s">
        <v>5816</v>
      </c>
      <c r="D381" s="154">
        <v>10863.4</v>
      </c>
      <c r="E381" s="155">
        <v>44747</v>
      </c>
      <c r="F381" s="154">
        <v>10863.4</v>
      </c>
      <c r="G381" s="156">
        <f>Tabla18[[#This Row],[Importe]]-Tabla18[[#This Row],[Pagado]]</f>
        <v>0</v>
      </c>
      <c r="H381" s="153" t="s">
        <v>10</v>
      </c>
    </row>
    <row r="382" spans="1:8" x14ac:dyDescent="0.25">
      <c r="A382" s="73">
        <v>44746</v>
      </c>
      <c r="B382" s="74" t="s">
        <v>21660</v>
      </c>
      <c r="C382" s="75" t="s">
        <v>24</v>
      </c>
      <c r="D382" s="81">
        <v>3899.3</v>
      </c>
      <c r="E382" s="151">
        <v>44746</v>
      </c>
      <c r="F382" s="81">
        <v>3899.3</v>
      </c>
      <c r="G382" s="156">
        <f>Tabla18[[#This Row],[Importe]]-Tabla18[[#This Row],[Pagado]]</f>
        <v>0</v>
      </c>
      <c r="H382" s="75" t="s">
        <v>10</v>
      </c>
    </row>
    <row r="383" spans="1:8" x14ac:dyDescent="0.25">
      <c r="A383" s="148">
        <v>44746</v>
      </c>
      <c r="B383" s="149" t="s">
        <v>21661</v>
      </c>
      <c r="C383" s="153" t="s">
        <v>275</v>
      </c>
      <c r="D383" s="154">
        <v>68594.52</v>
      </c>
      <c r="E383" s="155">
        <v>44764</v>
      </c>
      <c r="F383" s="154">
        <v>68594.52</v>
      </c>
      <c r="G383" s="156">
        <f>Tabla18[[#This Row],[Importe]]-Tabla18[[#This Row],[Pagado]]</f>
        <v>0</v>
      </c>
      <c r="H383" s="153" t="s">
        <v>10</v>
      </c>
    </row>
    <row r="384" spans="1:8" x14ac:dyDescent="0.25">
      <c r="A384" s="73">
        <v>44746</v>
      </c>
      <c r="B384" s="74" t="s">
        <v>21662</v>
      </c>
      <c r="C384" s="75" t="s">
        <v>24</v>
      </c>
      <c r="D384" s="81">
        <v>993</v>
      </c>
      <c r="E384" s="151">
        <v>44746</v>
      </c>
      <c r="F384" s="81">
        <v>993</v>
      </c>
      <c r="G384" s="156">
        <f>Tabla18[[#This Row],[Importe]]-Tabla18[[#This Row],[Pagado]]</f>
        <v>0</v>
      </c>
      <c r="H384" s="75" t="s">
        <v>10</v>
      </c>
    </row>
    <row r="385" spans="1:8" x14ac:dyDescent="0.25">
      <c r="A385" s="148">
        <v>44746</v>
      </c>
      <c r="B385" s="149" t="s">
        <v>21663</v>
      </c>
      <c r="C385" s="153" t="s">
        <v>840</v>
      </c>
      <c r="D385" s="154">
        <v>26830</v>
      </c>
      <c r="E385" s="155">
        <v>44746</v>
      </c>
      <c r="F385" s="154">
        <v>26830</v>
      </c>
      <c r="G385" s="156">
        <f>Tabla18[[#This Row],[Importe]]-Tabla18[[#This Row],[Pagado]]</f>
        <v>0</v>
      </c>
      <c r="H385" s="153" t="s">
        <v>10</v>
      </c>
    </row>
    <row r="386" spans="1:8" x14ac:dyDescent="0.25">
      <c r="A386" s="73">
        <v>44746</v>
      </c>
      <c r="B386" s="74" t="s">
        <v>21664</v>
      </c>
      <c r="C386" s="75" t="s">
        <v>133</v>
      </c>
      <c r="D386" s="81">
        <v>8876.7999999999993</v>
      </c>
      <c r="E386" s="151">
        <v>44747</v>
      </c>
      <c r="F386" s="81">
        <v>8876.7999999999993</v>
      </c>
      <c r="G386" s="156">
        <f>Tabla18[[#This Row],[Importe]]-Tabla18[[#This Row],[Pagado]]</f>
        <v>0</v>
      </c>
      <c r="H386" s="75" t="s">
        <v>10</v>
      </c>
    </row>
    <row r="387" spans="1:8" x14ac:dyDescent="0.25">
      <c r="A387" s="148">
        <v>44746</v>
      </c>
      <c r="B387" s="149" t="s">
        <v>21665</v>
      </c>
      <c r="C387" s="153" t="s">
        <v>31</v>
      </c>
      <c r="D387" s="154">
        <v>718.2</v>
      </c>
      <c r="E387" s="155">
        <v>44746</v>
      </c>
      <c r="F387" s="154">
        <v>718.2</v>
      </c>
      <c r="G387" s="156">
        <f>Tabla18[[#This Row],[Importe]]-Tabla18[[#This Row],[Pagado]]</f>
        <v>0</v>
      </c>
      <c r="H387" s="153" t="s">
        <v>10</v>
      </c>
    </row>
    <row r="388" spans="1:8" x14ac:dyDescent="0.25">
      <c r="A388" s="73">
        <v>44746</v>
      </c>
      <c r="B388" s="74" t="s">
        <v>21666</v>
      </c>
      <c r="C388" s="75" t="s">
        <v>31</v>
      </c>
      <c r="D388" s="81">
        <v>1274.4000000000001</v>
      </c>
      <c r="E388" s="151">
        <v>44746</v>
      </c>
      <c r="F388" s="81">
        <v>1274.4000000000001</v>
      </c>
      <c r="G388" s="156">
        <f>Tabla18[[#This Row],[Importe]]-Tabla18[[#This Row],[Pagado]]</f>
        <v>0</v>
      </c>
      <c r="H388" s="75" t="s">
        <v>10</v>
      </c>
    </row>
    <row r="389" spans="1:8" x14ac:dyDescent="0.25">
      <c r="A389" s="148">
        <v>44746</v>
      </c>
      <c r="B389" s="149" t="s">
        <v>21667</v>
      </c>
      <c r="C389" s="153" t="s">
        <v>843</v>
      </c>
      <c r="D389" s="154">
        <v>8509.9</v>
      </c>
      <c r="E389" s="155">
        <v>44746</v>
      </c>
      <c r="F389" s="154">
        <v>8509.9</v>
      </c>
      <c r="G389" s="156">
        <f>Tabla18[[#This Row],[Importe]]-Tabla18[[#This Row],[Pagado]]</f>
        <v>0</v>
      </c>
      <c r="H389" s="153" t="s">
        <v>10</v>
      </c>
    </row>
    <row r="390" spans="1:8" x14ac:dyDescent="0.25">
      <c r="A390" s="73">
        <v>44746</v>
      </c>
      <c r="B390" s="74" t="s">
        <v>21668</v>
      </c>
      <c r="C390" s="75" t="s">
        <v>135</v>
      </c>
      <c r="D390" s="81">
        <v>1608.2</v>
      </c>
      <c r="E390" s="151">
        <v>44746</v>
      </c>
      <c r="F390" s="81">
        <v>1608.2</v>
      </c>
      <c r="G390" s="156">
        <f>Tabla18[[#This Row],[Importe]]-Tabla18[[#This Row],[Pagado]]</f>
        <v>0</v>
      </c>
      <c r="H390" s="75" t="s">
        <v>10</v>
      </c>
    </row>
    <row r="391" spans="1:8" x14ac:dyDescent="0.25">
      <c r="A391" s="148">
        <v>44746</v>
      </c>
      <c r="B391" s="149" t="s">
        <v>21669</v>
      </c>
      <c r="C391" s="153" t="s">
        <v>131</v>
      </c>
      <c r="D391" s="154">
        <v>8985.6</v>
      </c>
      <c r="E391" s="155">
        <v>44746</v>
      </c>
      <c r="F391" s="154">
        <v>8985.6</v>
      </c>
      <c r="G391" s="156">
        <f>Tabla18[[#This Row],[Importe]]-Tabla18[[#This Row],[Pagado]]</f>
        <v>0</v>
      </c>
      <c r="H391" s="153" t="s">
        <v>10</v>
      </c>
    </row>
    <row r="392" spans="1:8" x14ac:dyDescent="0.25">
      <c r="A392" s="73">
        <v>44746</v>
      </c>
      <c r="B392" s="74" t="s">
        <v>21670</v>
      </c>
      <c r="C392" s="75" t="s">
        <v>3971</v>
      </c>
      <c r="D392" s="81">
        <v>6340.2</v>
      </c>
      <c r="E392" s="151">
        <v>44746</v>
      </c>
      <c r="F392" s="81">
        <v>6340.2</v>
      </c>
      <c r="G392" s="156">
        <f>Tabla18[[#This Row],[Importe]]-Tabla18[[#This Row],[Pagado]]</f>
        <v>0</v>
      </c>
      <c r="H392" s="75" t="s">
        <v>10</v>
      </c>
    </row>
    <row r="393" spans="1:8" x14ac:dyDescent="0.25">
      <c r="A393" s="148">
        <v>44746</v>
      </c>
      <c r="B393" s="149" t="s">
        <v>21671</v>
      </c>
      <c r="C393" s="153" t="s">
        <v>654</v>
      </c>
      <c r="D393" s="154">
        <v>2832.7</v>
      </c>
      <c r="E393" s="155">
        <v>44746</v>
      </c>
      <c r="F393" s="154">
        <v>2832.7</v>
      </c>
      <c r="G393" s="156">
        <f>Tabla18[[#This Row],[Importe]]-Tabla18[[#This Row],[Pagado]]</f>
        <v>0</v>
      </c>
      <c r="H393" s="153" t="s">
        <v>10</v>
      </c>
    </row>
    <row r="394" spans="1:8" x14ac:dyDescent="0.25">
      <c r="A394" s="73">
        <v>44746</v>
      </c>
      <c r="B394" s="74" t="s">
        <v>21672</v>
      </c>
      <c r="C394" s="75" t="s">
        <v>191</v>
      </c>
      <c r="D394" s="81">
        <v>1701.7</v>
      </c>
      <c r="E394" s="151">
        <v>44746</v>
      </c>
      <c r="F394" s="81">
        <v>1701.7</v>
      </c>
      <c r="G394" s="156">
        <f>Tabla18[[#This Row],[Importe]]-Tabla18[[#This Row],[Pagado]]</f>
        <v>0</v>
      </c>
      <c r="H394" s="75" t="s">
        <v>10</v>
      </c>
    </row>
    <row r="395" spans="1:8" x14ac:dyDescent="0.25">
      <c r="A395" s="148">
        <v>44746</v>
      </c>
      <c r="B395" s="149" t="s">
        <v>21673</v>
      </c>
      <c r="C395" s="153" t="s">
        <v>175</v>
      </c>
      <c r="D395" s="154">
        <v>18100</v>
      </c>
      <c r="E395" s="155">
        <v>44746</v>
      </c>
      <c r="F395" s="154">
        <v>18100</v>
      </c>
      <c r="G395" s="156">
        <f>Tabla18[[#This Row],[Importe]]-Tabla18[[#This Row],[Pagado]]</f>
        <v>0</v>
      </c>
      <c r="H395" s="153" t="s">
        <v>10</v>
      </c>
    </row>
    <row r="396" spans="1:8" x14ac:dyDescent="0.25">
      <c r="A396" s="73">
        <v>44746</v>
      </c>
      <c r="B396" s="74" t="s">
        <v>21674</v>
      </c>
      <c r="C396" s="75" t="s">
        <v>45</v>
      </c>
      <c r="D396" s="81">
        <v>12153</v>
      </c>
      <c r="E396" s="151">
        <v>44746</v>
      </c>
      <c r="F396" s="81">
        <v>12153</v>
      </c>
      <c r="G396" s="156">
        <f>Tabla18[[#This Row],[Importe]]-Tabla18[[#This Row],[Pagado]]</f>
        <v>0</v>
      </c>
      <c r="H396" s="75" t="s">
        <v>10</v>
      </c>
    </row>
    <row r="397" spans="1:8" x14ac:dyDescent="0.25">
      <c r="A397" s="148">
        <v>44746</v>
      </c>
      <c r="B397" s="149" t="s">
        <v>21675</v>
      </c>
      <c r="C397" s="153" t="s">
        <v>222</v>
      </c>
      <c r="D397" s="154">
        <v>9852.6</v>
      </c>
      <c r="E397" s="155">
        <v>44746</v>
      </c>
      <c r="F397" s="154">
        <v>9852.6</v>
      </c>
      <c r="G397" s="156">
        <f>Tabla18[[#This Row],[Importe]]-Tabla18[[#This Row],[Pagado]]</f>
        <v>0</v>
      </c>
      <c r="H397" s="153" t="s">
        <v>10</v>
      </c>
    </row>
    <row r="398" spans="1:8" x14ac:dyDescent="0.25">
      <c r="A398" s="73">
        <v>44746</v>
      </c>
      <c r="B398" s="74" t="s">
        <v>21676</v>
      </c>
      <c r="C398" s="75" t="s">
        <v>216</v>
      </c>
      <c r="D398" s="81">
        <v>1792.8</v>
      </c>
      <c r="E398" s="151">
        <v>44746</v>
      </c>
      <c r="F398" s="81">
        <v>1792.8</v>
      </c>
      <c r="G398" s="156">
        <f>Tabla18[[#This Row],[Importe]]-Tabla18[[#This Row],[Pagado]]</f>
        <v>0</v>
      </c>
      <c r="H398" s="75" t="s">
        <v>10</v>
      </c>
    </row>
    <row r="399" spans="1:8" x14ac:dyDescent="0.25">
      <c r="A399" s="148">
        <v>44746</v>
      </c>
      <c r="B399" s="149" t="s">
        <v>21677</v>
      </c>
      <c r="C399" s="153" t="s">
        <v>233</v>
      </c>
      <c r="D399" s="154">
        <v>5153.8</v>
      </c>
      <c r="E399" s="155">
        <v>44746</v>
      </c>
      <c r="F399" s="154">
        <v>5153.8</v>
      </c>
      <c r="G399" s="156">
        <f>Tabla18[[#This Row],[Importe]]-Tabla18[[#This Row],[Pagado]]</f>
        <v>0</v>
      </c>
      <c r="H399" s="153" t="s">
        <v>10</v>
      </c>
    </row>
    <row r="400" spans="1:8" x14ac:dyDescent="0.25">
      <c r="A400" s="73">
        <v>44746</v>
      </c>
      <c r="B400" s="74" t="s">
        <v>21678</v>
      </c>
      <c r="C400" s="75" t="s">
        <v>62</v>
      </c>
      <c r="D400" s="81">
        <v>4200</v>
      </c>
      <c r="E400" s="151">
        <v>44746</v>
      </c>
      <c r="F400" s="81">
        <v>4200</v>
      </c>
      <c r="G400" s="156">
        <f>Tabla18[[#This Row],[Importe]]-Tabla18[[#This Row],[Pagado]]</f>
        <v>0</v>
      </c>
      <c r="H400" s="75" t="s">
        <v>10</v>
      </c>
    </row>
    <row r="401" spans="1:8" x14ac:dyDescent="0.25">
      <c r="A401" s="148">
        <v>44746</v>
      </c>
      <c r="B401" s="149" t="s">
        <v>21679</v>
      </c>
      <c r="C401" s="153" t="s">
        <v>31</v>
      </c>
      <c r="D401" s="154">
        <v>2061</v>
      </c>
      <c r="E401" s="155">
        <v>44746</v>
      </c>
      <c r="F401" s="154">
        <v>2061</v>
      </c>
      <c r="G401" s="156">
        <f>Tabla18[[#This Row],[Importe]]-Tabla18[[#This Row],[Pagado]]</f>
        <v>0</v>
      </c>
      <c r="H401" s="153" t="s">
        <v>10</v>
      </c>
    </row>
    <row r="402" spans="1:8" x14ac:dyDescent="0.25">
      <c r="A402" s="73">
        <v>44746</v>
      </c>
      <c r="B402" s="74" t="s">
        <v>21680</v>
      </c>
      <c r="C402" s="75" t="s">
        <v>3402</v>
      </c>
      <c r="D402" s="81">
        <v>1297.2</v>
      </c>
      <c r="E402" s="151">
        <v>44746</v>
      </c>
      <c r="F402" s="81">
        <v>1297.2</v>
      </c>
      <c r="G402" s="156">
        <f>Tabla18[[#This Row],[Importe]]-Tabla18[[#This Row],[Pagado]]</f>
        <v>0</v>
      </c>
      <c r="H402" s="75" t="s">
        <v>10</v>
      </c>
    </row>
    <row r="403" spans="1:8" x14ac:dyDescent="0.25">
      <c r="A403" s="148">
        <v>44746</v>
      </c>
      <c r="B403" s="149" t="s">
        <v>21681</v>
      </c>
      <c r="C403" s="153" t="s">
        <v>53</v>
      </c>
      <c r="D403" s="154">
        <v>1916.6</v>
      </c>
      <c r="E403" s="155">
        <v>44746</v>
      </c>
      <c r="F403" s="154">
        <v>1916.6</v>
      </c>
      <c r="G403" s="156">
        <f>Tabla18[[#This Row],[Importe]]-Tabla18[[#This Row],[Pagado]]</f>
        <v>0</v>
      </c>
      <c r="H403" s="153" t="s">
        <v>10</v>
      </c>
    </row>
    <row r="404" spans="1:8" x14ac:dyDescent="0.25">
      <c r="A404" s="73">
        <v>44746</v>
      </c>
      <c r="B404" s="74" t="s">
        <v>21682</v>
      </c>
      <c r="C404" s="75" t="s">
        <v>1378</v>
      </c>
      <c r="D404" s="81">
        <v>49984</v>
      </c>
      <c r="E404" s="151">
        <v>44747</v>
      </c>
      <c r="F404" s="81">
        <v>49984</v>
      </c>
      <c r="G404" s="156">
        <f>Tabla18[[#This Row],[Importe]]-Tabla18[[#This Row],[Pagado]]</f>
        <v>0</v>
      </c>
      <c r="H404" s="75" t="s">
        <v>10</v>
      </c>
    </row>
    <row r="405" spans="1:8" x14ac:dyDescent="0.25">
      <c r="A405" s="148">
        <v>44746</v>
      </c>
      <c r="B405" s="149" t="s">
        <v>21683</v>
      </c>
      <c r="C405" s="153" t="s">
        <v>15868</v>
      </c>
      <c r="D405" s="154">
        <v>30146.6</v>
      </c>
      <c r="E405" s="155">
        <v>44747</v>
      </c>
      <c r="F405" s="154">
        <v>30146.6</v>
      </c>
      <c r="G405" s="156">
        <f>Tabla18[[#This Row],[Importe]]-Tabla18[[#This Row],[Pagado]]</f>
        <v>0</v>
      </c>
      <c r="H405" s="153" t="s">
        <v>10</v>
      </c>
    </row>
    <row r="406" spans="1:8" x14ac:dyDescent="0.25">
      <c r="A406" s="73">
        <v>44746</v>
      </c>
      <c r="B406" s="74" t="s">
        <v>21684</v>
      </c>
      <c r="C406" s="75" t="s">
        <v>58</v>
      </c>
      <c r="D406" s="81">
        <v>4712.3999999999996</v>
      </c>
      <c r="E406" s="151">
        <v>44746</v>
      </c>
      <c r="F406" s="81">
        <v>4712.3999999999996</v>
      </c>
      <c r="G406" s="156">
        <f>Tabla18[[#This Row],[Importe]]-Tabla18[[#This Row],[Pagado]]</f>
        <v>0</v>
      </c>
      <c r="H406" s="75" t="s">
        <v>10</v>
      </c>
    </row>
    <row r="407" spans="1:8" x14ac:dyDescent="0.25">
      <c r="A407" s="148">
        <v>44746</v>
      </c>
      <c r="B407" s="149" t="s">
        <v>21685</v>
      </c>
      <c r="C407" s="153" t="s">
        <v>541</v>
      </c>
      <c r="D407" s="154">
        <v>44830.400000000001</v>
      </c>
      <c r="E407" s="155">
        <v>44747</v>
      </c>
      <c r="F407" s="154">
        <v>44830.400000000001</v>
      </c>
      <c r="G407" s="156">
        <f>Tabla18[[#This Row],[Importe]]-Tabla18[[#This Row],[Pagado]]</f>
        <v>0</v>
      </c>
      <c r="H407" s="153" t="s">
        <v>10</v>
      </c>
    </row>
    <row r="408" spans="1:8" x14ac:dyDescent="0.25">
      <c r="A408" s="73">
        <v>44746</v>
      </c>
      <c r="B408" s="74" t="s">
        <v>21686</v>
      </c>
      <c r="C408" s="75" t="s">
        <v>15039</v>
      </c>
      <c r="D408" s="81">
        <v>5000.8</v>
      </c>
      <c r="E408" s="151">
        <v>44746</v>
      </c>
      <c r="F408" s="81">
        <v>5000.8</v>
      </c>
      <c r="G408" s="156">
        <f>Tabla18[[#This Row],[Importe]]-Tabla18[[#This Row],[Pagado]]</f>
        <v>0</v>
      </c>
      <c r="H408" s="75" t="s">
        <v>10</v>
      </c>
    </row>
    <row r="409" spans="1:8" x14ac:dyDescent="0.25">
      <c r="A409" s="148">
        <v>44746</v>
      </c>
      <c r="B409" s="149" t="s">
        <v>21687</v>
      </c>
      <c r="C409" s="153" t="s">
        <v>698</v>
      </c>
      <c r="D409" s="154">
        <v>8532.5</v>
      </c>
      <c r="E409" s="155">
        <v>44746</v>
      </c>
      <c r="F409" s="154">
        <v>8532.5</v>
      </c>
      <c r="G409" s="156">
        <f>Tabla18[[#This Row],[Importe]]-Tabla18[[#This Row],[Pagado]]</f>
        <v>0</v>
      </c>
      <c r="H409" s="153" t="s">
        <v>10</v>
      </c>
    </row>
    <row r="410" spans="1:8" x14ac:dyDescent="0.25">
      <c r="A410" s="73">
        <v>44746</v>
      </c>
      <c r="B410" s="74" t="s">
        <v>21688</v>
      </c>
      <c r="C410" s="75" t="s">
        <v>69</v>
      </c>
      <c r="D410" s="81">
        <v>2468.8000000000002</v>
      </c>
      <c r="E410" s="151">
        <v>44746</v>
      </c>
      <c r="F410" s="81">
        <v>2468.8000000000002</v>
      </c>
      <c r="G410" s="156">
        <f>Tabla18[[#This Row],[Importe]]-Tabla18[[#This Row],[Pagado]]</f>
        <v>0</v>
      </c>
      <c r="H410" s="75" t="s">
        <v>10</v>
      </c>
    </row>
    <row r="411" spans="1:8" x14ac:dyDescent="0.25">
      <c r="A411" s="148">
        <v>44746</v>
      </c>
      <c r="B411" s="149" t="s">
        <v>21689</v>
      </c>
      <c r="C411" s="153" t="s">
        <v>179</v>
      </c>
      <c r="D411" s="154">
        <v>1699.2</v>
      </c>
      <c r="E411" s="155">
        <v>44746</v>
      </c>
      <c r="F411" s="154">
        <v>1699.2</v>
      </c>
      <c r="G411" s="156">
        <f>Tabla18[[#This Row],[Importe]]-Tabla18[[#This Row],[Pagado]]</f>
        <v>0</v>
      </c>
      <c r="H411" s="153" t="s">
        <v>10</v>
      </c>
    </row>
    <row r="412" spans="1:8" x14ac:dyDescent="0.25">
      <c r="A412" s="73">
        <v>44746</v>
      </c>
      <c r="B412" s="74" t="s">
        <v>21690</v>
      </c>
      <c r="C412" s="75" t="s">
        <v>857</v>
      </c>
      <c r="D412" s="81">
        <v>1012.6</v>
      </c>
      <c r="E412" s="151">
        <v>44746</v>
      </c>
      <c r="F412" s="81">
        <v>1012.6</v>
      </c>
      <c r="G412" s="156">
        <f>Tabla18[[#This Row],[Importe]]-Tabla18[[#This Row],[Pagado]]</f>
        <v>0</v>
      </c>
      <c r="H412" s="75" t="s">
        <v>10</v>
      </c>
    </row>
    <row r="413" spans="1:8" x14ac:dyDescent="0.25">
      <c r="A413" s="148">
        <v>44746</v>
      </c>
      <c r="B413" s="149" t="s">
        <v>21691</v>
      </c>
      <c r="C413" s="153" t="s">
        <v>53</v>
      </c>
      <c r="D413" s="154">
        <v>1147</v>
      </c>
      <c r="E413" s="155">
        <v>44746</v>
      </c>
      <c r="F413" s="154">
        <v>1147</v>
      </c>
      <c r="G413" s="156">
        <f>Tabla18[[#This Row],[Importe]]-Tabla18[[#This Row],[Pagado]]</f>
        <v>0</v>
      </c>
      <c r="H413" s="153" t="s">
        <v>10</v>
      </c>
    </row>
    <row r="414" spans="1:8" x14ac:dyDescent="0.25">
      <c r="A414" s="73">
        <v>44746</v>
      </c>
      <c r="B414" s="74" t="s">
        <v>21692</v>
      </c>
      <c r="C414" s="75" t="s">
        <v>698</v>
      </c>
      <c r="D414" s="81">
        <v>7680</v>
      </c>
      <c r="E414" s="151">
        <v>44746</v>
      </c>
      <c r="F414" s="81">
        <v>7680</v>
      </c>
      <c r="G414" s="156">
        <f>Tabla18[[#This Row],[Importe]]-Tabla18[[#This Row],[Pagado]]</f>
        <v>0</v>
      </c>
      <c r="H414" s="75" t="s">
        <v>10</v>
      </c>
    </row>
    <row r="415" spans="1:8" x14ac:dyDescent="0.25">
      <c r="A415" s="148">
        <v>44746</v>
      </c>
      <c r="B415" s="149" t="s">
        <v>21693</v>
      </c>
      <c r="C415" s="153" t="s">
        <v>7745</v>
      </c>
      <c r="D415" s="154">
        <v>25178.400000000001</v>
      </c>
      <c r="E415" s="155">
        <v>44746</v>
      </c>
      <c r="F415" s="154">
        <v>25178.400000000001</v>
      </c>
      <c r="G415" s="156">
        <f>Tabla18[[#This Row],[Importe]]-Tabla18[[#This Row],[Pagado]]</f>
        <v>0</v>
      </c>
      <c r="H415" s="153" t="s">
        <v>10</v>
      </c>
    </row>
    <row r="416" spans="1:8" x14ac:dyDescent="0.25">
      <c r="A416" s="73">
        <v>44746</v>
      </c>
      <c r="B416" s="74" t="s">
        <v>21694</v>
      </c>
      <c r="C416" s="75" t="s">
        <v>421</v>
      </c>
      <c r="D416" s="81">
        <v>14069.4</v>
      </c>
      <c r="E416" s="151">
        <v>44762</v>
      </c>
      <c r="F416" s="81">
        <v>14069.4</v>
      </c>
      <c r="G416" s="156">
        <f>Tabla18[[#This Row],[Importe]]-Tabla18[[#This Row],[Pagado]]</f>
        <v>0</v>
      </c>
      <c r="H416" s="75" t="s">
        <v>10</v>
      </c>
    </row>
    <row r="417" spans="1:8" x14ac:dyDescent="0.25">
      <c r="A417" s="148">
        <v>44746</v>
      </c>
      <c r="B417" s="149" t="s">
        <v>21695</v>
      </c>
      <c r="C417" s="153" t="s">
        <v>10678</v>
      </c>
      <c r="D417" s="154">
        <v>4539.1000000000004</v>
      </c>
      <c r="E417" s="155">
        <v>44746</v>
      </c>
      <c r="F417" s="154">
        <v>4539.1000000000004</v>
      </c>
      <c r="G417" s="156">
        <f>Tabla18[[#This Row],[Importe]]-Tabla18[[#This Row],[Pagado]]</f>
        <v>0</v>
      </c>
      <c r="H417" s="153" t="s">
        <v>10</v>
      </c>
    </row>
    <row r="418" spans="1:8" x14ac:dyDescent="0.25">
      <c r="A418" s="73">
        <v>44746</v>
      </c>
      <c r="B418" s="74" t="s">
        <v>21696</v>
      </c>
      <c r="C418" s="75" t="s">
        <v>56</v>
      </c>
      <c r="D418" s="81">
        <v>7006.3</v>
      </c>
      <c r="E418" s="151">
        <v>44746</v>
      </c>
      <c r="F418" s="81">
        <v>7006.3</v>
      </c>
      <c r="G418" s="156">
        <f>Tabla18[[#This Row],[Importe]]-Tabla18[[#This Row],[Pagado]]</f>
        <v>0</v>
      </c>
      <c r="H418" s="75" t="s">
        <v>10</v>
      </c>
    </row>
    <row r="419" spans="1:8" x14ac:dyDescent="0.25">
      <c r="A419" s="148">
        <v>44746</v>
      </c>
      <c r="B419" s="149" t="s">
        <v>21697</v>
      </c>
      <c r="C419" s="153" t="s">
        <v>419</v>
      </c>
      <c r="D419" s="154">
        <v>5624.4</v>
      </c>
      <c r="E419" s="155">
        <v>44746</v>
      </c>
      <c r="F419" s="154">
        <v>5624.4</v>
      </c>
      <c r="G419" s="156">
        <f>Tabla18[[#This Row],[Importe]]-Tabla18[[#This Row],[Pagado]]</f>
        <v>0</v>
      </c>
      <c r="H419" s="153" t="s">
        <v>10</v>
      </c>
    </row>
    <row r="420" spans="1:8" x14ac:dyDescent="0.25">
      <c r="A420" s="73">
        <v>44746</v>
      </c>
      <c r="B420" s="74" t="s">
        <v>21698</v>
      </c>
      <c r="C420" s="75" t="s">
        <v>249</v>
      </c>
      <c r="D420" s="81">
        <v>1731.6</v>
      </c>
      <c r="E420" s="151">
        <v>44746</v>
      </c>
      <c r="F420" s="81">
        <v>1731.6</v>
      </c>
      <c r="G420" s="156">
        <f>Tabla18[[#This Row],[Importe]]-Tabla18[[#This Row],[Pagado]]</f>
        <v>0</v>
      </c>
      <c r="H420" s="75" t="s">
        <v>10</v>
      </c>
    </row>
    <row r="421" spans="1:8" x14ac:dyDescent="0.25">
      <c r="A421" s="148">
        <v>44746</v>
      </c>
      <c r="B421" s="149" t="s">
        <v>21699</v>
      </c>
      <c r="C421" s="153" t="s">
        <v>2139</v>
      </c>
      <c r="D421" s="154">
        <v>6029.1</v>
      </c>
      <c r="E421" s="155">
        <v>44746</v>
      </c>
      <c r="F421" s="154">
        <v>6029.1</v>
      </c>
      <c r="G421" s="156">
        <f>Tabla18[[#This Row],[Importe]]-Tabla18[[#This Row],[Pagado]]</f>
        <v>0</v>
      </c>
      <c r="H421" s="153" t="s">
        <v>10</v>
      </c>
    </row>
    <row r="422" spans="1:8" x14ac:dyDescent="0.25">
      <c r="A422" s="73">
        <v>44746</v>
      </c>
      <c r="B422" s="74" t="s">
        <v>21700</v>
      </c>
      <c r="C422" s="75" t="s">
        <v>732</v>
      </c>
      <c r="D422" s="81">
        <v>4072.5</v>
      </c>
      <c r="E422" s="151">
        <v>44746</v>
      </c>
      <c r="F422" s="81">
        <v>4072.5</v>
      </c>
      <c r="G422" s="156">
        <f>Tabla18[[#This Row],[Importe]]-Tabla18[[#This Row],[Pagado]]</f>
        <v>0</v>
      </c>
      <c r="H422" s="75" t="s">
        <v>10</v>
      </c>
    </row>
    <row r="423" spans="1:8" x14ac:dyDescent="0.25">
      <c r="A423" s="148">
        <v>44746</v>
      </c>
      <c r="B423" s="149" t="s">
        <v>21701</v>
      </c>
      <c r="C423" s="153" t="s">
        <v>9827</v>
      </c>
      <c r="D423" s="154">
        <v>3823.2</v>
      </c>
      <c r="E423" s="155">
        <v>44746</v>
      </c>
      <c r="F423" s="154">
        <v>3823.2</v>
      </c>
      <c r="G423" s="156">
        <f>Tabla18[[#This Row],[Importe]]-Tabla18[[#This Row],[Pagado]]</f>
        <v>0</v>
      </c>
      <c r="H423" s="153" t="s">
        <v>10</v>
      </c>
    </row>
    <row r="424" spans="1:8" x14ac:dyDescent="0.25">
      <c r="A424" s="73">
        <v>44746</v>
      </c>
      <c r="B424" s="74" t="s">
        <v>21702</v>
      </c>
      <c r="C424" s="75" t="s">
        <v>4136</v>
      </c>
      <c r="D424" s="81">
        <v>2353</v>
      </c>
      <c r="E424" s="151">
        <v>44746</v>
      </c>
      <c r="F424" s="81">
        <v>2353</v>
      </c>
      <c r="G424" s="156">
        <f>Tabla18[[#This Row],[Importe]]-Tabla18[[#This Row],[Pagado]]</f>
        <v>0</v>
      </c>
      <c r="H424" s="75" t="s">
        <v>10</v>
      </c>
    </row>
    <row r="425" spans="1:8" x14ac:dyDescent="0.25">
      <c r="A425" s="148">
        <v>44746</v>
      </c>
      <c r="B425" s="149" t="s">
        <v>21703</v>
      </c>
      <c r="C425" s="153" t="s">
        <v>681</v>
      </c>
      <c r="D425" s="154">
        <v>5.53</v>
      </c>
      <c r="E425" s="155">
        <v>44751</v>
      </c>
      <c r="F425" s="154">
        <v>5.53</v>
      </c>
      <c r="G425" s="156">
        <f>Tabla18[[#This Row],[Importe]]-Tabla18[[#This Row],[Pagado]]</f>
        <v>0</v>
      </c>
      <c r="H425" s="153" t="s">
        <v>10</v>
      </c>
    </row>
    <row r="426" spans="1:8" x14ac:dyDescent="0.25">
      <c r="A426" s="73">
        <v>44746</v>
      </c>
      <c r="B426" s="74" t="s">
        <v>21704</v>
      </c>
      <c r="C426" s="75" t="s">
        <v>843</v>
      </c>
      <c r="D426" s="81">
        <v>8755.2000000000007</v>
      </c>
      <c r="E426" s="151">
        <v>44746</v>
      </c>
      <c r="F426" s="81">
        <v>8755.2000000000007</v>
      </c>
      <c r="G426" s="156">
        <f>Tabla18[[#This Row],[Importe]]-Tabla18[[#This Row],[Pagado]]</f>
        <v>0</v>
      </c>
      <c r="H426" s="75" t="s">
        <v>10</v>
      </c>
    </row>
    <row r="427" spans="1:8" x14ac:dyDescent="0.25">
      <c r="A427" s="148">
        <v>44746</v>
      </c>
      <c r="B427" s="149" t="s">
        <v>21705</v>
      </c>
      <c r="C427" s="153" t="s">
        <v>10190</v>
      </c>
      <c r="D427" s="154">
        <v>17510.400000000001</v>
      </c>
      <c r="E427" s="155">
        <v>44746</v>
      </c>
      <c r="F427" s="154">
        <v>17510.400000000001</v>
      </c>
      <c r="G427" s="156">
        <f>Tabla18[[#This Row],[Importe]]-Tabla18[[#This Row],[Pagado]]</f>
        <v>0</v>
      </c>
      <c r="H427" s="153" t="s">
        <v>10</v>
      </c>
    </row>
    <row r="428" spans="1:8" x14ac:dyDescent="0.25">
      <c r="A428" s="73">
        <v>44746</v>
      </c>
      <c r="B428" s="74" t="s">
        <v>21706</v>
      </c>
      <c r="C428" s="75" t="s">
        <v>5345</v>
      </c>
      <c r="D428" s="81">
        <v>4334.3999999999996</v>
      </c>
      <c r="E428" s="151">
        <v>44747</v>
      </c>
      <c r="F428" s="81">
        <v>4334.3999999999996</v>
      </c>
      <c r="G428" s="156">
        <f>Tabla18[[#This Row],[Importe]]-Tabla18[[#This Row],[Pagado]]</f>
        <v>0</v>
      </c>
      <c r="H428" s="75" t="s">
        <v>10</v>
      </c>
    </row>
    <row r="429" spans="1:8" x14ac:dyDescent="0.25">
      <c r="A429" s="148">
        <v>44746</v>
      </c>
      <c r="B429" s="149" t="s">
        <v>21707</v>
      </c>
      <c r="C429" s="153" t="s">
        <v>284</v>
      </c>
      <c r="D429" s="154">
        <v>8712</v>
      </c>
      <c r="E429" s="155">
        <v>44747</v>
      </c>
      <c r="F429" s="154">
        <v>8712</v>
      </c>
      <c r="G429" s="156">
        <f>Tabla18[[#This Row],[Importe]]-Tabla18[[#This Row],[Pagado]]</f>
        <v>0</v>
      </c>
      <c r="H429" s="153" t="s">
        <v>10</v>
      </c>
    </row>
    <row r="430" spans="1:8" x14ac:dyDescent="0.25">
      <c r="A430" s="73">
        <v>44746</v>
      </c>
      <c r="B430" s="74" t="s">
        <v>21708</v>
      </c>
      <c r="C430" s="75" t="s">
        <v>282</v>
      </c>
      <c r="D430" s="81">
        <v>2476.8000000000002</v>
      </c>
      <c r="E430" s="151">
        <v>44747</v>
      </c>
      <c r="F430" s="81">
        <v>2476.8000000000002</v>
      </c>
      <c r="G430" s="156">
        <f>Tabla18[[#This Row],[Importe]]-Tabla18[[#This Row],[Pagado]]</f>
        <v>0</v>
      </c>
      <c r="H430" s="75" t="s">
        <v>10</v>
      </c>
    </row>
    <row r="431" spans="1:8" x14ac:dyDescent="0.25">
      <c r="A431" s="148">
        <v>44746</v>
      </c>
      <c r="B431" s="149" t="s">
        <v>21709</v>
      </c>
      <c r="C431" s="153" t="s">
        <v>280</v>
      </c>
      <c r="D431" s="154">
        <v>1260</v>
      </c>
      <c r="E431" s="155">
        <v>44747</v>
      </c>
      <c r="F431" s="154">
        <v>1260</v>
      </c>
      <c r="G431" s="156">
        <f>Tabla18[[#This Row],[Importe]]-Tabla18[[#This Row],[Pagado]]</f>
        <v>0</v>
      </c>
      <c r="H431" s="153" t="s">
        <v>10</v>
      </c>
    </row>
    <row r="432" spans="1:8" x14ac:dyDescent="0.25">
      <c r="A432" s="73">
        <v>44746</v>
      </c>
      <c r="B432" s="74" t="s">
        <v>21710</v>
      </c>
      <c r="C432" s="75" t="s">
        <v>10819</v>
      </c>
      <c r="D432" s="81">
        <v>1292</v>
      </c>
      <c r="E432" s="151">
        <v>44747</v>
      </c>
      <c r="F432" s="81">
        <v>1292</v>
      </c>
      <c r="G432" s="156">
        <f>Tabla18[[#This Row],[Importe]]-Tabla18[[#This Row],[Pagado]]</f>
        <v>0</v>
      </c>
      <c r="H432" s="75" t="s">
        <v>10</v>
      </c>
    </row>
    <row r="433" spans="1:8" x14ac:dyDescent="0.25">
      <c r="A433" s="148">
        <v>44746</v>
      </c>
      <c r="B433" s="149" t="s">
        <v>21711</v>
      </c>
      <c r="C433" s="153" t="s">
        <v>5345</v>
      </c>
      <c r="D433" s="154">
        <v>585</v>
      </c>
      <c r="E433" s="155">
        <v>44747</v>
      </c>
      <c r="F433" s="154">
        <v>585</v>
      </c>
      <c r="G433" s="156">
        <f>Tabla18[[#This Row],[Importe]]-Tabla18[[#This Row],[Pagado]]</f>
        <v>0</v>
      </c>
      <c r="H433" s="153" t="s">
        <v>10</v>
      </c>
    </row>
    <row r="434" spans="1:8" x14ac:dyDescent="0.25">
      <c r="A434" s="73">
        <v>44746</v>
      </c>
      <c r="B434" s="74" t="s">
        <v>21712</v>
      </c>
      <c r="C434" s="75" t="s">
        <v>196</v>
      </c>
      <c r="D434" s="81">
        <v>129755.9</v>
      </c>
      <c r="E434" s="151">
        <v>44750</v>
      </c>
      <c r="F434" s="81">
        <v>129755.9</v>
      </c>
      <c r="G434" s="156">
        <f>Tabla18[[#This Row],[Importe]]-Tabla18[[#This Row],[Pagado]]</f>
        <v>0</v>
      </c>
      <c r="H434" s="75" t="s">
        <v>10</v>
      </c>
    </row>
    <row r="435" spans="1:8" x14ac:dyDescent="0.25">
      <c r="A435" s="148">
        <v>44746</v>
      </c>
      <c r="B435" s="149" t="s">
        <v>21713</v>
      </c>
      <c r="C435" s="153" t="s">
        <v>196</v>
      </c>
      <c r="D435" s="154">
        <v>14947.2</v>
      </c>
      <c r="E435" s="155">
        <v>44750</v>
      </c>
      <c r="F435" s="154">
        <v>14947.2</v>
      </c>
      <c r="G435" s="156">
        <f>Tabla18[[#This Row],[Importe]]-Tabla18[[#This Row],[Pagado]]</f>
        <v>0</v>
      </c>
      <c r="H435" s="153" t="s">
        <v>10</v>
      </c>
    </row>
    <row r="436" spans="1:8" x14ac:dyDescent="0.25">
      <c r="A436" s="73">
        <v>44746</v>
      </c>
      <c r="B436" s="74" t="s">
        <v>21714</v>
      </c>
      <c r="C436" s="75" t="s">
        <v>654</v>
      </c>
      <c r="D436" s="81">
        <v>5681</v>
      </c>
      <c r="E436" s="151">
        <v>44753</v>
      </c>
      <c r="F436" s="81">
        <v>5681</v>
      </c>
      <c r="G436" s="156">
        <f>Tabla18[[#This Row],[Importe]]-Tabla18[[#This Row],[Pagado]]</f>
        <v>0</v>
      </c>
      <c r="H436" s="75" t="s">
        <v>10</v>
      </c>
    </row>
    <row r="437" spans="1:8" x14ac:dyDescent="0.25">
      <c r="A437" s="148">
        <v>44746</v>
      </c>
      <c r="B437" s="149" t="s">
        <v>21715</v>
      </c>
      <c r="C437" s="153" t="s">
        <v>296</v>
      </c>
      <c r="D437" s="154">
        <v>2738</v>
      </c>
      <c r="E437" s="155">
        <v>44746</v>
      </c>
      <c r="F437" s="154">
        <v>2738</v>
      </c>
      <c r="G437" s="156">
        <f>Tabla18[[#This Row],[Importe]]-Tabla18[[#This Row],[Pagado]]</f>
        <v>0</v>
      </c>
      <c r="H437" s="153" t="s">
        <v>10</v>
      </c>
    </row>
    <row r="438" spans="1:8" ht="31.5" x14ac:dyDescent="0.25">
      <c r="A438" s="73">
        <v>44746</v>
      </c>
      <c r="B438" s="74" t="s">
        <v>21716</v>
      </c>
      <c r="C438" s="75" t="s">
        <v>10840</v>
      </c>
      <c r="D438" s="81">
        <v>33388.199999999997</v>
      </c>
      <c r="E438" s="147" t="s">
        <v>21717</v>
      </c>
      <c r="F438" s="81">
        <f>32000+1388.2</f>
        <v>33388.199999999997</v>
      </c>
      <c r="G438" s="156">
        <f>Tabla18[[#This Row],[Importe]]-Tabla18[[#This Row],[Pagado]]</f>
        <v>0</v>
      </c>
      <c r="H438" s="75" t="s">
        <v>10</v>
      </c>
    </row>
    <row r="439" spans="1:8" x14ac:dyDescent="0.25">
      <c r="A439" s="148">
        <v>44746</v>
      </c>
      <c r="B439" s="149" t="s">
        <v>21718</v>
      </c>
      <c r="C439" s="153" t="s">
        <v>53</v>
      </c>
      <c r="D439" s="154">
        <v>1724.2</v>
      </c>
      <c r="E439" s="155">
        <v>44746</v>
      </c>
      <c r="F439" s="154">
        <v>1724.2</v>
      </c>
      <c r="G439" s="156">
        <f>Tabla18[[#This Row],[Importe]]-Tabla18[[#This Row],[Pagado]]</f>
        <v>0</v>
      </c>
      <c r="H439" s="153" t="s">
        <v>10</v>
      </c>
    </row>
    <row r="440" spans="1:8" x14ac:dyDescent="0.25">
      <c r="A440" s="73">
        <v>44746</v>
      </c>
      <c r="B440" s="74" t="s">
        <v>21719</v>
      </c>
      <c r="C440" s="75" t="s">
        <v>463</v>
      </c>
      <c r="D440" s="81">
        <v>550</v>
      </c>
      <c r="E440" s="151">
        <v>44746</v>
      </c>
      <c r="F440" s="81">
        <v>550</v>
      </c>
      <c r="G440" s="156">
        <f>Tabla18[[#This Row],[Importe]]-Tabla18[[#This Row],[Pagado]]</f>
        <v>0</v>
      </c>
      <c r="H440" s="75" t="s">
        <v>10</v>
      </c>
    </row>
    <row r="441" spans="1:8" x14ac:dyDescent="0.25">
      <c r="A441" s="148">
        <v>44746</v>
      </c>
      <c r="B441" s="149" t="s">
        <v>21720</v>
      </c>
      <c r="C441" s="153" t="s">
        <v>461</v>
      </c>
      <c r="D441" s="154">
        <v>394</v>
      </c>
      <c r="E441" s="155">
        <v>44747</v>
      </c>
      <c r="F441" s="154">
        <v>394</v>
      </c>
      <c r="G441" s="156">
        <f>Tabla18[[#This Row],[Importe]]-Tabla18[[#This Row],[Pagado]]</f>
        <v>0</v>
      </c>
      <c r="H441" s="153" t="s">
        <v>10</v>
      </c>
    </row>
    <row r="442" spans="1:8" x14ac:dyDescent="0.25">
      <c r="A442" s="73">
        <v>44746</v>
      </c>
      <c r="B442" s="74" t="s">
        <v>21721</v>
      </c>
      <c r="C442" s="75" t="s">
        <v>31</v>
      </c>
      <c r="D442" s="81">
        <v>43</v>
      </c>
      <c r="E442" s="151">
        <v>44746</v>
      </c>
      <c r="F442" s="81">
        <v>43</v>
      </c>
      <c r="G442" s="156">
        <f>Tabla18[[#This Row],[Importe]]-Tabla18[[#This Row],[Pagado]]</f>
        <v>0</v>
      </c>
      <c r="H442" s="75" t="s">
        <v>10</v>
      </c>
    </row>
    <row r="443" spans="1:8" x14ac:dyDescent="0.25">
      <c r="A443" s="148">
        <v>44746</v>
      </c>
      <c r="B443" s="149" t="s">
        <v>21722</v>
      </c>
      <c r="C443" s="153" t="s">
        <v>459</v>
      </c>
      <c r="D443" s="154">
        <v>213</v>
      </c>
      <c r="E443" s="155">
        <v>44747</v>
      </c>
      <c r="F443" s="154">
        <v>213</v>
      </c>
      <c r="G443" s="156">
        <f>Tabla18[[#This Row],[Importe]]-Tabla18[[#This Row],[Pagado]]</f>
        <v>0</v>
      </c>
      <c r="H443" s="153" t="s">
        <v>10</v>
      </c>
    </row>
    <row r="444" spans="1:8" x14ac:dyDescent="0.25">
      <c r="A444" s="73">
        <v>44746</v>
      </c>
      <c r="B444" s="74" t="s">
        <v>21723</v>
      </c>
      <c r="C444" s="75" t="s">
        <v>457</v>
      </c>
      <c r="D444" s="81">
        <v>198</v>
      </c>
      <c r="E444" s="151">
        <v>44747</v>
      </c>
      <c r="F444" s="81">
        <v>198</v>
      </c>
      <c r="G444" s="156">
        <f>Tabla18[[#This Row],[Importe]]-Tabla18[[#This Row],[Pagado]]</f>
        <v>0</v>
      </c>
      <c r="H444" s="75" t="s">
        <v>10</v>
      </c>
    </row>
    <row r="445" spans="1:8" x14ac:dyDescent="0.25">
      <c r="A445" s="148">
        <v>44746</v>
      </c>
      <c r="B445" s="149" t="s">
        <v>21724</v>
      </c>
      <c r="C445" s="153" t="s">
        <v>142</v>
      </c>
      <c r="D445" s="154">
        <v>73363.8</v>
      </c>
      <c r="E445" s="155">
        <v>44799</v>
      </c>
      <c r="F445" s="154">
        <v>73363.8</v>
      </c>
      <c r="G445" s="156">
        <f>Tabla18[[#This Row],[Importe]]-Tabla18[[#This Row],[Pagado]]</f>
        <v>0</v>
      </c>
      <c r="H445" s="153" t="s">
        <v>10</v>
      </c>
    </row>
    <row r="446" spans="1:8" x14ac:dyDescent="0.25">
      <c r="A446" s="73">
        <v>44746</v>
      </c>
      <c r="B446" s="74" t="s">
        <v>21725</v>
      </c>
      <c r="C446" s="75" t="s">
        <v>1174</v>
      </c>
      <c r="D446" s="81">
        <v>29859</v>
      </c>
      <c r="E446" s="151">
        <v>44746</v>
      </c>
      <c r="F446" s="81">
        <v>29859</v>
      </c>
      <c r="G446" s="156">
        <f>Tabla18[[#This Row],[Importe]]-Tabla18[[#This Row],[Pagado]]</f>
        <v>0</v>
      </c>
      <c r="H446" s="75" t="s">
        <v>10</v>
      </c>
    </row>
    <row r="447" spans="1:8" x14ac:dyDescent="0.25">
      <c r="A447" s="148">
        <v>44746</v>
      </c>
      <c r="B447" s="149" t="s">
        <v>21726</v>
      </c>
      <c r="C447" s="153" t="s">
        <v>31</v>
      </c>
      <c r="D447" s="154">
        <v>6</v>
      </c>
      <c r="E447" s="155">
        <v>44747</v>
      </c>
      <c r="F447" s="154">
        <v>6</v>
      </c>
      <c r="G447" s="156">
        <f>Tabla18[[#This Row],[Importe]]-Tabla18[[#This Row],[Pagado]]</f>
        <v>0</v>
      </c>
      <c r="H447" s="153" t="s">
        <v>10</v>
      </c>
    </row>
    <row r="448" spans="1:8" x14ac:dyDescent="0.25">
      <c r="A448" s="73">
        <v>44746</v>
      </c>
      <c r="B448" s="74" t="s">
        <v>21727</v>
      </c>
      <c r="C448" s="75" t="s">
        <v>246</v>
      </c>
      <c r="D448" s="81">
        <v>91455.8</v>
      </c>
      <c r="E448" s="151">
        <v>44747</v>
      </c>
      <c r="F448" s="81">
        <v>91455.8</v>
      </c>
      <c r="G448" s="156">
        <f>Tabla18[[#This Row],[Importe]]-Tabla18[[#This Row],[Pagado]]</f>
        <v>0</v>
      </c>
      <c r="H448" s="75" t="s">
        <v>10</v>
      </c>
    </row>
    <row r="449" spans="1:8" x14ac:dyDescent="0.25">
      <c r="A449" s="148">
        <v>44746</v>
      </c>
      <c r="B449" s="149" t="s">
        <v>21728</v>
      </c>
      <c r="C449" s="153" t="s">
        <v>31</v>
      </c>
      <c r="D449" s="154">
        <v>1388.4</v>
      </c>
      <c r="E449" s="155">
        <v>44747</v>
      </c>
      <c r="F449" s="154">
        <v>1388.4</v>
      </c>
      <c r="G449" s="156">
        <f>Tabla18[[#This Row],[Importe]]-Tabla18[[#This Row],[Pagado]]</f>
        <v>0</v>
      </c>
      <c r="H449" s="153" t="s">
        <v>10</v>
      </c>
    </row>
    <row r="450" spans="1:8" x14ac:dyDescent="0.25">
      <c r="A450" s="73">
        <v>44747</v>
      </c>
      <c r="B450" s="74" t="s">
        <v>21729</v>
      </c>
      <c r="C450" s="75" t="s">
        <v>85</v>
      </c>
      <c r="D450" s="81">
        <v>1388</v>
      </c>
      <c r="E450" s="151">
        <v>44747</v>
      </c>
      <c r="F450" s="81">
        <v>1388</v>
      </c>
      <c r="G450" s="156">
        <f>Tabla18[[#This Row],[Importe]]-Tabla18[[#This Row],[Pagado]]</f>
        <v>0</v>
      </c>
      <c r="H450" s="75" t="s">
        <v>10</v>
      </c>
    </row>
    <row r="451" spans="1:8" x14ac:dyDescent="0.25">
      <c r="A451" s="148">
        <v>44747</v>
      </c>
      <c r="B451" s="149" t="s">
        <v>21730</v>
      </c>
      <c r="C451" s="153" t="s">
        <v>75</v>
      </c>
      <c r="D451" s="154">
        <v>6278.4</v>
      </c>
      <c r="E451" s="155">
        <v>44747</v>
      </c>
      <c r="F451" s="154">
        <v>6278.4</v>
      </c>
      <c r="G451" s="156">
        <f>Tabla18[[#This Row],[Importe]]-Tabla18[[#This Row],[Pagado]]</f>
        <v>0</v>
      </c>
      <c r="H451" s="153" t="s">
        <v>10</v>
      </c>
    </row>
    <row r="452" spans="1:8" x14ac:dyDescent="0.25">
      <c r="A452" s="73">
        <v>44747</v>
      </c>
      <c r="B452" s="74" t="s">
        <v>21731</v>
      </c>
      <c r="C452" s="75" t="s">
        <v>481</v>
      </c>
      <c r="D452" s="81">
        <v>292.60000000000002</v>
      </c>
      <c r="E452" s="151">
        <v>44747</v>
      </c>
      <c r="F452" s="81">
        <v>292.60000000000002</v>
      </c>
      <c r="G452" s="156">
        <f>Tabla18[[#This Row],[Importe]]-Tabla18[[#This Row],[Pagado]]</f>
        <v>0</v>
      </c>
      <c r="H452" s="75" t="s">
        <v>10</v>
      </c>
    </row>
    <row r="453" spans="1:8" x14ac:dyDescent="0.25">
      <c r="A453" s="148">
        <v>44747</v>
      </c>
      <c r="B453" s="149" t="s">
        <v>21732</v>
      </c>
      <c r="C453" s="153" t="s">
        <v>31</v>
      </c>
      <c r="D453" s="154">
        <v>5219.5</v>
      </c>
      <c r="E453" s="155">
        <v>44747</v>
      </c>
      <c r="F453" s="154">
        <v>5219.5</v>
      </c>
      <c r="G453" s="156">
        <f>Tabla18[[#This Row],[Importe]]-Tabla18[[#This Row],[Pagado]]</f>
        <v>0</v>
      </c>
      <c r="H453" s="153" t="s">
        <v>10</v>
      </c>
    </row>
    <row r="454" spans="1:8" x14ac:dyDescent="0.25">
      <c r="A454" s="73">
        <v>44747</v>
      </c>
      <c r="B454" s="74" t="s">
        <v>21733</v>
      </c>
      <c r="C454" s="75" t="s">
        <v>87</v>
      </c>
      <c r="D454" s="81">
        <v>2017.7</v>
      </c>
      <c r="E454" s="151">
        <v>44747</v>
      </c>
      <c r="F454" s="81">
        <v>2017.7</v>
      </c>
      <c r="G454" s="156">
        <f>Tabla18[[#This Row],[Importe]]-Tabla18[[#This Row],[Pagado]]</f>
        <v>0</v>
      </c>
      <c r="H454" s="75" t="s">
        <v>10</v>
      </c>
    </row>
    <row r="455" spans="1:8" x14ac:dyDescent="0.25">
      <c r="A455" s="148">
        <v>44747</v>
      </c>
      <c r="B455" s="149" t="s">
        <v>21734</v>
      </c>
      <c r="C455" s="153" t="s">
        <v>314</v>
      </c>
      <c r="D455" s="154">
        <v>1238.4000000000001</v>
      </c>
      <c r="E455" s="155">
        <v>44747</v>
      </c>
      <c r="F455" s="154">
        <v>1238.4000000000001</v>
      </c>
      <c r="G455" s="156">
        <f>Tabla18[[#This Row],[Importe]]-Tabla18[[#This Row],[Pagado]]</f>
        <v>0</v>
      </c>
      <c r="H455" s="153" t="s">
        <v>10</v>
      </c>
    </row>
    <row r="456" spans="1:8" x14ac:dyDescent="0.25">
      <c r="A456" s="73">
        <v>44747</v>
      </c>
      <c r="B456" s="74" t="s">
        <v>21735</v>
      </c>
      <c r="C456" s="75" t="s">
        <v>89</v>
      </c>
      <c r="D456" s="81">
        <v>7554.4</v>
      </c>
      <c r="E456" s="151">
        <v>44748</v>
      </c>
      <c r="F456" s="81">
        <v>7554.4</v>
      </c>
      <c r="G456" s="156">
        <f>Tabla18[[#This Row],[Importe]]-Tabla18[[#This Row],[Pagado]]</f>
        <v>0</v>
      </c>
      <c r="H456" s="75" t="s">
        <v>10</v>
      </c>
    </row>
    <row r="457" spans="1:8" x14ac:dyDescent="0.25">
      <c r="A457" s="148">
        <v>44747</v>
      </c>
      <c r="B457" s="149" t="s">
        <v>21736</v>
      </c>
      <c r="C457" s="153" t="s">
        <v>64</v>
      </c>
      <c r="D457" s="154">
        <v>5612.8</v>
      </c>
      <c r="E457" s="155">
        <v>44749</v>
      </c>
      <c r="F457" s="154">
        <v>5612.8</v>
      </c>
      <c r="G457" s="156">
        <f>Tabla18[[#This Row],[Importe]]-Tabla18[[#This Row],[Pagado]]</f>
        <v>0</v>
      </c>
      <c r="H457" s="153" t="s">
        <v>10</v>
      </c>
    </row>
    <row r="458" spans="1:8" x14ac:dyDescent="0.25">
      <c r="A458" s="73">
        <v>44747</v>
      </c>
      <c r="B458" s="74" t="s">
        <v>21737</v>
      </c>
      <c r="C458" s="75" t="s">
        <v>114</v>
      </c>
      <c r="D458" s="81">
        <v>5561.4</v>
      </c>
      <c r="E458" s="151">
        <v>44748</v>
      </c>
      <c r="F458" s="81">
        <v>5561.4</v>
      </c>
      <c r="G458" s="156">
        <f>Tabla18[[#This Row],[Importe]]-Tabla18[[#This Row],[Pagado]]</f>
        <v>0</v>
      </c>
      <c r="H458" s="75" t="s">
        <v>10</v>
      </c>
    </row>
    <row r="459" spans="1:8" x14ac:dyDescent="0.25">
      <c r="A459" s="148">
        <v>44747</v>
      </c>
      <c r="B459" s="149" t="s">
        <v>21738</v>
      </c>
      <c r="C459" s="153" t="s">
        <v>326</v>
      </c>
      <c r="D459" s="154">
        <v>5523.2</v>
      </c>
      <c r="E459" s="155">
        <v>44748</v>
      </c>
      <c r="F459" s="154">
        <v>5523.2</v>
      </c>
      <c r="G459" s="156">
        <f>Tabla18[[#This Row],[Importe]]-Tabla18[[#This Row],[Pagado]]</f>
        <v>0</v>
      </c>
      <c r="H459" s="153" t="s">
        <v>10</v>
      </c>
    </row>
    <row r="460" spans="1:8" x14ac:dyDescent="0.25">
      <c r="A460" s="73">
        <v>44747</v>
      </c>
      <c r="B460" s="74" t="s">
        <v>21739</v>
      </c>
      <c r="C460" s="75" t="s">
        <v>116</v>
      </c>
      <c r="D460" s="81">
        <v>3169.6</v>
      </c>
      <c r="E460" s="151">
        <v>44748</v>
      </c>
      <c r="F460" s="81">
        <v>3169.6</v>
      </c>
      <c r="G460" s="156">
        <f>Tabla18[[#This Row],[Importe]]-Tabla18[[#This Row],[Pagado]]</f>
        <v>0</v>
      </c>
      <c r="H460" s="75" t="s">
        <v>10</v>
      </c>
    </row>
    <row r="461" spans="1:8" x14ac:dyDescent="0.25">
      <c r="A461" s="148">
        <v>44747</v>
      </c>
      <c r="B461" s="149" t="s">
        <v>21740</v>
      </c>
      <c r="C461" s="153" t="s">
        <v>97</v>
      </c>
      <c r="D461" s="154">
        <v>5913.6</v>
      </c>
      <c r="E461" s="155">
        <v>44749</v>
      </c>
      <c r="F461" s="154">
        <v>5913.6</v>
      </c>
      <c r="G461" s="156">
        <f>Tabla18[[#This Row],[Importe]]-Tabla18[[#This Row],[Pagado]]</f>
        <v>0</v>
      </c>
      <c r="H461" s="153" t="s">
        <v>10</v>
      </c>
    </row>
    <row r="462" spans="1:8" x14ac:dyDescent="0.25">
      <c r="A462" s="73">
        <v>44747</v>
      </c>
      <c r="B462" s="74" t="s">
        <v>21741</v>
      </c>
      <c r="C462" s="75" t="s">
        <v>5043</v>
      </c>
      <c r="D462" s="81">
        <v>5478.4</v>
      </c>
      <c r="E462" s="151">
        <v>44749</v>
      </c>
      <c r="F462" s="81">
        <v>5478.4</v>
      </c>
      <c r="G462" s="156">
        <f>Tabla18[[#This Row],[Importe]]-Tabla18[[#This Row],[Pagado]]</f>
        <v>0</v>
      </c>
      <c r="H462" s="75" t="s">
        <v>10</v>
      </c>
    </row>
    <row r="463" spans="1:8" x14ac:dyDescent="0.25">
      <c r="A463" s="148">
        <v>44747</v>
      </c>
      <c r="B463" s="149" t="s">
        <v>21742</v>
      </c>
      <c r="C463" s="153" t="s">
        <v>105</v>
      </c>
      <c r="D463" s="154">
        <v>12666.6</v>
      </c>
      <c r="E463" s="155">
        <v>44749</v>
      </c>
      <c r="F463" s="154">
        <v>12666.6</v>
      </c>
      <c r="G463" s="156">
        <f>Tabla18[[#This Row],[Importe]]-Tabla18[[#This Row],[Pagado]]</f>
        <v>0</v>
      </c>
      <c r="H463" s="153" t="s">
        <v>10</v>
      </c>
    </row>
    <row r="464" spans="1:8" x14ac:dyDescent="0.25">
      <c r="A464" s="73">
        <v>44747</v>
      </c>
      <c r="B464" s="74" t="s">
        <v>21743</v>
      </c>
      <c r="C464" s="75" t="s">
        <v>9</v>
      </c>
      <c r="D464" s="81">
        <v>7397.8</v>
      </c>
      <c r="E464" s="151">
        <v>44747</v>
      </c>
      <c r="F464" s="81">
        <v>7397.8</v>
      </c>
      <c r="G464" s="156">
        <f>Tabla18[[#This Row],[Importe]]-Tabla18[[#This Row],[Pagado]]</f>
        <v>0</v>
      </c>
      <c r="H464" s="75" t="s">
        <v>10</v>
      </c>
    </row>
    <row r="465" spans="1:8" x14ac:dyDescent="0.25">
      <c r="A465" s="148">
        <v>44747</v>
      </c>
      <c r="B465" s="149" t="s">
        <v>21744</v>
      </c>
      <c r="C465" s="153" t="s">
        <v>99</v>
      </c>
      <c r="D465" s="154">
        <v>3627.4</v>
      </c>
      <c r="E465" s="155">
        <v>44748</v>
      </c>
      <c r="F465" s="154">
        <v>3627.4</v>
      </c>
      <c r="G465" s="156">
        <f>Tabla18[[#This Row],[Importe]]-Tabla18[[#This Row],[Pagado]]</f>
        <v>0</v>
      </c>
      <c r="H465" s="153" t="s">
        <v>10</v>
      </c>
    </row>
    <row r="466" spans="1:8" x14ac:dyDescent="0.25">
      <c r="A466" s="73">
        <v>44747</v>
      </c>
      <c r="B466" s="74" t="s">
        <v>21745</v>
      </c>
      <c r="C466" s="75" t="s">
        <v>348</v>
      </c>
      <c r="D466" s="81">
        <v>1153.4000000000001</v>
      </c>
      <c r="E466" s="151">
        <v>44747</v>
      </c>
      <c r="F466" s="81">
        <v>1153.4000000000001</v>
      </c>
      <c r="G466" s="156">
        <f>Tabla18[[#This Row],[Importe]]-Tabla18[[#This Row],[Pagado]]</f>
        <v>0</v>
      </c>
      <c r="H466" s="75" t="s">
        <v>10</v>
      </c>
    </row>
    <row r="467" spans="1:8" ht="31.5" x14ac:dyDescent="0.25">
      <c r="A467" s="148">
        <v>44747</v>
      </c>
      <c r="B467" s="149" t="s">
        <v>21746</v>
      </c>
      <c r="C467" s="153" t="s">
        <v>93</v>
      </c>
      <c r="D467" s="154">
        <v>9590.7999999999993</v>
      </c>
      <c r="E467" s="150" t="s">
        <v>21747</v>
      </c>
      <c r="F467" s="154">
        <f>7000+2590.8</f>
        <v>9590.7999999999993</v>
      </c>
      <c r="G467" s="156">
        <f>Tabla18[[#This Row],[Importe]]-Tabla18[[#This Row],[Pagado]]</f>
        <v>0</v>
      </c>
      <c r="H467" s="153" t="s">
        <v>10</v>
      </c>
    </row>
    <row r="468" spans="1:8" x14ac:dyDescent="0.25">
      <c r="A468" s="73">
        <v>44747</v>
      </c>
      <c r="B468" s="74" t="s">
        <v>21748</v>
      </c>
      <c r="C468" s="75" t="s">
        <v>2151</v>
      </c>
      <c r="D468" s="81">
        <v>17751.400000000001</v>
      </c>
      <c r="E468" s="151">
        <v>44747</v>
      </c>
      <c r="F468" s="81">
        <v>17751.400000000001</v>
      </c>
      <c r="G468" s="156">
        <f>Tabla18[[#This Row],[Importe]]-Tabla18[[#This Row],[Pagado]]</f>
        <v>0</v>
      </c>
      <c r="H468" s="75" t="s">
        <v>10</v>
      </c>
    </row>
    <row r="469" spans="1:8" x14ac:dyDescent="0.25">
      <c r="A469" s="148">
        <v>44747</v>
      </c>
      <c r="B469" s="149" t="s">
        <v>21749</v>
      </c>
      <c r="C469" s="153" t="s">
        <v>12202</v>
      </c>
      <c r="D469" s="154">
        <v>3698.2</v>
      </c>
      <c r="E469" s="155">
        <v>44747</v>
      </c>
      <c r="F469" s="154">
        <v>3698.2</v>
      </c>
      <c r="G469" s="156">
        <f>Tabla18[[#This Row],[Importe]]-Tabla18[[#This Row],[Pagado]]</f>
        <v>0</v>
      </c>
      <c r="H469" s="153" t="s">
        <v>10</v>
      </c>
    </row>
    <row r="470" spans="1:8" x14ac:dyDescent="0.25">
      <c r="A470" s="73">
        <v>44747</v>
      </c>
      <c r="B470" s="74" t="s">
        <v>21750</v>
      </c>
      <c r="C470" s="75" t="s">
        <v>22</v>
      </c>
      <c r="D470" s="81">
        <v>55329.599999999999</v>
      </c>
      <c r="E470" s="151">
        <v>44748</v>
      </c>
      <c r="F470" s="81">
        <v>55329.599999999999</v>
      </c>
      <c r="G470" s="156">
        <f>Tabla18[[#This Row],[Importe]]-Tabla18[[#This Row],[Pagado]]</f>
        <v>0</v>
      </c>
      <c r="H470" s="75" t="s">
        <v>10</v>
      </c>
    </row>
    <row r="471" spans="1:8" x14ac:dyDescent="0.25">
      <c r="A471" s="148">
        <v>44747</v>
      </c>
      <c r="B471" s="149" t="s">
        <v>21751</v>
      </c>
      <c r="C471" s="153" t="s">
        <v>83</v>
      </c>
      <c r="D471" s="154">
        <v>10387.6</v>
      </c>
      <c r="E471" s="155">
        <v>44747</v>
      </c>
      <c r="F471" s="154">
        <v>10387.6</v>
      </c>
      <c r="G471" s="156">
        <f>Tabla18[[#This Row],[Importe]]-Tabla18[[#This Row],[Pagado]]</f>
        <v>0</v>
      </c>
      <c r="H471" s="153" t="s">
        <v>10</v>
      </c>
    </row>
    <row r="472" spans="1:8" x14ac:dyDescent="0.25">
      <c r="A472" s="73">
        <v>44747</v>
      </c>
      <c r="B472" s="74" t="s">
        <v>21752</v>
      </c>
      <c r="C472" s="75" t="s">
        <v>16</v>
      </c>
      <c r="D472" s="81">
        <v>6339.3</v>
      </c>
      <c r="E472" s="151">
        <v>44747</v>
      </c>
      <c r="F472" s="81">
        <v>6339.3</v>
      </c>
      <c r="G472" s="156">
        <f>Tabla18[[#This Row],[Importe]]-Tabla18[[#This Row],[Pagado]]</f>
        <v>0</v>
      </c>
      <c r="H472" s="75" t="s">
        <v>10</v>
      </c>
    </row>
    <row r="473" spans="1:8" x14ac:dyDescent="0.25">
      <c r="A473" s="148">
        <v>44747</v>
      </c>
      <c r="B473" s="149" t="s">
        <v>21753</v>
      </c>
      <c r="C473" s="153" t="s">
        <v>9415</v>
      </c>
      <c r="D473" s="154">
        <v>13549.8</v>
      </c>
      <c r="E473" s="155">
        <v>44748</v>
      </c>
      <c r="F473" s="154">
        <v>13549.8</v>
      </c>
      <c r="G473" s="156">
        <f>Tabla18[[#This Row],[Importe]]-Tabla18[[#This Row],[Pagado]]</f>
        <v>0</v>
      </c>
      <c r="H473" s="153" t="s">
        <v>10</v>
      </c>
    </row>
    <row r="474" spans="1:8" x14ac:dyDescent="0.25">
      <c r="A474" s="73">
        <v>44747</v>
      </c>
      <c r="B474" s="74" t="s">
        <v>21754</v>
      </c>
      <c r="C474" s="75" t="s">
        <v>47</v>
      </c>
      <c r="D474" s="81">
        <v>28475.599999999999</v>
      </c>
      <c r="E474" s="151">
        <v>44747</v>
      </c>
      <c r="F474" s="81">
        <v>28475.599999999999</v>
      </c>
      <c r="G474" s="156">
        <f>Tabla18[[#This Row],[Importe]]-Tabla18[[#This Row],[Pagado]]</f>
        <v>0</v>
      </c>
      <c r="H474" s="75" t="s">
        <v>10</v>
      </c>
    </row>
    <row r="475" spans="1:8" ht="31.5" x14ac:dyDescent="0.25">
      <c r="A475" s="148">
        <v>44747</v>
      </c>
      <c r="B475" s="149" t="s">
        <v>21755</v>
      </c>
      <c r="C475" s="160" t="s">
        <v>6106</v>
      </c>
      <c r="D475" s="154">
        <v>0</v>
      </c>
      <c r="E475" s="158" t="s">
        <v>189</v>
      </c>
      <c r="F475" s="154">
        <v>0</v>
      </c>
      <c r="G475" s="156">
        <f>Tabla18[[#This Row],[Importe]]-Tabla18[[#This Row],[Pagado]]</f>
        <v>0</v>
      </c>
      <c r="H475" s="153" t="s">
        <v>189</v>
      </c>
    </row>
    <row r="476" spans="1:8" x14ac:dyDescent="0.25">
      <c r="A476" s="73">
        <v>44747</v>
      </c>
      <c r="B476" s="74" t="s">
        <v>21756</v>
      </c>
      <c r="C476" s="75" t="s">
        <v>520</v>
      </c>
      <c r="D476" s="81">
        <v>7871.2</v>
      </c>
      <c r="E476" s="151">
        <v>44747</v>
      </c>
      <c r="F476" s="81">
        <v>7871.2</v>
      </c>
      <c r="G476" s="156">
        <f>Tabla18[[#This Row],[Importe]]-Tabla18[[#This Row],[Pagado]]</f>
        <v>0</v>
      </c>
      <c r="H476" s="75" t="s">
        <v>10</v>
      </c>
    </row>
    <row r="477" spans="1:8" x14ac:dyDescent="0.25">
      <c r="A477" s="148">
        <v>44747</v>
      </c>
      <c r="B477" s="149" t="s">
        <v>21757</v>
      </c>
      <c r="C477" s="153" t="s">
        <v>157</v>
      </c>
      <c r="D477" s="154">
        <v>5903.6</v>
      </c>
      <c r="E477" s="155">
        <v>44747</v>
      </c>
      <c r="F477" s="154">
        <v>5903.6</v>
      </c>
      <c r="G477" s="156">
        <f>Tabla18[[#This Row],[Importe]]-Tabla18[[#This Row],[Pagado]]</f>
        <v>0</v>
      </c>
      <c r="H477" s="153" t="s">
        <v>10</v>
      </c>
    </row>
    <row r="478" spans="1:8" x14ac:dyDescent="0.25">
      <c r="A478" s="73">
        <v>44747</v>
      </c>
      <c r="B478" s="74" t="s">
        <v>21758</v>
      </c>
      <c r="C478" s="75" t="s">
        <v>319</v>
      </c>
      <c r="D478" s="81">
        <v>10394.9</v>
      </c>
      <c r="E478" s="151">
        <v>44747</v>
      </c>
      <c r="F478" s="81">
        <v>10394.9</v>
      </c>
      <c r="G478" s="156">
        <f>Tabla18[[#This Row],[Importe]]-Tabla18[[#This Row],[Pagado]]</f>
        <v>0</v>
      </c>
      <c r="H478" s="75" t="s">
        <v>10</v>
      </c>
    </row>
    <row r="479" spans="1:8" x14ac:dyDescent="0.25">
      <c r="A479" s="148">
        <v>44747</v>
      </c>
      <c r="B479" s="149" t="s">
        <v>21759</v>
      </c>
      <c r="C479" s="153" t="s">
        <v>966</v>
      </c>
      <c r="D479" s="154">
        <v>1625</v>
      </c>
      <c r="E479" s="155">
        <v>44747</v>
      </c>
      <c r="F479" s="154">
        <v>1625</v>
      </c>
      <c r="G479" s="156">
        <f>Tabla18[[#This Row],[Importe]]-Tabla18[[#This Row],[Pagado]]</f>
        <v>0</v>
      </c>
      <c r="H479" s="153" t="s">
        <v>10</v>
      </c>
    </row>
    <row r="480" spans="1:8" x14ac:dyDescent="0.25">
      <c r="A480" s="73">
        <v>44747</v>
      </c>
      <c r="B480" s="74" t="s">
        <v>21760</v>
      </c>
      <c r="C480" s="75" t="s">
        <v>107</v>
      </c>
      <c r="D480" s="81">
        <v>16649.599999999999</v>
      </c>
      <c r="E480" s="151">
        <v>44747</v>
      </c>
      <c r="F480" s="81">
        <v>16649.599999999999</v>
      </c>
      <c r="G480" s="156">
        <f>Tabla18[[#This Row],[Importe]]-Tabla18[[#This Row],[Pagado]]</f>
        <v>0</v>
      </c>
      <c r="H480" s="75" t="s">
        <v>10</v>
      </c>
    </row>
    <row r="481" spans="1:8" x14ac:dyDescent="0.25">
      <c r="A481" s="148">
        <v>44747</v>
      </c>
      <c r="B481" s="149" t="s">
        <v>21761</v>
      </c>
      <c r="C481" s="153" t="s">
        <v>8721</v>
      </c>
      <c r="D481" s="154">
        <v>0</v>
      </c>
      <c r="E481" s="158" t="s">
        <v>189</v>
      </c>
      <c r="F481" s="154">
        <v>0</v>
      </c>
      <c r="G481" s="156">
        <f>Tabla18[[#This Row],[Importe]]-Tabla18[[#This Row],[Pagado]]</f>
        <v>0</v>
      </c>
      <c r="H481" s="159" t="s">
        <v>21762</v>
      </c>
    </row>
    <row r="482" spans="1:8" x14ac:dyDescent="0.25">
      <c r="A482" s="73">
        <v>44747</v>
      </c>
      <c r="B482" s="74" t="s">
        <v>21763</v>
      </c>
      <c r="C482" s="75" t="s">
        <v>146</v>
      </c>
      <c r="D482" s="81">
        <v>3915.6</v>
      </c>
      <c r="E482" s="151">
        <v>44747</v>
      </c>
      <c r="F482" s="81">
        <v>3915.6</v>
      </c>
      <c r="G482" s="156">
        <f>Tabla18[[#This Row],[Importe]]-Tabla18[[#This Row],[Pagado]]</f>
        <v>0</v>
      </c>
      <c r="H482" s="75" t="s">
        <v>10</v>
      </c>
    </row>
    <row r="483" spans="1:8" x14ac:dyDescent="0.25">
      <c r="A483" s="148">
        <v>44747</v>
      </c>
      <c r="B483" s="149" t="s">
        <v>21764</v>
      </c>
      <c r="C483" s="153" t="s">
        <v>45</v>
      </c>
      <c r="D483" s="154">
        <v>8960.6</v>
      </c>
      <c r="E483" s="155">
        <v>44747</v>
      </c>
      <c r="F483" s="154">
        <v>8960.6</v>
      </c>
      <c r="G483" s="156">
        <f>Tabla18[[#This Row],[Importe]]-Tabla18[[#This Row],[Pagado]]</f>
        <v>0</v>
      </c>
      <c r="H483" s="153" t="s">
        <v>10</v>
      </c>
    </row>
    <row r="484" spans="1:8" x14ac:dyDescent="0.25">
      <c r="A484" s="73">
        <v>44747</v>
      </c>
      <c r="B484" s="74" t="s">
        <v>21765</v>
      </c>
      <c r="C484" s="75" t="s">
        <v>275</v>
      </c>
      <c r="D484" s="81">
        <v>67247.44</v>
      </c>
      <c r="E484" s="151">
        <v>44764</v>
      </c>
      <c r="F484" s="81">
        <v>67247.44</v>
      </c>
      <c r="G484" s="156">
        <f>Tabla18[[#This Row],[Importe]]-Tabla18[[#This Row],[Pagado]]</f>
        <v>0</v>
      </c>
      <c r="H484" s="75" t="s">
        <v>10</v>
      </c>
    </row>
    <row r="485" spans="1:8" x14ac:dyDescent="0.25">
      <c r="A485" s="148">
        <v>44747</v>
      </c>
      <c r="B485" s="149" t="s">
        <v>21766</v>
      </c>
      <c r="C485" s="153" t="s">
        <v>31</v>
      </c>
      <c r="D485" s="154">
        <v>1692</v>
      </c>
      <c r="E485" s="155">
        <v>44747</v>
      </c>
      <c r="F485" s="154">
        <v>1692</v>
      </c>
      <c r="G485" s="156">
        <f>Tabla18[[#This Row],[Importe]]-Tabla18[[#This Row],[Pagado]]</f>
        <v>0</v>
      </c>
      <c r="H485" s="153" t="s">
        <v>10</v>
      </c>
    </row>
    <row r="486" spans="1:8" x14ac:dyDescent="0.25">
      <c r="A486" s="73">
        <v>44747</v>
      </c>
      <c r="B486" s="74" t="s">
        <v>21767</v>
      </c>
      <c r="C486" s="75" t="s">
        <v>53</v>
      </c>
      <c r="D486" s="81">
        <v>4592</v>
      </c>
      <c r="E486" s="151">
        <v>44747</v>
      </c>
      <c r="F486" s="81">
        <v>4592</v>
      </c>
      <c r="G486" s="156">
        <f>Tabla18[[#This Row],[Importe]]-Tabla18[[#This Row],[Pagado]]</f>
        <v>0</v>
      </c>
      <c r="H486" s="75" t="s">
        <v>10</v>
      </c>
    </row>
    <row r="487" spans="1:8" x14ac:dyDescent="0.25">
      <c r="A487" s="148">
        <v>44747</v>
      </c>
      <c r="B487" s="149" t="s">
        <v>21768</v>
      </c>
      <c r="C487" s="153" t="s">
        <v>56</v>
      </c>
      <c r="D487" s="154">
        <v>6476</v>
      </c>
      <c r="E487" s="155">
        <v>44747</v>
      </c>
      <c r="F487" s="154">
        <v>6476</v>
      </c>
      <c r="G487" s="156">
        <f>Tabla18[[#This Row],[Importe]]-Tabla18[[#This Row],[Pagado]]</f>
        <v>0</v>
      </c>
      <c r="H487" s="153" t="s">
        <v>10</v>
      </c>
    </row>
    <row r="488" spans="1:8" x14ac:dyDescent="0.25">
      <c r="A488" s="73">
        <v>44747</v>
      </c>
      <c r="B488" s="74" t="s">
        <v>21769</v>
      </c>
      <c r="C488" s="75" t="s">
        <v>698</v>
      </c>
      <c r="D488" s="81">
        <v>8265.7199999999993</v>
      </c>
      <c r="E488" s="151">
        <v>44747</v>
      </c>
      <c r="F488" s="81">
        <v>8265.7199999999993</v>
      </c>
      <c r="G488" s="156">
        <f>Tabla18[[#This Row],[Importe]]-Tabla18[[#This Row],[Pagado]]</f>
        <v>0</v>
      </c>
      <c r="H488" s="75" t="s">
        <v>10</v>
      </c>
    </row>
    <row r="489" spans="1:8" x14ac:dyDescent="0.25">
      <c r="A489" s="148">
        <v>44747</v>
      </c>
      <c r="B489" s="149" t="s">
        <v>21770</v>
      </c>
      <c r="C489" s="153" t="s">
        <v>49</v>
      </c>
      <c r="D489" s="154">
        <v>4426.3999999999996</v>
      </c>
      <c r="E489" s="155">
        <v>44747</v>
      </c>
      <c r="F489" s="154">
        <v>4426.3999999999996</v>
      </c>
      <c r="G489" s="156">
        <f>Tabla18[[#This Row],[Importe]]-Tabla18[[#This Row],[Pagado]]</f>
        <v>0</v>
      </c>
      <c r="H489" s="153" t="s">
        <v>10</v>
      </c>
    </row>
    <row r="490" spans="1:8" x14ac:dyDescent="0.25">
      <c r="A490" s="73">
        <v>44747</v>
      </c>
      <c r="B490" s="74" t="s">
        <v>21771</v>
      </c>
      <c r="C490" s="75" t="s">
        <v>994</v>
      </c>
      <c r="D490" s="81">
        <v>1372.8</v>
      </c>
      <c r="E490" s="151">
        <v>44747</v>
      </c>
      <c r="F490" s="81">
        <v>1372.8</v>
      </c>
      <c r="G490" s="156">
        <f>Tabla18[[#This Row],[Importe]]-Tabla18[[#This Row],[Pagado]]</f>
        <v>0</v>
      </c>
      <c r="H490" s="75" t="s">
        <v>10</v>
      </c>
    </row>
    <row r="491" spans="1:8" x14ac:dyDescent="0.25">
      <c r="A491" s="148">
        <v>44747</v>
      </c>
      <c r="B491" s="149" t="s">
        <v>21772</v>
      </c>
      <c r="C491" s="153" t="s">
        <v>670</v>
      </c>
      <c r="D491" s="154">
        <v>5580.8</v>
      </c>
      <c r="E491" s="155">
        <v>44747</v>
      </c>
      <c r="F491" s="154">
        <v>5580.8</v>
      </c>
      <c r="G491" s="156">
        <f>Tabla18[[#This Row],[Importe]]-Tabla18[[#This Row],[Pagado]]</f>
        <v>0</v>
      </c>
      <c r="H491" s="153" t="s">
        <v>10</v>
      </c>
    </row>
    <row r="492" spans="1:8" x14ac:dyDescent="0.25">
      <c r="A492" s="73">
        <v>44747</v>
      </c>
      <c r="B492" s="74" t="s">
        <v>21773</v>
      </c>
      <c r="C492" s="75" t="s">
        <v>33</v>
      </c>
      <c r="D492" s="81">
        <v>18703.7</v>
      </c>
      <c r="E492" s="151">
        <v>44747</v>
      </c>
      <c r="F492" s="81">
        <v>18703.7</v>
      </c>
      <c r="G492" s="156">
        <f>Tabla18[[#This Row],[Importe]]-Tabla18[[#This Row],[Pagado]]</f>
        <v>0</v>
      </c>
      <c r="H492" s="75" t="s">
        <v>10</v>
      </c>
    </row>
    <row r="493" spans="1:8" x14ac:dyDescent="0.25">
      <c r="A493" s="148">
        <v>44747</v>
      </c>
      <c r="B493" s="149" t="s">
        <v>21774</v>
      </c>
      <c r="C493" s="153" t="s">
        <v>37</v>
      </c>
      <c r="D493" s="154">
        <v>3004.4</v>
      </c>
      <c r="E493" s="155">
        <v>44747</v>
      </c>
      <c r="F493" s="154">
        <v>3004.4</v>
      </c>
      <c r="G493" s="156">
        <f>Tabla18[[#This Row],[Importe]]-Tabla18[[#This Row],[Pagado]]</f>
        <v>0</v>
      </c>
      <c r="H493" s="153" t="s">
        <v>10</v>
      </c>
    </row>
    <row r="494" spans="1:8" x14ac:dyDescent="0.25">
      <c r="A494" s="73">
        <v>44747</v>
      </c>
      <c r="B494" s="74" t="s">
        <v>21775</v>
      </c>
      <c r="C494" s="75" t="s">
        <v>226</v>
      </c>
      <c r="D494" s="81">
        <v>5613.7</v>
      </c>
      <c r="E494" s="151">
        <v>44747</v>
      </c>
      <c r="F494" s="81">
        <v>5613.7</v>
      </c>
      <c r="G494" s="156">
        <f>Tabla18[[#This Row],[Importe]]-Tabla18[[#This Row],[Pagado]]</f>
        <v>0</v>
      </c>
      <c r="H494" s="75" t="s">
        <v>10</v>
      </c>
    </row>
    <row r="495" spans="1:8" x14ac:dyDescent="0.25">
      <c r="A495" s="148">
        <v>44747</v>
      </c>
      <c r="B495" s="149" t="s">
        <v>21776</v>
      </c>
      <c r="C495" s="153" t="s">
        <v>681</v>
      </c>
      <c r="D495" s="154">
        <v>5.58</v>
      </c>
      <c r="E495" s="155">
        <v>44756</v>
      </c>
      <c r="F495" s="154">
        <v>5.58</v>
      </c>
      <c r="G495" s="156">
        <f>Tabla18[[#This Row],[Importe]]-Tabla18[[#This Row],[Pagado]]</f>
        <v>0</v>
      </c>
      <c r="H495" s="153" t="s">
        <v>10</v>
      </c>
    </row>
    <row r="496" spans="1:8" x14ac:dyDescent="0.25">
      <c r="A496" s="73">
        <v>44747</v>
      </c>
      <c r="B496" s="74" t="s">
        <v>21777</v>
      </c>
      <c r="C496" s="75" t="s">
        <v>24</v>
      </c>
      <c r="D496" s="81">
        <v>3576</v>
      </c>
      <c r="E496" s="151">
        <v>44747</v>
      </c>
      <c r="F496" s="81">
        <v>3576</v>
      </c>
      <c r="G496" s="156">
        <f>Tabla18[[#This Row],[Importe]]-Tabla18[[#This Row],[Pagado]]</f>
        <v>0</v>
      </c>
      <c r="H496" s="75" t="s">
        <v>10</v>
      </c>
    </row>
    <row r="497" spans="1:8" x14ac:dyDescent="0.25">
      <c r="A497" s="148">
        <v>44747</v>
      </c>
      <c r="B497" s="149" t="s">
        <v>21778</v>
      </c>
      <c r="C497" s="153" t="s">
        <v>214</v>
      </c>
      <c r="D497" s="154">
        <v>1252.8</v>
      </c>
      <c r="E497" s="155">
        <v>44747</v>
      </c>
      <c r="F497" s="154">
        <v>1252.8</v>
      </c>
      <c r="G497" s="156">
        <f>Tabla18[[#This Row],[Importe]]-Tabla18[[#This Row],[Pagado]]</f>
        <v>0</v>
      </c>
      <c r="H497" s="153" t="s">
        <v>10</v>
      </c>
    </row>
    <row r="498" spans="1:8" x14ac:dyDescent="0.25">
      <c r="A498" s="73">
        <v>44747</v>
      </c>
      <c r="B498" s="74" t="s">
        <v>21779</v>
      </c>
      <c r="C498" s="75" t="s">
        <v>419</v>
      </c>
      <c r="D498" s="81">
        <v>13828.9</v>
      </c>
      <c r="E498" s="151">
        <v>44747</v>
      </c>
      <c r="F498" s="81">
        <v>13828.9</v>
      </c>
      <c r="G498" s="156">
        <f>Tabla18[[#This Row],[Importe]]-Tabla18[[#This Row],[Pagado]]</f>
        <v>0</v>
      </c>
      <c r="H498" s="75" t="s">
        <v>10</v>
      </c>
    </row>
    <row r="499" spans="1:8" x14ac:dyDescent="0.25">
      <c r="A499" s="148">
        <v>44747</v>
      </c>
      <c r="B499" s="149" t="s">
        <v>21780</v>
      </c>
      <c r="C499" s="153" t="s">
        <v>9827</v>
      </c>
      <c r="D499" s="154">
        <v>1742.4</v>
      </c>
      <c r="E499" s="155">
        <v>44747</v>
      </c>
      <c r="F499" s="154">
        <v>1742.4</v>
      </c>
      <c r="G499" s="156">
        <f>Tabla18[[#This Row],[Importe]]-Tabla18[[#This Row],[Pagado]]</f>
        <v>0</v>
      </c>
      <c r="H499" s="153" t="s">
        <v>10</v>
      </c>
    </row>
    <row r="500" spans="1:8" x14ac:dyDescent="0.25">
      <c r="A500" s="73">
        <v>44747</v>
      </c>
      <c r="B500" s="74" t="s">
        <v>21781</v>
      </c>
      <c r="C500" s="75" t="s">
        <v>79</v>
      </c>
      <c r="D500" s="81">
        <v>21672.799999999999</v>
      </c>
      <c r="E500" s="151">
        <v>44747</v>
      </c>
      <c r="F500" s="81">
        <v>21672.799999999999</v>
      </c>
      <c r="G500" s="156">
        <f>Tabla18[[#This Row],[Importe]]-Tabla18[[#This Row],[Pagado]]</f>
        <v>0</v>
      </c>
      <c r="H500" s="75" t="s">
        <v>10</v>
      </c>
    </row>
    <row r="501" spans="1:8" x14ac:dyDescent="0.25">
      <c r="A501" s="148">
        <v>44747</v>
      </c>
      <c r="B501" s="149" t="s">
        <v>21782</v>
      </c>
      <c r="C501" s="153" t="s">
        <v>58</v>
      </c>
      <c r="D501" s="154">
        <v>4666.3999999999996</v>
      </c>
      <c r="E501" s="155">
        <v>44747</v>
      </c>
      <c r="F501" s="154">
        <v>4666.3999999999996</v>
      </c>
      <c r="G501" s="156">
        <f>Tabla18[[#This Row],[Importe]]-Tabla18[[#This Row],[Pagado]]</f>
        <v>0</v>
      </c>
      <c r="H501" s="153" t="s">
        <v>10</v>
      </c>
    </row>
    <row r="502" spans="1:8" x14ac:dyDescent="0.25">
      <c r="A502" s="73">
        <v>44747</v>
      </c>
      <c r="B502" s="74" t="s">
        <v>21783</v>
      </c>
      <c r="C502" s="75" t="s">
        <v>396</v>
      </c>
      <c r="D502" s="81">
        <v>14201.5</v>
      </c>
      <c r="E502" s="151">
        <v>44756</v>
      </c>
      <c r="F502" s="81">
        <v>14201.5</v>
      </c>
      <c r="G502" s="156">
        <f>Tabla18[[#This Row],[Importe]]-Tabla18[[#This Row],[Pagado]]</f>
        <v>0</v>
      </c>
      <c r="H502" s="75" t="s">
        <v>10</v>
      </c>
    </row>
    <row r="503" spans="1:8" x14ac:dyDescent="0.25">
      <c r="A503" s="148">
        <v>44747</v>
      </c>
      <c r="B503" s="149" t="s">
        <v>21784</v>
      </c>
      <c r="C503" s="153" t="s">
        <v>371</v>
      </c>
      <c r="D503" s="154">
        <v>5927.2</v>
      </c>
      <c r="E503" s="155">
        <v>44747</v>
      </c>
      <c r="F503" s="154">
        <v>5927.2</v>
      </c>
      <c r="G503" s="156">
        <f>Tabla18[[#This Row],[Importe]]-Tabla18[[#This Row],[Pagado]]</f>
        <v>0</v>
      </c>
      <c r="H503" s="153" t="s">
        <v>10</v>
      </c>
    </row>
    <row r="504" spans="1:8" x14ac:dyDescent="0.25">
      <c r="A504" s="73">
        <v>44747</v>
      </c>
      <c r="B504" s="74" t="s">
        <v>21785</v>
      </c>
      <c r="C504" s="75" t="s">
        <v>214</v>
      </c>
      <c r="D504" s="81">
        <v>5993</v>
      </c>
      <c r="E504" s="151">
        <v>44747</v>
      </c>
      <c r="F504" s="81">
        <v>5993</v>
      </c>
      <c r="G504" s="156">
        <f>Tabla18[[#This Row],[Importe]]-Tabla18[[#This Row],[Pagado]]</f>
        <v>0</v>
      </c>
      <c r="H504" s="75" t="s">
        <v>10</v>
      </c>
    </row>
    <row r="505" spans="1:8" x14ac:dyDescent="0.25">
      <c r="A505" s="148">
        <v>44747</v>
      </c>
      <c r="B505" s="149" t="s">
        <v>21786</v>
      </c>
      <c r="C505" s="153" t="s">
        <v>127</v>
      </c>
      <c r="D505" s="154">
        <v>6152.1</v>
      </c>
      <c r="E505" s="155">
        <v>44747</v>
      </c>
      <c r="F505" s="154">
        <v>6152.1</v>
      </c>
      <c r="G505" s="156">
        <f>Tabla18[[#This Row],[Importe]]-Tabla18[[#This Row],[Pagado]]</f>
        <v>0</v>
      </c>
      <c r="H505" s="153" t="s">
        <v>10</v>
      </c>
    </row>
    <row r="506" spans="1:8" x14ac:dyDescent="0.25">
      <c r="A506" s="73">
        <v>44747</v>
      </c>
      <c r="B506" s="74" t="s">
        <v>21787</v>
      </c>
      <c r="C506" s="75" t="s">
        <v>129</v>
      </c>
      <c r="D506" s="81">
        <v>1797.1</v>
      </c>
      <c r="E506" s="151">
        <v>44747</v>
      </c>
      <c r="F506" s="81">
        <v>1797.1</v>
      </c>
      <c r="G506" s="156">
        <f>Tabla18[[#This Row],[Importe]]-Tabla18[[#This Row],[Pagado]]</f>
        <v>0</v>
      </c>
      <c r="H506" s="75" t="s">
        <v>10</v>
      </c>
    </row>
    <row r="507" spans="1:8" x14ac:dyDescent="0.25">
      <c r="A507" s="148">
        <v>44747</v>
      </c>
      <c r="B507" s="149" t="s">
        <v>21788</v>
      </c>
      <c r="C507" s="153" t="s">
        <v>140</v>
      </c>
      <c r="D507" s="154">
        <v>1193.2</v>
      </c>
      <c r="E507" s="155">
        <v>44747</v>
      </c>
      <c r="F507" s="154">
        <v>1193.2</v>
      </c>
      <c r="G507" s="156">
        <f>Tabla18[[#This Row],[Importe]]-Tabla18[[#This Row],[Pagado]]</f>
        <v>0</v>
      </c>
      <c r="H507" s="153" t="s">
        <v>10</v>
      </c>
    </row>
    <row r="508" spans="1:8" x14ac:dyDescent="0.25">
      <c r="A508" s="73">
        <v>44747</v>
      </c>
      <c r="B508" s="74" t="s">
        <v>21789</v>
      </c>
      <c r="C508" s="75" t="s">
        <v>357</v>
      </c>
      <c r="D508" s="81">
        <v>1548.4</v>
      </c>
      <c r="E508" s="151">
        <v>44747</v>
      </c>
      <c r="F508" s="81">
        <v>1548.4</v>
      </c>
      <c r="G508" s="156">
        <f>Tabla18[[#This Row],[Importe]]-Tabla18[[#This Row],[Pagado]]</f>
        <v>0</v>
      </c>
      <c r="H508" s="75" t="s">
        <v>10</v>
      </c>
    </row>
    <row r="509" spans="1:8" x14ac:dyDescent="0.25">
      <c r="A509" s="148">
        <v>44747</v>
      </c>
      <c r="B509" s="149" t="s">
        <v>21790</v>
      </c>
      <c r="C509" s="153" t="s">
        <v>466</v>
      </c>
      <c r="D509" s="154">
        <v>19264</v>
      </c>
      <c r="E509" s="155">
        <v>44747</v>
      </c>
      <c r="F509" s="154">
        <v>19264</v>
      </c>
      <c r="G509" s="156">
        <f>Tabla18[[#This Row],[Importe]]-Tabla18[[#This Row],[Pagado]]</f>
        <v>0</v>
      </c>
      <c r="H509" s="153" t="s">
        <v>10</v>
      </c>
    </row>
    <row r="510" spans="1:8" x14ac:dyDescent="0.25">
      <c r="A510" s="73">
        <v>44747</v>
      </c>
      <c r="B510" s="74" t="s">
        <v>21791</v>
      </c>
      <c r="C510" s="75" t="s">
        <v>31</v>
      </c>
      <c r="D510" s="81">
        <v>152</v>
      </c>
      <c r="E510" s="151">
        <v>44747</v>
      </c>
      <c r="F510" s="81">
        <v>152</v>
      </c>
      <c r="G510" s="156">
        <f>Tabla18[[#This Row],[Importe]]-Tabla18[[#This Row],[Pagado]]</f>
        <v>0</v>
      </c>
      <c r="H510" s="75" t="s">
        <v>10</v>
      </c>
    </row>
    <row r="511" spans="1:8" x14ac:dyDescent="0.25">
      <c r="A511" s="148">
        <v>44747</v>
      </c>
      <c r="B511" s="149" t="s">
        <v>21792</v>
      </c>
      <c r="C511" s="153" t="s">
        <v>440</v>
      </c>
      <c r="D511" s="154">
        <v>11976.84</v>
      </c>
      <c r="E511" s="155">
        <v>44751</v>
      </c>
      <c r="F511" s="154">
        <v>11976.84</v>
      </c>
      <c r="G511" s="156">
        <f>Tabla18[[#This Row],[Importe]]-Tabla18[[#This Row],[Pagado]]</f>
        <v>0</v>
      </c>
      <c r="H511" s="153" t="s">
        <v>10</v>
      </c>
    </row>
    <row r="512" spans="1:8" x14ac:dyDescent="0.25">
      <c r="A512" s="73">
        <v>44747</v>
      </c>
      <c r="B512" s="74" t="s">
        <v>21793</v>
      </c>
      <c r="C512" s="75" t="s">
        <v>433</v>
      </c>
      <c r="D512" s="81">
        <v>36000</v>
      </c>
      <c r="E512" s="151">
        <v>44747</v>
      </c>
      <c r="F512" s="81">
        <v>36000</v>
      </c>
      <c r="G512" s="156">
        <f>Tabla18[[#This Row],[Importe]]-Tabla18[[#This Row],[Pagado]]</f>
        <v>0</v>
      </c>
      <c r="H512" s="75" t="s">
        <v>10</v>
      </c>
    </row>
    <row r="513" spans="1:8" x14ac:dyDescent="0.25">
      <c r="A513" s="148">
        <v>44747</v>
      </c>
      <c r="B513" s="149" t="s">
        <v>21794</v>
      </c>
      <c r="C513" s="153" t="s">
        <v>273</v>
      </c>
      <c r="D513" s="154">
        <v>2782.32</v>
      </c>
      <c r="E513" s="155">
        <v>44747</v>
      </c>
      <c r="F513" s="154">
        <v>2782.32</v>
      </c>
      <c r="G513" s="156">
        <f>Tabla18[[#This Row],[Importe]]-Tabla18[[#This Row],[Pagado]]</f>
        <v>0</v>
      </c>
      <c r="H513" s="153" t="s">
        <v>10</v>
      </c>
    </row>
    <row r="514" spans="1:8" x14ac:dyDescent="0.25">
      <c r="A514" s="73">
        <v>44747</v>
      </c>
      <c r="B514" s="74" t="s">
        <v>21795</v>
      </c>
      <c r="C514" s="75" t="s">
        <v>181</v>
      </c>
      <c r="D514" s="81">
        <v>16545</v>
      </c>
      <c r="E514" s="151">
        <v>44748</v>
      </c>
      <c r="F514" s="81">
        <v>16545</v>
      </c>
      <c r="G514" s="156">
        <f>Tabla18[[#This Row],[Importe]]-Tabla18[[#This Row],[Pagado]]</f>
        <v>0</v>
      </c>
      <c r="H514" s="75" t="s">
        <v>10</v>
      </c>
    </row>
    <row r="515" spans="1:8" x14ac:dyDescent="0.25">
      <c r="A515" s="148">
        <v>44747</v>
      </c>
      <c r="B515" s="149" t="s">
        <v>21796</v>
      </c>
      <c r="C515" s="153" t="s">
        <v>426</v>
      </c>
      <c r="D515" s="154">
        <v>10792.1</v>
      </c>
      <c r="E515" s="155">
        <v>44748</v>
      </c>
      <c r="F515" s="154">
        <v>10792.1</v>
      </c>
      <c r="G515" s="156">
        <f>Tabla18[[#This Row],[Importe]]-Tabla18[[#This Row],[Pagado]]</f>
        <v>0</v>
      </c>
      <c r="H515" s="153" t="s">
        <v>10</v>
      </c>
    </row>
    <row r="516" spans="1:8" x14ac:dyDescent="0.25">
      <c r="A516" s="73">
        <v>44747</v>
      </c>
      <c r="B516" s="74" t="s">
        <v>21797</v>
      </c>
      <c r="C516" s="75" t="s">
        <v>67</v>
      </c>
      <c r="D516" s="81">
        <v>2461.6</v>
      </c>
      <c r="E516" s="151">
        <v>44747</v>
      </c>
      <c r="F516" s="81">
        <v>2461.6</v>
      </c>
      <c r="G516" s="156">
        <f>Tabla18[[#This Row],[Importe]]-Tabla18[[#This Row],[Pagado]]</f>
        <v>0</v>
      </c>
      <c r="H516" s="75" t="s">
        <v>10</v>
      </c>
    </row>
    <row r="517" spans="1:8" x14ac:dyDescent="0.25">
      <c r="A517" s="148">
        <v>44747</v>
      </c>
      <c r="B517" s="149" t="s">
        <v>21798</v>
      </c>
      <c r="C517" s="153" t="s">
        <v>175</v>
      </c>
      <c r="D517" s="154">
        <v>6987.2</v>
      </c>
      <c r="E517" s="155">
        <v>44748</v>
      </c>
      <c r="F517" s="154">
        <v>6987.2</v>
      </c>
      <c r="G517" s="156">
        <f>Tabla18[[#This Row],[Importe]]-Tabla18[[#This Row],[Pagado]]</f>
        <v>0</v>
      </c>
      <c r="H517" s="153" t="s">
        <v>10</v>
      </c>
    </row>
    <row r="518" spans="1:8" x14ac:dyDescent="0.25">
      <c r="A518" s="73">
        <v>44747</v>
      </c>
      <c r="B518" s="74" t="s">
        <v>21799</v>
      </c>
      <c r="C518" s="75" t="s">
        <v>450</v>
      </c>
      <c r="D518" s="81">
        <v>5567.5</v>
      </c>
      <c r="E518" s="151">
        <v>44747</v>
      </c>
      <c r="F518" s="81">
        <v>5567.5</v>
      </c>
      <c r="G518" s="156">
        <f>Tabla18[[#This Row],[Importe]]-Tabla18[[#This Row],[Pagado]]</f>
        <v>0</v>
      </c>
      <c r="H518" s="75" t="s">
        <v>10</v>
      </c>
    </row>
    <row r="519" spans="1:8" x14ac:dyDescent="0.25">
      <c r="A519" s="148">
        <v>44747</v>
      </c>
      <c r="B519" s="149" t="s">
        <v>21800</v>
      </c>
      <c r="C519" s="153" t="s">
        <v>359</v>
      </c>
      <c r="D519" s="154">
        <v>473.1</v>
      </c>
      <c r="E519" s="155">
        <v>44748</v>
      </c>
      <c r="F519" s="154">
        <v>473.1</v>
      </c>
      <c r="G519" s="156">
        <f>Tabla18[[#This Row],[Importe]]-Tabla18[[#This Row],[Pagado]]</f>
        <v>0</v>
      </c>
      <c r="H519" s="153" t="s">
        <v>10</v>
      </c>
    </row>
    <row r="520" spans="1:8" x14ac:dyDescent="0.25">
      <c r="A520" s="73">
        <v>44747</v>
      </c>
      <c r="B520" s="74" t="s">
        <v>21801</v>
      </c>
      <c r="C520" s="75" t="s">
        <v>175</v>
      </c>
      <c r="D520" s="81">
        <v>1112.2</v>
      </c>
      <c r="E520" s="151">
        <v>44748</v>
      </c>
      <c r="F520" s="81">
        <v>1112.2</v>
      </c>
      <c r="G520" s="156">
        <f>Tabla18[[#This Row],[Importe]]-Tabla18[[#This Row],[Pagado]]</f>
        <v>0</v>
      </c>
      <c r="H520" s="75" t="s">
        <v>10</v>
      </c>
    </row>
    <row r="521" spans="1:8" x14ac:dyDescent="0.25">
      <c r="A521" s="148">
        <v>44747</v>
      </c>
      <c r="B521" s="149" t="s">
        <v>21802</v>
      </c>
      <c r="C521" s="153" t="s">
        <v>142</v>
      </c>
      <c r="D521" s="154">
        <v>31164.35</v>
      </c>
      <c r="E521" s="155">
        <v>44799</v>
      </c>
      <c r="F521" s="154">
        <v>31164.35</v>
      </c>
      <c r="G521" s="156">
        <f>Tabla18[[#This Row],[Importe]]-Tabla18[[#This Row],[Pagado]]</f>
        <v>0</v>
      </c>
      <c r="H521" s="153" t="s">
        <v>10</v>
      </c>
    </row>
    <row r="522" spans="1:8" x14ac:dyDescent="0.25">
      <c r="A522" s="73">
        <v>44747</v>
      </c>
      <c r="B522" s="74" t="s">
        <v>21803</v>
      </c>
      <c r="C522" s="75" t="s">
        <v>414</v>
      </c>
      <c r="D522" s="81">
        <v>23937.599999999999</v>
      </c>
      <c r="E522" s="151">
        <v>44761</v>
      </c>
      <c r="F522" s="81">
        <v>23937.599999999999</v>
      </c>
      <c r="G522" s="156">
        <f>Tabla18[[#This Row],[Importe]]-Tabla18[[#This Row],[Pagado]]</f>
        <v>0</v>
      </c>
      <c r="H522" s="75" t="s">
        <v>10</v>
      </c>
    </row>
    <row r="523" spans="1:8" x14ac:dyDescent="0.25">
      <c r="A523" s="148">
        <v>44747</v>
      </c>
      <c r="B523" s="149" t="s">
        <v>21804</v>
      </c>
      <c r="C523" s="153" t="s">
        <v>135</v>
      </c>
      <c r="D523" s="154">
        <v>1184</v>
      </c>
      <c r="E523" s="155">
        <v>44748</v>
      </c>
      <c r="F523" s="154">
        <v>1184</v>
      </c>
      <c r="G523" s="156">
        <f>Tabla18[[#This Row],[Importe]]-Tabla18[[#This Row],[Pagado]]</f>
        <v>0</v>
      </c>
      <c r="H523" s="153" t="s">
        <v>10</v>
      </c>
    </row>
    <row r="524" spans="1:8" x14ac:dyDescent="0.25">
      <c r="A524" s="73">
        <v>44747</v>
      </c>
      <c r="B524" s="74" t="s">
        <v>21805</v>
      </c>
      <c r="C524" s="75" t="s">
        <v>135</v>
      </c>
      <c r="D524" s="81">
        <v>255</v>
      </c>
      <c r="E524" s="151">
        <v>44748</v>
      </c>
      <c r="F524" s="81">
        <v>255</v>
      </c>
      <c r="G524" s="156">
        <f>Tabla18[[#This Row],[Importe]]-Tabla18[[#This Row],[Pagado]]</f>
        <v>0</v>
      </c>
      <c r="H524" s="75" t="s">
        <v>10</v>
      </c>
    </row>
    <row r="525" spans="1:8" x14ac:dyDescent="0.25">
      <c r="A525" s="148">
        <v>44747</v>
      </c>
      <c r="B525" s="149" t="s">
        <v>21806</v>
      </c>
      <c r="C525" s="153" t="s">
        <v>179</v>
      </c>
      <c r="D525" s="154">
        <v>1245.5999999999999</v>
      </c>
      <c r="E525" s="155">
        <v>44748</v>
      </c>
      <c r="F525" s="154">
        <v>1245.5999999999999</v>
      </c>
      <c r="G525" s="156">
        <f>Tabla18[[#This Row],[Importe]]-Tabla18[[#This Row],[Pagado]]</f>
        <v>0</v>
      </c>
      <c r="H525" s="153" t="s">
        <v>10</v>
      </c>
    </row>
    <row r="526" spans="1:8" x14ac:dyDescent="0.25">
      <c r="A526" s="73">
        <v>44747</v>
      </c>
      <c r="B526" s="74" t="s">
        <v>21807</v>
      </c>
      <c r="C526" s="75" t="s">
        <v>21808</v>
      </c>
      <c r="D526" s="81">
        <v>0</v>
      </c>
      <c r="E526" s="157" t="s">
        <v>189</v>
      </c>
      <c r="F526" s="81">
        <v>0</v>
      </c>
      <c r="G526" s="156">
        <f>Tabla18[[#This Row],[Importe]]-Tabla18[[#This Row],[Pagado]]</f>
        <v>0</v>
      </c>
      <c r="H526" s="161" t="s">
        <v>21809</v>
      </c>
    </row>
    <row r="527" spans="1:8" x14ac:dyDescent="0.25">
      <c r="A527" s="148">
        <v>44747</v>
      </c>
      <c r="B527" s="149" t="s">
        <v>21810</v>
      </c>
      <c r="C527" s="153" t="s">
        <v>263</v>
      </c>
      <c r="D527" s="154">
        <v>98663.4</v>
      </c>
      <c r="E527" s="155">
        <v>44753</v>
      </c>
      <c r="F527" s="154">
        <v>98663.4</v>
      </c>
      <c r="G527" s="156">
        <f>Tabla18[[#This Row],[Importe]]-Tabla18[[#This Row],[Pagado]]</f>
        <v>0</v>
      </c>
      <c r="H527" s="153" t="s">
        <v>10</v>
      </c>
    </row>
    <row r="528" spans="1:8" x14ac:dyDescent="0.25">
      <c r="A528" s="73">
        <v>44747</v>
      </c>
      <c r="B528" s="74" t="s">
        <v>21811</v>
      </c>
      <c r="C528" s="75" t="s">
        <v>21812</v>
      </c>
      <c r="D528" s="81">
        <v>12255.6</v>
      </c>
      <c r="E528" s="151">
        <v>44747</v>
      </c>
      <c r="F528" s="81">
        <v>12255.6</v>
      </c>
      <c r="G528" s="156">
        <f>Tabla18[[#This Row],[Importe]]-Tabla18[[#This Row],[Pagado]]</f>
        <v>0</v>
      </c>
      <c r="H528" s="75" t="s">
        <v>10</v>
      </c>
    </row>
    <row r="529" spans="1:8" x14ac:dyDescent="0.25">
      <c r="A529" s="148">
        <v>44747</v>
      </c>
      <c r="B529" s="149" t="s">
        <v>21813</v>
      </c>
      <c r="C529" s="153" t="s">
        <v>843</v>
      </c>
      <c r="D529" s="154">
        <v>11611.4</v>
      </c>
      <c r="E529" s="155">
        <v>44747</v>
      </c>
      <c r="F529" s="154">
        <v>11611.4</v>
      </c>
      <c r="G529" s="156">
        <f>Tabla18[[#This Row],[Importe]]-Tabla18[[#This Row],[Pagado]]</f>
        <v>0</v>
      </c>
      <c r="H529" s="153" t="s">
        <v>10</v>
      </c>
    </row>
    <row r="530" spans="1:8" x14ac:dyDescent="0.25">
      <c r="A530" s="73">
        <v>44747</v>
      </c>
      <c r="B530" s="74" t="s">
        <v>21814</v>
      </c>
      <c r="C530" s="75" t="s">
        <v>1174</v>
      </c>
      <c r="D530" s="81">
        <v>23462.400000000001</v>
      </c>
      <c r="E530" s="151">
        <v>44747</v>
      </c>
      <c r="F530" s="81">
        <v>23462.400000000001</v>
      </c>
      <c r="G530" s="156">
        <f>Tabla18[[#This Row],[Importe]]-Tabla18[[#This Row],[Pagado]]</f>
        <v>0</v>
      </c>
      <c r="H530" s="75" t="s">
        <v>10</v>
      </c>
    </row>
    <row r="531" spans="1:8" x14ac:dyDescent="0.25">
      <c r="A531" s="148">
        <v>44747</v>
      </c>
      <c r="B531" s="149" t="s">
        <v>21815</v>
      </c>
      <c r="C531" s="153" t="s">
        <v>296</v>
      </c>
      <c r="D531" s="154">
        <v>2501.1999999999998</v>
      </c>
      <c r="E531" s="155">
        <v>44747</v>
      </c>
      <c r="F531" s="154">
        <v>2501.1999999999998</v>
      </c>
      <c r="G531" s="156">
        <f>Tabla18[[#This Row],[Importe]]-Tabla18[[#This Row],[Pagado]]</f>
        <v>0</v>
      </c>
      <c r="H531" s="153" t="s">
        <v>10</v>
      </c>
    </row>
    <row r="532" spans="1:8" x14ac:dyDescent="0.25">
      <c r="A532" s="73">
        <v>44747</v>
      </c>
      <c r="B532" s="74" t="s">
        <v>21816</v>
      </c>
      <c r="C532" s="75" t="s">
        <v>1008</v>
      </c>
      <c r="D532" s="81">
        <v>5291</v>
      </c>
      <c r="E532" s="151">
        <v>44747</v>
      </c>
      <c r="F532" s="81">
        <v>5291</v>
      </c>
      <c r="G532" s="156">
        <f>Tabla18[[#This Row],[Importe]]-Tabla18[[#This Row],[Pagado]]</f>
        <v>0</v>
      </c>
      <c r="H532" s="75" t="s">
        <v>10</v>
      </c>
    </row>
    <row r="533" spans="1:8" x14ac:dyDescent="0.25">
      <c r="A533" s="148">
        <v>44747</v>
      </c>
      <c r="B533" s="149" t="s">
        <v>21817</v>
      </c>
      <c r="C533" s="153" t="s">
        <v>31</v>
      </c>
      <c r="D533" s="154">
        <v>40</v>
      </c>
      <c r="E533" s="155">
        <v>44747</v>
      </c>
      <c r="F533" s="154">
        <v>40</v>
      </c>
      <c r="G533" s="156">
        <f>Tabla18[[#This Row],[Importe]]-Tabla18[[#This Row],[Pagado]]</f>
        <v>0</v>
      </c>
      <c r="H533" s="153" t="s">
        <v>10</v>
      </c>
    </row>
    <row r="534" spans="1:8" x14ac:dyDescent="0.25">
      <c r="A534" s="73">
        <v>44747</v>
      </c>
      <c r="B534" s="74" t="s">
        <v>21818</v>
      </c>
      <c r="C534" s="75" t="s">
        <v>31</v>
      </c>
      <c r="D534" s="81">
        <v>30</v>
      </c>
      <c r="E534" s="151">
        <v>44747</v>
      </c>
      <c r="F534" s="81">
        <v>30</v>
      </c>
      <c r="G534" s="156">
        <f>Tabla18[[#This Row],[Importe]]-Tabla18[[#This Row],[Pagado]]</f>
        <v>0</v>
      </c>
      <c r="H534" s="75" t="s">
        <v>10</v>
      </c>
    </row>
    <row r="535" spans="1:8" x14ac:dyDescent="0.25">
      <c r="A535" s="148">
        <v>44747</v>
      </c>
      <c r="B535" s="149" t="s">
        <v>21819</v>
      </c>
      <c r="C535" s="153" t="s">
        <v>301</v>
      </c>
      <c r="D535" s="154">
        <v>21008</v>
      </c>
      <c r="E535" s="155">
        <v>44747</v>
      </c>
      <c r="F535" s="154">
        <v>21008</v>
      </c>
      <c r="G535" s="156">
        <f>Tabla18[[#This Row],[Importe]]-Tabla18[[#This Row],[Pagado]]</f>
        <v>0</v>
      </c>
      <c r="H535" s="153" t="s">
        <v>10</v>
      </c>
    </row>
    <row r="536" spans="1:8" x14ac:dyDescent="0.25">
      <c r="A536" s="73">
        <v>44747</v>
      </c>
      <c r="B536" s="74" t="s">
        <v>21820</v>
      </c>
      <c r="C536" s="75" t="s">
        <v>31</v>
      </c>
      <c r="D536" s="81">
        <v>3528</v>
      </c>
      <c r="E536" s="151">
        <v>44747</v>
      </c>
      <c r="F536" s="81">
        <v>3528</v>
      </c>
      <c r="G536" s="156">
        <f>Tabla18[[#This Row],[Importe]]-Tabla18[[#This Row],[Pagado]]</f>
        <v>0</v>
      </c>
      <c r="H536" s="75" t="s">
        <v>10</v>
      </c>
    </row>
    <row r="537" spans="1:8" x14ac:dyDescent="0.25">
      <c r="A537" s="148">
        <v>44747</v>
      </c>
      <c r="B537" s="149" t="s">
        <v>21821</v>
      </c>
      <c r="C537" s="153" t="s">
        <v>282</v>
      </c>
      <c r="D537" s="154">
        <v>2160</v>
      </c>
      <c r="E537" s="155">
        <v>44748</v>
      </c>
      <c r="F537" s="154">
        <v>2160</v>
      </c>
      <c r="G537" s="156">
        <f>Tabla18[[#This Row],[Importe]]-Tabla18[[#This Row],[Pagado]]</f>
        <v>0</v>
      </c>
      <c r="H537" s="153" t="s">
        <v>10</v>
      </c>
    </row>
    <row r="538" spans="1:8" x14ac:dyDescent="0.25">
      <c r="A538" s="73">
        <v>44747</v>
      </c>
      <c r="B538" s="74" t="s">
        <v>21822</v>
      </c>
      <c r="C538" s="75" t="s">
        <v>284</v>
      </c>
      <c r="D538" s="81">
        <v>8712</v>
      </c>
      <c r="E538" s="151">
        <v>44748</v>
      </c>
      <c r="F538" s="81">
        <v>8712</v>
      </c>
      <c r="G538" s="156">
        <f>Tabla18[[#This Row],[Importe]]-Tabla18[[#This Row],[Pagado]]</f>
        <v>0</v>
      </c>
      <c r="H538" s="75" t="s">
        <v>10</v>
      </c>
    </row>
    <row r="539" spans="1:8" x14ac:dyDescent="0.25">
      <c r="A539" s="148">
        <v>44747</v>
      </c>
      <c r="B539" s="149" t="s">
        <v>21823</v>
      </c>
      <c r="C539" s="153" t="s">
        <v>10819</v>
      </c>
      <c r="D539" s="154">
        <v>1155.2</v>
      </c>
      <c r="E539" s="155">
        <v>44748</v>
      </c>
      <c r="F539" s="154">
        <v>1155.2</v>
      </c>
      <c r="G539" s="156">
        <f>Tabla18[[#This Row],[Importe]]-Tabla18[[#This Row],[Pagado]]</f>
        <v>0</v>
      </c>
      <c r="H539" s="153" t="s">
        <v>10</v>
      </c>
    </row>
    <row r="540" spans="1:8" x14ac:dyDescent="0.25">
      <c r="A540" s="73">
        <v>44747</v>
      </c>
      <c r="B540" s="74" t="s">
        <v>21824</v>
      </c>
      <c r="C540" s="75" t="s">
        <v>402</v>
      </c>
      <c r="D540" s="81">
        <v>14478.9</v>
      </c>
      <c r="E540" s="151">
        <v>44754</v>
      </c>
      <c r="F540" s="81">
        <v>14478.9</v>
      </c>
      <c r="G540" s="156">
        <f>Tabla18[[#This Row],[Importe]]-Tabla18[[#This Row],[Pagado]]</f>
        <v>0</v>
      </c>
      <c r="H540" s="75" t="s">
        <v>10</v>
      </c>
    </row>
    <row r="541" spans="1:8" x14ac:dyDescent="0.25">
      <c r="A541" s="148">
        <v>44747</v>
      </c>
      <c r="B541" s="149" t="s">
        <v>21825</v>
      </c>
      <c r="C541" s="153" t="s">
        <v>2156</v>
      </c>
      <c r="D541" s="154">
        <v>41838</v>
      </c>
      <c r="E541" s="155">
        <v>44747</v>
      </c>
      <c r="F541" s="154">
        <v>41838</v>
      </c>
      <c r="G541" s="156">
        <f>Tabla18[[#This Row],[Importe]]-Tabla18[[#This Row],[Pagado]]</f>
        <v>0</v>
      </c>
      <c r="H541" s="153" t="s">
        <v>10</v>
      </c>
    </row>
    <row r="542" spans="1:8" x14ac:dyDescent="0.25">
      <c r="A542" s="73">
        <v>44747</v>
      </c>
      <c r="B542" s="74" t="s">
        <v>21826</v>
      </c>
      <c r="C542" s="75" t="s">
        <v>2156</v>
      </c>
      <c r="D542" s="81">
        <v>13946</v>
      </c>
      <c r="E542" s="151">
        <v>44747</v>
      </c>
      <c r="F542" s="81">
        <v>13946</v>
      </c>
      <c r="G542" s="156">
        <f>Tabla18[[#This Row],[Importe]]-Tabla18[[#This Row],[Pagado]]</f>
        <v>0</v>
      </c>
      <c r="H542" s="75" t="s">
        <v>10</v>
      </c>
    </row>
    <row r="543" spans="1:8" x14ac:dyDescent="0.25">
      <c r="A543" s="148">
        <v>44747</v>
      </c>
      <c r="B543" s="149" t="s">
        <v>21827</v>
      </c>
      <c r="C543" s="153" t="s">
        <v>31</v>
      </c>
      <c r="D543" s="154">
        <v>240</v>
      </c>
      <c r="E543" s="155">
        <v>44747</v>
      </c>
      <c r="F543" s="154">
        <v>240</v>
      </c>
      <c r="G543" s="156">
        <f>Tabla18[[#This Row],[Importe]]-Tabla18[[#This Row],[Pagado]]</f>
        <v>0</v>
      </c>
      <c r="H543" s="153" t="s">
        <v>10</v>
      </c>
    </row>
    <row r="544" spans="1:8" x14ac:dyDescent="0.25">
      <c r="A544" s="73">
        <v>44747</v>
      </c>
      <c r="B544" s="74" t="s">
        <v>21828</v>
      </c>
      <c r="C544" s="75" t="s">
        <v>151</v>
      </c>
      <c r="D544" s="81">
        <v>27632</v>
      </c>
      <c r="E544" s="151">
        <v>44748</v>
      </c>
      <c r="F544" s="81">
        <v>27632</v>
      </c>
      <c r="G544" s="156">
        <f>Tabla18[[#This Row],[Importe]]-Tabla18[[#This Row],[Pagado]]</f>
        <v>0</v>
      </c>
      <c r="H544" s="75" t="s">
        <v>10</v>
      </c>
    </row>
    <row r="545" spans="1:8" x14ac:dyDescent="0.25">
      <c r="A545" s="148">
        <v>44747</v>
      </c>
      <c r="B545" s="149" t="s">
        <v>21829</v>
      </c>
      <c r="C545" s="153" t="s">
        <v>291</v>
      </c>
      <c r="D545" s="154">
        <v>3394.5</v>
      </c>
      <c r="E545" s="155">
        <v>44748</v>
      </c>
      <c r="F545" s="154">
        <v>3394.5</v>
      </c>
      <c r="G545" s="156">
        <f>Tabla18[[#This Row],[Importe]]-Tabla18[[#This Row],[Pagado]]</f>
        <v>0</v>
      </c>
      <c r="H545" s="153" t="s">
        <v>10</v>
      </c>
    </row>
    <row r="546" spans="1:8" x14ac:dyDescent="0.25">
      <c r="A546" s="73">
        <v>44747</v>
      </c>
      <c r="B546" s="74" t="s">
        <v>21830</v>
      </c>
      <c r="C546" s="75" t="s">
        <v>14</v>
      </c>
      <c r="D546" s="81">
        <v>20456.2</v>
      </c>
      <c r="E546" s="151">
        <v>44747</v>
      </c>
      <c r="F546" s="81">
        <v>20456.2</v>
      </c>
      <c r="G546" s="156">
        <f>Tabla18[[#This Row],[Importe]]-Tabla18[[#This Row],[Pagado]]</f>
        <v>0</v>
      </c>
      <c r="H546" s="75" t="s">
        <v>10</v>
      </c>
    </row>
    <row r="547" spans="1:8" x14ac:dyDescent="0.25">
      <c r="A547" s="148">
        <v>44747</v>
      </c>
      <c r="B547" s="149" t="s">
        <v>21831</v>
      </c>
      <c r="C547" s="153" t="s">
        <v>664</v>
      </c>
      <c r="D547" s="154">
        <v>9408</v>
      </c>
      <c r="E547" s="155">
        <v>44748</v>
      </c>
      <c r="F547" s="154">
        <v>9408</v>
      </c>
      <c r="G547" s="156">
        <f>Tabla18[[#This Row],[Importe]]-Tabla18[[#This Row],[Pagado]]</f>
        <v>0</v>
      </c>
      <c r="H547" s="153" t="s">
        <v>10</v>
      </c>
    </row>
    <row r="548" spans="1:8" x14ac:dyDescent="0.25">
      <c r="A548" s="73">
        <v>44747</v>
      </c>
      <c r="B548" s="74" t="s">
        <v>21832</v>
      </c>
      <c r="C548" s="75" t="s">
        <v>21833</v>
      </c>
      <c r="D548" s="81">
        <v>38818.199999999997</v>
      </c>
      <c r="E548" s="151">
        <v>44747</v>
      </c>
      <c r="F548" s="81">
        <v>38818.199999999997</v>
      </c>
      <c r="G548" s="156">
        <f>Tabla18[[#This Row],[Importe]]-Tabla18[[#This Row],[Pagado]]</f>
        <v>0</v>
      </c>
      <c r="H548" s="75" t="s">
        <v>10</v>
      </c>
    </row>
    <row r="549" spans="1:8" x14ac:dyDescent="0.25">
      <c r="A549" s="148">
        <v>44747</v>
      </c>
      <c r="B549" s="149" t="s">
        <v>21834</v>
      </c>
      <c r="C549" s="153" t="s">
        <v>1706</v>
      </c>
      <c r="D549" s="154">
        <v>7862.4</v>
      </c>
      <c r="E549" s="155">
        <v>44747</v>
      </c>
      <c r="F549" s="154">
        <v>7862.4</v>
      </c>
      <c r="G549" s="156">
        <f>Tabla18[[#This Row],[Importe]]-Tabla18[[#This Row],[Pagado]]</f>
        <v>0</v>
      </c>
      <c r="H549" s="153" t="s">
        <v>10</v>
      </c>
    </row>
    <row r="550" spans="1:8" x14ac:dyDescent="0.25">
      <c r="A550" s="73">
        <v>44747</v>
      </c>
      <c r="B550" s="74" t="s">
        <v>21835</v>
      </c>
      <c r="C550" s="75" t="s">
        <v>409</v>
      </c>
      <c r="D550" s="81">
        <v>9987.6</v>
      </c>
      <c r="E550" s="151">
        <v>44754</v>
      </c>
      <c r="F550" s="81">
        <v>9987.6</v>
      </c>
      <c r="G550" s="156">
        <f>Tabla18[[#This Row],[Importe]]-Tabla18[[#This Row],[Pagado]]</f>
        <v>0</v>
      </c>
      <c r="H550" s="75" t="s">
        <v>10</v>
      </c>
    </row>
    <row r="551" spans="1:8" x14ac:dyDescent="0.25">
      <c r="A551" s="148">
        <v>44747</v>
      </c>
      <c r="B551" s="149" t="s">
        <v>21836</v>
      </c>
      <c r="C551" s="153" t="s">
        <v>843</v>
      </c>
      <c r="D551" s="154">
        <v>30230.39</v>
      </c>
      <c r="E551" s="155">
        <v>44748</v>
      </c>
      <c r="F551" s="154">
        <v>30230.39</v>
      </c>
      <c r="G551" s="156">
        <f>Tabla18[[#This Row],[Importe]]-Tabla18[[#This Row],[Pagado]]</f>
        <v>0</v>
      </c>
      <c r="H551" s="153" t="s">
        <v>10</v>
      </c>
    </row>
    <row r="552" spans="1:8" ht="31.5" x14ac:dyDescent="0.25">
      <c r="A552" s="73">
        <v>44748</v>
      </c>
      <c r="B552" s="74" t="s">
        <v>21837</v>
      </c>
      <c r="C552" s="75" t="s">
        <v>475</v>
      </c>
      <c r="D552" s="81">
        <v>88448</v>
      </c>
      <c r="E552" s="147" t="s">
        <v>21747</v>
      </c>
      <c r="F552" s="81">
        <f>81500+6948</f>
        <v>88448</v>
      </c>
      <c r="G552" s="156">
        <f>Tabla18[[#This Row],[Importe]]-Tabla18[[#This Row],[Pagado]]</f>
        <v>0</v>
      </c>
      <c r="H552" s="75" t="s">
        <v>10</v>
      </c>
    </row>
    <row r="553" spans="1:8" x14ac:dyDescent="0.25">
      <c r="A553" s="148">
        <v>44748</v>
      </c>
      <c r="B553" s="149" t="s">
        <v>21838</v>
      </c>
      <c r="C553" s="153" t="s">
        <v>85</v>
      </c>
      <c r="D553" s="154">
        <v>1173.5999999999999</v>
      </c>
      <c r="E553" s="155">
        <v>44748</v>
      </c>
      <c r="F553" s="154">
        <v>1173.5999999999999</v>
      </c>
      <c r="G553" s="156">
        <f>Tabla18[[#This Row],[Importe]]-Tabla18[[#This Row],[Pagado]]</f>
        <v>0</v>
      </c>
      <c r="H553" s="153" t="s">
        <v>10</v>
      </c>
    </row>
    <row r="554" spans="1:8" x14ac:dyDescent="0.25">
      <c r="A554" s="73">
        <v>44748</v>
      </c>
      <c r="B554" s="74" t="s">
        <v>21839</v>
      </c>
      <c r="C554" s="75" t="s">
        <v>99</v>
      </c>
      <c r="D554" s="81">
        <v>6280.6</v>
      </c>
      <c r="E554" s="151">
        <v>44751</v>
      </c>
      <c r="F554" s="81">
        <v>6280.6</v>
      </c>
      <c r="G554" s="156">
        <f>Tabla18[[#This Row],[Importe]]-Tabla18[[#This Row],[Pagado]]</f>
        <v>0</v>
      </c>
      <c r="H554" s="75" t="s">
        <v>10</v>
      </c>
    </row>
    <row r="555" spans="1:8" x14ac:dyDescent="0.25">
      <c r="A555" s="148">
        <v>44748</v>
      </c>
      <c r="B555" s="149" t="s">
        <v>21840</v>
      </c>
      <c r="C555" s="153" t="s">
        <v>111</v>
      </c>
      <c r="D555" s="154">
        <v>6088.4</v>
      </c>
      <c r="E555" s="155">
        <v>44750</v>
      </c>
      <c r="F555" s="154">
        <v>6088.4</v>
      </c>
      <c r="G555" s="156">
        <f>Tabla18[[#This Row],[Importe]]-Tabla18[[#This Row],[Pagado]]</f>
        <v>0</v>
      </c>
      <c r="H555" s="153" t="s">
        <v>10</v>
      </c>
    </row>
    <row r="556" spans="1:8" x14ac:dyDescent="0.25">
      <c r="A556" s="73">
        <v>44748</v>
      </c>
      <c r="B556" s="74" t="s">
        <v>21841</v>
      </c>
      <c r="C556" s="75" t="s">
        <v>114</v>
      </c>
      <c r="D556" s="81">
        <v>5635.8</v>
      </c>
      <c r="E556" s="151">
        <v>44749</v>
      </c>
      <c r="F556" s="81">
        <v>5635.8</v>
      </c>
      <c r="G556" s="156">
        <f>Tabla18[[#This Row],[Importe]]-Tabla18[[#This Row],[Pagado]]</f>
        <v>0</v>
      </c>
      <c r="H556" s="75" t="s">
        <v>10</v>
      </c>
    </row>
    <row r="557" spans="1:8" x14ac:dyDescent="0.25">
      <c r="A557" s="148">
        <v>44748</v>
      </c>
      <c r="B557" s="149" t="s">
        <v>21842</v>
      </c>
      <c r="C557" s="153" t="s">
        <v>2151</v>
      </c>
      <c r="D557" s="154">
        <v>11302.6</v>
      </c>
      <c r="E557" s="155">
        <v>44748</v>
      </c>
      <c r="F557" s="154">
        <v>11302.6</v>
      </c>
      <c r="G557" s="156">
        <f>Tabla18[[#This Row],[Importe]]-Tabla18[[#This Row],[Pagado]]</f>
        <v>0</v>
      </c>
      <c r="H557" s="153" t="s">
        <v>10</v>
      </c>
    </row>
    <row r="558" spans="1:8" x14ac:dyDescent="0.25">
      <c r="A558" s="73">
        <v>44748</v>
      </c>
      <c r="B558" s="74" t="s">
        <v>21843</v>
      </c>
      <c r="C558" s="75" t="s">
        <v>60</v>
      </c>
      <c r="D558" s="81">
        <v>5312</v>
      </c>
      <c r="E558" s="151">
        <v>44752</v>
      </c>
      <c r="F558" s="81">
        <v>5312</v>
      </c>
      <c r="G558" s="156">
        <f>Tabla18[[#This Row],[Importe]]-Tabla18[[#This Row],[Pagado]]</f>
        <v>0</v>
      </c>
      <c r="H558" s="75" t="s">
        <v>10</v>
      </c>
    </row>
    <row r="559" spans="1:8" x14ac:dyDescent="0.25">
      <c r="A559" s="148">
        <v>44748</v>
      </c>
      <c r="B559" s="149" t="s">
        <v>21844</v>
      </c>
      <c r="C559" s="153" t="s">
        <v>105</v>
      </c>
      <c r="D559" s="154">
        <v>6448</v>
      </c>
      <c r="E559" s="155">
        <v>44748</v>
      </c>
      <c r="F559" s="154">
        <v>6448</v>
      </c>
      <c r="G559" s="156">
        <f>Tabla18[[#This Row],[Importe]]-Tabla18[[#This Row],[Pagado]]</f>
        <v>0</v>
      </c>
      <c r="H559" s="153" t="s">
        <v>10</v>
      </c>
    </row>
    <row r="560" spans="1:8" x14ac:dyDescent="0.25">
      <c r="A560" s="73">
        <v>44748</v>
      </c>
      <c r="B560" s="74" t="s">
        <v>21845</v>
      </c>
      <c r="C560" s="75" t="s">
        <v>109</v>
      </c>
      <c r="D560" s="81">
        <v>6379.8</v>
      </c>
      <c r="E560" s="151">
        <v>44749</v>
      </c>
      <c r="F560" s="81">
        <v>6379.8</v>
      </c>
      <c r="G560" s="156">
        <f>Tabla18[[#This Row],[Importe]]-Tabla18[[#This Row],[Pagado]]</f>
        <v>0</v>
      </c>
      <c r="H560" s="75" t="s">
        <v>10</v>
      </c>
    </row>
    <row r="561" spans="1:8" x14ac:dyDescent="0.25">
      <c r="A561" s="148">
        <v>44748</v>
      </c>
      <c r="B561" s="149" t="s">
        <v>21846</v>
      </c>
      <c r="C561" s="153" t="s">
        <v>64</v>
      </c>
      <c r="D561" s="154">
        <v>5587.2</v>
      </c>
      <c r="E561" s="155">
        <v>44750</v>
      </c>
      <c r="F561" s="154">
        <v>5587.2</v>
      </c>
      <c r="G561" s="156">
        <f>Tabla18[[#This Row],[Importe]]-Tabla18[[#This Row],[Pagado]]</f>
        <v>0</v>
      </c>
      <c r="H561" s="153" t="s">
        <v>10</v>
      </c>
    </row>
    <row r="562" spans="1:8" x14ac:dyDescent="0.25">
      <c r="A562" s="73">
        <v>44748</v>
      </c>
      <c r="B562" s="74" t="s">
        <v>21847</v>
      </c>
      <c r="C562" s="75" t="s">
        <v>89</v>
      </c>
      <c r="D562" s="81">
        <v>10354.4</v>
      </c>
      <c r="E562" s="151">
        <v>44749</v>
      </c>
      <c r="F562" s="81">
        <v>10354.4</v>
      </c>
      <c r="G562" s="156">
        <f>Tabla18[[#This Row],[Importe]]-Tabla18[[#This Row],[Pagado]]</f>
        <v>0</v>
      </c>
      <c r="H562" s="75" t="s">
        <v>10</v>
      </c>
    </row>
    <row r="563" spans="1:8" x14ac:dyDescent="0.25">
      <c r="A563" s="148">
        <v>44748</v>
      </c>
      <c r="B563" s="149" t="s">
        <v>21848</v>
      </c>
      <c r="C563" s="153" t="s">
        <v>75</v>
      </c>
      <c r="D563" s="154">
        <v>3636</v>
      </c>
      <c r="E563" s="155">
        <v>44748</v>
      </c>
      <c r="F563" s="154">
        <v>3636</v>
      </c>
      <c r="G563" s="156">
        <f>Tabla18[[#This Row],[Importe]]-Tabla18[[#This Row],[Pagado]]</f>
        <v>0</v>
      </c>
      <c r="H563" s="153" t="s">
        <v>10</v>
      </c>
    </row>
    <row r="564" spans="1:8" x14ac:dyDescent="0.25">
      <c r="A564" s="73">
        <v>44748</v>
      </c>
      <c r="B564" s="74" t="s">
        <v>21849</v>
      </c>
      <c r="C564" s="75" t="s">
        <v>2151</v>
      </c>
      <c r="D564" s="81">
        <v>4623.3999999999996</v>
      </c>
      <c r="E564" s="151">
        <v>44748</v>
      </c>
      <c r="F564" s="81">
        <v>4623.3999999999996</v>
      </c>
      <c r="G564" s="156">
        <f>Tabla18[[#This Row],[Importe]]-Tabla18[[#This Row],[Pagado]]</f>
        <v>0</v>
      </c>
      <c r="H564" s="75" t="s">
        <v>10</v>
      </c>
    </row>
    <row r="565" spans="1:8" x14ac:dyDescent="0.25">
      <c r="A565" s="148">
        <v>44748</v>
      </c>
      <c r="B565" s="149" t="s">
        <v>21850</v>
      </c>
      <c r="C565" s="153" t="s">
        <v>89</v>
      </c>
      <c r="D565" s="154">
        <v>1211.8</v>
      </c>
      <c r="E565" s="155">
        <v>44749</v>
      </c>
      <c r="F565" s="154">
        <v>1211.8</v>
      </c>
      <c r="G565" s="156">
        <f>Tabla18[[#This Row],[Importe]]-Tabla18[[#This Row],[Pagado]]</f>
        <v>0</v>
      </c>
      <c r="H565" s="153" t="s">
        <v>10</v>
      </c>
    </row>
    <row r="566" spans="1:8" x14ac:dyDescent="0.25">
      <c r="A566" s="73">
        <v>44748</v>
      </c>
      <c r="B566" s="74" t="s">
        <v>21851</v>
      </c>
      <c r="C566" s="75" t="s">
        <v>93</v>
      </c>
      <c r="D566" s="81">
        <v>2111.1999999999998</v>
      </c>
      <c r="E566" s="151">
        <v>44750</v>
      </c>
      <c r="F566" s="81">
        <v>2111.1999999999998</v>
      </c>
      <c r="G566" s="156">
        <f>Tabla18[[#This Row],[Importe]]-Tabla18[[#This Row],[Pagado]]</f>
        <v>0</v>
      </c>
      <c r="H566" s="75" t="s">
        <v>10</v>
      </c>
    </row>
    <row r="567" spans="1:8" x14ac:dyDescent="0.25">
      <c r="A567" s="148">
        <v>44748</v>
      </c>
      <c r="B567" s="149" t="s">
        <v>21852</v>
      </c>
      <c r="C567" s="153" t="s">
        <v>348</v>
      </c>
      <c r="D567" s="154">
        <v>2744</v>
      </c>
      <c r="E567" s="155">
        <v>44748</v>
      </c>
      <c r="F567" s="154">
        <v>2744</v>
      </c>
      <c r="G567" s="156">
        <f>Tabla18[[#This Row],[Importe]]-Tabla18[[#This Row],[Pagado]]</f>
        <v>0</v>
      </c>
      <c r="H567" s="153" t="s">
        <v>10</v>
      </c>
    </row>
    <row r="568" spans="1:8" x14ac:dyDescent="0.25">
      <c r="A568" s="73">
        <v>44748</v>
      </c>
      <c r="B568" s="74" t="s">
        <v>21853</v>
      </c>
      <c r="C568" s="75" t="s">
        <v>212</v>
      </c>
      <c r="D568" s="81">
        <v>54149.8</v>
      </c>
      <c r="E568" s="151">
        <v>44751</v>
      </c>
      <c r="F568" s="81">
        <v>54149.8</v>
      </c>
      <c r="G568" s="156">
        <f>Tabla18[[#This Row],[Importe]]-Tabla18[[#This Row],[Pagado]]</f>
        <v>0</v>
      </c>
      <c r="H568" s="75" t="s">
        <v>10</v>
      </c>
    </row>
    <row r="569" spans="1:8" x14ac:dyDescent="0.25">
      <c r="A569" s="148">
        <v>44748</v>
      </c>
      <c r="B569" s="149" t="s">
        <v>21854</v>
      </c>
      <c r="C569" s="153" t="s">
        <v>345</v>
      </c>
      <c r="D569" s="154">
        <v>657</v>
      </c>
      <c r="E569" s="155">
        <v>44748</v>
      </c>
      <c r="F569" s="154">
        <v>657</v>
      </c>
      <c r="G569" s="156">
        <f>Tabla18[[#This Row],[Importe]]-Tabla18[[#This Row],[Pagado]]</f>
        <v>0</v>
      </c>
      <c r="H569" s="153" t="s">
        <v>10</v>
      </c>
    </row>
    <row r="570" spans="1:8" x14ac:dyDescent="0.25">
      <c r="A570" s="73">
        <v>44748</v>
      </c>
      <c r="B570" s="74" t="s">
        <v>21855</v>
      </c>
      <c r="C570" s="75" t="s">
        <v>481</v>
      </c>
      <c r="D570" s="81">
        <v>144.4</v>
      </c>
      <c r="E570" s="151">
        <v>44748</v>
      </c>
      <c r="F570" s="81">
        <v>144.4</v>
      </c>
      <c r="G570" s="156">
        <f>Tabla18[[#This Row],[Importe]]-Tabla18[[#This Row],[Pagado]]</f>
        <v>0</v>
      </c>
      <c r="H570" s="75" t="s">
        <v>10</v>
      </c>
    </row>
    <row r="571" spans="1:8" x14ac:dyDescent="0.25">
      <c r="A571" s="148">
        <v>44748</v>
      </c>
      <c r="B571" s="149" t="s">
        <v>21856</v>
      </c>
      <c r="C571" s="153" t="s">
        <v>206</v>
      </c>
      <c r="D571" s="154">
        <v>31097.8</v>
      </c>
      <c r="E571" s="155">
        <v>44751</v>
      </c>
      <c r="F571" s="154">
        <v>31097.8</v>
      </c>
      <c r="G571" s="156">
        <f>Tabla18[[#This Row],[Importe]]-Tabla18[[#This Row],[Pagado]]</f>
        <v>0</v>
      </c>
      <c r="H571" s="153" t="s">
        <v>10</v>
      </c>
    </row>
    <row r="572" spans="1:8" x14ac:dyDescent="0.25">
      <c r="A572" s="73">
        <v>44748</v>
      </c>
      <c r="B572" s="74" t="s">
        <v>21857</v>
      </c>
      <c r="C572" s="75" t="s">
        <v>154</v>
      </c>
      <c r="D572" s="81">
        <v>42516.800000000003</v>
      </c>
      <c r="E572" s="151">
        <v>44751</v>
      </c>
      <c r="F572" s="81">
        <v>42516.800000000003</v>
      </c>
      <c r="G572" s="156">
        <f>Tabla18[[#This Row],[Importe]]-Tabla18[[#This Row],[Pagado]]</f>
        <v>0</v>
      </c>
      <c r="H572" s="75" t="s">
        <v>10</v>
      </c>
    </row>
    <row r="573" spans="1:8" x14ac:dyDescent="0.25">
      <c r="A573" s="148">
        <v>44748</v>
      </c>
      <c r="B573" s="149" t="s">
        <v>21858</v>
      </c>
      <c r="C573" s="153" t="s">
        <v>218</v>
      </c>
      <c r="D573" s="154">
        <v>16223.4</v>
      </c>
      <c r="E573" s="155">
        <v>44751</v>
      </c>
      <c r="F573" s="154">
        <v>16223.4</v>
      </c>
      <c r="G573" s="156">
        <f>Tabla18[[#This Row],[Importe]]-Tabla18[[#This Row],[Pagado]]</f>
        <v>0</v>
      </c>
      <c r="H573" s="153" t="s">
        <v>10</v>
      </c>
    </row>
    <row r="574" spans="1:8" x14ac:dyDescent="0.25">
      <c r="A574" s="73">
        <v>44748</v>
      </c>
      <c r="B574" s="74" t="s">
        <v>21859</v>
      </c>
      <c r="C574" s="75" t="s">
        <v>9</v>
      </c>
      <c r="D574" s="81">
        <v>7694.7</v>
      </c>
      <c r="E574" s="151">
        <v>44748</v>
      </c>
      <c r="F574" s="81">
        <v>7694.7</v>
      </c>
      <c r="G574" s="156">
        <f>Tabla18[[#This Row],[Importe]]-Tabla18[[#This Row],[Pagado]]</f>
        <v>0</v>
      </c>
      <c r="H574" s="75" t="s">
        <v>10</v>
      </c>
    </row>
    <row r="575" spans="1:8" x14ac:dyDescent="0.25">
      <c r="A575" s="148">
        <v>44748</v>
      </c>
      <c r="B575" s="149" t="s">
        <v>21860</v>
      </c>
      <c r="C575" s="153" t="s">
        <v>208</v>
      </c>
      <c r="D575" s="154">
        <v>41464.46</v>
      </c>
      <c r="E575" s="155">
        <v>44756</v>
      </c>
      <c r="F575" s="154">
        <v>41464.46</v>
      </c>
      <c r="G575" s="156">
        <f>Tabla18[[#This Row],[Importe]]-Tabla18[[#This Row],[Pagado]]</f>
        <v>0</v>
      </c>
      <c r="H575" s="153" t="s">
        <v>10</v>
      </c>
    </row>
    <row r="576" spans="1:8" x14ac:dyDescent="0.25">
      <c r="A576" s="73">
        <v>44748</v>
      </c>
      <c r="B576" s="74" t="s">
        <v>21861</v>
      </c>
      <c r="C576" s="75" t="s">
        <v>173</v>
      </c>
      <c r="D576" s="81">
        <v>26839.200000000001</v>
      </c>
      <c r="E576" s="151">
        <v>44749</v>
      </c>
      <c r="F576" s="81">
        <v>26839.200000000001</v>
      </c>
      <c r="G576" s="156">
        <f>Tabla18[[#This Row],[Importe]]-Tabla18[[#This Row],[Pagado]]</f>
        <v>0</v>
      </c>
      <c r="H576" s="75" t="s">
        <v>10</v>
      </c>
    </row>
    <row r="577" spans="1:8" x14ac:dyDescent="0.25">
      <c r="A577" s="148">
        <v>44748</v>
      </c>
      <c r="B577" s="149" t="s">
        <v>21862</v>
      </c>
      <c r="C577" s="153" t="s">
        <v>1187</v>
      </c>
      <c r="D577" s="154">
        <v>882.9</v>
      </c>
      <c r="E577" s="155">
        <v>44748</v>
      </c>
      <c r="F577" s="154">
        <v>882.9</v>
      </c>
      <c r="G577" s="156">
        <f>Tabla18[[#This Row],[Importe]]-Tabla18[[#This Row],[Pagado]]</f>
        <v>0</v>
      </c>
      <c r="H577" s="153" t="s">
        <v>10</v>
      </c>
    </row>
    <row r="578" spans="1:8" x14ac:dyDescent="0.25">
      <c r="A578" s="73">
        <v>44748</v>
      </c>
      <c r="B578" s="74" t="s">
        <v>21863</v>
      </c>
      <c r="C578" s="75" t="s">
        <v>133</v>
      </c>
      <c r="D578" s="81">
        <v>14746</v>
      </c>
      <c r="E578" s="151">
        <v>44749</v>
      </c>
      <c r="F578" s="81">
        <v>14746</v>
      </c>
      <c r="G578" s="156">
        <f>Tabla18[[#This Row],[Importe]]-Tabla18[[#This Row],[Pagado]]</f>
        <v>0</v>
      </c>
      <c r="H578" s="75" t="s">
        <v>10</v>
      </c>
    </row>
    <row r="579" spans="1:8" x14ac:dyDescent="0.25">
      <c r="A579" s="148">
        <v>44748</v>
      </c>
      <c r="B579" s="149" t="s">
        <v>21864</v>
      </c>
      <c r="C579" s="153" t="s">
        <v>131</v>
      </c>
      <c r="D579" s="154">
        <v>5580</v>
      </c>
      <c r="E579" s="155">
        <v>44748</v>
      </c>
      <c r="F579" s="154">
        <v>5580</v>
      </c>
      <c r="G579" s="156">
        <f>Tabla18[[#This Row],[Importe]]-Tabla18[[#This Row],[Pagado]]</f>
        <v>0</v>
      </c>
      <c r="H579" s="153" t="s">
        <v>10</v>
      </c>
    </row>
    <row r="580" spans="1:8" x14ac:dyDescent="0.25">
      <c r="A580" s="73">
        <v>44748</v>
      </c>
      <c r="B580" s="74" t="s">
        <v>21865</v>
      </c>
      <c r="C580" s="75" t="s">
        <v>21866</v>
      </c>
      <c r="D580" s="81">
        <v>0</v>
      </c>
      <c r="E580" s="157" t="s">
        <v>189</v>
      </c>
      <c r="F580" s="81">
        <v>0</v>
      </c>
      <c r="G580" s="156">
        <f>Tabla18[[#This Row],[Importe]]-Tabla18[[#This Row],[Pagado]]</f>
        <v>0</v>
      </c>
      <c r="H580" s="75" t="s">
        <v>189</v>
      </c>
    </row>
    <row r="581" spans="1:8" x14ac:dyDescent="0.25">
      <c r="A581" s="148">
        <v>44748</v>
      </c>
      <c r="B581" s="149" t="s">
        <v>21867</v>
      </c>
      <c r="C581" s="153" t="s">
        <v>924</v>
      </c>
      <c r="D581" s="154">
        <v>14357.9</v>
      </c>
      <c r="E581" s="155">
        <v>44748</v>
      </c>
      <c r="F581" s="154">
        <v>14357.9</v>
      </c>
      <c r="G581" s="156">
        <f>Tabla18[[#This Row],[Importe]]-Tabla18[[#This Row],[Pagado]]</f>
        <v>0</v>
      </c>
      <c r="H581" s="153" t="s">
        <v>10</v>
      </c>
    </row>
    <row r="582" spans="1:8" x14ac:dyDescent="0.25">
      <c r="A582" s="73">
        <v>44748</v>
      </c>
      <c r="B582" s="74" t="s">
        <v>21868</v>
      </c>
      <c r="C582" s="75" t="s">
        <v>22</v>
      </c>
      <c r="D582" s="81">
        <v>64983.4</v>
      </c>
      <c r="E582" s="151">
        <v>44749</v>
      </c>
      <c r="F582" s="81">
        <v>64983.4</v>
      </c>
      <c r="G582" s="156">
        <f>Tabla18[[#This Row],[Importe]]-Tabla18[[#This Row],[Pagado]]</f>
        <v>0</v>
      </c>
      <c r="H582" s="75" t="s">
        <v>10</v>
      </c>
    </row>
    <row r="583" spans="1:8" x14ac:dyDescent="0.25">
      <c r="A583" s="148">
        <v>44748</v>
      </c>
      <c r="B583" s="149" t="s">
        <v>21869</v>
      </c>
      <c r="C583" s="153" t="s">
        <v>18</v>
      </c>
      <c r="D583" s="154">
        <v>2002.5</v>
      </c>
      <c r="E583" s="155">
        <v>44748</v>
      </c>
      <c r="F583" s="154">
        <v>2002.5</v>
      </c>
      <c r="G583" s="156">
        <f>Tabla18[[#This Row],[Importe]]-Tabla18[[#This Row],[Pagado]]</f>
        <v>0</v>
      </c>
      <c r="H583" s="153" t="s">
        <v>10</v>
      </c>
    </row>
    <row r="584" spans="1:8" x14ac:dyDescent="0.25">
      <c r="A584" s="73">
        <v>44748</v>
      </c>
      <c r="B584" s="74" t="s">
        <v>21870</v>
      </c>
      <c r="C584" s="75" t="s">
        <v>49</v>
      </c>
      <c r="D584" s="81">
        <v>3320.4</v>
      </c>
      <c r="E584" s="151">
        <v>44748</v>
      </c>
      <c r="F584" s="81">
        <v>3320.4</v>
      </c>
      <c r="G584" s="156">
        <f>Tabla18[[#This Row],[Importe]]-Tabla18[[#This Row],[Pagado]]</f>
        <v>0</v>
      </c>
      <c r="H584" s="75" t="s">
        <v>10</v>
      </c>
    </row>
    <row r="585" spans="1:8" x14ac:dyDescent="0.25">
      <c r="A585" s="148">
        <v>44748</v>
      </c>
      <c r="B585" s="149" t="s">
        <v>21871</v>
      </c>
      <c r="C585" s="153" t="s">
        <v>10157</v>
      </c>
      <c r="D585" s="154">
        <v>30856.7</v>
      </c>
      <c r="E585" s="155">
        <v>44765</v>
      </c>
      <c r="F585" s="154">
        <v>30856.7</v>
      </c>
      <c r="G585" s="156">
        <f>Tabla18[[#This Row],[Importe]]-Tabla18[[#This Row],[Pagado]]</f>
        <v>0</v>
      </c>
      <c r="H585" s="153" t="s">
        <v>10</v>
      </c>
    </row>
    <row r="586" spans="1:8" x14ac:dyDescent="0.25">
      <c r="A586" s="73">
        <v>44748</v>
      </c>
      <c r="B586" s="74" t="s">
        <v>21872</v>
      </c>
      <c r="C586" s="75" t="s">
        <v>664</v>
      </c>
      <c r="D586" s="81">
        <v>13994.4</v>
      </c>
      <c r="E586" s="151">
        <v>44748</v>
      </c>
      <c r="F586" s="81">
        <v>13994.4</v>
      </c>
      <c r="G586" s="156">
        <f>Tabla18[[#This Row],[Importe]]-Tabla18[[#This Row],[Pagado]]</f>
        <v>0</v>
      </c>
      <c r="H586" s="75" t="s">
        <v>10</v>
      </c>
    </row>
    <row r="587" spans="1:8" x14ac:dyDescent="0.25">
      <c r="A587" s="148">
        <v>44748</v>
      </c>
      <c r="B587" s="149" t="s">
        <v>21873</v>
      </c>
      <c r="C587" s="153" t="s">
        <v>31</v>
      </c>
      <c r="D587" s="154">
        <v>3172.4</v>
      </c>
      <c r="E587" s="155">
        <v>44748</v>
      </c>
      <c r="F587" s="154">
        <v>3172.4</v>
      </c>
      <c r="G587" s="156">
        <f>Tabla18[[#This Row],[Importe]]-Tabla18[[#This Row],[Pagado]]</f>
        <v>0</v>
      </c>
      <c r="H587" s="153" t="s">
        <v>10</v>
      </c>
    </row>
    <row r="588" spans="1:8" x14ac:dyDescent="0.25">
      <c r="A588" s="73">
        <v>44748</v>
      </c>
      <c r="B588" s="74" t="s">
        <v>21874</v>
      </c>
      <c r="C588" s="75" t="s">
        <v>16</v>
      </c>
      <c r="D588" s="81">
        <v>6114</v>
      </c>
      <c r="E588" s="151">
        <v>44748</v>
      </c>
      <c r="F588" s="81">
        <v>6114</v>
      </c>
      <c r="G588" s="156">
        <f>Tabla18[[#This Row],[Importe]]-Tabla18[[#This Row],[Pagado]]</f>
        <v>0</v>
      </c>
      <c r="H588" s="75" t="s">
        <v>10</v>
      </c>
    </row>
    <row r="589" spans="1:8" x14ac:dyDescent="0.25">
      <c r="A589" s="148">
        <v>44748</v>
      </c>
      <c r="B589" s="149" t="s">
        <v>21875</v>
      </c>
      <c r="C589" s="153" t="s">
        <v>83</v>
      </c>
      <c r="D589" s="154">
        <v>11618</v>
      </c>
      <c r="E589" s="155">
        <v>44748</v>
      </c>
      <c r="F589" s="154">
        <v>11618</v>
      </c>
      <c r="G589" s="156">
        <f>Tabla18[[#This Row],[Importe]]-Tabla18[[#This Row],[Pagado]]</f>
        <v>0</v>
      </c>
      <c r="H589" s="153" t="s">
        <v>10</v>
      </c>
    </row>
    <row r="590" spans="1:8" x14ac:dyDescent="0.25">
      <c r="A590" s="73">
        <v>44748</v>
      </c>
      <c r="B590" s="74" t="s">
        <v>21876</v>
      </c>
      <c r="C590" s="75" t="s">
        <v>27</v>
      </c>
      <c r="D590" s="81">
        <v>504.6</v>
      </c>
      <c r="E590" s="151">
        <v>44748</v>
      </c>
      <c r="F590" s="81">
        <v>504.6</v>
      </c>
      <c r="G590" s="156">
        <f>Tabla18[[#This Row],[Importe]]-Tabla18[[#This Row],[Pagado]]</f>
        <v>0</v>
      </c>
      <c r="H590" s="75" t="s">
        <v>10</v>
      </c>
    </row>
    <row r="591" spans="1:8" x14ac:dyDescent="0.25">
      <c r="A591" s="148">
        <v>44748</v>
      </c>
      <c r="B591" s="149" t="s">
        <v>21877</v>
      </c>
      <c r="C591" s="153" t="s">
        <v>27</v>
      </c>
      <c r="D591" s="154">
        <v>140</v>
      </c>
      <c r="E591" s="155">
        <v>44748</v>
      </c>
      <c r="F591" s="154">
        <v>140</v>
      </c>
      <c r="G591" s="156">
        <f>Tabla18[[#This Row],[Importe]]-Tabla18[[#This Row],[Pagado]]</f>
        <v>0</v>
      </c>
      <c r="H591" s="153" t="s">
        <v>10</v>
      </c>
    </row>
    <row r="592" spans="1:8" x14ac:dyDescent="0.25">
      <c r="A592" s="73">
        <v>44748</v>
      </c>
      <c r="B592" s="74" t="s">
        <v>21878</v>
      </c>
      <c r="C592" s="75" t="s">
        <v>107</v>
      </c>
      <c r="D592" s="81">
        <v>9670.4</v>
      </c>
      <c r="E592" s="151">
        <v>44748</v>
      </c>
      <c r="F592" s="81">
        <v>9670.4</v>
      </c>
      <c r="G592" s="156">
        <f>Tabla18[[#This Row],[Importe]]-Tabla18[[#This Row],[Pagado]]</f>
        <v>0</v>
      </c>
      <c r="H592" s="75" t="s">
        <v>10</v>
      </c>
    </row>
    <row r="593" spans="1:8" x14ac:dyDescent="0.25">
      <c r="A593" s="148">
        <v>44748</v>
      </c>
      <c r="B593" s="149" t="s">
        <v>21879</v>
      </c>
      <c r="C593" s="153" t="s">
        <v>146</v>
      </c>
      <c r="D593" s="154">
        <v>3085.7</v>
      </c>
      <c r="E593" s="155">
        <v>44748</v>
      </c>
      <c r="F593" s="154">
        <v>3085.7</v>
      </c>
      <c r="G593" s="156">
        <f>Tabla18[[#This Row],[Importe]]-Tabla18[[#This Row],[Pagado]]</f>
        <v>0</v>
      </c>
      <c r="H593" s="153" t="s">
        <v>10</v>
      </c>
    </row>
    <row r="594" spans="1:8" x14ac:dyDescent="0.25">
      <c r="A594" s="73">
        <v>44748</v>
      </c>
      <c r="B594" s="74" t="s">
        <v>21880</v>
      </c>
      <c r="C594" s="75" t="s">
        <v>11033</v>
      </c>
      <c r="D594" s="81">
        <v>2040.5</v>
      </c>
      <c r="E594" s="151">
        <v>44748</v>
      </c>
      <c r="F594" s="81">
        <v>2040.5</v>
      </c>
      <c r="G594" s="156">
        <f>Tabla18[[#This Row],[Importe]]-Tabla18[[#This Row],[Pagado]]</f>
        <v>0</v>
      </c>
      <c r="H594" s="75" t="s">
        <v>10</v>
      </c>
    </row>
    <row r="595" spans="1:8" x14ac:dyDescent="0.25">
      <c r="A595" s="148">
        <v>44748</v>
      </c>
      <c r="B595" s="149" t="s">
        <v>21881</v>
      </c>
      <c r="C595" s="153" t="s">
        <v>142</v>
      </c>
      <c r="D595" s="154">
        <v>58616</v>
      </c>
      <c r="E595" s="155">
        <v>44799</v>
      </c>
      <c r="F595" s="154">
        <v>58616</v>
      </c>
      <c r="G595" s="156">
        <f>Tabla18[[#This Row],[Importe]]-Tabla18[[#This Row],[Pagado]]</f>
        <v>0</v>
      </c>
      <c r="H595" s="153" t="s">
        <v>10</v>
      </c>
    </row>
    <row r="596" spans="1:8" x14ac:dyDescent="0.25">
      <c r="A596" s="73">
        <v>44748</v>
      </c>
      <c r="B596" s="74" t="s">
        <v>21882</v>
      </c>
      <c r="C596" s="75" t="s">
        <v>56</v>
      </c>
      <c r="D596" s="81">
        <v>8062.5</v>
      </c>
      <c r="E596" s="151">
        <v>44748</v>
      </c>
      <c r="F596" s="81">
        <v>8062.5</v>
      </c>
      <c r="G596" s="156">
        <f>Tabla18[[#This Row],[Importe]]-Tabla18[[#This Row],[Pagado]]</f>
        <v>0</v>
      </c>
      <c r="H596" s="75" t="s">
        <v>10</v>
      </c>
    </row>
    <row r="597" spans="1:8" x14ac:dyDescent="0.25">
      <c r="A597" s="148">
        <v>44748</v>
      </c>
      <c r="B597" s="149" t="s">
        <v>21883</v>
      </c>
      <c r="C597" s="153" t="s">
        <v>87</v>
      </c>
      <c r="D597" s="154">
        <v>3330.4</v>
      </c>
      <c r="E597" s="155">
        <v>44748</v>
      </c>
      <c r="F597" s="154">
        <v>3330.4</v>
      </c>
      <c r="G597" s="156">
        <f>Tabla18[[#This Row],[Importe]]-Tabla18[[#This Row],[Pagado]]</f>
        <v>0</v>
      </c>
      <c r="H597" s="153" t="s">
        <v>10</v>
      </c>
    </row>
    <row r="598" spans="1:8" x14ac:dyDescent="0.25">
      <c r="A598" s="73">
        <v>44748</v>
      </c>
      <c r="B598" s="74" t="s">
        <v>21884</v>
      </c>
      <c r="C598" s="75" t="s">
        <v>12202</v>
      </c>
      <c r="D598" s="81">
        <v>24600</v>
      </c>
      <c r="E598" s="151">
        <v>44748</v>
      </c>
      <c r="F598" s="81">
        <v>24600</v>
      </c>
      <c r="G598" s="156">
        <f>Tabla18[[#This Row],[Importe]]-Tabla18[[#This Row],[Pagado]]</f>
        <v>0</v>
      </c>
      <c r="H598" s="75" t="s">
        <v>10</v>
      </c>
    </row>
    <row r="599" spans="1:8" x14ac:dyDescent="0.25">
      <c r="A599" s="148">
        <v>44748</v>
      </c>
      <c r="B599" s="149" t="s">
        <v>21885</v>
      </c>
      <c r="C599" s="153" t="s">
        <v>161</v>
      </c>
      <c r="D599" s="154">
        <v>4284.6000000000004</v>
      </c>
      <c r="E599" s="155">
        <v>44748</v>
      </c>
      <c r="F599" s="154">
        <v>4284.6000000000004</v>
      </c>
      <c r="G599" s="156">
        <f>Tabla18[[#This Row],[Importe]]-Tabla18[[#This Row],[Pagado]]</f>
        <v>0</v>
      </c>
      <c r="H599" s="153" t="s">
        <v>10</v>
      </c>
    </row>
    <row r="600" spans="1:8" x14ac:dyDescent="0.25">
      <c r="A600" s="73">
        <v>44748</v>
      </c>
      <c r="B600" s="74" t="s">
        <v>21886</v>
      </c>
      <c r="C600" s="75" t="s">
        <v>24</v>
      </c>
      <c r="D600" s="81">
        <v>3342.7</v>
      </c>
      <c r="E600" s="151">
        <v>44748</v>
      </c>
      <c r="F600" s="81">
        <v>3342.7</v>
      </c>
      <c r="G600" s="156">
        <f>Tabla18[[#This Row],[Importe]]-Tabla18[[#This Row],[Pagado]]</f>
        <v>0</v>
      </c>
      <c r="H600" s="75" t="s">
        <v>10</v>
      </c>
    </row>
    <row r="601" spans="1:8" x14ac:dyDescent="0.25">
      <c r="A601" s="148">
        <v>44748</v>
      </c>
      <c r="B601" s="149" t="s">
        <v>21887</v>
      </c>
      <c r="C601" s="153" t="s">
        <v>45</v>
      </c>
      <c r="D601" s="154">
        <v>12792.3</v>
      </c>
      <c r="E601" s="155">
        <v>44748</v>
      </c>
      <c r="F601" s="154">
        <v>12792.3</v>
      </c>
      <c r="G601" s="156">
        <f>Tabla18[[#This Row],[Importe]]-Tabla18[[#This Row],[Pagado]]</f>
        <v>0</v>
      </c>
      <c r="H601" s="153" t="s">
        <v>10</v>
      </c>
    </row>
    <row r="602" spans="1:8" x14ac:dyDescent="0.25">
      <c r="A602" s="73">
        <v>44748</v>
      </c>
      <c r="B602" s="74" t="s">
        <v>21888</v>
      </c>
      <c r="C602" s="75" t="s">
        <v>204</v>
      </c>
      <c r="D602" s="81">
        <v>2413</v>
      </c>
      <c r="E602" s="151">
        <v>44748</v>
      </c>
      <c r="F602" s="81">
        <v>2413</v>
      </c>
      <c r="G602" s="156">
        <f>Tabla18[[#This Row],[Importe]]-Tabla18[[#This Row],[Pagado]]</f>
        <v>0</v>
      </c>
      <c r="H602" s="75" t="s">
        <v>10</v>
      </c>
    </row>
    <row r="603" spans="1:8" x14ac:dyDescent="0.25">
      <c r="A603" s="148">
        <v>44748</v>
      </c>
      <c r="B603" s="149" t="s">
        <v>21889</v>
      </c>
      <c r="C603" s="153" t="s">
        <v>53</v>
      </c>
      <c r="D603" s="154">
        <v>2310.1999999999998</v>
      </c>
      <c r="E603" s="155">
        <v>44748</v>
      </c>
      <c r="F603" s="154">
        <v>2310.1999999999998</v>
      </c>
      <c r="G603" s="156">
        <f>Tabla18[[#This Row],[Importe]]-Tabla18[[#This Row],[Pagado]]</f>
        <v>0</v>
      </c>
      <c r="H603" s="153" t="s">
        <v>10</v>
      </c>
    </row>
    <row r="604" spans="1:8" x14ac:dyDescent="0.25">
      <c r="A604" s="73">
        <v>44748</v>
      </c>
      <c r="B604" s="74" t="s">
        <v>21890</v>
      </c>
      <c r="C604" s="75" t="s">
        <v>291</v>
      </c>
      <c r="D604" s="81">
        <v>1149.5999999999999</v>
      </c>
      <c r="E604" s="151">
        <v>44749</v>
      </c>
      <c r="F604" s="81">
        <v>1149.5999999999999</v>
      </c>
      <c r="G604" s="156">
        <f>Tabla18[[#This Row],[Importe]]-Tabla18[[#This Row],[Pagado]]</f>
        <v>0</v>
      </c>
      <c r="H604" s="75" t="s">
        <v>10</v>
      </c>
    </row>
    <row r="605" spans="1:8" x14ac:dyDescent="0.25">
      <c r="A605" s="148">
        <v>44748</v>
      </c>
      <c r="B605" s="149" t="s">
        <v>21891</v>
      </c>
      <c r="C605" s="153" t="s">
        <v>214</v>
      </c>
      <c r="D605" s="154">
        <v>1260</v>
      </c>
      <c r="E605" s="155">
        <v>44748</v>
      </c>
      <c r="F605" s="154">
        <v>1260</v>
      </c>
      <c r="G605" s="156">
        <f>Tabla18[[#This Row],[Importe]]-Tabla18[[#This Row],[Pagado]]</f>
        <v>0</v>
      </c>
      <c r="H605" s="153" t="s">
        <v>10</v>
      </c>
    </row>
    <row r="606" spans="1:8" x14ac:dyDescent="0.25">
      <c r="A606" s="73">
        <v>44748</v>
      </c>
      <c r="B606" s="74" t="s">
        <v>21892</v>
      </c>
      <c r="C606" s="75" t="s">
        <v>196</v>
      </c>
      <c r="D606" s="81">
        <v>92642.6</v>
      </c>
      <c r="E606" s="151">
        <v>44750</v>
      </c>
      <c r="F606" s="81">
        <v>92642.6</v>
      </c>
      <c r="G606" s="156">
        <f>Tabla18[[#This Row],[Importe]]-Tabla18[[#This Row],[Pagado]]</f>
        <v>0</v>
      </c>
      <c r="H606" s="75" t="s">
        <v>10</v>
      </c>
    </row>
    <row r="607" spans="1:8" x14ac:dyDescent="0.25">
      <c r="A607" s="148">
        <v>44748</v>
      </c>
      <c r="B607" s="149" t="s">
        <v>21893</v>
      </c>
      <c r="C607" s="153" t="s">
        <v>562</v>
      </c>
      <c r="D607" s="154">
        <v>3984</v>
      </c>
      <c r="E607" s="155">
        <v>44748</v>
      </c>
      <c r="F607" s="154">
        <v>3984</v>
      </c>
      <c r="G607" s="156">
        <f>Tabla18[[#This Row],[Importe]]-Tabla18[[#This Row],[Pagado]]</f>
        <v>0</v>
      </c>
      <c r="H607" s="153" t="s">
        <v>10</v>
      </c>
    </row>
    <row r="608" spans="1:8" x14ac:dyDescent="0.25">
      <c r="A608" s="73">
        <v>44748</v>
      </c>
      <c r="B608" s="74" t="s">
        <v>21894</v>
      </c>
      <c r="C608" s="75" t="s">
        <v>198</v>
      </c>
      <c r="D608" s="81">
        <v>1053.4000000000001</v>
      </c>
      <c r="E608" s="151">
        <v>44748</v>
      </c>
      <c r="F608" s="81">
        <v>1053.4000000000001</v>
      </c>
      <c r="G608" s="156">
        <f>Tabla18[[#This Row],[Importe]]-Tabla18[[#This Row],[Pagado]]</f>
        <v>0</v>
      </c>
      <c r="H608" s="75" t="s">
        <v>10</v>
      </c>
    </row>
    <row r="609" spans="1:8" x14ac:dyDescent="0.25">
      <c r="A609" s="148">
        <v>44748</v>
      </c>
      <c r="B609" s="149" t="s">
        <v>21895</v>
      </c>
      <c r="C609" s="153" t="s">
        <v>312</v>
      </c>
      <c r="D609" s="154">
        <v>5047.5</v>
      </c>
      <c r="E609" s="155">
        <v>44748</v>
      </c>
      <c r="F609" s="154">
        <v>5047.5</v>
      </c>
      <c r="G609" s="156">
        <f>Tabla18[[#This Row],[Importe]]-Tabla18[[#This Row],[Pagado]]</f>
        <v>0</v>
      </c>
      <c r="H609" s="153" t="s">
        <v>10</v>
      </c>
    </row>
    <row r="610" spans="1:8" x14ac:dyDescent="0.25">
      <c r="A610" s="73">
        <v>44748</v>
      </c>
      <c r="B610" s="74" t="s">
        <v>21896</v>
      </c>
      <c r="C610" s="75" t="s">
        <v>200</v>
      </c>
      <c r="D610" s="81">
        <v>1317.6</v>
      </c>
      <c r="E610" s="151">
        <v>44748</v>
      </c>
      <c r="F610" s="81">
        <v>1317.6</v>
      </c>
      <c r="G610" s="156">
        <f>Tabla18[[#This Row],[Importe]]-Tabla18[[#This Row],[Pagado]]</f>
        <v>0</v>
      </c>
      <c r="H610" s="75" t="s">
        <v>10</v>
      </c>
    </row>
    <row r="611" spans="1:8" x14ac:dyDescent="0.25">
      <c r="A611" s="148">
        <v>44748</v>
      </c>
      <c r="B611" s="149" t="s">
        <v>21897</v>
      </c>
      <c r="C611" s="153" t="s">
        <v>555</v>
      </c>
      <c r="D611" s="154">
        <v>49152.32</v>
      </c>
      <c r="E611" s="155">
        <v>44748</v>
      </c>
      <c r="F611" s="154">
        <v>49152.32</v>
      </c>
      <c r="G611" s="156">
        <f>Tabla18[[#This Row],[Importe]]-Tabla18[[#This Row],[Pagado]]</f>
        <v>0</v>
      </c>
      <c r="H611" s="153" t="s">
        <v>10</v>
      </c>
    </row>
    <row r="612" spans="1:8" x14ac:dyDescent="0.25">
      <c r="A612" s="73">
        <v>44748</v>
      </c>
      <c r="B612" s="74" t="s">
        <v>21898</v>
      </c>
      <c r="C612" s="75" t="s">
        <v>179</v>
      </c>
      <c r="D612" s="81">
        <v>1252.8</v>
      </c>
      <c r="E612" s="151">
        <v>44748</v>
      </c>
      <c r="F612" s="81">
        <v>1252.8</v>
      </c>
      <c r="G612" s="156">
        <f>Tabla18[[#This Row],[Importe]]-Tabla18[[#This Row],[Pagado]]</f>
        <v>0</v>
      </c>
      <c r="H612" s="75" t="s">
        <v>10</v>
      </c>
    </row>
    <row r="613" spans="1:8" x14ac:dyDescent="0.25">
      <c r="A613" s="148">
        <v>44748</v>
      </c>
      <c r="B613" s="149" t="s">
        <v>21899</v>
      </c>
      <c r="C613" s="153" t="s">
        <v>191</v>
      </c>
      <c r="D613" s="154">
        <v>2395.8000000000002</v>
      </c>
      <c r="E613" s="155">
        <v>44748</v>
      </c>
      <c r="F613" s="154">
        <v>2395.8000000000002</v>
      </c>
      <c r="G613" s="156">
        <f>Tabla18[[#This Row],[Importe]]-Tabla18[[#This Row],[Pagado]]</f>
        <v>0</v>
      </c>
      <c r="H613" s="153" t="s">
        <v>10</v>
      </c>
    </row>
    <row r="614" spans="1:8" x14ac:dyDescent="0.25">
      <c r="A614" s="73">
        <v>44748</v>
      </c>
      <c r="B614" s="74" t="s">
        <v>21900</v>
      </c>
      <c r="C614" s="75" t="s">
        <v>31</v>
      </c>
      <c r="D614" s="81">
        <v>741.6</v>
      </c>
      <c r="E614" s="151">
        <v>44748</v>
      </c>
      <c r="F614" s="81">
        <v>741.6</v>
      </c>
      <c r="G614" s="156">
        <f>Tabla18[[#This Row],[Importe]]-Tabla18[[#This Row],[Pagado]]</f>
        <v>0</v>
      </c>
      <c r="H614" s="75" t="s">
        <v>10</v>
      </c>
    </row>
    <row r="615" spans="1:8" x14ac:dyDescent="0.25">
      <c r="A615" s="148">
        <v>44748</v>
      </c>
      <c r="B615" s="149" t="s">
        <v>21901</v>
      </c>
      <c r="C615" s="153" t="s">
        <v>4136</v>
      </c>
      <c r="D615" s="154">
        <v>2320.5</v>
      </c>
      <c r="E615" s="155">
        <v>44748</v>
      </c>
      <c r="F615" s="154">
        <v>2320.5</v>
      </c>
      <c r="G615" s="156">
        <f>Tabla18[[#This Row],[Importe]]-Tabla18[[#This Row],[Pagado]]</f>
        <v>0</v>
      </c>
      <c r="H615" s="153" t="s">
        <v>10</v>
      </c>
    </row>
    <row r="616" spans="1:8" x14ac:dyDescent="0.25">
      <c r="A616" s="73">
        <v>44748</v>
      </c>
      <c r="B616" s="74" t="s">
        <v>21902</v>
      </c>
      <c r="C616" s="75" t="s">
        <v>216</v>
      </c>
      <c r="D616" s="81">
        <v>1929.6</v>
      </c>
      <c r="E616" s="151">
        <v>44748</v>
      </c>
      <c r="F616" s="81">
        <v>1929.6</v>
      </c>
      <c r="G616" s="156">
        <f>Tabla18[[#This Row],[Importe]]-Tabla18[[#This Row],[Pagado]]</f>
        <v>0</v>
      </c>
      <c r="H616" s="75" t="s">
        <v>10</v>
      </c>
    </row>
    <row r="617" spans="1:8" x14ac:dyDescent="0.25">
      <c r="A617" s="148">
        <v>44748</v>
      </c>
      <c r="B617" s="149" t="s">
        <v>21903</v>
      </c>
      <c r="C617" s="153" t="s">
        <v>9827</v>
      </c>
      <c r="D617" s="154">
        <v>3837.6</v>
      </c>
      <c r="E617" s="155">
        <v>44748</v>
      </c>
      <c r="F617" s="154">
        <v>3837.6</v>
      </c>
      <c r="G617" s="156">
        <f>Tabla18[[#This Row],[Importe]]-Tabla18[[#This Row],[Pagado]]</f>
        <v>0</v>
      </c>
      <c r="H617" s="153" t="s">
        <v>10</v>
      </c>
    </row>
    <row r="618" spans="1:8" x14ac:dyDescent="0.25">
      <c r="A618" s="73">
        <v>44748</v>
      </c>
      <c r="B618" s="74" t="s">
        <v>21904</v>
      </c>
      <c r="C618" s="75" t="s">
        <v>3402</v>
      </c>
      <c r="D618" s="81">
        <v>897.6</v>
      </c>
      <c r="E618" s="151">
        <v>44748</v>
      </c>
      <c r="F618" s="81">
        <v>897.6</v>
      </c>
      <c r="G618" s="156">
        <f>Tabla18[[#This Row],[Importe]]-Tabla18[[#This Row],[Pagado]]</f>
        <v>0</v>
      </c>
      <c r="H618" s="75" t="s">
        <v>10</v>
      </c>
    </row>
    <row r="619" spans="1:8" x14ac:dyDescent="0.25">
      <c r="A619" s="148">
        <v>44748</v>
      </c>
      <c r="B619" s="149" t="s">
        <v>21905</v>
      </c>
      <c r="C619" s="153" t="s">
        <v>58</v>
      </c>
      <c r="D619" s="154">
        <v>3574.8</v>
      </c>
      <c r="E619" s="155">
        <v>44748</v>
      </c>
      <c r="F619" s="154">
        <v>3574.8</v>
      </c>
      <c r="G619" s="156">
        <f>Tabla18[[#This Row],[Importe]]-Tabla18[[#This Row],[Pagado]]</f>
        <v>0</v>
      </c>
      <c r="H619" s="153" t="s">
        <v>10</v>
      </c>
    </row>
    <row r="620" spans="1:8" x14ac:dyDescent="0.25">
      <c r="A620" s="73">
        <v>44748</v>
      </c>
      <c r="B620" s="74" t="s">
        <v>21906</v>
      </c>
      <c r="C620" s="75" t="s">
        <v>587</v>
      </c>
      <c r="D620" s="81">
        <v>6993.84</v>
      </c>
      <c r="E620" s="151">
        <v>44748</v>
      </c>
      <c r="F620" s="81">
        <v>6993.84</v>
      </c>
      <c r="G620" s="156">
        <f>Tabla18[[#This Row],[Importe]]-Tabla18[[#This Row],[Pagado]]</f>
        <v>0</v>
      </c>
      <c r="H620" s="75" t="s">
        <v>10</v>
      </c>
    </row>
    <row r="621" spans="1:8" x14ac:dyDescent="0.25">
      <c r="A621" s="148">
        <v>44748</v>
      </c>
      <c r="B621" s="149" t="s">
        <v>21907</v>
      </c>
      <c r="C621" s="153" t="s">
        <v>528</v>
      </c>
      <c r="D621" s="154">
        <v>42933.7</v>
      </c>
      <c r="E621" s="155">
        <v>44749</v>
      </c>
      <c r="F621" s="154">
        <v>42933.7</v>
      </c>
      <c r="G621" s="156">
        <f>Tabla18[[#This Row],[Importe]]-Tabla18[[#This Row],[Pagado]]</f>
        <v>0</v>
      </c>
      <c r="H621" s="153" t="s">
        <v>10</v>
      </c>
    </row>
    <row r="622" spans="1:8" x14ac:dyDescent="0.25">
      <c r="A622" s="73">
        <v>44748</v>
      </c>
      <c r="B622" s="74" t="s">
        <v>21908</v>
      </c>
      <c r="C622" s="75" t="s">
        <v>140</v>
      </c>
      <c r="D622" s="81">
        <v>5684.2</v>
      </c>
      <c r="E622" s="151">
        <v>44748</v>
      </c>
      <c r="F622" s="81">
        <v>5684.2</v>
      </c>
      <c r="G622" s="156">
        <f>Tabla18[[#This Row],[Importe]]-Tabla18[[#This Row],[Pagado]]</f>
        <v>0</v>
      </c>
      <c r="H622" s="75" t="s">
        <v>10</v>
      </c>
    </row>
    <row r="623" spans="1:8" x14ac:dyDescent="0.25">
      <c r="A623" s="148">
        <v>44748</v>
      </c>
      <c r="B623" s="149" t="s">
        <v>21909</v>
      </c>
      <c r="C623" s="153" t="s">
        <v>127</v>
      </c>
      <c r="D623" s="154">
        <v>6981.1</v>
      </c>
      <c r="E623" s="155">
        <v>44748</v>
      </c>
      <c r="F623" s="154">
        <v>6981.1</v>
      </c>
      <c r="G623" s="156">
        <f>Tabla18[[#This Row],[Importe]]-Tabla18[[#This Row],[Pagado]]</f>
        <v>0</v>
      </c>
      <c r="H623" s="153" t="s">
        <v>10</v>
      </c>
    </row>
    <row r="624" spans="1:8" x14ac:dyDescent="0.25">
      <c r="A624" s="73">
        <v>44748</v>
      </c>
      <c r="B624" s="74" t="s">
        <v>21910</v>
      </c>
      <c r="C624" s="75" t="s">
        <v>129</v>
      </c>
      <c r="D624" s="81">
        <v>2002.4</v>
      </c>
      <c r="E624" s="151">
        <v>44748</v>
      </c>
      <c r="F624" s="81">
        <v>2002.4</v>
      </c>
      <c r="G624" s="156">
        <f>Tabla18[[#This Row],[Importe]]-Tabla18[[#This Row],[Pagado]]</f>
        <v>0</v>
      </c>
      <c r="H624" s="75" t="s">
        <v>10</v>
      </c>
    </row>
    <row r="625" spans="1:8" x14ac:dyDescent="0.25">
      <c r="A625" s="148">
        <v>44748</v>
      </c>
      <c r="B625" s="149" t="s">
        <v>21911</v>
      </c>
      <c r="C625" s="153" t="s">
        <v>339</v>
      </c>
      <c r="D625" s="154">
        <v>614.20000000000005</v>
      </c>
      <c r="E625" s="155">
        <v>44748</v>
      </c>
      <c r="F625" s="154">
        <v>614.20000000000005</v>
      </c>
      <c r="G625" s="156">
        <f>Tabla18[[#This Row],[Importe]]-Tabla18[[#This Row],[Pagado]]</f>
        <v>0</v>
      </c>
      <c r="H625" s="153" t="s">
        <v>10</v>
      </c>
    </row>
    <row r="626" spans="1:8" x14ac:dyDescent="0.25">
      <c r="A626" s="73">
        <v>44748</v>
      </c>
      <c r="B626" s="74" t="s">
        <v>21912</v>
      </c>
      <c r="C626" s="75" t="s">
        <v>31</v>
      </c>
      <c r="D626" s="81">
        <v>2867.1</v>
      </c>
      <c r="E626" s="151">
        <v>44748</v>
      </c>
      <c r="F626" s="81">
        <v>2867.1</v>
      </c>
      <c r="G626" s="156">
        <f>Tabla18[[#This Row],[Importe]]-Tabla18[[#This Row],[Pagado]]</f>
        <v>0</v>
      </c>
      <c r="H626" s="75" t="s">
        <v>10</v>
      </c>
    </row>
    <row r="627" spans="1:8" x14ac:dyDescent="0.25">
      <c r="A627" s="148">
        <v>44748</v>
      </c>
      <c r="B627" s="149" t="s">
        <v>21913</v>
      </c>
      <c r="C627" s="153" t="s">
        <v>541</v>
      </c>
      <c r="D627" s="154">
        <v>76145.600000000006</v>
      </c>
      <c r="E627" s="155">
        <v>44749</v>
      </c>
      <c r="F627" s="154">
        <v>76145.600000000006</v>
      </c>
      <c r="G627" s="156">
        <f>Tabla18[[#This Row],[Importe]]-Tabla18[[#This Row],[Pagado]]</f>
        <v>0</v>
      </c>
      <c r="H627" s="153" t="s">
        <v>10</v>
      </c>
    </row>
    <row r="628" spans="1:8" x14ac:dyDescent="0.25">
      <c r="A628" s="73">
        <v>44748</v>
      </c>
      <c r="B628" s="74" t="s">
        <v>21914</v>
      </c>
      <c r="C628" s="75" t="s">
        <v>15868</v>
      </c>
      <c r="D628" s="81">
        <v>31644.7</v>
      </c>
      <c r="E628" s="151">
        <v>44749</v>
      </c>
      <c r="F628" s="81">
        <v>31644.7</v>
      </c>
      <c r="G628" s="156">
        <f>Tabla18[[#This Row],[Importe]]-Tabla18[[#This Row],[Pagado]]</f>
        <v>0</v>
      </c>
      <c r="H628" s="75" t="s">
        <v>10</v>
      </c>
    </row>
    <row r="629" spans="1:8" x14ac:dyDescent="0.25">
      <c r="A629" s="148">
        <v>44748</v>
      </c>
      <c r="B629" s="149" t="s">
        <v>21915</v>
      </c>
      <c r="C629" s="153" t="s">
        <v>698</v>
      </c>
      <c r="D629" s="154">
        <v>9602.9</v>
      </c>
      <c r="E629" s="155">
        <v>44748</v>
      </c>
      <c r="F629" s="154">
        <v>9602.9</v>
      </c>
      <c r="G629" s="156">
        <f>Tabla18[[#This Row],[Importe]]-Tabla18[[#This Row],[Pagado]]</f>
        <v>0</v>
      </c>
      <c r="H629" s="153" t="s">
        <v>10</v>
      </c>
    </row>
    <row r="630" spans="1:8" x14ac:dyDescent="0.25">
      <c r="A630" s="73">
        <v>44748</v>
      </c>
      <c r="B630" s="74" t="s">
        <v>21916</v>
      </c>
      <c r="C630" s="75" t="s">
        <v>15306</v>
      </c>
      <c r="D630" s="81">
        <v>8626.1</v>
      </c>
      <c r="E630" s="151">
        <v>44748</v>
      </c>
      <c r="F630" s="81">
        <v>8626.1</v>
      </c>
      <c r="G630" s="156">
        <f>Tabla18[[#This Row],[Importe]]-Tabla18[[#This Row],[Pagado]]</f>
        <v>0</v>
      </c>
      <c r="H630" s="75" t="s">
        <v>10</v>
      </c>
    </row>
    <row r="631" spans="1:8" x14ac:dyDescent="0.25">
      <c r="A631" s="148">
        <v>44748</v>
      </c>
      <c r="B631" s="149" t="s">
        <v>21917</v>
      </c>
      <c r="C631" s="153" t="s">
        <v>12</v>
      </c>
      <c r="D631" s="154">
        <v>1749.6</v>
      </c>
      <c r="E631" s="155">
        <v>44748</v>
      </c>
      <c r="F631" s="154">
        <v>1749.6</v>
      </c>
      <c r="G631" s="156">
        <f>Tabla18[[#This Row],[Importe]]-Tabla18[[#This Row],[Pagado]]</f>
        <v>0</v>
      </c>
      <c r="H631" s="153" t="s">
        <v>10</v>
      </c>
    </row>
    <row r="632" spans="1:8" x14ac:dyDescent="0.25">
      <c r="A632" s="73">
        <v>44748</v>
      </c>
      <c r="B632" s="74" t="s">
        <v>21918</v>
      </c>
      <c r="C632" s="75" t="s">
        <v>21919</v>
      </c>
      <c r="D632" s="81">
        <v>0</v>
      </c>
      <c r="E632" s="157" t="s">
        <v>189</v>
      </c>
      <c r="F632" s="81">
        <v>0</v>
      </c>
      <c r="G632" s="156">
        <f>Tabla18[[#This Row],[Importe]]-Tabla18[[#This Row],[Pagado]]</f>
        <v>0</v>
      </c>
      <c r="H632" s="75" t="s">
        <v>189</v>
      </c>
    </row>
    <row r="633" spans="1:8" x14ac:dyDescent="0.25">
      <c r="A633" s="148">
        <v>44748</v>
      </c>
      <c r="B633" s="149" t="s">
        <v>21920</v>
      </c>
      <c r="C633" s="153" t="s">
        <v>450</v>
      </c>
      <c r="D633" s="154">
        <v>9250</v>
      </c>
      <c r="E633" s="155">
        <v>44748</v>
      </c>
      <c r="F633" s="154">
        <v>9250</v>
      </c>
      <c r="G633" s="156">
        <f>Tabla18[[#This Row],[Importe]]-Tabla18[[#This Row],[Pagado]]</f>
        <v>0</v>
      </c>
      <c r="H633" s="153" t="s">
        <v>10</v>
      </c>
    </row>
    <row r="634" spans="1:8" x14ac:dyDescent="0.25">
      <c r="A634" s="73">
        <v>44748</v>
      </c>
      <c r="B634" s="74" t="s">
        <v>21921</v>
      </c>
      <c r="C634" s="75" t="s">
        <v>31</v>
      </c>
      <c r="D634" s="81">
        <v>2137.5</v>
      </c>
      <c r="E634" s="151">
        <v>44748</v>
      </c>
      <c r="F634" s="81">
        <v>2137.5</v>
      </c>
      <c r="G634" s="156">
        <f>Tabla18[[#This Row],[Importe]]-Tabla18[[#This Row],[Pagado]]</f>
        <v>0</v>
      </c>
      <c r="H634" s="75" t="s">
        <v>10</v>
      </c>
    </row>
    <row r="635" spans="1:8" x14ac:dyDescent="0.25">
      <c r="A635" s="148">
        <v>44748</v>
      </c>
      <c r="B635" s="149" t="s">
        <v>21922</v>
      </c>
      <c r="C635" s="153" t="s">
        <v>284</v>
      </c>
      <c r="D635" s="154">
        <v>7387.2</v>
      </c>
      <c r="E635" s="155">
        <v>44749</v>
      </c>
      <c r="F635" s="154">
        <v>7387.2</v>
      </c>
      <c r="G635" s="156">
        <f>Tabla18[[#This Row],[Importe]]-Tabla18[[#This Row],[Pagado]]</f>
        <v>0</v>
      </c>
      <c r="H635" s="153" t="s">
        <v>10</v>
      </c>
    </row>
    <row r="636" spans="1:8" x14ac:dyDescent="0.25">
      <c r="A636" s="73">
        <v>44748</v>
      </c>
      <c r="B636" s="74" t="s">
        <v>21923</v>
      </c>
      <c r="C636" s="75" t="s">
        <v>10190</v>
      </c>
      <c r="D636" s="81">
        <v>17942.400000000001</v>
      </c>
      <c r="E636" s="151">
        <v>44749</v>
      </c>
      <c r="F636" s="81">
        <v>17942.400000000001</v>
      </c>
      <c r="G636" s="156">
        <f>Tabla18[[#This Row],[Importe]]-Tabla18[[#This Row],[Pagado]]</f>
        <v>0</v>
      </c>
      <c r="H636" s="75" t="s">
        <v>10</v>
      </c>
    </row>
    <row r="637" spans="1:8" x14ac:dyDescent="0.25">
      <c r="A637" s="148">
        <v>44748</v>
      </c>
      <c r="B637" s="149" t="s">
        <v>21924</v>
      </c>
      <c r="C637" s="153" t="s">
        <v>21925</v>
      </c>
      <c r="D637" s="154">
        <v>0</v>
      </c>
      <c r="E637" s="158" t="s">
        <v>189</v>
      </c>
      <c r="F637" s="154">
        <v>0</v>
      </c>
      <c r="G637" s="156">
        <f>Tabla18[[#This Row],[Importe]]-Tabla18[[#This Row],[Pagado]]</f>
        <v>0</v>
      </c>
      <c r="H637" s="159" t="s">
        <v>21926</v>
      </c>
    </row>
    <row r="638" spans="1:8" x14ac:dyDescent="0.25">
      <c r="A638" s="73">
        <v>44748</v>
      </c>
      <c r="B638" s="74" t="s">
        <v>21927</v>
      </c>
      <c r="C638" s="75" t="s">
        <v>5345</v>
      </c>
      <c r="D638" s="81">
        <v>3146.4</v>
      </c>
      <c r="E638" s="151">
        <v>44749</v>
      </c>
      <c r="F638" s="81">
        <v>3146.4</v>
      </c>
      <c r="G638" s="156">
        <f>Tabla18[[#This Row],[Importe]]-Tabla18[[#This Row],[Pagado]]</f>
        <v>0</v>
      </c>
      <c r="H638" s="75" t="s">
        <v>10</v>
      </c>
    </row>
    <row r="639" spans="1:8" x14ac:dyDescent="0.25">
      <c r="A639" s="148">
        <v>44748</v>
      </c>
      <c r="B639" s="149" t="s">
        <v>21928</v>
      </c>
      <c r="C639" s="153" t="s">
        <v>282</v>
      </c>
      <c r="D639" s="154">
        <v>2109.6</v>
      </c>
      <c r="E639" s="155">
        <v>44749</v>
      </c>
      <c r="F639" s="154">
        <v>2109.6</v>
      </c>
      <c r="G639" s="156">
        <f>Tabla18[[#This Row],[Importe]]-Tabla18[[#This Row],[Pagado]]</f>
        <v>0</v>
      </c>
      <c r="H639" s="153" t="s">
        <v>10</v>
      </c>
    </row>
    <row r="640" spans="1:8" x14ac:dyDescent="0.25">
      <c r="A640" s="73">
        <v>44748</v>
      </c>
      <c r="B640" s="74" t="s">
        <v>21929</v>
      </c>
      <c r="C640" s="75" t="s">
        <v>275</v>
      </c>
      <c r="D640" s="81">
        <v>132928.42000000001</v>
      </c>
      <c r="E640" s="151">
        <v>44764</v>
      </c>
      <c r="F640" s="81">
        <v>132928.42000000001</v>
      </c>
      <c r="G640" s="156">
        <f>Tabla18[[#This Row],[Importe]]-Tabla18[[#This Row],[Pagado]]</f>
        <v>0</v>
      </c>
      <c r="H640" s="75" t="s">
        <v>10</v>
      </c>
    </row>
    <row r="641" spans="1:8" x14ac:dyDescent="0.25">
      <c r="A641" s="148">
        <v>44748</v>
      </c>
      <c r="B641" s="149" t="s">
        <v>21930</v>
      </c>
      <c r="C641" s="153" t="s">
        <v>9577</v>
      </c>
      <c r="D641" s="154">
        <v>280</v>
      </c>
      <c r="E641" s="155">
        <v>44749</v>
      </c>
      <c r="F641" s="154">
        <v>280</v>
      </c>
      <c r="G641" s="156">
        <f>Tabla18[[#This Row],[Importe]]-Tabla18[[#This Row],[Pagado]]</f>
        <v>0</v>
      </c>
      <c r="H641" s="153" t="s">
        <v>10</v>
      </c>
    </row>
    <row r="642" spans="1:8" x14ac:dyDescent="0.25">
      <c r="A642" s="73">
        <v>44748</v>
      </c>
      <c r="B642" s="74" t="s">
        <v>21931</v>
      </c>
      <c r="C642" s="75" t="s">
        <v>9577</v>
      </c>
      <c r="D642" s="81">
        <v>6839.6</v>
      </c>
      <c r="E642" s="151">
        <v>44749</v>
      </c>
      <c r="F642" s="81">
        <v>6839.6</v>
      </c>
      <c r="G642" s="156">
        <f>Tabla18[[#This Row],[Importe]]-Tabla18[[#This Row],[Pagado]]</f>
        <v>0</v>
      </c>
      <c r="H642" s="75" t="s">
        <v>10</v>
      </c>
    </row>
    <row r="643" spans="1:8" x14ac:dyDescent="0.25">
      <c r="A643" s="148">
        <v>44748</v>
      </c>
      <c r="B643" s="149" t="s">
        <v>21932</v>
      </c>
      <c r="C643" s="153" t="s">
        <v>9577</v>
      </c>
      <c r="D643" s="154">
        <v>20084.8</v>
      </c>
      <c r="E643" s="155">
        <v>44749</v>
      </c>
      <c r="F643" s="154">
        <v>20084.8</v>
      </c>
      <c r="G643" s="156">
        <f>Tabla18[[#This Row],[Importe]]-Tabla18[[#This Row],[Pagado]]</f>
        <v>0</v>
      </c>
      <c r="H643" s="153" t="s">
        <v>10</v>
      </c>
    </row>
    <row r="644" spans="1:8" x14ac:dyDescent="0.25">
      <c r="A644" s="73">
        <v>44748</v>
      </c>
      <c r="B644" s="74" t="s">
        <v>21933</v>
      </c>
      <c r="C644" s="75" t="s">
        <v>53</v>
      </c>
      <c r="D644" s="81">
        <v>2064.4</v>
      </c>
      <c r="E644" s="151">
        <v>44748</v>
      </c>
      <c r="F644" s="81">
        <v>2064.4</v>
      </c>
      <c r="G644" s="156">
        <f>Tabla18[[#This Row],[Importe]]-Tabla18[[#This Row],[Pagado]]</f>
        <v>0</v>
      </c>
      <c r="H644" s="75" t="s">
        <v>10</v>
      </c>
    </row>
    <row r="645" spans="1:8" x14ac:dyDescent="0.25">
      <c r="A645" s="148">
        <v>44748</v>
      </c>
      <c r="B645" s="149" t="s">
        <v>21934</v>
      </c>
      <c r="C645" s="153" t="s">
        <v>53</v>
      </c>
      <c r="D645" s="154">
        <v>562.4</v>
      </c>
      <c r="E645" s="155">
        <v>44748</v>
      </c>
      <c r="F645" s="154">
        <v>562.4</v>
      </c>
      <c r="G645" s="156">
        <f>Tabla18[[#This Row],[Importe]]-Tabla18[[#This Row],[Pagado]]</f>
        <v>0</v>
      </c>
      <c r="H645" s="153" t="s">
        <v>10</v>
      </c>
    </row>
    <row r="646" spans="1:8" x14ac:dyDescent="0.25">
      <c r="A646" s="73">
        <v>44748</v>
      </c>
      <c r="B646" s="74" t="s">
        <v>21935</v>
      </c>
      <c r="C646" s="75" t="s">
        <v>296</v>
      </c>
      <c r="D646" s="81">
        <v>1139.5999999999999</v>
      </c>
      <c r="E646" s="151">
        <v>44748</v>
      </c>
      <c r="F646" s="81">
        <v>1139.5999999999999</v>
      </c>
      <c r="G646" s="156">
        <f>Tabla18[[#This Row],[Importe]]-Tabla18[[#This Row],[Pagado]]</f>
        <v>0</v>
      </c>
      <c r="H646" s="75" t="s">
        <v>10</v>
      </c>
    </row>
    <row r="647" spans="1:8" x14ac:dyDescent="0.25">
      <c r="A647" s="148">
        <v>44748</v>
      </c>
      <c r="B647" s="149" t="s">
        <v>21936</v>
      </c>
      <c r="C647" s="153" t="s">
        <v>69</v>
      </c>
      <c r="D647" s="154">
        <v>1908</v>
      </c>
      <c r="E647" s="155">
        <v>44748</v>
      </c>
      <c r="F647" s="154">
        <v>1908</v>
      </c>
      <c r="G647" s="156">
        <f>Tabla18[[#This Row],[Importe]]-Tabla18[[#This Row],[Pagado]]</f>
        <v>0</v>
      </c>
      <c r="H647" s="153" t="s">
        <v>10</v>
      </c>
    </row>
    <row r="648" spans="1:8" x14ac:dyDescent="0.25">
      <c r="A648" s="73">
        <v>44748</v>
      </c>
      <c r="B648" s="74" t="s">
        <v>21937</v>
      </c>
      <c r="C648" s="75" t="s">
        <v>461</v>
      </c>
      <c r="D648" s="81">
        <v>400</v>
      </c>
      <c r="E648" s="151">
        <v>44748</v>
      </c>
      <c r="F648" s="81">
        <v>400</v>
      </c>
      <c r="G648" s="156">
        <f>Tabla18[[#This Row],[Importe]]-Tabla18[[#This Row],[Pagado]]</f>
        <v>0</v>
      </c>
      <c r="H648" s="75" t="s">
        <v>10</v>
      </c>
    </row>
    <row r="649" spans="1:8" x14ac:dyDescent="0.25">
      <c r="A649" s="148">
        <v>44748</v>
      </c>
      <c r="B649" s="149" t="s">
        <v>21938</v>
      </c>
      <c r="C649" s="153" t="s">
        <v>31</v>
      </c>
      <c r="D649" s="154">
        <v>1925</v>
      </c>
      <c r="E649" s="155">
        <v>44748</v>
      </c>
      <c r="F649" s="154">
        <v>1925</v>
      </c>
      <c r="G649" s="156">
        <f>Tabla18[[#This Row],[Importe]]-Tabla18[[#This Row],[Pagado]]</f>
        <v>0</v>
      </c>
      <c r="H649" s="153" t="s">
        <v>10</v>
      </c>
    </row>
    <row r="650" spans="1:8" x14ac:dyDescent="0.25">
      <c r="A650" s="73">
        <v>44748</v>
      </c>
      <c r="B650" s="74" t="s">
        <v>21939</v>
      </c>
      <c r="C650" s="75" t="s">
        <v>610</v>
      </c>
      <c r="D650" s="81">
        <v>23225.599999999999</v>
      </c>
      <c r="E650" s="151">
        <v>44748</v>
      </c>
      <c r="F650" s="81">
        <v>23225.599999999999</v>
      </c>
      <c r="G650" s="156">
        <f>Tabla18[[#This Row],[Importe]]-Tabla18[[#This Row],[Pagado]]</f>
        <v>0</v>
      </c>
      <c r="H650" s="75" t="s">
        <v>10</v>
      </c>
    </row>
    <row r="651" spans="1:8" x14ac:dyDescent="0.25">
      <c r="A651" s="148">
        <v>44748</v>
      </c>
      <c r="B651" s="149" t="s">
        <v>21940</v>
      </c>
      <c r="C651" s="153" t="s">
        <v>612</v>
      </c>
      <c r="D651" s="154">
        <v>692.4</v>
      </c>
      <c r="E651" s="155">
        <v>44748</v>
      </c>
      <c r="F651" s="154">
        <v>692.4</v>
      </c>
      <c r="G651" s="156">
        <f>Tabla18[[#This Row],[Importe]]-Tabla18[[#This Row],[Pagado]]</f>
        <v>0</v>
      </c>
      <c r="H651" s="153" t="s">
        <v>10</v>
      </c>
    </row>
    <row r="652" spans="1:8" x14ac:dyDescent="0.25">
      <c r="A652" s="73">
        <v>44748</v>
      </c>
      <c r="B652" s="74" t="s">
        <v>21941</v>
      </c>
      <c r="C652" s="75" t="s">
        <v>31</v>
      </c>
      <c r="D652" s="81">
        <v>152</v>
      </c>
      <c r="E652" s="151">
        <v>44748</v>
      </c>
      <c r="F652" s="81">
        <v>152</v>
      </c>
      <c r="G652" s="156">
        <f>Tabla18[[#This Row],[Importe]]-Tabla18[[#This Row],[Pagado]]</f>
        <v>0</v>
      </c>
      <c r="H652" s="75" t="s">
        <v>10</v>
      </c>
    </row>
    <row r="653" spans="1:8" x14ac:dyDescent="0.25">
      <c r="A653" s="148">
        <v>44748</v>
      </c>
      <c r="B653" s="149" t="s">
        <v>21942</v>
      </c>
      <c r="C653" s="153" t="s">
        <v>107</v>
      </c>
      <c r="D653" s="154">
        <v>660</v>
      </c>
      <c r="E653" s="155">
        <v>44748</v>
      </c>
      <c r="F653" s="154">
        <v>660</v>
      </c>
      <c r="G653" s="156">
        <f>Tabla18[[#This Row],[Importe]]-Tabla18[[#This Row],[Pagado]]</f>
        <v>0</v>
      </c>
      <c r="H653" s="153" t="s">
        <v>10</v>
      </c>
    </row>
    <row r="654" spans="1:8" x14ac:dyDescent="0.25">
      <c r="A654" s="73">
        <v>44748</v>
      </c>
      <c r="B654" s="74" t="s">
        <v>21943</v>
      </c>
      <c r="C654" s="75" t="s">
        <v>289</v>
      </c>
      <c r="D654" s="81">
        <v>7708.8</v>
      </c>
      <c r="E654" s="151">
        <v>44749</v>
      </c>
      <c r="F654" s="81">
        <v>7708.8</v>
      </c>
      <c r="G654" s="156">
        <f>Tabla18[[#This Row],[Importe]]-Tabla18[[#This Row],[Pagado]]</f>
        <v>0</v>
      </c>
      <c r="H654" s="75" t="s">
        <v>10</v>
      </c>
    </row>
    <row r="655" spans="1:8" x14ac:dyDescent="0.25">
      <c r="A655" s="148">
        <v>44748</v>
      </c>
      <c r="B655" s="149" t="s">
        <v>21944</v>
      </c>
      <c r="C655" s="153" t="s">
        <v>53</v>
      </c>
      <c r="D655" s="154">
        <v>1265.4000000000001</v>
      </c>
      <c r="E655" s="155">
        <v>44749</v>
      </c>
      <c r="F655" s="154">
        <v>1265.4000000000001</v>
      </c>
      <c r="G655" s="156">
        <f>Tabla18[[#This Row],[Importe]]-Tabla18[[#This Row],[Pagado]]</f>
        <v>0</v>
      </c>
      <c r="H655" s="153" t="s">
        <v>10</v>
      </c>
    </row>
    <row r="656" spans="1:8" x14ac:dyDescent="0.25">
      <c r="A656" s="73">
        <v>44748</v>
      </c>
      <c r="B656" s="74" t="s">
        <v>21945</v>
      </c>
      <c r="C656" s="75" t="s">
        <v>31</v>
      </c>
      <c r="D656" s="81">
        <v>2366.8000000000002</v>
      </c>
      <c r="E656" s="151">
        <v>44749</v>
      </c>
      <c r="F656" s="81">
        <v>2366.8000000000002</v>
      </c>
      <c r="G656" s="156">
        <f>Tabla18[[#This Row],[Importe]]-Tabla18[[#This Row],[Pagado]]</f>
        <v>0</v>
      </c>
      <c r="H656" s="75" t="s">
        <v>10</v>
      </c>
    </row>
    <row r="657" spans="1:8" x14ac:dyDescent="0.25">
      <c r="A657" s="148">
        <v>44748</v>
      </c>
      <c r="B657" s="149" t="s">
        <v>21946</v>
      </c>
      <c r="C657" s="153" t="s">
        <v>6405</v>
      </c>
      <c r="D657" s="154">
        <v>1.56</v>
      </c>
      <c r="E657" s="155">
        <v>44757</v>
      </c>
      <c r="F657" s="154">
        <v>1.56</v>
      </c>
      <c r="G657" s="156">
        <f>Tabla18[[#This Row],[Importe]]-Tabla18[[#This Row],[Pagado]]</f>
        <v>0</v>
      </c>
      <c r="H657" s="153" t="s">
        <v>10</v>
      </c>
    </row>
    <row r="658" spans="1:8" x14ac:dyDescent="0.25">
      <c r="A658" s="73">
        <v>44748</v>
      </c>
      <c r="B658" s="74" t="s">
        <v>21947</v>
      </c>
      <c r="C658" s="75" t="s">
        <v>605</v>
      </c>
      <c r="D658" s="81">
        <v>49012.7</v>
      </c>
      <c r="E658" s="151">
        <v>44749</v>
      </c>
      <c r="F658" s="81">
        <v>49012.7</v>
      </c>
      <c r="G658" s="156">
        <f>Tabla18[[#This Row],[Importe]]-Tabla18[[#This Row],[Pagado]]</f>
        <v>0</v>
      </c>
      <c r="H658" s="75" t="s">
        <v>10</v>
      </c>
    </row>
    <row r="659" spans="1:8" x14ac:dyDescent="0.25">
      <c r="A659" s="148">
        <v>44748</v>
      </c>
      <c r="B659" s="149" t="s">
        <v>21948</v>
      </c>
      <c r="C659" s="153" t="s">
        <v>11383</v>
      </c>
      <c r="D659" s="154">
        <v>37001.599999999999</v>
      </c>
      <c r="E659" s="155">
        <v>44749</v>
      </c>
      <c r="F659" s="154">
        <v>37001.599999999999</v>
      </c>
      <c r="G659" s="156">
        <f>Tabla18[[#This Row],[Importe]]-Tabla18[[#This Row],[Pagado]]</f>
        <v>0</v>
      </c>
      <c r="H659" s="153" t="s">
        <v>10</v>
      </c>
    </row>
    <row r="660" spans="1:8" x14ac:dyDescent="0.25">
      <c r="A660" s="73">
        <v>44749</v>
      </c>
      <c r="B660" s="74" t="s">
        <v>21949</v>
      </c>
      <c r="C660" s="75" t="s">
        <v>618</v>
      </c>
      <c r="D660" s="81">
        <v>10108.4</v>
      </c>
      <c r="E660" s="151">
        <v>44749</v>
      </c>
      <c r="F660" s="81">
        <v>10108.4</v>
      </c>
      <c r="G660" s="156">
        <f>Tabla18[[#This Row],[Importe]]-Tabla18[[#This Row],[Pagado]]</f>
        <v>0</v>
      </c>
      <c r="H660" s="75" t="s">
        <v>10</v>
      </c>
    </row>
    <row r="661" spans="1:8" x14ac:dyDescent="0.25">
      <c r="A661" s="148">
        <v>44749</v>
      </c>
      <c r="B661" s="149" t="s">
        <v>21950</v>
      </c>
      <c r="C661" s="153" t="s">
        <v>473</v>
      </c>
      <c r="D661" s="154">
        <v>12064.9</v>
      </c>
      <c r="E661" s="155">
        <v>44749</v>
      </c>
      <c r="F661" s="154">
        <v>12064.9</v>
      </c>
      <c r="G661" s="156">
        <f>Tabla18[[#This Row],[Importe]]-Tabla18[[#This Row],[Pagado]]</f>
        <v>0</v>
      </c>
      <c r="H661" s="153" t="s">
        <v>10</v>
      </c>
    </row>
    <row r="662" spans="1:8" x14ac:dyDescent="0.25">
      <c r="A662" s="73">
        <v>44749</v>
      </c>
      <c r="B662" s="74" t="s">
        <v>21951</v>
      </c>
      <c r="C662" s="75" t="s">
        <v>75</v>
      </c>
      <c r="D662" s="81">
        <v>7272</v>
      </c>
      <c r="E662" s="151">
        <v>44749</v>
      </c>
      <c r="F662" s="81">
        <v>7272</v>
      </c>
      <c r="G662" s="156">
        <f>Tabla18[[#This Row],[Importe]]-Tabla18[[#This Row],[Pagado]]</f>
        <v>0</v>
      </c>
      <c r="H662" s="75" t="s">
        <v>10</v>
      </c>
    </row>
    <row r="663" spans="1:8" x14ac:dyDescent="0.25">
      <c r="A663" s="148">
        <v>44749</v>
      </c>
      <c r="B663" s="149" t="s">
        <v>21952</v>
      </c>
      <c r="C663" s="153" t="s">
        <v>87</v>
      </c>
      <c r="D663" s="154">
        <v>3993.2</v>
      </c>
      <c r="E663" s="155">
        <v>44749</v>
      </c>
      <c r="F663" s="154">
        <v>3993.2</v>
      </c>
      <c r="G663" s="156">
        <f>Tabla18[[#This Row],[Importe]]-Tabla18[[#This Row],[Pagado]]</f>
        <v>0</v>
      </c>
      <c r="H663" s="153" t="s">
        <v>10</v>
      </c>
    </row>
    <row r="664" spans="1:8" x14ac:dyDescent="0.25">
      <c r="A664" s="73">
        <v>44749</v>
      </c>
      <c r="B664" s="74" t="s">
        <v>21953</v>
      </c>
      <c r="C664" s="75" t="s">
        <v>475</v>
      </c>
      <c r="D664" s="81">
        <v>84448</v>
      </c>
      <c r="E664" s="151">
        <v>44750</v>
      </c>
      <c r="F664" s="81">
        <v>84448</v>
      </c>
      <c r="G664" s="156">
        <f>Tabla18[[#This Row],[Importe]]-Tabla18[[#This Row],[Pagado]]</f>
        <v>0</v>
      </c>
      <c r="H664" s="75" t="s">
        <v>10</v>
      </c>
    </row>
    <row r="665" spans="1:8" x14ac:dyDescent="0.25">
      <c r="A665" s="148">
        <v>44749</v>
      </c>
      <c r="B665" s="149" t="s">
        <v>21954</v>
      </c>
      <c r="C665" s="153" t="s">
        <v>95</v>
      </c>
      <c r="D665" s="154">
        <v>31448</v>
      </c>
      <c r="E665" s="155">
        <v>44749</v>
      </c>
      <c r="F665" s="154">
        <v>31448</v>
      </c>
      <c r="G665" s="156">
        <f>Tabla18[[#This Row],[Importe]]-Tabla18[[#This Row],[Pagado]]</f>
        <v>0</v>
      </c>
      <c r="H665" s="153" t="s">
        <v>10</v>
      </c>
    </row>
    <row r="666" spans="1:8" ht="31.5" x14ac:dyDescent="0.25">
      <c r="A666" s="73">
        <v>44749</v>
      </c>
      <c r="B666" s="74" t="s">
        <v>21955</v>
      </c>
      <c r="C666" s="75" t="s">
        <v>22</v>
      </c>
      <c r="D666" s="81">
        <v>73368</v>
      </c>
      <c r="E666" s="147" t="s">
        <v>21956</v>
      </c>
      <c r="F666" s="81">
        <f>62000+11368</f>
        <v>73368</v>
      </c>
      <c r="G666" s="156">
        <f>Tabla18[[#This Row],[Importe]]-Tabla18[[#This Row],[Pagado]]</f>
        <v>0</v>
      </c>
      <c r="H666" s="75" t="s">
        <v>10</v>
      </c>
    </row>
    <row r="667" spans="1:8" x14ac:dyDescent="0.25">
      <c r="A667" s="148">
        <v>44749</v>
      </c>
      <c r="B667" s="149" t="s">
        <v>21957</v>
      </c>
      <c r="C667" s="153" t="s">
        <v>20</v>
      </c>
      <c r="D667" s="154">
        <v>2365</v>
      </c>
      <c r="E667" s="155">
        <v>44749</v>
      </c>
      <c r="F667" s="154">
        <v>2365</v>
      </c>
      <c r="G667" s="156">
        <f>Tabla18[[#This Row],[Importe]]-Tabla18[[#This Row],[Pagado]]</f>
        <v>0</v>
      </c>
      <c r="H667" s="153" t="s">
        <v>10</v>
      </c>
    </row>
    <row r="668" spans="1:8" x14ac:dyDescent="0.25">
      <c r="A668" s="73">
        <v>44749</v>
      </c>
      <c r="B668" s="74" t="s">
        <v>21958</v>
      </c>
      <c r="C668" s="75" t="s">
        <v>64</v>
      </c>
      <c r="D668" s="81">
        <v>5580.8</v>
      </c>
      <c r="E668" s="151">
        <v>44750</v>
      </c>
      <c r="F668" s="81">
        <v>5580.8</v>
      </c>
      <c r="G668" s="156">
        <f>Tabla18[[#This Row],[Importe]]-Tabla18[[#This Row],[Pagado]]</f>
        <v>0</v>
      </c>
      <c r="H668" s="75" t="s">
        <v>10</v>
      </c>
    </row>
    <row r="669" spans="1:8" x14ac:dyDescent="0.25">
      <c r="A669" s="148">
        <v>44749</v>
      </c>
      <c r="B669" s="149" t="s">
        <v>21959</v>
      </c>
      <c r="C669" s="153" t="s">
        <v>114</v>
      </c>
      <c r="D669" s="154">
        <v>5852.8</v>
      </c>
      <c r="E669" s="155">
        <v>44751</v>
      </c>
      <c r="F669" s="154">
        <v>5852.8</v>
      </c>
      <c r="G669" s="156">
        <f>Tabla18[[#This Row],[Importe]]-Tabla18[[#This Row],[Pagado]]</f>
        <v>0</v>
      </c>
      <c r="H669" s="153" t="s">
        <v>10</v>
      </c>
    </row>
    <row r="670" spans="1:8" x14ac:dyDescent="0.25">
      <c r="A670" s="73">
        <v>44749</v>
      </c>
      <c r="B670" s="74" t="s">
        <v>21960</v>
      </c>
      <c r="C670" s="75" t="s">
        <v>116</v>
      </c>
      <c r="D670" s="81">
        <v>1461.6</v>
      </c>
      <c r="E670" s="151">
        <v>44750</v>
      </c>
      <c r="F670" s="81">
        <v>1461.6</v>
      </c>
      <c r="G670" s="156">
        <f>Tabla18[[#This Row],[Importe]]-Tabla18[[#This Row],[Pagado]]</f>
        <v>0</v>
      </c>
      <c r="H670" s="75" t="s">
        <v>10</v>
      </c>
    </row>
    <row r="671" spans="1:8" x14ac:dyDescent="0.25">
      <c r="A671" s="148">
        <v>44749</v>
      </c>
      <c r="B671" s="149" t="s">
        <v>21961</v>
      </c>
      <c r="C671" s="153" t="s">
        <v>97</v>
      </c>
      <c r="D671" s="154">
        <v>5465.6</v>
      </c>
      <c r="E671" s="155">
        <v>44750</v>
      </c>
      <c r="F671" s="154">
        <v>5465.6</v>
      </c>
      <c r="G671" s="156">
        <f>Tabla18[[#This Row],[Importe]]-Tabla18[[#This Row],[Pagado]]</f>
        <v>0</v>
      </c>
      <c r="H671" s="153" t="s">
        <v>10</v>
      </c>
    </row>
    <row r="672" spans="1:8" x14ac:dyDescent="0.25">
      <c r="A672" s="73">
        <v>44749</v>
      </c>
      <c r="B672" s="74" t="s">
        <v>21962</v>
      </c>
      <c r="C672" s="75" t="s">
        <v>89</v>
      </c>
      <c r="D672" s="81">
        <v>7828.8</v>
      </c>
      <c r="E672" s="151">
        <v>44750</v>
      </c>
      <c r="F672" s="81">
        <v>7828.8</v>
      </c>
      <c r="G672" s="156">
        <f>Tabla18[[#This Row],[Importe]]-Tabla18[[#This Row],[Pagado]]</f>
        <v>0</v>
      </c>
      <c r="H672" s="75" t="s">
        <v>10</v>
      </c>
    </row>
    <row r="673" spans="1:8" x14ac:dyDescent="0.25">
      <c r="A673" s="148">
        <v>44749</v>
      </c>
      <c r="B673" s="149" t="s">
        <v>21963</v>
      </c>
      <c r="C673" s="153" t="s">
        <v>99</v>
      </c>
      <c r="D673" s="154">
        <v>2357.9</v>
      </c>
      <c r="E673" s="155">
        <v>44750</v>
      </c>
      <c r="F673" s="154">
        <v>2357.9</v>
      </c>
      <c r="G673" s="156">
        <f>Tabla18[[#This Row],[Importe]]-Tabla18[[#This Row],[Pagado]]</f>
        <v>0</v>
      </c>
      <c r="H673" s="153" t="s">
        <v>10</v>
      </c>
    </row>
    <row r="674" spans="1:8" x14ac:dyDescent="0.25">
      <c r="A674" s="73">
        <v>44749</v>
      </c>
      <c r="B674" s="74" t="s">
        <v>21964</v>
      </c>
      <c r="C674" s="75" t="s">
        <v>10742</v>
      </c>
      <c r="D674" s="81">
        <v>5523.2</v>
      </c>
      <c r="E674" s="151">
        <v>44751</v>
      </c>
      <c r="F674" s="81">
        <v>5523.2</v>
      </c>
      <c r="G674" s="156">
        <f>Tabla18[[#This Row],[Importe]]-Tabla18[[#This Row],[Pagado]]</f>
        <v>0</v>
      </c>
      <c r="H674" s="75" t="s">
        <v>10</v>
      </c>
    </row>
    <row r="675" spans="1:8" ht="31.5" x14ac:dyDescent="0.25">
      <c r="A675" s="148">
        <v>44749</v>
      </c>
      <c r="B675" s="149" t="s">
        <v>21965</v>
      </c>
      <c r="C675" s="153" t="s">
        <v>93</v>
      </c>
      <c r="D675" s="154">
        <v>8372.4</v>
      </c>
      <c r="E675" s="150" t="s">
        <v>21956</v>
      </c>
      <c r="F675" s="154">
        <f>3000+5372.4</f>
        <v>8372.4</v>
      </c>
      <c r="G675" s="156">
        <f>Tabla18[[#This Row],[Importe]]-Tabla18[[#This Row],[Pagado]]</f>
        <v>0</v>
      </c>
      <c r="H675" s="153" t="s">
        <v>10</v>
      </c>
    </row>
    <row r="676" spans="1:8" x14ac:dyDescent="0.25">
      <c r="A676" s="73">
        <v>44749</v>
      </c>
      <c r="B676" s="74" t="s">
        <v>21966</v>
      </c>
      <c r="C676" s="75" t="s">
        <v>22</v>
      </c>
      <c r="D676" s="81">
        <v>5712</v>
      </c>
      <c r="E676" s="151">
        <v>44750</v>
      </c>
      <c r="F676" s="81">
        <v>5712</v>
      </c>
      <c r="G676" s="156">
        <f>Tabla18[[#This Row],[Importe]]-Tabla18[[#This Row],[Pagado]]</f>
        <v>0</v>
      </c>
      <c r="H676" s="75" t="s">
        <v>10</v>
      </c>
    </row>
    <row r="677" spans="1:8" x14ac:dyDescent="0.25">
      <c r="A677" s="148">
        <v>44749</v>
      </c>
      <c r="B677" s="149" t="s">
        <v>21967</v>
      </c>
      <c r="C677" s="153" t="s">
        <v>105</v>
      </c>
      <c r="D677" s="154">
        <v>9283.4</v>
      </c>
      <c r="E677" s="155">
        <v>44750</v>
      </c>
      <c r="F677" s="154">
        <v>9283.4</v>
      </c>
      <c r="G677" s="156">
        <f>Tabla18[[#This Row],[Importe]]-Tabla18[[#This Row],[Pagado]]</f>
        <v>0</v>
      </c>
      <c r="H677" s="153" t="s">
        <v>10</v>
      </c>
    </row>
    <row r="678" spans="1:8" x14ac:dyDescent="0.25">
      <c r="A678" s="73">
        <v>44749</v>
      </c>
      <c r="B678" s="74" t="s">
        <v>21968</v>
      </c>
      <c r="C678" s="75" t="s">
        <v>353</v>
      </c>
      <c r="D678" s="81">
        <v>1986.6</v>
      </c>
      <c r="E678" s="151">
        <v>44749</v>
      </c>
      <c r="F678" s="81">
        <v>1986.6</v>
      </c>
      <c r="G678" s="156">
        <f>Tabla18[[#This Row],[Importe]]-Tabla18[[#This Row],[Pagado]]</f>
        <v>0</v>
      </c>
      <c r="H678" s="75" t="s">
        <v>10</v>
      </c>
    </row>
    <row r="679" spans="1:8" x14ac:dyDescent="0.25">
      <c r="A679" s="148">
        <v>44749</v>
      </c>
      <c r="B679" s="149" t="s">
        <v>21969</v>
      </c>
      <c r="C679" s="153" t="s">
        <v>481</v>
      </c>
      <c r="D679" s="154">
        <v>822.6</v>
      </c>
      <c r="E679" s="155">
        <v>44749</v>
      </c>
      <c r="F679" s="154">
        <v>822.6</v>
      </c>
      <c r="G679" s="156">
        <f>Tabla18[[#This Row],[Importe]]-Tabla18[[#This Row],[Pagado]]</f>
        <v>0</v>
      </c>
      <c r="H679" s="153" t="s">
        <v>10</v>
      </c>
    </row>
    <row r="680" spans="1:8" x14ac:dyDescent="0.25">
      <c r="A680" s="73">
        <v>44749</v>
      </c>
      <c r="B680" s="74" t="s">
        <v>21970</v>
      </c>
      <c r="C680" s="75" t="s">
        <v>348</v>
      </c>
      <c r="D680" s="81">
        <v>3477.6</v>
      </c>
      <c r="E680" s="151">
        <v>44749</v>
      </c>
      <c r="F680" s="81">
        <v>3477.6</v>
      </c>
      <c r="G680" s="156">
        <f>Tabla18[[#This Row],[Importe]]-Tabla18[[#This Row],[Pagado]]</f>
        <v>0</v>
      </c>
      <c r="H680" s="75" t="s">
        <v>10</v>
      </c>
    </row>
    <row r="681" spans="1:8" x14ac:dyDescent="0.25">
      <c r="A681" s="148">
        <v>44749</v>
      </c>
      <c r="B681" s="149" t="s">
        <v>21971</v>
      </c>
      <c r="C681" s="153" t="s">
        <v>326</v>
      </c>
      <c r="D681" s="154">
        <v>5580.8</v>
      </c>
      <c r="E681" s="155">
        <v>44751</v>
      </c>
      <c r="F681" s="154">
        <v>5580.8</v>
      </c>
      <c r="G681" s="156">
        <f>Tabla18[[#This Row],[Importe]]-Tabla18[[#This Row],[Pagado]]</f>
        <v>0</v>
      </c>
      <c r="H681" s="153" t="s">
        <v>10</v>
      </c>
    </row>
    <row r="682" spans="1:8" x14ac:dyDescent="0.25">
      <c r="A682" s="73">
        <v>44749</v>
      </c>
      <c r="B682" s="74" t="s">
        <v>21972</v>
      </c>
      <c r="C682" s="75" t="s">
        <v>326</v>
      </c>
      <c r="D682" s="81">
        <v>772</v>
      </c>
      <c r="E682" s="151">
        <v>44751</v>
      </c>
      <c r="F682" s="81">
        <v>772</v>
      </c>
      <c r="G682" s="156">
        <f>Tabla18[[#This Row],[Importe]]-Tabla18[[#This Row],[Pagado]]</f>
        <v>0</v>
      </c>
      <c r="H682" s="75" t="s">
        <v>10</v>
      </c>
    </row>
    <row r="683" spans="1:8" x14ac:dyDescent="0.25">
      <c r="A683" s="148">
        <v>44749</v>
      </c>
      <c r="B683" s="149" t="s">
        <v>21973</v>
      </c>
      <c r="C683" s="153" t="s">
        <v>918</v>
      </c>
      <c r="D683" s="154">
        <v>1019.2</v>
      </c>
      <c r="E683" s="155">
        <v>44749</v>
      </c>
      <c r="F683" s="154">
        <v>1019.2</v>
      </c>
      <c r="G683" s="156">
        <f>Tabla18[[#This Row],[Importe]]-Tabla18[[#This Row],[Pagado]]</f>
        <v>0</v>
      </c>
      <c r="H683" s="153" t="s">
        <v>10</v>
      </c>
    </row>
    <row r="684" spans="1:8" x14ac:dyDescent="0.25">
      <c r="A684" s="73">
        <v>44749</v>
      </c>
      <c r="B684" s="74" t="s">
        <v>21974</v>
      </c>
      <c r="C684" s="75" t="s">
        <v>5043</v>
      </c>
      <c r="D684" s="81">
        <v>5606.4</v>
      </c>
      <c r="E684" s="151">
        <v>44750</v>
      </c>
      <c r="F684" s="81">
        <v>5606.4</v>
      </c>
      <c r="G684" s="156">
        <f>Tabla18[[#This Row],[Importe]]-Tabla18[[#This Row],[Pagado]]</f>
        <v>0</v>
      </c>
      <c r="H684" s="75" t="s">
        <v>10</v>
      </c>
    </row>
    <row r="685" spans="1:8" x14ac:dyDescent="0.25">
      <c r="A685" s="148">
        <v>44749</v>
      </c>
      <c r="B685" s="149" t="s">
        <v>21975</v>
      </c>
      <c r="C685" s="153" t="s">
        <v>2151</v>
      </c>
      <c r="D685" s="154">
        <v>22741.4</v>
      </c>
      <c r="E685" s="155">
        <v>44749</v>
      </c>
      <c r="F685" s="154">
        <v>22741.4</v>
      </c>
      <c r="G685" s="156">
        <f>Tabla18[[#This Row],[Importe]]-Tabla18[[#This Row],[Pagado]]</f>
        <v>0</v>
      </c>
      <c r="H685" s="153" t="s">
        <v>10</v>
      </c>
    </row>
    <row r="686" spans="1:8" x14ac:dyDescent="0.25">
      <c r="A686" s="73">
        <v>44749</v>
      </c>
      <c r="B686" s="74" t="s">
        <v>21976</v>
      </c>
      <c r="C686" s="75" t="s">
        <v>79</v>
      </c>
      <c r="D686" s="81">
        <v>15201.68</v>
      </c>
      <c r="E686" s="151">
        <v>44749</v>
      </c>
      <c r="F686" s="81">
        <v>15201.68</v>
      </c>
      <c r="G686" s="156">
        <f>Tabla18[[#This Row],[Importe]]-Tabla18[[#This Row],[Pagado]]</f>
        <v>0</v>
      </c>
      <c r="H686" s="75" t="s">
        <v>10</v>
      </c>
    </row>
    <row r="687" spans="1:8" x14ac:dyDescent="0.25">
      <c r="A687" s="148">
        <v>44749</v>
      </c>
      <c r="B687" s="149" t="s">
        <v>21977</v>
      </c>
      <c r="C687" s="153" t="s">
        <v>9</v>
      </c>
      <c r="D687" s="154">
        <v>12254.2</v>
      </c>
      <c r="E687" s="155">
        <v>44749</v>
      </c>
      <c r="F687" s="154">
        <v>12254.2</v>
      </c>
      <c r="G687" s="156">
        <f>Tabla18[[#This Row],[Importe]]-Tabla18[[#This Row],[Pagado]]</f>
        <v>0</v>
      </c>
      <c r="H687" s="153" t="s">
        <v>10</v>
      </c>
    </row>
    <row r="688" spans="1:8" x14ac:dyDescent="0.25">
      <c r="A688" s="73">
        <v>44749</v>
      </c>
      <c r="B688" s="74" t="s">
        <v>21978</v>
      </c>
      <c r="C688" s="75" t="s">
        <v>2563</v>
      </c>
      <c r="D688" s="81">
        <v>6188.8</v>
      </c>
      <c r="E688" s="151">
        <v>44750</v>
      </c>
      <c r="F688" s="81">
        <v>6188.8</v>
      </c>
      <c r="G688" s="156">
        <f>Tabla18[[#This Row],[Importe]]-Tabla18[[#This Row],[Pagado]]</f>
        <v>0</v>
      </c>
      <c r="H688" s="75" t="s">
        <v>10</v>
      </c>
    </row>
    <row r="689" spans="1:8" x14ac:dyDescent="0.25">
      <c r="A689" s="148">
        <v>44749</v>
      </c>
      <c r="B689" s="149" t="s">
        <v>21979</v>
      </c>
      <c r="C689" s="153" t="s">
        <v>1237</v>
      </c>
      <c r="D689" s="154">
        <v>100841.22</v>
      </c>
      <c r="E689" s="155">
        <v>44749</v>
      </c>
      <c r="F689" s="154">
        <v>100841.22</v>
      </c>
      <c r="G689" s="156">
        <f>Tabla18[[#This Row],[Importe]]-Tabla18[[#This Row],[Pagado]]</f>
        <v>0</v>
      </c>
      <c r="H689" s="153" t="s">
        <v>10</v>
      </c>
    </row>
    <row r="690" spans="1:8" x14ac:dyDescent="0.25">
      <c r="A690" s="73">
        <v>44749</v>
      </c>
      <c r="B690" s="74" t="s">
        <v>21980</v>
      </c>
      <c r="C690" s="75" t="s">
        <v>450</v>
      </c>
      <c r="D690" s="81">
        <v>9199.2000000000007</v>
      </c>
      <c r="E690" s="151">
        <v>44749</v>
      </c>
      <c r="F690" s="81">
        <v>9199.2000000000007</v>
      </c>
      <c r="G690" s="156">
        <f>Tabla18[[#This Row],[Importe]]-Tabla18[[#This Row],[Pagado]]</f>
        <v>0</v>
      </c>
      <c r="H690" s="75" t="s">
        <v>10</v>
      </c>
    </row>
    <row r="691" spans="1:8" x14ac:dyDescent="0.25">
      <c r="A691" s="148">
        <v>44749</v>
      </c>
      <c r="B691" s="149" t="s">
        <v>21981</v>
      </c>
      <c r="C691" s="153" t="s">
        <v>1187</v>
      </c>
      <c r="D691" s="154">
        <v>2449.6999999999998</v>
      </c>
      <c r="E691" s="155">
        <v>44749</v>
      </c>
      <c r="F691" s="154">
        <v>2449.6999999999998</v>
      </c>
      <c r="G691" s="156">
        <f>Tabla18[[#This Row],[Importe]]-Tabla18[[#This Row],[Pagado]]</f>
        <v>0</v>
      </c>
      <c r="H691" s="153" t="s">
        <v>10</v>
      </c>
    </row>
    <row r="692" spans="1:8" x14ac:dyDescent="0.25">
      <c r="A692" s="73">
        <v>44749</v>
      </c>
      <c r="B692" s="74" t="s">
        <v>21982</v>
      </c>
      <c r="C692" s="75" t="s">
        <v>31</v>
      </c>
      <c r="D692" s="81">
        <v>2630.2</v>
      </c>
      <c r="E692" s="151">
        <v>44749</v>
      </c>
      <c r="F692" s="81">
        <v>2630.2</v>
      </c>
      <c r="G692" s="156">
        <f>Tabla18[[#This Row],[Importe]]-Tabla18[[#This Row],[Pagado]]</f>
        <v>0</v>
      </c>
      <c r="H692" s="75" t="s">
        <v>10</v>
      </c>
    </row>
    <row r="693" spans="1:8" x14ac:dyDescent="0.25">
      <c r="A693" s="148">
        <v>44749</v>
      </c>
      <c r="B693" s="149" t="s">
        <v>21983</v>
      </c>
      <c r="C693" s="153" t="s">
        <v>142</v>
      </c>
      <c r="D693" s="154">
        <v>106705.96</v>
      </c>
      <c r="E693" s="155">
        <v>44799</v>
      </c>
      <c r="F693" s="154">
        <v>106705.96</v>
      </c>
      <c r="G693" s="156">
        <f>Tabla18[[#This Row],[Importe]]-Tabla18[[#This Row],[Pagado]]</f>
        <v>0</v>
      </c>
      <c r="H693" s="153" t="s">
        <v>10</v>
      </c>
    </row>
    <row r="694" spans="1:8" x14ac:dyDescent="0.25">
      <c r="A694" s="73">
        <v>44749</v>
      </c>
      <c r="B694" s="74" t="s">
        <v>21984</v>
      </c>
      <c r="C694" s="75" t="s">
        <v>11033</v>
      </c>
      <c r="D694" s="81">
        <v>3672.9</v>
      </c>
      <c r="E694" s="151">
        <v>44749</v>
      </c>
      <c r="F694" s="81">
        <v>3672.9</v>
      </c>
      <c r="G694" s="156">
        <f>Tabla18[[#This Row],[Importe]]-Tabla18[[#This Row],[Pagado]]</f>
        <v>0</v>
      </c>
      <c r="H694" s="75" t="s">
        <v>10</v>
      </c>
    </row>
    <row r="695" spans="1:8" x14ac:dyDescent="0.25">
      <c r="A695" s="148">
        <v>44749</v>
      </c>
      <c r="B695" s="149" t="s">
        <v>21985</v>
      </c>
      <c r="C695" s="153" t="s">
        <v>131</v>
      </c>
      <c r="D695" s="154">
        <v>6203.8</v>
      </c>
      <c r="E695" s="155">
        <v>44749</v>
      </c>
      <c r="F695" s="154">
        <v>6203.8</v>
      </c>
      <c r="G695" s="156">
        <f>Tabla18[[#This Row],[Importe]]-Tabla18[[#This Row],[Pagado]]</f>
        <v>0</v>
      </c>
      <c r="H695" s="153" t="s">
        <v>10</v>
      </c>
    </row>
    <row r="696" spans="1:8" x14ac:dyDescent="0.25">
      <c r="A696" s="73">
        <v>44749</v>
      </c>
      <c r="B696" s="74" t="s">
        <v>21986</v>
      </c>
      <c r="C696" s="75" t="s">
        <v>53</v>
      </c>
      <c r="D696" s="81">
        <v>3248.6</v>
      </c>
      <c r="E696" s="151">
        <v>44749</v>
      </c>
      <c r="F696" s="81">
        <v>3248.6</v>
      </c>
      <c r="G696" s="156">
        <f>Tabla18[[#This Row],[Importe]]-Tabla18[[#This Row],[Pagado]]</f>
        <v>0</v>
      </c>
      <c r="H696" s="75" t="s">
        <v>10</v>
      </c>
    </row>
    <row r="697" spans="1:8" x14ac:dyDescent="0.25">
      <c r="A697" s="148">
        <v>44749</v>
      </c>
      <c r="B697" s="149" t="s">
        <v>21987</v>
      </c>
      <c r="C697" s="153" t="s">
        <v>407</v>
      </c>
      <c r="D697" s="154">
        <v>9800</v>
      </c>
      <c r="E697" s="155">
        <v>44750</v>
      </c>
      <c r="F697" s="154">
        <v>9800</v>
      </c>
      <c r="G697" s="156">
        <f>Tabla18[[#This Row],[Importe]]-Tabla18[[#This Row],[Pagado]]</f>
        <v>0</v>
      </c>
      <c r="H697" s="153" t="s">
        <v>10</v>
      </c>
    </row>
    <row r="698" spans="1:8" x14ac:dyDescent="0.25">
      <c r="A698" s="73">
        <v>44749</v>
      </c>
      <c r="B698" s="74" t="s">
        <v>21988</v>
      </c>
      <c r="C698" s="75" t="s">
        <v>127</v>
      </c>
      <c r="D698" s="81">
        <v>1679.8</v>
      </c>
      <c r="E698" s="151">
        <v>44749</v>
      </c>
      <c r="F698" s="81">
        <v>1679.8</v>
      </c>
      <c r="G698" s="156">
        <f>Tabla18[[#This Row],[Importe]]-Tabla18[[#This Row],[Pagado]]</f>
        <v>0</v>
      </c>
      <c r="H698" s="75" t="s">
        <v>10</v>
      </c>
    </row>
    <row r="699" spans="1:8" x14ac:dyDescent="0.25">
      <c r="A699" s="148">
        <v>44749</v>
      </c>
      <c r="B699" s="149" t="s">
        <v>21989</v>
      </c>
      <c r="C699" s="153" t="s">
        <v>49</v>
      </c>
      <c r="D699" s="154">
        <v>4883.6000000000004</v>
      </c>
      <c r="E699" s="155">
        <v>44749</v>
      </c>
      <c r="F699" s="154">
        <v>4883.6000000000004</v>
      </c>
      <c r="G699" s="156">
        <f>Tabla18[[#This Row],[Importe]]-Tabla18[[#This Row],[Pagado]]</f>
        <v>0</v>
      </c>
      <c r="H699" s="153" t="s">
        <v>10</v>
      </c>
    </row>
    <row r="700" spans="1:8" x14ac:dyDescent="0.25">
      <c r="A700" s="73">
        <v>44749</v>
      </c>
      <c r="B700" s="74" t="s">
        <v>21990</v>
      </c>
      <c r="C700" s="75" t="s">
        <v>216</v>
      </c>
      <c r="D700" s="81">
        <v>1936.8</v>
      </c>
      <c r="E700" s="151">
        <v>44749</v>
      </c>
      <c r="F700" s="81">
        <v>1936.8</v>
      </c>
      <c r="G700" s="156">
        <f>Tabla18[[#This Row],[Importe]]-Tabla18[[#This Row],[Pagado]]</f>
        <v>0</v>
      </c>
      <c r="H700" s="75" t="s">
        <v>10</v>
      </c>
    </row>
    <row r="701" spans="1:8" x14ac:dyDescent="0.25">
      <c r="A701" s="148">
        <v>44749</v>
      </c>
      <c r="B701" s="149" t="s">
        <v>21991</v>
      </c>
      <c r="C701" s="153" t="s">
        <v>129</v>
      </c>
      <c r="D701" s="154">
        <v>5574.5</v>
      </c>
      <c r="E701" s="155">
        <v>44749</v>
      </c>
      <c r="F701" s="154">
        <v>5574.5</v>
      </c>
      <c r="G701" s="156">
        <f>Tabla18[[#This Row],[Importe]]-Tabla18[[#This Row],[Pagado]]</f>
        <v>0</v>
      </c>
      <c r="H701" s="153" t="s">
        <v>10</v>
      </c>
    </row>
    <row r="702" spans="1:8" x14ac:dyDescent="0.25">
      <c r="A702" s="73">
        <v>44749</v>
      </c>
      <c r="B702" s="74" t="s">
        <v>21992</v>
      </c>
      <c r="C702" s="75" t="s">
        <v>140</v>
      </c>
      <c r="D702" s="81">
        <v>2211</v>
      </c>
      <c r="E702" s="151">
        <v>44749</v>
      </c>
      <c r="F702" s="81">
        <v>2211</v>
      </c>
      <c r="G702" s="156">
        <f>Tabla18[[#This Row],[Importe]]-Tabla18[[#This Row],[Pagado]]</f>
        <v>0</v>
      </c>
      <c r="H702" s="75" t="s">
        <v>10</v>
      </c>
    </row>
    <row r="703" spans="1:8" x14ac:dyDescent="0.25">
      <c r="A703" s="148">
        <v>44749</v>
      </c>
      <c r="B703" s="149" t="s">
        <v>21993</v>
      </c>
      <c r="C703" s="153" t="s">
        <v>357</v>
      </c>
      <c r="D703" s="154">
        <v>336</v>
      </c>
      <c r="E703" s="155">
        <v>44749</v>
      </c>
      <c r="F703" s="154">
        <v>336</v>
      </c>
      <c r="G703" s="156">
        <f>Tabla18[[#This Row],[Importe]]-Tabla18[[#This Row],[Pagado]]</f>
        <v>0</v>
      </c>
      <c r="H703" s="153" t="s">
        <v>10</v>
      </c>
    </row>
    <row r="704" spans="1:8" x14ac:dyDescent="0.25">
      <c r="A704" s="73">
        <v>44749</v>
      </c>
      <c r="B704" s="74" t="s">
        <v>21994</v>
      </c>
      <c r="C704" s="75" t="s">
        <v>27</v>
      </c>
      <c r="D704" s="81">
        <v>1355.7</v>
      </c>
      <c r="E704" s="151">
        <v>44749</v>
      </c>
      <c r="F704" s="81">
        <v>1355.7</v>
      </c>
      <c r="G704" s="156">
        <f>Tabla18[[#This Row],[Importe]]-Tabla18[[#This Row],[Pagado]]</f>
        <v>0</v>
      </c>
      <c r="H704" s="75" t="s">
        <v>10</v>
      </c>
    </row>
    <row r="705" spans="1:8" x14ac:dyDescent="0.25">
      <c r="A705" s="148">
        <v>44749</v>
      </c>
      <c r="B705" s="149" t="s">
        <v>21995</v>
      </c>
      <c r="C705" s="153" t="s">
        <v>107</v>
      </c>
      <c r="D705" s="154">
        <v>10048</v>
      </c>
      <c r="E705" s="155">
        <v>44749</v>
      </c>
      <c r="F705" s="154">
        <v>10048</v>
      </c>
      <c r="G705" s="156">
        <f>Tabla18[[#This Row],[Importe]]-Tabla18[[#This Row],[Pagado]]</f>
        <v>0</v>
      </c>
      <c r="H705" s="153" t="s">
        <v>10</v>
      </c>
    </row>
    <row r="706" spans="1:8" x14ac:dyDescent="0.25">
      <c r="A706" s="73">
        <v>44749</v>
      </c>
      <c r="B706" s="74" t="s">
        <v>21996</v>
      </c>
      <c r="C706" s="75" t="s">
        <v>45</v>
      </c>
      <c r="D706" s="81">
        <v>14927.7</v>
      </c>
      <c r="E706" s="151">
        <v>44749</v>
      </c>
      <c r="F706" s="81">
        <v>14927.7</v>
      </c>
      <c r="G706" s="156">
        <f>Tabla18[[#This Row],[Importe]]-Tabla18[[#This Row],[Pagado]]</f>
        <v>0</v>
      </c>
      <c r="H706" s="75" t="s">
        <v>10</v>
      </c>
    </row>
    <row r="707" spans="1:8" x14ac:dyDescent="0.25">
      <c r="A707" s="148">
        <v>44749</v>
      </c>
      <c r="B707" s="149" t="s">
        <v>21997</v>
      </c>
      <c r="C707" s="153" t="s">
        <v>146</v>
      </c>
      <c r="D707" s="154">
        <v>4022.3</v>
      </c>
      <c r="E707" s="155">
        <v>44749</v>
      </c>
      <c r="F707" s="154">
        <v>4022.3</v>
      </c>
      <c r="G707" s="156">
        <f>Tabla18[[#This Row],[Importe]]-Tabla18[[#This Row],[Pagado]]</f>
        <v>0</v>
      </c>
      <c r="H707" s="153" t="s">
        <v>10</v>
      </c>
    </row>
    <row r="708" spans="1:8" x14ac:dyDescent="0.25">
      <c r="A708" s="73">
        <v>44749</v>
      </c>
      <c r="B708" s="74" t="s">
        <v>21998</v>
      </c>
      <c r="C708" s="75" t="s">
        <v>1265</v>
      </c>
      <c r="D708" s="81">
        <v>2828.7</v>
      </c>
      <c r="E708" s="151">
        <v>44749</v>
      </c>
      <c r="F708" s="81">
        <v>2828.7</v>
      </c>
      <c r="G708" s="156">
        <f>Tabla18[[#This Row],[Importe]]-Tabla18[[#This Row],[Pagado]]</f>
        <v>0</v>
      </c>
      <c r="H708" s="75" t="s">
        <v>10</v>
      </c>
    </row>
    <row r="709" spans="1:8" x14ac:dyDescent="0.25">
      <c r="A709" s="148">
        <v>44749</v>
      </c>
      <c r="B709" s="149" t="s">
        <v>21999</v>
      </c>
      <c r="C709" s="153" t="s">
        <v>62</v>
      </c>
      <c r="D709" s="154">
        <v>5137.5</v>
      </c>
      <c r="E709" s="155">
        <v>44749</v>
      </c>
      <c r="F709" s="154">
        <v>5137.5</v>
      </c>
      <c r="G709" s="156">
        <f>Tabla18[[#This Row],[Importe]]-Tabla18[[#This Row],[Pagado]]</f>
        <v>0</v>
      </c>
      <c r="H709" s="153" t="s">
        <v>10</v>
      </c>
    </row>
    <row r="710" spans="1:8" x14ac:dyDescent="0.25">
      <c r="A710" s="73">
        <v>44749</v>
      </c>
      <c r="B710" s="74" t="s">
        <v>22000</v>
      </c>
      <c r="C710" s="75" t="s">
        <v>214</v>
      </c>
      <c r="D710" s="81">
        <v>8376.7999999999993</v>
      </c>
      <c r="E710" s="151">
        <v>44749</v>
      </c>
      <c r="F710" s="81">
        <v>8376.7999999999993</v>
      </c>
      <c r="G710" s="156">
        <f>Tabla18[[#This Row],[Importe]]-Tabla18[[#This Row],[Pagado]]</f>
        <v>0</v>
      </c>
      <c r="H710" s="75" t="s">
        <v>10</v>
      </c>
    </row>
    <row r="711" spans="1:8" x14ac:dyDescent="0.25">
      <c r="A711" s="148">
        <v>44749</v>
      </c>
      <c r="B711" s="149" t="s">
        <v>22001</v>
      </c>
      <c r="C711" s="153" t="s">
        <v>24</v>
      </c>
      <c r="D711" s="154">
        <v>4142</v>
      </c>
      <c r="E711" s="155">
        <v>44749</v>
      </c>
      <c r="F711" s="154">
        <v>4142</v>
      </c>
      <c r="G711" s="156">
        <f>Tabla18[[#This Row],[Importe]]-Tabla18[[#This Row],[Pagado]]</f>
        <v>0</v>
      </c>
      <c r="H711" s="153" t="s">
        <v>10</v>
      </c>
    </row>
    <row r="712" spans="1:8" x14ac:dyDescent="0.25">
      <c r="A712" s="73">
        <v>44749</v>
      </c>
      <c r="B712" s="74" t="s">
        <v>22002</v>
      </c>
      <c r="C712" s="75" t="s">
        <v>31</v>
      </c>
      <c r="D712" s="81">
        <v>304</v>
      </c>
      <c r="E712" s="151">
        <v>44749</v>
      </c>
      <c r="F712" s="81">
        <v>304</v>
      </c>
      <c r="G712" s="156">
        <f>Tabla18[[#This Row],[Importe]]-Tabla18[[#This Row],[Pagado]]</f>
        <v>0</v>
      </c>
      <c r="H712" s="75" t="s">
        <v>10</v>
      </c>
    </row>
    <row r="713" spans="1:8" x14ac:dyDescent="0.25">
      <c r="A713" s="148">
        <v>44749</v>
      </c>
      <c r="B713" s="149" t="s">
        <v>22003</v>
      </c>
      <c r="C713" s="153" t="s">
        <v>275</v>
      </c>
      <c r="D713" s="154">
        <v>4958.84</v>
      </c>
      <c r="E713" s="155">
        <v>44764</v>
      </c>
      <c r="F713" s="154">
        <v>4958.84</v>
      </c>
      <c r="G713" s="156">
        <f>Tabla18[[#This Row],[Importe]]-Tabla18[[#This Row],[Pagado]]</f>
        <v>0</v>
      </c>
      <c r="H713" s="153" t="s">
        <v>10</v>
      </c>
    </row>
    <row r="714" spans="1:8" x14ac:dyDescent="0.25">
      <c r="A714" s="73">
        <v>44749</v>
      </c>
      <c r="B714" s="74" t="s">
        <v>22004</v>
      </c>
      <c r="C714" s="75" t="s">
        <v>1378</v>
      </c>
      <c r="D714" s="81">
        <v>79905</v>
      </c>
      <c r="E714" s="151">
        <v>44749</v>
      </c>
      <c r="F714" s="81">
        <v>79905</v>
      </c>
      <c r="G714" s="156">
        <f>Tabla18[[#This Row],[Importe]]-Tabla18[[#This Row],[Pagado]]</f>
        <v>0</v>
      </c>
      <c r="H714" s="75" t="s">
        <v>10</v>
      </c>
    </row>
    <row r="715" spans="1:8" x14ac:dyDescent="0.25">
      <c r="A715" s="148">
        <v>44749</v>
      </c>
      <c r="B715" s="149" t="s">
        <v>22005</v>
      </c>
      <c r="C715" s="153" t="s">
        <v>804</v>
      </c>
      <c r="D715" s="154">
        <v>22757.599999999999</v>
      </c>
      <c r="E715" s="155">
        <v>44749</v>
      </c>
      <c r="F715" s="154">
        <v>22757.599999999999</v>
      </c>
      <c r="G715" s="156">
        <f>Tabla18[[#This Row],[Importe]]-Tabla18[[#This Row],[Pagado]]</f>
        <v>0</v>
      </c>
      <c r="H715" s="153" t="s">
        <v>10</v>
      </c>
    </row>
    <row r="716" spans="1:8" x14ac:dyDescent="0.25">
      <c r="A716" s="73">
        <v>44749</v>
      </c>
      <c r="B716" s="74" t="s">
        <v>22006</v>
      </c>
      <c r="C716" s="75" t="s">
        <v>244</v>
      </c>
      <c r="D716" s="81">
        <v>1109.5999999999999</v>
      </c>
      <c r="E716" s="151">
        <v>44749</v>
      </c>
      <c r="F716" s="81">
        <v>1109.5999999999999</v>
      </c>
      <c r="G716" s="156">
        <f>Tabla18[[#This Row],[Importe]]-Tabla18[[#This Row],[Pagado]]</f>
        <v>0</v>
      </c>
      <c r="H716" s="75" t="s">
        <v>10</v>
      </c>
    </row>
    <row r="717" spans="1:8" x14ac:dyDescent="0.25">
      <c r="A717" s="148">
        <v>44749</v>
      </c>
      <c r="B717" s="149" t="s">
        <v>22007</v>
      </c>
      <c r="C717" s="153" t="s">
        <v>29</v>
      </c>
      <c r="D717" s="154">
        <v>3189.6</v>
      </c>
      <c r="E717" s="155">
        <v>44749</v>
      </c>
      <c r="F717" s="154">
        <v>3189.6</v>
      </c>
      <c r="G717" s="156">
        <f>Tabla18[[#This Row],[Importe]]-Tabla18[[#This Row],[Pagado]]</f>
        <v>0</v>
      </c>
      <c r="H717" s="153" t="s">
        <v>10</v>
      </c>
    </row>
    <row r="718" spans="1:8" x14ac:dyDescent="0.25">
      <c r="A718" s="73">
        <v>44749</v>
      </c>
      <c r="B718" s="74" t="s">
        <v>22008</v>
      </c>
      <c r="C718" s="75" t="s">
        <v>214</v>
      </c>
      <c r="D718" s="81">
        <v>1310.4000000000001</v>
      </c>
      <c r="E718" s="151">
        <v>44749</v>
      </c>
      <c r="F718" s="81">
        <v>1310.4000000000001</v>
      </c>
      <c r="G718" s="156">
        <f>Tabla18[[#This Row],[Importe]]-Tabla18[[#This Row],[Pagado]]</f>
        <v>0</v>
      </c>
      <c r="H718" s="75" t="s">
        <v>10</v>
      </c>
    </row>
    <row r="719" spans="1:8" x14ac:dyDescent="0.25">
      <c r="A719" s="148">
        <v>44749</v>
      </c>
      <c r="B719" s="149" t="s">
        <v>22009</v>
      </c>
      <c r="C719" s="153" t="s">
        <v>85</v>
      </c>
      <c r="D719" s="154">
        <v>2404.8000000000002</v>
      </c>
      <c r="E719" s="155">
        <v>44749</v>
      </c>
      <c r="F719" s="154">
        <v>2404.8000000000002</v>
      </c>
      <c r="G719" s="156">
        <f>Tabla18[[#This Row],[Importe]]-Tabla18[[#This Row],[Pagado]]</f>
        <v>0</v>
      </c>
      <c r="H719" s="153" t="s">
        <v>10</v>
      </c>
    </row>
    <row r="720" spans="1:8" x14ac:dyDescent="0.25">
      <c r="A720" s="73">
        <v>44749</v>
      </c>
      <c r="B720" s="74" t="s">
        <v>22010</v>
      </c>
      <c r="C720" s="75" t="s">
        <v>222</v>
      </c>
      <c r="D720" s="81">
        <v>11308.5</v>
      </c>
      <c r="E720" s="151">
        <v>44749</v>
      </c>
      <c r="F720" s="81">
        <v>11308.5</v>
      </c>
      <c r="G720" s="156">
        <f>Tabla18[[#This Row],[Importe]]-Tabla18[[#This Row],[Pagado]]</f>
        <v>0</v>
      </c>
      <c r="H720" s="75" t="s">
        <v>10</v>
      </c>
    </row>
    <row r="721" spans="1:8" x14ac:dyDescent="0.25">
      <c r="A721" s="148">
        <v>44749</v>
      </c>
      <c r="B721" s="149" t="s">
        <v>22011</v>
      </c>
      <c r="C721" s="153" t="s">
        <v>191</v>
      </c>
      <c r="D721" s="154">
        <v>2248.4</v>
      </c>
      <c r="E721" s="155">
        <v>44749</v>
      </c>
      <c r="F721" s="154">
        <v>2248.4</v>
      </c>
      <c r="G721" s="156">
        <f>Tabla18[[#This Row],[Importe]]-Tabla18[[#This Row],[Pagado]]</f>
        <v>0</v>
      </c>
      <c r="H721" s="153" t="s">
        <v>10</v>
      </c>
    </row>
    <row r="722" spans="1:8" x14ac:dyDescent="0.25">
      <c r="A722" s="73">
        <v>44749</v>
      </c>
      <c r="B722" s="74" t="s">
        <v>22012</v>
      </c>
      <c r="C722" s="75" t="s">
        <v>275</v>
      </c>
      <c r="D722" s="81">
        <v>109621.33</v>
      </c>
      <c r="E722" s="151">
        <v>44764</v>
      </c>
      <c r="F722" s="81">
        <v>109621.33</v>
      </c>
      <c r="G722" s="156">
        <f>Tabla18[[#This Row],[Importe]]-Tabla18[[#This Row],[Pagado]]</f>
        <v>0</v>
      </c>
      <c r="H722" s="75" t="s">
        <v>10</v>
      </c>
    </row>
    <row r="723" spans="1:8" x14ac:dyDescent="0.25">
      <c r="A723" s="148">
        <v>44749</v>
      </c>
      <c r="B723" s="149" t="s">
        <v>22013</v>
      </c>
      <c r="C723" s="153" t="s">
        <v>246</v>
      </c>
      <c r="D723" s="154">
        <v>4233.2</v>
      </c>
      <c r="E723" s="155">
        <v>44749</v>
      </c>
      <c r="F723" s="154">
        <v>4233.2</v>
      </c>
      <c r="G723" s="156">
        <f>Tabla18[[#This Row],[Importe]]-Tabla18[[#This Row],[Pagado]]</f>
        <v>0</v>
      </c>
      <c r="H723" s="153" t="s">
        <v>10</v>
      </c>
    </row>
    <row r="724" spans="1:8" x14ac:dyDescent="0.25">
      <c r="A724" s="73">
        <v>44749</v>
      </c>
      <c r="B724" s="74" t="s">
        <v>22014</v>
      </c>
      <c r="C724" s="75" t="s">
        <v>1003</v>
      </c>
      <c r="D724" s="81">
        <v>9067.1</v>
      </c>
      <c r="E724" s="151">
        <v>44751</v>
      </c>
      <c r="F724" s="81">
        <v>9067.1</v>
      </c>
      <c r="G724" s="156">
        <f>Tabla18[[#This Row],[Importe]]-Tabla18[[#This Row],[Pagado]]</f>
        <v>0</v>
      </c>
      <c r="H724" s="75" t="s">
        <v>10</v>
      </c>
    </row>
    <row r="725" spans="1:8" x14ac:dyDescent="0.25">
      <c r="A725" s="148">
        <v>44749</v>
      </c>
      <c r="B725" s="149" t="s">
        <v>22015</v>
      </c>
      <c r="C725" s="153" t="s">
        <v>31</v>
      </c>
      <c r="D725" s="154">
        <v>1231.2</v>
      </c>
      <c r="E725" s="155">
        <v>44749</v>
      </c>
      <c r="F725" s="154">
        <v>1231.2</v>
      </c>
      <c r="G725" s="156">
        <f>Tabla18[[#This Row],[Importe]]-Tabla18[[#This Row],[Pagado]]</f>
        <v>0</v>
      </c>
      <c r="H725" s="153" t="s">
        <v>10</v>
      </c>
    </row>
    <row r="726" spans="1:8" x14ac:dyDescent="0.25">
      <c r="A726" s="73">
        <v>44749</v>
      </c>
      <c r="B726" s="74" t="s">
        <v>22016</v>
      </c>
      <c r="C726" s="75" t="s">
        <v>244</v>
      </c>
      <c r="D726" s="81">
        <v>4258.1000000000004</v>
      </c>
      <c r="E726" s="151">
        <v>44749</v>
      </c>
      <c r="F726" s="81">
        <v>4258.1000000000004</v>
      </c>
      <c r="G726" s="156">
        <f>Tabla18[[#This Row],[Importe]]-Tabla18[[#This Row],[Pagado]]</f>
        <v>0</v>
      </c>
      <c r="H726" s="75" t="s">
        <v>10</v>
      </c>
    </row>
    <row r="727" spans="1:8" x14ac:dyDescent="0.25">
      <c r="A727" s="148">
        <v>44749</v>
      </c>
      <c r="B727" s="149" t="s">
        <v>22017</v>
      </c>
      <c r="C727" s="153" t="s">
        <v>56</v>
      </c>
      <c r="D727" s="154">
        <v>7899.6</v>
      </c>
      <c r="E727" s="155">
        <v>44749</v>
      </c>
      <c r="F727" s="154">
        <v>7899.6</v>
      </c>
      <c r="G727" s="156">
        <f>Tabla18[[#This Row],[Importe]]-Tabla18[[#This Row],[Pagado]]</f>
        <v>0</v>
      </c>
      <c r="H727" s="153" t="s">
        <v>10</v>
      </c>
    </row>
    <row r="728" spans="1:8" x14ac:dyDescent="0.25">
      <c r="A728" s="73">
        <v>44749</v>
      </c>
      <c r="B728" s="74" t="s">
        <v>22018</v>
      </c>
      <c r="C728" s="75" t="s">
        <v>67</v>
      </c>
      <c r="D728" s="81">
        <v>2384.8000000000002</v>
      </c>
      <c r="E728" s="151">
        <v>44749</v>
      </c>
      <c r="F728" s="81">
        <v>2384.8000000000002</v>
      </c>
      <c r="G728" s="156">
        <f>Tabla18[[#This Row],[Importe]]-Tabla18[[#This Row],[Pagado]]</f>
        <v>0</v>
      </c>
      <c r="H728" s="75" t="s">
        <v>10</v>
      </c>
    </row>
    <row r="729" spans="1:8" x14ac:dyDescent="0.25">
      <c r="A729" s="148">
        <v>44749</v>
      </c>
      <c r="B729" s="149" t="s">
        <v>22019</v>
      </c>
      <c r="C729" s="153" t="s">
        <v>31</v>
      </c>
      <c r="D729" s="154">
        <v>3492.2</v>
      </c>
      <c r="E729" s="155">
        <v>44749</v>
      </c>
      <c r="F729" s="154">
        <v>3492.2</v>
      </c>
      <c r="G729" s="156">
        <f>Tabla18[[#This Row],[Importe]]-Tabla18[[#This Row],[Pagado]]</f>
        <v>0</v>
      </c>
      <c r="H729" s="153" t="s">
        <v>10</v>
      </c>
    </row>
    <row r="730" spans="1:8" x14ac:dyDescent="0.25">
      <c r="A730" s="73">
        <v>44749</v>
      </c>
      <c r="B730" s="74" t="s">
        <v>22020</v>
      </c>
      <c r="C730" s="75" t="s">
        <v>58</v>
      </c>
      <c r="D730" s="81">
        <v>1937.6</v>
      </c>
      <c r="E730" s="151">
        <v>44749</v>
      </c>
      <c r="F730" s="81">
        <v>1937.6</v>
      </c>
      <c r="G730" s="156">
        <f>Tabla18[[#This Row],[Importe]]-Tabla18[[#This Row],[Pagado]]</f>
        <v>0</v>
      </c>
      <c r="H730" s="75" t="s">
        <v>10</v>
      </c>
    </row>
    <row r="731" spans="1:8" x14ac:dyDescent="0.25">
      <c r="A731" s="148">
        <v>44749</v>
      </c>
      <c r="B731" s="149" t="s">
        <v>22021</v>
      </c>
      <c r="C731" s="153" t="s">
        <v>14</v>
      </c>
      <c r="D731" s="154">
        <v>25310</v>
      </c>
      <c r="E731" s="155">
        <v>44749</v>
      </c>
      <c r="F731" s="154">
        <v>25310</v>
      </c>
      <c r="G731" s="156">
        <f>Tabla18[[#This Row],[Importe]]-Tabla18[[#This Row],[Pagado]]</f>
        <v>0</v>
      </c>
      <c r="H731" s="153" t="s">
        <v>10</v>
      </c>
    </row>
    <row r="732" spans="1:8" x14ac:dyDescent="0.25">
      <c r="A732" s="73">
        <v>44749</v>
      </c>
      <c r="B732" s="74" t="s">
        <v>22022</v>
      </c>
      <c r="C732" s="75" t="s">
        <v>31</v>
      </c>
      <c r="D732" s="81">
        <v>206.8</v>
      </c>
      <c r="E732" s="151">
        <v>44749</v>
      </c>
      <c r="F732" s="81">
        <v>206.8</v>
      </c>
      <c r="G732" s="156">
        <f>Tabla18[[#This Row],[Importe]]-Tabla18[[#This Row],[Pagado]]</f>
        <v>0</v>
      </c>
      <c r="H732" s="75" t="s">
        <v>10</v>
      </c>
    </row>
    <row r="733" spans="1:8" x14ac:dyDescent="0.25">
      <c r="A733" s="148">
        <v>44749</v>
      </c>
      <c r="B733" s="149" t="s">
        <v>22023</v>
      </c>
      <c r="C733" s="153" t="s">
        <v>670</v>
      </c>
      <c r="D733" s="154">
        <v>5675.8</v>
      </c>
      <c r="E733" s="155">
        <v>44749</v>
      </c>
      <c r="F733" s="154">
        <v>5675.8</v>
      </c>
      <c r="G733" s="156">
        <f>Tabla18[[#This Row],[Importe]]-Tabla18[[#This Row],[Pagado]]</f>
        <v>0</v>
      </c>
      <c r="H733" s="153" t="s">
        <v>10</v>
      </c>
    </row>
    <row r="734" spans="1:8" x14ac:dyDescent="0.25">
      <c r="A734" s="73">
        <v>44749</v>
      </c>
      <c r="B734" s="74" t="s">
        <v>22024</v>
      </c>
      <c r="C734" s="75" t="s">
        <v>698</v>
      </c>
      <c r="D734" s="81">
        <v>5561</v>
      </c>
      <c r="E734" s="151">
        <v>44749</v>
      </c>
      <c r="F734" s="81">
        <v>5561</v>
      </c>
      <c r="G734" s="156">
        <f>Tabla18[[#This Row],[Importe]]-Tabla18[[#This Row],[Pagado]]</f>
        <v>0</v>
      </c>
      <c r="H734" s="75" t="s">
        <v>10</v>
      </c>
    </row>
    <row r="735" spans="1:8" x14ac:dyDescent="0.25">
      <c r="A735" s="148">
        <v>44749</v>
      </c>
      <c r="B735" s="149" t="s">
        <v>22025</v>
      </c>
      <c r="C735" s="153" t="s">
        <v>670</v>
      </c>
      <c r="D735" s="154">
        <v>729</v>
      </c>
      <c r="E735" s="155">
        <v>44749</v>
      </c>
      <c r="F735" s="154">
        <v>729</v>
      </c>
      <c r="G735" s="156">
        <f>Tabla18[[#This Row],[Importe]]-Tabla18[[#This Row],[Pagado]]</f>
        <v>0</v>
      </c>
      <c r="H735" s="153" t="s">
        <v>10</v>
      </c>
    </row>
    <row r="736" spans="1:8" x14ac:dyDescent="0.25">
      <c r="A736" s="73">
        <v>44749</v>
      </c>
      <c r="B736" s="74" t="s">
        <v>22026</v>
      </c>
      <c r="C736" s="75" t="s">
        <v>31</v>
      </c>
      <c r="D736" s="81">
        <v>597.6</v>
      </c>
      <c r="E736" s="151">
        <v>44749</v>
      </c>
      <c r="F736" s="81">
        <v>597.6</v>
      </c>
      <c r="G736" s="156">
        <f>Tabla18[[#This Row],[Importe]]-Tabla18[[#This Row],[Pagado]]</f>
        <v>0</v>
      </c>
      <c r="H736" s="75" t="s">
        <v>10</v>
      </c>
    </row>
    <row r="737" spans="1:8" x14ac:dyDescent="0.25">
      <c r="A737" s="148">
        <v>44749</v>
      </c>
      <c r="B737" s="149" t="s">
        <v>22027</v>
      </c>
      <c r="C737" s="153" t="s">
        <v>16</v>
      </c>
      <c r="D737" s="154">
        <v>1712</v>
      </c>
      <c r="E737" s="155">
        <v>44749</v>
      </c>
      <c r="F737" s="154">
        <v>1712</v>
      </c>
      <c r="G737" s="156">
        <f>Tabla18[[#This Row],[Importe]]-Tabla18[[#This Row],[Pagado]]</f>
        <v>0</v>
      </c>
      <c r="H737" s="153" t="s">
        <v>10</v>
      </c>
    </row>
    <row r="738" spans="1:8" x14ac:dyDescent="0.25">
      <c r="A738" s="73">
        <v>44749</v>
      </c>
      <c r="B738" s="74" t="s">
        <v>22028</v>
      </c>
      <c r="C738" s="75" t="s">
        <v>196</v>
      </c>
      <c r="D738" s="81">
        <v>69904.100000000006</v>
      </c>
      <c r="E738" s="151">
        <v>44750</v>
      </c>
      <c r="F738" s="81">
        <v>69904.100000000006</v>
      </c>
      <c r="G738" s="156">
        <f>Tabla18[[#This Row],[Importe]]-Tabla18[[#This Row],[Pagado]]</f>
        <v>0</v>
      </c>
      <c r="H738" s="75" t="s">
        <v>10</v>
      </c>
    </row>
    <row r="739" spans="1:8" x14ac:dyDescent="0.25">
      <c r="A739" s="148">
        <v>44749</v>
      </c>
      <c r="B739" s="149" t="s">
        <v>22029</v>
      </c>
      <c r="C739" s="153" t="s">
        <v>9827</v>
      </c>
      <c r="D739" s="154">
        <v>3340.8</v>
      </c>
      <c r="E739" s="155">
        <v>44749</v>
      </c>
      <c r="F739" s="154">
        <v>3340.8</v>
      </c>
      <c r="G739" s="156">
        <f>Tabla18[[#This Row],[Importe]]-Tabla18[[#This Row],[Pagado]]</f>
        <v>0</v>
      </c>
      <c r="H739" s="153" t="s">
        <v>10</v>
      </c>
    </row>
    <row r="740" spans="1:8" x14ac:dyDescent="0.25">
      <c r="A740" s="73">
        <v>44749</v>
      </c>
      <c r="B740" s="74" t="s">
        <v>22030</v>
      </c>
      <c r="C740" s="75" t="s">
        <v>69</v>
      </c>
      <c r="D740" s="81">
        <v>1324.8</v>
      </c>
      <c r="E740" s="151">
        <v>44749</v>
      </c>
      <c r="F740" s="81">
        <v>1324.8</v>
      </c>
      <c r="G740" s="156">
        <f>Tabla18[[#This Row],[Importe]]-Tabla18[[#This Row],[Pagado]]</f>
        <v>0</v>
      </c>
      <c r="H740" s="75" t="s">
        <v>10</v>
      </c>
    </row>
    <row r="741" spans="1:8" x14ac:dyDescent="0.25">
      <c r="A741" s="148">
        <v>44749</v>
      </c>
      <c r="B741" s="149" t="s">
        <v>22031</v>
      </c>
      <c r="C741" s="153" t="s">
        <v>484</v>
      </c>
      <c r="D741" s="154">
        <v>8587.7999999999993</v>
      </c>
      <c r="E741" s="155">
        <v>44749</v>
      </c>
      <c r="F741" s="154">
        <v>8587.7999999999993</v>
      </c>
      <c r="G741" s="156">
        <f>Tabla18[[#This Row],[Importe]]-Tabla18[[#This Row],[Pagado]]</f>
        <v>0</v>
      </c>
      <c r="H741" s="153" t="s">
        <v>10</v>
      </c>
    </row>
    <row r="742" spans="1:8" x14ac:dyDescent="0.25">
      <c r="A742" s="73">
        <v>44749</v>
      </c>
      <c r="B742" s="74" t="s">
        <v>22032</v>
      </c>
      <c r="C742" s="75" t="s">
        <v>151</v>
      </c>
      <c r="D742" s="81">
        <v>17357.439999999999</v>
      </c>
      <c r="E742" s="151">
        <v>44750</v>
      </c>
      <c r="F742" s="81">
        <v>17357.439999999999</v>
      </c>
      <c r="G742" s="156">
        <f>Tabla18[[#This Row],[Importe]]-Tabla18[[#This Row],[Pagado]]</f>
        <v>0</v>
      </c>
      <c r="H742" s="75" t="s">
        <v>10</v>
      </c>
    </row>
    <row r="743" spans="1:8" x14ac:dyDescent="0.25">
      <c r="A743" s="148">
        <v>44749</v>
      </c>
      <c r="B743" s="149" t="s">
        <v>22033</v>
      </c>
      <c r="C743" s="153" t="s">
        <v>729</v>
      </c>
      <c r="D743" s="154">
        <v>27240.6</v>
      </c>
      <c r="E743" s="155">
        <v>44750</v>
      </c>
      <c r="F743" s="154">
        <v>27240.6</v>
      </c>
      <c r="G743" s="156">
        <f>Tabla18[[#This Row],[Importe]]-Tabla18[[#This Row],[Pagado]]</f>
        <v>0</v>
      </c>
      <c r="H743" s="153" t="s">
        <v>10</v>
      </c>
    </row>
    <row r="744" spans="1:8" x14ac:dyDescent="0.25">
      <c r="A744" s="73">
        <v>44749</v>
      </c>
      <c r="B744" s="74" t="s">
        <v>22034</v>
      </c>
      <c r="C744" s="75" t="s">
        <v>31</v>
      </c>
      <c r="D744" s="81">
        <v>98.4</v>
      </c>
      <c r="E744" s="151">
        <v>44749</v>
      </c>
      <c r="F744" s="81">
        <v>98.4</v>
      </c>
      <c r="G744" s="156">
        <f>Tabla18[[#This Row],[Importe]]-Tabla18[[#This Row],[Pagado]]</f>
        <v>0</v>
      </c>
      <c r="H744" s="75" t="s">
        <v>10</v>
      </c>
    </row>
    <row r="745" spans="1:8" x14ac:dyDescent="0.25">
      <c r="A745" s="148">
        <v>44749</v>
      </c>
      <c r="B745" s="149" t="s">
        <v>22035</v>
      </c>
      <c r="C745" s="153" t="s">
        <v>284</v>
      </c>
      <c r="D745" s="154">
        <v>8582.4</v>
      </c>
      <c r="E745" s="155">
        <v>44750</v>
      </c>
      <c r="F745" s="154">
        <v>8582.4</v>
      </c>
      <c r="G745" s="156">
        <f>Tabla18[[#This Row],[Importe]]-Tabla18[[#This Row],[Pagado]]</f>
        <v>0</v>
      </c>
      <c r="H745" s="153" t="s">
        <v>10</v>
      </c>
    </row>
    <row r="746" spans="1:8" x14ac:dyDescent="0.25">
      <c r="A746" s="73">
        <v>44749</v>
      </c>
      <c r="B746" s="74" t="s">
        <v>22036</v>
      </c>
      <c r="C746" s="75" t="s">
        <v>5345</v>
      </c>
      <c r="D746" s="81">
        <v>2001.6</v>
      </c>
      <c r="E746" s="151">
        <v>44750</v>
      </c>
      <c r="F746" s="81">
        <v>2001.6</v>
      </c>
      <c r="G746" s="156">
        <f>Tabla18[[#This Row],[Importe]]-Tabla18[[#This Row],[Pagado]]</f>
        <v>0</v>
      </c>
      <c r="H746" s="75" t="s">
        <v>10</v>
      </c>
    </row>
    <row r="747" spans="1:8" x14ac:dyDescent="0.25">
      <c r="A747" s="148">
        <v>44749</v>
      </c>
      <c r="B747" s="149" t="s">
        <v>22037</v>
      </c>
      <c r="C747" s="153" t="s">
        <v>280</v>
      </c>
      <c r="D747" s="154">
        <v>1281.5999999999999</v>
      </c>
      <c r="E747" s="155">
        <v>44750</v>
      </c>
      <c r="F747" s="154">
        <v>1281.5999999999999</v>
      </c>
      <c r="G747" s="156">
        <f>Tabla18[[#This Row],[Importe]]-Tabla18[[#This Row],[Pagado]]</f>
        <v>0</v>
      </c>
      <c r="H747" s="153" t="s">
        <v>10</v>
      </c>
    </row>
    <row r="748" spans="1:8" x14ac:dyDescent="0.25">
      <c r="A748" s="73">
        <v>44749</v>
      </c>
      <c r="B748" s="74" t="s">
        <v>22038</v>
      </c>
      <c r="C748" s="75" t="s">
        <v>282</v>
      </c>
      <c r="D748" s="81">
        <v>3246</v>
      </c>
      <c r="E748" s="151">
        <v>44750</v>
      </c>
      <c r="F748" s="81">
        <v>3246</v>
      </c>
      <c r="G748" s="156">
        <f>Tabla18[[#This Row],[Importe]]-Tabla18[[#This Row],[Pagado]]</f>
        <v>0</v>
      </c>
      <c r="H748" s="75" t="s">
        <v>10</v>
      </c>
    </row>
    <row r="749" spans="1:8" x14ac:dyDescent="0.25">
      <c r="A749" s="148">
        <v>44749</v>
      </c>
      <c r="B749" s="149" t="s">
        <v>22039</v>
      </c>
      <c r="C749" s="153" t="s">
        <v>10819</v>
      </c>
      <c r="D749" s="154">
        <v>727.2</v>
      </c>
      <c r="E749" s="155">
        <v>44750</v>
      </c>
      <c r="F749" s="154">
        <v>727.2</v>
      </c>
      <c r="G749" s="156">
        <f>Tabla18[[#This Row],[Importe]]-Tabla18[[#This Row],[Pagado]]</f>
        <v>0</v>
      </c>
      <c r="H749" s="153" t="s">
        <v>10</v>
      </c>
    </row>
    <row r="750" spans="1:8" x14ac:dyDescent="0.25">
      <c r="A750" s="73">
        <v>44749</v>
      </c>
      <c r="B750" s="74" t="s">
        <v>22040</v>
      </c>
      <c r="C750" s="75" t="s">
        <v>359</v>
      </c>
      <c r="D750" s="81">
        <v>2963.4</v>
      </c>
      <c r="E750" s="151">
        <v>44750</v>
      </c>
      <c r="F750" s="81">
        <v>2963.4</v>
      </c>
      <c r="G750" s="156">
        <f>Tabla18[[#This Row],[Importe]]-Tabla18[[#This Row],[Pagado]]</f>
        <v>0</v>
      </c>
      <c r="H750" s="75" t="s">
        <v>10</v>
      </c>
    </row>
    <row r="751" spans="1:8" x14ac:dyDescent="0.25">
      <c r="A751" s="148">
        <v>44749</v>
      </c>
      <c r="B751" s="149" t="s">
        <v>22041</v>
      </c>
      <c r="C751" s="153" t="s">
        <v>159</v>
      </c>
      <c r="D751" s="154">
        <v>2296</v>
      </c>
      <c r="E751" s="155">
        <v>44750</v>
      </c>
      <c r="F751" s="154">
        <v>2296</v>
      </c>
      <c r="G751" s="156">
        <f>Tabla18[[#This Row],[Importe]]-Tabla18[[#This Row],[Pagado]]</f>
        <v>0</v>
      </c>
      <c r="H751" s="153" t="s">
        <v>10</v>
      </c>
    </row>
    <row r="752" spans="1:8" x14ac:dyDescent="0.25">
      <c r="A752" s="73">
        <v>44749</v>
      </c>
      <c r="B752" s="74" t="s">
        <v>22042</v>
      </c>
      <c r="C752" s="75" t="s">
        <v>157</v>
      </c>
      <c r="D752" s="81">
        <v>5965.4</v>
      </c>
      <c r="E752" s="151">
        <v>44750</v>
      </c>
      <c r="F752" s="81">
        <v>5965.4</v>
      </c>
      <c r="G752" s="156">
        <f>Tabla18[[#This Row],[Importe]]-Tabla18[[#This Row],[Pagado]]</f>
        <v>0</v>
      </c>
      <c r="H752" s="75" t="s">
        <v>10</v>
      </c>
    </row>
    <row r="753" spans="1:8" x14ac:dyDescent="0.25">
      <c r="A753" s="148">
        <v>44749</v>
      </c>
      <c r="B753" s="149" t="s">
        <v>22043</v>
      </c>
      <c r="C753" s="153" t="s">
        <v>520</v>
      </c>
      <c r="D753" s="154">
        <v>11356.8</v>
      </c>
      <c r="E753" s="155">
        <v>44750</v>
      </c>
      <c r="F753" s="154">
        <v>11356.8</v>
      </c>
      <c r="G753" s="156">
        <f>Tabla18[[#This Row],[Importe]]-Tabla18[[#This Row],[Pagado]]</f>
        <v>0</v>
      </c>
      <c r="H753" s="153" t="s">
        <v>10</v>
      </c>
    </row>
    <row r="754" spans="1:8" x14ac:dyDescent="0.25">
      <c r="A754" s="73">
        <v>44749</v>
      </c>
      <c r="B754" s="74" t="s">
        <v>22044</v>
      </c>
      <c r="C754" s="75" t="s">
        <v>319</v>
      </c>
      <c r="D754" s="81">
        <v>9718.2999999999993</v>
      </c>
      <c r="E754" s="151">
        <v>44750</v>
      </c>
      <c r="F754" s="81">
        <v>9718.2999999999993</v>
      </c>
      <c r="G754" s="156">
        <f>Tabla18[[#This Row],[Importe]]-Tabla18[[#This Row],[Pagado]]</f>
        <v>0</v>
      </c>
      <c r="H754" s="75" t="s">
        <v>10</v>
      </c>
    </row>
    <row r="755" spans="1:8" x14ac:dyDescent="0.25">
      <c r="A755" s="148">
        <v>44749</v>
      </c>
      <c r="B755" s="149" t="s">
        <v>22045</v>
      </c>
      <c r="C755" s="153" t="s">
        <v>19637</v>
      </c>
      <c r="D755" s="154">
        <v>5808.8</v>
      </c>
      <c r="E755" s="155">
        <v>44754</v>
      </c>
      <c r="F755" s="154">
        <v>5808.8</v>
      </c>
      <c r="G755" s="156">
        <f>Tabla18[[#This Row],[Importe]]-Tabla18[[#This Row],[Pagado]]</f>
        <v>0</v>
      </c>
      <c r="H755" s="153" t="s">
        <v>10</v>
      </c>
    </row>
    <row r="756" spans="1:8" x14ac:dyDescent="0.25">
      <c r="A756" s="73">
        <v>44749</v>
      </c>
      <c r="B756" s="74" t="s">
        <v>22046</v>
      </c>
      <c r="C756" s="75" t="s">
        <v>409</v>
      </c>
      <c r="D756" s="81">
        <v>5325.3</v>
      </c>
      <c r="E756" s="151">
        <v>44754</v>
      </c>
      <c r="F756" s="81">
        <v>5325.3</v>
      </c>
      <c r="G756" s="156">
        <f>Tabla18[[#This Row],[Importe]]-Tabla18[[#This Row],[Pagado]]</f>
        <v>0</v>
      </c>
      <c r="H756" s="75" t="s">
        <v>10</v>
      </c>
    </row>
    <row r="757" spans="1:8" x14ac:dyDescent="0.25">
      <c r="A757" s="148">
        <v>44749</v>
      </c>
      <c r="B757" s="149" t="s">
        <v>22047</v>
      </c>
      <c r="C757" s="153" t="s">
        <v>2139</v>
      </c>
      <c r="D757" s="154">
        <v>1878</v>
      </c>
      <c r="E757" s="155">
        <v>44749</v>
      </c>
      <c r="F757" s="154">
        <v>1878</v>
      </c>
      <c r="G757" s="156">
        <f>Tabla18[[#This Row],[Importe]]-Tabla18[[#This Row],[Pagado]]</f>
        <v>0</v>
      </c>
      <c r="H757" s="153" t="s">
        <v>10</v>
      </c>
    </row>
    <row r="758" spans="1:8" x14ac:dyDescent="0.25">
      <c r="A758" s="73">
        <v>44749</v>
      </c>
      <c r="B758" s="74" t="s">
        <v>22048</v>
      </c>
      <c r="C758" s="75" t="s">
        <v>407</v>
      </c>
      <c r="D758" s="81">
        <v>22820</v>
      </c>
      <c r="E758" s="151">
        <v>44750</v>
      </c>
      <c r="F758" s="81">
        <v>22820</v>
      </c>
      <c r="G758" s="156">
        <f>Tabla18[[#This Row],[Importe]]-Tabla18[[#This Row],[Pagado]]</f>
        <v>0</v>
      </c>
      <c r="H758" s="75" t="s">
        <v>10</v>
      </c>
    </row>
    <row r="759" spans="1:8" x14ac:dyDescent="0.25">
      <c r="A759" s="148">
        <v>44749</v>
      </c>
      <c r="B759" s="149" t="s">
        <v>22049</v>
      </c>
      <c r="C759" s="153" t="s">
        <v>421</v>
      </c>
      <c r="D759" s="154">
        <v>4223.1000000000004</v>
      </c>
      <c r="E759" s="155">
        <v>44749</v>
      </c>
      <c r="F759" s="154">
        <v>4223.1000000000004</v>
      </c>
      <c r="G759" s="156">
        <f>Tabla18[[#This Row],[Importe]]-Tabla18[[#This Row],[Pagado]]</f>
        <v>0</v>
      </c>
      <c r="H759" s="153" t="s">
        <v>10</v>
      </c>
    </row>
    <row r="760" spans="1:8" x14ac:dyDescent="0.25">
      <c r="A760" s="73">
        <v>44749</v>
      </c>
      <c r="B760" s="74" t="s">
        <v>22050</v>
      </c>
      <c r="C760" s="75" t="s">
        <v>400</v>
      </c>
      <c r="D760" s="81">
        <v>9319.4</v>
      </c>
      <c r="E760" s="151">
        <v>44754</v>
      </c>
      <c r="F760" s="81">
        <v>9319.4</v>
      </c>
      <c r="G760" s="156">
        <f>Tabla18[[#This Row],[Importe]]-Tabla18[[#This Row],[Pagado]]</f>
        <v>0</v>
      </c>
      <c r="H760" s="75" t="s">
        <v>10</v>
      </c>
    </row>
    <row r="761" spans="1:8" x14ac:dyDescent="0.25">
      <c r="A761" s="148">
        <v>44749</v>
      </c>
      <c r="B761" s="149" t="s">
        <v>22051</v>
      </c>
      <c r="C761" s="153" t="s">
        <v>10678</v>
      </c>
      <c r="D761" s="154">
        <v>4688.2</v>
      </c>
      <c r="E761" s="155">
        <v>44749</v>
      </c>
      <c r="F761" s="154">
        <v>4688.2</v>
      </c>
      <c r="G761" s="156">
        <f>Tabla18[[#This Row],[Importe]]-Tabla18[[#This Row],[Pagado]]</f>
        <v>0</v>
      </c>
      <c r="H761" s="153" t="s">
        <v>10</v>
      </c>
    </row>
    <row r="762" spans="1:8" x14ac:dyDescent="0.25">
      <c r="A762" s="73">
        <v>44749</v>
      </c>
      <c r="B762" s="74" t="s">
        <v>22052</v>
      </c>
      <c r="C762" s="75" t="s">
        <v>20710</v>
      </c>
      <c r="D762" s="81">
        <v>21104</v>
      </c>
      <c r="E762" s="151">
        <v>44749</v>
      </c>
      <c r="F762" s="81">
        <v>21104</v>
      </c>
      <c r="G762" s="156">
        <f>Tabla18[[#This Row],[Importe]]-Tabla18[[#This Row],[Pagado]]</f>
        <v>0</v>
      </c>
      <c r="H762" s="75" t="s">
        <v>10</v>
      </c>
    </row>
    <row r="763" spans="1:8" x14ac:dyDescent="0.25">
      <c r="A763" s="148">
        <v>44749</v>
      </c>
      <c r="B763" s="149" t="s">
        <v>22053</v>
      </c>
      <c r="C763" s="153" t="s">
        <v>454</v>
      </c>
      <c r="D763" s="154">
        <v>2866.6</v>
      </c>
      <c r="E763" s="155">
        <v>44749</v>
      </c>
      <c r="F763" s="154">
        <v>2866.6</v>
      </c>
      <c r="G763" s="156">
        <f>Tabla18[[#This Row],[Importe]]-Tabla18[[#This Row],[Pagado]]</f>
        <v>0</v>
      </c>
      <c r="H763" s="153" t="s">
        <v>10</v>
      </c>
    </row>
    <row r="764" spans="1:8" x14ac:dyDescent="0.25">
      <c r="A764" s="73">
        <v>44749</v>
      </c>
      <c r="B764" s="74" t="s">
        <v>22054</v>
      </c>
      <c r="C764" s="75" t="s">
        <v>7444</v>
      </c>
      <c r="D764" s="81">
        <v>15110.8</v>
      </c>
      <c r="E764" s="151">
        <v>44760</v>
      </c>
      <c r="F764" s="81">
        <v>15110.8</v>
      </c>
      <c r="G764" s="156">
        <f>Tabla18[[#This Row],[Importe]]-Tabla18[[#This Row],[Pagado]]</f>
        <v>0</v>
      </c>
      <c r="H764" s="75" t="s">
        <v>10</v>
      </c>
    </row>
    <row r="765" spans="1:8" x14ac:dyDescent="0.25">
      <c r="A765" s="148">
        <v>44749</v>
      </c>
      <c r="B765" s="149" t="s">
        <v>22055</v>
      </c>
      <c r="C765" s="153" t="s">
        <v>22</v>
      </c>
      <c r="D765" s="154">
        <v>1960</v>
      </c>
      <c r="E765" s="155">
        <v>44749</v>
      </c>
      <c r="F765" s="154">
        <v>1960</v>
      </c>
      <c r="G765" s="156">
        <f>Tabla18[[#This Row],[Importe]]-Tabla18[[#This Row],[Pagado]]</f>
        <v>0</v>
      </c>
      <c r="H765" s="153" t="s">
        <v>10</v>
      </c>
    </row>
    <row r="766" spans="1:8" x14ac:dyDescent="0.25">
      <c r="A766" s="73">
        <v>44749</v>
      </c>
      <c r="B766" s="74" t="s">
        <v>22056</v>
      </c>
      <c r="C766" s="75" t="s">
        <v>296</v>
      </c>
      <c r="D766" s="81">
        <v>2271.8000000000002</v>
      </c>
      <c r="E766" s="151">
        <v>44749</v>
      </c>
      <c r="F766" s="81">
        <v>2271.8000000000002</v>
      </c>
      <c r="G766" s="156">
        <f>Tabla18[[#This Row],[Importe]]-Tabla18[[#This Row],[Pagado]]</f>
        <v>0</v>
      </c>
      <c r="H766" s="75" t="s">
        <v>10</v>
      </c>
    </row>
    <row r="767" spans="1:8" x14ac:dyDescent="0.25">
      <c r="A767" s="148">
        <v>44749</v>
      </c>
      <c r="B767" s="149" t="s">
        <v>22057</v>
      </c>
      <c r="C767" s="153" t="s">
        <v>1174</v>
      </c>
      <c r="D767" s="154">
        <v>5652.4</v>
      </c>
      <c r="E767" s="155">
        <v>44749</v>
      </c>
      <c r="F767" s="154">
        <v>5652.4</v>
      </c>
      <c r="G767" s="156">
        <f>Tabla18[[#This Row],[Importe]]-Tabla18[[#This Row],[Pagado]]</f>
        <v>0</v>
      </c>
      <c r="H767" s="153" t="s">
        <v>10</v>
      </c>
    </row>
    <row r="768" spans="1:8" x14ac:dyDescent="0.25">
      <c r="A768" s="73">
        <v>44749</v>
      </c>
      <c r="B768" s="74" t="s">
        <v>22058</v>
      </c>
      <c r="C768" s="75" t="s">
        <v>31</v>
      </c>
      <c r="D768" s="81">
        <v>1363.2</v>
      </c>
      <c r="E768" s="151">
        <v>44749</v>
      </c>
      <c r="F768" s="81">
        <v>1363.2</v>
      </c>
      <c r="G768" s="156">
        <f>Tabla18[[#This Row],[Importe]]-Tabla18[[#This Row],[Pagado]]</f>
        <v>0</v>
      </c>
      <c r="H768" s="75" t="s">
        <v>10</v>
      </c>
    </row>
    <row r="769" spans="1:8" x14ac:dyDescent="0.25">
      <c r="A769" s="148">
        <v>44749</v>
      </c>
      <c r="B769" s="149" t="s">
        <v>22059</v>
      </c>
      <c r="C769" s="153" t="s">
        <v>179</v>
      </c>
      <c r="D769" s="154">
        <v>1267.2</v>
      </c>
      <c r="E769" s="155">
        <v>44750</v>
      </c>
      <c r="F769" s="154">
        <v>1267.2</v>
      </c>
      <c r="G769" s="156">
        <f>Tabla18[[#This Row],[Importe]]-Tabla18[[#This Row],[Pagado]]</f>
        <v>0</v>
      </c>
      <c r="H769" s="153" t="s">
        <v>10</v>
      </c>
    </row>
    <row r="770" spans="1:8" x14ac:dyDescent="0.25">
      <c r="A770" s="73">
        <v>44750</v>
      </c>
      <c r="B770" s="74" t="s">
        <v>22060</v>
      </c>
      <c r="C770" s="75" t="s">
        <v>75</v>
      </c>
      <c r="D770" s="81">
        <v>7200</v>
      </c>
      <c r="E770" s="151">
        <v>44750</v>
      </c>
      <c r="F770" s="81">
        <v>7200</v>
      </c>
      <c r="G770" s="156">
        <f>Tabla18[[#This Row],[Importe]]-Tabla18[[#This Row],[Pagado]]</f>
        <v>0</v>
      </c>
      <c r="H770" s="75" t="s">
        <v>10</v>
      </c>
    </row>
    <row r="771" spans="1:8" x14ac:dyDescent="0.25">
      <c r="A771" s="148">
        <v>44750</v>
      </c>
      <c r="B771" s="149" t="s">
        <v>22061</v>
      </c>
      <c r="C771" s="153" t="s">
        <v>85</v>
      </c>
      <c r="D771" s="154">
        <v>2115.6999999999998</v>
      </c>
      <c r="E771" s="155">
        <v>44750</v>
      </c>
      <c r="F771" s="154">
        <v>2115.6999999999998</v>
      </c>
      <c r="G771" s="156">
        <f>Tabla18[[#This Row],[Importe]]-Tabla18[[#This Row],[Pagado]]</f>
        <v>0</v>
      </c>
      <c r="H771" s="153" t="s">
        <v>10</v>
      </c>
    </row>
    <row r="772" spans="1:8" x14ac:dyDescent="0.25">
      <c r="A772" s="73">
        <v>44750</v>
      </c>
      <c r="B772" s="74" t="s">
        <v>22062</v>
      </c>
      <c r="C772" s="75" t="s">
        <v>475</v>
      </c>
      <c r="D772" s="81">
        <v>90284.800000000003</v>
      </c>
      <c r="E772" s="151">
        <v>44751</v>
      </c>
      <c r="F772" s="81">
        <v>90284.800000000003</v>
      </c>
      <c r="G772" s="156">
        <f>Tabla18[[#This Row],[Importe]]-Tabla18[[#This Row],[Pagado]]</f>
        <v>0</v>
      </c>
      <c r="H772" s="75" t="s">
        <v>10</v>
      </c>
    </row>
    <row r="773" spans="1:8" x14ac:dyDescent="0.25">
      <c r="A773" s="148">
        <v>44750</v>
      </c>
      <c r="B773" s="149" t="s">
        <v>22063</v>
      </c>
      <c r="C773" s="153" t="s">
        <v>481</v>
      </c>
      <c r="D773" s="154">
        <v>471.6</v>
      </c>
      <c r="E773" s="155">
        <v>44750</v>
      </c>
      <c r="F773" s="154">
        <v>471.6</v>
      </c>
      <c r="G773" s="156">
        <f>Tabla18[[#This Row],[Importe]]-Tabla18[[#This Row],[Pagado]]</f>
        <v>0</v>
      </c>
      <c r="H773" s="153" t="s">
        <v>10</v>
      </c>
    </row>
    <row r="774" spans="1:8" x14ac:dyDescent="0.25">
      <c r="A774" s="73">
        <v>44750</v>
      </c>
      <c r="B774" s="74" t="s">
        <v>22064</v>
      </c>
      <c r="C774" s="75" t="s">
        <v>97</v>
      </c>
      <c r="D774" s="81">
        <v>10624</v>
      </c>
      <c r="E774" s="151">
        <v>44751</v>
      </c>
      <c r="F774" s="81">
        <v>10624</v>
      </c>
      <c r="G774" s="156">
        <f>Tabla18[[#This Row],[Importe]]-Tabla18[[#This Row],[Pagado]]</f>
        <v>0</v>
      </c>
      <c r="H774" s="75" t="s">
        <v>10</v>
      </c>
    </row>
    <row r="775" spans="1:8" x14ac:dyDescent="0.25">
      <c r="A775" s="148">
        <v>44750</v>
      </c>
      <c r="B775" s="149" t="s">
        <v>22065</v>
      </c>
      <c r="C775" s="153" t="s">
        <v>2151</v>
      </c>
      <c r="D775" s="154">
        <v>26862.7</v>
      </c>
      <c r="E775" s="155">
        <v>44750</v>
      </c>
      <c r="F775" s="154">
        <v>26862.7</v>
      </c>
      <c r="G775" s="156">
        <f>Tabla18[[#This Row],[Importe]]-Tabla18[[#This Row],[Pagado]]</f>
        <v>0</v>
      </c>
      <c r="H775" s="153" t="s">
        <v>10</v>
      </c>
    </row>
    <row r="776" spans="1:8" x14ac:dyDescent="0.25">
      <c r="A776" s="73">
        <v>44750</v>
      </c>
      <c r="B776" s="74" t="s">
        <v>22066</v>
      </c>
      <c r="C776" s="75" t="s">
        <v>111</v>
      </c>
      <c r="D776" s="81">
        <v>6162.8</v>
      </c>
      <c r="E776" s="151">
        <v>44751</v>
      </c>
      <c r="F776" s="81">
        <v>6162.8</v>
      </c>
      <c r="G776" s="156">
        <f>Tabla18[[#This Row],[Importe]]-Tabla18[[#This Row],[Pagado]]</f>
        <v>0</v>
      </c>
      <c r="H776" s="75" t="s">
        <v>10</v>
      </c>
    </row>
    <row r="777" spans="1:8" ht="31.5" x14ac:dyDescent="0.25">
      <c r="A777" s="148">
        <v>44750</v>
      </c>
      <c r="B777" s="149" t="s">
        <v>22067</v>
      </c>
      <c r="C777" s="153" t="s">
        <v>93</v>
      </c>
      <c r="D777" s="154">
        <v>8406.4</v>
      </c>
      <c r="E777" s="150" t="s">
        <v>22068</v>
      </c>
      <c r="F777" s="154">
        <f>4000+4406.4</f>
        <v>8406.4</v>
      </c>
      <c r="G777" s="156">
        <f>Tabla18[[#This Row],[Importe]]-Tabla18[[#This Row],[Pagado]]</f>
        <v>0</v>
      </c>
      <c r="H777" s="153" t="s">
        <v>10</v>
      </c>
    </row>
    <row r="778" spans="1:8" x14ac:dyDescent="0.25">
      <c r="A778" s="73">
        <v>44750</v>
      </c>
      <c r="B778" s="74" t="s">
        <v>22069</v>
      </c>
      <c r="C778" s="75" t="s">
        <v>5043</v>
      </c>
      <c r="D778" s="81">
        <v>6515.2</v>
      </c>
      <c r="E778" s="151">
        <v>44753</v>
      </c>
      <c r="F778" s="81">
        <v>6515.2</v>
      </c>
      <c r="G778" s="156">
        <f>Tabla18[[#This Row],[Importe]]-Tabla18[[#This Row],[Pagado]]</f>
        <v>0</v>
      </c>
      <c r="H778" s="75" t="s">
        <v>10</v>
      </c>
    </row>
    <row r="779" spans="1:8" x14ac:dyDescent="0.25">
      <c r="A779" s="148">
        <v>44750</v>
      </c>
      <c r="B779" s="149" t="s">
        <v>22070</v>
      </c>
      <c r="C779" s="153" t="s">
        <v>105</v>
      </c>
      <c r="D779" s="154">
        <v>12592.2</v>
      </c>
      <c r="E779" s="155">
        <v>44751</v>
      </c>
      <c r="F779" s="154">
        <v>12592.2</v>
      </c>
      <c r="G779" s="156">
        <f>Tabla18[[#This Row],[Importe]]-Tabla18[[#This Row],[Pagado]]</f>
        <v>0</v>
      </c>
      <c r="H779" s="153" t="s">
        <v>10</v>
      </c>
    </row>
    <row r="780" spans="1:8" x14ac:dyDescent="0.25">
      <c r="A780" s="73">
        <v>44750</v>
      </c>
      <c r="B780" s="74" t="s">
        <v>22071</v>
      </c>
      <c r="C780" s="75" t="s">
        <v>109</v>
      </c>
      <c r="D780" s="81">
        <v>5344.4</v>
      </c>
      <c r="E780" s="151">
        <v>44751</v>
      </c>
      <c r="F780" s="81">
        <v>5344.4</v>
      </c>
      <c r="G780" s="156">
        <f>Tabla18[[#This Row],[Importe]]-Tabla18[[#This Row],[Pagado]]</f>
        <v>0</v>
      </c>
      <c r="H780" s="75" t="s">
        <v>10</v>
      </c>
    </row>
    <row r="781" spans="1:8" x14ac:dyDescent="0.25">
      <c r="A781" s="148">
        <v>44750</v>
      </c>
      <c r="B781" s="149" t="s">
        <v>22072</v>
      </c>
      <c r="C781" s="153" t="s">
        <v>120</v>
      </c>
      <c r="D781" s="154">
        <v>606.79999999999995</v>
      </c>
      <c r="E781" s="155">
        <v>44750</v>
      </c>
      <c r="F781" s="154">
        <v>606.79999999999995</v>
      </c>
      <c r="G781" s="156">
        <f>Tabla18[[#This Row],[Importe]]-Tabla18[[#This Row],[Pagado]]</f>
        <v>0</v>
      </c>
      <c r="H781" s="153" t="s">
        <v>10</v>
      </c>
    </row>
    <row r="782" spans="1:8" x14ac:dyDescent="0.25">
      <c r="A782" s="73">
        <v>44750</v>
      </c>
      <c r="B782" s="74" t="s">
        <v>22073</v>
      </c>
      <c r="C782" s="75" t="s">
        <v>99</v>
      </c>
      <c r="D782" s="81">
        <v>8415.7999999999993</v>
      </c>
      <c r="E782" s="151">
        <v>44753</v>
      </c>
      <c r="F782" s="81">
        <v>8415.7999999999993</v>
      </c>
      <c r="G782" s="156">
        <f>Tabla18[[#This Row],[Importe]]-Tabla18[[#This Row],[Pagado]]</f>
        <v>0</v>
      </c>
      <c r="H782" s="75" t="s">
        <v>10</v>
      </c>
    </row>
    <row r="783" spans="1:8" x14ac:dyDescent="0.25">
      <c r="A783" s="148">
        <v>44750</v>
      </c>
      <c r="B783" s="149" t="s">
        <v>22074</v>
      </c>
      <c r="C783" s="153" t="s">
        <v>348</v>
      </c>
      <c r="D783" s="154">
        <v>2576.4</v>
      </c>
      <c r="E783" s="155">
        <v>44750</v>
      </c>
      <c r="F783" s="154">
        <v>2576.4</v>
      </c>
      <c r="G783" s="156">
        <f>Tabla18[[#This Row],[Importe]]-Tabla18[[#This Row],[Pagado]]</f>
        <v>0</v>
      </c>
      <c r="H783" s="153" t="s">
        <v>10</v>
      </c>
    </row>
    <row r="784" spans="1:8" x14ac:dyDescent="0.25">
      <c r="A784" s="73">
        <v>44750</v>
      </c>
      <c r="B784" s="74" t="s">
        <v>22075</v>
      </c>
      <c r="C784" s="75" t="s">
        <v>89</v>
      </c>
      <c r="D784" s="81">
        <v>15076.7</v>
      </c>
      <c r="E784" s="151">
        <v>44751</v>
      </c>
      <c r="F784" s="81">
        <v>15076.7</v>
      </c>
      <c r="G784" s="156">
        <f>Tabla18[[#This Row],[Importe]]-Tabla18[[#This Row],[Pagado]]</f>
        <v>0</v>
      </c>
      <c r="H784" s="75" t="s">
        <v>10</v>
      </c>
    </row>
    <row r="785" spans="1:8" ht="31.5" x14ac:dyDescent="0.25">
      <c r="A785" s="148">
        <v>44750</v>
      </c>
      <c r="B785" s="149" t="s">
        <v>22076</v>
      </c>
      <c r="C785" s="153" t="s">
        <v>22</v>
      </c>
      <c r="D785" s="154">
        <v>83687.600000000006</v>
      </c>
      <c r="E785" s="150" t="s">
        <v>22077</v>
      </c>
      <c r="F785" s="154">
        <f>56000+27687.6</f>
        <v>83687.600000000006</v>
      </c>
      <c r="G785" s="156">
        <f>Tabla18[[#This Row],[Importe]]-Tabla18[[#This Row],[Pagado]]</f>
        <v>0</v>
      </c>
      <c r="H785" s="153" t="s">
        <v>10</v>
      </c>
    </row>
    <row r="786" spans="1:8" x14ac:dyDescent="0.25">
      <c r="A786" s="73">
        <v>44750</v>
      </c>
      <c r="B786" s="74" t="s">
        <v>22078</v>
      </c>
      <c r="C786" s="75" t="s">
        <v>664</v>
      </c>
      <c r="D786" s="81">
        <v>15532</v>
      </c>
      <c r="E786" s="151">
        <v>44750</v>
      </c>
      <c r="F786" s="81">
        <v>15532</v>
      </c>
      <c r="G786" s="156">
        <f>Tabla18[[#This Row],[Importe]]-Tabla18[[#This Row],[Pagado]]</f>
        <v>0</v>
      </c>
      <c r="H786" s="75" t="s">
        <v>10</v>
      </c>
    </row>
    <row r="787" spans="1:8" x14ac:dyDescent="0.25">
      <c r="A787" s="148">
        <v>44750</v>
      </c>
      <c r="B787" s="149" t="s">
        <v>22079</v>
      </c>
      <c r="C787" s="153" t="s">
        <v>64</v>
      </c>
      <c r="D787" s="154">
        <v>11856.8</v>
      </c>
      <c r="E787" s="155">
        <v>44751</v>
      </c>
      <c r="F787" s="154">
        <v>11856.8</v>
      </c>
      <c r="G787" s="156">
        <f>Tabla18[[#This Row],[Importe]]-Tabla18[[#This Row],[Pagado]]</f>
        <v>0</v>
      </c>
      <c r="H787" s="153" t="s">
        <v>10</v>
      </c>
    </row>
    <row r="788" spans="1:8" x14ac:dyDescent="0.25">
      <c r="A788" s="73">
        <v>44750</v>
      </c>
      <c r="B788" s="74" t="s">
        <v>22080</v>
      </c>
      <c r="C788" s="75" t="s">
        <v>114</v>
      </c>
      <c r="D788" s="81">
        <v>11694.2</v>
      </c>
      <c r="E788" s="151">
        <v>44751</v>
      </c>
      <c r="F788" s="81">
        <v>11694.2</v>
      </c>
      <c r="G788" s="156">
        <f>Tabla18[[#This Row],[Importe]]-Tabla18[[#This Row],[Pagado]]</f>
        <v>0</v>
      </c>
      <c r="H788" s="75" t="s">
        <v>10</v>
      </c>
    </row>
    <row r="789" spans="1:8" ht="31.5" x14ac:dyDescent="0.25">
      <c r="A789" s="148">
        <v>44750</v>
      </c>
      <c r="B789" s="149" t="s">
        <v>22081</v>
      </c>
      <c r="C789" s="153" t="s">
        <v>116</v>
      </c>
      <c r="D789" s="154">
        <v>5095.8</v>
      </c>
      <c r="E789" s="150" t="s">
        <v>22068</v>
      </c>
      <c r="F789" s="154">
        <f>2000+3095.8</f>
        <v>5095.8</v>
      </c>
      <c r="G789" s="156">
        <f>Tabla18[[#This Row],[Importe]]-Tabla18[[#This Row],[Pagado]]</f>
        <v>0</v>
      </c>
      <c r="H789" s="153" t="s">
        <v>10</v>
      </c>
    </row>
    <row r="790" spans="1:8" x14ac:dyDescent="0.25">
      <c r="A790" s="73">
        <v>44750</v>
      </c>
      <c r="B790" s="74" t="s">
        <v>22082</v>
      </c>
      <c r="C790" s="75" t="s">
        <v>326</v>
      </c>
      <c r="D790" s="81">
        <v>8883.2999999999993</v>
      </c>
      <c r="E790" s="151">
        <v>44751</v>
      </c>
      <c r="F790" s="81">
        <v>8883.2999999999993</v>
      </c>
      <c r="G790" s="156">
        <f>Tabla18[[#This Row],[Importe]]-Tabla18[[#This Row],[Pagado]]</f>
        <v>0</v>
      </c>
      <c r="H790" s="75" t="s">
        <v>10</v>
      </c>
    </row>
    <row r="791" spans="1:8" x14ac:dyDescent="0.25">
      <c r="A791" s="148">
        <v>44750</v>
      </c>
      <c r="B791" s="149" t="s">
        <v>22083</v>
      </c>
      <c r="C791" s="153" t="s">
        <v>333</v>
      </c>
      <c r="D791" s="154">
        <v>1476.8</v>
      </c>
      <c r="E791" s="155">
        <v>44750</v>
      </c>
      <c r="F791" s="154">
        <v>1476.8</v>
      </c>
      <c r="G791" s="156">
        <f>Tabla18[[#This Row],[Importe]]-Tabla18[[#This Row],[Pagado]]</f>
        <v>0</v>
      </c>
      <c r="H791" s="153" t="s">
        <v>10</v>
      </c>
    </row>
    <row r="792" spans="1:8" x14ac:dyDescent="0.25">
      <c r="A792" s="73">
        <v>44750</v>
      </c>
      <c r="B792" s="74" t="s">
        <v>22084</v>
      </c>
      <c r="C792" s="75" t="s">
        <v>146</v>
      </c>
      <c r="D792" s="81">
        <v>3862.8</v>
      </c>
      <c r="E792" s="151">
        <v>44750</v>
      </c>
      <c r="F792" s="81">
        <v>3862.8</v>
      </c>
      <c r="G792" s="156">
        <f>Tabla18[[#This Row],[Importe]]-Tabla18[[#This Row],[Pagado]]</f>
        <v>0</v>
      </c>
      <c r="H792" s="75" t="s">
        <v>10</v>
      </c>
    </row>
    <row r="793" spans="1:8" x14ac:dyDescent="0.25">
      <c r="A793" s="148">
        <v>44750</v>
      </c>
      <c r="B793" s="149" t="s">
        <v>22085</v>
      </c>
      <c r="C793" s="153" t="s">
        <v>9</v>
      </c>
      <c r="D793" s="154">
        <v>10201.9</v>
      </c>
      <c r="E793" s="155">
        <v>44750</v>
      </c>
      <c r="F793" s="154">
        <v>10201.9</v>
      </c>
      <c r="G793" s="156">
        <f>Tabla18[[#This Row],[Importe]]-Tabla18[[#This Row],[Pagado]]</f>
        <v>0</v>
      </c>
      <c r="H793" s="153" t="s">
        <v>10</v>
      </c>
    </row>
    <row r="794" spans="1:8" x14ac:dyDescent="0.25">
      <c r="A794" s="73">
        <v>44750</v>
      </c>
      <c r="B794" s="74" t="s">
        <v>22086</v>
      </c>
      <c r="C794" s="75" t="s">
        <v>140</v>
      </c>
      <c r="D794" s="81">
        <v>1170</v>
      </c>
      <c r="E794" s="151">
        <v>44750</v>
      </c>
      <c r="F794" s="81">
        <v>1170</v>
      </c>
      <c r="G794" s="156">
        <f>Tabla18[[#This Row],[Importe]]-Tabla18[[#This Row],[Pagado]]</f>
        <v>0</v>
      </c>
      <c r="H794" s="75" t="s">
        <v>10</v>
      </c>
    </row>
    <row r="795" spans="1:8" x14ac:dyDescent="0.25">
      <c r="A795" s="148">
        <v>44750</v>
      </c>
      <c r="B795" s="149" t="s">
        <v>22087</v>
      </c>
      <c r="C795" s="153" t="s">
        <v>357</v>
      </c>
      <c r="D795" s="154">
        <v>577.5</v>
      </c>
      <c r="E795" s="155">
        <v>44750</v>
      </c>
      <c r="F795" s="154">
        <v>577.5</v>
      </c>
      <c r="G795" s="156">
        <f>Tabla18[[#This Row],[Importe]]-Tabla18[[#This Row],[Pagado]]</f>
        <v>0</v>
      </c>
      <c r="H795" s="153" t="s">
        <v>10</v>
      </c>
    </row>
    <row r="796" spans="1:8" x14ac:dyDescent="0.25">
      <c r="A796" s="73">
        <v>44750</v>
      </c>
      <c r="B796" s="74" t="s">
        <v>22088</v>
      </c>
      <c r="C796" s="75" t="s">
        <v>129</v>
      </c>
      <c r="D796" s="81">
        <v>1665</v>
      </c>
      <c r="E796" s="151">
        <v>44750</v>
      </c>
      <c r="F796" s="81">
        <v>1665</v>
      </c>
      <c r="G796" s="156">
        <f>Tabla18[[#This Row],[Importe]]-Tabla18[[#This Row],[Pagado]]</f>
        <v>0</v>
      </c>
      <c r="H796" s="75" t="s">
        <v>10</v>
      </c>
    </row>
    <row r="797" spans="1:8" x14ac:dyDescent="0.25">
      <c r="A797" s="148">
        <v>44750</v>
      </c>
      <c r="B797" s="149" t="s">
        <v>22089</v>
      </c>
      <c r="C797" s="153" t="s">
        <v>127</v>
      </c>
      <c r="D797" s="154">
        <v>1442.6</v>
      </c>
      <c r="E797" s="155">
        <v>44750</v>
      </c>
      <c r="F797" s="154">
        <v>1442.6</v>
      </c>
      <c r="G797" s="156">
        <f>Tabla18[[#This Row],[Importe]]-Tabla18[[#This Row],[Pagado]]</f>
        <v>0</v>
      </c>
      <c r="H797" s="153" t="s">
        <v>10</v>
      </c>
    </row>
    <row r="798" spans="1:8" x14ac:dyDescent="0.25">
      <c r="A798" s="73">
        <v>44750</v>
      </c>
      <c r="B798" s="74" t="s">
        <v>22090</v>
      </c>
      <c r="C798" s="75" t="s">
        <v>339</v>
      </c>
      <c r="D798" s="81">
        <v>570</v>
      </c>
      <c r="E798" s="151">
        <v>44750</v>
      </c>
      <c r="F798" s="81">
        <v>570</v>
      </c>
      <c r="G798" s="156">
        <f>Tabla18[[#This Row],[Importe]]-Tabla18[[#This Row],[Pagado]]</f>
        <v>0</v>
      </c>
      <c r="H798" s="75" t="s">
        <v>10</v>
      </c>
    </row>
    <row r="799" spans="1:8" x14ac:dyDescent="0.25">
      <c r="A799" s="148">
        <v>44750</v>
      </c>
      <c r="B799" s="149" t="s">
        <v>22091</v>
      </c>
      <c r="C799" s="153" t="s">
        <v>1187</v>
      </c>
      <c r="D799" s="154">
        <v>2423.6999999999998</v>
      </c>
      <c r="E799" s="155">
        <v>44750</v>
      </c>
      <c r="F799" s="154">
        <v>2423.6999999999998</v>
      </c>
      <c r="G799" s="156">
        <f>Tabla18[[#This Row],[Importe]]-Tabla18[[#This Row],[Pagado]]</f>
        <v>0</v>
      </c>
      <c r="H799" s="153" t="s">
        <v>10</v>
      </c>
    </row>
    <row r="800" spans="1:8" x14ac:dyDescent="0.25">
      <c r="A800" s="73">
        <v>44750</v>
      </c>
      <c r="B800" s="74" t="s">
        <v>22092</v>
      </c>
      <c r="C800" s="75" t="s">
        <v>314</v>
      </c>
      <c r="D800" s="81">
        <v>3810.6</v>
      </c>
      <c r="E800" s="151">
        <v>44750</v>
      </c>
      <c r="F800" s="81">
        <v>3810.6</v>
      </c>
      <c r="G800" s="156">
        <f>Tabla18[[#This Row],[Importe]]-Tabla18[[#This Row],[Pagado]]</f>
        <v>0</v>
      </c>
      <c r="H800" s="75" t="s">
        <v>10</v>
      </c>
    </row>
    <row r="801" spans="1:8" x14ac:dyDescent="0.25">
      <c r="A801" s="148">
        <v>44750</v>
      </c>
      <c r="B801" s="149" t="s">
        <v>22093</v>
      </c>
      <c r="C801" s="153" t="s">
        <v>87</v>
      </c>
      <c r="D801" s="154">
        <v>3376.1</v>
      </c>
      <c r="E801" s="155">
        <v>44750</v>
      </c>
      <c r="F801" s="154">
        <v>3376.1</v>
      </c>
      <c r="G801" s="156">
        <f>Tabla18[[#This Row],[Importe]]-Tabla18[[#This Row],[Pagado]]</f>
        <v>0</v>
      </c>
      <c r="H801" s="153" t="s">
        <v>10</v>
      </c>
    </row>
    <row r="802" spans="1:8" x14ac:dyDescent="0.25">
      <c r="A802" s="73">
        <v>44750</v>
      </c>
      <c r="B802" s="74" t="s">
        <v>22094</v>
      </c>
      <c r="C802" s="75" t="s">
        <v>212</v>
      </c>
      <c r="D802" s="81">
        <v>69780.600000000006</v>
      </c>
      <c r="E802" s="151">
        <v>44754</v>
      </c>
      <c r="F802" s="81">
        <v>69780.600000000006</v>
      </c>
      <c r="G802" s="156">
        <f>Tabla18[[#This Row],[Importe]]-Tabla18[[#This Row],[Pagado]]</f>
        <v>0</v>
      </c>
      <c r="H802" s="75" t="s">
        <v>10</v>
      </c>
    </row>
    <row r="803" spans="1:8" x14ac:dyDescent="0.25">
      <c r="A803" s="148">
        <v>44750</v>
      </c>
      <c r="B803" s="149" t="s">
        <v>22095</v>
      </c>
      <c r="C803" s="153" t="s">
        <v>22096</v>
      </c>
      <c r="D803" s="154">
        <v>0</v>
      </c>
      <c r="E803" s="158" t="s">
        <v>189</v>
      </c>
      <c r="F803" s="154">
        <v>0</v>
      </c>
      <c r="G803" s="156">
        <f>Tabla18[[#This Row],[Importe]]-Tabla18[[#This Row],[Pagado]]</f>
        <v>0</v>
      </c>
      <c r="H803" s="153" t="s">
        <v>189</v>
      </c>
    </row>
    <row r="804" spans="1:8" x14ac:dyDescent="0.25">
      <c r="A804" s="73">
        <v>44750</v>
      </c>
      <c r="B804" s="74" t="s">
        <v>22097</v>
      </c>
      <c r="C804" s="75" t="s">
        <v>142</v>
      </c>
      <c r="D804" s="81">
        <v>68357.89</v>
      </c>
      <c r="E804" s="151">
        <v>44799</v>
      </c>
      <c r="F804" s="81">
        <v>68357.89</v>
      </c>
      <c r="G804" s="156">
        <f>Tabla18[[#This Row],[Importe]]-Tabla18[[#This Row],[Pagado]]</f>
        <v>0</v>
      </c>
      <c r="H804" s="75" t="s">
        <v>10</v>
      </c>
    </row>
    <row r="805" spans="1:8" x14ac:dyDescent="0.25">
      <c r="A805" s="148">
        <v>44750</v>
      </c>
      <c r="B805" s="149" t="s">
        <v>22098</v>
      </c>
      <c r="C805" s="153" t="s">
        <v>218</v>
      </c>
      <c r="D805" s="154">
        <v>23990.799999999999</v>
      </c>
      <c r="E805" s="155">
        <v>44756</v>
      </c>
      <c r="F805" s="154">
        <v>23990.799999999999</v>
      </c>
      <c r="G805" s="156">
        <f>Tabla18[[#This Row],[Importe]]-Tabla18[[#This Row],[Pagado]]</f>
        <v>0</v>
      </c>
      <c r="H805" s="153" t="s">
        <v>10</v>
      </c>
    </row>
    <row r="806" spans="1:8" x14ac:dyDescent="0.25">
      <c r="A806" s="73">
        <v>44750</v>
      </c>
      <c r="B806" s="74" t="s">
        <v>22099</v>
      </c>
      <c r="C806" s="75" t="s">
        <v>31</v>
      </c>
      <c r="D806" s="81">
        <v>3201.6</v>
      </c>
      <c r="E806" s="151">
        <v>44750</v>
      </c>
      <c r="F806" s="81">
        <v>3201.6</v>
      </c>
      <c r="G806" s="156">
        <f>Tabla18[[#This Row],[Importe]]-Tabla18[[#This Row],[Pagado]]</f>
        <v>0</v>
      </c>
      <c r="H806" s="75" t="s">
        <v>10</v>
      </c>
    </row>
    <row r="807" spans="1:8" x14ac:dyDescent="0.25">
      <c r="A807" s="148">
        <v>44750</v>
      </c>
      <c r="B807" s="149" t="s">
        <v>22100</v>
      </c>
      <c r="C807" s="153" t="s">
        <v>31</v>
      </c>
      <c r="D807" s="154">
        <v>1890</v>
      </c>
      <c r="E807" s="155">
        <v>44750</v>
      </c>
      <c r="F807" s="154">
        <v>1890</v>
      </c>
      <c r="G807" s="156">
        <f>Tabla18[[#This Row],[Importe]]-Tabla18[[#This Row],[Pagado]]</f>
        <v>0</v>
      </c>
      <c r="H807" s="153" t="s">
        <v>10</v>
      </c>
    </row>
    <row r="808" spans="1:8" x14ac:dyDescent="0.25">
      <c r="A808" s="73">
        <v>44750</v>
      </c>
      <c r="B808" s="74" t="s">
        <v>22101</v>
      </c>
      <c r="C808" s="75" t="s">
        <v>154</v>
      </c>
      <c r="D808" s="81">
        <v>61769.599999999999</v>
      </c>
      <c r="E808" s="151">
        <v>44755</v>
      </c>
      <c r="F808" s="81">
        <v>61769.599999999999</v>
      </c>
      <c r="G808" s="156">
        <f>Tabla18[[#This Row],[Importe]]-Tabla18[[#This Row],[Pagado]]</f>
        <v>0</v>
      </c>
      <c r="H808" s="75" t="s">
        <v>10</v>
      </c>
    </row>
    <row r="809" spans="1:8" x14ac:dyDescent="0.25">
      <c r="A809" s="148">
        <v>44750</v>
      </c>
      <c r="B809" s="149" t="s">
        <v>22102</v>
      </c>
      <c r="C809" s="153" t="s">
        <v>206</v>
      </c>
      <c r="D809" s="154">
        <v>28965</v>
      </c>
      <c r="E809" s="155">
        <v>44756</v>
      </c>
      <c r="F809" s="154">
        <v>28965</v>
      </c>
      <c r="G809" s="156">
        <f>Tabla18[[#This Row],[Importe]]-Tabla18[[#This Row],[Pagado]]</f>
        <v>0</v>
      </c>
      <c r="H809" s="153" t="s">
        <v>10</v>
      </c>
    </row>
    <row r="810" spans="1:8" x14ac:dyDescent="0.25">
      <c r="A810" s="73">
        <v>44750</v>
      </c>
      <c r="B810" s="74" t="s">
        <v>22103</v>
      </c>
      <c r="C810" s="75" t="s">
        <v>173</v>
      </c>
      <c r="D810" s="81">
        <v>29492</v>
      </c>
      <c r="E810" s="151">
        <v>44751</v>
      </c>
      <c r="F810" s="81">
        <v>29492</v>
      </c>
      <c r="G810" s="156">
        <f>Tabla18[[#This Row],[Importe]]-Tabla18[[#This Row],[Pagado]]</f>
        <v>0</v>
      </c>
      <c r="H810" s="75" t="s">
        <v>10</v>
      </c>
    </row>
    <row r="811" spans="1:8" x14ac:dyDescent="0.25">
      <c r="A811" s="148">
        <v>44750</v>
      </c>
      <c r="B811" s="149" t="s">
        <v>22104</v>
      </c>
      <c r="C811" s="153" t="s">
        <v>45</v>
      </c>
      <c r="D811" s="154">
        <v>12499.5</v>
      </c>
      <c r="E811" s="155">
        <v>44750</v>
      </c>
      <c r="F811" s="154">
        <v>12499.5</v>
      </c>
      <c r="G811" s="156">
        <f>Tabla18[[#This Row],[Importe]]-Tabla18[[#This Row],[Pagado]]</f>
        <v>0</v>
      </c>
      <c r="H811" s="153" t="s">
        <v>10</v>
      </c>
    </row>
    <row r="812" spans="1:8" x14ac:dyDescent="0.25">
      <c r="A812" s="73">
        <v>44750</v>
      </c>
      <c r="B812" s="74" t="s">
        <v>22105</v>
      </c>
      <c r="C812" s="75" t="s">
        <v>49</v>
      </c>
      <c r="D812" s="81">
        <v>3381.4</v>
      </c>
      <c r="E812" s="151">
        <v>44750</v>
      </c>
      <c r="F812" s="81">
        <v>3381.4</v>
      </c>
      <c r="G812" s="156">
        <f>Tabla18[[#This Row],[Importe]]-Tabla18[[#This Row],[Pagado]]</f>
        <v>0</v>
      </c>
      <c r="H812" s="75" t="s">
        <v>10</v>
      </c>
    </row>
    <row r="813" spans="1:8" x14ac:dyDescent="0.25">
      <c r="A813" s="148">
        <v>44750</v>
      </c>
      <c r="B813" s="149" t="s">
        <v>22106</v>
      </c>
      <c r="C813" s="153" t="s">
        <v>161</v>
      </c>
      <c r="D813" s="154">
        <v>4469.6000000000004</v>
      </c>
      <c r="E813" s="155">
        <v>44750</v>
      </c>
      <c r="F813" s="154">
        <v>4469.6000000000004</v>
      </c>
      <c r="G813" s="156">
        <f>Tabla18[[#This Row],[Importe]]-Tabla18[[#This Row],[Pagado]]</f>
        <v>0</v>
      </c>
      <c r="H813" s="153" t="s">
        <v>10</v>
      </c>
    </row>
    <row r="814" spans="1:8" x14ac:dyDescent="0.25">
      <c r="A814" s="73">
        <v>44750</v>
      </c>
      <c r="B814" s="74" t="s">
        <v>22107</v>
      </c>
      <c r="C814" s="75" t="s">
        <v>27</v>
      </c>
      <c r="D814" s="81">
        <v>2166</v>
      </c>
      <c r="E814" s="151">
        <v>44750</v>
      </c>
      <c r="F814" s="81">
        <v>2166</v>
      </c>
      <c r="G814" s="156">
        <f>Tabla18[[#This Row],[Importe]]-Tabla18[[#This Row],[Pagado]]</f>
        <v>0</v>
      </c>
      <c r="H814" s="75" t="s">
        <v>10</v>
      </c>
    </row>
    <row r="815" spans="1:8" x14ac:dyDescent="0.25">
      <c r="A815" s="148">
        <v>44750</v>
      </c>
      <c r="B815" s="149" t="s">
        <v>22108</v>
      </c>
      <c r="C815" s="153" t="s">
        <v>133</v>
      </c>
      <c r="D815" s="154">
        <v>22725</v>
      </c>
      <c r="E815" s="155">
        <v>44751</v>
      </c>
      <c r="F815" s="154">
        <v>22725</v>
      </c>
      <c r="G815" s="156">
        <f>Tabla18[[#This Row],[Importe]]-Tabla18[[#This Row],[Pagado]]</f>
        <v>0</v>
      </c>
      <c r="H815" s="153" t="s">
        <v>10</v>
      </c>
    </row>
    <row r="816" spans="1:8" x14ac:dyDescent="0.25">
      <c r="A816" s="73">
        <v>44750</v>
      </c>
      <c r="B816" s="74" t="s">
        <v>22109</v>
      </c>
      <c r="C816" s="75" t="s">
        <v>518</v>
      </c>
      <c r="D816" s="81">
        <v>3473.8</v>
      </c>
      <c r="E816" s="151">
        <v>44750</v>
      </c>
      <c r="F816" s="81">
        <v>3473.8</v>
      </c>
      <c r="G816" s="156">
        <f>Tabla18[[#This Row],[Importe]]-Tabla18[[#This Row],[Pagado]]</f>
        <v>0</v>
      </c>
      <c r="H816" s="75" t="s">
        <v>10</v>
      </c>
    </row>
    <row r="817" spans="1:8" x14ac:dyDescent="0.25">
      <c r="A817" s="148">
        <v>44750</v>
      </c>
      <c r="B817" s="149" t="s">
        <v>22110</v>
      </c>
      <c r="C817" s="153" t="s">
        <v>365</v>
      </c>
      <c r="D817" s="154">
        <v>1065</v>
      </c>
      <c r="E817" s="155">
        <v>44750</v>
      </c>
      <c r="F817" s="154">
        <v>1065</v>
      </c>
      <c r="G817" s="156">
        <f>Tabla18[[#This Row],[Importe]]-Tabla18[[#This Row],[Pagado]]</f>
        <v>0</v>
      </c>
      <c r="H817" s="153" t="s">
        <v>10</v>
      </c>
    </row>
    <row r="818" spans="1:8" x14ac:dyDescent="0.25">
      <c r="A818" s="73">
        <v>44750</v>
      </c>
      <c r="B818" s="74" t="s">
        <v>22111</v>
      </c>
      <c r="C818" s="75" t="s">
        <v>24</v>
      </c>
      <c r="D818" s="81">
        <v>4851.3999999999996</v>
      </c>
      <c r="E818" s="151">
        <v>44750</v>
      </c>
      <c r="F818" s="81">
        <v>4851.3999999999996</v>
      </c>
      <c r="G818" s="156">
        <f>Tabla18[[#This Row],[Importe]]-Tabla18[[#This Row],[Pagado]]</f>
        <v>0</v>
      </c>
      <c r="H818" s="75" t="s">
        <v>10</v>
      </c>
    </row>
    <row r="819" spans="1:8" x14ac:dyDescent="0.25">
      <c r="A819" s="148">
        <v>44750</v>
      </c>
      <c r="B819" s="149" t="s">
        <v>22112</v>
      </c>
      <c r="C819" s="153" t="s">
        <v>22113</v>
      </c>
      <c r="D819" s="154">
        <v>0</v>
      </c>
      <c r="E819" s="158" t="s">
        <v>189</v>
      </c>
      <c r="F819" s="154">
        <v>0</v>
      </c>
      <c r="G819" s="156">
        <f>Tabla18[[#This Row],[Importe]]-Tabla18[[#This Row],[Pagado]]</f>
        <v>0</v>
      </c>
      <c r="H819" s="153" t="s">
        <v>189</v>
      </c>
    </row>
    <row r="820" spans="1:8" x14ac:dyDescent="0.25">
      <c r="A820" s="73">
        <v>44750</v>
      </c>
      <c r="B820" s="74" t="s">
        <v>22114</v>
      </c>
      <c r="C820" s="75" t="s">
        <v>592</v>
      </c>
      <c r="D820" s="81">
        <v>34873</v>
      </c>
      <c r="E820" s="151">
        <v>44758</v>
      </c>
      <c r="F820" s="81">
        <v>34873</v>
      </c>
      <c r="G820" s="156">
        <f>Tabla18[[#This Row],[Importe]]-Tabla18[[#This Row],[Pagado]]</f>
        <v>0</v>
      </c>
      <c r="H820" s="75" t="s">
        <v>10</v>
      </c>
    </row>
    <row r="821" spans="1:8" x14ac:dyDescent="0.25">
      <c r="A821" s="148">
        <v>44750</v>
      </c>
      <c r="B821" s="149" t="s">
        <v>22115</v>
      </c>
      <c r="C821" s="153" t="s">
        <v>5816</v>
      </c>
      <c r="D821" s="154">
        <v>4928</v>
      </c>
      <c r="E821" s="155">
        <v>44751</v>
      </c>
      <c r="F821" s="154">
        <v>4928</v>
      </c>
      <c r="G821" s="156">
        <f>Tabla18[[#This Row],[Importe]]-Tabla18[[#This Row],[Pagado]]</f>
        <v>0</v>
      </c>
      <c r="H821" s="153" t="s">
        <v>10</v>
      </c>
    </row>
    <row r="822" spans="1:8" x14ac:dyDescent="0.25">
      <c r="A822" s="73">
        <v>44750</v>
      </c>
      <c r="B822" s="74" t="s">
        <v>22116</v>
      </c>
      <c r="C822" s="75" t="s">
        <v>442</v>
      </c>
      <c r="D822" s="81">
        <v>13710</v>
      </c>
      <c r="E822" s="151">
        <v>44750</v>
      </c>
      <c r="F822" s="81">
        <v>13710</v>
      </c>
      <c r="G822" s="156">
        <f>Tabla18[[#This Row],[Importe]]-Tabla18[[#This Row],[Pagado]]</f>
        <v>0</v>
      </c>
      <c r="H822" s="75" t="s">
        <v>10</v>
      </c>
    </row>
    <row r="823" spans="1:8" x14ac:dyDescent="0.25">
      <c r="A823" s="148">
        <v>44750</v>
      </c>
      <c r="B823" s="149" t="s">
        <v>22117</v>
      </c>
      <c r="C823" s="153" t="s">
        <v>442</v>
      </c>
      <c r="D823" s="154">
        <v>6045.8</v>
      </c>
      <c r="E823" s="155">
        <v>44750</v>
      </c>
      <c r="F823" s="154">
        <v>6045.8</v>
      </c>
      <c r="G823" s="156">
        <f>Tabla18[[#This Row],[Importe]]-Tabla18[[#This Row],[Pagado]]</f>
        <v>0</v>
      </c>
      <c r="H823" s="153" t="s">
        <v>10</v>
      </c>
    </row>
    <row r="824" spans="1:8" x14ac:dyDescent="0.25">
      <c r="A824" s="73">
        <v>44750</v>
      </c>
      <c r="B824" s="74" t="s">
        <v>22118</v>
      </c>
      <c r="C824" s="75" t="s">
        <v>49</v>
      </c>
      <c r="D824" s="81">
        <v>525</v>
      </c>
      <c r="E824" s="151">
        <v>44750</v>
      </c>
      <c r="F824" s="81">
        <v>525</v>
      </c>
      <c r="G824" s="156">
        <f>Tabla18[[#This Row],[Importe]]-Tabla18[[#This Row],[Pagado]]</f>
        <v>0</v>
      </c>
      <c r="H824" s="75" t="s">
        <v>10</v>
      </c>
    </row>
    <row r="825" spans="1:8" x14ac:dyDescent="0.25">
      <c r="A825" s="148">
        <v>44750</v>
      </c>
      <c r="B825" s="149" t="s">
        <v>22119</v>
      </c>
      <c r="C825" s="153" t="s">
        <v>53</v>
      </c>
      <c r="D825" s="154">
        <v>1935</v>
      </c>
      <c r="E825" s="155">
        <v>44750</v>
      </c>
      <c r="F825" s="154">
        <v>1935</v>
      </c>
      <c r="G825" s="156">
        <f>Tabla18[[#This Row],[Importe]]-Tabla18[[#This Row],[Pagado]]</f>
        <v>0</v>
      </c>
      <c r="H825" s="153" t="s">
        <v>10</v>
      </c>
    </row>
    <row r="826" spans="1:8" x14ac:dyDescent="0.25">
      <c r="A826" s="73">
        <v>44750</v>
      </c>
      <c r="B826" s="74" t="s">
        <v>22120</v>
      </c>
      <c r="C826" s="75" t="s">
        <v>196</v>
      </c>
      <c r="D826" s="81">
        <v>144242.76</v>
      </c>
      <c r="E826" s="151">
        <v>44750</v>
      </c>
      <c r="F826" s="81">
        <v>144242.76</v>
      </c>
      <c r="G826" s="156">
        <f>Tabla18[[#This Row],[Importe]]-Tabla18[[#This Row],[Pagado]]</f>
        <v>0</v>
      </c>
      <c r="H826" s="75" t="s">
        <v>10</v>
      </c>
    </row>
    <row r="827" spans="1:8" x14ac:dyDescent="0.25">
      <c r="A827" s="148">
        <v>44750</v>
      </c>
      <c r="B827" s="149" t="s">
        <v>22121</v>
      </c>
      <c r="C827" s="153" t="s">
        <v>214</v>
      </c>
      <c r="D827" s="154">
        <v>1189.9000000000001</v>
      </c>
      <c r="E827" s="155">
        <v>44750</v>
      </c>
      <c r="F827" s="154">
        <v>1189.9000000000001</v>
      </c>
      <c r="G827" s="156">
        <f>Tabla18[[#This Row],[Importe]]-Tabla18[[#This Row],[Pagado]]</f>
        <v>0</v>
      </c>
      <c r="H827" s="153" t="s">
        <v>10</v>
      </c>
    </row>
    <row r="828" spans="1:8" x14ac:dyDescent="0.25">
      <c r="A828" s="73">
        <v>44750</v>
      </c>
      <c r="B828" s="74" t="s">
        <v>22122</v>
      </c>
      <c r="C828" s="75" t="s">
        <v>541</v>
      </c>
      <c r="D828" s="81">
        <v>18459.2</v>
      </c>
      <c r="E828" s="151">
        <v>44751</v>
      </c>
      <c r="F828" s="81">
        <v>18459.2</v>
      </c>
      <c r="G828" s="156">
        <f>Tabla18[[#This Row],[Importe]]-Tabla18[[#This Row],[Pagado]]</f>
        <v>0</v>
      </c>
      <c r="H828" s="75" t="s">
        <v>10</v>
      </c>
    </row>
    <row r="829" spans="1:8" x14ac:dyDescent="0.25">
      <c r="A829" s="148">
        <v>44750</v>
      </c>
      <c r="B829" s="149" t="s">
        <v>22123</v>
      </c>
      <c r="C829" s="153" t="s">
        <v>175</v>
      </c>
      <c r="D829" s="154">
        <v>13485.6</v>
      </c>
      <c r="E829" s="155">
        <v>44750</v>
      </c>
      <c r="F829" s="154">
        <v>13485.6</v>
      </c>
      <c r="G829" s="156">
        <f>Tabla18[[#This Row],[Importe]]-Tabla18[[#This Row],[Pagado]]</f>
        <v>0</v>
      </c>
      <c r="H829" s="153" t="s">
        <v>10</v>
      </c>
    </row>
    <row r="830" spans="1:8" x14ac:dyDescent="0.25">
      <c r="A830" s="73">
        <v>44750</v>
      </c>
      <c r="B830" s="74" t="s">
        <v>22124</v>
      </c>
      <c r="C830" s="75" t="s">
        <v>1481</v>
      </c>
      <c r="D830" s="81">
        <v>340</v>
      </c>
      <c r="E830" s="151">
        <v>44750</v>
      </c>
      <c r="F830" s="81">
        <v>340</v>
      </c>
      <c r="G830" s="156">
        <f>Tabla18[[#This Row],[Importe]]-Tabla18[[#This Row],[Pagado]]</f>
        <v>0</v>
      </c>
      <c r="H830" s="75" t="s">
        <v>10</v>
      </c>
    </row>
    <row r="831" spans="1:8" x14ac:dyDescent="0.25">
      <c r="A831" s="148">
        <v>44750</v>
      </c>
      <c r="B831" s="149" t="s">
        <v>22125</v>
      </c>
      <c r="C831" s="153" t="s">
        <v>200</v>
      </c>
      <c r="D831" s="154">
        <v>1277.5</v>
      </c>
      <c r="E831" s="155">
        <v>44750</v>
      </c>
      <c r="F831" s="154">
        <v>1277.5</v>
      </c>
      <c r="G831" s="156">
        <f>Tabla18[[#This Row],[Importe]]-Tabla18[[#This Row],[Pagado]]</f>
        <v>0</v>
      </c>
      <c r="H831" s="153" t="s">
        <v>10</v>
      </c>
    </row>
    <row r="832" spans="1:8" x14ac:dyDescent="0.25">
      <c r="A832" s="73">
        <v>44750</v>
      </c>
      <c r="B832" s="74" t="s">
        <v>22126</v>
      </c>
      <c r="C832" s="75" t="s">
        <v>181</v>
      </c>
      <c r="D832" s="81">
        <v>10700</v>
      </c>
      <c r="E832" s="151">
        <v>44750</v>
      </c>
      <c r="F832" s="81">
        <v>10700</v>
      </c>
      <c r="G832" s="156">
        <f>Tabla18[[#This Row],[Importe]]-Tabla18[[#This Row],[Pagado]]</f>
        <v>0</v>
      </c>
      <c r="H832" s="75" t="s">
        <v>10</v>
      </c>
    </row>
    <row r="833" spans="1:8" x14ac:dyDescent="0.25">
      <c r="A833" s="148">
        <v>44750</v>
      </c>
      <c r="B833" s="149" t="s">
        <v>22127</v>
      </c>
      <c r="C833" s="153" t="s">
        <v>359</v>
      </c>
      <c r="D833" s="154">
        <v>623</v>
      </c>
      <c r="E833" s="155">
        <v>44750</v>
      </c>
      <c r="F833" s="154">
        <v>623</v>
      </c>
      <c r="G833" s="156">
        <f>Tabla18[[#This Row],[Importe]]-Tabla18[[#This Row],[Pagado]]</f>
        <v>0</v>
      </c>
      <c r="H833" s="153" t="s">
        <v>10</v>
      </c>
    </row>
    <row r="834" spans="1:8" x14ac:dyDescent="0.25">
      <c r="A834" s="73">
        <v>44750</v>
      </c>
      <c r="B834" s="74" t="s">
        <v>22128</v>
      </c>
      <c r="C834" s="75" t="s">
        <v>29</v>
      </c>
      <c r="D834" s="81">
        <v>4606.3</v>
      </c>
      <c r="E834" s="151">
        <v>44750</v>
      </c>
      <c r="F834" s="81">
        <v>4606.3</v>
      </c>
      <c r="G834" s="156">
        <f>Tabla18[[#This Row],[Importe]]-Tabla18[[#This Row],[Pagado]]</f>
        <v>0</v>
      </c>
      <c r="H834" s="75" t="s">
        <v>10</v>
      </c>
    </row>
    <row r="835" spans="1:8" x14ac:dyDescent="0.25">
      <c r="A835" s="148">
        <v>44750</v>
      </c>
      <c r="B835" s="149" t="s">
        <v>22129</v>
      </c>
      <c r="C835" s="153" t="s">
        <v>3971</v>
      </c>
      <c r="D835" s="154">
        <v>1518</v>
      </c>
      <c r="E835" s="155">
        <v>44750</v>
      </c>
      <c r="F835" s="154">
        <v>1518</v>
      </c>
      <c r="G835" s="156">
        <f>Tabla18[[#This Row],[Importe]]-Tabla18[[#This Row],[Pagado]]</f>
        <v>0</v>
      </c>
      <c r="H835" s="153" t="s">
        <v>10</v>
      </c>
    </row>
    <row r="836" spans="1:8" x14ac:dyDescent="0.25">
      <c r="A836" s="73">
        <v>44750</v>
      </c>
      <c r="B836" s="74" t="s">
        <v>22130</v>
      </c>
      <c r="C836" s="75" t="s">
        <v>454</v>
      </c>
      <c r="D836" s="81">
        <v>1513.6</v>
      </c>
      <c r="E836" s="151">
        <v>44750</v>
      </c>
      <c r="F836" s="81">
        <v>1513.6</v>
      </c>
      <c r="G836" s="156">
        <f>Tabla18[[#This Row],[Importe]]-Tabla18[[#This Row],[Pagado]]</f>
        <v>0</v>
      </c>
      <c r="H836" s="75" t="s">
        <v>10</v>
      </c>
    </row>
    <row r="837" spans="1:8" x14ac:dyDescent="0.25">
      <c r="A837" s="148">
        <v>44750</v>
      </c>
      <c r="B837" s="149" t="s">
        <v>22131</v>
      </c>
      <c r="C837" s="153" t="s">
        <v>670</v>
      </c>
      <c r="D837" s="154">
        <v>2308.6999999999998</v>
      </c>
      <c r="E837" s="155">
        <v>44750</v>
      </c>
      <c r="F837" s="154">
        <v>2308.6999999999998</v>
      </c>
      <c r="G837" s="156">
        <f>Tabla18[[#This Row],[Importe]]-Tabla18[[#This Row],[Pagado]]</f>
        <v>0</v>
      </c>
      <c r="H837" s="153" t="s">
        <v>10</v>
      </c>
    </row>
    <row r="838" spans="1:8" x14ac:dyDescent="0.25">
      <c r="A838" s="73">
        <v>44750</v>
      </c>
      <c r="B838" s="74" t="s">
        <v>22132</v>
      </c>
      <c r="C838" s="75" t="s">
        <v>37</v>
      </c>
      <c r="D838" s="81">
        <v>4950</v>
      </c>
      <c r="E838" s="151">
        <v>44750</v>
      </c>
      <c r="F838" s="81">
        <v>4950</v>
      </c>
      <c r="G838" s="156">
        <f>Tabla18[[#This Row],[Importe]]-Tabla18[[#This Row],[Pagado]]</f>
        <v>0</v>
      </c>
      <c r="H838" s="75" t="s">
        <v>10</v>
      </c>
    </row>
    <row r="839" spans="1:8" x14ac:dyDescent="0.25">
      <c r="A839" s="148">
        <v>44750</v>
      </c>
      <c r="B839" s="149" t="s">
        <v>22133</v>
      </c>
      <c r="C839" s="153" t="s">
        <v>198</v>
      </c>
      <c r="D839" s="154">
        <v>6855.5</v>
      </c>
      <c r="E839" s="155">
        <v>44750</v>
      </c>
      <c r="F839" s="154">
        <v>6855.5</v>
      </c>
      <c r="G839" s="156">
        <f>Tabla18[[#This Row],[Importe]]-Tabla18[[#This Row],[Pagado]]</f>
        <v>0</v>
      </c>
      <c r="H839" s="153" t="s">
        <v>10</v>
      </c>
    </row>
    <row r="840" spans="1:8" x14ac:dyDescent="0.25">
      <c r="A840" s="73">
        <v>44750</v>
      </c>
      <c r="B840" s="74" t="s">
        <v>22134</v>
      </c>
      <c r="C840" s="75" t="s">
        <v>312</v>
      </c>
      <c r="D840" s="81">
        <v>862.4</v>
      </c>
      <c r="E840" s="151">
        <v>44750</v>
      </c>
      <c r="F840" s="81">
        <v>862.4</v>
      </c>
      <c r="G840" s="156">
        <f>Tabla18[[#This Row],[Importe]]-Tabla18[[#This Row],[Pagado]]</f>
        <v>0</v>
      </c>
      <c r="H840" s="75" t="s">
        <v>10</v>
      </c>
    </row>
    <row r="841" spans="1:8" x14ac:dyDescent="0.25">
      <c r="A841" s="148">
        <v>44750</v>
      </c>
      <c r="B841" s="149" t="s">
        <v>22135</v>
      </c>
      <c r="C841" s="153" t="s">
        <v>51</v>
      </c>
      <c r="D841" s="154">
        <v>4061.5</v>
      </c>
      <c r="E841" s="155">
        <v>44750</v>
      </c>
      <c r="F841" s="154">
        <v>4061.5</v>
      </c>
      <c r="G841" s="156">
        <f>Tabla18[[#This Row],[Importe]]-Tabla18[[#This Row],[Pagado]]</f>
        <v>0</v>
      </c>
      <c r="H841" s="153" t="s">
        <v>10</v>
      </c>
    </row>
    <row r="842" spans="1:8" x14ac:dyDescent="0.25">
      <c r="A842" s="73">
        <v>44750</v>
      </c>
      <c r="B842" s="74" t="s">
        <v>22136</v>
      </c>
      <c r="C842" s="75" t="s">
        <v>3402</v>
      </c>
      <c r="D842" s="81">
        <v>1004.4</v>
      </c>
      <c r="E842" s="151">
        <v>44750</v>
      </c>
      <c r="F842" s="81">
        <v>1004.4</v>
      </c>
      <c r="G842" s="156">
        <f>Tabla18[[#This Row],[Importe]]-Tabla18[[#This Row],[Pagado]]</f>
        <v>0</v>
      </c>
      <c r="H842" s="75" t="s">
        <v>10</v>
      </c>
    </row>
    <row r="843" spans="1:8" x14ac:dyDescent="0.25">
      <c r="A843" s="148">
        <v>44750</v>
      </c>
      <c r="B843" s="149" t="s">
        <v>22137</v>
      </c>
      <c r="C843" s="153" t="s">
        <v>31</v>
      </c>
      <c r="D843" s="154">
        <v>655.4</v>
      </c>
      <c r="E843" s="155">
        <v>44750</v>
      </c>
      <c r="F843" s="154">
        <v>655.4</v>
      </c>
      <c r="G843" s="156">
        <f>Tabla18[[#This Row],[Importe]]-Tabla18[[#This Row],[Pagado]]</f>
        <v>0</v>
      </c>
      <c r="H843" s="153" t="s">
        <v>10</v>
      </c>
    </row>
    <row r="844" spans="1:8" x14ac:dyDescent="0.25">
      <c r="A844" s="73">
        <v>44750</v>
      </c>
      <c r="B844" s="74" t="s">
        <v>22138</v>
      </c>
      <c r="C844" s="75" t="s">
        <v>9827</v>
      </c>
      <c r="D844" s="81">
        <v>3997.6</v>
      </c>
      <c r="E844" s="151">
        <v>44750</v>
      </c>
      <c r="F844" s="81">
        <v>3997.6</v>
      </c>
      <c r="G844" s="156">
        <f>Tabla18[[#This Row],[Importe]]-Tabla18[[#This Row],[Pagado]]</f>
        <v>0</v>
      </c>
      <c r="H844" s="75" t="s">
        <v>10</v>
      </c>
    </row>
    <row r="845" spans="1:8" x14ac:dyDescent="0.25">
      <c r="A845" s="148">
        <v>44750</v>
      </c>
      <c r="B845" s="149" t="s">
        <v>22139</v>
      </c>
      <c r="C845" s="153" t="s">
        <v>1350</v>
      </c>
      <c r="D845" s="154">
        <v>648.29999999999995</v>
      </c>
      <c r="E845" s="155">
        <v>44750</v>
      </c>
      <c r="F845" s="154">
        <v>648.29999999999995</v>
      </c>
      <c r="G845" s="156">
        <f>Tabla18[[#This Row],[Importe]]-Tabla18[[#This Row],[Pagado]]</f>
        <v>0</v>
      </c>
      <c r="H845" s="153" t="s">
        <v>10</v>
      </c>
    </row>
    <row r="846" spans="1:8" x14ac:dyDescent="0.25">
      <c r="A846" s="73">
        <v>44750</v>
      </c>
      <c r="B846" s="74" t="s">
        <v>22140</v>
      </c>
      <c r="C846" s="75" t="s">
        <v>224</v>
      </c>
      <c r="D846" s="81">
        <v>2212.1999999999998</v>
      </c>
      <c r="E846" s="151">
        <v>44750</v>
      </c>
      <c r="F846" s="81">
        <v>2212.1999999999998</v>
      </c>
      <c r="G846" s="156">
        <f>Tabla18[[#This Row],[Importe]]-Tabla18[[#This Row],[Pagado]]</f>
        <v>0</v>
      </c>
      <c r="H846" s="75" t="s">
        <v>10</v>
      </c>
    </row>
    <row r="847" spans="1:8" x14ac:dyDescent="0.25">
      <c r="A847" s="148">
        <v>44750</v>
      </c>
      <c r="B847" s="149" t="s">
        <v>22141</v>
      </c>
      <c r="C847" s="153" t="s">
        <v>31</v>
      </c>
      <c r="D847" s="154">
        <v>2489.3000000000002</v>
      </c>
      <c r="E847" s="155">
        <v>44750</v>
      </c>
      <c r="F847" s="154">
        <v>2489.3000000000002</v>
      </c>
      <c r="G847" s="156">
        <f>Tabla18[[#This Row],[Importe]]-Tabla18[[#This Row],[Pagado]]</f>
        <v>0</v>
      </c>
      <c r="H847" s="153" t="s">
        <v>10</v>
      </c>
    </row>
    <row r="848" spans="1:8" x14ac:dyDescent="0.25">
      <c r="A848" s="73">
        <v>44750</v>
      </c>
      <c r="B848" s="74" t="s">
        <v>22142</v>
      </c>
      <c r="C848" s="75" t="s">
        <v>382</v>
      </c>
      <c r="D848" s="81">
        <v>1058.2</v>
      </c>
      <c r="E848" s="151">
        <v>44750</v>
      </c>
      <c r="F848" s="81">
        <v>1058.2</v>
      </c>
      <c r="G848" s="156">
        <f>Tabla18[[#This Row],[Importe]]-Tabla18[[#This Row],[Pagado]]</f>
        <v>0</v>
      </c>
      <c r="H848" s="75" t="s">
        <v>10</v>
      </c>
    </row>
    <row r="849" spans="1:8" x14ac:dyDescent="0.25">
      <c r="A849" s="148">
        <v>44750</v>
      </c>
      <c r="B849" s="149" t="s">
        <v>22143</v>
      </c>
      <c r="C849" s="153" t="s">
        <v>196</v>
      </c>
      <c r="D849" s="154">
        <v>5072.6000000000004</v>
      </c>
      <c r="E849" s="155">
        <v>44750</v>
      </c>
      <c r="F849" s="154">
        <v>5072.6000000000004</v>
      </c>
      <c r="G849" s="156">
        <f>Tabla18[[#This Row],[Importe]]-Tabla18[[#This Row],[Pagado]]</f>
        <v>0</v>
      </c>
      <c r="H849" s="153" t="s">
        <v>10</v>
      </c>
    </row>
    <row r="850" spans="1:8" x14ac:dyDescent="0.25">
      <c r="A850" s="73">
        <v>44750</v>
      </c>
      <c r="B850" s="74" t="s">
        <v>22144</v>
      </c>
      <c r="C850" s="75" t="s">
        <v>56</v>
      </c>
      <c r="D850" s="81">
        <v>6865.5</v>
      </c>
      <c r="E850" s="151">
        <v>44750</v>
      </c>
      <c r="F850" s="81">
        <v>6865.5</v>
      </c>
      <c r="G850" s="156">
        <f>Tabla18[[#This Row],[Importe]]-Tabla18[[#This Row],[Pagado]]</f>
        <v>0</v>
      </c>
      <c r="H850" s="75" t="s">
        <v>10</v>
      </c>
    </row>
    <row r="851" spans="1:8" x14ac:dyDescent="0.25">
      <c r="A851" s="148">
        <v>44750</v>
      </c>
      <c r="B851" s="149" t="s">
        <v>22145</v>
      </c>
      <c r="C851" s="153" t="s">
        <v>216</v>
      </c>
      <c r="D851" s="154">
        <v>2299.5</v>
      </c>
      <c r="E851" s="155">
        <v>44750</v>
      </c>
      <c r="F851" s="154">
        <v>2299.5</v>
      </c>
      <c r="G851" s="156">
        <f>Tabla18[[#This Row],[Importe]]-Tabla18[[#This Row],[Pagado]]</f>
        <v>0</v>
      </c>
      <c r="H851" s="153" t="s">
        <v>10</v>
      </c>
    </row>
    <row r="852" spans="1:8" x14ac:dyDescent="0.25">
      <c r="A852" s="73">
        <v>44750</v>
      </c>
      <c r="B852" s="74" t="s">
        <v>22146</v>
      </c>
      <c r="C852" s="75" t="s">
        <v>414</v>
      </c>
      <c r="D852" s="81">
        <v>18900</v>
      </c>
      <c r="E852" s="151">
        <v>44761</v>
      </c>
      <c r="F852" s="81">
        <v>18900</v>
      </c>
      <c r="G852" s="156">
        <f>Tabla18[[#This Row],[Importe]]-Tabla18[[#This Row],[Pagado]]</f>
        <v>0</v>
      </c>
      <c r="H852" s="75" t="s">
        <v>10</v>
      </c>
    </row>
    <row r="853" spans="1:8" x14ac:dyDescent="0.25">
      <c r="A853" s="148">
        <v>44750</v>
      </c>
      <c r="B853" s="149" t="s">
        <v>22147</v>
      </c>
      <c r="C853" s="153" t="s">
        <v>233</v>
      </c>
      <c r="D853" s="154">
        <v>5764.6</v>
      </c>
      <c r="E853" s="155">
        <v>44750</v>
      </c>
      <c r="F853" s="154">
        <v>5764.6</v>
      </c>
      <c r="G853" s="156">
        <f>Tabla18[[#This Row],[Importe]]-Tabla18[[#This Row],[Pagado]]</f>
        <v>0</v>
      </c>
      <c r="H853" s="153" t="s">
        <v>10</v>
      </c>
    </row>
    <row r="854" spans="1:8" x14ac:dyDescent="0.25">
      <c r="A854" s="73">
        <v>44750</v>
      </c>
      <c r="B854" s="74" t="s">
        <v>22148</v>
      </c>
      <c r="C854" s="75" t="s">
        <v>56</v>
      </c>
      <c r="D854" s="81">
        <v>800</v>
      </c>
      <c r="E854" s="151">
        <v>44750</v>
      </c>
      <c r="F854" s="81">
        <v>800</v>
      </c>
      <c r="G854" s="156">
        <f>Tabla18[[#This Row],[Importe]]-Tabla18[[#This Row],[Pagado]]</f>
        <v>0</v>
      </c>
      <c r="H854" s="75" t="s">
        <v>10</v>
      </c>
    </row>
    <row r="855" spans="1:8" x14ac:dyDescent="0.25">
      <c r="A855" s="148">
        <v>44750</v>
      </c>
      <c r="B855" s="149" t="s">
        <v>22149</v>
      </c>
      <c r="C855" s="153" t="s">
        <v>107</v>
      </c>
      <c r="D855" s="154">
        <v>17882.400000000001</v>
      </c>
      <c r="E855" s="155">
        <v>44750</v>
      </c>
      <c r="F855" s="154">
        <v>17882.400000000001</v>
      </c>
      <c r="G855" s="156">
        <f>Tabla18[[#This Row],[Importe]]-Tabla18[[#This Row],[Pagado]]</f>
        <v>0</v>
      </c>
      <c r="H855" s="153" t="s">
        <v>10</v>
      </c>
    </row>
    <row r="856" spans="1:8" x14ac:dyDescent="0.25">
      <c r="A856" s="73">
        <v>44750</v>
      </c>
      <c r="B856" s="74" t="s">
        <v>22150</v>
      </c>
      <c r="C856" s="75" t="s">
        <v>5217</v>
      </c>
      <c r="D856" s="81">
        <v>2621.6</v>
      </c>
      <c r="E856" s="151">
        <v>44750</v>
      </c>
      <c r="F856" s="81">
        <v>2621.6</v>
      </c>
      <c r="G856" s="156">
        <f>Tabla18[[#This Row],[Importe]]-Tabla18[[#This Row],[Pagado]]</f>
        <v>0</v>
      </c>
      <c r="H856" s="75" t="s">
        <v>10</v>
      </c>
    </row>
    <row r="857" spans="1:8" x14ac:dyDescent="0.25">
      <c r="A857" s="148">
        <v>44750</v>
      </c>
      <c r="B857" s="149" t="s">
        <v>22151</v>
      </c>
      <c r="C857" s="153" t="s">
        <v>275</v>
      </c>
      <c r="D857" s="154">
        <v>186731.3</v>
      </c>
      <c r="E857" s="155">
        <v>44764</v>
      </c>
      <c r="F857" s="154">
        <v>186731.3</v>
      </c>
      <c r="G857" s="156">
        <f>Tabla18[[#This Row],[Importe]]-Tabla18[[#This Row],[Pagado]]</f>
        <v>0</v>
      </c>
      <c r="H857" s="153" t="s">
        <v>10</v>
      </c>
    </row>
    <row r="858" spans="1:8" x14ac:dyDescent="0.25">
      <c r="A858" s="73">
        <v>44750</v>
      </c>
      <c r="B858" s="74" t="s">
        <v>22152</v>
      </c>
      <c r="C858" s="75" t="s">
        <v>419</v>
      </c>
      <c r="D858" s="81">
        <v>3975</v>
      </c>
      <c r="E858" s="151">
        <v>44750</v>
      </c>
      <c r="F858" s="81">
        <v>3975</v>
      </c>
      <c r="G858" s="156">
        <f>Tabla18[[#This Row],[Importe]]-Tabla18[[#This Row],[Pagado]]</f>
        <v>0</v>
      </c>
      <c r="H858" s="75" t="s">
        <v>10</v>
      </c>
    </row>
    <row r="859" spans="1:8" x14ac:dyDescent="0.25">
      <c r="A859" s="148">
        <v>44750</v>
      </c>
      <c r="B859" s="149" t="s">
        <v>22153</v>
      </c>
      <c r="C859" s="153" t="s">
        <v>1362</v>
      </c>
      <c r="D859" s="154">
        <v>4350</v>
      </c>
      <c r="E859" s="155">
        <v>44750</v>
      </c>
      <c r="F859" s="154">
        <v>4350</v>
      </c>
      <c r="G859" s="156">
        <f>Tabla18[[#This Row],[Importe]]-Tabla18[[#This Row],[Pagado]]</f>
        <v>0</v>
      </c>
      <c r="H859" s="153" t="s">
        <v>10</v>
      </c>
    </row>
    <row r="860" spans="1:8" x14ac:dyDescent="0.25">
      <c r="A860" s="73">
        <v>44750</v>
      </c>
      <c r="B860" s="74" t="s">
        <v>22154</v>
      </c>
      <c r="C860" s="75" t="s">
        <v>31</v>
      </c>
      <c r="D860" s="81">
        <v>6275.2</v>
      </c>
      <c r="E860" s="151">
        <v>44750</v>
      </c>
      <c r="F860" s="81">
        <v>6275.2</v>
      </c>
      <c r="G860" s="156">
        <f>Tabla18[[#This Row],[Importe]]-Tabla18[[#This Row],[Pagado]]</f>
        <v>0</v>
      </c>
      <c r="H860" s="75" t="s">
        <v>10</v>
      </c>
    </row>
    <row r="861" spans="1:8" x14ac:dyDescent="0.25">
      <c r="A861" s="148">
        <v>44750</v>
      </c>
      <c r="B861" s="149" t="s">
        <v>22155</v>
      </c>
      <c r="C861" s="153" t="s">
        <v>849</v>
      </c>
      <c r="D861" s="154">
        <v>5600</v>
      </c>
      <c r="E861" s="155">
        <v>44750</v>
      </c>
      <c r="F861" s="154">
        <v>5600</v>
      </c>
      <c r="G861" s="156">
        <f>Tabla18[[#This Row],[Importe]]-Tabla18[[#This Row],[Pagado]]</f>
        <v>0</v>
      </c>
      <c r="H861" s="153" t="s">
        <v>10</v>
      </c>
    </row>
    <row r="862" spans="1:8" ht="31.5" x14ac:dyDescent="0.25">
      <c r="A862" s="73">
        <v>44750</v>
      </c>
      <c r="B862" s="74" t="s">
        <v>22156</v>
      </c>
      <c r="C862" s="75" t="s">
        <v>67</v>
      </c>
      <c r="D862" s="81">
        <v>13607.8</v>
      </c>
      <c r="E862" s="147" t="s">
        <v>21956</v>
      </c>
      <c r="F862" s="81">
        <f>13207.8+400</f>
        <v>13607.8</v>
      </c>
      <c r="G862" s="156">
        <f>Tabla18[[#This Row],[Importe]]-Tabla18[[#This Row],[Pagado]]</f>
        <v>0</v>
      </c>
      <c r="H862" s="75" t="s">
        <v>10</v>
      </c>
    </row>
    <row r="863" spans="1:8" x14ac:dyDescent="0.25">
      <c r="A863" s="148">
        <v>44750</v>
      </c>
      <c r="B863" s="149" t="s">
        <v>22157</v>
      </c>
      <c r="C863" s="153" t="s">
        <v>58</v>
      </c>
      <c r="D863" s="154">
        <v>5479.6</v>
      </c>
      <c r="E863" s="155">
        <v>44750</v>
      </c>
      <c r="F863" s="154">
        <v>5479.6</v>
      </c>
      <c r="G863" s="156">
        <f>Tabla18[[#This Row],[Importe]]-Tabla18[[#This Row],[Pagado]]</f>
        <v>0</v>
      </c>
      <c r="H863" s="153" t="s">
        <v>10</v>
      </c>
    </row>
    <row r="864" spans="1:8" x14ac:dyDescent="0.25">
      <c r="A864" s="73">
        <v>44750</v>
      </c>
      <c r="B864" s="74" t="s">
        <v>22158</v>
      </c>
      <c r="C864" s="75" t="s">
        <v>2139</v>
      </c>
      <c r="D864" s="81">
        <v>2807.2</v>
      </c>
      <c r="E864" s="151">
        <v>44750</v>
      </c>
      <c r="F864" s="81">
        <v>2807.2</v>
      </c>
      <c r="G864" s="156">
        <f>Tabla18[[#This Row],[Importe]]-Tabla18[[#This Row],[Pagado]]</f>
        <v>0</v>
      </c>
      <c r="H864" s="75" t="s">
        <v>10</v>
      </c>
    </row>
    <row r="865" spans="1:8" x14ac:dyDescent="0.25">
      <c r="A865" s="148">
        <v>44750</v>
      </c>
      <c r="B865" s="149" t="s">
        <v>22159</v>
      </c>
      <c r="C865" s="153" t="s">
        <v>58</v>
      </c>
      <c r="D865" s="154">
        <v>508.2</v>
      </c>
      <c r="E865" s="155">
        <v>44750</v>
      </c>
      <c r="F865" s="154">
        <v>508.2</v>
      </c>
      <c r="G865" s="156">
        <f>Tabla18[[#This Row],[Importe]]-Tabla18[[#This Row],[Pagado]]</f>
        <v>0</v>
      </c>
      <c r="H865" s="153" t="s">
        <v>10</v>
      </c>
    </row>
    <row r="866" spans="1:8" x14ac:dyDescent="0.25">
      <c r="A866" s="73">
        <v>44750</v>
      </c>
      <c r="B866" s="74" t="s">
        <v>22160</v>
      </c>
      <c r="C866" s="75" t="s">
        <v>452</v>
      </c>
      <c r="D866" s="81">
        <v>8184</v>
      </c>
      <c r="E866" s="151">
        <v>44750</v>
      </c>
      <c r="F866" s="81">
        <v>8184</v>
      </c>
      <c r="G866" s="156">
        <f>Tabla18[[#This Row],[Importe]]-Tabla18[[#This Row],[Pagado]]</f>
        <v>0</v>
      </c>
      <c r="H866" s="75" t="s">
        <v>10</v>
      </c>
    </row>
    <row r="867" spans="1:8" x14ac:dyDescent="0.25">
      <c r="A867" s="148">
        <v>44750</v>
      </c>
      <c r="B867" s="149" t="s">
        <v>22161</v>
      </c>
      <c r="C867" s="153" t="s">
        <v>484</v>
      </c>
      <c r="D867" s="154">
        <v>5121.8999999999996</v>
      </c>
      <c r="E867" s="155">
        <v>44750</v>
      </c>
      <c r="F867" s="154">
        <v>5121.8999999999996</v>
      </c>
      <c r="G867" s="156">
        <f>Tabla18[[#This Row],[Importe]]-Tabla18[[#This Row],[Pagado]]</f>
        <v>0</v>
      </c>
      <c r="H867" s="153" t="s">
        <v>10</v>
      </c>
    </row>
    <row r="868" spans="1:8" x14ac:dyDescent="0.25">
      <c r="A868" s="73">
        <v>44750</v>
      </c>
      <c r="B868" s="74" t="s">
        <v>22162</v>
      </c>
      <c r="C868" s="75" t="s">
        <v>31</v>
      </c>
      <c r="D868" s="81">
        <v>501.6</v>
      </c>
      <c r="E868" s="151">
        <v>44750</v>
      </c>
      <c r="F868" s="81">
        <v>501.6</v>
      </c>
      <c r="G868" s="156">
        <f>Tabla18[[#This Row],[Importe]]-Tabla18[[#This Row],[Pagado]]</f>
        <v>0</v>
      </c>
      <c r="H868" s="75" t="s">
        <v>10</v>
      </c>
    </row>
    <row r="869" spans="1:8" x14ac:dyDescent="0.25">
      <c r="A869" s="148">
        <v>44750</v>
      </c>
      <c r="B869" s="149" t="s">
        <v>22163</v>
      </c>
      <c r="C869" s="153" t="s">
        <v>994</v>
      </c>
      <c r="D869" s="154">
        <v>2469.1999999999998</v>
      </c>
      <c r="E869" s="155">
        <v>44750</v>
      </c>
      <c r="F869" s="154">
        <v>2469.1999999999998</v>
      </c>
      <c r="G869" s="156">
        <f>Tabla18[[#This Row],[Importe]]-Tabla18[[#This Row],[Pagado]]</f>
        <v>0</v>
      </c>
      <c r="H869" s="153" t="s">
        <v>10</v>
      </c>
    </row>
    <row r="870" spans="1:8" x14ac:dyDescent="0.25">
      <c r="A870" s="73">
        <v>44750</v>
      </c>
      <c r="B870" s="74" t="s">
        <v>22164</v>
      </c>
      <c r="C870" s="75" t="s">
        <v>698</v>
      </c>
      <c r="D870" s="81">
        <v>7492.3</v>
      </c>
      <c r="E870" s="151">
        <v>44750</v>
      </c>
      <c r="F870" s="81">
        <v>7492.3</v>
      </c>
      <c r="G870" s="156">
        <f>Tabla18[[#This Row],[Importe]]-Tabla18[[#This Row],[Pagado]]</f>
        <v>0</v>
      </c>
      <c r="H870" s="75" t="s">
        <v>10</v>
      </c>
    </row>
    <row r="871" spans="1:8" x14ac:dyDescent="0.25">
      <c r="A871" s="148">
        <v>44750</v>
      </c>
      <c r="B871" s="149" t="s">
        <v>22165</v>
      </c>
      <c r="C871" s="153" t="s">
        <v>22</v>
      </c>
      <c r="D871" s="154">
        <v>1316</v>
      </c>
      <c r="E871" s="155">
        <v>44751</v>
      </c>
      <c r="F871" s="154">
        <v>1316</v>
      </c>
      <c r="G871" s="156">
        <f>Tabla18[[#This Row],[Importe]]-Tabla18[[#This Row],[Pagado]]</f>
        <v>0</v>
      </c>
      <c r="H871" s="153" t="s">
        <v>10</v>
      </c>
    </row>
    <row r="872" spans="1:8" x14ac:dyDescent="0.25">
      <c r="A872" s="73">
        <v>44750</v>
      </c>
      <c r="B872" s="74" t="s">
        <v>22166</v>
      </c>
      <c r="C872" s="75" t="s">
        <v>69</v>
      </c>
      <c r="D872" s="81">
        <v>2401.6999999999998</v>
      </c>
      <c r="E872" s="151">
        <v>44750</v>
      </c>
      <c r="F872" s="81">
        <v>2401.6999999999998</v>
      </c>
      <c r="G872" s="156">
        <f>Tabla18[[#This Row],[Importe]]-Tabla18[[#This Row],[Pagado]]</f>
        <v>0</v>
      </c>
      <c r="H872" s="75" t="s">
        <v>10</v>
      </c>
    </row>
    <row r="873" spans="1:8" x14ac:dyDescent="0.25">
      <c r="A873" s="148">
        <v>44750</v>
      </c>
      <c r="B873" s="149" t="s">
        <v>22167</v>
      </c>
      <c r="C873" s="153" t="s">
        <v>27</v>
      </c>
      <c r="D873" s="154">
        <v>2323.6</v>
      </c>
      <c r="E873" s="155">
        <v>44750</v>
      </c>
      <c r="F873" s="154">
        <v>2323.6</v>
      </c>
      <c r="G873" s="156">
        <f>Tabla18[[#This Row],[Importe]]-Tabla18[[#This Row],[Pagado]]</f>
        <v>0</v>
      </c>
      <c r="H873" s="153" t="s">
        <v>10</v>
      </c>
    </row>
    <row r="874" spans="1:8" x14ac:dyDescent="0.25">
      <c r="A874" s="73">
        <v>44750</v>
      </c>
      <c r="B874" s="74" t="s">
        <v>22168</v>
      </c>
      <c r="C874" s="75" t="s">
        <v>17989</v>
      </c>
      <c r="D874" s="81">
        <v>0</v>
      </c>
      <c r="E874" s="157" t="s">
        <v>189</v>
      </c>
      <c r="F874" s="81">
        <v>0</v>
      </c>
      <c r="G874" s="156">
        <f>Tabla18[[#This Row],[Importe]]-Tabla18[[#This Row],[Pagado]]</f>
        <v>0</v>
      </c>
      <c r="H874" s="161" t="s">
        <v>22169</v>
      </c>
    </row>
    <row r="875" spans="1:8" x14ac:dyDescent="0.25">
      <c r="A875" s="148">
        <v>44750</v>
      </c>
      <c r="B875" s="149" t="s">
        <v>22170</v>
      </c>
      <c r="C875" s="153" t="s">
        <v>407</v>
      </c>
      <c r="D875" s="154">
        <v>7854.8</v>
      </c>
      <c r="E875" s="155">
        <v>44762</v>
      </c>
      <c r="F875" s="154">
        <v>7854.8</v>
      </c>
      <c r="G875" s="156">
        <f>Tabla18[[#This Row],[Importe]]-Tabla18[[#This Row],[Pagado]]</f>
        <v>0</v>
      </c>
      <c r="H875" s="153" t="s">
        <v>10</v>
      </c>
    </row>
    <row r="876" spans="1:8" x14ac:dyDescent="0.25">
      <c r="A876" s="73">
        <v>44750</v>
      </c>
      <c r="B876" s="74" t="s">
        <v>22171</v>
      </c>
      <c r="C876" s="75" t="s">
        <v>461</v>
      </c>
      <c r="D876" s="81">
        <v>114.4</v>
      </c>
      <c r="E876" s="151">
        <v>44750</v>
      </c>
      <c r="F876" s="81">
        <v>114.4</v>
      </c>
      <c r="G876" s="156">
        <f>Tabla18[[#This Row],[Importe]]-Tabla18[[#This Row],[Pagado]]</f>
        <v>0</v>
      </c>
      <c r="H876" s="75" t="s">
        <v>10</v>
      </c>
    </row>
    <row r="877" spans="1:8" x14ac:dyDescent="0.25">
      <c r="A877" s="148">
        <v>44750</v>
      </c>
      <c r="B877" s="149" t="s">
        <v>22172</v>
      </c>
      <c r="C877" s="153" t="s">
        <v>414</v>
      </c>
      <c r="D877" s="154">
        <v>467766</v>
      </c>
      <c r="E877" s="155" t="s">
        <v>4813</v>
      </c>
      <c r="F877" s="154">
        <v>0</v>
      </c>
      <c r="G877" s="156">
        <f>Tabla18[[#This Row],[Importe]]-Tabla18[[#This Row],[Pagado]]</f>
        <v>467766</v>
      </c>
      <c r="H877" s="153" t="s">
        <v>4814</v>
      </c>
    </row>
    <row r="878" spans="1:8" x14ac:dyDescent="0.25">
      <c r="A878" s="73">
        <v>44750</v>
      </c>
      <c r="B878" s="74" t="s">
        <v>22173</v>
      </c>
      <c r="C878" s="75" t="s">
        <v>296</v>
      </c>
      <c r="D878" s="81">
        <v>1657.5</v>
      </c>
      <c r="E878" s="151">
        <v>44750</v>
      </c>
      <c r="F878" s="81">
        <v>1657.5</v>
      </c>
      <c r="G878" s="156">
        <f>Tabla18[[#This Row],[Importe]]-Tabla18[[#This Row],[Pagado]]</f>
        <v>0</v>
      </c>
      <c r="H878" s="75" t="s">
        <v>10</v>
      </c>
    </row>
    <row r="879" spans="1:8" x14ac:dyDescent="0.25">
      <c r="A879" s="148">
        <v>44750</v>
      </c>
      <c r="B879" s="149" t="s">
        <v>22174</v>
      </c>
      <c r="C879" s="153" t="s">
        <v>71</v>
      </c>
      <c r="D879" s="154">
        <v>643.79999999999995</v>
      </c>
      <c r="E879" s="155">
        <v>44750</v>
      </c>
      <c r="F879" s="154">
        <v>643.79999999999995</v>
      </c>
      <c r="G879" s="156">
        <f>Tabla18[[#This Row],[Importe]]-Tabla18[[#This Row],[Pagado]]</f>
        <v>0</v>
      </c>
      <c r="H879" s="153" t="s">
        <v>10</v>
      </c>
    </row>
    <row r="880" spans="1:8" x14ac:dyDescent="0.25">
      <c r="A880" s="73">
        <v>44750</v>
      </c>
      <c r="B880" s="74" t="s">
        <v>22175</v>
      </c>
      <c r="C880" s="75" t="s">
        <v>31</v>
      </c>
      <c r="D880" s="81">
        <v>4642.5</v>
      </c>
      <c r="E880" s="151">
        <v>44750</v>
      </c>
      <c r="F880" s="81">
        <v>4642.5</v>
      </c>
      <c r="G880" s="156">
        <f>Tabla18[[#This Row],[Importe]]-Tabla18[[#This Row],[Pagado]]</f>
        <v>0</v>
      </c>
      <c r="H880" s="75" t="s">
        <v>10</v>
      </c>
    </row>
    <row r="881" spans="1:8" x14ac:dyDescent="0.25">
      <c r="A881" s="148">
        <v>44750</v>
      </c>
      <c r="B881" s="149" t="s">
        <v>22176</v>
      </c>
      <c r="C881" s="153" t="s">
        <v>135</v>
      </c>
      <c r="D881" s="154">
        <v>697.5</v>
      </c>
      <c r="E881" s="155">
        <v>44750</v>
      </c>
      <c r="F881" s="154">
        <v>697.5</v>
      </c>
      <c r="G881" s="156">
        <f>Tabla18[[#This Row],[Importe]]-Tabla18[[#This Row],[Pagado]]</f>
        <v>0</v>
      </c>
      <c r="H881" s="153" t="s">
        <v>10</v>
      </c>
    </row>
    <row r="882" spans="1:8" x14ac:dyDescent="0.25">
      <c r="A882" s="73">
        <v>44750</v>
      </c>
      <c r="B882" s="74" t="s">
        <v>22177</v>
      </c>
      <c r="C882" s="75" t="s">
        <v>191</v>
      </c>
      <c r="D882" s="81">
        <v>178.2</v>
      </c>
      <c r="E882" s="151">
        <v>44750</v>
      </c>
      <c r="F882" s="81">
        <v>178.2</v>
      </c>
      <c r="G882" s="156">
        <f>Tabla18[[#This Row],[Importe]]-Tabla18[[#This Row],[Pagado]]</f>
        <v>0</v>
      </c>
      <c r="H882" s="75" t="s">
        <v>10</v>
      </c>
    </row>
    <row r="883" spans="1:8" x14ac:dyDescent="0.25">
      <c r="A883" s="148">
        <v>44750</v>
      </c>
      <c r="B883" s="149" t="s">
        <v>22178</v>
      </c>
      <c r="C883" s="153" t="s">
        <v>135</v>
      </c>
      <c r="D883" s="154">
        <v>1262.5</v>
      </c>
      <c r="E883" s="155">
        <v>44750</v>
      </c>
      <c r="F883" s="154">
        <v>1262.5</v>
      </c>
      <c r="G883" s="156">
        <f>Tabla18[[#This Row],[Importe]]-Tabla18[[#This Row],[Pagado]]</f>
        <v>0</v>
      </c>
      <c r="H883" s="153" t="s">
        <v>10</v>
      </c>
    </row>
    <row r="884" spans="1:8" x14ac:dyDescent="0.25">
      <c r="A884" s="73">
        <v>44750</v>
      </c>
      <c r="B884" s="74" t="s">
        <v>22179</v>
      </c>
      <c r="C884" s="75" t="s">
        <v>284</v>
      </c>
      <c r="D884" s="81">
        <v>8862.2000000000007</v>
      </c>
      <c r="E884" s="151">
        <v>44751</v>
      </c>
      <c r="F884" s="81">
        <v>8862.2000000000007</v>
      </c>
      <c r="G884" s="156">
        <f>Tabla18[[#This Row],[Importe]]-Tabla18[[#This Row],[Pagado]]</f>
        <v>0</v>
      </c>
      <c r="H884" s="75" t="s">
        <v>10</v>
      </c>
    </row>
    <row r="885" spans="1:8" x14ac:dyDescent="0.25">
      <c r="A885" s="148">
        <v>44750</v>
      </c>
      <c r="B885" s="149" t="s">
        <v>22180</v>
      </c>
      <c r="C885" s="153" t="s">
        <v>5345</v>
      </c>
      <c r="D885" s="154">
        <v>2255.6999999999998</v>
      </c>
      <c r="E885" s="155">
        <v>44751</v>
      </c>
      <c r="F885" s="154">
        <v>2255.6999999999998</v>
      </c>
      <c r="G885" s="156">
        <f>Tabla18[[#This Row],[Importe]]-Tabla18[[#This Row],[Pagado]]</f>
        <v>0</v>
      </c>
      <c r="H885" s="153" t="s">
        <v>10</v>
      </c>
    </row>
    <row r="886" spans="1:8" x14ac:dyDescent="0.25">
      <c r="A886" s="73">
        <v>44750</v>
      </c>
      <c r="B886" s="74" t="s">
        <v>22181</v>
      </c>
      <c r="C886" s="75" t="s">
        <v>431</v>
      </c>
      <c r="D886" s="81">
        <v>686.2</v>
      </c>
      <c r="E886" s="151">
        <v>44751</v>
      </c>
      <c r="F886" s="81">
        <v>686.2</v>
      </c>
      <c r="G886" s="156">
        <f>Tabla18[[#This Row],[Importe]]-Tabla18[[#This Row],[Pagado]]</f>
        <v>0</v>
      </c>
      <c r="H886" s="75" t="s">
        <v>10</v>
      </c>
    </row>
    <row r="887" spans="1:8" x14ac:dyDescent="0.25">
      <c r="A887" s="148">
        <v>44750</v>
      </c>
      <c r="B887" s="149" t="s">
        <v>22182</v>
      </c>
      <c r="C887" s="153" t="s">
        <v>10819</v>
      </c>
      <c r="D887" s="154">
        <v>737.3</v>
      </c>
      <c r="E887" s="155">
        <v>44751</v>
      </c>
      <c r="F887" s="154">
        <v>737.3</v>
      </c>
      <c r="G887" s="156">
        <f>Tabla18[[#This Row],[Importe]]-Tabla18[[#This Row],[Pagado]]</f>
        <v>0</v>
      </c>
      <c r="H887" s="153" t="s">
        <v>10</v>
      </c>
    </row>
    <row r="888" spans="1:8" x14ac:dyDescent="0.25">
      <c r="A888" s="73">
        <v>44750</v>
      </c>
      <c r="B888" s="74" t="s">
        <v>22183</v>
      </c>
      <c r="C888" s="75" t="s">
        <v>280</v>
      </c>
      <c r="D888" s="81">
        <v>1328.6</v>
      </c>
      <c r="E888" s="151">
        <v>44751</v>
      </c>
      <c r="F888" s="81">
        <v>1328.6</v>
      </c>
      <c r="G888" s="156">
        <f>Tabla18[[#This Row],[Importe]]-Tabla18[[#This Row],[Pagado]]</f>
        <v>0</v>
      </c>
      <c r="H888" s="75" t="s">
        <v>10</v>
      </c>
    </row>
    <row r="889" spans="1:8" x14ac:dyDescent="0.25">
      <c r="A889" s="148">
        <v>44750</v>
      </c>
      <c r="B889" s="149" t="s">
        <v>22184</v>
      </c>
      <c r="C889" s="153" t="s">
        <v>282</v>
      </c>
      <c r="D889" s="154">
        <v>2394.4</v>
      </c>
      <c r="E889" s="155">
        <v>44751</v>
      </c>
      <c r="F889" s="154">
        <v>2394.4</v>
      </c>
      <c r="G889" s="156">
        <f>Tabla18[[#This Row],[Importe]]-Tabla18[[#This Row],[Pagado]]</f>
        <v>0</v>
      </c>
      <c r="H889" s="153" t="s">
        <v>10</v>
      </c>
    </row>
    <row r="890" spans="1:8" x14ac:dyDescent="0.25">
      <c r="A890" s="73">
        <v>44750</v>
      </c>
      <c r="B890" s="74" t="s">
        <v>22185</v>
      </c>
      <c r="C890" s="75" t="s">
        <v>555</v>
      </c>
      <c r="D890" s="81">
        <v>23723</v>
      </c>
      <c r="E890" s="151">
        <v>44750</v>
      </c>
      <c r="F890" s="81">
        <v>23723</v>
      </c>
      <c r="G890" s="156">
        <f>Tabla18[[#This Row],[Importe]]-Tabla18[[#This Row],[Pagado]]</f>
        <v>0</v>
      </c>
      <c r="H890" s="75" t="s">
        <v>10</v>
      </c>
    </row>
    <row r="891" spans="1:8" x14ac:dyDescent="0.25">
      <c r="A891" s="148">
        <v>44750</v>
      </c>
      <c r="B891" s="149" t="s">
        <v>22186</v>
      </c>
      <c r="C891" s="153" t="s">
        <v>857</v>
      </c>
      <c r="D891" s="154">
        <v>1460.4</v>
      </c>
      <c r="E891" s="155">
        <v>44750</v>
      </c>
      <c r="F891" s="154">
        <v>1460.4</v>
      </c>
      <c r="G891" s="156">
        <f>Tabla18[[#This Row],[Importe]]-Tabla18[[#This Row],[Pagado]]</f>
        <v>0</v>
      </c>
      <c r="H891" s="153" t="s">
        <v>10</v>
      </c>
    </row>
    <row r="892" spans="1:8" x14ac:dyDescent="0.25">
      <c r="A892" s="73">
        <v>44750</v>
      </c>
      <c r="B892" s="74" t="s">
        <v>22187</v>
      </c>
      <c r="C892" s="75" t="s">
        <v>843</v>
      </c>
      <c r="D892" s="81">
        <v>21568</v>
      </c>
      <c r="E892" s="151">
        <v>44751</v>
      </c>
      <c r="F892" s="81">
        <v>21568</v>
      </c>
      <c r="G892" s="156">
        <f>Tabla18[[#This Row],[Importe]]-Tabla18[[#This Row],[Pagado]]</f>
        <v>0</v>
      </c>
      <c r="H892" s="75" t="s">
        <v>10</v>
      </c>
    </row>
    <row r="893" spans="1:8" x14ac:dyDescent="0.25">
      <c r="A893" s="148">
        <v>44750</v>
      </c>
      <c r="B893" s="149" t="s">
        <v>22188</v>
      </c>
      <c r="C893" s="153" t="s">
        <v>31</v>
      </c>
      <c r="D893" s="154">
        <v>1228</v>
      </c>
      <c r="E893" s="155">
        <v>44750</v>
      </c>
      <c r="F893" s="154">
        <v>1228</v>
      </c>
      <c r="G893" s="156">
        <f>Tabla18[[#This Row],[Importe]]-Tabla18[[#This Row],[Pagado]]</f>
        <v>0</v>
      </c>
      <c r="H893" s="153" t="s">
        <v>10</v>
      </c>
    </row>
    <row r="894" spans="1:8" x14ac:dyDescent="0.25">
      <c r="A894" s="73">
        <v>44750</v>
      </c>
      <c r="B894" s="74" t="s">
        <v>22189</v>
      </c>
      <c r="C894" s="75" t="s">
        <v>31</v>
      </c>
      <c r="D894" s="81">
        <v>18474</v>
      </c>
      <c r="E894" s="151">
        <v>44750</v>
      </c>
      <c r="F894" s="81">
        <v>18474</v>
      </c>
      <c r="G894" s="156">
        <f>Tabla18[[#This Row],[Importe]]-Tabla18[[#This Row],[Pagado]]</f>
        <v>0</v>
      </c>
      <c r="H894" s="75" t="s">
        <v>10</v>
      </c>
    </row>
    <row r="895" spans="1:8" x14ac:dyDescent="0.25">
      <c r="A895" s="148">
        <v>44750</v>
      </c>
      <c r="B895" s="149" t="s">
        <v>22190</v>
      </c>
      <c r="C895" s="153" t="s">
        <v>10678</v>
      </c>
      <c r="D895" s="154">
        <v>2847.8</v>
      </c>
      <c r="E895" s="155">
        <v>44750</v>
      </c>
      <c r="F895" s="154">
        <v>2847.8</v>
      </c>
      <c r="G895" s="156">
        <f>Tabla18[[#This Row],[Importe]]-Tabla18[[#This Row],[Pagado]]</f>
        <v>0</v>
      </c>
      <c r="H895" s="153" t="s">
        <v>10</v>
      </c>
    </row>
    <row r="896" spans="1:8" x14ac:dyDescent="0.25">
      <c r="A896" s="73">
        <v>44750</v>
      </c>
      <c r="B896" s="74" t="s">
        <v>22191</v>
      </c>
      <c r="C896" s="75" t="s">
        <v>7313</v>
      </c>
      <c r="D896" s="81">
        <v>4738.96</v>
      </c>
      <c r="E896" s="151">
        <v>44750</v>
      </c>
      <c r="F896" s="81">
        <v>4738.96</v>
      </c>
      <c r="G896" s="156">
        <f>Tabla18[[#This Row],[Importe]]-Tabla18[[#This Row],[Pagado]]</f>
        <v>0</v>
      </c>
      <c r="H896" s="75" t="s">
        <v>10</v>
      </c>
    </row>
    <row r="897" spans="1:8" x14ac:dyDescent="0.25">
      <c r="A897" s="148">
        <v>44750</v>
      </c>
      <c r="B897" s="149" t="s">
        <v>22192</v>
      </c>
      <c r="C897" s="153" t="s">
        <v>196</v>
      </c>
      <c r="D897" s="154">
        <v>265.5</v>
      </c>
      <c r="E897" s="155">
        <v>44757</v>
      </c>
      <c r="F897" s="154">
        <v>265.5</v>
      </c>
      <c r="G897" s="156">
        <f>Tabla18[[#This Row],[Importe]]-Tabla18[[#This Row],[Pagado]]</f>
        <v>0</v>
      </c>
      <c r="H897" s="153" t="s">
        <v>10</v>
      </c>
    </row>
    <row r="898" spans="1:8" x14ac:dyDescent="0.25">
      <c r="A898" s="73">
        <v>44750</v>
      </c>
      <c r="B898" s="74" t="s">
        <v>22193</v>
      </c>
      <c r="C898" s="75" t="s">
        <v>870</v>
      </c>
      <c r="D898" s="81">
        <v>19000</v>
      </c>
      <c r="E898" s="151">
        <v>44751</v>
      </c>
      <c r="F898" s="81">
        <v>19000</v>
      </c>
      <c r="G898" s="156">
        <f>Tabla18[[#This Row],[Importe]]-Tabla18[[#This Row],[Pagado]]</f>
        <v>0</v>
      </c>
      <c r="H898" s="75" t="s">
        <v>10</v>
      </c>
    </row>
    <row r="899" spans="1:8" x14ac:dyDescent="0.25">
      <c r="A899" s="148">
        <v>44750</v>
      </c>
      <c r="B899" s="149" t="s">
        <v>22194</v>
      </c>
      <c r="C899" s="153" t="s">
        <v>31</v>
      </c>
      <c r="D899" s="154">
        <v>1824.9</v>
      </c>
      <c r="E899" s="155">
        <v>44750</v>
      </c>
      <c r="F899" s="154">
        <v>1824.9</v>
      </c>
      <c r="G899" s="156">
        <f>Tabla18[[#This Row],[Importe]]-Tabla18[[#This Row],[Pagado]]</f>
        <v>0</v>
      </c>
      <c r="H899" s="153" t="s">
        <v>10</v>
      </c>
    </row>
    <row r="900" spans="1:8" x14ac:dyDescent="0.25">
      <c r="A900" s="73">
        <v>44750</v>
      </c>
      <c r="B900" s="74" t="s">
        <v>22195</v>
      </c>
      <c r="C900" s="75" t="s">
        <v>31</v>
      </c>
      <c r="D900" s="81">
        <v>25</v>
      </c>
      <c r="E900" s="151">
        <v>44751</v>
      </c>
      <c r="F900" s="81">
        <v>25</v>
      </c>
      <c r="G900" s="156">
        <f>Tabla18[[#This Row],[Importe]]-Tabla18[[#This Row],[Pagado]]</f>
        <v>0</v>
      </c>
      <c r="H900" s="75" t="s">
        <v>10</v>
      </c>
    </row>
    <row r="901" spans="1:8" ht="31.5" x14ac:dyDescent="0.25">
      <c r="A901" s="148">
        <v>44751</v>
      </c>
      <c r="B901" s="149" t="s">
        <v>22196</v>
      </c>
      <c r="C901" s="153" t="s">
        <v>475</v>
      </c>
      <c r="D901" s="154">
        <v>73324.800000000003</v>
      </c>
      <c r="E901" s="150" t="s">
        <v>22197</v>
      </c>
      <c r="F901" s="154">
        <f>62500+10824.8</f>
        <v>73324.800000000003</v>
      </c>
      <c r="G901" s="156">
        <f>Tabla18[[#This Row],[Importe]]-Tabla18[[#This Row],[Pagado]]</f>
        <v>0</v>
      </c>
      <c r="H901" s="153" t="s">
        <v>10</v>
      </c>
    </row>
    <row r="902" spans="1:8" x14ac:dyDescent="0.25">
      <c r="A902" s="73">
        <v>44751</v>
      </c>
      <c r="B902" s="74" t="s">
        <v>22198</v>
      </c>
      <c r="C902" s="75" t="s">
        <v>481</v>
      </c>
      <c r="D902" s="81">
        <v>555</v>
      </c>
      <c r="E902" s="151">
        <v>44751</v>
      </c>
      <c r="F902" s="81">
        <v>555</v>
      </c>
      <c r="G902" s="156">
        <f>Tabla18[[#This Row],[Importe]]-Tabla18[[#This Row],[Pagado]]</f>
        <v>0</v>
      </c>
      <c r="H902" s="75" t="s">
        <v>10</v>
      </c>
    </row>
    <row r="903" spans="1:8" ht="31.5" x14ac:dyDescent="0.25">
      <c r="A903" s="148">
        <v>44751</v>
      </c>
      <c r="B903" s="149" t="s">
        <v>22199</v>
      </c>
      <c r="C903" s="153" t="s">
        <v>22</v>
      </c>
      <c r="D903" s="154">
        <v>82315.199999999997</v>
      </c>
      <c r="E903" s="150" t="s">
        <v>22197</v>
      </c>
      <c r="F903" s="154">
        <f>67000+15315.2</f>
        <v>82315.199999999997</v>
      </c>
      <c r="G903" s="156">
        <f>Tabla18[[#This Row],[Importe]]-Tabla18[[#This Row],[Pagado]]</f>
        <v>0</v>
      </c>
      <c r="H903" s="153" t="s">
        <v>10</v>
      </c>
    </row>
    <row r="904" spans="1:8" x14ac:dyDescent="0.25">
      <c r="A904" s="73">
        <v>44751</v>
      </c>
      <c r="B904" s="74" t="s">
        <v>22200</v>
      </c>
      <c r="C904" s="75" t="s">
        <v>348</v>
      </c>
      <c r="D904" s="81">
        <v>6652.6</v>
      </c>
      <c r="E904" s="151">
        <v>44751</v>
      </c>
      <c r="F904" s="81">
        <v>6652.6</v>
      </c>
      <c r="G904" s="156">
        <f>Tabla18[[#This Row],[Importe]]-Tabla18[[#This Row],[Pagado]]</f>
        <v>0</v>
      </c>
      <c r="H904" s="75" t="s">
        <v>10</v>
      </c>
    </row>
    <row r="905" spans="1:8" x14ac:dyDescent="0.25">
      <c r="A905" s="148">
        <v>44751</v>
      </c>
      <c r="B905" s="149" t="s">
        <v>22201</v>
      </c>
      <c r="C905" s="153" t="s">
        <v>918</v>
      </c>
      <c r="D905" s="154">
        <v>299.2</v>
      </c>
      <c r="E905" s="155">
        <v>44751</v>
      </c>
      <c r="F905" s="154">
        <v>299.2</v>
      </c>
      <c r="G905" s="156">
        <f>Tabla18[[#This Row],[Importe]]-Tabla18[[#This Row],[Pagado]]</f>
        <v>0</v>
      </c>
      <c r="H905" s="153" t="s">
        <v>10</v>
      </c>
    </row>
    <row r="906" spans="1:8" ht="31.5" x14ac:dyDescent="0.25">
      <c r="A906" s="73">
        <v>44751</v>
      </c>
      <c r="B906" s="74" t="s">
        <v>22202</v>
      </c>
      <c r="C906" s="75" t="s">
        <v>99</v>
      </c>
      <c r="D906" s="81">
        <v>10318.4</v>
      </c>
      <c r="E906" s="147" t="s">
        <v>22203</v>
      </c>
      <c r="F906" s="81">
        <f>6800+3518.4</f>
        <v>10318.4</v>
      </c>
      <c r="G906" s="156">
        <f>Tabla18[[#This Row],[Importe]]-Tabla18[[#This Row],[Pagado]]</f>
        <v>0</v>
      </c>
      <c r="H906" s="75" t="s">
        <v>10</v>
      </c>
    </row>
    <row r="907" spans="1:8" x14ac:dyDescent="0.25">
      <c r="A907" s="148">
        <v>44751</v>
      </c>
      <c r="B907" s="149" t="s">
        <v>22204</v>
      </c>
      <c r="C907" s="153" t="s">
        <v>64</v>
      </c>
      <c r="D907" s="154">
        <v>10227.200000000001</v>
      </c>
      <c r="E907" s="155">
        <v>44753</v>
      </c>
      <c r="F907" s="154">
        <v>10227.200000000001</v>
      </c>
      <c r="G907" s="156">
        <f>Tabla18[[#This Row],[Importe]]-Tabla18[[#This Row],[Pagado]]</f>
        <v>0</v>
      </c>
      <c r="H907" s="153" t="s">
        <v>10</v>
      </c>
    </row>
    <row r="908" spans="1:8" x14ac:dyDescent="0.25">
      <c r="A908" s="73">
        <v>44751</v>
      </c>
      <c r="B908" s="74" t="s">
        <v>22205</v>
      </c>
      <c r="C908" s="75" t="s">
        <v>97</v>
      </c>
      <c r="D908" s="81">
        <v>9497.6</v>
      </c>
      <c r="E908" s="151">
        <v>44753</v>
      </c>
      <c r="F908" s="81">
        <v>9497.6</v>
      </c>
      <c r="G908" s="156">
        <f>Tabla18[[#This Row],[Importe]]-Tabla18[[#This Row],[Pagado]]</f>
        <v>0</v>
      </c>
      <c r="H908" s="75" t="s">
        <v>10</v>
      </c>
    </row>
    <row r="909" spans="1:8" x14ac:dyDescent="0.25">
      <c r="A909" s="148">
        <v>44751</v>
      </c>
      <c r="B909" s="149" t="s">
        <v>22206</v>
      </c>
      <c r="C909" s="153" t="s">
        <v>114</v>
      </c>
      <c r="D909" s="154">
        <v>10558.6</v>
      </c>
      <c r="E909" s="155">
        <v>44753</v>
      </c>
      <c r="F909" s="154">
        <v>10558.6</v>
      </c>
      <c r="G909" s="156">
        <f>Tabla18[[#This Row],[Importe]]-Tabla18[[#This Row],[Pagado]]</f>
        <v>0</v>
      </c>
      <c r="H909" s="153" t="s">
        <v>10</v>
      </c>
    </row>
    <row r="910" spans="1:8" x14ac:dyDescent="0.25">
      <c r="A910" s="73">
        <v>44751</v>
      </c>
      <c r="B910" s="74" t="s">
        <v>22207</v>
      </c>
      <c r="C910" s="75" t="s">
        <v>5043</v>
      </c>
      <c r="D910" s="81">
        <v>5420.8</v>
      </c>
      <c r="E910" s="151">
        <v>44753</v>
      </c>
      <c r="F910" s="81">
        <v>5420.8</v>
      </c>
      <c r="G910" s="156">
        <f>Tabla18[[#This Row],[Importe]]-Tabla18[[#This Row],[Pagado]]</f>
        <v>0</v>
      </c>
      <c r="H910" s="75" t="s">
        <v>10</v>
      </c>
    </row>
    <row r="911" spans="1:8" x14ac:dyDescent="0.25">
      <c r="A911" s="148">
        <v>44751</v>
      </c>
      <c r="B911" s="149" t="s">
        <v>22208</v>
      </c>
      <c r="C911" s="153" t="s">
        <v>109</v>
      </c>
      <c r="D911" s="154">
        <v>6274.4</v>
      </c>
      <c r="E911" s="155">
        <v>44753</v>
      </c>
      <c r="F911" s="154">
        <v>6274.4</v>
      </c>
      <c r="G911" s="156">
        <f>Tabla18[[#This Row],[Importe]]-Tabla18[[#This Row],[Pagado]]</f>
        <v>0</v>
      </c>
      <c r="H911" s="153" t="s">
        <v>10</v>
      </c>
    </row>
    <row r="912" spans="1:8" x14ac:dyDescent="0.25">
      <c r="A912" s="73">
        <v>44751</v>
      </c>
      <c r="B912" s="74" t="s">
        <v>22209</v>
      </c>
      <c r="C912" s="75" t="s">
        <v>60</v>
      </c>
      <c r="D912" s="81">
        <v>4921.6000000000004</v>
      </c>
      <c r="E912" s="151">
        <v>44758</v>
      </c>
      <c r="F912" s="81">
        <v>4921.6000000000004</v>
      </c>
      <c r="G912" s="156">
        <f>Tabla18[[#This Row],[Importe]]-Tabla18[[#This Row],[Pagado]]</f>
        <v>0</v>
      </c>
      <c r="H912" s="75" t="s">
        <v>10</v>
      </c>
    </row>
    <row r="913" spans="1:8" x14ac:dyDescent="0.25">
      <c r="A913" s="148">
        <v>44751</v>
      </c>
      <c r="B913" s="149" t="s">
        <v>22210</v>
      </c>
      <c r="C913" s="153" t="s">
        <v>111</v>
      </c>
      <c r="D913" s="154">
        <v>10292</v>
      </c>
      <c r="E913" s="155">
        <v>44753</v>
      </c>
      <c r="F913" s="154">
        <v>10292</v>
      </c>
      <c r="G913" s="156">
        <f>Tabla18[[#This Row],[Importe]]-Tabla18[[#This Row],[Pagado]]</f>
        <v>0</v>
      </c>
      <c r="H913" s="153" t="s">
        <v>10</v>
      </c>
    </row>
    <row r="914" spans="1:8" x14ac:dyDescent="0.25">
      <c r="A914" s="73">
        <v>44751</v>
      </c>
      <c r="B914" s="74" t="s">
        <v>22211</v>
      </c>
      <c r="C914" s="75" t="s">
        <v>89</v>
      </c>
      <c r="D914" s="81">
        <v>16280.6</v>
      </c>
      <c r="E914" s="151">
        <v>44753</v>
      </c>
      <c r="F914" s="81">
        <v>16280.6</v>
      </c>
      <c r="G914" s="156">
        <f>Tabla18[[#This Row],[Importe]]-Tabla18[[#This Row],[Pagado]]</f>
        <v>0</v>
      </c>
      <c r="H914" s="75" t="s">
        <v>10</v>
      </c>
    </row>
    <row r="915" spans="1:8" x14ac:dyDescent="0.25">
      <c r="A915" s="148">
        <v>44751</v>
      </c>
      <c r="B915" s="149" t="s">
        <v>22212</v>
      </c>
      <c r="C915" s="153" t="s">
        <v>326</v>
      </c>
      <c r="D915" s="154">
        <v>15398.4</v>
      </c>
      <c r="E915" s="155">
        <v>44753</v>
      </c>
      <c r="F915" s="154">
        <v>15398.4</v>
      </c>
      <c r="G915" s="156">
        <f>Tabla18[[#This Row],[Importe]]-Tabla18[[#This Row],[Pagado]]</f>
        <v>0</v>
      </c>
      <c r="H915" s="153" t="s">
        <v>10</v>
      </c>
    </row>
    <row r="916" spans="1:8" ht="47.25" x14ac:dyDescent="0.25">
      <c r="A916" s="73">
        <v>44751</v>
      </c>
      <c r="B916" s="74" t="s">
        <v>22213</v>
      </c>
      <c r="C916" s="75" t="s">
        <v>93</v>
      </c>
      <c r="D916" s="81">
        <v>22092.1</v>
      </c>
      <c r="E916" s="147" t="s">
        <v>22214</v>
      </c>
      <c r="F916" s="81">
        <f>14000+6000+2092.1</f>
        <v>22092.1</v>
      </c>
      <c r="G916" s="156">
        <f>Tabla18[[#This Row],[Importe]]-Tabla18[[#This Row],[Pagado]]</f>
        <v>0</v>
      </c>
      <c r="H916" s="75" t="s">
        <v>10</v>
      </c>
    </row>
    <row r="917" spans="1:8" x14ac:dyDescent="0.25">
      <c r="A917" s="148">
        <v>44751</v>
      </c>
      <c r="B917" s="149" t="s">
        <v>22215</v>
      </c>
      <c r="C917" s="153" t="s">
        <v>9</v>
      </c>
      <c r="D917" s="154">
        <v>9814.7000000000007</v>
      </c>
      <c r="E917" s="155">
        <v>44751</v>
      </c>
      <c r="F917" s="154">
        <v>9814.7000000000007</v>
      </c>
      <c r="G917" s="156">
        <f>Tabla18[[#This Row],[Importe]]-Tabla18[[#This Row],[Pagado]]</f>
        <v>0</v>
      </c>
      <c r="H917" s="153" t="s">
        <v>10</v>
      </c>
    </row>
    <row r="918" spans="1:8" x14ac:dyDescent="0.25">
      <c r="A918" s="73">
        <v>44751</v>
      </c>
      <c r="B918" s="74" t="s">
        <v>22216</v>
      </c>
      <c r="C918" s="75" t="s">
        <v>105</v>
      </c>
      <c r="D918" s="81">
        <v>17131.900000000001</v>
      </c>
      <c r="E918" s="151">
        <v>44753</v>
      </c>
      <c r="F918" s="81">
        <v>17131.900000000001</v>
      </c>
      <c r="G918" s="156">
        <f>Tabla18[[#This Row],[Importe]]-Tabla18[[#This Row],[Pagado]]</f>
        <v>0</v>
      </c>
      <c r="H918" s="75" t="s">
        <v>10</v>
      </c>
    </row>
    <row r="919" spans="1:8" x14ac:dyDescent="0.25">
      <c r="A919" s="148">
        <v>44751</v>
      </c>
      <c r="B919" s="149" t="s">
        <v>22217</v>
      </c>
      <c r="C919" s="153" t="s">
        <v>2151</v>
      </c>
      <c r="D919" s="154">
        <v>41173.4</v>
      </c>
      <c r="E919" s="155">
        <v>44751</v>
      </c>
      <c r="F919" s="154">
        <v>41173.4</v>
      </c>
      <c r="G919" s="156">
        <f>Tabla18[[#This Row],[Importe]]-Tabla18[[#This Row],[Pagado]]</f>
        <v>0</v>
      </c>
      <c r="H919" s="153" t="s">
        <v>10</v>
      </c>
    </row>
    <row r="920" spans="1:8" x14ac:dyDescent="0.25">
      <c r="A920" s="73">
        <v>44751</v>
      </c>
      <c r="B920" s="74" t="s">
        <v>22218</v>
      </c>
      <c r="C920" s="75" t="s">
        <v>31</v>
      </c>
      <c r="D920" s="81">
        <v>524</v>
      </c>
      <c r="E920" s="151">
        <v>44751</v>
      </c>
      <c r="F920" s="81">
        <v>524</v>
      </c>
      <c r="G920" s="156">
        <f>Tabla18[[#This Row],[Importe]]-Tabla18[[#This Row],[Pagado]]</f>
        <v>0</v>
      </c>
      <c r="H920" s="75" t="s">
        <v>10</v>
      </c>
    </row>
    <row r="921" spans="1:8" ht="31.5" x14ac:dyDescent="0.25">
      <c r="A921" s="148">
        <v>44751</v>
      </c>
      <c r="B921" s="149" t="s">
        <v>22219</v>
      </c>
      <c r="C921" s="160" t="s">
        <v>22220</v>
      </c>
      <c r="D921" s="154">
        <v>0</v>
      </c>
      <c r="E921" s="158" t="s">
        <v>189</v>
      </c>
      <c r="F921" s="154">
        <v>0</v>
      </c>
      <c r="G921" s="156">
        <f>Tabla18[[#This Row],[Importe]]-Tabla18[[#This Row],[Pagado]]</f>
        <v>0</v>
      </c>
      <c r="H921" s="153" t="s">
        <v>189</v>
      </c>
    </row>
    <row r="922" spans="1:8" x14ac:dyDescent="0.25">
      <c r="A922" s="73">
        <v>44751</v>
      </c>
      <c r="B922" s="74" t="s">
        <v>22221</v>
      </c>
      <c r="C922" s="75" t="s">
        <v>518</v>
      </c>
      <c r="D922" s="81">
        <v>1671.6</v>
      </c>
      <c r="E922" s="151">
        <v>44751</v>
      </c>
      <c r="F922" s="81">
        <v>1671.6</v>
      </c>
      <c r="G922" s="156">
        <f>Tabla18[[#This Row],[Importe]]-Tabla18[[#This Row],[Pagado]]</f>
        <v>0</v>
      </c>
      <c r="H922" s="75" t="s">
        <v>10</v>
      </c>
    </row>
    <row r="923" spans="1:8" x14ac:dyDescent="0.25">
      <c r="A923" s="148">
        <v>44751</v>
      </c>
      <c r="B923" s="149" t="s">
        <v>22222</v>
      </c>
      <c r="C923" s="153" t="s">
        <v>157</v>
      </c>
      <c r="D923" s="154">
        <v>6040.6</v>
      </c>
      <c r="E923" s="155">
        <v>44751</v>
      </c>
      <c r="F923" s="154">
        <v>6040.6</v>
      </c>
      <c r="G923" s="156">
        <f>Tabla18[[#This Row],[Importe]]-Tabla18[[#This Row],[Pagado]]</f>
        <v>0</v>
      </c>
      <c r="H923" s="153" t="s">
        <v>10</v>
      </c>
    </row>
    <row r="924" spans="1:8" x14ac:dyDescent="0.25">
      <c r="A924" s="73">
        <v>44751</v>
      </c>
      <c r="B924" s="74" t="s">
        <v>22223</v>
      </c>
      <c r="C924" s="75" t="s">
        <v>31</v>
      </c>
      <c r="D924" s="81">
        <v>3599</v>
      </c>
      <c r="E924" s="151">
        <v>44751</v>
      </c>
      <c r="F924" s="81">
        <v>3599</v>
      </c>
      <c r="G924" s="156">
        <f>Tabla18[[#This Row],[Importe]]-Tabla18[[#This Row],[Pagado]]</f>
        <v>0</v>
      </c>
      <c r="H924" s="75" t="s">
        <v>10</v>
      </c>
    </row>
    <row r="925" spans="1:8" x14ac:dyDescent="0.25">
      <c r="A925" s="148">
        <v>44751</v>
      </c>
      <c r="B925" s="149" t="s">
        <v>22224</v>
      </c>
      <c r="C925" s="153" t="s">
        <v>966</v>
      </c>
      <c r="D925" s="154">
        <v>470.8</v>
      </c>
      <c r="E925" s="155">
        <v>44751</v>
      </c>
      <c r="F925" s="154">
        <v>470.8</v>
      </c>
      <c r="G925" s="156">
        <f>Tabla18[[#This Row],[Importe]]-Tabla18[[#This Row],[Pagado]]</f>
        <v>0</v>
      </c>
      <c r="H925" s="153" t="s">
        <v>10</v>
      </c>
    </row>
    <row r="926" spans="1:8" x14ac:dyDescent="0.25">
      <c r="A926" s="73">
        <v>44751</v>
      </c>
      <c r="B926" s="74" t="s">
        <v>22225</v>
      </c>
      <c r="C926" s="75" t="s">
        <v>31</v>
      </c>
      <c r="D926" s="81">
        <v>5974</v>
      </c>
      <c r="E926" s="151">
        <v>44751</v>
      </c>
      <c r="F926" s="81">
        <v>5974</v>
      </c>
      <c r="G926" s="156">
        <f>Tabla18[[#This Row],[Importe]]-Tabla18[[#This Row],[Pagado]]</f>
        <v>0</v>
      </c>
      <c r="H926" s="75" t="s">
        <v>10</v>
      </c>
    </row>
    <row r="927" spans="1:8" x14ac:dyDescent="0.25">
      <c r="A927" s="148">
        <v>44751</v>
      </c>
      <c r="B927" s="149" t="s">
        <v>22226</v>
      </c>
      <c r="C927" s="153" t="s">
        <v>520</v>
      </c>
      <c r="D927" s="154">
        <v>13157.4</v>
      </c>
      <c r="E927" s="155">
        <v>44751</v>
      </c>
      <c r="F927" s="154">
        <v>13157.4</v>
      </c>
      <c r="G927" s="156">
        <f>Tabla18[[#This Row],[Importe]]-Tabla18[[#This Row],[Pagado]]</f>
        <v>0</v>
      </c>
      <c r="H927" s="153" t="s">
        <v>10</v>
      </c>
    </row>
    <row r="928" spans="1:8" x14ac:dyDescent="0.25">
      <c r="A928" s="73">
        <v>44751</v>
      </c>
      <c r="B928" s="74" t="s">
        <v>22227</v>
      </c>
      <c r="C928" s="75" t="s">
        <v>151</v>
      </c>
      <c r="D928" s="81">
        <v>16393.599999999999</v>
      </c>
      <c r="E928" s="151">
        <v>44751</v>
      </c>
      <c r="F928" s="81">
        <v>16393.599999999999</v>
      </c>
      <c r="G928" s="156">
        <f>Tabla18[[#This Row],[Importe]]-Tabla18[[#This Row],[Pagado]]</f>
        <v>0</v>
      </c>
      <c r="H928" s="75" t="s">
        <v>10</v>
      </c>
    </row>
    <row r="929" spans="1:8" x14ac:dyDescent="0.25">
      <c r="A929" s="148">
        <v>44751</v>
      </c>
      <c r="B929" s="149" t="s">
        <v>22228</v>
      </c>
      <c r="C929" s="153" t="s">
        <v>473</v>
      </c>
      <c r="D929" s="154">
        <v>4289.3</v>
      </c>
      <c r="E929" s="155">
        <v>44751</v>
      </c>
      <c r="F929" s="154">
        <v>4289.3</v>
      </c>
      <c r="G929" s="156">
        <f>Tabla18[[#This Row],[Importe]]-Tabla18[[#This Row],[Pagado]]</f>
        <v>0</v>
      </c>
      <c r="H929" s="153" t="s">
        <v>10</v>
      </c>
    </row>
    <row r="930" spans="1:8" x14ac:dyDescent="0.25">
      <c r="A930" s="73">
        <v>44751</v>
      </c>
      <c r="B930" s="74" t="s">
        <v>22229</v>
      </c>
      <c r="C930" s="75" t="s">
        <v>85</v>
      </c>
      <c r="D930" s="81">
        <v>3485.6</v>
      </c>
      <c r="E930" s="151">
        <v>44751</v>
      </c>
      <c r="F930" s="81">
        <v>3485.6</v>
      </c>
      <c r="G930" s="156">
        <f>Tabla18[[#This Row],[Importe]]-Tabla18[[#This Row],[Pagado]]</f>
        <v>0</v>
      </c>
      <c r="H930" s="75" t="s">
        <v>10</v>
      </c>
    </row>
    <row r="931" spans="1:8" x14ac:dyDescent="0.25">
      <c r="A931" s="148">
        <v>44751</v>
      </c>
      <c r="B931" s="149" t="s">
        <v>22230</v>
      </c>
      <c r="C931" s="153" t="s">
        <v>75</v>
      </c>
      <c r="D931" s="154">
        <v>12661.4</v>
      </c>
      <c r="E931" s="155">
        <v>44751</v>
      </c>
      <c r="F931" s="154">
        <v>12661.4</v>
      </c>
      <c r="G931" s="156">
        <f>Tabla18[[#This Row],[Importe]]-Tabla18[[#This Row],[Pagado]]</f>
        <v>0</v>
      </c>
      <c r="H931" s="153" t="s">
        <v>10</v>
      </c>
    </row>
    <row r="932" spans="1:8" x14ac:dyDescent="0.25">
      <c r="A932" s="73">
        <v>44751</v>
      </c>
      <c r="B932" s="74" t="s">
        <v>22231</v>
      </c>
      <c r="C932" s="75" t="s">
        <v>1187</v>
      </c>
      <c r="D932" s="81">
        <v>2639.5</v>
      </c>
      <c r="E932" s="151">
        <v>44751</v>
      </c>
      <c r="F932" s="81">
        <v>2639.5</v>
      </c>
      <c r="G932" s="156">
        <f>Tabla18[[#This Row],[Importe]]-Tabla18[[#This Row],[Pagado]]</f>
        <v>0</v>
      </c>
      <c r="H932" s="75" t="s">
        <v>10</v>
      </c>
    </row>
    <row r="933" spans="1:8" x14ac:dyDescent="0.25">
      <c r="A933" s="148">
        <v>44751</v>
      </c>
      <c r="B933" s="149" t="s">
        <v>22232</v>
      </c>
      <c r="C933" s="153" t="s">
        <v>319</v>
      </c>
      <c r="D933" s="154">
        <v>9871.5</v>
      </c>
      <c r="E933" s="155">
        <v>44751</v>
      </c>
      <c r="F933" s="154">
        <v>9871.5</v>
      </c>
      <c r="G933" s="156">
        <f>Tabla18[[#This Row],[Importe]]-Tabla18[[#This Row],[Pagado]]</f>
        <v>0</v>
      </c>
      <c r="H933" s="153" t="s">
        <v>10</v>
      </c>
    </row>
    <row r="934" spans="1:8" x14ac:dyDescent="0.25">
      <c r="A934" s="73">
        <v>44751</v>
      </c>
      <c r="B934" s="74" t="s">
        <v>22233</v>
      </c>
      <c r="C934" s="75" t="s">
        <v>31</v>
      </c>
      <c r="D934" s="81">
        <v>2310.4</v>
      </c>
      <c r="E934" s="151">
        <v>44751</v>
      </c>
      <c r="F934" s="81">
        <v>2310.4</v>
      </c>
      <c r="G934" s="156">
        <f>Tabla18[[#This Row],[Importe]]-Tabla18[[#This Row],[Pagado]]</f>
        <v>0</v>
      </c>
      <c r="H934" s="75" t="s">
        <v>10</v>
      </c>
    </row>
    <row r="935" spans="1:8" x14ac:dyDescent="0.25">
      <c r="A935" s="148">
        <v>44751</v>
      </c>
      <c r="B935" s="149" t="s">
        <v>22234</v>
      </c>
      <c r="C935" s="153" t="s">
        <v>16</v>
      </c>
      <c r="D935" s="154">
        <v>6424.3</v>
      </c>
      <c r="E935" s="155">
        <v>44751</v>
      </c>
      <c r="F935" s="154">
        <v>6424.3</v>
      </c>
      <c r="G935" s="156">
        <f>Tabla18[[#This Row],[Importe]]-Tabla18[[#This Row],[Pagado]]</f>
        <v>0</v>
      </c>
      <c r="H935" s="153" t="s">
        <v>10</v>
      </c>
    </row>
    <row r="936" spans="1:8" x14ac:dyDescent="0.25">
      <c r="A936" s="73">
        <v>44751</v>
      </c>
      <c r="B936" s="74" t="s">
        <v>22235</v>
      </c>
      <c r="C936" s="75" t="s">
        <v>11033</v>
      </c>
      <c r="D936" s="81">
        <v>1848</v>
      </c>
      <c r="E936" s="151">
        <v>44751</v>
      </c>
      <c r="F936" s="81">
        <v>1848</v>
      </c>
      <c r="G936" s="156">
        <f>Tabla18[[#This Row],[Importe]]-Tabla18[[#This Row],[Pagado]]</f>
        <v>0</v>
      </c>
      <c r="H936" s="75" t="s">
        <v>10</v>
      </c>
    </row>
    <row r="937" spans="1:8" x14ac:dyDescent="0.25">
      <c r="A937" s="148">
        <v>44751</v>
      </c>
      <c r="B937" s="149" t="s">
        <v>22236</v>
      </c>
      <c r="C937" s="153" t="s">
        <v>79</v>
      </c>
      <c r="D937" s="154">
        <v>30078.2</v>
      </c>
      <c r="E937" s="155">
        <v>44751</v>
      </c>
      <c r="F937" s="154">
        <v>30078.2</v>
      </c>
      <c r="G937" s="156">
        <f>Tabla18[[#This Row],[Importe]]-Tabla18[[#This Row],[Pagado]]</f>
        <v>0</v>
      </c>
      <c r="H937" s="153" t="s">
        <v>10</v>
      </c>
    </row>
    <row r="938" spans="1:8" x14ac:dyDescent="0.25">
      <c r="A938" s="73">
        <v>44751</v>
      </c>
      <c r="B938" s="74" t="s">
        <v>22237</v>
      </c>
      <c r="C938" s="75" t="s">
        <v>380</v>
      </c>
      <c r="D938" s="81">
        <v>10582</v>
      </c>
      <c r="E938" s="151">
        <v>44751</v>
      </c>
      <c r="F938" s="81">
        <v>10582</v>
      </c>
      <c r="G938" s="156">
        <f>Tabla18[[#This Row],[Importe]]-Tabla18[[#This Row],[Pagado]]</f>
        <v>0</v>
      </c>
      <c r="H938" s="75" t="s">
        <v>10</v>
      </c>
    </row>
    <row r="939" spans="1:8" x14ac:dyDescent="0.25">
      <c r="A939" s="148">
        <v>44751</v>
      </c>
      <c r="B939" s="149" t="s">
        <v>22238</v>
      </c>
      <c r="C939" s="153" t="s">
        <v>15039</v>
      </c>
      <c r="D939" s="154">
        <v>4651.2</v>
      </c>
      <c r="E939" s="155">
        <v>44751</v>
      </c>
      <c r="F939" s="154">
        <v>4651.2</v>
      </c>
      <c r="G939" s="156">
        <f>Tabla18[[#This Row],[Importe]]-Tabla18[[#This Row],[Pagado]]</f>
        <v>0</v>
      </c>
      <c r="H939" s="153" t="s">
        <v>10</v>
      </c>
    </row>
    <row r="940" spans="1:8" x14ac:dyDescent="0.25">
      <c r="A940" s="73">
        <v>44751</v>
      </c>
      <c r="B940" s="74" t="s">
        <v>22239</v>
      </c>
      <c r="C940" s="75" t="s">
        <v>348</v>
      </c>
      <c r="D940" s="81">
        <v>4314.6000000000004</v>
      </c>
      <c r="E940" s="151">
        <v>44751</v>
      </c>
      <c r="F940" s="81">
        <v>4314.6000000000004</v>
      </c>
      <c r="G940" s="156">
        <f>Tabla18[[#This Row],[Importe]]-Tabla18[[#This Row],[Pagado]]</f>
        <v>0</v>
      </c>
      <c r="H940" s="75" t="s">
        <v>10</v>
      </c>
    </row>
    <row r="941" spans="1:8" x14ac:dyDescent="0.25">
      <c r="A941" s="148">
        <v>44751</v>
      </c>
      <c r="B941" s="149" t="s">
        <v>22240</v>
      </c>
      <c r="C941" s="153" t="s">
        <v>224</v>
      </c>
      <c r="D941" s="154">
        <v>360</v>
      </c>
      <c r="E941" s="155">
        <v>44751</v>
      </c>
      <c r="F941" s="154">
        <v>360</v>
      </c>
      <c r="G941" s="156">
        <f>Tabla18[[#This Row],[Importe]]-Tabla18[[#This Row],[Pagado]]</f>
        <v>0</v>
      </c>
      <c r="H941" s="153" t="s">
        <v>10</v>
      </c>
    </row>
    <row r="942" spans="1:8" x14ac:dyDescent="0.25">
      <c r="A942" s="73">
        <v>44751</v>
      </c>
      <c r="B942" s="74" t="s">
        <v>22241</v>
      </c>
      <c r="C942" s="75" t="s">
        <v>142</v>
      </c>
      <c r="D942" s="81">
        <v>39927.050000000003</v>
      </c>
      <c r="E942" s="151">
        <v>44799</v>
      </c>
      <c r="F942" s="81">
        <v>39927.050000000003</v>
      </c>
      <c r="G942" s="156">
        <f>Tabla18[[#This Row],[Importe]]-Tabla18[[#This Row],[Pagado]]</f>
        <v>0</v>
      </c>
      <c r="H942" s="75" t="s">
        <v>10</v>
      </c>
    </row>
    <row r="943" spans="1:8" x14ac:dyDescent="0.25">
      <c r="A943" s="148">
        <v>44751</v>
      </c>
      <c r="B943" s="149" t="s">
        <v>22242</v>
      </c>
      <c r="C943" s="153" t="s">
        <v>43</v>
      </c>
      <c r="D943" s="154">
        <v>54188.800000000003</v>
      </c>
      <c r="E943" s="155">
        <v>44755</v>
      </c>
      <c r="F943" s="154">
        <v>54188.800000000003</v>
      </c>
      <c r="G943" s="156">
        <f>Tabla18[[#This Row],[Importe]]-Tabla18[[#This Row],[Pagado]]</f>
        <v>0</v>
      </c>
      <c r="H943" s="153" t="s">
        <v>10</v>
      </c>
    </row>
    <row r="944" spans="1:8" x14ac:dyDescent="0.25">
      <c r="A944" s="73">
        <v>44751</v>
      </c>
      <c r="B944" s="74" t="s">
        <v>22243</v>
      </c>
      <c r="C944" s="75" t="s">
        <v>31</v>
      </c>
      <c r="D944" s="81">
        <v>7448</v>
      </c>
      <c r="E944" s="151">
        <v>44751</v>
      </c>
      <c r="F944" s="81">
        <v>7448</v>
      </c>
      <c r="G944" s="156">
        <f>Tabla18[[#This Row],[Importe]]-Tabla18[[#This Row],[Pagado]]</f>
        <v>0</v>
      </c>
      <c r="H944" s="75" t="s">
        <v>10</v>
      </c>
    </row>
    <row r="945" spans="1:8" x14ac:dyDescent="0.25">
      <c r="A945" s="148">
        <v>44751</v>
      </c>
      <c r="B945" s="149" t="s">
        <v>22244</v>
      </c>
      <c r="C945" s="153" t="s">
        <v>127</v>
      </c>
      <c r="D945" s="154">
        <v>6232.5</v>
      </c>
      <c r="E945" s="155">
        <v>44751</v>
      </c>
      <c r="F945" s="154">
        <v>6232.5</v>
      </c>
      <c r="G945" s="156">
        <f>Tabla18[[#This Row],[Importe]]-Tabla18[[#This Row],[Pagado]]</f>
        <v>0</v>
      </c>
      <c r="H945" s="153" t="s">
        <v>10</v>
      </c>
    </row>
    <row r="946" spans="1:8" x14ac:dyDescent="0.25">
      <c r="A946" s="73">
        <v>44751</v>
      </c>
      <c r="B946" s="74" t="s">
        <v>22245</v>
      </c>
      <c r="C946" s="75" t="s">
        <v>140</v>
      </c>
      <c r="D946" s="81">
        <v>5445</v>
      </c>
      <c r="E946" s="151">
        <v>44751</v>
      </c>
      <c r="F946" s="81">
        <v>5445</v>
      </c>
      <c r="G946" s="156">
        <f>Tabla18[[#This Row],[Importe]]-Tabla18[[#This Row],[Pagado]]</f>
        <v>0</v>
      </c>
      <c r="H946" s="75" t="s">
        <v>10</v>
      </c>
    </row>
    <row r="947" spans="1:8" x14ac:dyDescent="0.25">
      <c r="A947" s="148">
        <v>44751</v>
      </c>
      <c r="B947" s="149" t="s">
        <v>22246</v>
      </c>
      <c r="C947" s="153" t="s">
        <v>129</v>
      </c>
      <c r="D947" s="154">
        <v>4822.5</v>
      </c>
      <c r="E947" s="155">
        <v>44751</v>
      </c>
      <c r="F947" s="154">
        <v>4822.5</v>
      </c>
      <c r="G947" s="156">
        <f>Tabla18[[#This Row],[Importe]]-Tabla18[[#This Row],[Pagado]]</f>
        <v>0</v>
      </c>
      <c r="H947" s="153" t="s">
        <v>10</v>
      </c>
    </row>
    <row r="948" spans="1:8" x14ac:dyDescent="0.25">
      <c r="A948" s="73">
        <v>44751</v>
      </c>
      <c r="B948" s="74" t="s">
        <v>22247</v>
      </c>
      <c r="C948" s="75" t="s">
        <v>314</v>
      </c>
      <c r="D948" s="81">
        <v>5009.8</v>
      </c>
      <c r="E948" s="151">
        <v>44751</v>
      </c>
      <c r="F948" s="81">
        <v>5009.8</v>
      </c>
      <c r="G948" s="156">
        <f>Tabla18[[#This Row],[Importe]]-Tabla18[[#This Row],[Pagado]]</f>
        <v>0</v>
      </c>
      <c r="H948" s="75" t="s">
        <v>10</v>
      </c>
    </row>
    <row r="949" spans="1:8" x14ac:dyDescent="0.25">
      <c r="A949" s="148">
        <v>44751</v>
      </c>
      <c r="B949" s="149" t="s">
        <v>22248</v>
      </c>
      <c r="C949" s="153" t="s">
        <v>31</v>
      </c>
      <c r="D949" s="154">
        <v>5007.5</v>
      </c>
      <c r="E949" s="155">
        <v>44751</v>
      </c>
      <c r="F949" s="154">
        <v>5007.5</v>
      </c>
      <c r="G949" s="156">
        <f>Tabla18[[#This Row],[Importe]]-Tabla18[[#This Row],[Pagado]]</f>
        <v>0</v>
      </c>
      <c r="H949" s="153" t="s">
        <v>10</v>
      </c>
    </row>
    <row r="950" spans="1:8" x14ac:dyDescent="0.25">
      <c r="A950" s="73">
        <v>44751</v>
      </c>
      <c r="B950" s="74" t="s">
        <v>22249</v>
      </c>
      <c r="C950" s="75" t="s">
        <v>87</v>
      </c>
      <c r="D950" s="81">
        <v>7826.8</v>
      </c>
      <c r="E950" s="151">
        <v>44751</v>
      </c>
      <c r="F950" s="81">
        <v>7826.8</v>
      </c>
      <c r="G950" s="156">
        <f>Tabla18[[#This Row],[Importe]]-Tabla18[[#This Row],[Pagado]]</f>
        <v>0</v>
      </c>
      <c r="H950" s="75" t="s">
        <v>10</v>
      </c>
    </row>
    <row r="951" spans="1:8" x14ac:dyDescent="0.25">
      <c r="A951" s="148">
        <v>44751</v>
      </c>
      <c r="B951" s="149" t="s">
        <v>22250</v>
      </c>
      <c r="C951" s="153" t="s">
        <v>140</v>
      </c>
      <c r="D951" s="154">
        <v>585.20000000000005</v>
      </c>
      <c r="E951" s="155">
        <v>44751</v>
      </c>
      <c r="F951" s="154">
        <v>585.20000000000005</v>
      </c>
      <c r="G951" s="156">
        <f>Tabla18[[#This Row],[Importe]]-Tabla18[[#This Row],[Pagado]]</f>
        <v>0</v>
      </c>
      <c r="H951" s="153" t="s">
        <v>10</v>
      </c>
    </row>
    <row r="952" spans="1:8" x14ac:dyDescent="0.25">
      <c r="A952" s="73">
        <v>44751</v>
      </c>
      <c r="B952" s="74" t="s">
        <v>22251</v>
      </c>
      <c r="C952" s="75" t="s">
        <v>129</v>
      </c>
      <c r="D952" s="81">
        <v>1451.6</v>
      </c>
      <c r="E952" s="151">
        <v>44751</v>
      </c>
      <c r="F952" s="81">
        <v>1451.6</v>
      </c>
      <c r="G952" s="156">
        <f>Tabla18[[#This Row],[Importe]]-Tabla18[[#This Row],[Pagado]]</f>
        <v>0</v>
      </c>
      <c r="H952" s="75" t="s">
        <v>10</v>
      </c>
    </row>
    <row r="953" spans="1:8" x14ac:dyDescent="0.25">
      <c r="A953" s="148">
        <v>44751</v>
      </c>
      <c r="B953" s="149" t="s">
        <v>22252</v>
      </c>
      <c r="C953" s="153" t="s">
        <v>45</v>
      </c>
      <c r="D953" s="154">
        <v>14807.7</v>
      </c>
      <c r="E953" s="155">
        <v>44751</v>
      </c>
      <c r="F953" s="154">
        <v>14807.7</v>
      </c>
      <c r="G953" s="156">
        <f>Tabla18[[#This Row],[Importe]]-Tabla18[[#This Row],[Pagado]]</f>
        <v>0</v>
      </c>
      <c r="H953" s="153" t="s">
        <v>10</v>
      </c>
    </row>
    <row r="954" spans="1:8" x14ac:dyDescent="0.25">
      <c r="A954" s="73">
        <v>44751</v>
      </c>
      <c r="B954" s="74" t="s">
        <v>22253</v>
      </c>
      <c r="C954" s="75" t="s">
        <v>146</v>
      </c>
      <c r="D954" s="81">
        <v>11274.1</v>
      </c>
      <c r="E954" s="151">
        <v>44751</v>
      </c>
      <c r="F954" s="81">
        <v>11274.1</v>
      </c>
      <c r="G954" s="156">
        <f>Tabla18[[#This Row],[Importe]]-Tabla18[[#This Row],[Pagado]]</f>
        <v>0</v>
      </c>
      <c r="H954" s="75" t="s">
        <v>10</v>
      </c>
    </row>
    <row r="955" spans="1:8" x14ac:dyDescent="0.25">
      <c r="A955" s="148">
        <v>44751</v>
      </c>
      <c r="B955" s="149" t="s">
        <v>22254</v>
      </c>
      <c r="C955" s="153" t="s">
        <v>56</v>
      </c>
      <c r="D955" s="154">
        <v>9555</v>
      </c>
      <c r="E955" s="155">
        <v>44751</v>
      </c>
      <c r="F955" s="154">
        <v>9555</v>
      </c>
      <c r="G955" s="156">
        <f>Tabla18[[#This Row],[Importe]]-Tabla18[[#This Row],[Pagado]]</f>
        <v>0</v>
      </c>
      <c r="H955" s="153" t="s">
        <v>10</v>
      </c>
    </row>
    <row r="956" spans="1:8" x14ac:dyDescent="0.25">
      <c r="A956" s="73">
        <v>44751</v>
      </c>
      <c r="B956" s="74" t="s">
        <v>22255</v>
      </c>
      <c r="C956" s="75" t="s">
        <v>107</v>
      </c>
      <c r="D956" s="81">
        <v>35801.599999999999</v>
      </c>
      <c r="E956" s="151">
        <v>44751</v>
      </c>
      <c r="F956" s="81">
        <v>35801.599999999999</v>
      </c>
      <c r="G956" s="156">
        <f>Tabla18[[#This Row],[Importe]]-Tabla18[[#This Row],[Pagado]]</f>
        <v>0</v>
      </c>
      <c r="H956" s="75" t="s">
        <v>10</v>
      </c>
    </row>
    <row r="957" spans="1:8" x14ac:dyDescent="0.25">
      <c r="A957" s="148">
        <v>44751</v>
      </c>
      <c r="B957" s="149" t="s">
        <v>22256</v>
      </c>
      <c r="C957" s="153" t="s">
        <v>333</v>
      </c>
      <c r="D957" s="154">
        <v>1541.6</v>
      </c>
      <c r="E957" s="155">
        <v>44751</v>
      </c>
      <c r="F957" s="154">
        <v>1541.6</v>
      </c>
      <c r="G957" s="156">
        <f>Tabla18[[#This Row],[Importe]]-Tabla18[[#This Row],[Pagado]]</f>
        <v>0</v>
      </c>
      <c r="H957" s="153" t="s">
        <v>10</v>
      </c>
    </row>
    <row r="958" spans="1:8" x14ac:dyDescent="0.25">
      <c r="A958" s="73">
        <v>44751</v>
      </c>
      <c r="B958" s="74" t="s">
        <v>22257</v>
      </c>
      <c r="C958" s="75" t="s">
        <v>664</v>
      </c>
      <c r="D958" s="81">
        <v>15283.6</v>
      </c>
      <c r="E958" s="151">
        <v>44751</v>
      </c>
      <c r="F958" s="81">
        <v>15283.6</v>
      </c>
      <c r="G958" s="156">
        <f>Tabla18[[#This Row],[Importe]]-Tabla18[[#This Row],[Pagado]]</f>
        <v>0</v>
      </c>
      <c r="H958" s="75" t="s">
        <v>10</v>
      </c>
    </row>
    <row r="959" spans="1:8" x14ac:dyDescent="0.25">
      <c r="A959" s="148">
        <v>44751</v>
      </c>
      <c r="B959" s="149" t="s">
        <v>22258</v>
      </c>
      <c r="C959" s="153" t="s">
        <v>409</v>
      </c>
      <c r="D959" s="154">
        <v>5635.2</v>
      </c>
      <c r="E959" s="155">
        <v>44754</v>
      </c>
      <c r="F959" s="154">
        <v>5635.2</v>
      </c>
      <c r="G959" s="156">
        <f>Tabla18[[#This Row],[Importe]]-Tabla18[[#This Row],[Pagado]]</f>
        <v>0</v>
      </c>
      <c r="H959" s="153" t="s">
        <v>10</v>
      </c>
    </row>
    <row r="960" spans="1:8" x14ac:dyDescent="0.25">
      <c r="A960" s="73">
        <v>44751</v>
      </c>
      <c r="B960" s="74" t="s">
        <v>22259</v>
      </c>
      <c r="C960" s="75" t="s">
        <v>29</v>
      </c>
      <c r="D960" s="81">
        <v>8154.8</v>
      </c>
      <c r="E960" s="151">
        <v>44751</v>
      </c>
      <c r="F960" s="81">
        <v>8154.8</v>
      </c>
      <c r="G960" s="156">
        <f>Tabla18[[#This Row],[Importe]]-Tabla18[[#This Row],[Pagado]]</f>
        <v>0</v>
      </c>
      <c r="H960" s="75" t="s">
        <v>10</v>
      </c>
    </row>
    <row r="961" spans="1:8" x14ac:dyDescent="0.25">
      <c r="A961" s="148">
        <v>44751</v>
      </c>
      <c r="B961" s="149" t="s">
        <v>22260</v>
      </c>
      <c r="C961" s="153" t="s">
        <v>31</v>
      </c>
      <c r="D961" s="154">
        <v>2217.6</v>
      </c>
      <c r="E961" s="155">
        <v>44751</v>
      </c>
      <c r="F961" s="154">
        <v>2217.6</v>
      </c>
      <c r="G961" s="156">
        <f>Tabla18[[#This Row],[Importe]]-Tabla18[[#This Row],[Pagado]]</f>
        <v>0</v>
      </c>
      <c r="H961" s="153" t="s">
        <v>10</v>
      </c>
    </row>
    <row r="962" spans="1:8" x14ac:dyDescent="0.25">
      <c r="A962" s="73">
        <v>44751</v>
      </c>
      <c r="B962" s="74" t="s">
        <v>22261</v>
      </c>
      <c r="C962" s="75" t="s">
        <v>1003</v>
      </c>
      <c r="D962" s="81">
        <v>2864.4</v>
      </c>
      <c r="E962" s="151">
        <v>44752</v>
      </c>
      <c r="F962" s="81">
        <v>2864.4</v>
      </c>
      <c r="G962" s="156">
        <f>Tabla18[[#This Row],[Importe]]-Tabla18[[#This Row],[Pagado]]</f>
        <v>0</v>
      </c>
      <c r="H962" s="75" t="s">
        <v>10</v>
      </c>
    </row>
    <row r="963" spans="1:8" x14ac:dyDescent="0.25">
      <c r="A963" s="148">
        <v>44751</v>
      </c>
      <c r="B963" s="149" t="s">
        <v>22262</v>
      </c>
      <c r="C963" s="153" t="s">
        <v>22263</v>
      </c>
      <c r="D963" s="154">
        <v>0</v>
      </c>
      <c r="E963" s="158" t="s">
        <v>189</v>
      </c>
      <c r="F963" s="154">
        <v>0</v>
      </c>
      <c r="G963" s="156">
        <f>Tabla18[[#This Row],[Importe]]-Tabla18[[#This Row],[Pagado]]</f>
        <v>0</v>
      </c>
      <c r="H963" s="153" t="s">
        <v>189</v>
      </c>
    </row>
    <row r="964" spans="1:8" x14ac:dyDescent="0.25">
      <c r="A964" s="73">
        <v>44751</v>
      </c>
      <c r="B964" s="74" t="s">
        <v>22264</v>
      </c>
      <c r="C964" s="75" t="s">
        <v>698</v>
      </c>
      <c r="D964" s="81">
        <v>3982.5</v>
      </c>
      <c r="E964" s="151">
        <v>44751</v>
      </c>
      <c r="F964" s="81">
        <v>3982.5</v>
      </c>
      <c r="G964" s="156">
        <f>Tabla18[[#This Row],[Importe]]-Tabla18[[#This Row],[Pagado]]</f>
        <v>0</v>
      </c>
      <c r="H964" s="75" t="s">
        <v>10</v>
      </c>
    </row>
    <row r="965" spans="1:8" x14ac:dyDescent="0.25">
      <c r="A965" s="148">
        <v>44751</v>
      </c>
      <c r="B965" s="149" t="s">
        <v>22265</v>
      </c>
      <c r="C965" s="153" t="s">
        <v>3971</v>
      </c>
      <c r="D965" s="154">
        <v>1221</v>
      </c>
      <c r="E965" s="155">
        <v>44751</v>
      </c>
      <c r="F965" s="154">
        <v>1221</v>
      </c>
      <c r="G965" s="156">
        <f>Tabla18[[#This Row],[Importe]]-Tabla18[[#This Row],[Pagado]]</f>
        <v>0</v>
      </c>
      <c r="H965" s="153" t="s">
        <v>10</v>
      </c>
    </row>
    <row r="966" spans="1:8" x14ac:dyDescent="0.25">
      <c r="A966" s="73">
        <v>44751</v>
      </c>
      <c r="B966" s="74" t="s">
        <v>22266</v>
      </c>
      <c r="C966" s="75" t="s">
        <v>216</v>
      </c>
      <c r="D966" s="81">
        <v>2627</v>
      </c>
      <c r="E966" s="151">
        <v>44751</v>
      </c>
      <c r="F966" s="81">
        <v>2627</v>
      </c>
      <c r="G966" s="156">
        <f>Tabla18[[#This Row],[Importe]]-Tabla18[[#This Row],[Pagado]]</f>
        <v>0</v>
      </c>
      <c r="H966" s="75" t="s">
        <v>10</v>
      </c>
    </row>
    <row r="967" spans="1:8" x14ac:dyDescent="0.25">
      <c r="A967" s="148">
        <v>44751</v>
      </c>
      <c r="B967" s="149" t="s">
        <v>22267</v>
      </c>
      <c r="C967" s="153" t="s">
        <v>230</v>
      </c>
      <c r="D967" s="154">
        <v>8430.2000000000007</v>
      </c>
      <c r="E967" s="155">
        <v>44751</v>
      </c>
      <c r="F967" s="154">
        <v>8430.2000000000007</v>
      </c>
      <c r="G967" s="156">
        <f>Tabla18[[#This Row],[Importe]]-Tabla18[[#This Row],[Pagado]]</f>
        <v>0</v>
      </c>
      <c r="H967" s="153" t="s">
        <v>10</v>
      </c>
    </row>
    <row r="968" spans="1:8" x14ac:dyDescent="0.25">
      <c r="A968" s="73">
        <v>44751</v>
      </c>
      <c r="B968" s="74" t="s">
        <v>22268</v>
      </c>
      <c r="C968" s="75" t="s">
        <v>1275</v>
      </c>
      <c r="D968" s="81">
        <v>34143.5</v>
      </c>
      <c r="E968" s="151">
        <v>44751</v>
      </c>
      <c r="F968" s="81">
        <v>34143.5</v>
      </c>
      <c r="G968" s="156">
        <f>Tabla18[[#This Row],[Importe]]-Tabla18[[#This Row],[Pagado]]</f>
        <v>0</v>
      </c>
      <c r="H968" s="75" t="s">
        <v>10</v>
      </c>
    </row>
    <row r="969" spans="1:8" x14ac:dyDescent="0.25">
      <c r="A969" s="148">
        <v>44751</v>
      </c>
      <c r="B969" s="149" t="s">
        <v>22269</v>
      </c>
      <c r="C969" s="153" t="s">
        <v>3971</v>
      </c>
      <c r="D969" s="154">
        <v>19379.400000000001</v>
      </c>
      <c r="E969" s="155">
        <v>44751</v>
      </c>
      <c r="F969" s="154">
        <v>19379.400000000001</v>
      </c>
      <c r="G969" s="156">
        <f>Tabla18[[#This Row],[Importe]]-Tabla18[[#This Row],[Pagado]]</f>
        <v>0</v>
      </c>
      <c r="H969" s="153" t="s">
        <v>10</v>
      </c>
    </row>
    <row r="970" spans="1:8" x14ac:dyDescent="0.25">
      <c r="A970" s="73">
        <v>44751</v>
      </c>
      <c r="B970" s="74" t="s">
        <v>22270</v>
      </c>
      <c r="C970" s="75" t="s">
        <v>407</v>
      </c>
      <c r="D970" s="81">
        <v>42007</v>
      </c>
      <c r="E970" s="151">
        <v>44751</v>
      </c>
      <c r="F970" s="81">
        <v>42007</v>
      </c>
      <c r="G970" s="156">
        <f>Tabla18[[#This Row],[Importe]]-Tabla18[[#This Row],[Pagado]]</f>
        <v>0</v>
      </c>
      <c r="H970" s="75" t="s">
        <v>10</v>
      </c>
    </row>
    <row r="971" spans="1:8" x14ac:dyDescent="0.25">
      <c r="A971" s="148">
        <v>44751</v>
      </c>
      <c r="B971" s="149" t="s">
        <v>22271</v>
      </c>
      <c r="C971" s="153" t="s">
        <v>670</v>
      </c>
      <c r="D971" s="154">
        <v>3024</v>
      </c>
      <c r="E971" s="155">
        <v>44751</v>
      </c>
      <c r="F971" s="154">
        <v>3024</v>
      </c>
      <c r="G971" s="156">
        <f>Tabla18[[#This Row],[Importe]]-Tabla18[[#This Row],[Pagado]]</f>
        <v>0</v>
      </c>
      <c r="H971" s="153" t="s">
        <v>10</v>
      </c>
    </row>
    <row r="972" spans="1:8" x14ac:dyDescent="0.25">
      <c r="A972" s="73">
        <v>44751</v>
      </c>
      <c r="B972" s="74" t="s">
        <v>22272</v>
      </c>
      <c r="C972" s="75" t="s">
        <v>414</v>
      </c>
      <c r="D972" s="81">
        <v>22377.599999999999</v>
      </c>
      <c r="E972" s="151">
        <v>44761</v>
      </c>
      <c r="F972" s="81">
        <v>22377.599999999999</v>
      </c>
      <c r="G972" s="156">
        <f>Tabla18[[#This Row],[Importe]]-Tabla18[[#This Row],[Pagado]]</f>
        <v>0</v>
      </c>
      <c r="H972" s="75" t="s">
        <v>10</v>
      </c>
    </row>
    <row r="973" spans="1:8" x14ac:dyDescent="0.25">
      <c r="A973" s="148">
        <v>44751</v>
      </c>
      <c r="B973" s="149" t="s">
        <v>22273</v>
      </c>
      <c r="C973" s="153" t="s">
        <v>24</v>
      </c>
      <c r="D973" s="154">
        <v>2851.3</v>
      </c>
      <c r="E973" s="155">
        <v>44751</v>
      </c>
      <c r="F973" s="154">
        <v>2851.3</v>
      </c>
      <c r="G973" s="156">
        <f>Tabla18[[#This Row],[Importe]]-Tabla18[[#This Row],[Pagado]]</f>
        <v>0</v>
      </c>
      <c r="H973" s="153" t="s">
        <v>10</v>
      </c>
    </row>
    <row r="974" spans="1:8" x14ac:dyDescent="0.25">
      <c r="A974" s="73">
        <v>44751</v>
      </c>
      <c r="B974" s="74" t="s">
        <v>22274</v>
      </c>
      <c r="C974" s="75" t="s">
        <v>31</v>
      </c>
      <c r="D974" s="81">
        <v>147</v>
      </c>
      <c r="E974" s="151">
        <v>44751</v>
      </c>
      <c r="F974" s="81">
        <v>147</v>
      </c>
      <c r="G974" s="156">
        <f>Tabla18[[#This Row],[Importe]]-Tabla18[[#This Row],[Pagado]]</f>
        <v>0</v>
      </c>
      <c r="H974" s="75" t="s">
        <v>10</v>
      </c>
    </row>
    <row r="975" spans="1:8" x14ac:dyDescent="0.25">
      <c r="A975" s="148">
        <v>44751</v>
      </c>
      <c r="B975" s="149" t="s">
        <v>22275</v>
      </c>
      <c r="C975" s="153" t="s">
        <v>191</v>
      </c>
      <c r="D975" s="154">
        <v>1930.4</v>
      </c>
      <c r="E975" s="155">
        <v>44751</v>
      </c>
      <c r="F975" s="154">
        <v>1930.4</v>
      </c>
      <c r="G975" s="156">
        <f>Tabla18[[#This Row],[Importe]]-Tabla18[[#This Row],[Pagado]]</f>
        <v>0</v>
      </c>
      <c r="H975" s="153" t="s">
        <v>10</v>
      </c>
    </row>
    <row r="976" spans="1:8" x14ac:dyDescent="0.25">
      <c r="A976" s="73">
        <v>44751</v>
      </c>
      <c r="B976" s="74" t="s">
        <v>22276</v>
      </c>
      <c r="C976" s="75" t="s">
        <v>11383</v>
      </c>
      <c r="D976" s="81">
        <v>12691.4</v>
      </c>
      <c r="E976" s="151">
        <v>44751</v>
      </c>
      <c r="F976" s="81">
        <v>12691.4</v>
      </c>
      <c r="G976" s="156">
        <f>Tabla18[[#This Row],[Importe]]-Tabla18[[#This Row],[Pagado]]</f>
        <v>0</v>
      </c>
      <c r="H976" s="75" t="s">
        <v>10</v>
      </c>
    </row>
    <row r="977" spans="1:8" x14ac:dyDescent="0.25">
      <c r="A977" s="148">
        <v>44751</v>
      </c>
      <c r="B977" s="149" t="s">
        <v>22277</v>
      </c>
      <c r="C977" s="153" t="s">
        <v>4136</v>
      </c>
      <c r="D977" s="154">
        <v>3403.2</v>
      </c>
      <c r="E977" s="155">
        <v>44751</v>
      </c>
      <c r="F977" s="154">
        <v>3403.2</v>
      </c>
      <c r="G977" s="156">
        <f>Tabla18[[#This Row],[Importe]]-Tabla18[[#This Row],[Pagado]]</f>
        <v>0</v>
      </c>
      <c r="H977" s="153" t="s">
        <v>10</v>
      </c>
    </row>
    <row r="978" spans="1:8" x14ac:dyDescent="0.25">
      <c r="A978" s="73">
        <v>44751</v>
      </c>
      <c r="B978" s="74" t="s">
        <v>22278</v>
      </c>
      <c r="C978" s="75" t="s">
        <v>31</v>
      </c>
      <c r="D978" s="81">
        <v>2316.1999999999998</v>
      </c>
      <c r="E978" s="151">
        <v>44751</v>
      </c>
      <c r="F978" s="81">
        <v>2316.1999999999998</v>
      </c>
      <c r="G978" s="156">
        <f>Tabla18[[#This Row],[Importe]]-Tabla18[[#This Row],[Pagado]]</f>
        <v>0</v>
      </c>
      <c r="H978" s="75" t="s">
        <v>10</v>
      </c>
    </row>
    <row r="979" spans="1:8" x14ac:dyDescent="0.25">
      <c r="A979" s="148">
        <v>44751</v>
      </c>
      <c r="B979" s="149" t="s">
        <v>22279</v>
      </c>
      <c r="C979" s="153" t="s">
        <v>31</v>
      </c>
      <c r="D979" s="154">
        <v>1332</v>
      </c>
      <c r="E979" s="155">
        <v>44751</v>
      </c>
      <c r="F979" s="154">
        <v>1332</v>
      </c>
      <c r="G979" s="156">
        <f>Tabla18[[#This Row],[Importe]]-Tabla18[[#This Row],[Pagado]]</f>
        <v>0</v>
      </c>
      <c r="H979" s="153" t="s">
        <v>10</v>
      </c>
    </row>
    <row r="980" spans="1:8" x14ac:dyDescent="0.25">
      <c r="A980" s="73">
        <v>44751</v>
      </c>
      <c r="B980" s="74" t="s">
        <v>22280</v>
      </c>
      <c r="C980" s="75" t="s">
        <v>31</v>
      </c>
      <c r="D980" s="81">
        <v>1824</v>
      </c>
      <c r="E980" s="151">
        <v>44751</v>
      </c>
      <c r="F980" s="81">
        <v>1824</v>
      </c>
      <c r="G980" s="156">
        <f>Tabla18[[#This Row],[Importe]]-Tabla18[[#This Row],[Pagado]]</f>
        <v>0</v>
      </c>
      <c r="H980" s="75" t="s">
        <v>10</v>
      </c>
    </row>
    <row r="981" spans="1:8" x14ac:dyDescent="0.25">
      <c r="A981" s="148">
        <v>44751</v>
      </c>
      <c r="B981" s="149" t="s">
        <v>22281</v>
      </c>
      <c r="C981" s="153" t="s">
        <v>3402</v>
      </c>
      <c r="D981" s="154">
        <v>1291.2</v>
      </c>
      <c r="E981" s="155">
        <v>44751</v>
      </c>
      <c r="F981" s="154">
        <v>1291.2</v>
      </c>
      <c r="G981" s="156">
        <f>Tabla18[[#This Row],[Importe]]-Tabla18[[#This Row],[Pagado]]</f>
        <v>0</v>
      </c>
      <c r="H981" s="153" t="s">
        <v>10</v>
      </c>
    </row>
    <row r="982" spans="1:8" x14ac:dyDescent="0.25">
      <c r="A982" s="73">
        <v>44751</v>
      </c>
      <c r="B982" s="74" t="s">
        <v>22282</v>
      </c>
      <c r="C982" s="75" t="s">
        <v>53</v>
      </c>
      <c r="D982" s="81">
        <v>3047.6</v>
      </c>
      <c r="E982" s="151">
        <v>44751</v>
      </c>
      <c r="F982" s="81">
        <v>3047.6</v>
      </c>
      <c r="G982" s="156">
        <f>Tabla18[[#This Row],[Importe]]-Tabla18[[#This Row],[Pagado]]</f>
        <v>0</v>
      </c>
      <c r="H982" s="75" t="s">
        <v>10</v>
      </c>
    </row>
    <row r="983" spans="1:8" x14ac:dyDescent="0.25">
      <c r="A983" s="148">
        <v>44751</v>
      </c>
      <c r="B983" s="149" t="s">
        <v>22283</v>
      </c>
      <c r="C983" s="153" t="s">
        <v>131</v>
      </c>
      <c r="D983" s="154">
        <v>7644.2</v>
      </c>
      <c r="E983" s="155">
        <v>44751</v>
      </c>
      <c r="F983" s="154">
        <v>7644.2</v>
      </c>
      <c r="G983" s="156">
        <f>Tabla18[[#This Row],[Importe]]-Tabla18[[#This Row],[Pagado]]</f>
        <v>0</v>
      </c>
      <c r="H983" s="153" t="s">
        <v>10</v>
      </c>
    </row>
    <row r="984" spans="1:8" x14ac:dyDescent="0.25">
      <c r="A984" s="73">
        <v>44751</v>
      </c>
      <c r="B984" s="74" t="s">
        <v>22284</v>
      </c>
      <c r="C984" s="75" t="s">
        <v>179</v>
      </c>
      <c r="D984" s="81">
        <v>1258</v>
      </c>
      <c r="E984" s="151">
        <v>44751</v>
      </c>
      <c r="F984" s="81">
        <v>1258</v>
      </c>
      <c r="G984" s="156">
        <f>Tabla18[[#This Row],[Importe]]-Tabla18[[#This Row],[Pagado]]</f>
        <v>0</v>
      </c>
      <c r="H984" s="75" t="s">
        <v>10</v>
      </c>
    </row>
    <row r="985" spans="1:8" x14ac:dyDescent="0.25">
      <c r="A985" s="148">
        <v>44751</v>
      </c>
      <c r="B985" s="149" t="s">
        <v>22285</v>
      </c>
      <c r="C985" s="153" t="s">
        <v>58</v>
      </c>
      <c r="D985" s="154">
        <v>4042.6</v>
      </c>
      <c r="E985" s="155">
        <v>44751</v>
      </c>
      <c r="F985" s="154">
        <v>4042.6</v>
      </c>
      <c r="G985" s="156">
        <f>Tabla18[[#This Row],[Importe]]-Tabla18[[#This Row],[Pagado]]</f>
        <v>0</v>
      </c>
      <c r="H985" s="153" t="s">
        <v>10</v>
      </c>
    </row>
    <row r="986" spans="1:8" x14ac:dyDescent="0.25">
      <c r="A986" s="73">
        <v>44751</v>
      </c>
      <c r="B986" s="74" t="s">
        <v>22286</v>
      </c>
      <c r="C986" s="75" t="s">
        <v>1265</v>
      </c>
      <c r="D986" s="81">
        <v>633.6</v>
      </c>
      <c r="E986" s="151">
        <v>44751</v>
      </c>
      <c r="F986" s="81">
        <v>633.6</v>
      </c>
      <c r="G986" s="156">
        <f>Tabla18[[#This Row],[Importe]]-Tabla18[[#This Row],[Pagado]]</f>
        <v>0</v>
      </c>
      <c r="H986" s="75" t="s">
        <v>10</v>
      </c>
    </row>
    <row r="987" spans="1:8" x14ac:dyDescent="0.25">
      <c r="A987" s="148">
        <v>44751</v>
      </c>
      <c r="B987" s="149" t="s">
        <v>22287</v>
      </c>
      <c r="C987" s="153" t="s">
        <v>9827</v>
      </c>
      <c r="D987" s="154">
        <v>10260.6</v>
      </c>
      <c r="E987" s="155">
        <v>44751</v>
      </c>
      <c r="F987" s="154">
        <v>10260.6</v>
      </c>
      <c r="G987" s="156">
        <f>Tabla18[[#This Row],[Importe]]-Tabla18[[#This Row],[Pagado]]</f>
        <v>0</v>
      </c>
      <c r="H987" s="153" t="s">
        <v>10</v>
      </c>
    </row>
    <row r="988" spans="1:8" x14ac:dyDescent="0.25">
      <c r="A988" s="73">
        <v>44751</v>
      </c>
      <c r="B988" s="74" t="s">
        <v>22288</v>
      </c>
      <c r="C988" s="75" t="s">
        <v>62</v>
      </c>
      <c r="D988" s="81">
        <v>4207.5</v>
      </c>
      <c r="E988" s="151">
        <v>44751</v>
      </c>
      <c r="F988" s="81">
        <v>4207.5</v>
      </c>
      <c r="G988" s="156">
        <f>Tabla18[[#This Row],[Importe]]-Tabla18[[#This Row],[Pagado]]</f>
        <v>0</v>
      </c>
      <c r="H988" s="75" t="s">
        <v>10</v>
      </c>
    </row>
    <row r="989" spans="1:8" ht="31.5" x14ac:dyDescent="0.25">
      <c r="A989" s="148">
        <v>44751</v>
      </c>
      <c r="B989" s="149" t="s">
        <v>22289</v>
      </c>
      <c r="C989" s="153" t="s">
        <v>392</v>
      </c>
      <c r="D989" s="154">
        <v>22696.2</v>
      </c>
      <c r="E989" s="150" t="s">
        <v>22290</v>
      </c>
      <c r="F989" s="154">
        <f>17000+5696.2</f>
        <v>22696.2</v>
      </c>
      <c r="G989" s="156">
        <f>Tabla18[[#This Row],[Importe]]-Tabla18[[#This Row],[Pagado]]</f>
        <v>0</v>
      </c>
      <c r="H989" s="153" t="s">
        <v>10</v>
      </c>
    </row>
    <row r="990" spans="1:8" x14ac:dyDescent="0.25">
      <c r="A990" s="73">
        <v>44751</v>
      </c>
      <c r="B990" s="74" t="s">
        <v>22291</v>
      </c>
      <c r="C990" s="75" t="s">
        <v>67</v>
      </c>
      <c r="D990" s="81">
        <v>2520.1999999999998</v>
      </c>
      <c r="E990" s="151">
        <v>44751</v>
      </c>
      <c r="F990" s="81">
        <v>2520.1999999999998</v>
      </c>
      <c r="G990" s="156">
        <f>Tabla18[[#This Row],[Importe]]-Tabla18[[#This Row],[Pagado]]</f>
        <v>0</v>
      </c>
      <c r="H990" s="75" t="s">
        <v>10</v>
      </c>
    </row>
    <row r="991" spans="1:8" x14ac:dyDescent="0.25">
      <c r="A991" s="148">
        <v>44751</v>
      </c>
      <c r="B991" s="149" t="s">
        <v>22292</v>
      </c>
      <c r="C991" s="153" t="s">
        <v>15568</v>
      </c>
      <c r="D991" s="154">
        <v>0</v>
      </c>
      <c r="E991" s="158" t="s">
        <v>189</v>
      </c>
      <c r="F991" s="154">
        <v>0</v>
      </c>
      <c r="G991" s="156">
        <f>Tabla18[[#This Row],[Importe]]-Tabla18[[#This Row],[Pagado]]</f>
        <v>0</v>
      </c>
      <c r="H991" s="159" t="s">
        <v>22293</v>
      </c>
    </row>
    <row r="992" spans="1:8" x14ac:dyDescent="0.25">
      <c r="A992" s="73">
        <v>44751</v>
      </c>
      <c r="B992" s="74" t="s">
        <v>22294</v>
      </c>
      <c r="C992" s="75" t="s">
        <v>442</v>
      </c>
      <c r="D992" s="81">
        <v>3390.4</v>
      </c>
      <c r="E992" s="151">
        <v>44751</v>
      </c>
      <c r="F992" s="81">
        <v>3390.4</v>
      </c>
      <c r="G992" s="156">
        <f>Tabla18[[#This Row],[Importe]]-Tabla18[[#This Row],[Pagado]]</f>
        <v>0</v>
      </c>
      <c r="H992" s="75" t="s">
        <v>10</v>
      </c>
    </row>
    <row r="993" spans="1:8" x14ac:dyDescent="0.25">
      <c r="A993" s="148">
        <v>44751</v>
      </c>
      <c r="B993" s="149" t="s">
        <v>22295</v>
      </c>
      <c r="C993" s="153" t="s">
        <v>196</v>
      </c>
      <c r="D993" s="154">
        <v>119029.9</v>
      </c>
      <c r="E993" s="155">
        <v>44757</v>
      </c>
      <c r="F993" s="154">
        <v>119029.9</v>
      </c>
      <c r="G993" s="156">
        <f>Tabla18[[#This Row],[Importe]]-Tabla18[[#This Row],[Pagado]]</f>
        <v>0</v>
      </c>
      <c r="H993" s="153" t="s">
        <v>10</v>
      </c>
    </row>
    <row r="994" spans="1:8" x14ac:dyDescent="0.25">
      <c r="A994" s="73">
        <v>44751</v>
      </c>
      <c r="B994" s="74" t="s">
        <v>22296</v>
      </c>
      <c r="C994" s="75" t="s">
        <v>450</v>
      </c>
      <c r="D994" s="81">
        <v>4446</v>
      </c>
      <c r="E994" s="151">
        <v>44751</v>
      </c>
      <c r="F994" s="81">
        <v>4446</v>
      </c>
      <c r="G994" s="156">
        <f>Tabla18[[#This Row],[Importe]]-Tabla18[[#This Row],[Pagado]]</f>
        <v>0</v>
      </c>
      <c r="H994" s="75" t="s">
        <v>10</v>
      </c>
    </row>
    <row r="995" spans="1:8" x14ac:dyDescent="0.25">
      <c r="A995" s="148">
        <v>44751</v>
      </c>
      <c r="B995" s="149" t="s">
        <v>22297</v>
      </c>
      <c r="C995" s="153" t="s">
        <v>244</v>
      </c>
      <c r="D995" s="154">
        <v>1162.8</v>
      </c>
      <c r="E995" s="155">
        <v>44751</v>
      </c>
      <c r="F995" s="154">
        <v>1162.8</v>
      </c>
      <c r="G995" s="156">
        <f>Tabla18[[#This Row],[Importe]]-Tabla18[[#This Row],[Pagado]]</f>
        <v>0</v>
      </c>
      <c r="H995" s="153" t="s">
        <v>10</v>
      </c>
    </row>
    <row r="996" spans="1:8" x14ac:dyDescent="0.25">
      <c r="A996" s="73">
        <v>44751</v>
      </c>
      <c r="B996" s="74" t="s">
        <v>22298</v>
      </c>
      <c r="C996" s="75" t="s">
        <v>214</v>
      </c>
      <c r="D996" s="81">
        <v>1317.2</v>
      </c>
      <c r="E996" s="151">
        <v>44751</v>
      </c>
      <c r="F996" s="81">
        <v>1317.2</v>
      </c>
      <c r="G996" s="156">
        <f>Tabla18[[#This Row],[Importe]]-Tabla18[[#This Row],[Pagado]]</f>
        <v>0</v>
      </c>
      <c r="H996" s="75" t="s">
        <v>10</v>
      </c>
    </row>
    <row r="997" spans="1:8" ht="31.5" x14ac:dyDescent="0.25">
      <c r="A997" s="148">
        <v>44751</v>
      </c>
      <c r="B997" s="149" t="s">
        <v>22299</v>
      </c>
      <c r="C997" s="153" t="s">
        <v>275</v>
      </c>
      <c r="D997" s="154">
        <v>169289.78</v>
      </c>
      <c r="E997" s="150" t="s">
        <v>22300</v>
      </c>
      <c r="F997" s="154">
        <f>4796.85</f>
        <v>4796.8500000000004</v>
      </c>
      <c r="G997" s="156">
        <f>Tabla18[[#This Row],[Importe]]-Tabla18[[#This Row],[Pagado]]</f>
        <v>164492.93</v>
      </c>
      <c r="H997" s="153" t="s">
        <v>10</v>
      </c>
    </row>
    <row r="998" spans="1:8" x14ac:dyDescent="0.25">
      <c r="A998" s="73">
        <v>44751</v>
      </c>
      <c r="B998" s="74" t="s">
        <v>22301</v>
      </c>
      <c r="C998" s="75" t="s">
        <v>1239</v>
      </c>
      <c r="D998" s="81">
        <v>1674</v>
      </c>
      <c r="E998" s="151">
        <v>44751</v>
      </c>
      <c r="F998" s="81">
        <v>1674</v>
      </c>
      <c r="G998" s="156">
        <f>Tabla18[[#This Row],[Importe]]-Tabla18[[#This Row],[Pagado]]</f>
        <v>0</v>
      </c>
      <c r="H998" s="75" t="s">
        <v>10</v>
      </c>
    </row>
    <row r="999" spans="1:8" x14ac:dyDescent="0.25">
      <c r="A999" s="148">
        <v>44751</v>
      </c>
      <c r="B999" s="149" t="s">
        <v>22302</v>
      </c>
      <c r="C999" s="153" t="s">
        <v>51</v>
      </c>
      <c r="D999" s="154">
        <v>4960</v>
      </c>
      <c r="E999" s="155">
        <v>44751</v>
      </c>
      <c r="F999" s="154">
        <v>4960</v>
      </c>
      <c r="G999" s="156">
        <f>Tabla18[[#This Row],[Importe]]-Tabla18[[#This Row],[Pagado]]</f>
        <v>0</v>
      </c>
      <c r="H999" s="153" t="s">
        <v>10</v>
      </c>
    </row>
    <row r="1000" spans="1:8" x14ac:dyDescent="0.25">
      <c r="A1000" s="73">
        <v>44751</v>
      </c>
      <c r="B1000" s="74" t="s">
        <v>22303</v>
      </c>
      <c r="C1000" s="75" t="s">
        <v>181</v>
      </c>
      <c r="D1000" s="81">
        <v>18401</v>
      </c>
      <c r="E1000" s="151">
        <v>44751</v>
      </c>
      <c r="F1000" s="81">
        <v>18401</v>
      </c>
      <c r="G1000" s="156">
        <f>Tabla18[[#This Row],[Importe]]-Tabla18[[#This Row],[Pagado]]</f>
        <v>0</v>
      </c>
      <c r="H1000" s="75" t="s">
        <v>10</v>
      </c>
    </row>
    <row r="1001" spans="1:8" x14ac:dyDescent="0.25">
      <c r="A1001" s="148">
        <v>44751</v>
      </c>
      <c r="B1001" s="149" t="s">
        <v>22304</v>
      </c>
      <c r="C1001" s="153" t="s">
        <v>445</v>
      </c>
      <c r="D1001" s="154">
        <v>5206.8</v>
      </c>
      <c r="E1001" s="155">
        <v>44751</v>
      </c>
      <c r="F1001" s="154">
        <v>5206.8</v>
      </c>
      <c r="G1001" s="156">
        <f>Tabla18[[#This Row],[Importe]]-Tabla18[[#This Row],[Pagado]]</f>
        <v>0</v>
      </c>
      <c r="H1001" s="153" t="s">
        <v>10</v>
      </c>
    </row>
    <row r="1002" spans="1:8" x14ac:dyDescent="0.25">
      <c r="A1002" s="73">
        <v>44751</v>
      </c>
      <c r="B1002" s="74" t="s">
        <v>22305</v>
      </c>
      <c r="C1002" s="75" t="s">
        <v>426</v>
      </c>
      <c r="D1002" s="81">
        <v>4200.3999999999996</v>
      </c>
      <c r="E1002" s="151">
        <v>44751</v>
      </c>
      <c r="F1002" s="81">
        <v>4200.3999999999996</v>
      </c>
      <c r="G1002" s="156">
        <f>Tabla18[[#This Row],[Importe]]-Tabla18[[#This Row],[Pagado]]</f>
        <v>0</v>
      </c>
      <c r="H1002" s="75" t="s">
        <v>10</v>
      </c>
    </row>
    <row r="1003" spans="1:8" x14ac:dyDescent="0.25">
      <c r="A1003" s="148">
        <v>44751</v>
      </c>
      <c r="B1003" s="149" t="s">
        <v>22306</v>
      </c>
      <c r="C1003" s="153" t="s">
        <v>200</v>
      </c>
      <c r="D1003" s="154">
        <v>2427.1999999999998</v>
      </c>
      <c r="E1003" s="155">
        <v>44751</v>
      </c>
      <c r="F1003" s="154">
        <v>2427.1999999999998</v>
      </c>
      <c r="G1003" s="156">
        <f>Tabla18[[#This Row],[Importe]]-Tabla18[[#This Row],[Pagado]]</f>
        <v>0</v>
      </c>
      <c r="H1003" s="153" t="s">
        <v>10</v>
      </c>
    </row>
    <row r="1004" spans="1:8" x14ac:dyDescent="0.25">
      <c r="A1004" s="73">
        <v>44751</v>
      </c>
      <c r="B1004" s="74" t="s">
        <v>22307</v>
      </c>
      <c r="C1004" s="75" t="s">
        <v>857</v>
      </c>
      <c r="D1004" s="81">
        <v>2472</v>
      </c>
      <c r="E1004" s="151">
        <v>44751</v>
      </c>
      <c r="F1004" s="81">
        <v>2472</v>
      </c>
      <c r="G1004" s="156">
        <f>Tabla18[[#This Row],[Importe]]-Tabla18[[#This Row],[Pagado]]</f>
        <v>0</v>
      </c>
      <c r="H1004" s="75" t="s">
        <v>10</v>
      </c>
    </row>
    <row r="1005" spans="1:8" x14ac:dyDescent="0.25">
      <c r="A1005" s="148">
        <v>44751</v>
      </c>
      <c r="B1005" s="149" t="s">
        <v>22308</v>
      </c>
      <c r="C1005" s="153" t="s">
        <v>22309</v>
      </c>
      <c r="D1005" s="154">
        <v>0</v>
      </c>
      <c r="E1005" s="158" t="s">
        <v>189</v>
      </c>
      <c r="F1005" s="154">
        <v>0</v>
      </c>
      <c r="G1005" s="156">
        <f>Tabla18[[#This Row],[Importe]]-Tabla18[[#This Row],[Pagado]]</f>
        <v>0</v>
      </c>
      <c r="H1005" s="153" t="s">
        <v>189</v>
      </c>
    </row>
    <row r="1006" spans="1:8" x14ac:dyDescent="0.25">
      <c r="A1006" s="73">
        <v>44751</v>
      </c>
      <c r="B1006" s="74" t="s">
        <v>22310</v>
      </c>
      <c r="C1006" s="75" t="s">
        <v>263</v>
      </c>
      <c r="D1006" s="81">
        <v>22656</v>
      </c>
      <c r="E1006" s="151">
        <v>44755</v>
      </c>
      <c r="F1006" s="81">
        <v>22656</v>
      </c>
      <c r="G1006" s="156">
        <f>Tabla18[[#This Row],[Importe]]-Tabla18[[#This Row],[Pagado]]</f>
        <v>0</v>
      </c>
      <c r="H1006" s="75" t="s">
        <v>10</v>
      </c>
    </row>
    <row r="1007" spans="1:8" x14ac:dyDescent="0.25">
      <c r="A1007" s="148">
        <v>44751</v>
      </c>
      <c r="B1007" s="149" t="s">
        <v>22311</v>
      </c>
      <c r="C1007" s="153" t="s">
        <v>6112</v>
      </c>
      <c r="D1007" s="154">
        <v>8326.7999999999993</v>
      </c>
      <c r="E1007" s="155">
        <v>44751</v>
      </c>
      <c r="F1007" s="154">
        <v>8326.7999999999993</v>
      </c>
      <c r="G1007" s="156">
        <f>Tabla18[[#This Row],[Importe]]-Tabla18[[#This Row],[Pagado]]</f>
        <v>0</v>
      </c>
      <c r="H1007" s="153" t="s">
        <v>10</v>
      </c>
    </row>
    <row r="1008" spans="1:8" x14ac:dyDescent="0.25">
      <c r="A1008" s="73">
        <v>44751</v>
      </c>
      <c r="B1008" s="74" t="s">
        <v>22312</v>
      </c>
      <c r="C1008" s="75" t="s">
        <v>296</v>
      </c>
      <c r="D1008" s="81">
        <v>1895.2</v>
      </c>
      <c r="E1008" s="151">
        <v>44751</v>
      </c>
      <c r="F1008" s="81">
        <v>1895.2</v>
      </c>
      <c r="G1008" s="156">
        <f>Tabla18[[#This Row],[Importe]]-Tabla18[[#This Row],[Pagado]]</f>
        <v>0</v>
      </c>
      <c r="H1008" s="75" t="s">
        <v>10</v>
      </c>
    </row>
    <row r="1009" spans="1:8" x14ac:dyDescent="0.25">
      <c r="A1009" s="148">
        <v>44751</v>
      </c>
      <c r="B1009" s="149" t="s">
        <v>22313</v>
      </c>
      <c r="C1009" s="153" t="s">
        <v>53</v>
      </c>
      <c r="D1009" s="154">
        <v>1322.4</v>
      </c>
      <c r="E1009" s="155">
        <v>44751</v>
      </c>
      <c r="F1009" s="154">
        <v>1322.4</v>
      </c>
      <c r="G1009" s="156">
        <f>Tabla18[[#This Row],[Importe]]-Tabla18[[#This Row],[Pagado]]</f>
        <v>0</v>
      </c>
      <c r="H1009" s="153" t="s">
        <v>10</v>
      </c>
    </row>
    <row r="1010" spans="1:8" x14ac:dyDescent="0.25">
      <c r="A1010" s="73">
        <v>44751</v>
      </c>
      <c r="B1010" s="74" t="s">
        <v>22314</v>
      </c>
      <c r="C1010" s="75" t="s">
        <v>555</v>
      </c>
      <c r="D1010" s="81">
        <v>35939.199999999997</v>
      </c>
      <c r="E1010" s="151">
        <v>44753</v>
      </c>
      <c r="F1010" s="81">
        <v>35939.199999999997</v>
      </c>
      <c r="G1010" s="156">
        <f>Tabla18[[#This Row],[Importe]]-Tabla18[[#This Row],[Pagado]]</f>
        <v>0</v>
      </c>
      <c r="H1010" s="75" t="s">
        <v>10</v>
      </c>
    </row>
    <row r="1011" spans="1:8" x14ac:dyDescent="0.25">
      <c r="A1011" s="148">
        <v>44751</v>
      </c>
      <c r="B1011" s="149" t="s">
        <v>22315</v>
      </c>
      <c r="C1011" s="153" t="s">
        <v>69</v>
      </c>
      <c r="D1011" s="154">
        <v>2086.8000000000002</v>
      </c>
      <c r="E1011" s="155">
        <v>44751</v>
      </c>
      <c r="F1011" s="154">
        <v>2086.8000000000002</v>
      </c>
      <c r="G1011" s="156">
        <f>Tabla18[[#This Row],[Importe]]-Tabla18[[#This Row],[Pagado]]</f>
        <v>0</v>
      </c>
      <c r="H1011" s="153" t="s">
        <v>10</v>
      </c>
    </row>
    <row r="1012" spans="1:8" x14ac:dyDescent="0.25">
      <c r="A1012" s="73">
        <v>44751</v>
      </c>
      <c r="B1012" s="74" t="s">
        <v>22316</v>
      </c>
      <c r="C1012" s="75" t="s">
        <v>16</v>
      </c>
      <c r="D1012" s="81">
        <v>1209.5</v>
      </c>
      <c r="E1012" s="151">
        <v>44751</v>
      </c>
      <c r="F1012" s="81">
        <v>1209.5</v>
      </c>
      <c r="G1012" s="156">
        <f>Tabla18[[#This Row],[Importe]]-Tabla18[[#This Row],[Pagado]]</f>
        <v>0</v>
      </c>
      <c r="H1012" s="75" t="s">
        <v>10</v>
      </c>
    </row>
    <row r="1013" spans="1:8" x14ac:dyDescent="0.25">
      <c r="A1013" s="148">
        <v>44751</v>
      </c>
      <c r="B1013" s="149" t="s">
        <v>22317</v>
      </c>
      <c r="C1013" s="153" t="s">
        <v>448</v>
      </c>
      <c r="D1013" s="154">
        <v>21715.200000000001</v>
      </c>
      <c r="E1013" s="155">
        <v>44753</v>
      </c>
      <c r="F1013" s="154">
        <v>21715.200000000001</v>
      </c>
      <c r="G1013" s="156">
        <f>Tabla18[[#This Row],[Importe]]-Tabla18[[#This Row],[Pagado]]</f>
        <v>0</v>
      </c>
      <c r="H1013" s="153" t="s">
        <v>10</v>
      </c>
    </row>
    <row r="1014" spans="1:8" x14ac:dyDescent="0.25">
      <c r="A1014" s="73">
        <v>44751</v>
      </c>
      <c r="B1014" s="74" t="s">
        <v>22318</v>
      </c>
      <c r="C1014" s="75" t="s">
        <v>31</v>
      </c>
      <c r="D1014" s="81">
        <v>3122.8</v>
      </c>
      <c r="E1014" s="151">
        <v>44751</v>
      </c>
      <c r="F1014" s="81">
        <v>3122.8</v>
      </c>
      <c r="G1014" s="156">
        <f>Tabla18[[#This Row],[Importe]]-Tabla18[[#This Row],[Pagado]]</f>
        <v>0</v>
      </c>
      <c r="H1014" s="75" t="s">
        <v>10</v>
      </c>
    </row>
    <row r="1015" spans="1:8" x14ac:dyDescent="0.25">
      <c r="A1015" s="148">
        <v>44751</v>
      </c>
      <c r="B1015" s="149" t="s">
        <v>22319</v>
      </c>
      <c r="C1015" s="153" t="s">
        <v>442</v>
      </c>
      <c r="D1015" s="154">
        <v>14544</v>
      </c>
      <c r="E1015" s="155">
        <v>44751</v>
      </c>
      <c r="F1015" s="154">
        <v>14544</v>
      </c>
      <c r="G1015" s="156">
        <f>Tabla18[[#This Row],[Importe]]-Tabla18[[#This Row],[Pagado]]</f>
        <v>0</v>
      </c>
      <c r="H1015" s="153" t="s">
        <v>10</v>
      </c>
    </row>
    <row r="1016" spans="1:8" x14ac:dyDescent="0.25">
      <c r="A1016" s="73">
        <v>44751</v>
      </c>
      <c r="B1016" s="74" t="s">
        <v>22320</v>
      </c>
      <c r="C1016" s="75" t="s">
        <v>224</v>
      </c>
      <c r="D1016" s="81">
        <v>2022</v>
      </c>
      <c r="E1016" s="151">
        <v>44751</v>
      </c>
      <c r="F1016" s="81">
        <v>2022</v>
      </c>
      <c r="G1016" s="156">
        <f>Tabla18[[#This Row],[Importe]]-Tabla18[[#This Row],[Pagado]]</f>
        <v>0</v>
      </c>
      <c r="H1016" s="75" t="s">
        <v>10</v>
      </c>
    </row>
    <row r="1017" spans="1:8" x14ac:dyDescent="0.25">
      <c r="A1017" s="148">
        <v>44751</v>
      </c>
      <c r="B1017" s="149" t="s">
        <v>22321</v>
      </c>
      <c r="C1017" s="153" t="s">
        <v>296</v>
      </c>
      <c r="D1017" s="154">
        <v>2395.6</v>
      </c>
      <c r="E1017" s="155">
        <v>44751</v>
      </c>
      <c r="F1017" s="154">
        <v>2395.6</v>
      </c>
      <c r="G1017" s="156">
        <f>Tabla18[[#This Row],[Importe]]-Tabla18[[#This Row],[Pagado]]</f>
        <v>0</v>
      </c>
      <c r="H1017" s="153" t="s">
        <v>10</v>
      </c>
    </row>
    <row r="1018" spans="1:8" x14ac:dyDescent="0.25">
      <c r="A1018" s="73">
        <v>44751</v>
      </c>
      <c r="B1018" s="74" t="s">
        <v>22322</v>
      </c>
      <c r="C1018" s="75" t="s">
        <v>31</v>
      </c>
      <c r="D1018" s="81">
        <v>3188</v>
      </c>
      <c r="E1018" s="151">
        <v>44751</v>
      </c>
      <c r="F1018" s="81">
        <v>3188</v>
      </c>
      <c r="G1018" s="156">
        <f>Tabla18[[#This Row],[Importe]]-Tabla18[[#This Row],[Pagado]]</f>
        <v>0</v>
      </c>
      <c r="H1018" s="75" t="s">
        <v>10</v>
      </c>
    </row>
    <row r="1019" spans="1:8" x14ac:dyDescent="0.25">
      <c r="A1019" s="148">
        <v>44751</v>
      </c>
      <c r="B1019" s="149" t="s">
        <v>22323</v>
      </c>
      <c r="C1019" s="153" t="s">
        <v>7313</v>
      </c>
      <c r="D1019" s="154">
        <v>3034.9</v>
      </c>
      <c r="E1019" s="155">
        <v>44751</v>
      </c>
      <c r="F1019" s="154">
        <v>3034.9</v>
      </c>
      <c r="G1019" s="156">
        <f>Tabla18[[#This Row],[Importe]]-Tabla18[[#This Row],[Pagado]]</f>
        <v>0</v>
      </c>
      <c r="H1019" s="153" t="s">
        <v>10</v>
      </c>
    </row>
    <row r="1020" spans="1:8" x14ac:dyDescent="0.25">
      <c r="A1020" s="73">
        <v>44751</v>
      </c>
      <c r="B1020" s="74" t="s">
        <v>22324</v>
      </c>
      <c r="C1020" s="75" t="s">
        <v>870</v>
      </c>
      <c r="D1020" s="81">
        <v>40548.800000000003</v>
      </c>
      <c r="E1020" s="151">
        <v>44753</v>
      </c>
      <c r="F1020" s="81">
        <v>40548.800000000003</v>
      </c>
      <c r="G1020" s="156">
        <f>Tabla18[[#This Row],[Importe]]-Tabla18[[#This Row],[Pagado]]</f>
        <v>0</v>
      </c>
      <c r="H1020" s="75" t="s">
        <v>10</v>
      </c>
    </row>
    <row r="1021" spans="1:8" x14ac:dyDescent="0.25">
      <c r="A1021" s="148">
        <v>44751</v>
      </c>
      <c r="B1021" s="149" t="s">
        <v>22325</v>
      </c>
      <c r="C1021" s="153" t="s">
        <v>35</v>
      </c>
      <c r="D1021" s="154">
        <v>3448.6</v>
      </c>
      <c r="E1021" s="155">
        <v>44751</v>
      </c>
      <c r="F1021" s="154">
        <v>3448.6</v>
      </c>
      <c r="G1021" s="156">
        <f>Tabla18[[#This Row],[Importe]]-Tabla18[[#This Row],[Pagado]]</f>
        <v>0</v>
      </c>
      <c r="H1021" s="153" t="s">
        <v>10</v>
      </c>
    </row>
    <row r="1022" spans="1:8" x14ac:dyDescent="0.25">
      <c r="A1022" s="73">
        <v>44751</v>
      </c>
      <c r="B1022" s="74" t="s">
        <v>22326</v>
      </c>
      <c r="C1022" s="75" t="s">
        <v>450</v>
      </c>
      <c r="D1022" s="81">
        <v>5005.2</v>
      </c>
      <c r="E1022" s="151">
        <v>44751</v>
      </c>
      <c r="F1022" s="81">
        <v>5005.2</v>
      </c>
      <c r="G1022" s="156">
        <f>Tabla18[[#This Row],[Importe]]-Tabla18[[#This Row],[Pagado]]</f>
        <v>0</v>
      </c>
      <c r="H1022" s="75" t="s">
        <v>10</v>
      </c>
    </row>
    <row r="1023" spans="1:8" x14ac:dyDescent="0.25">
      <c r="A1023" s="148">
        <v>44751</v>
      </c>
      <c r="B1023" s="149" t="s">
        <v>22327</v>
      </c>
      <c r="C1023" s="153" t="s">
        <v>10840</v>
      </c>
      <c r="D1023" s="154">
        <v>20006.8</v>
      </c>
      <c r="E1023" s="155">
        <v>44751</v>
      </c>
      <c r="F1023" s="154">
        <v>20006.8</v>
      </c>
      <c r="G1023" s="156">
        <f>Tabla18[[#This Row],[Importe]]-Tabla18[[#This Row],[Pagado]]</f>
        <v>0</v>
      </c>
      <c r="H1023" s="153" t="s">
        <v>10</v>
      </c>
    </row>
    <row r="1024" spans="1:8" x14ac:dyDescent="0.25">
      <c r="A1024" s="73">
        <v>44751</v>
      </c>
      <c r="B1024" s="74" t="s">
        <v>22328</v>
      </c>
      <c r="C1024" s="75" t="s">
        <v>273</v>
      </c>
      <c r="D1024" s="81">
        <v>2835</v>
      </c>
      <c r="E1024" s="151">
        <v>44751</v>
      </c>
      <c r="F1024" s="81">
        <v>2835</v>
      </c>
      <c r="G1024" s="156">
        <f>Tabla18[[#This Row],[Importe]]-Tabla18[[#This Row],[Pagado]]</f>
        <v>0</v>
      </c>
      <c r="H1024" s="75" t="s">
        <v>10</v>
      </c>
    </row>
    <row r="1025" spans="1:8" x14ac:dyDescent="0.25">
      <c r="A1025" s="148">
        <v>44751</v>
      </c>
      <c r="B1025" s="149" t="s">
        <v>22329</v>
      </c>
      <c r="C1025" s="153" t="s">
        <v>31</v>
      </c>
      <c r="D1025" s="154">
        <v>45</v>
      </c>
      <c r="E1025" s="155">
        <v>44751</v>
      </c>
      <c r="F1025" s="154">
        <v>45</v>
      </c>
      <c r="G1025" s="156">
        <f>Tabla18[[#This Row],[Importe]]-Tabla18[[#This Row],[Pagado]]</f>
        <v>0</v>
      </c>
      <c r="H1025" s="153" t="s">
        <v>10</v>
      </c>
    </row>
    <row r="1026" spans="1:8" x14ac:dyDescent="0.25">
      <c r="A1026" s="73">
        <v>44751</v>
      </c>
      <c r="B1026" s="74" t="s">
        <v>22330</v>
      </c>
      <c r="C1026" s="75" t="s">
        <v>31</v>
      </c>
      <c r="D1026" s="81">
        <v>30</v>
      </c>
      <c r="E1026" s="151">
        <v>44751</v>
      </c>
      <c r="F1026" s="81">
        <v>30</v>
      </c>
      <c r="G1026" s="156">
        <f>Tabla18[[#This Row],[Importe]]-Tabla18[[#This Row],[Pagado]]</f>
        <v>0</v>
      </c>
      <c r="H1026" s="75" t="s">
        <v>10</v>
      </c>
    </row>
    <row r="1027" spans="1:8" x14ac:dyDescent="0.25">
      <c r="A1027" s="148">
        <v>44751</v>
      </c>
      <c r="B1027" s="149" t="s">
        <v>22331</v>
      </c>
      <c r="C1027" s="153" t="s">
        <v>284</v>
      </c>
      <c r="D1027" s="154">
        <v>15436.4</v>
      </c>
      <c r="E1027" s="155">
        <v>44753</v>
      </c>
      <c r="F1027" s="154">
        <v>15436.4</v>
      </c>
      <c r="G1027" s="156">
        <f>Tabla18[[#This Row],[Importe]]-Tabla18[[#This Row],[Pagado]]</f>
        <v>0</v>
      </c>
      <c r="H1027" s="153" t="s">
        <v>10</v>
      </c>
    </row>
    <row r="1028" spans="1:8" x14ac:dyDescent="0.25">
      <c r="A1028" s="73">
        <v>44751</v>
      </c>
      <c r="B1028" s="74" t="s">
        <v>22332</v>
      </c>
      <c r="C1028" s="75" t="s">
        <v>407</v>
      </c>
      <c r="D1028" s="81">
        <v>10000</v>
      </c>
      <c r="E1028" s="151">
        <v>44753</v>
      </c>
      <c r="F1028" s="81">
        <v>10000</v>
      </c>
      <c r="G1028" s="156">
        <f>Tabla18[[#This Row],[Importe]]-Tabla18[[#This Row],[Pagado]]</f>
        <v>0</v>
      </c>
      <c r="H1028" s="75" t="s">
        <v>10</v>
      </c>
    </row>
    <row r="1029" spans="1:8" x14ac:dyDescent="0.25">
      <c r="A1029" s="148">
        <v>44751</v>
      </c>
      <c r="B1029" s="149" t="s">
        <v>22333</v>
      </c>
      <c r="C1029" s="153" t="s">
        <v>22334</v>
      </c>
      <c r="D1029" s="154">
        <v>50416.5</v>
      </c>
      <c r="E1029" s="155">
        <v>44752</v>
      </c>
      <c r="F1029" s="154">
        <v>50416.5</v>
      </c>
      <c r="G1029" s="156">
        <f>Tabla18[[#This Row],[Importe]]-Tabla18[[#This Row],[Pagado]]</f>
        <v>0</v>
      </c>
      <c r="H1029" s="153" t="s">
        <v>10</v>
      </c>
    </row>
    <row r="1030" spans="1:8" x14ac:dyDescent="0.25">
      <c r="A1030" s="73">
        <v>44751</v>
      </c>
      <c r="B1030" s="74" t="s">
        <v>22335</v>
      </c>
      <c r="C1030" s="75" t="s">
        <v>10190</v>
      </c>
      <c r="D1030" s="81">
        <v>23212.799999999999</v>
      </c>
      <c r="E1030" s="151">
        <v>44753</v>
      </c>
      <c r="F1030" s="81">
        <v>23212.799999999999</v>
      </c>
      <c r="G1030" s="156">
        <f>Tabla18[[#This Row],[Importe]]-Tabla18[[#This Row],[Pagado]]</f>
        <v>0</v>
      </c>
      <c r="H1030" s="75" t="s">
        <v>10</v>
      </c>
    </row>
    <row r="1031" spans="1:8" x14ac:dyDescent="0.25">
      <c r="A1031" s="148">
        <v>44751</v>
      </c>
      <c r="B1031" s="149" t="s">
        <v>22336</v>
      </c>
      <c r="C1031" s="153" t="s">
        <v>10819</v>
      </c>
      <c r="D1031" s="154">
        <v>64</v>
      </c>
      <c r="E1031" s="155">
        <v>44753</v>
      </c>
      <c r="F1031" s="154">
        <v>64</v>
      </c>
      <c r="G1031" s="156">
        <f>Tabla18[[#This Row],[Importe]]-Tabla18[[#This Row],[Pagado]]</f>
        <v>0</v>
      </c>
      <c r="H1031" s="153" t="s">
        <v>10</v>
      </c>
    </row>
    <row r="1032" spans="1:8" x14ac:dyDescent="0.25">
      <c r="A1032" s="73">
        <v>44751</v>
      </c>
      <c r="B1032" s="74" t="s">
        <v>22337</v>
      </c>
      <c r="C1032" s="75" t="s">
        <v>31</v>
      </c>
      <c r="D1032" s="81">
        <v>1295</v>
      </c>
      <c r="E1032" s="151">
        <v>44753</v>
      </c>
      <c r="F1032" s="81">
        <v>1295</v>
      </c>
      <c r="G1032" s="156">
        <f>Tabla18[[#This Row],[Importe]]-Tabla18[[#This Row],[Pagado]]</f>
        <v>0</v>
      </c>
      <c r="H1032" s="75" t="s">
        <v>10</v>
      </c>
    </row>
    <row r="1033" spans="1:8" x14ac:dyDescent="0.25">
      <c r="A1033" s="148">
        <v>44751</v>
      </c>
      <c r="B1033" s="149" t="s">
        <v>22338</v>
      </c>
      <c r="C1033" s="153" t="s">
        <v>280</v>
      </c>
      <c r="D1033" s="154">
        <v>1613.2</v>
      </c>
      <c r="E1033" s="155">
        <v>44753</v>
      </c>
      <c r="F1033" s="154">
        <v>1613.2</v>
      </c>
      <c r="G1033" s="156">
        <f>Tabla18[[#This Row],[Importe]]-Tabla18[[#This Row],[Pagado]]</f>
        <v>0</v>
      </c>
      <c r="H1033" s="153" t="s">
        <v>10</v>
      </c>
    </row>
    <row r="1034" spans="1:8" x14ac:dyDescent="0.25">
      <c r="A1034" s="73">
        <v>44751</v>
      </c>
      <c r="B1034" s="74" t="s">
        <v>22339</v>
      </c>
      <c r="C1034" s="75" t="s">
        <v>31</v>
      </c>
      <c r="D1034" s="81">
        <v>1480</v>
      </c>
      <c r="E1034" s="151">
        <v>44753</v>
      </c>
      <c r="F1034" s="81">
        <v>1480</v>
      </c>
      <c r="G1034" s="156">
        <f>Tabla18[[#This Row],[Importe]]-Tabla18[[#This Row],[Pagado]]</f>
        <v>0</v>
      </c>
      <c r="H1034" s="75" t="s">
        <v>10</v>
      </c>
    </row>
    <row r="1035" spans="1:8" x14ac:dyDescent="0.25">
      <c r="A1035" s="148">
        <v>44751</v>
      </c>
      <c r="B1035" s="149" t="s">
        <v>22340</v>
      </c>
      <c r="C1035" s="153" t="s">
        <v>5345</v>
      </c>
      <c r="D1035" s="154">
        <v>2434.6</v>
      </c>
      <c r="E1035" s="155">
        <v>44753</v>
      </c>
      <c r="F1035" s="154">
        <v>2434.6</v>
      </c>
      <c r="G1035" s="156">
        <f>Tabla18[[#This Row],[Importe]]-Tabla18[[#This Row],[Pagado]]</f>
        <v>0</v>
      </c>
      <c r="H1035" s="153" t="s">
        <v>10</v>
      </c>
    </row>
    <row r="1036" spans="1:8" x14ac:dyDescent="0.25">
      <c r="A1036" s="73">
        <v>44751</v>
      </c>
      <c r="B1036" s="74" t="s">
        <v>22341</v>
      </c>
      <c r="C1036" s="75" t="s">
        <v>282</v>
      </c>
      <c r="D1036" s="81">
        <v>9131.6</v>
      </c>
      <c r="E1036" s="151">
        <v>44753</v>
      </c>
      <c r="F1036" s="81">
        <v>9131.6</v>
      </c>
      <c r="G1036" s="156">
        <f>Tabla18[[#This Row],[Importe]]-Tabla18[[#This Row],[Pagado]]</f>
        <v>0</v>
      </c>
      <c r="H1036" s="75" t="s">
        <v>10</v>
      </c>
    </row>
    <row r="1037" spans="1:8" x14ac:dyDescent="0.25">
      <c r="A1037" s="148">
        <v>44752</v>
      </c>
      <c r="B1037" s="149" t="s">
        <v>22342</v>
      </c>
      <c r="C1037" s="153" t="s">
        <v>481</v>
      </c>
      <c r="D1037" s="154">
        <v>290.7</v>
      </c>
      <c r="E1037" s="155">
        <v>44752</v>
      </c>
      <c r="F1037" s="154">
        <v>290.7</v>
      </c>
      <c r="G1037" s="156">
        <f>Tabla18[[#This Row],[Importe]]-Tabla18[[#This Row],[Pagado]]</f>
        <v>0</v>
      </c>
      <c r="H1037" s="153" t="s">
        <v>10</v>
      </c>
    </row>
    <row r="1038" spans="1:8" ht="31.5" x14ac:dyDescent="0.25">
      <c r="A1038" s="73">
        <v>44752</v>
      </c>
      <c r="B1038" s="74" t="s">
        <v>22343</v>
      </c>
      <c r="C1038" s="75" t="s">
        <v>475</v>
      </c>
      <c r="D1038" s="81">
        <v>43513.599999999999</v>
      </c>
      <c r="E1038" s="147" t="s">
        <v>22344</v>
      </c>
      <c r="F1038" s="81">
        <f>35700+7813.6</f>
        <v>43513.599999999999</v>
      </c>
      <c r="G1038" s="156">
        <f>Tabla18[[#This Row],[Importe]]-Tabla18[[#This Row],[Pagado]]</f>
        <v>0</v>
      </c>
      <c r="H1038" s="75" t="s">
        <v>10</v>
      </c>
    </row>
    <row r="1039" spans="1:8" x14ac:dyDescent="0.25">
      <c r="A1039" s="148">
        <v>44752</v>
      </c>
      <c r="B1039" s="149" t="s">
        <v>22345</v>
      </c>
      <c r="C1039" s="153" t="s">
        <v>924</v>
      </c>
      <c r="D1039" s="154">
        <v>17347.2</v>
      </c>
      <c r="E1039" s="155">
        <v>44752</v>
      </c>
      <c r="F1039" s="154">
        <v>17347.2</v>
      </c>
      <c r="G1039" s="156">
        <f>Tabla18[[#This Row],[Importe]]-Tabla18[[#This Row],[Pagado]]</f>
        <v>0</v>
      </c>
      <c r="H1039" s="153" t="s">
        <v>10</v>
      </c>
    </row>
    <row r="1040" spans="1:8" x14ac:dyDescent="0.25">
      <c r="A1040" s="73">
        <v>44752</v>
      </c>
      <c r="B1040" s="74" t="s">
        <v>22346</v>
      </c>
      <c r="C1040" s="75" t="s">
        <v>47</v>
      </c>
      <c r="D1040" s="81">
        <v>27964</v>
      </c>
      <c r="E1040" s="151">
        <v>44752</v>
      </c>
      <c r="F1040" s="81">
        <v>27964</v>
      </c>
      <c r="G1040" s="156">
        <f>Tabla18[[#This Row],[Importe]]-Tabla18[[#This Row],[Pagado]]</f>
        <v>0</v>
      </c>
      <c r="H1040" s="75" t="s">
        <v>10</v>
      </c>
    </row>
    <row r="1041" spans="1:8" x14ac:dyDescent="0.25">
      <c r="A1041" s="148">
        <v>44752</v>
      </c>
      <c r="B1041" s="149" t="s">
        <v>22347</v>
      </c>
      <c r="C1041" s="153" t="s">
        <v>9</v>
      </c>
      <c r="D1041" s="154">
        <v>12148</v>
      </c>
      <c r="E1041" s="155">
        <v>44752</v>
      </c>
      <c r="F1041" s="154">
        <v>12148</v>
      </c>
      <c r="G1041" s="156">
        <f>Tabla18[[#This Row],[Importe]]-Tabla18[[#This Row],[Pagado]]</f>
        <v>0</v>
      </c>
      <c r="H1041" s="153" t="s">
        <v>10</v>
      </c>
    </row>
    <row r="1042" spans="1:8" x14ac:dyDescent="0.25">
      <c r="A1042" s="73">
        <v>44752</v>
      </c>
      <c r="B1042" s="74" t="s">
        <v>22348</v>
      </c>
      <c r="C1042" s="75" t="s">
        <v>230</v>
      </c>
      <c r="D1042" s="81">
        <v>4073.6</v>
      </c>
      <c r="E1042" s="151">
        <v>44752</v>
      </c>
      <c r="F1042" s="81">
        <v>4073.6</v>
      </c>
      <c r="G1042" s="156">
        <f>Tabla18[[#This Row],[Importe]]-Tabla18[[#This Row],[Pagado]]</f>
        <v>0</v>
      </c>
      <c r="H1042" s="75" t="s">
        <v>10</v>
      </c>
    </row>
    <row r="1043" spans="1:8" x14ac:dyDescent="0.25">
      <c r="A1043" s="148">
        <v>44752</v>
      </c>
      <c r="B1043" s="149" t="s">
        <v>22349</v>
      </c>
      <c r="C1043" s="153" t="s">
        <v>27</v>
      </c>
      <c r="D1043" s="154">
        <v>1717.4</v>
      </c>
      <c r="E1043" s="155">
        <v>44752</v>
      </c>
      <c r="F1043" s="154">
        <v>1717.4</v>
      </c>
      <c r="G1043" s="156">
        <f>Tabla18[[#This Row],[Importe]]-Tabla18[[#This Row],[Pagado]]</f>
        <v>0</v>
      </c>
      <c r="H1043" s="153" t="s">
        <v>10</v>
      </c>
    </row>
    <row r="1044" spans="1:8" x14ac:dyDescent="0.25">
      <c r="A1044" s="73">
        <v>44752</v>
      </c>
      <c r="B1044" s="74" t="s">
        <v>22350</v>
      </c>
      <c r="C1044" s="75" t="s">
        <v>12</v>
      </c>
      <c r="D1044" s="81">
        <v>8322</v>
      </c>
      <c r="E1044" s="151">
        <v>44752</v>
      </c>
      <c r="F1044" s="81">
        <v>8322</v>
      </c>
      <c r="G1044" s="156">
        <f>Tabla18[[#This Row],[Importe]]-Tabla18[[#This Row],[Pagado]]</f>
        <v>0</v>
      </c>
      <c r="H1044" s="75" t="s">
        <v>10</v>
      </c>
    </row>
    <row r="1045" spans="1:8" x14ac:dyDescent="0.25">
      <c r="A1045" s="148">
        <v>44752</v>
      </c>
      <c r="B1045" s="149" t="s">
        <v>22351</v>
      </c>
      <c r="C1045" s="153" t="s">
        <v>16</v>
      </c>
      <c r="D1045" s="154">
        <v>11228.4</v>
      </c>
      <c r="E1045" s="155">
        <v>44752</v>
      </c>
      <c r="F1045" s="154">
        <v>11228.4</v>
      </c>
      <c r="G1045" s="156">
        <f>Tabla18[[#This Row],[Importe]]-Tabla18[[#This Row],[Pagado]]</f>
        <v>0</v>
      </c>
      <c r="H1045" s="153" t="s">
        <v>10</v>
      </c>
    </row>
    <row r="1046" spans="1:8" ht="31.5" x14ac:dyDescent="0.25">
      <c r="A1046" s="73">
        <v>44752</v>
      </c>
      <c r="B1046" s="74" t="s">
        <v>22352</v>
      </c>
      <c r="C1046" s="75" t="s">
        <v>22</v>
      </c>
      <c r="D1046" s="81">
        <v>69725.2</v>
      </c>
      <c r="E1046" s="147" t="s">
        <v>22353</v>
      </c>
      <c r="F1046" s="81">
        <f>35700+24300.2+9725</f>
        <v>69725.2</v>
      </c>
      <c r="G1046" s="156">
        <f>Tabla18[[#This Row],[Importe]]-Tabla18[[#This Row],[Pagado]]</f>
        <v>0</v>
      </c>
      <c r="H1046" s="75" t="s">
        <v>10</v>
      </c>
    </row>
    <row r="1047" spans="1:8" x14ac:dyDescent="0.25">
      <c r="A1047" s="148">
        <v>44752</v>
      </c>
      <c r="B1047" s="149" t="s">
        <v>22354</v>
      </c>
      <c r="C1047" s="153" t="s">
        <v>16</v>
      </c>
      <c r="D1047" s="154">
        <v>743.4</v>
      </c>
      <c r="E1047" s="155">
        <v>44752</v>
      </c>
      <c r="F1047" s="154">
        <v>743.4</v>
      </c>
      <c r="G1047" s="156">
        <f>Tabla18[[#This Row],[Importe]]-Tabla18[[#This Row],[Pagado]]</f>
        <v>0</v>
      </c>
      <c r="H1047" s="153" t="s">
        <v>10</v>
      </c>
    </row>
    <row r="1048" spans="1:8" x14ac:dyDescent="0.25">
      <c r="A1048" s="73">
        <v>44752</v>
      </c>
      <c r="B1048" s="74" t="s">
        <v>22355</v>
      </c>
      <c r="C1048" s="75" t="s">
        <v>29</v>
      </c>
      <c r="D1048" s="81">
        <v>11958.4</v>
      </c>
      <c r="E1048" s="151">
        <v>44752</v>
      </c>
      <c r="F1048" s="81">
        <v>11958.4</v>
      </c>
      <c r="G1048" s="156">
        <f>Tabla18[[#This Row],[Importe]]-Tabla18[[#This Row],[Pagado]]</f>
        <v>0</v>
      </c>
      <c r="H1048" s="75" t="s">
        <v>10</v>
      </c>
    </row>
    <row r="1049" spans="1:8" x14ac:dyDescent="0.25">
      <c r="A1049" s="148">
        <v>44752</v>
      </c>
      <c r="B1049" s="149" t="s">
        <v>22356</v>
      </c>
      <c r="C1049" s="153" t="s">
        <v>12</v>
      </c>
      <c r="D1049" s="154">
        <v>1050.8</v>
      </c>
      <c r="E1049" s="155">
        <v>44752</v>
      </c>
      <c r="F1049" s="154">
        <v>1050.8</v>
      </c>
      <c r="G1049" s="156">
        <f>Tabla18[[#This Row],[Importe]]-Tabla18[[#This Row],[Pagado]]</f>
        <v>0</v>
      </c>
      <c r="H1049" s="153" t="s">
        <v>10</v>
      </c>
    </row>
    <row r="1050" spans="1:8" x14ac:dyDescent="0.25">
      <c r="A1050" s="73">
        <v>44752</v>
      </c>
      <c r="B1050" s="74" t="s">
        <v>22357</v>
      </c>
      <c r="C1050" s="75" t="s">
        <v>20</v>
      </c>
      <c r="D1050" s="81">
        <v>10652.8</v>
      </c>
      <c r="E1050" s="151">
        <v>44752</v>
      </c>
      <c r="F1050" s="81">
        <v>10652.8</v>
      </c>
      <c r="G1050" s="156">
        <f>Tabla18[[#This Row],[Importe]]-Tabla18[[#This Row],[Pagado]]</f>
        <v>0</v>
      </c>
      <c r="H1050" s="75" t="s">
        <v>10</v>
      </c>
    </row>
    <row r="1051" spans="1:8" x14ac:dyDescent="0.25">
      <c r="A1051" s="148">
        <v>44752</v>
      </c>
      <c r="B1051" s="149" t="s">
        <v>22358</v>
      </c>
      <c r="C1051" s="153" t="s">
        <v>15039</v>
      </c>
      <c r="D1051" s="154">
        <v>2145.3000000000002</v>
      </c>
      <c r="E1051" s="155">
        <v>44752</v>
      </c>
      <c r="F1051" s="154">
        <v>2145.3000000000002</v>
      </c>
      <c r="G1051" s="156">
        <f>Tabla18[[#This Row],[Importe]]-Tabla18[[#This Row],[Pagado]]</f>
        <v>0</v>
      </c>
      <c r="H1051" s="153" t="s">
        <v>10</v>
      </c>
    </row>
    <row r="1052" spans="1:8" x14ac:dyDescent="0.25">
      <c r="A1052" s="73">
        <v>44752</v>
      </c>
      <c r="B1052" s="74" t="s">
        <v>22359</v>
      </c>
      <c r="C1052" s="75" t="s">
        <v>224</v>
      </c>
      <c r="D1052" s="81">
        <v>3883.2</v>
      </c>
      <c r="E1052" s="151">
        <v>44752</v>
      </c>
      <c r="F1052" s="81">
        <v>3883.2</v>
      </c>
      <c r="G1052" s="156">
        <f>Tabla18[[#This Row],[Importe]]-Tabla18[[#This Row],[Pagado]]</f>
        <v>0</v>
      </c>
      <c r="H1052" s="75" t="s">
        <v>10</v>
      </c>
    </row>
    <row r="1053" spans="1:8" x14ac:dyDescent="0.25">
      <c r="A1053" s="148">
        <v>44752</v>
      </c>
      <c r="B1053" s="149" t="s">
        <v>22360</v>
      </c>
      <c r="C1053" s="153" t="s">
        <v>49</v>
      </c>
      <c r="D1053" s="154">
        <v>4312.8999999999996</v>
      </c>
      <c r="E1053" s="155">
        <v>44752</v>
      </c>
      <c r="F1053" s="154">
        <v>4312.8999999999996</v>
      </c>
      <c r="G1053" s="156">
        <f>Tabla18[[#This Row],[Importe]]-Tabla18[[#This Row],[Pagado]]</f>
        <v>0</v>
      </c>
      <c r="H1053" s="153" t="s">
        <v>10</v>
      </c>
    </row>
    <row r="1054" spans="1:8" x14ac:dyDescent="0.25">
      <c r="A1054" s="73">
        <v>44752</v>
      </c>
      <c r="B1054" s="74" t="s">
        <v>22361</v>
      </c>
      <c r="C1054" s="75" t="s">
        <v>216</v>
      </c>
      <c r="D1054" s="81">
        <v>2464.1999999999998</v>
      </c>
      <c r="E1054" s="151">
        <v>44752</v>
      </c>
      <c r="F1054" s="81">
        <v>2464.1999999999998</v>
      </c>
      <c r="G1054" s="156">
        <f>Tabla18[[#This Row],[Importe]]-Tabla18[[#This Row],[Pagado]]</f>
        <v>0</v>
      </c>
      <c r="H1054" s="75" t="s">
        <v>10</v>
      </c>
    </row>
    <row r="1055" spans="1:8" x14ac:dyDescent="0.25">
      <c r="A1055" s="148">
        <v>44752</v>
      </c>
      <c r="B1055" s="149" t="s">
        <v>22362</v>
      </c>
      <c r="C1055" s="153" t="s">
        <v>24</v>
      </c>
      <c r="D1055" s="154">
        <v>5261</v>
      </c>
      <c r="E1055" s="155">
        <v>44752</v>
      </c>
      <c r="F1055" s="154">
        <v>5261</v>
      </c>
      <c r="G1055" s="156">
        <f>Tabla18[[#This Row],[Importe]]-Tabla18[[#This Row],[Pagado]]</f>
        <v>0</v>
      </c>
      <c r="H1055" s="153" t="s">
        <v>10</v>
      </c>
    </row>
    <row r="1056" spans="1:8" x14ac:dyDescent="0.25">
      <c r="A1056" s="73">
        <v>44752</v>
      </c>
      <c r="B1056" s="74" t="s">
        <v>22363</v>
      </c>
      <c r="C1056" s="75" t="s">
        <v>31</v>
      </c>
      <c r="D1056" s="81">
        <v>716.8</v>
      </c>
      <c r="E1056" s="151">
        <v>44752</v>
      </c>
      <c r="F1056" s="81">
        <v>716.8</v>
      </c>
      <c r="G1056" s="156">
        <f>Tabla18[[#This Row],[Importe]]-Tabla18[[#This Row],[Pagado]]</f>
        <v>0</v>
      </c>
      <c r="H1056" s="75" t="s">
        <v>10</v>
      </c>
    </row>
    <row r="1057" spans="1:8" x14ac:dyDescent="0.25">
      <c r="A1057" s="148">
        <v>44752</v>
      </c>
      <c r="B1057" s="149" t="s">
        <v>22364</v>
      </c>
      <c r="C1057" s="153" t="s">
        <v>97</v>
      </c>
      <c r="D1057" s="154">
        <v>5091.2</v>
      </c>
      <c r="E1057" s="155">
        <v>44752</v>
      </c>
      <c r="F1057" s="154">
        <v>5091.2</v>
      </c>
      <c r="G1057" s="156">
        <f>Tabla18[[#This Row],[Importe]]-Tabla18[[#This Row],[Pagado]]</f>
        <v>0</v>
      </c>
      <c r="H1057" s="153" t="s">
        <v>10</v>
      </c>
    </row>
    <row r="1058" spans="1:8" x14ac:dyDescent="0.25">
      <c r="A1058" s="73">
        <v>44752</v>
      </c>
      <c r="B1058" s="74" t="s">
        <v>22365</v>
      </c>
      <c r="C1058" s="75" t="s">
        <v>1003</v>
      </c>
      <c r="D1058" s="81">
        <v>12480.3</v>
      </c>
      <c r="E1058" s="151">
        <v>44756</v>
      </c>
      <c r="F1058" s="81">
        <v>12480.3</v>
      </c>
      <c r="G1058" s="156">
        <f>Tabla18[[#This Row],[Importe]]-Tabla18[[#This Row],[Pagado]]</f>
        <v>0</v>
      </c>
      <c r="H1058" s="75" t="s">
        <v>10</v>
      </c>
    </row>
    <row r="1059" spans="1:8" x14ac:dyDescent="0.25">
      <c r="A1059" s="148">
        <v>44752</v>
      </c>
      <c r="B1059" s="149" t="s">
        <v>22366</v>
      </c>
      <c r="C1059" s="153" t="s">
        <v>31</v>
      </c>
      <c r="D1059" s="154">
        <v>2274</v>
      </c>
      <c r="E1059" s="155">
        <v>44752</v>
      </c>
      <c r="F1059" s="154">
        <v>2274</v>
      </c>
      <c r="G1059" s="156">
        <f>Tabla18[[#This Row],[Importe]]-Tabla18[[#This Row],[Pagado]]</f>
        <v>0</v>
      </c>
      <c r="H1059" s="153" t="s">
        <v>10</v>
      </c>
    </row>
    <row r="1060" spans="1:8" x14ac:dyDescent="0.25">
      <c r="A1060" s="73">
        <v>44752</v>
      </c>
      <c r="B1060" s="74" t="s">
        <v>22367</v>
      </c>
      <c r="C1060" s="75" t="s">
        <v>56</v>
      </c>
      <c r="D1060" s="81">
        <v>7762.5</v>
      </c>
      <c r="E1060" s="151">
        <v>44752</v>
      </c>
      <c r="F1060" s="81">
        <v>7762.5</v>
      </c>
      <c r="G1060" s="156">
        <f>Tabla18[[#This Row],[Importe]]-Tabla18[[#This Row],[Pagado]]</f>
        <v>0</v>
      </c>
      <c r="H1060" s="75" t="s">
        <v>10</v>
      </c>
    </row>
    <row r="1061" spans="1:8" x14ac:dyDescent="0.25">
      <c r="A1061" s="148">
        <v>44752</v>
      </c>
      <c r="B1061" s="149" t="s">
        <v>22368</v>
      </c>
      <c r="C1061" s="153" t="s">
        <v>45</v>
      </c>
      <c r="D1061" s="154">
        <v>9468.5</v>
      </c>
      <c r="E1061" s="155">
        <v>44752</v>
      </c>
      <c r="F1061" s="154">
        <v>9468.5</v>
      </c>
      <c r="G1061" s="156">
        <f>Tabla18[[#This Row],[Importe]]-Tabla18[[#This Row],[Pagado]]</f>
        <v>0</v>
      </c>
      <c r="H1061" s="153" t="s">
        <v>10</v>
      </c>
    </row>
    <row r="1062" spans="1:8" x14ac:dyDescent="0.25">
      <c r="A1062" s="73">
        <v>44752</v>
      </c>
      <c r="B1062" s="74" t="s">
        <v>22369</v>
      </c>
      <c r="C1062" s="75" t="s">
        <v>191</v>
      </c>
      <c r="D1062" s="81">
        <v>2234.4</v>
      </c>
      <c r="E1062" s="151">
        <v>44752</v>
      </c>
      <c r="F1062" s="81">
        <v>2234.4</v>
      </c>
      <c r="G1062" s="156">
        <f>Tabla18[[#This Row],[Importe]]-Tabla18[[#This Row],[Pagado]]</f>
        <v>0</v>
      </c>
      <c r="H1062" s="75" t="s">
        <v>10</v>
      </c>
    </row>
    <row r="1063" spans="1:8" ht="31.5" x14ac:dyDescent="0.25">
      <c r="A1063" s="148">
        <v>44752</v>
      </c>
      <c r="B1063" s="149" t="s">
        <v>22370</v>
      </c>
      <c r="C1063" s="153" t="s">
        <v>670</v>
      </c>
      <c r="D1063" s="154">
        <v>6249.2</v>
      </c>
      <c r="E1063" s="150" t="s">
        <v>22371</v>
      </c>
      <c r="F1063" s="154">
        <f>3530+2249.2</f>
        <v>5779.2</v>
      </c>
      <c r="G1063" s="156">
        <f>Tabla18[[#This Row],[Importe]]-Tabla18[[#This Row],[Pagado]]</f>
        <v>470</v>
      </c>
      <c r="H1063" s="153" t="s">
        <v>10</v>
      </c>
    </row>
    <row r="1064" spans="1:8" x14ac:dyDescent="0.25">
      <c r="A1064" s="73">
        <v>44752</v>
      </c>
      <c r="B1064" s="74" t="s">
        <v>22372</v>
      </c>
      <c r="C1064" s="75" t="s">
        <v>654</v>
      </c>
      <c r="D1064" s="81">
        <v>7890.5</v>
      </c>
      <c r="E1064" s="151">
        <v>44752</v>
      </c>
      <c r="F1064" s="81">
        <v>7890.5</v>
      </c>
      <c r="G1064" s="156">
        <f>Tabla18[[#This Row],[Importe]]-Tabla18[[#This Row],[Pagado]]</f>
        <v>0</v>
      </c>
      <c r="H1064" s="75" t="s">
        <v>10</v>
      </c>
    </row>
    <row r="1065" spans="1:8" x14ac:dyDescent="0.25">
      <c r="A1065" s="148">
        <v>44752</v>
      </c>
      <c r="B1065" s="149" t="s">
        <v>22373</v>
      </c>
      <c r="C1065" s="153" t="s">
        <v>442</v>
      </c>
      <c r="D1065" s="154">
        <v>7918</v>
      </c>
      <c r="E1065" s="155">
        <v>44752</v>
      </c>
      <c r="F1065" s="154">
        <v>7918</v>
      </c>
      <c r="G1065" s="156">
        <f>Tabla18[[#This Row],[Importe]]-Tabla18[[#This Row],[Pagado]]</f>
        <v>0</v>
      </c>
      <c r="H1065" s="153" t="s">
        <v>10</v>
      </c>
    </row>
    <row r="1066" spans="1:8" x14ac:dyDescent="0.25">
      <c r="A1066" s="73">
        <v>44752</v>
      </c>
      <c r="B1066" s="74" t="s">
        <v>22374</v>
      </c>
      <c r="C1066" s="75" t="s">
        <v>226</v>
      </c>
      <c r="D1066" s="81">
        <v>29817.8</v>
      </c>
      <c r="E1066" s="151">
        <v>44752</v>
      </c>
      <c r="F1066" s="81">
        <v>29817.8</v>
      </c>
      <c r="G1066" s="156">
        <f>Tabla18[[#This Row],[Importe]]-Tabla18[[#This Row],[Pagado]]</f>
        <v>0</v>
      </c>
      <c r="H1066" s="75" t="s">
        <v>10</v>
      </c>
    </row>
    <row r="1067" spans="1:8" x14ac:dyDescent="0.25">
      <c r="A1067" s="148">
        <v>44752</v>
      </c>
      <c r="B1067" s="149" t="s">
        <v>22375</v>
      </c>
      <c r="C1067" s="153" t="s">
        <v>31</v>
      </c>
      <c r="D1067" s="154">
        <v>1753.8</v>
      </c>
      <c r="E1067" s="155">
        <v>44752</v>
      </c>
      <c r="F1067" s="154">
        <v>1753.8</v>
      </c>
      <c r="G1067" s="156">
        <f>Tabla18[[#This Row],[Importe]]-Tabla18[[#This Row],[Pagado]]</f>
        <v>0</v>
      </c>
      <c r="H1067" s="153" t="s">
        <v>10</v>
      </c>
    </row>
    <row r="1068" spans="1:8" x14ac:dyDescent="0.25">
      <c r="A1068" s="73">
        <v>44752</v>
      </c>
      <c r="B1068" s="74" t="s">
        <v>22376</v>
      </c>
      <c r="C1068" s="75" t="s">
        <v>31</v>
      </c>
      <c r="D1068" s="81">
        <v>1300</v>
      </c>
      <c r="E1068" s="151">
        <v>44752</v>
      </c>
      <c r="F1068" s="81">
        <v>1300</v>
      </c>
      <c r="G1068" s="156">
        <f>Tabla18[[#This Row],[Importe]]-Tabla18[[#This Row],[Pagado]]</f>
        <v>0</v>
      </c>
      <c r="H1068" s="75" t="s">
        <v>10</v>
      </c>
    </row>
    <row r="1069" spans="1:8" x14ac:dyDescent="0.25">
      <c r="A1069" s="148">
        <v>44752</v>
      </c>
      <c r="B1069" s="149" t="s">
        <v>22377</v>
      </c>
      <c r="C1069" s="153" t="s">
        <v>1064</v>
      </c>
      <c r="D1069" s="154">
        <v>4692.3999999999996</v>
      </c>
      <c r="E1069" s="155">
        <v>44752</v>
      </c>
      <c r="F1069" s="154">
        <v>4692.3999999999996</v>
      </c>
      <c r="G1069" s="156">
        <f>Tabla18[[#This Row],[Importe]]-Tabla18[[#This Row],[Pagado]]</f>
        <v>0</v>
      </c>
      <c r="H1069" s="153" t="s">
        <v>10</v>
      </c>
    </row>
    <row r="1070" spans="1:8" x14ac:dyDescent="0.25">
      <c r="A1070" s="73">
        <v>44752</v>
      </c>
      <c r="B1070" s="74" t="s">
        <v>22378</v>
      </c>
      <c r="C1070" s="75" t="s">
        <v>71</v>
      </c>
      <c r="D1070" s="81">
        <v>2236.1</v>
      </c>
      <c r="E1070" s="151">
        <v>44752</v>
      </c>
      <c r="F1070" s="81">
        <v>2236.1</v>
      </c>
      <c r="G1070" s="156">
        <f>Tabla18[[#This Row],[Importe]]-Tabla18[[#This Row],[Pagado]]</f>
        <v>0</v>
      </c>
      <c r="H1070" s="75" t="s">
        <v>10</v>
      </c>
    </row>
    <row r="1071" spans="1:8" x14ac:dyDescent="0.25">
      <c r="A1071" s="148">
        <v>44752</v>
      </c>
      <c r="B1071" s="149" t="s">
        <v>22379</v>
      </c>
      <c r="C1071" s="153" t="s">
        <v>16</v>
      </c>
      <c r="D1071" s="154">
        <v>4283.5</v>
      </c>
      <c r="E1071" s="155">
        <v>44752</v>
      </c>
      <c r="F1071" s="154">
        <v>4283.5</v>
      </c>
      <c r="G1071" s="156">
        <f>Tabla18[[#This Row],[Importe]]-Tabla18[[#This Row],[Pagado]]</f>
        <v>0</v>
      </c>
      <c r="H1071" s="153" t="s">
        <v>10</v>
      </c>
    </row>
    <row r="1072" spans="1:8" x14ac:dyDescent="0.25">
      <c r="A1072" s="73">
        <v>44752</v>
      </c>
      <c r="B1072" s="74" t="s">
        <v>22380</v>
      </c>
      <c r="C1072" s="75" t="s">
        <v>16</v>
      </c>
      <c r="D1072" s="81">
        <v>436</v>
      </c>
      <c r="E1072" s="151">
        <v>44752</v>
      </c>
      <c r="F1072" s="81">
        <v>436</v>
      </c>
      <c r="G1072" s="156">
        <f>Tabla18[[#This Row],[Importe]]-Tabla18[[#This Row],[Pagado]]</f>
        <v>0</v>
      </c>
      <c r="H1072" s="75" t="s">
        <v>10</v>
      </c>
    </row>
    <row r="1073" spans="1:8" x14ac:dyDescent="0.25">
      <c r="A1073" s="148">
        <v>44752</v>
      </c>
      <c r="B1073" s="149" t="s">
        <v>22381</v>
      </c>
      <c r="C1073" s="153" t="s">
        <v>31</v>
      </c>
      <c r="D1073" s="154">
        <v>877.5</v>
      </c>
      <c r="E1073" s="155">
        <v>44752</v>
      </c>
      <c r="F1073" s="154">
        <v>877.5</v>
      </c>
      <c r="G1073" s="156">
        <f>Tabla18[[#This Row],[Importe]]-Tabla18[[#This Row],[Pagado]]</f>
        <v>0</v>
      </c>
      <c r="H1073" s="153" t="s">
        <v>10</v>
      </c>
    </row>
    <row r="1074" spans="1:8" x14ac:dyDescent="0.25">
      <c r="A1074" s="73">
        <v>44752</v>
      </c>
      <c r="B1074" s="74" t="s">
        <v>22382</v>
      </c>
      <c r="C1074" s="75" t="s">
        <v>58</v>
      </c>
      <c r="D1074" s="81">
        <v>3480</v>
      </c>
      <c r="E1074" s="151">
        <v>44752</v>
      </c>
      <c r="F1074" s="81">
        <v>3480</v>
      </c>
      <c r="G1074" s="156">
        <f>Tabla18[[#This Row],[Importe]]-Tabla18[[#This Row],[Pagado]]</f>
        <v>0</v>
      </c>
      <c r="H1074" s="75" t="s">
        <v>10</v>
      </c>
    </row>
    <row r="1075" spans="1:8" x14ac:dyDescent="0.25">
      <c r="A1075" s="148">
        <v>44752</v>
      </c>
      <c r="B1075" s="149" t="s">
        <v>22383</v>
      </c>
      <c r="C1075" s="153" t="s">
        <v>11033</v>
      </c>
      <c r="D1075" s="154">
        <v>2021.6</v>
      </c>
      <c r="E1075" s="155">
        <v>44752</v>
      </c>
      <c r="F1075" s="154">
        <v>2021.6</v>
      </c>
      <c r="G1075" s="156">
        <f>Tabla18[[#This Row],[Importe]]-Tabla18[[#This Row],[Pagado]]</f>
        <v>0</v>
      </c>
      <c r="H1075" s="153" t="s">
        <v>10</v>
      </c>
    </row>
    <row r="1076" spans="1:8" x14ac:dyDescent="0.25">
      <c r="A1076" s="73">
        <v>44752</v>
      </c>
      <c r="B1076" s="74" t="s">
        <v>22384</v>
      </c>
      <c r="C1076" s="75" t="s">
        <v>53</v>
      </c>
      <c r="D1076" s="81">
        <v>748.8</v>
      </c>
      <c r="E1076" s="151">
        <v>44752</v>
      </c>
      <c r="F1076" s="81">
        <v>748.8</v>
      </c>
      <c r="G1076" s="156">
        <f>Tabla18[[#This Row],[Importe]]-Tabla18[[#This Row],[Pagado]]</f>
        <v>0</v>
      </c>
      <c r="H1076" s="75" t="s">
        <v>10</v>
      </c>
    </row>
    <row r="1077" spans="1:8" x14ac:dyDescent="0.25">
      <c r="A1077" s="148">
        <v>44752</v>
      </c>
      <c r="B1077" s="149" t="s">
        <v>22385</v>
      </c>
      <c r="C1077" s="153" t="s">
        <v>296</v>
      </c>
      <c r="D1077" s="154">
        <v>4666.6000000000004</v>
      </c>
      <c r="E1077" s="155">
        <v>44752</v>
      </c>
      <c r="F1077" s="154">
        <v>4666.6000000000004</v>
      </c>
      <c r="G1077" s="156">
        <f>Tabla18[[#This Row],[Importe]]-Tabla18[[#This Row],[Pagado]]</f>
        <v>0</v>
      </c>
      <c r="H1077" s="153" t="s">
        <v>10</v>
      </c>
    </row>
    <row r="1078" spans="1:8" x14ac:dyDescent="0.25">
      <c r="A1078" s="73">
        <v>44752</v>
      </c>
      <c r="B1078" s="74" t="s">
        <v>22386</v>
      </c>
      <c r="C1078" s="75" t="s">
        <v>191</v>
      </c>
      <c r="D1078" s="81">
        <v>2017.4</v>
      </c>
      <c r="E1078" s="151">
        <v>44752</v>
      </c>
      <c r="F1078" s="81">
        <v>2017.4</v>
      </c>
      <c r="G1078" s="156">
        <f>Tabla18[[#This Row],[Importe]]-Tabla18[[#This Row],[Pagado]]</f>
        <v>0</v>
      </c>
      <c r="H1078" s="75" t="s">
        <v>10</v>
      </c>
    </row>
    <row r="1079" spans="1:8" x14ac:dyDescent="0.25">
      <c r="A1079" s="148">
        <v>44752</v>
      </c>
      <c r="B1079" s="149" t="s">
        <v>22387</v>
      </c>
      <c r="C1079" s="153" t="s">
        <v>857</v>
      </c>
      <c r="D1079" s="154">
        <v>1306.8</v>
      </c>
      <c r="E1079" s="155">
        <v>44752</v>
      </c>
      <c r="F1079" s="154">
        <v>1306.8</v>
      </c>
      <c r="G1079" s="156">
        <f>Tabla18[[#This Row],[Importe]]-Tabla18[[#This Row],[Pagado]]</f>
        <v>0</v>
      </c>
      <c r="H1079" s="153" t="s">
        <v>10</v>
      </c>
    </row>
    <row r="1080" spans="1:8" x14ac:dyDescent="0.25">
      <c r="A1080" s="73">
        <v>44752</v>
      </c>
      <c r="B1080" s="74" t="s">
        <v>22388</v>
      </c>
      <c r="C1080" s="75" t="s">
        <v>445</v>
      </c>
      <c r="D1080" s="81">
        <v>5093.8</v>
      </c>
      <c r="E1080" s="151">
        <v>44752</v>
      </c>
      <c r="F1080" s="81">
        <v>5093.8</v>
      </c>
      <c r="G1080" s="156">
        <f>Tabla18[[#This Row],[Importe]]-Tabla18[[#This Row],[Pagado]]</f>
        <v>0</v>
      </c>
      <c r="H1080" s="75" t="s">
        <v>10</v>
      </c>
    </row>
    <row r="1081" spans="1:8" x14ac:dyDescent="0.25">
      <c r="A1081" s="148">
        <v>44752</v>
      </c>
      <c r="B1081" s="149" t="s">
        <v>22389</v>
      </c>
      <c r="C1081" s="153" t="s">
        <v>69</v>
      </c>
      <c r="D1081" s="154">
        <v>2109</v>
      </c>
      <c r="E1081" s="155">
        <v>44752</v>
      </c>
      <c r="F1081" s="154">
        <v>2109</v>
      </c>
      <c r="G1081" s="156">
        <f>Tabla18[[#This Row],[Importe]]-Tabla18[[#This Row],[Pagado]]</f>
        <v>0</v>
      </c>
      <c r="H1081" s="153" t="s">
        <v>10</v>
      </c>
    </row>
    <row r="1082" spans="1:8" x14ac:dyDescent="0.25">
      <c r="A1082" s="73">
        <v>44752</v>
      </c>
      <c r="B1082" s="74" t="s">
        <v>22390</v>
      </c>
      <c r="C1082" s="75" t="s">
        <v>804</v>
      </c>
      <c r="D1082" s="81">
        <v>15787.6</v>
      </c>
      <c r="E1082" s="151">
        <v>44752</v>
      </c>
      <c r="F1082" s="81">
        <v>15787.6</v>
      </c>
      <c r="G1082" s="156">
        <f>Tabla18[[#This Row],[Importe]]-Tabla18[[#This Row],[Pagado]]</f>
        <v>0</v>
      </c>
      <c r="H1082" s="75" t="s">
        <v>10</v>
      </c>
    </row>
    <row r="1083" spans="1:8" x14ac:dyDescent="0.25">
      <c r="A1083" s="148">
        <v>44752</v>
      </c>
      <c r="B1083" s="149" t="s">
        <v>22391</v>
      </c>
      <c r="C1083" s="153" t="s">
        <v>31</v>
      </c>
      <c r="D1083" s="154">
        <v>1199.5</v>
      </c>
      <c r="E1083" s="155">
        <v>44752</v>
      </c>
      <c r="F1083" s="154">
        <v>1199.5</v>
      </c>
      <c r="G1083" s="156">
        <f>Tabla18[[#This Row],[Importe]]-Tabla18[[#This Row],[Pagado]]</f>
        <v>0</v>
      </c>
      <c r="H1083" s="153" t="s">
        <v>10</v>
      </c>
    </row>
    <row r="1084" spans="1:8" x14ac:dyDescent="0.25">
      <c r="A1084" s="73">
        <v>44752</v>
      </c>
      <c r="B1084" s="74" t="s">
        <v>22392</v>
      </c>
      <c r="C1084" s="75" t="s">
        <v>214</v>
      </c>
      <c r="D1084" s="81">
        <v>1827.8</v>
      </c>
      <c r="E1084" s="151">
        <v>44752</v>
      </c>
      <c r="F1084" s="81">
        <v>1827.8</v>
      </c>
      <c r="G1084" s="156">
        <f>Tabla18[[#This Row],[Importe]]-Tabla18[[#This Row],[Pagado]]</f>
        <v>0</v>
      </c>
      <c r="H1084" s="75" t="s">
        <v>10</v>
      </c>
    </row>
    <row r="1085" spans="1:8" x14ac:dyDescent="0.25">
      <c r="A1085" s="148">
        <v>44752</v>
      </c>
      <c r="B1085" s="149" t="s">
        <v>22393</v>
      </c>
      <c r="C1085" s="153" t="s">
        <v>804</v>
      </c>
      <c r="D1085" s="154">
        <v>7008</v>
      </c>
      <c r="E1085" s="155">
        <v>44752</v>
      </c>
      <c r="F1085" s="154">
        <v>7008</v>
      </c>
      <c r="G1085" s="156">
        <f>Tabla18[[#This Row],[Importe]]-Tabla18[[#This Row],[Pagado]]</f>
        <v>0</v>
      </c>
      <c r="H1085" s="153" t="s">
        <v>10</v>
      </c>
    </row>
    <row r="1086" spans="1:8" x14ac:dyDescent="0.25">
      <c r="A1086" s="73">
        <v>44752</v>
      </c>
      <c r="B1086" s="74" t="s">
        <v>22394</v>
      </c>
      <c r="C1086" s="75" t="s">
        <v>62</v>
      </c>
      <c r="D1086" s="81">
        <v>8321.5</v>
      </c>
      <c r="E1086" s="151">
        <v>44752</v>
      </c>
      <c r="F1086" s="81">
        <v>8321.5</v>
      </c>
      <c r="G1086" s="156">
        <f>Tabla18[[#This Row],[Importe]]-Tabla18[[#This Row],[Pagado]]</f>
        <v>0</v>
      </c>
      <c r="H1086" s="75" t="s">
        <v>10</v>
      </c>
    </row>
    <row r="1087" spans="1:8" x14ac:dyDescent="0.25">
      <c r="A1087" s="148">
        <v>44752</v>
      </c>
      <c r="B1087" s="149" t="s">
        <v>22395</v>
      </c>
      <c r="C1087" s="153" t="s">
        <v>67</v>
      </c>
      <c r="D1087" s="154">
        <v>138</v>
      </c>
      <c r="E1087" s="155">
        <v>44752</v>
      </c>
      <c r="F1087" s="154">
        <v>138</v>
      </c>
      <c r="G1087" s="156">
        <f>Tabla18[[#This Row],[Importe]]-Tabla18[[#This Row],[Pagado]]</f>
        <v>0</v>
      </c>
      <c r="H1087" s="153" t="s">
        <v>10</v>
      </c>
    </row>
    <row r="1088" spans="1:8" x14ac:dyDescent="0.25">
      <c r="A1088" s="73">
        <v>44752</v>
      </c>
      <c r="B1088" s="74" t="s">
        <v>22396</v>
      </c>
      <c r="C1088" s="75" t="s">
        <v>4136</v>
      </c>
      <c r="D1088" s="81">
        <v>1567</v>
      </c>
      <c r="E1088" s="151">
        <v>44752</v>
      </c>
      <c r="F1088" s="81">
        <v>1567</v>
      </c>
      <c r="G1088" s="156">
        <f>Tabla18[[#This Row],[Importe]]-Tabla18[[#This Row],[Pagado]]</f>
        <v>0</v>
      </c>
      <c r="H1088" s="75" t="s">
        <v>10</v>
      </c>
    </row>
    <row r="1089" spans="1:8" x14ac:dyDescent="0.25">
      <c r="A1089" s="148">
        <v>44752</v>
      </c>
      <c r="B1089" s="149" t="s">
        <v>22397</v>
      </c>
      <c r="C1089" s="153" t="s">
        <v>31</v>
      </c>
      <c r="D1089" s="154">
        <v>38.5</v>
      </c>
      <c r="E1089" s="155">
        <v>44752</v>
      </c>
      <c r="F1089" s="154">
        <v>38.5</v>
      </c>
      <c r="G1089" s="156">
        <f>Tabla18[[#This Row],[Importe]]-Tabla18[[#This Row],[Pagado]]</f>
        <v>0</v>
      </c>
      <c r="H1089" s="153" t="s">
        <v>10</v>
      </c>
    </row>
    <row r="1090" spans="1:8" ht="31.5" x14ac:dyDescent="0.25">
      <c r="A1090" s="73">
        <v>44753</v>
      </c>
      <c r="B1090" s="74" t="s">
        <v>22398</v>
      </c>
      <c r="C1090" s="75" t="s">
        <v>475</v>
      </c>
      <c r="D1090" s="81">
        <v>100441.60000000001</v>
      </c>
      <c r="E1090" s="147" t="s">
        <v>22399</v>
      </c>
      <c r="F1090" s="81">
        <f>81500+18941.6</f>
        <v>100441.60000000001</v>
      </c>
      <c r="G1090" s="156">
        <f>Tabla18[[#This Row],[Importe]]-Tabla18[[#This Row],[Pagado]]</f>
        <v>0</v>
      </c>
      <c r="H1090" s="75" t="s">
        <v>10</v>
      </c>
    </row>
    <row r="1091" spans="1:8" x14ac:dyDescent="0.25">
      <c r="A1091" s="148">
        <v>44753</v>
      </c>
      <c r="B1091" s="149" t="s">
        <v>22400</v>
      </c>
      <c r="C1091" s="153" t="s">
        <v>83</v>
      </c>
      <c r="D1091" s="154">
        <v>11930</v>
      </c>
      <c r="E1091" s="155">
        <v>44753</v>
      </c>
      <c r="F1091" s="154">
        <v>11930</v>
      </c>
      <c r="G1091" s="156">
        <f>Tabla18[[#This Row],[Importe]]-Tabla18[[#This Row],[Pagado]]</f>
        <v>0</v>
      </c>
      <c r="H1091" s="153" t="s">
        <v>10</v>
      </c>
    </row>
    <row r="1092" spans="1:8" x14ac:dyDescent="0.25">
      <c r="A1092" s="73">
        <v>44753</v>
      </c>
      <c r="B1092" s="74" t="s">
        <v>22401</v>
      </c>
      <c r="C1092" s="75" t="s">
        <v>481</v>
      </c>
      <c r="D1092" s="81">
        <v>539.6</v>
      </c>
      <c r="E1092" s="151">
        <v>44753</v>
      </c>
      <c r="F1092" s="81">
        <v>539.6</v>
      </c>
      <c r="G1092" s="156">
        <f>Tabla18[[#This Row],[Importe]]-Tabla18[[#This Row],[Pagado]]</f>
        <v>0</v>
      </c>
      <c r="H1092" s="75" t="s">
        <v>10</v>
      </c>
    </row>
    <row r="1093" spans="1:8" x14ac:dyDescent="0.25">
      <c r="A1093" s="148">
        <v>44753</v>
      </c>
      <c r="B1093" s="149" t="s">
        <v>22402</v>
      </c>
      <c r="C1093" s="153" t="s">
        <v>75</v>
      </c>
      <c r="D1093" s="154">
        <v>8110.4</v>
      </c>
      <c r="E1093" s="155">
        <v>44753</v>
      </c>
      <c r="F1093" s="154">
        <v>8110.4</v>
      </c>
      <c r="G1093" s="156">
        <f>Tabla18[[#This Row],[Importe]]-Tabla18[[#This Row],[Pagado]]</f>
        <v>0</v>
      </c>
      <c r="H1093" s="153" t="s">
        <v>10</v>
      </c>
    </row>
    <row r="1094" spans="1:8" x14ac:dyDescent="0.25">
      <c r="A1094" s="73">
        <v>44753</v>
      </c>
      <c r="B1094" s="74" t="s">
        <v>22403</v>
      </c>
      <c r="C1094" s="75" t="s">
        <v>473</v>
      </c>
      <c r="D1094" s="81">
        <v>5446.9</v>
      </c>
      <c r="E1094" s="151">
        <v>44753</v>
      </c>
      <c r="F1094" s="81">
        <v>5446.9</v>
      </c>
      <c r="G1094" s="156">
        <f>Tabla18[[#This Row],[Importe]]-Tabla18[[#This Row],[Pagado]]</f>
        <v>0</v>
      </c>
      <c r="H1094" s="75" t="s">
        <v>10</v>
      </c>
    </row>
    <row r="1095" spans="1:8" x14ac:dyDescent="0.25">
      <c r="A1095" s="148">
        <v>44753</v>
      </c>
      <c r="B1095" s="149" t="s">
        <v>22404</v>
      </c>
      <c r="C1095" s="153" t="s">
        <v>85</v>
      </c>
      <c r="D1095" s="154">
        <v>1385</v>
      </c>
      <c r="E1095" s="155">
        <v>44753</v>
      </c>
      <c r="F1095" s="154">
        <v>1385</v>
      </c>
      <c r="G1095" s="156">
        <f>Tabla18[[#This Row],[Importe]]-Tabla18[[#This Row],[Pagado]]</f>
        <v>0</v>
      </c>
      <c r="H1095" s="153" t="s">
        <v>10</v>
      </c>
    </row>
    <row r="1096" spans="1:8" x14ac:dyDescent="0.25">
      <c r="A1096" s="73">
        <v>44753</v>
      </c>
      <c r="B1096" s="74" t="s">
        <v>22405</v>
      </c>
      <c r="C1096" s="75" t="s">
        <v>240</v>
      </c>
      <c r="D1096" s="81">
        <v>11992</v>
      </c>
      <c r="E1096" s="151">
        <v>44753</v>
      </c>
      <c r="F1096" s="81">
        <v>11992</v>
      </c>
      <c r="G1096" s="156">
        <f>Tabla18[[#This Row],[Importe]]-Tabla18[[#This Row],[Pagado]]</f>
        <v>0</v>
      </c>
      <c r="H1096" s="75" t="s">
        <v>10</v>
      </c>
    </row>
    <row r="1097" spans="1:8" x14ac:dyDescent="0.25">
      <c r="A1097" s="148">
        <v>44753</v>
      </c>
      <c r="B1097" s="149" t="s">
        <v>22406</v>
      </c>
      <c r="C1097" s="153" t="s">
        <v>87</v>
      </c>
      <c r="D1097" s="154">
        <v>2360.8000000000002</v>
      </c>
      <c r="E1097" s="155">
        <v>44753</v>
      </c>
      <c r="F1097" s="154">
        <v>2360.8000000000002</v>
      </c>
      <c r="G1097" s="156">
        <f>Tabla18[[#This Row],[Importe]]-Tabla18[[#This Row],[Pagado]]</f>
        <v>0</v>
      </c>
      <c r="H1097" s="153" t="s">
        <v>10</v>
      </c>
    </row>
    <row r="1098" spans="1:8" x14ac:dyDescent="0.25">
      <c r="A1098" s="73">
        <v>44753</v>
      </c>
      <c r="B1098" s="74" t="s">
        <v>22407</v>
      </c>
      <c r="C1098" s="75" t="s">
        <v>314</v>
      </c>
      <c r="D1098" s="81">
        <v>3070</v>
      </c>
      <c r="E1098" s="151">
        <v>44753</v>
      </c>
      <c r="F1098" s="81">
        <v>3070</v>
      </c>
      <c r="G1098" s="156">
        <f>Tabla18[[#This Row],[Importe]]-Tabla18[[#This Row],[Pagado]]</f>
        <v>0</v>
      </c>
      <c r="H1098" s="75" t="s">
        <v>10</v>
      </c>
    </row>
    <row r="1099" spans="1:8" x14ac:dyDescent="0.25">
      <c r="A1099" s="148">
        <v>44753</v>
      </c>
      <c r="B1099" s="149" t="s">
        <v>22408</v>
      </c>
      <c r="C1099" s="153" t="s">
        <v>111</v>
      </c>
      <c r="D1099" s="154">
        <v>5542.8</v>
      </c>
      <c r="E1099" s="155">
        <v>44754</v>
      </c>
      <c r="F1099" s="154">
        <v>5542.8</v>
      </c>
      <c r="G1099" s="156">
        <f>Tabla18[[#This Row],[Importe]]-Tabla18[[#This Row],[Pagado]]</f>
        <v>0</v>
      </c>
      <c r="H1099" s="153" t="s">
        <v>10</v>
      </c>
    </row>
    <row r="1100" spans="1:8" x14ac:dyDescent="0.25">
      <c r="A1100" s="73">
        <v>44753</v>
      </c>
      <c r="B1100" s="74" t="s">
        <v>22409</v>
      </c>
      <c r="C1100" s="75" t="s">
        <v>64</v>
      </c>
      <c r="D1100" s="81">
        <v>5120</v>
      </c>
      <c r="E1100" s="151">
        <v>44754</v>
      </c>
      <c r="F1100" s="81">
        <v>5120</v>
      </c>
      <c r="G1100" s="156">
        <f>Tabla18[[#This Row],[Importe]]-Tabla18[[#This Row],[Pagado]]</f>
        <v>0</v>
      </c>
      <c r="H1100" s="75" t="s">
        <v>10</v>
      </c>
    </row>
    <row r="1101" spans="1:8" x14ac:dyDescent="0.25">
      <c r="A1101" s="148">
        <v>44753</v>
      </c>
      <c r="B1101" s="149" t="s">
        <v>22410</v>
      </c>
      <c r="C1101" s="153" t="s">
        <v>2563</v>
      </c>
      <c r="D1101" s="154">
        <v>4320</v>
      </c>
      <c r="E1101" s="155">
        <v>44754</v>
      </c>
      <c r="F1101" s="154">
        <v>4320</v>
      </c>
      <c r="G1101" s="156">
        <f>Tabla18[[#This Row],[Importe]]-Tabla18[[#This Row],[Pagado]]</f>
        <v>0</v>
      </c>
      <c r="H1101" s="153" t="s">
        <v>10</v>
      </c>
    </row>
    <row r="1102" spans="1:8" x14ac:dyDescent="0.25">
      <c r="A1102" s="73">
        <v>44753</v>
      </c>
      <c r="B1102" s="74" t="s">
        <v>22411</v>
      </c>
      <c r="C1102" s="75" t="s">
        <v>97</v>
      </c>
      <c r="D1102" s="81">
        <v>4889.6000000000004</v>
      </c>
      <c r="E1102" s="151">
        <v>44754</v>
      </c>
      <c r="F1102" s="81">
        <v>4889.6000000000004</v>
      </c>
      <c r="G1102" s="156">
        <f>Tabla18[[#This Row],[Importe]]-Tabla18[[#This Row],[Pagado]]</f>
        <v>0</v>
      </c>
      <c r="H1102" s="75" t="s">
        <v>10</v>
      </c>
    </row>
    <row r="1103" spans="1:8" ht="31.5" x14ac:dyDescent="0.25">
      <c r="A1103" s="148">
        <v>44753</v>
      </c>
      <c r="B1103" s="149" t="s">
        <v>22412</v>
      </c>
      <c r="C1103" s="153" t="s">
        <v>99</v>
      </c>
      <c r="D1103" s="154">
        <v>7926.7</v>
      </c>
      <c r="E1103" s="150" t="s">
        <v>22399</v>
      </c>
      <c r="F1103" s="154">
        <f>2100+5826.7</f>
        <v>7926.7</v>
      </c>
      <c r="G1103" s="156">
        <f>Tabla18[[#This Row],[Importe]]-Tabla18[[#This Row],[Pagado]]</f>
        <v>0</v>
      </c>
      <c r="H1103" s="153" t="s">
        <v>10</v>
      </c>
    </row>
    <row r="1104" spans="1:8" x14ac:dyDescent="0.25">
      <c r="A1104" s="73">
        <v>44753</v>
      </c>
      <c r="B1104" s="74" t="s">
        <v>22413</v>
      </c>
      <c r="C1104" s="75" t="s">
        <v>105</v>
      </c>
      <c r="D1104" s="81">
        <v>12457</v>
      </c>
      <c r="E1104" s="151">
        <v>44755</v>
      </c>
      <c r="F1104" s="81">
        <v>12457</v>
      </c>
      <c r="G1104" s="156">
        <f>Tabla18[[#This Row],[Importe]]-Tabla18[[#This Row],[Pagado]]</f>
        <v>0</v>
      </c>
      <c r="H1104" s="75" t="s">
        <v>10</v>
      </c>
    </row>
    <row r="1105" spans="1:8" x14ac:dyDescent="0.25">
      <c r="A1105" s="148">
        <v>44753</v>
      </c>
      <c r="B1105" s="149" t="s">
        <v>22414</v>
      </c>
      <c r="C1105" s="153" t="s">
        <v>60</v>
      </c>
      <c r="D1105" s="154">
        <v>4710.3999999999996</v>
      </c>
      <c r="E1105" s="155">
        <v>44756</v>
      </c>
      <c r="F1105" s="154">
        <v>4710.3999999999996</v>
      </c>
      <c r="G1105" s="156">
        <f>Tabla18[[#This Row],[Importe]]-Tabla18[[#This Row],[Pagado]]</f>
        <v>0</v>
      </c>
      <c r="H1105" s="153" t="s">
        <v>10</v>
      </c>
    </row>
    <row r="1106" spans="1:8" x14ac:dyDescent="0.25">
      <c r="A1106" s="73">
        <v>44753</v>
      </c>
      <c r="B1106" s="74" t="s">
        <v>22415</v>
      </c>
      <c r="C1106" s="75" t="s">
        <v>116</v>
      </c>
      <c r="D1106" s="81">
        <v>6061</v>
      </c>
      <c r="E1106" s="151">
        <v>44755</v>
      </c>
      <c r="F1106" s="81">
        <v>6061</v>
      </c>
      <c r="G1106" s="156">
        <f>Tabla18[[#This Row],[Importe]]-Tabla18[[#This Row],[Pagado]]</f>
        <v>0</v>
      </c>
      <c r="H1106" s="75" t="s">
        <v>10</v>
      </c>
    </row>
    <row r="1107" spans="1:8" x14ac:dyDescent="0.25">
      <c r="A1107" s="148">
        <v>44753</v>
      </c>
      <c r="B1107" s="149" t="s">
        <v>22416</v>
      </c>
      <c r="C1107" s="153" t="s">
        <v>114</v>
      </c>
      <c r="D1107" s="154">
        <v>5611</v>
      </c>
      <c r="E1107" s="155">
        <v>44754</v>
      </c>
      <c r="F1107" s="154">
        <v>5611</v>
      </c>
      <c r="G1107" s="156">
        <f>Tabla18[[#This Row],[Importe]]-Tabla18[[#This Row],[Pagado]]</f>
        <v>0</v>
      </c>
      <c r="H1107" s="153" t="s">
        <v>10</v>
      </c>
    </row>
    <row r="1108" spans="1:8" x14ac:dyDescent="0.25">
      <c r="A1108" s="73">
        <v>44753</v>
      </c>
      <c r="B1108" s="74" t="s">
        <v>22417</v>
      </c>
      <c r="C1108" s="75" t="s">
        <v>9</v>
      </c>
      <c r="D1108" s="81">
        <v>7456.6</v>
      </c>
      <c r="E1108" s="151">
        <v>44753</v>
      </c>
      <c r="F1108" s="81">
        <v>7456.6</v>
      </c>
      <c r="G1108" s="156">
        <f>Tabla18[[#This Row],[Importe]]-Tabla18[[#This Row],[Pagado]]</f>
        <v>0</v>
      </c>
      <c r="H1108" s="75" t="s">
        <v>10</v>
      </c>
    </row>
    <row r="1109" spans="1:8" x14ac:dyDescent="0.25">
      <c r="A1109" s="148">
        <v>44753</v>
      </c>
      <c r="B1109" s="149" t="s">
        <v>22418</v>
      </c>
      <c r="C1109" s="153" t="s">
        <v>348</v>
      </c>
      <c r="D1109" s="154">
        <v>2499.8000000000002</v>
      </c>
      <c r="E1109" s="155">
        <v>44753</v>
      </c>
      <c r="F1109" s="154">
        <v>2499.8000000000002</v>
      </c>
      <c r="G1109" s="156">
        <f>Tabla18[[#This Row],[Importe]]-Tabla18[[#This Row],[Pagado]]</f>
        <v>0</v>
      </c>
      <c r="H1109" s="153" t="s">
        <v>10</v>
      </c>
    </row>
    <row r="1110" spans="1:8" x14ac:dyDescent="0.25">
      <c r="A1110" s="73">
        <v>44753</v>
      </c>
      <c r="B1110" s="74" t="s">
        <v>22419</v>
      </c>
      <c r="C1110" s="75" t="s">
        <v>93</v>
      </c>
      <c r="D1110" s="81">
        <v>3404.6</v>
      </c>
      <c r="E1110" s="151">
        <v>44755</v>
      </c>
      <c r="F1110" s="81">
        <v>3404.6</v>
      </c>
      <c r="G1110" s="156">
        <f>Tabla18[[#This Row],[Importe]]-Tabla18[[#This Row],[Pagado]]</f>
        <v>0</v>
      </c>
      <c r="H1110" s="75" t="s">
        <v>10</v>
      </c>
    </row>
    <row r="1111" spans="1:8" x14ac:dyDescent="0.25">
      <c r="A1111" s="148">
        <v>44753</v>
      </c>
      <c r="B1111" s="149" t="s">
        <v>22420</v>
      </c>
      <c r="C1111" s="153" t="s">
        <v>11893</v>
      </c>
      <c r="D1111" s="154">
        <v>0</v>
      </c>
      <c r="E1111" s="158" t="s">
        <v>189</v>
      </c>
      <c r="F1111" s="154">
        <v>0</v>
      </c>
      <c r="G1111" s="156">
        <f>Tabla18[[#This Row],[Importe]]-Tabla18[[#This Row],[Pagado]]</f>
        <v>0</v>
      </c>
      <c r="H1111" s="153" t="s">
        <v>189</v>
      </c>
    </row>
    <row r="1112" spans="1:8" x14ac:dyDescent="0.25">
      <c r="A1112" s="73">
        <v>44753</v>
      </c>
      <c r="B1112" s="74" t="s">
        <v>22421</v>
      </c>
      <c r="C1112" s="75" t="s">
        <v>89</v>
      </c>
      <c r="D1112" s="81">
        <v>10167.4</v>
      </c>
      <c r="E1112" s="151">
        <v>44754</v>
      </c>
      <c r="F1112" s="81">
        <v>10167.4</v>
      </c>
      <c r="G1112" s="156">
        <f>Tabla18[[#This Row],[Importe]]-Tabla18[[#This Row],[Pagado]]</f>
        <v>0</v>
      </c>
      <c r="H1112" s="75" t="s">
        <v>10</v>
      </c>
    </row>
    <row r="1113" spans="1:8" x14ac:dyDescent="0.25">
      <c r="A1113" s="148">
        <v>44753</v>
      </c>
      <c r="B1113" s="149" t="s">
        <v>22422</v>
      </c>
      <c r="C1113" s="153" t="s">
        <v>326</v>
      </c>
      <c r="D1113" s="154">
        <v>5107.2</v>
      </c>
      <c r="E1113" s="155">
        <v>44754</v>
      </c>
      <c r="F1113" s="154">
        <v>5107.2</v>
      </c>
      <c r="G1113" s="156">
        <f>Tabla18[[#This Row],[Importe]]-Tabla18[[#This Row],[Pagado]]</f>
        <v>0</v>
      </c>
      <c r="H1113" s="153" t="s">
        <v>10</v>
      </c>
    </row>
    <row r="1114" spans="1:8" x14ac:dyDescent="0.25">
      <c r="A1114" s="73">
        <v>44753</v>
      </c>
      <c r="B1114" s="74" t="s">
        <v>22423</v>
      </c>
      <c r="C1114" s="75" t="s">
        <v>918</v>
      </c>
      <c r="D1114" s="81">
        <v>1248.2</v>
      </c>
      <c r="E1114" s="151">
        <v>44753</v>
      </c>
      <c r="F1114" s="81">
        <v>1248.2</v>
      </c>
      <c r="G1114" s="156">
        <f>Tabla18[[#This Row],[Importe]]-Tabla18[[#This Row],[Pagado]]</f>
        <v>0</v>
      </c>
      <c r="H1114" s="75" t="s">
        <v>10</v>
      </c>
    </row>
    <row r="1115" spans="1:8" x14ac:dyDescent="0.25">
      <c r="A1115" s="148">
        <v>44753</v>
      </c>
      <c r="B1115" s="149" t="s">
        <v>22424</v>
      </c>
      <c r="C1115" s="153" t="s">
        <v>1187</v>
      </c>
      <c r="D1115" s="154">
        <v>2652</v>
      </c>
      <c r="E1115" s="155">
        <v>44753</v>
      </c>
      <c r="F1115" s="154">
        <v>2652</v>
      </c>
      <c r="G1115" s="156">
        <f>Tabla18[[#This Row],[Importe]]-Tabla18[[#This Row],[Pagado]]</f>
        <v>0</v>
      </c>
      <c r="H1115" s="153" t="s">
        <v>10</v>
      </c>
    </row>
    <row r="1116" spans="1:8" x14ac:dyDescent="0.25">
      <c r="A1116" s="73">
        <v>44753</v>
      </c>
      <c r="B1116" s="74" t="s">
        <v>22425</v>
      </c>
      <c r="C1116" s="75" t="s">
        <v>56</v>
      </c>
      <c r="D1116" s="81">
        <v>8692.1</v>
      </c>
      <c r="E1116" s="151">
        <v>44753</v>
      </c>
      <c r="F1116" s="81">
        <v>8692.1</v>
      </c>
      <c r="G1116" s="156">
        <f>Tabla18[[#This Row],[Importe]]-Tabla18[[#This Row],[Pagado]]</f>
        <v>0</v>
      </c>
      <c r="H1116" s="75" t="s">
        <v>10</v>
      </c>
    </row>
    <row r="1117" spans="1:8" ht="31.5" x14ac:dyDescent="0.25">
      <c r="A1117" s="148">
        <v>44753</v>
      </c>
      <c r="B1117" s="149" t="s">
        <v>22426</v>
      </c>
      <c r="C1117" s="153" t="s">
        <v>22</v>
      </c>
      <c r="D1117" s="154">
        <v>59677.599999999999</v>
      </c>
      <c r="E1117" s="150" t="s">
        <v>22203</v>
      </c>
      <c r="F1117" s="154">
        <f>36000+23677.6</f>
        <v>59677.599999999999</v>
      </c>
      <c r="G1117" s="156">
        <f>Tabla18[[#This Row],[Importe]]-Tabla18[[#This Row],[Pagado]]</f>
        <v>0</v>
      </c>
      <c r="H1117" s="153" t="s">
        <v>10</v>
      </c>
    </row>
    <row r="1118" spans="1:8" x14ac:dyDescent="0.25">
      <c r="A1118" s="73">
        <v>44753</v>
      </c>
      <c r="B1118" s="74" t="s">
        <v>22427</v>
      </c>
      <c r="C1118" s="75" t="s">
        <v>11033</v>
      </c>
      <c r="D1118" s="81">
        <v>1963.5</v>
      </c>
      <c r="E1118" s="151">
        <v>44753</v>
      </c>
      <c r="F1118" s="81">
        <v>1963.5</v>
      </c>
      <c r="G1118" s="156">
        <f>Tabla18[[#This Row],[Importe]]-Tabla18[[#This Row],[Pagado]]</f>
        <v>0</v>
      </c>
      <c r="H1118" s="75" t="s">
        <v>10</v>
      </c>
    </row>
    <row r="1119" spans="1:8" x14ac:dyDescent="0.25">
      <c r="A1119" s="148">
        <v>44753</v>
      </c>
      <c r="B1119" s="149" t="s">
        <v>22428</v>
      </c>
      <c r="C1119" s="153" t="s">
        <v>16</v>
      </c>
      <c r="D1119" s="154">
        <v>6299</v>
      </c>
      <c r="E1119" s="155">
        <v>44753</v>
      </c>
      <c r="F1119" s="154">
        <v>6299</v>
      </c>
      <c r="G1119" s="156">
        <f>Tabla18[[#This Row],[Importe]]-Tabla18[[#This Row],[Pagado]]</f>
        <v>0</v>
      </c>
      <c r="H1119" s="153" t="s">
        <v>10</v>
      </c>
    </row>
    <row r="1120" spans="1:8" x14ac:dyDescent="0.25">
      <c r="A1120" s="73">
        <v>44753</v>
      </c>
      <c r="B1120" s="74" t="s">
        <v>22429</v>
      </c>
      <c r="C1120" s="75" t="s">
        <v>27</v>
      </c>
      <c r="D1120" s="81">
        <v>2220</v>
      </c>
      <c r="E1120" s="151">
        <v>44753</v>
      </c>
      <c r="F1120" s="81">
        <v>2220</v>
      </c>
      <c r="G1120" s="156">
        <f>Tabla18[[#This Row],[Importe]]-Tabla18[[#This Row],[Pagado]]</f>
        <v>0</v>
      </c>
      <c r="H1120" s="75" t="s">
        <v>10</v>
      </c>
    </row>
    <row r="1121" spans="1:8" x14ac:dyDescent="0.25">
      <c r="A1121" s="148">
        <v>44753</v>
      </c>
      <c r="B1121" s="149" t="s">
        <v>22430</v>
      </c>
      <c r="C1121" s="153" t="s">
        <v>53</v>
      </c>
      <c r="D1121" s="154">
        <v>1185.5999999999999</v>
      </c>
      <c r="E1121" s="155">
        <v>44753</v>
      </c>
      <c r="F1121" s="154">
        <v>1185.5999999999999</v>
      </c>
      <c r="G1121" s="156">
        <f>Tabla18[[#This Row],[Importe]]-Tabla18[[#This Row],[Pagado]]</f>
        <v>0</v>
      </c>
      <c r="H1121" s="153" t="s">
        <v>10</v>
      </c>
    </row>
    <row r="1122" spans="1:8" x14ac:dyDescent="0.25">
      <c r="A1122" s="73">
        <v>44753</v>
      </c>
      <c r="B1122" s="74" t="s">
        <v>22431</v>
      </c>
      <c r="C1122" s="75" t="s">
        <v>222</v>
      </c>
      <c r="D1122" s="81">
        <v>11493.6</v>
      </c>
      <c r="E1122" s="151">
        <v>44753</v>
      </c>
      <c r="F1122" s="81">
        <v>11493.6</v>
      </c>
      <c r="G1122" s="156">
        <f>Tabla18[[#This Row],[Importe]]-Tabla18[[#This Row],[Pagado]]</f>
        <v>0</v>
      </c>
      <c r="H1122" s="75" t="s">
        <v>10</v>
      </c>
    </row>
    <row r="1123" spans="1:8" x14ac:dyDescent="0.25">
      <c r="A1123" s="148">
        <v>44753</v>
      </c>
      <c r="B1123" s="149" t="s">
        <v>22432</v>
      </c>
      <c r="C1123" s="153" t="s">
        <v>49</v>
      </c>
      <c r="D1123" s="154">
        <v>3504.6</v>
      </c>
      <c r="E1123" s="155">
        <v>44753</v>
      </c>
      <c r="F1123" s="154">
        <v>3504.6</v>
      </c>
      <c r="G1123" s="156">
        <f>Tabla18[[#This Row],[Importe]]-Tabla18[[#This Row],[Pagado]]</f>
        <v>0</v>
      </c>
      <c r="H1123" s="153" t="s">
        <v>10</v>
      </c>
    </row>
    <row r="1124" spans="1:8" x14ac:dyDescent="0.25">
      <c r="A1124" s="73">
        <v>44753</v>
      </c>
      <c r="B1124" s="74" t="s">
        <v>22433</v>
      </c>
      <c r="C1124" s="75" t="s">
        <v>142</v>
      </c>
      <c r="D1124" s="81">
        <v>121513</v>
      </c>
      <c r="E1124" s="151">
        <v>44799</v>
      </c>
      <c r="F1124" s="81">
        <v>121513</v>
      </c>
      <c r="G1124" s="156">
        <f>Tabla18[[#This Row],[Importe]]-Tabla18[[#This Row],[Pagado]]</f>
        <v>0</v>
      </c>
      <c r="H1124" s="75" t="s">
        <v>10</v>
      </c>
    </row>
    <row r="1125" spans="1:8" x14ac:dyDescent="0.25">
      <c r="A1125" s="148">
        <v>44753</v>
      </c>
      <c r="B1125" s="149" t="s">
        <v>22434</v>
      </c>
      <c r="C1125" s="153" t="s">
        <v>45</v>
      </c>
      <c r="D1125" s="154">
        <v>8158.8</v>
      </c>
      <c r="E1125" s="155">
        <v>44753</v>
      </c>
      <c r="F1125" s="154">
        <v>8158.8</v>
      </c>
      <c r="G1125" s="156">
        <f>Tabla18[[#This Row],[Importe]]-Tabla18[[#This Row],[Pagado]]</f>
        <v>0</v>
      </c>
      <c r="H1125" s="153" t="s">
        <v>10</v>
      </c>
    </row>
    <row r="1126" spans="1:8" x14ac:dyDescent="0.25">
      <c r="A1126" s="73">
        <v>44753</v>
      </c>
      <c r="B1126" s="74" t="s">
        <v>22435</v>
      </c>
      <c r="C1126" s="75" t="s">
        <v>14</v>
      </c>
      <c r="D1126" s="81">
        <v>27589.4</v>
      </c>
      <c r="E1126" s="151">
        <v>44753</v>
      </c>
      <c r="F1126" s="81">
        <v>27589.4</v>
      </c>
      <c r="G1126" s="156">
        <f>Tabla18[[#This Row],[Importe]]-Tabla18[[#This Row],[Pagado]]</f>
        <v>0</v>
      </c>
      <c r="H1126" s="75" t="s">
        <v>10</v>
      </c>
    </row>
    <row r="1127" spans="1:8" x14ac:dyDescent="0.25">
      <c r="A1127" s="148">
        <v>44753</v>
      </c>
      <c r="B1127" s="149" t="s">
        <v>22436</v>
      </c>
      <c r="C1127" s="153" t="s">
        <v>161</v>
      </c>
      <c r="D1127" s="154">
        <v>3907.2</v>
      </c>
      <c r="E1127" s="155">
        <v>44753</v>
      </c>
      <c r="F1127" s="154">
        <v>3907.2</v>
      </c>
      <c r="G1127" s="156">
        <f>Tabla18[[#This Row],[Importe]]-Tabla18[[#This Row],[Pagado]]</f>
        <v>0</v>
      </c>
      <c r="H1127" s="153" t="s">
        <v>10</v>
      </c>
    </row>
    <row r="1128" spans="1:8" x14ac:dyDescent="0.25">
      <c r="A1128" s="73">
        <v>44753</v>
      </c>
      <c r="B1128" s="74" t="s">
        <v>22437</v>
      </c>
      <c r="C1128" s="75" t="s">
        <v>426</v>
      </c>
      <c r="D1128" s="81">
        <v>9348</v>
      </c>
      <c r="E1128" s="151">
        <v>44753</v>
      </c>
      <c r="F1128" s="81">
        <v>9348</v>
      </c>
      <c r="G1128" s="156">
        <f>Tabla18[[#This Row],[Importe]]-Tabla18[[#This Row],[Pagado]]</f>
        <v>0</v>
      </c>
      <c r="H1128" s="75" t="s">
        <v>10</v>
      </c>
    </row>
    <row r="1129" spans="1:8" x14ac:dyDescent="0.25">
      <c r="A1129" s="148">
        <v>44753</v>
      </c>
      <c r="B1129" s="149" t="s">
        <v>22438</v>
      </c>
      <c r="C1129" s="153" t="s">
        <v>196</v>
      </c>
      <c r="D1129" s="154">
        <v>86612.94</v>
      </c>
      <c r="E1129" s="155">
        <v>44757</v>
      </c>
      <c r="F1129" s="154">
        <v>86612.94</v>
      </c>
      <c r="G1129" s="156">
        <f>Tabla18[[#This Row],[Importe]]-Tabla18[[#This Row],[Pagado]]</f>
        <v>0</v>
      </c>
      <c r="H1129" s="153" t="s">
        <v>10</v>
      </c>
    </row>
    <row r="1130" spans="1:8" x14ac:dyDescent="0.25">
      <c r="A1130" s="73">
        <v>44753</v>
      </c>
      <c r="B1130" s="74" t="s">
        <v>22439</v>
      </c>
      <c r="C1130" s="75" t="s">
        <v>19346</v>
      </c>
      <c r="D1130" s="81">
        <v>0</v>
      </c>
      <c r="E1130" s="157" t="s">
        <v>189</v>
      </c>
      <c r="F1130" s="81">
        <v>0</v>
      </c>
      <c r="G1130" s="156">
        <f>Tabla18[[#This Row],[Importe]]-Tabla18[[#This Row],[Pagado]]</f>
        <v>0</v>
      </c>
      <c r="H1130" s="75" t="s">
        <v>189</v>
      </c>
    </row>
    <row r="1131" spans="1:8" x14ac:dyDescent="0.25">
      <c r="A1131" s="148">
        <v>44753</v>
      </c>
      <c r="B1131" s="149" t="s">
        <v>22440</v>
      </c>
      <c r="C1131" s="153" t="s">
        <v>175</v>
      </c>
      <c r="D1131" s="154">
        <v>15022.6</v>
      </c>
      <c r="E1131" s="155">
        <v>44753</v>
      </c>
      <c r="F1131" s="154">
        <v>15022.6</v>
      </c>
      <c r="G1131" s="156">
        <f>Tabla18[[#This Row],[Importe]]-Tabla18[[#This Row],[Pagado]]</f>
        <v>0</v>
      </c>
      <c r="H1131" s="153" t="s">
        <v>10</v>
      </c>
    </row>
    <row r="1132" spans="1:8" x14ac:dyDescent="0.25">
      <c r="A1132" s="73">
        <v>44753</v>
      </c>
      <c r="B1132" s="74" t="s">
        <v>22441</v>
      </c>
      <c r="C1132" s="75" t="s">
        <v>246</v>
      </c>
      <c r="D1132" s="81">
        <v>1925</v>
      </c>
      <c r="E1132" s="151">
        <v>44753</v>
      </c>
      <c r="F1132" s="81">
        <v>1925</v>
      </c>
      <c r="G1132" s="156">
        <f>Tabla18[[#This Row],[Importe]]-Tabla18[[#This Row],[Pagado]]</f>
        <v>0</v>
      </c>
      <c r="H1132" s="75" t="s">
        <v>10</v>
      </c>
    </row>
    <row r="1133" spans="1:8" x14ac:dyDescent="0.25">
      <c r="A1133" s="148">
        <v>44753</v>
      </c>
      <c r="B1133" s="149" t="s">
        <v>22442</v>
      </c>
      <c r="C1133" s="153" t="s">
        <v>246</v>
      </c>
      <c r="D1133" s="154">
        <v>332.5</v>
      </c>
      <c r="E1133" s="155">
        <v>44753</v>
      </c>
      <c r="F1133" s="154">
        <v>332.5</v>
      </c>
      <c r="G1133" s="156">
        <f>Tabla18[[#This Row],[Importe]]-Tabla18[[#This Row],[Pagado]]</f>
        <v>0</v>
      </c>
      <c r="H1133" s="153" t="s">
        <v>10</v>
      </c>
    </row>
    <row r="1134" spans="1:8" x14ac:dyDescent="0.25">
      <c r="A1134" s="73">
        <v>44753</v>
      </c>
      <c r="B1134" s="74" t="s">
        <v>22443</v>
      </c>
      <c r="C1134" s="75" t="s">
        <v>777</v>
      </c>
      <c r="D1134" s="81">
        <v>2454</v>
      </c>
      <c r="E1134" s="151">
        <v>44753</v>
      </c>
      <c r="F1134" s="81">
        <v>2454</v>
      </c>
      <c r="G1134" s="156">
        <f>Tabla18[[#This Row],[Importe]]-Tabla18[[#This Row],[Pagado]]</f>
        <v>0</v>
      </c>
      <c r="H1134" s="75" t="s">
        <v>10</v>
      </c>
    </row>
    <row r="1135" spans="1:8" x14ac:dyDescent="0.25">
      <c r="A1135" s="148">
        <v>44753</v>
      </c>
      <c r="B1135" s="149" t="s">
        <v>22444</v>
      </c>
      <c r="C1135" s="153" t="s">
        <v>214</v>
      </c>
      <c r="D1135" s="154">
        <v>1169.2</v>
      </c>
      <c r="E1135" s="155">
        <v>44753</v>
      </c>
      <c r="F1135" s="154">
        <v>1169.2</v>
      </c>
      <c r="G1135" s="156">
        <f>Tabla18[[#This Row],[Importe]]-Tabla18[[#This Row],[Pagado]]</f>
        <v>0</v>
      </c>
      <c r="H1135" s="153" t="s">
        <v>10</v>
      </c>
    </row>
    <row r="1136" spans="1:8" x14ac:dyDescent="0.25">
      <c r="A1136" s="73">
        <v>44753</v>
      </c>
      <c r="B1136" s="74" t="s">
        <v>22445</v>
      </c>
      <c r="C1136" s="75" t="s">
        <v>286</v>
      </c>
      <c r="D1136" s="81">
        <v>23446</v>
      </c>
      <c r="E1136" s="151">
        <v>44753</v>
      </c>
      <c r="F1136" s="81">
        <v>23446</v>
      </c>
      <c r="G1136" s="156">
        <f>Tabla18[[#This Row],[Importe]]-Tabla18[[#This Row],[Pagado]]</f>
        <v>0</v>
      </c>
      <c r="H1136" s="75" t="s">
        <v>10</v>
      </c>
    </row>
    <row r="1137" spans="1:8" x14ac:dyDescent="0.25">
      <c r="A1137" s="148">
        <v>44753</v>
      </c>
      <c r="B1137" s="149" t="s">
        <v>22446</v>
      </c>
      <c r="C1137" s="153" t="s">
        <v>137</v>
      </c>
      <c r="D1137" s="154">
        <v>2572.8000000000002</v>
      </c>
      <c r="E1137" s="155">
        <v>44753</v>
      </c>
      <c r="F1137" s="154">
        <v>2572.8000000000002</v>
      </c>
      <c r="G1137" s="156">
        <f>Tabla18[[#This Row],[Importe]]-Tabla18[[#This Row],[Pagado]]</f>
        <v>0</v>
      </c>
      <c r="H1137" s="153" t="s">
        <v>10</v>
      </c>
    </row>
    <row r="1138" spans="1:8" x14ac:dyDescent="0.25">
      <c r="A1138" s="73">
        <v>44753</v>
      </c>
      <c r="B1138" s="74" t="s">
        <v>22447</v>
      </c>
      <c r="C1138" s="75" t="s">
        <v>382</v>
      </c>
      <c r="D1138" s="81">
        <v>1267.5</v>
      </c>
      <c r="E1138" s="151">
        <v>44753</v>
      </c>
      <c r="F1138" s="81">
        <v>1267.5</v>
      </c>
      <c r="G1138" s="156">
        <f>Tabla18[[#This Row],[Importe]]-Tabla18[[#This Row],[Pagado]]</f>
        <v>0</v>
      </c>
      <c r="H1138" s="75" t="s">
        <v>10</v>
      </c>
    </row>
    <row r="1139" spans="1:8" x14ac:dyDescent="0.25">
      <c r="A1139" s="148">
        <v>44753</v>
      </c>
      <c r="B1139" s="149" t="s">
        <v>22448</v>
      </c>
      <c r="C1139" s="153" t="s">
        <v>289</v>
      </c>
      <c r="D1139" s="154">
        <v>15036.2</v>
      </c>
      <c r="E1139" s="155">
        <v>44753</v>
      </c>
      <c r="F1139" s="154">
        <v>15036.2</v>
      </c>
      <c r="G1139" s="156">
        <f>Tabla18[[#This Row],[Importe]]-Tabla18[[#This Row],[Pagado]]</f>
        <v>0</v>
      </c>
      <c r="H1139" s="153" t="s">
        <v>10</v>
      </c>
    </row>
    <row r="1140" spans="1:8" x14ac:dyDescent="0.25">
      <c r="A1140" s="73">
        <v>44753</v>
      </c>
      <c r="B1140" s="74" t="s">
        <v>22449</v>
      </c>
      <c r="C1140" s="75" t="s">
        <v>3971</v>
      </c>
      <c r="D1140" s="81">
        <v>5551.2</v>
      </c>
      <c r="E1140" s="151">
        <v>44753</v>
      </c>
      <c r="F1140" s="81">
        <v>5551.2</v>
      </c>
      <c r="G1140" s="156">
        <f>Tabla18[[#This Row],[Importe]]-Tabla18[[#This Row],[Pagado]]</f>
        <v>0</v>
      </c>
      <c r="H1140" s="75" t="s">
        <v>10</v>
      </c>
    </row>
    <row r="1141" spans="1:8" x14ac:dyDescent="0.25">
      <c r="A1141" s="148">
        <v>44753</v>
      </c>
      <c r="B1141" s="149" t="s">
        <v>22450</v>
      </c>
      <c r="C1141" s="153" t="s">
        <v>51</v>
      </c>
      <c r="D1141" s="154">
        <v>2188</v>
      </c>
      <c r="E1141" s="155">
        <v>44753</v>
      </c>
      <c r="F1141" s="154">
        <v>2188</v>
      </c>
      <c r="G1141" s="156">
        <f>Tabla18[[#This Row],[Importe]]-Tabla18[[#This Row],[Pagado]]</f>
        <v>0</v>
      </c>
      <c r="H1141" s="153" t="s">
        <v>10</v>
      </c>
    </row>
    <row r="1142" spans="1:8" x14ac:dyDescent="0.25">
      <c r="A1142" s="73">
        <v>44753</v>
      </c>
      <c r="B1142" s="74" t="s">
        <v>22451</v>
      </c>
      <c r="C1142" s="75" t="s">
        <v>179</v>
      </c>
      <c r="D1142" s="81">
        <v>1354.2</v>
      </c>
      <c r="E1142" s="151">
        <v>44753</v>
      </c>
      <c r="F1142" s="81">
        <v>1354.2</v>
      </c>
      <c r="G1142" s="156">
        <f>Tabla18[[#This Row],[Importe]]-Tabla18[[#This Row],[Pagado]]</f>
        <v>0</v>
      </c>
      <c r="H1142" s="75" t="s">
        <v>10</v>
      </c>
    </row>
    <row r="1143" spans="1:8" x14ac:dyDescent="0.25">
      <c r="A1143" s="148">
        <v>44753</v>
      </c>
      <c r="B1143" s="149" t="s">
        <v>22452</v>
      </c>
      <c r="C1143" s="153" t="s">
        <v>140</v>
      </c>
      <c r="D1143" s="154">
        <v>1649.2</v>
      </c>
      <c r="E1143" s="155">
        <v>44753</v>
      </c>
      <c r="F1143" s="154">
        <v>1649.2</v>
      </c>
      <c r="G1143" s="156">
        <f>Tabla18[[#This Row],[Importe]]-Tabla18[[#This Row],[Pagado]]</f>
        <v>0</v>
      </c>
      <c r="H1143" s="153" t="s">
        <v>10</v>
      </c>
    </row>
    <row r="1144" spans="1:8" x14ac:dyDescent="0.25">
      <c r="A1144" s="73">
        <v>44753</v>
      </c>
      <c r="B1144" s="74" t="s">
        <v>22453</v>
      </c>
      <c r="C1144" s="75" t="s">
        <v>129</v>
      </c>
      <c r="D1144" s="81">
        <v>4762.5</v>
      </c>
      <c r="E1144" s="151">
        <v>44753</v>
      </c>
      <c r="F1144" s="81">
        <v>4762.5</v>
      </c>
      <c r="G1144" s="156">
        <f>Tabla18[[#This Row],[Importe]]-Tabla18[[#This Row],[Pagado]]</f>
        <v>0</v>
      </c>
      <c r="H1144" s="75" t="s">
        <v>10</v>
      </c>
    </row>
    <row r="1145" spans="1:8" x14ac:dyDescent="0.25">
      <c r="A1145" s="148">
        <v>44753</v>
      </c>
      <c r="B1145" s="149" t="s">
        <v>22454</v>
      </c>
      <c r="C1145" s="153" t="s">
        <v>127</v>
      </c>
      <c r="D1145" s="154">
        <v>5215.6000000000004</v>
      </c>
      <c r="E1145" s="155">
        <v>44753</v>
      </c>
      <c r="F1145" s="154">
        <v>5215.6000000000004</v>
      </c>
      <c r="G1145" s="156">
        <f>Tabla18[[#This Row],[Importe]]-Tabla18[[#This Row],[Pagado]]</f>
        <v>0</v>
      </c>
      <c r="H1145" s="153" t="s">
        <v>10</v>
      </c>
    </row>
    <row r="1146" spans="1:8" x14ac:dyDescent="0.25">
      <c r="A1146" s="73">
        <v>44753</v>
      </c>
      <c r="B1146" s="74" t="s">
        <v>22455</v>
      </c>
      <c r="C1146" s="75" t="s">
        <v>357</v>
      </c>
      <c r="D1146" s="81">
        <v>1086.8</v>
      </c>
      <c r="E1146" s="151">
        <v>44753</v>
      </c>
      <c r="F1146" s="81">
        <v>1086.8</v>
      </c>
      <c r="G1146" s="156">
        <f>Tabla18[[#This Row],[Importe]]-Tabla18[[#This Row],[Pagado]]</f>
        <v>0</v>
      </c>
      <c r="H1146" s="75" t="s">
        <v>10</v>
      </c>
    </row>
    <row r="1147" spans="1:8" x14ac:dyDescent="0.25">
      <c r="A1147" s="148">
        <v>44753</v>
      </c>
      <c r="B1147" s="149" t="s">
        <v>22456</v>
      </c>
      <c r="C1147" s="153" t="s">
        <v>202</v>
      </c>
      <c r="D1147" s="154">
        <v>4537.2</v>
      </c>
      <c r="E1147" s="155">
        <v>44753</v>
      </c>
      <c r="F1147" s="154">
        <v>4537.2</v>
      </c>
      <c r="G1147" s="156">
        <f>Tabla18[[#This Row],[Importe]]-Tabla18[[#This Row],[Pagado]]</f>
        <v>0</v>
      </c>
      <c r="H1147" s="153" t="s">
        <v>10</v>
      </c>
    </row>
    <row r="1148" spans="1:8" x14ac:dyDescent="0.25">
      <c r="A1148" s="73">
        <v>44753</v>
      </c>
      <c r="B1148" s="74" t="s">
        <v>22457</v>
      </c>
      <c r="C1148" s="75" t="s">
        <v>91</v>
      </c>
      <c r="D1148" s="81">
        <v>5180</v>
      </c>
      <c r="E1148" s="151">
        <v>44753</v>
      </c>
      <c r="F1148" s="81">
        <v>5180</v>
      </c>
      <c r="G1148" s="156">
        <f>Tabla18[[#This Row],[Importe]]-Tabla18[[#This Row],[Pagado]]</f>
        <v>0</v>
      </c>
      <c r="H1148" s="75" t="s">
        <v>10</v>
      </c>
    </row>
    <row r="1149" spans="1:8" x14ac:dyDescent="0.25">
      <c r="A1149" s="148">
        <v>44753</v>
      </c>
      <c r="B1149" s="149" t="s">
        <v>22458</v>
      </c>
      <c r="C1149" s="153" t="s">
        <v>392</v>
      </c>
      <c r="D1149" s="154">
        <v>1324.6</v>
      </c>
      <c r="E1149" s="155">
        <v>44753</v>
      </c>
      <c r="F1149" s="154">
        <v>1324.6</v>
      </c>
      <c r="G1149" s="156">
        <f>Tabla18[[#This Row],[Importe]]-Tabla18[[#This Row],[Pagado]]</f>
        <v>0</v>
      </c>
      <c r="H1149" s="153" t="s">
        <v>10</v>
      </c>
    </row>
    <row r="1150" spans="1:8" x14ac:dyDescent="0.25">
      <c r="A1150" s="73">
        <v>44753</v>
      </c>
      <c r="B1150" s="74" t="s">
        <v>22459</v>
      </c>
      <c r="C1150" s="75" t="s">
        <v>24</v>
      </c>
      <c r="D1150" s="81">
        <v>3871</v>
      </c>
      <c r="E1150" s="151">
        <v>44753</v>
      </c>
      <c r="F1150" s="81">
        <v>3871</v>
      </c>
      <c r="G1150" s="156">
        <f>Tabla18[[#This Row],[Importe]]-Tabla18[[#This Row],[Pagado]]</f>
        <v>0</v>
      </c>
      <c r="H1150" s="75" t="s">
        <v>10</v>
      </c>
    </row>
    <row r="1151" spans="1:8" x14ac:dyDescent="0.25">
      <c r="A1151" s="148">
        <v>44753</v>
      </c>
      <c r="B1151" s="149" t="s">
        <v>22460</v>
      </c>
      <c r="C1151" s="153" t="s">
        <v>22263</v>
      </c>
      <c r="D1151" s="154">
        <v>0</v>
      </c>
      <c r="E1151" s="158" t="s">
        <v>189</v>
      </c>
      <c r="F1151" s="154">
        <v>0</v>
      </c>
      <c r="G1151" s="156">
        <f>Tabla18[[#This Row],[Importe]]-Tabla18[[#This Row],[Pagado]]</f>
        <v>0</v>
      </c>
      <c r="H1151" s="153" t="s">
        <v>189</v>
      </c>
    </row>
    <row r="1152" spans="1:8" x14ac:dyDescent="0.25">
      <c r="A1152" s="73">
        <v>44753</v>
      </c>
      <c r="B1152" s="74" t="s">
        <v>22461</v>
      </c>
      <c r="C1152" s="75" t="s">
        <v>146</v>
      </c>
      <c r="D1152" s="81">
        <v>4035</v>
      </c>
      <c r="E1152" s="151">
        <v>44753</v>
      </c>
      <c r="F1152" s="81">
        <v>4035</v>
      </c>
      <c r="G1152" s="156">
        <f>Tabla18[[#This Row],[Importe]]-Tabla18[[#This Row],[Pagado]]</f>
        <v>0</v>
      </c>
      <c r="H1152" s="75" t="s">
        <v>10</v>
      </c>
    </row>
    <row r="1153" spans="1:8" x14ac:dyDescent="0.25">
      <c r="A1153" s="148">
        <v>44753</v>
      </c>
      <c r="B1153" s="149" t="s">
        <v>22462</v>
      </c>
      <c r="C1153" s="153" t="s">
        <v>654</v>
      </c>
      <c r="D1153" s="154">
        <v>4325.2</v>
      </c>
      <c r="E1153" s="155">
        <v>44754</v>
      </c>
      <c r="F1153" s="154">
        <v>4325.2</v>
      </c>
      <c r="G1153" s="156">
        <f>Tabla18[[#This Row],[Importe]]-Tabla18[[#This Row],[Pagado]]</f>
        <v>0</v>
      </c>
      <c r="H1153" s="153" t="s">
        <v>10</v>
      </c>
    </row>
    <row r="1154" spans="1:8" x14ac:dyDescent="0.25">
      <c r="A1154" s="73">
        <v>44753</v>
      </c>
      <c r="B1154" s="74" t="s">
        <v>22463</v>
      </c>
      <c r="C1154" s="75" t="s">
        <v>664</v>
      </c>
      <c r="D1154" s="81">
        <v>14348</v>
      </c>
      <c r="E1154" s="151">
        <v>44753</v>
      </c>
      <c r="F1154" s="81">
        <v>14348</v>
      </c>
      <c r="G1154" s="156">
        <f>Tabla18[[#This Row],[Importe]]-Tabla18[[#This Row],[Pagado]]</f>
        <v>0</v>
      </c>
      <c r="H1154" s="75" t="s">
        <v>10</v>
      </c>
    </row>
    <row r="1155" spans="1:8" x14ac:dyDescent="0.25">
      <c r="A1155" s="148">
        <v>44753</v>
      </c>
      <c r="B1155" s="149" t="s">
        <v>22464</v>
      </c>
      <c r="C1155" s="153" t="s">
        <v>69</v>
      </c>
      <c r="D1155" s="154">
        <v>1776</v>
      </c>
      <c r="E1155" s="155">
        <v>44753</v>
      </c>
      <c r="F1155" s="154">
        <v>1776</v>
      </c>
      <c r="G1155" s="156">
        <f>Tabla18[[#This Row],[Importe]]-Tabla18[[#This Row],[Pagado]]</f>
        <v>0</v>
      </c>
      <c r="H1155" s="153" t="s">
        <v>10</v>
      </c>
    </row>
    <row r="1156" spans="1:8" x14ac:dyDescent="0.25">
      <c r="A1156" s="73">
        <v>44753</v>
      </c>
      <c r="B1156" s="74" t="s">
        <v>22465</v>
      </c>
      <c r="C1156" s="75" t="s">
        <v>107</v>
      </c>
      <c r="D1156" s="81">
        <v>4870.3999999999996</v>
      </c>
      <c r="E1156" s="151">
        <v>44753</v>
      </c>
      <c r="F1156" s="81">
        <v>4870.3999999999996</v>
      </c>
      <c r="G1156" s="156">
        <f>Tabla18[[#This Row],[Importe]]-Tabla18[[#This Row],[Pagado]]</f>
        <v>0</v>
      </c>
      <c r="H1156" s="75" t="s">
        <v>10</v>
      </c>
    </row>
    <row r="1157" spans="1:8" x14ac:dyDescent="0.25">
      <c r="A1157" s="148">
        <v>44753</v>
      </c>
      <c r="B1157" s="149" t="s">
        <v>22466</v>
      </c>
      <c r="C1157" s="153" t="s">
        <v>214</v>
      </c>
      <c r="D1157" s="154">
        <v>5124</v>
      </c>
      <c r="E1157" s="155">
        <v>44753</v>
      </c>
      <c r="F1157" s="154">
        <v>5124</v>
      </c>
      <c r="G1157" s="156">
        <f>Tabla18[[#This Row],[Importe]]-Tabla18[[#This Row],[Pagado]]</f>
        <v>0</v>
      </c>
      <c r="H1157" s="153" t="s">
        <v>10</v>
      </c>
    </row>
    <row r="1158" spans="1:8" x14ac:dyDescent="0.25">
      <c r="A1158" s="73">
        <v>44753</v>
      </c>
      <c r="B1158" s="74" t="s">
        <v>22467</v>
      </c>
      <c r="C1158" s="75" t="s">
        <v>91</v>
      </c>
      <c r="D1158" s="81">
        <v>8140</v>
      </c>
      <c r="E1158" s="151">
        <v>44753</v>
      </c>
      <c r="F1158" s="81">
        <v>8140</v>
      </c>
      <c r="G1158" s="156">
        <f>Tabla18[[#This Row],[Importe]]-Tabla18[[#This Row],[Pagado]]</f>
        <v>0</v>
      </c>
      <c r="H1158" s="75" t="s">
        <v>10</v>
      </c>
    </row>
    <row r="1159" spans="1:8" x14ac:dyDescent="0.25">
      <c r="A1159" s="148">
        <v>44753</v>
      </c>
      <c r="B1159" s="149" t="s">
        <v>22468</v>
      </c>
      <c r="C1159" s="153" t="s">
        <v>244</v>
      </c>
      <c r="D1159" s="154">
        <v>1794.6</v>
      </c>
      <c r="E1159" s="155">
        <v>44753</v>
      </c>
      <c r="F1159" s="154">
        <v>1794.6</v>
      </c>
      <c r="G1159" s="156">
        <f>Tabla18[[#This Row],[Importe]]-Tabla18[[#This Row],[Pagado]]</f>
        <v>0</v>
      </c>
      <c r="H1159" s="153" t="s">
        <v>10</v>
      </c>
    </row>
    <row r="1160" spans="1:8" x14ac:dyDescent="0.25">
      <c r="A1160" s="73">
        <v>44753</v>
      </c>
      <c r="B1160" s="74" t="s">
        <v>22469</v>
      </c>
      <c r="C1160" s="75" t="s">
        <v>135</v>
      </c>
      <c r="D1160" s="81">
        <v>1294.8</v>
      </c>
      <c r="E1160" s="151">
        <v>44753</v>
      </c>
      <c r="F1160" s="81">
        <v>1294.8</v>
      </c>
      <c r="G1160" s="156">
        <f>Tabla18[[#This Row],[Importe]]-Tabla18[[#This Row],[Pagado]]</f>
        <v>0</v>
      </c>
      <c r="H1160" s="75" t="s">
        <v>10</v>
      </c>
    </row>
    <row r="1161" spans="1:8" x14ac:dyDescent="0.25">
      <c r="A1161" s="148">
        <v>44753</v>
      </c>
      <c r="B1161" s="149" t="s">
        <v>22470</v>
      </c>
      <c r="C1161" s="153" t="s">
        <v>191</v>
      </c>
      <c r="D1161" s="154">
        <v>899.4</v>
      </c>
      <c r="E1161" s="155">
        <v>44753</v>
      </c>
      <c r="F1161" s="154">
        <v>899.4</v>
      </c>
      <c r="G1161" s="156">
        <f>Tabla18[[#This Row],[Importe]]-Tabla18[[#This Row],[Pagado]]</f>
        <v>0</v>
      </c>
      <c r="H1161" s="153" t="s">
        <v>10</v>
      </c>
    </row>
    <row r="1162" spans="1:8" x14ac:dyDescent="0.25">
      <c r="A1162" s="73">
        <v>44753</v>
      </c>
      <c r="B1162" s="74" t="s">
        <v>22471</v>
      </c>
      <c r="C1162" s="75" t="s">
        <v>9415</v>
      </c>
      <c r="D1162" s="81">
        <v>11628</v>
      </c>
      <c r="E1162" s="151">
        <v>44758</v>
      </c>
      <c r="F1162" s="81">
        <v>11628</v>
      </c>
      <c r="G1162" s="156">
        <f>Tabla18[[#This Row],[Importe]]-Tabla18[[#This Row],[Pagado]]</f>
        <v>0</v>
      </c>
      <c r="H1162" s="75" t="s">
        <v>10</v>
      </c>
    </row>
    <row r="1163" spans="1:8" x14ac:dyDescent="0.25">
      <c r="A1163" s="148">
        <v>44753</v>
      </c>
      <c r="B1163" s="149" t="s">
        <v>22472</v>
      </c>
      <c r="C1163" s="153" t="s">
        <v>7745</v>
      </c>
      <c r="D1163" s="154">
        <v>25220</v>
      </c>
      <c r="E1163" s="155">
        <v>44753</v>
      </c>
      <c r="F1163" s="154">
        <v>25220</v>
      </c>
      <c r="G1163" s="156">
        <f>Tabla18[[#This Row],[Importe]]-Tabla18[[#This Row],[Pagado]]</f>
        <v>0</v>
      </c>
      <c r="H1163" s="153" t="s">
        <v>10</v>
      </c>
    </row>
    <row r="1164" spans="1:8" x14ac:dyDescent="0.25">
      <c r="A1164" s="73">
        <v>44753</v>
      </c>
      <c r="B1164" s="74" t="s">
        <v>22473</v>
      </c>
      <c r="C1164" s="75" t="s">
        <v>698</v>
      </c>
      <c r="D1164" s="81">
        <v>7560</v>
      </c>
      <c r="E1164" s="151">
        <v>44753</v>
      </c>
      <c r="F1164" s="81">
        <v>7560</v>
      </c>
      <c r="G1164" s="156">
        <f>Tabla18[[#This Row],[Importe]]-Tabla18[[#This Row],[Pagado]]</f>
        <v>0</v>
      </c>
      <c r="H1164" s="75" t="s">
        <v>10</v>
      </c>
    </row>
    <row r="1165" spans="1:8" x14ac:dyDescent="0.25">
      <c r="A1165" s="148">
        <v>44753</v>
      </c>
      <c r="B1165" s="149" t="s">
        <v>22474</v>
      </c>
      <c r="C1165" s="153" t="s">
        <v>419</v>
      </c>
      <c r="D1165" s="154">
        <v>5513.4</v>
      </c>
      <c r="E1165" s="155">
        <v>44753</v>
      </c>
      <c r="F1165" s="154">
        <v>5513.4</v>
      </c>
      <c r="G1165" s="156">
        <f>Tabla18[[#This Row],[Importe]]-Tabla18[[#This Row],[Pagado]]</f>
        <v>0</v>
      </c>
      <c r="H1165" s="153" t="s">
        <v>10</v>
      </c>
    </row>
    <row r="1166" spans="1:8" x14ac:dyDescent="0.25">
      <c r="A1166" s="73">
        <v>44753</v>
      </c>
      <c r="B1166" s="74" t="s">
        <v>22475</v>
      </c>
      <c r="C1166" s="75" t="s">
        <v>58</v>
      </c>
      <c r="D1166" s="81">
        <v>4865.3999999999996</v>
      </c>
      <c r="E1166" s="151">
        <v>44753</v>
      </c>
      <c r="F1166" s="81">
        <v>4865.3999999999996</v>
      </c>
      <c r="G1166" s="156">
        <f>Tabla18[[#This Row],[Importe]]-Tabla18[[#This Row],[Pagado]]</f>
        <v>0</v>
      </c>
      <c r="H1166" s="75" t="s">
        <v>10</v>
      </c>
    </row>
    <row r="1167" spans="1:8" x14ac:dyDescent="0.25">
      <c r="A1167" s="148">
        <v>44753</v>
      </c>
      <c r="B1167" s="149" t="s">
        <v>22476</v>
      </c>
      <c r="C1167" s="153" t="s">
        <v>414</v>
      </c>
      <c r="D1167" s="154">
        <v>25942.799999999999</v>
      </c>
      <c r="E1167" s="155">
        <v>44761</v>
      </c>
      <c r="F1167" s="154">
        <v>25942.799999999999</v>
      </c>
      <c r="G1167" s="156">
        <f>Tabla18[[#This Row],[Importe]]-Tabla18[[#This Row],[Pagado]]</f>
        <v>0</v>
      </c>
      <c r="H1167" s="153" t="s">
        <v>10</v>
      </c>
    </row>
    <row r="1168" spans="1:8" x14ac:dyDescent="0.25">
      <c r="A1168" s="73">
        <v>44753</v>
      </c>
      <c r="B1168" s="74" t="s">
        <v>22477</v>
      </c>
      <c r="C1168" s="75" t="s">
        <v>275</v>
      </c>
      <c r="D1168" s="81">
        <v>95125.6</v>
      </c>
      <c r="E1168" s="151">
        <v>44771</v>
      </c>
      <c r="F1168" s="81">
        <v>95125.6</v>
      </c>
      <c r="G1168" s="156">
        <f>Tabla18[[#This Row],[Importe]]-Tabla18[[#This Row],[Pagado]]</f>
        <v>0</v>
      </c>
      <c r="H1168" s="75" t="s">
        <v>10</v>
      </c>
    </row>
    <row r="1169" spans="1:8" x14ac:dyDescent="0.25">
      <c r="A1169" s="148">
        <v>44753</v>
      </c>
      <c r="B1169" s="149" t="s">
        <v>22478</v>
      </c>
      <c r="C1169" s="153" t="s">
        <v>414</v>
      </c>
      <c r="D1169" s="154">
        <v>22229.599999999999</v>
      </c>
      <c r="E1169" s="155">
        <v>44763</v>
      </c>
      <c r="F1169" s="154">
        <v>22229.599999999999</v>
      </c>
      <c r="G1169" s="156">
        <f>Tabla18[[#This Row],[Importe]]-Tabla18[[#This Row],[Pagado]]</f>
        <v>0</v>
      </c>
      <c r="H1169" s="153" t="s">
        <v>10</v>
      </c>
    </row>
    <row r="1170" spans="1:8" x14ac:dyDescent="0.25">
      <c r="A1170" s="73">
        <v>44753</v>
      </c>
      <c r="B1170" s="74" t="s">
        <v>22479</v>
      </c>
      <c r="C1170" s="75" t="s">
        <v>10678</v>
      </c>
      <c r="D1170" s="81">
        <v>3515.8</v>
      </c>
      <c r="E1170" s="151">
        <v>44753</v>
      </c>
      <c r="F1170" s="81">
        <v>3515.8</v>
      </c>
      <c r="G1170" s="156">
        <f>Tabla18[[#This Row],[Importe]]-Tabla18[[#This Row],[Pagado]]</f>
        <v>0</v>
      </c>
      <c r="H1170" s="75" t="s">
        <v>10</v>
      </c>
    </row>
    <row r="1171" spans="1:8" x14ac:dyDescent="0.25">
      <c r="A1171" s="148">
        <v>44753</v>
      </c>
      <c r="B1171" s="149" t="s">
        <v>22480</v>
      </c>
      <c r="C1171" s="153" t="s">
        <v>1174</v>
      </c>
      <c r="D1171" s="154">
        <v>25733.599999999999</v>
      </c>
      <c r="E1171" s="155">
        <v>44753</v>
      </c>
      <c r="F1171" s="154">
        <v>25733.599999999999</v>
      </c>
      <c r="G1171" s="156">
        <f>Tabla18[[#This Row],[Importe]]-Tabla18[[#This Row],[Pagado]]</f>
        <v>0</v>
      </c>
      <c r="H1171" s="153" t="s">
        <v>10</v>
      </c>
    </row>
    <row r="1172" spans="1:8" x14ac:dyDescent="0.25">
      <c r="A1172" s="73">
        <v>44753</v>
      </c>
      <c r="B1172" s="74" t="s">
        <v>22481</v>
      </c>
      <c r="C1172" s="75" t="s">
        <v>484</v>
      </c>
      <c r="D1172" s="81">
        <v>6208</v>
      </c>
      <c r="E1172" s="151">
        <v>44753</v>
      </c>
      <c r="F1172" s="81">
        <v>6208</v>
      </c>
      <c r="G1172" s="156">
        <f>Tabla18[[#This Row],[Importe]]-Tabla18[[#This Row],[Pagado]]</f>
        <v>0</v>
      </c>
      <c r="H1172" s="75" t="s">
        <v>10</v>
      </c>
    </row>
    <row r="1173" spans="1:8" x14ac:dyDescent="0.25">
      <c r="A1173" s="148">
        <v>44753</v>
      </c>
      <c r="B1173" s="149" t="s">
        <v>22482</v>
      </c>
      <c r="C1173" s="153" t="s">
        <v>16</v>
      </c>
      <c r="D1173" s="154">
        <v>232</v>
      </c>
      <c r="E1173" s="155">
        <v>44753</v>
      </c>
      <c r="F1173" s="154">
        <v>232</v>
      </c>
      <c r="G1173" s="156">
        <f>Tabla18[[#This Row],[Importe]]-Tabla18[[#This Row],[Pagado]]</f>
        <v>0</v>
      </c>
      <c r="H1173" s="153" t="s">
        <v>10</v>
      </c>
    </row>
    <row r="1174" spans="1:8" x14ac:dyDescent="0.25">
      <c r="A1174" s="73">
        <v>44753</v>
      </c>
      <c r="B1174" s="74" t="s">
        <v>22483</v>
      </c>
      <c r="C1174" s="75" t="s">
        <v>2151</v>
      </c>
      <c r="D1174" s="81">
        <v>12496.4</v>
      </c>
      <c r="E1174" s="151">
        <v>44753</v>
      </c>
      <c r="F1174" s="81">
        <v>12496.4</v>
      </c>
      <c r="G1174" s="156">
        <f>Tabla18[[#This Row],[Importe]]-Tabla18[[#This Row],[Pagado]]</f>
        <v>0</v>
      </c>
      <c r="H1174" s="75" t="s">
        <v>10</v>
      </c>
    </row>
    <row r="1175" spans="1:8" x14ac:dyDescent="0.25">
      <c r="A1175" s="148">
        <v>44753</v>
      </c>
      <c r="B1175" s="149" t="s">
        <v>22484</v>
      </c>
      <c r="C1175" s="153" t="s">
        <v>840</v>
      </c>
      <c r="D1175" s="154">
        <v>8392.6</v>
      </c>
      <c r="E1175" s="155">
        <v>44753</v>
      </c>
      <c r="F1175" s="154">
        <v>8392.6</v>
      </c>
      <c r="G1175" s="156">
        <f>Tabla18[[#This Row],[Importe]]-Tabla18[[#This Row],[Pagado]]</f>
        <v>0</v>
      </c>
      <c r="H1175" s="153" t="s">
        <v>10</v>
      </c>
    </row>
    <row r="1176" spans="1:8" x14ac:dyDescent="0.25">
      <c r="A1176" s="73">
        <v>44753</v>
      </c>
      <c r="B1176" s="74" t="s">
        <v>22485</v>
      </c>
      <c r="C1176" s="75" t="s">
        <v>2139</v>
      </c>
      <c r="D1176" s="81">
        <v>1439.6</v>
      </c>
      <c r="E1176" s="151">
        <v>44753</v>
      </c>
      <c r="F1176" s="81">
        <v>1439.6</v>
      </c>
      <c r="G1176" s="156">
        <f>Tabla18[[#This Row],[Importe]]-Tabla18[[#This Row],[Pagado]]</f>
        <v>0</v>
      </c>
      <c r="H1176" s="75" t="s">
        <v>10</v>
      </c>
    </row>
    <row r="1177" spans="1:8" x14ac:dyDescent="0.25">
      <c r="A1177" s="148">
        <v>44753</v>
      </c>
      <c r="B1177" s="149" t="s">
        <v>22486</v>
      </c>
      <c r="C1177" s="153" t="s">
        <v>12</v>
      </c>
      <c r="D1177" s="154">
        <v>3040</v>
      </c>
      <c r="E1177" s="155">
        <v>44753</v>
      </c>
      <c r="F1177" s="154">
        <v>3040</v>
      </c>
      <c r="G1177" s="156">
        <f>Tabla18[[#This Row],[Importe]]-Tabla18[[#This Row],[Pagado]]</f>
        <v>0</v>
      </c>
      <c r="H1177" s="153" t="s">
        <v>10</v>
      </c>
    </row>
    <row r="1178" spans="1:8" x14ac:dyDescent="0.25">
      <c r="A1178" s="73">
        <v>44753</v>
      </c>
      <c r="B1178" s="74" t="s">
        <v>22487</v>
      </c>
      <c r="C1178" s="75" t="s">
        <v>71</v>
      </c>
      <c r="D1178" s="81">
        <v>12348.5</v>
      </c>
      <c r="E1178" s="151">
        <v>44753</v>
      </c>
      <c r="F1178" s="81">
        <v>12348.5</v>
      </c>
      <c r="G1178" s="156">
        <f>Tabla18[[#This Row],[Importe]]-Tabla18[[#This Row],[Pagado]]</f>
        <v>0</v>
      </c>
      <c r="H1178" s="75" t="s">
        <v>10</v>
      </c>
    </row>
    <row r="1179" spans="1:8" x14ac:dyDescent="0.25">
      <c r="A1179" s="148">
        <v>44753</v>
      </c>
      <c r="B1179" s="149" t="s">
        <v>22488</v>
      </c>
      <c r="C1179" s="153" t="s">
        <v>31</v>
      </c>
      <c r="D1179" s="154">
        <v>6152.6</v>
      </c>
      <c r="E1179" s="155">
        <v>44753</v>
      </c>
      <c r="F1179" s="154">
        <v>6152.6</v>
      </c>
      <c r="G1179" s="156">
        <f>Tabla18[[#This Row],[Importe]]-Tabla18[[#This Row],[Pagado]]</f>
        <v>0</v>
      </c>
      <c r="H1179" s="153" t="s">
        <v>10</v>
      </c>
    </row>
    <row r="1180" spans="1:8" x14ac:dyDescent="0.25">
      <c r="A1180" s="73">
        <v>44753</v>
      </c>
      <c r="B1180" s="74" t="s">
        <v>22489</v>
      </c>
      <c r="C1180" s="75" t="s">
        <v>994</v>
      </c>
      <c r="D1180" s="81">
        <v>1552</v>
      </c>
      <c r="E1180" s="151">
        <v>44753</v>
      </c>
      <c r="F1180" s="81">
        <v>1552</v>
      </c>
      <c r="G1180" s="156">
        <f>Tabla18[[#This Row],[Importe]]-Tabla18[[#This Row],[Pagado]]</f>
        <v>0</v>
      </c>
      <c r="H1180" s="75" t="s">
        <v>10</v>
      </c>
    </row>
    <row r="1181" spans="1:8" x14ac:dyDescent="0.25">
      <c r="A1181" s="148">
        <v>44753</v>
      </c>
      <c r="B1181" s="149" t="s">
        <v>22490</v>
      </c>
      <c r="C1181" s="153" t="s">
        <v>9827</v>
      </c>
      <c r="D1181" s="154">
        <v>3966.4</v>
      </c>
      <c r="E1181" s="155">
        <v>44753</v>
      </c>
      <c r="F1181" s="154">
        <v>3966.4</v>
      </c>
      <c r="G1181" s="156">
        <f>Tabla18[[#This Row],[Importe]]-Tabla18[[#This Row],[Pagado]]</f>
        <v>0</v>
      </c>
      <c r="H1181" s="153" t="s">
        <v>10</v>
      </c>
    </row>
    <row r="1182" spans="1:8" x14ac:dyDescent="0.25">
      <c r="A1182" s="73">
        <v>44753</v>
      </c>
      <c r="B1182" s="74" t="s">
        <v>22491</v>
      </c>
      <c r="C1182" s="75" t="s">
        <v>31</v>
      </c>
      <c r="D1182" s="81">
        <v>748.5</v>
      </c>
      <c r="E1182" s="151">
        <v>44753</v>
      </c>
      <c r="F1182" s="81">
        <v>748.5</v>
      </c>
      <c r="G1182" s="156">
        <f>Tabla18[[#This Row],[Importe]]-Tabla18[[#This Row],[Pagado]]</f>
        <v>0</v>
      </c>
      <c r="H1182" s="75" t="s">
        <v>10</v>
      </c>
    </row>
    <row r="1183" spans="1:8" x14ac:dyDescent="0.25">
      <c r="A1183" s="148">
        <v>44753</v>
      </c>
      <c r="B1183" s="149" t="s">
        <v>22492</v>
      </c>
      <c r="C1183" s="153" t="s">
        <v>1378</v>
      </c>
      <c r="D1183" s="154">
        <v>76439.8</v>
      </c>
      <c r="E1183" s="155">
        <v>44754</v>
      </c>
      <c r="F1183" s="154">
        <v>76439.8</v>
      </c>
      <c r="G1183" s="156">
        <f>Tabla18[[#This Row],[Importe]]-Tabla18[[#This Row],[Pagado]]</f>
        <v>0</v>
      </c>
      <c r="H1183" s="153" t="s">
        <v>10</v>
      </c>
    </row>
    <row r="1184" spans="1:8" x14ac:dyDescent="0.25">
      <c r="A1184" s="73">
        <v>44753</v>
      </c>
      <c r="B1184" s="74" t="s">
        <v>22493</v>
      </c>
      <c r="C1184" s="75" t="s">
        <v>212</v>
      </c>
      <c r="D1184" s="81">
        <v>22769</v>
      </c>
      <c r="E1184" s="151">
        <v>44757</v>
      </c>
      <c r="F1184" s="81">
        <v>22769</v>
      </c>
      <c r="G1184" s="156">
        <f>Tabla18[[#This Row],[Importe]]-Tabla18[[#This Row],[Pagado]]</f>
        <v>0</v>
      </c>
      <c r="H1184" s="75" t="s">
        <v>10</v>
      </c>
    </row>
    <row r="1185" spans="1:8" x14ac:dyDescent="0.25">
      <c r="A1185" s="148">
        <v>44753</v>
      </c>
      <c r="B1185" s="149" t="s">
        <v>22494</v>
      </c>
      <c r="C1185" s="153" t="s">
        <v>154</v>
      </c>
      <c r="D1185" s="154">
        <v>23333.8</v>
      </c>
      <c r="E1185" s="155">
        <v>44756</v>
      </c>
      <c r="F1185" s="154">
        <v>23333.8</v>
      </c>
      <c r="G1185" s="156">
        <f>Tabla18[[#This Row],[Importe]]-Tabla18[[#This Row],[Pagado]]</f>
        <v>0</v>
      </c>
      <c r="H1185" s="153" t="s">
        <v>10</v>
      </c>
    </row>
    <row r="1186" spans="1:8" x14ac:dyDescent="0.25">
      <c r="A1186" s="73">
        <v>44753</v>
      </c>
      <c r="B1186" s="74" t="s">
        <v>22495</v>
      </c>
      <c r="C1186" s="75" t="s">
        <v>5816</v>
      </c>
      <c r="D1186" s="81">
        <v>4160</v>
      </c>
      <c r="E1186" s="151">
        <v>44754</v>
      </c>
      <c r="F1186" s="81">
        <v>4160</v>
      </c>
      <c r="G1186" s="156">
        <f>Tabla18[[#This Row],[Importe]]-Tabla18[[#This Row],[Pagado]]</f>
        <v>0</v>
      </c>
      <c r="H1186" s="75" t="s">
        <v>10</v>
      </c>
    </row>
    <row r="1187" spans="1:8" x14ac:dyDescent="0.25">
      <c r="A1187" s="148">
        <v>44753</v>
      </c>
      <c r="B1187" s="149" t="s">
        <v>22496</v>
      </c>
      <c r="C1187" s="153" t="s">
        <v>173</v>
      </c>
      <c r="D1187" s="154">
        <v>31567.200000000001</v>
      </c>
      <c r="E1187" s="155">
        <v>44754</v>
      </c>
      <c r="F1187" s="154">
        <v>31567.200000000001</v>
      </c>
      <c r="G1187" s="156">
        <f>Tabla18[[#This Row],[Importe]]-Tabla18[[#This Row],[Pagado]]</f>
        <v>0</v>
      </c>
      <c r="H1187" s="153" t="s">
        <v>10</v>
      </c>
    </row>
    <row r="1188" spans="1:8" x14ac:dyDescent="0.25">
      <c r="A1188" s="73">
        <v>44753</v>
      </c>
      <c r="B1188" s="74" t="s">
        <v>22497</v>
      </c>
      <c r="C1188" s="75" t="s">
        <v>154</v>
      </c>
      <c r="D1188" s="81">
        <v>1147.5</v>
      </c>
      <c r="E1188" s="151">
        <v>44756</v>
      </c>
      <c r="F1188" s="81">
        <v>1147.5</v>
      </c>
      <c r="G1188" s="156">
        <f>Tabla18[[#This Row],[Importe]]-Tabla18[[#This Row],[Pagado]]</f>
        <v>0</v>
      </c>
      <c r="H1188" s="75" t="s">
        <v>10</v>
      </c>
    </row>
    <row r="1189" spans="1:8" x14ac:dyDescent="0.25">
      <c r="A1189" s="148">
        <v>44753</v>
      </c>
      <c r="B1189" s="149" t="s">
        <v>22498</v>
      </c>
      <c r="C1189" s="153" t="s">
        <v>212</v>
      </c>
      <c r="D1189" s="154">
        <v>3930</v>
      </c>
      <c r="E1189" s="155">
        <v>44755</v>
      </c>
      <c r="F1189" s="154">
        <v>3930</v>
      </c>
      <c r="G1189" s="156">
        <f>Tabla18[[#This Row],[Importe]]-Tabla18[[#This Row],[Pagado]]</f>
        <v>0</v>
      </c>
      <c r="H1189" s="153" t="s">
        <v>10</v>
      </c>
    </row>
    <row r="1190" spans="1:8" x14ac:dyDescent="0.25">
      <c r="A1190" s="73">
        <v>44753</v>
      </c>
      <c r="B1190" s="74" t="s">
        <v>22499</v>
      </c>
      <c r="C1190" s="75" t="s">
        <v>133</v>
      </c>
      <c r="D1190" s="81">
        <v>15945</v>
      </c>
      <c r="E1190" s="151">
        <v>44754</v>
      </c>
      <c r="F1190" s="81">
        <v>15945</v>
      </c>
      <c r="G1190" s="156">
        <f>Tabla18[[#This Row],[Importe]]-Tabla18[[#This Row],[Pagado]]</f>
        <v>0</v>
      </c>
      <c r="H1190" s="75" t="s">
        <v>10</v>
      </c>
    </row>
    <row r="1191" spans="1:8" x14ac:dyDescent="0.25">
      <c r="A1191" s="148">
        <v>44753</v>
      </c>
      <c r="B1191" s="149" t="s">
        <v>22500</v>
      </c>
      <c r="C1191" s="153" t="s">
        <v>218</v>
      </c>
      <c r="D1191" s="154">
        <v>14096.3</v>
      </c>
      <c r="E1191" s="155">
        <v>44756</v>
      </c>
      <c r="F1191" s="154">
        <v>14096.3</v>
      </c>
      <c r="G1191" s="156">
        <f>Tabla18[[#This Row],[Importe]]-Tabla18[[#This Row],[Pagado]]</f>
        <v>0</v>
      </c>
      <c r="H1191" s="153" t="s">
        <v>10</v>
      </c>
    </row>
    <row r="1192" spans="1:8" x14ac:dyDescent="0.25">
      <c r="A1192" s="73">
        <v>44753</v>
      </c>
      <c r="B1192" s="74" t="s">
        <v>22501</v>
      </c>
      <c r="C1192" s="75" t="s">
        <v>206</v>
      </c>
      <c r="D1192" s="81">
        <v>28319.7</v>
      </c>
      <c r="E1192" s="151">
        <v>44756</v>
      </c>
      <c r="F1192" s="81">
        <v>28319.7</v>
      </c>
      <c r="G1192" s="156">
        <f>Tabla18[[#This Row],[Importe]]-Tabla18[[#This Row],[Pagado]]</f>
        <v>0</v>
      </c>
      <c r="H1192" s="75" t="s">
        <v>10</v>
      </c>
    </row>
    <row r="1193" spans="1:8" x14ac:dyDescent="0.25">
      <c r="A1193" s="148">
        <v>44753</v>
      </c>
      <c r="B1193" s="149" t="s">
        <v>22502</v>
      </c>
      <c r="C1193" s="153" t="s">
        <v>53</v>
      </c>
      <c r="D1193" s="154">
        <v>1655.5</v>
      </c>
      <c r="E1193" s="155">
        <v>44753</v>
      </c>
      <c r="F1193" s="154">
        <v>1655.5</v>
      </c>
      <c r="G1193" s="156">
        <f>Tabla18[[#This Row],[Importe]]-Tabla18[[#This Row],[Pagado]]</f>
        <v>0</v>
      </c>
      <c r="H1193" s="153" t="s">
        <v>10</v>
      </c>
    </row>
    <row r="1194" spans="1:8" x14ac:dyDescent="0.25">
      <c r="A1194" s="73">
        <v>44753</v>
      </c>
      <c r="B1194" s="74" t="s">
        <v>22503</v>
      </c>
      <c r="C1194" s="75" t="s">
        <v>282</v>
      </c>
      <c r="D1194" s="81">
        <v>2415</v>
      </c>
      <c r="E1194" s="151">
        <v>44754</v>
      </c>
      <c r="F1194" s="81">
        <v>2415</v>
      </c>
      <c r="G1194" s="156">
        <f>Tabla18[[#This Row],[Importe]]-Tabla18[[#This Row],[Pagado]]</f>
        <v>0</v>
      </c>
      <c r="H1194" s="75" t="s">
        <v>10</v>
      </c>
    </row>
    <row r="1195" spans="1:8" x14ac:dyDescent="0.25">
      <c r="A1195" s="148">
        <v>44753</v>
      </c>
      <c r="B1195" s="149" t="s">
        <v>22504</v>
      </c>
      <c r="C1195" s="153" t="s">
        <v>10819</v>
      </c>
      <c r="D1195" s="154">
        <v>754</v>
      </c>
      <c r="E1195" s="155">
        <v>44754</v>
      </c>
      <c r="F1195" s="154">
        <v>754</v>
      </c>
      <c r="G1195" s="156">
        <f>Tabla18[[#This Row],[Importe]]-Tabla18[[#This Row],[Pagado]]</f>
        <v>0</v>
      </c>
      <c r="H1195" s="153" t="s">
        <v>10</v>
      </c>
    </row>
    <row r="1196" spans="1:8" x14ac:dyDescent="0.25">
      <c r="A1196" s="73">
        <v>44753</v>
      </c>
      <c r="B1196" s="74" t="s">
        <v>22505</v>
      </c>
      <c r="C1196" s="75" t="s">
        <v>280</v>
      </c>
      <c r="D1196" s="81">
        <v>1042.5</v>
      </c>
      <c r="E1196" s="151">
        <v>44754</v>
      </c>
      <c r="F1196" s="81">
        <v>1042.5</v>
      </c>
      <c r="G1196" s="156">
        <f>Tabla18[[#This Row],[Importe]]-Tabla18[[#This Row],[Pagado]]</f>
        <v>0</v>
      </c>
      <c r="H1196" s="75" t="s">
        <v>10</v>
      </c>
    </row>
    <row r="1197" spans="1:8" x14ac:dyDescent="0.25">
      <c r="A1197" s="148">
        <v>44753</v>
      </c>
      <c r="B1197" s="149" t="s">
        <v>22506</v>
      </c>
      <c r="C1197" s="153" t="s">
        <v>179</v>
      </c>
      <c r="D1197" s="154">
        <v>1972.5</v>
      </c>
      <c r="E1197" s="155">
        <v>44754</v>
      </c>
      <c r="F1197" s="154">
        <v>1972.5</v>
      </c>
      <c r="G1197" s="156">
        <f>Tabla18[[#This Row],[Importe]]-Tabla18[[#This Row],[Pagado]]</f>
        <v>0</v>
      </c>
      <c r="H1197" s="153" t="s">
        <v>10</v>
      </c>
    </row>
    <row r="1198" spans="1:8" x14ac:dyDescent="0.25">
      <c r="A1198" s="73">
        <v>44753</v>
      </c>
      <c r="B1198" s="74" t="s">
        <v>22507</v>
      </c>
      <c r="C1198" s="75" t="s">
        <v>463</v>
      </c>
      <c r="D1198" s="81">
        <v>550</v>
      </c>
      <c r="E1198" s="151">
        <v>44755</v>
      </c>
      <c r="F1198" s="81">
        <v>550</v>
      </c>
      <c r="G1198" s="156">
        <f>Tabla18[[#This Row],[Importe]]-Tabla18[[#This Row],[Pagado]]</f>
        <v>0</v>
      </c>
      <c r="H1198" s="75" t="s">
        <v>10</v>
      </c>
    </row>
    <row r="1199" spans="1:8" x14ac:dyDescent="0.25">
      <c r="A1199" s="148">
        <v>44753</v>
      </c>
      <c r="B1199" s="149" t="s">
        <v>22508</v>
      </c>
      <c r="C1199" s="153" t="s">
        <v>461</v>
      </c>
      <c r="D1199" s="154">
        <v>394</v>
      </c>
      <c r="E1199" s="155">
        <v>44754</v>
      </c>
      <c r="F1199" s="154">
        <v>394</v>
      </c>
      <c r="G1199" s="156">
        <f>Tabla18[[#This Row],[Importe]]-Tabla18[[#This Row],[Pagado]]</f>
        <v>0</v>
      </c>
      <c r="H1199" s="153" t="s">
        <v>10</v>
      </c>
    </row>
    <row r="1200" spans="1:8" x14ac:dyDescent="0.25">
      <c r="A1200" s="73">
        <v>44753</v>
      </c>
      <c r="B1200" s="74" t="s">
        <v>22509</v>
      </c>
      <c r="C1200" s="75" t="s">
        <v>459</v>
      </c>
      <c r="D1200" s="81">
        <v>213</v>
      </c>
      <c r="E1200" s="151">
        <v>44753</v>
      </c>
      <c r="F1200" s="81">
        <v>213</v>
      </c>
      <c r="G1200" s="156">
        <f>Tabla18[[#This Row],[Importe]]-Tabla18[[#This Row],[Pagado]]</f>
        <v>0</v>
      </c>
      <c r="H1200" s="75" t="s">
        <v>10</v>
      </c>
    </row>
    <row r="1201" spans="1:8" x14ac:dyDescent="0.25">
      <c r="A1201" s="148">
        <v>44753</v>
      </c>
      <c r="B1201" s="149" t="s">
        <v>22510</v>
      </c>
      <c r="C1201" s="153" t="s">
        <v>457</v>
      </c>
      <c r="D1201" s="154">
        <v>198</v>
      </c>
      <c r="E1201" s="155">
        <v>44753</v>
      </c>
      <c r="F1201" s="154">
        <v>198</v>
      </c>
      <c r="G1201" s="156">
        <f>Tabla18[[#This Row],[Importe]]-Tabla18[[#This Row],[Pagado]]</f>
        <v>0</v>
      </c>
      <c r="H1201" s="153" t="s">
        <v>10</v>
      </c>
    </row>
    <row r="1202" spans="1:8" x14ac:dyDescent="0.25">
      <c r="A1202" s="73">
        <v>44753</v>
      </c>
      <c r="B1202" s="74" t="s">
        <v>22511</v>
      </c>
      <c r="C1202" s="75" t="s">
        <v>284</v>
      </c>
      <c r="D1202" s="81">
        <v>7755</v>
      </c>
      <c r="E1202" s="151">
        <v>44754</v>
      </c>
      <c r="F1202" s="81">
        <v>7755</v>
      </c>
      <c r="G1202" s="156">
        <f>Tabla18[[#This Row],[Importe]]-Tabla18[[#This Row],[Pagado]]</f>
        <v>0</v>
      </c>
      <c r="H1202" s="75" t="s">
        <v>10</v>
      </c>
    </row>
    <row r="1203" spans="1:8" x14ac:dyDescent="0.25">
      <c r="A1203" s="148">
        <v>44753</v>
      </c>
      <c r="B1203" s="149" t="s">
        <v>22512</v>
      </c>
      <c r="C1203" s="153" t="s">
        <v>31</v>
      </c>
      <c r="D1203" s="154">
        <v>224</v>
      </c>
      <c r="E1203" s="155">
        <v>44753</v>
      </c>
      <c r="F1203" s="154">
        <v>224</v>
      </c>
      <c r="G1203" s="156">
        <f>Tabla18[[#This Row],[Importe]]-Tabla18[[#This Row],[Pagado]]</f>
        <v>0</v>
      </c>
      <c r="H1203" s="153" t="s">
        <v>10</v>
      </c>
    </row>
    <row r="1204" spans="1:8" x14ac:dyDescent="0.25">
      <c r="A1204" s="73">
        <v>44753</v>
      </c>
      <c r="B1204" s="74" t="s">
        <v>22513</v>
      </c>
      <c r="C1204" s="75" t="s">
        <v>291</v>
      </c>
      <c r="D1204" s="81">
        <v>3214</v>
      </c>
      <c r="E1204" s="151">
        <v>44754</v>
      </c>
      <c r="F1204" s="81">
        <v>3214</v>
      </c>
      <c r="G1204" s="156">
        <f>Tabla18[[#This Row],[Importe]]-Tabla18[[#This Row],[Pagado]]</f>
        <v>0</v>
      </c>
      <c r="H1204" s="75" t="s">
        <v>10</v>
      </c>
    </row>
    <row r="1205" spans="1:8" x14ac:dyDescent="0.25">
      <c r="A1205" s="148">
        <v>44753</v>
      </c>
      <c r="B1205" s="149" t="s">
        <v>22514</v>
      </c>
      <c r="C1205" s="153" t="s">
        <v>16447</v>
      </c>
      <c r="D1205" s="154">
        <v>0</v>
      </c>
      <c r="E1205" s="158" t="s">
        <v>189</v>
      </c>
      <c r="F1205" s="154">
        <v>0</v>
      </c>
      <c r="G1205" s="156">
        <f>Tabla18[[#This Row],[Importe]]-Tabla18[[#This Row],[Pagado]]</f>
        <v>0</v>
      </c>
      <c r="H1205" s="153" t="s">
        <v>189</v>
      </c>
    </row>
    <row r="1206" spans="1:8" x14ac:dyDescent="0.25">
      <c r="A1206" s="73">
        <v>44754</v>
      </c>
      <c r="B1206" s="74" t="s">
        <v>22515</v>
      </c>
      <c r="C1206" s="75" t="s">
        <v>887</v>
      </c>
      <c r="D1206" s="81">
        <v>15930.4</v>
      </c>
      <c r="E1206" s="151">
        <v>44754</v>
      </c>
      <c r="F1206" s="81">
        <v>15930.4</v>
      </c>
      <c r="G1206" s="156">
        <f>Tabla18[[#This Row],[Importe]]-Tabla18[[#This Row],[Pagado]]</f>
        <v>0</v>
      </c>
      <c r="H1206" s="75" t="s">
        <v>10</v>
      </c>
    </row>
    <row r="1207" spans="1:8" x14ac:dyDescent="0.25">
      <c r="A1207" s="148">
        <v>44754</v>
      </c>
      <c r="B1207" s="149" t="s">
        <v>22516</v>
      </c>
      <c r="C1207" s="153" t="s">
        <v>75</v>
      </c>
      <c r="D1207" s="154">
        <v>6922.5</v>
      </c>
      <c r="E1207" s="155">
        <v>44754</v>
      </c>
      <c r="F1207" s="154">
        <v>6922.5</v>
      </c>
      <c r="G1207" s="156">
        <f>Tabla18[[#This Row],[Importe]]-Tabla18[[#This Row],[Pagado]]</f>
        <v>0</v>
      </c>
      <c r="H1207" s="153" t="s">
        <v>10</v>
      </c>
    </row>
    <row r="1208" spans="1:8" x14ac:dyDescent="0.25">
      <c r="A1208" s="73">
        <v>44754</v>
      </c>
      <c r="B1208" s="74" t="s">
        <v>22517</v>
      </c>
      <c r="C1208" s="75" t="s">
        <v>85</v>
      </c>
      <c r="D1208" s="81">
        <v>2017.5</v>
      </c>
      <c r="E1208" s="151">
        <v>44754</v>
      </c>
      <c r="F1208" s="81">
        <v>2017.5</v>
      </c>
      <c r="G1208" s="156">
        <f>Tabla18[[#This Row],[Importe]]-Tabla18[[#This Row],[Pagado]]</f>
        <v>0</v>
      </c>
      <c r="H1208" s="75" t="s">
        <v>10</v>
      </c>
    </row>
    <row r="1209" spans="1:8" x14ac:dyDescent="0.25">
      <c r="A1209" s="148">
        <v>44754</v>
      </c>
      <c r="B1209" s="149" t="s">
        <v>22518</v>
      </c>
      <c r="C1209" s="153" t="s">
        <v>83</v>
      </c>
      <c r="D1209" s="154">
        <v>8744.7999999999993</v>
      </c>
      <c r="E1209" s="155">
        <v>44754</v>
      </c>
      <c r="F1209" s="154">
        <v>8744.7999999999993</v>
      </c>
      <c r="G1209" s="156">
        <f>Tabla18[[#This Row],[Importe]]-Tabla18[[#This Row],[Pagado]]</f>
        <v>0</v>
      </c>
      <c r="H1209" s="153" t="s">
        <v>10</v>
      </c>
    </row>
    <row r="1210" spans="1:8" x14ac:dyDescent="0.25">
      <c r="A1210" s="73">
        <v>44754</v>
      </c>
      <c r="B1210" s="74" t="s">
        <v>22519</v>
      </c>
      <c r="C1210" s="75" t="s">
        <v>109</v>
      </c>
      <c r="D1210" s="81">
        <v>4774</v>
      </c>
      <c r="E1210" s="151">
        <v>44755</v>
      </c>
      <c r="F1210" s="81">
        <v>4774</v>
      </c>
      <c r="G1210" s="156">
        <f>Tabla18[[#This Row],[Importe]]-Tabla18[[#This Row],[Pagado]]</f>
        <v>0</v>
      </c>
      <c r="H1210" s="75" t="s">
        <v>10</v>
      </c>
    </row>
    <row r="1211" spans="1:8" x14ac:dyDescent="0.25">
      <c r="A1211" s="148">
        <v>44754</v>
      </c>
      <c r="B1211" s="149" t="s">
        <v>22520</v>
      </c>
      <c r="C1211" s="153" t="s">
        <v>64</v>
      </c>
      <c r="D1211" s="154">
        <v>4812.8</v>
      </c>
      <c r="E1211" s="155">
        <v>44755</v>
      </c>
      <c r="F1211" s="154">
        <v>4812.8</v>
      </c>
      <c r="G1211" s="156">
        <f>Tabla18[[#This Row],[Importe]]-Tabla18[[#This Row],[Pagado]]</f>
        <v>0</v>
      </c>
      <c r="H1211" s="153" t="s">
        <v>10</v>
      </c>
    </row>
    <row r="1212" spans="1:8" x14ac:dyDescent="0.25">
      <c r="A1212" s="73">
        <v>44754</v>
      </c>
      <c r="B1212" s="74" t="s">
        <v>22521</v>
      </c>
      <c r="C1212" s="75" t="s">
        <v>97</v>
      </c>
      <c r="D1212" s="81">
        <v>10035.200000000001</v>
      </c>
      <c r="E1212" s="151">
        <v>44755</v>
      </c>
      <c r="F1212" s="81">
        <v>10035.200000000001</v>
      </c>
      <c r="G1212" s="156">
        <f>Tabla18[[#This Row],[Importe]]-Tabla18[[#This Row],[Pagado]]</f>
        <v>0</v>
      </c>
      <c r="H1212" s="75" t="s">
        <v>10</v>
      </c>
    </row>
    <row r="1213" spans="1:8" x14ac:dyDescent="0.25">
      <c r="A1213" s="148">
        <v>44754</v>
      </c>
      <c r="B1213" s="149" t="s">
        <v>22522</v>
      </c>
      <c r="C1213" s="153" t="s">
        <v>345</v>
      </c>
      <c r="D1213" s="154">
        <v>630.79999999999995</v>
      </c>
      <c r="E1213" s="155">
        <v>44754</v>
      </c>
      <c r="F1213" s="154">
        <v>630.79999999999995</v>
      </c>
      <c r="G1213" s="156">
        <f>Tabla18[[#This Row],[Importe]]-Tabla18[[#This Row],[Pagado]]</f>
        <v>0</v>
      </c>
      <c r="H1213" s="153" t="s">
        <v>10</v>
      </c>
    </row>
    <row r="1214" spans="1:8" x14ac:dyDescent="0.25">
      <c r="A1214" s="73">
        <v>44754</v>
      </c>
      <c r="B1214" s="74" t="s">
        <v>22523</v>
      </c>
      <c r="C1214" s="75" t="s">
        <v>87</v>
      </c>
      <c r="D1214" s="81">
        <v>1670</v>
      </c>
      <c r="E1214" s="151">
        <v>44754</v>
      </c>
      <c r="F1214" s="81">
        <v>1670</v>
      </c>
      <c r="G1214" s="156">
        <f>Tabla18[[#This Row],[Importe]]-Tabla18[[#This Row],[Pagado]]</f>
        <v>0</v>
      </c>
      <c r="H1214" s="75" t="s">
        <v>10</v>
      </c>
    </row>
    <row r="1215" spans="1:8" x14ac:dyDescent="0.25">
      <c r="A1215" s="148">
        <v>44754</v>
      </c>
      <c r="B1215" s="149" t="s">
        <v>22524</v>
      </c>
      <c r="C1215" s="153" t="s">
        <v>314</v>
      </c>
      <c r="D1215" s="154">
        <v>1125</v>
      </c>
      <c r="E1215" s="155">
        <v>44754</v>
      </c>
      <c r="F1215" s="154">
        <v>1125</v>
      </c>
      <c r="G1215" s="156">
        <f>Tabla18[[#This Row],[Importe]]-Tabla18[[#This Row],[Pagado]]</f>
        <v>0</v>
      </c>
      <c r="H1215" s="153" t="s">
        <v>10</v>
      </c>
    </row>
    <row r="1216" spans="1:8" x14ac:dyDescent="0.25">
      <c r="A1216" s="73">
        <v>44754</v>
      </c>
      <c r="B1216" s="74" t="s">
        <v>22525</v>
      </c>
      <c r="C1216" s="75" t="s">
        <v>481</v>
      </c>
      <c r="D1216" s="81">
        <v>1202.4000000000001</v>
      </c>
      <c r="E1216" s="151">
        <v>44754</v>
      </c>
      <c r="F1216" s="81">
        <v>1202.4000000000001</v>
      </c>
      <c r="G1216" s="156">
        <f>Tabla18[[#This Row],[Importe]]-Tabla18[[#This Row],[Pagado]]</f>
        <v>0</v>
      </c>
      <c r="H1216" s="75" t="s">
        <v>10</v>
      </c>
    </row>
    <row r="1217" spans="1:8" x14ac:dyDescent="0.25">
      <c r="A1217" s="148">
        <v>44754</v>
      </c>
      <c r="B1217" s="149" t="s">
        <v>22526</v>
      </c>
      <c r="C1217" s="153" t="s">
        <v>353</v>
      </c>
      <c r="D1217" s="154">
        <v>840</v>
      </c>
      <c r="E1217" s="155">
        <v>44754</v>
      </c>
      <c r="F1217" s="154">
        <v>840</v>
      </c>
      <c r="G1217" s="156">
        <f>Tabla18[[#This Row],[Importe]]-Tabla18[[#This Row],[Pagado]]</f>
        <v>0</v>
      </c>
      <c r="H1217" s="153" t="s">
        <v>10</v>
      </c>
    </row>
    <row r="1218" spans="1:8" x14ac:dyDescent="0.25">
      <c r="A1218" s="73">
        <v>44754</v>
      </c>
      <c r="B1218" s="74" t="s">
        <v>22527</v>
      </c>
      <c r="C1218" s="75" t="s">
        <v>31</v>
      </c>
      <c r="D1218" s="81">
        <v>4537</v>
      </c>
      <c r="E1218" s="151">
        <v>44754</v>
      </c>
      <c r="F1218" s="81">
        <v>4537</v>
      </c>
      <c r="G1218" s="156">
        <f>Tabla18[[#This Row],[Importe]]-Tabla18[[#This Row],[Pagado]]</f>
        <v>0</v>
      </c>
      <c r="H1218" s="75" t="s">
        <v>10</v>
      </c>
    </row>
    <row r="1219" spans="1:8" x14ac:dyDescent="0.25">
      <c r="A1219" s="148">
        <v>44754</v>
      </c>
      <c r="B1219" s="149" t="s">
        <v>22528</v>
      </c>
      <c r="C1219" s="153" t="s">
        <v>105</v>
      </c>
      <c r="D1219" s="154">
        <v>5889</v>
      </c>
      <c r="E1219" s="155">
        <v>44754</v>
      </c>
      <c r="F1219" s="154">
        <v>5889</v>
      </c>
      <c r="G1219" s="156">
        <f>Tabla18[[#This Row],[Importe]]-Tabla18[[#This Row],[Pagado]]</f>
        <v>0</v>
      </c>
      <c r="H1219" s="153" t="s">
        <v>10</v>
      </c>
    </row>
    <row r="1220" spans="1:8" x14ac:dyDescent="0.25">
      <c r="A1220" s="73">
        <v>44754</v>
      </c>
      <c r="B1220" s="74" t="s">
        <v>22529</v>
      </c>
      <c r="C1220" s="75" t="s">
        <v>89</v>
      </c>
      <c r="D1220" s="81">
        <v>6384</v>
      </c>
      <c r="E1220" s="151">
        <v>44755</v>
      </c>
      <c r="F1220" s="81">
        <v>6384</v>
      </c>
      <c r="G1220" s="156">
        <f>Tabla18[[#This Row],[Importe]]-Tabla18[[#This Row],[Pagado]]</f>
        <v>0</v>
      </c>
      <c r="H1220" s="75" t="s">
        <v>10</v>
      </c>
    </row>
    <row r="1221" spans="1:8" x14ac:dyDescent="0.25">
      <c r="A1221" s="148">
        <v>44754</v>
      </c>
      <c r="B1221" s="149" t="s">
        <v>22530</v>
      </c>
      <c r="C1221" s="153" t="s">
        <v>114</v>
      </c>
      <c r="D1221" s="154">
        <v>4984.8</v>
      </c>
      <c r="E1221" s="155">
        <v>44755</v>
      </c>
      <c r="F1221" s="154">
        <v>4984.8</v>
      </c>
      <c r="G1221" s="156">
        <f>Tabla18[[#This Row],[Importe]]-Tabla18[[#This Row],[Pagado]]</f>
        <v>0</v>
      </c>
      <c r="H1221" s="153" t="s">
        <v>10</v>
      </c>
    </row>
    <row r="1222" spans="1:8" ht="31.5" x14ac:dyDescent="0.25">
      <c r="A1222" s="73">
        <v>44754</v>
      </c>
      <c r="B1222" s="74" t="s">
        <v>22531</v>
      </c>
      <c r="C1222" s="75" t="s">
        <v>93</v>
      </c>
      <c r="D1222" s="81">
        <v>9183</v>
      </c>
      <c r="E1222" s="147" t="s">
        <v>22532</v>
      </c>
      <c r="F1222" s="81">
        <f>7000+2183</f>
        <v>9183</v>
      </c>
      <c r="G1222" s="156">
        <f>Tabla18[[#This Row],[Importe]]-Tabla18[[#This Row],[Pagado]]</f>
        <v>0</v>
      </c>
      <c r="H1222" s="75" t="s">
        <v>10</v>
      </c>
    </row>
    <row r="1223" spans="1:8" x14ac:dyDescent="0.25">
      <c r="A1223" s="148">
        <v>44754</v>
      </c>
      <c r="B1223" s="149" t="s">
        <v>22533</v>
      </c>
      <c r="C1223" s="153" t="s">
        <v>2151</v>
      </c>
      <c r="D1223" s="154">
        <v>11131.2</v>
      </c>
      <c r="E1223" s="155">
        <v>44754</v>
      </c>
      <c r="F1223" s="154">
        <v>11131.2</v>
      </c>
      <c r="G1223" s="156">
        <f>Tabla18[[#This Row],[Importe]]-Tabla18[[#This Row],[Pagado]]</f>
        <v>0</v>
      </c>
      <c r="H1223" s="153" t="s">
        <v>10</v>
      </c>
    </row>
    <row r="1224" spans="1:8" x14ac:dyDescent="0.25">
      <c r="A1224" s="73">
        <v>44754</v>
      </c>
      <c r="B1224" s="74" t="s">
        <v>22534</v>
      </c>
      <c r="C1224" s="75" t="s">
        <v>326</v>
      </c>
      <c r="D1224" s="81">
        <v>2272</v>
      </c>
      <c r="E1224" s="151">
        <v>44755</v>
      </c>
      <c r="F1224" s="81">
        <v>2272</v>
      </c>
      <c r="G1224" s="156">
        <f>Tabla18[[#This Row],[Importe]]-Tabla18[[#This Row],[Pagado]]</f>
        <v>0</v>
      </c>
      <c r="H1224" s="75" t="s">
        <v>10</v>
      </c>
    </row>
    <row r="1225" spans="1:8" x14ac:dyDescent="0.25">
      <c r="A1225" s="148">
        <v>44754</v>
      </c>
      <c r="B1225" s="149" t="s">
        <v>22535</v>
      </c>
      <c r="C1225" s="153" t="s">
        <v>348</v>
      </c>
      <c r="D1225" s="154">
        <v>2581</v>
      </c>
      <c r="E1225" s="155">
        <v>44754</v>
      </c>
      <c r="F1225" s="154">
        <v>2581</v>
      </c>
      <c r="G1225" s="156">
        <f>Tabla18[[#This Row],[Importe]]-Tabla18[[#This Row],[Pagado]]</f>
        <v>0</v>
      </c>
      <c r="H1225" s="153" t="s">
        <v>10</v>
      </c>
    </row>
    <row r="1226" spans="1:8" x14ac:dyDescent="0.25">
      <c r="A1226" s="73">
        <v>44754</v>
      </c>
      <c r="B1226" s="74" t="s">
        <v>22536</v>
      </c>
      <c r="C1226" s="75" t="s">
        <v>9</v>
      </c>
      <c r="D1226" s="81">
        <v>11366</v>
      </c>
      <c r="E1226" s="151">
        <v>44754</v>
      </c>
      <c r="F1226" s="81">
        <v>11366</v>
      </c>
      <c r="G1226" s="156">
        <f>Tabla18[[#This Row],[Importe]]-Tabla18[[#This Row],[Pagado]]</f>
        <v>0</v>
      </c>
      <c r="H1226" s="75" t="s">
        <v>10</v>
      </c>
    </row>
    <row r="1227" spans="1:8" x14ac:dyDescent="0.25">
      <c r="A1227" s="148">
        <v>44754</v>
      </c>
      <c r="B1227" s="149" t="s">
        <v>22537</v>
      </c>
      <c r="C1227" s="153" t="s">
        <v>111</v>
      </c>
      <c r="D1227" s="154">
        <v>4960</v>
      </c>
      <c r="E1227" s="155">
        <v>44756</v>
      </c>
      <c r="F1227" s="154">
        <v>4960</v>
      </c>
      <c r="G1227" s="156">
        <f>Tabla18[[#This Row],[Importe]]-Tabla18[[#This Row],[Pagado]]</f>
        <v>0</v>
      </c>
      <c r="H1227" s="153" t="s">
        <v>10</v>
      </c>
    </row>
    <row r="1228" spans="1:8" x14ac:dyDescent="0.25">
      <c r="A1228" s="73">
        <v>44754</v>
      </c>
      <c r="B1228" s="74" t="s">
        <v>22538</v>
      </c>
      <c r="C1228" s="75" t="s">
        <v>22539</v>
      </c>
      <c r="D1228" s="81">
        <v>0</v>
      </c>
      <c r="E1228" s="157" t="s">
        <v>189</v>
      </c>
      <c r="F1228" s="81">
        <v>0</v>
      </c>
      <c r="G1228" s="156">
        <f>Tabla18[[#This Row],[Importe]]-Tabla18[[#This Row],[Pagado]]</f>
        <v>0</v>
      </c>
      <c r="H1228" s="161" t="s">
        <v>22540</v>
      </c>
    </row>
    <row r="1229" spans="1:8" x14ac:dyDescent="0.25">
      <c r="A1229" s="148">
        <v>44754</v>
      </c>
      <c r="B1229" s="149" t="s">
        <v>22541</v>
      </c>
      <c r="C1229" s="153" t="s">
        <v>466</v>
      </c>
      <c r="D1229" s="154">
        <v>16280</v>
      </c>
      <c r="E1229" s="155">
        <v>44754</v>
      </c>
      <c r="F1229" s="154">
        <v>16280</v>
      </c>
      <c r="G1229" s="156">
        <f>Tabla18[[#This Row],[Importe]]-Tabla18[[#This Row],[Pagado]]</f>
        <v>0</v>
      </c>
      <c r="H1229" s="153" t="s">
        <v>10</v>
      </c>
    </row>
    <row r="1230" spans="1:8" x14ac:dyDescent="0.25">
      <c r="A1230" s="73">
        <v>44754</v>
      </c>
      <c r="B1230" s="74" t="s">
        <v>22542</v>
      </c>
      <c r="C1230" s="75" t="s">
        <v>107</v>
      </c>
      <c r="D1230" s="81">
        <v>15799.2</v>
      </c>
      <c r="E1230" s="151">
        <v>44754</v>
      </c>
      <c r="F1230" s="81">
        <v>15799.2</v>
      </c>
      <c r="G1230" s="156">
        <f>Tabla18[[#This Row],[Importe]]-Tabla18[[#This Row],[Pagado]]</f>
        <v>0</v>
      </c>
      <c r="H1230" s="75" t="s">
        <v>10</v>
      </c>
    </row>
    <row r="1231" spans="1:8" x14ac:dyDescent="0.25">
      <c r="A1231" s="148">
        <v>44754</v>
      </c>
      <c r="B1231" s="149" t="s">
        <v>22543</v>
      </c>
      <c r="C1231" s="153" t="s">
        <v>16</v>
      </c>
      <c r="D1231" s="154">
        <v>5965.2</v>
      </c>
      <c r="E1231" s="155">
        <v>44754</v>
      </c>
      <c r="F1231" s="154">
        <v>5965.2</v>
      </c>
      <c r="G1231" s="156">
        <f>Tabla18[[#This Row],[Importe]]-Tabla18[[#This Row],[Pagado]]</f>
        <v>0</v>
      </c>
      <c r="H1231" s="153" t="s">
        <v>10</v>
      </c>
    </row>
    <row r="1232" spans="1:8" x14ac:dyDescent="0.25">
      <c r="A1232" s="73">
        <v>44754</v>
      </c>
      <c r="B1232" s="74" t="s">
        <v>22544</v>
      </c>
      <c r="C1232" s="75" t="s">
        <v>357</v>
      </c>
      <c r="D1232" s="81">
        <v>403.2</v>
      </c>
      <c r="E1232" s="151">
        <v>44754</v>
      </c>
      <c r="F1232" s="81">
        <v>403.2</v>
      </c>
      <c r="G1232" s="156">
        <f>Tabla18[[#This Row],[Importe]]-Tabla18[[#This Row],[Pagado]]</f>
        <v>0</v>
      </c>
      <c r="H1232" s="75" t="s">
        <v>10</v>
      </c>
    </row>
    <row r="1233" spans="1:8" x14ac:dyDescent="0.25">
      <c r="A1233" s="148">
        <v>44754</v>
      </c>
      <c r="B1233" s="149" t="s">
        <v>22545</v>
      </c>
      <c r="C1233" s="153" t="s">
        <v>140</v>
      </c>
      <c r="D1233" s="154">
        <v>4901.3</v>
      </c>
      <c r="E1233" s="155">
        <v>44754</v>
      </c>
      <c r="F1233" s="154">
        <v>4901.3</v>
      </c>
      <c r="G1233" s="156">
        <f>Tabla18[[#This Row],[Importe]]-Tabla18[[#This Row],[Pagado]]</f>
        <v>0</v>
      </c>
      <c r="H1233" s="153" t="s">
        <v>10</v>
      </c>
    </row>
    <row r="1234" spans="1:8" x14ac:dyDescent="0.25">
      <c r="A1234" s="73">
        <v>44754</v>
      </c>
      <c r="B1234" s="74" t="s">
        <v>22546</v>
      </c>
      <c r="C1234" s="75" t="s">
        <v>339</v>
      </c>
      <c r="D1234" s="81">
        <v>712</v>
      </c>
      <c r="E1234" s="151">
        <v>44754</v>
      </c>
      <c r="F1234" s="81">
        <v>712</v>
      </c>
      <c r="G1234" s="156">
        <f>Tabla18[[#This Row],[Importe]]-Tabla18[[#This Row],[Pagado]]</f>
        <v>0</v>
      </c>
      <c r="H1234" s="75" t="s">
        <v>10</v>
      </c>
    </row>
    <row r="1235" spans="1:8" x14ac:dyDescent="0.25">
      <c r="A1235" s="148">
        <v>44754</v>
      </c>
      <c r="B1235" s="149" t="s">
        <v>22547</v>
      </c>
      <c r="C1235" s="153" t="s">
        <v>129</v>
      </c>
      <c r="D1235" s="154">
        <v>4357.5</v>
      </c>
      <c r="E1235" s="155">
        <v>44754</v>
      </c>
      <c r="F1235" s="154">
        <v>4357.5</v>
      </c>
      <c r="G1235" s="156">
        <f>Tabla18[[#This Row],[Importe]]-Tabla18[[#This Row],[Pagado]]</f>
        <v>0</v>
      </c>
      <c r="H1235" s="153" t="s">
        <v>10</v>
      </c>
    </row>
    <row r="1236" spans="1:8" x14ac:dyDescent="0.25">
      <c r="A1236" s="73">
        <v>44754</v>
      </c>
      <c r="B1236" s="74" t="s">
        <v>22548</v>
      </c>
      <c r="C1236" s="75" t="s">
        <v>11033</v>
      </c>
      <c r="D1236" s="81">
        <v>2103.1</v>
      </c>
      <c r="E1236" s="151">
        <v>44754</v>
      </c>
      <c r="F1236" s="81">
        <v>2103.1</v>
      </c>
      <c r="G1236" s="156">
        <f>Tabla18[[#This Row],[Importe]]-Tabla18[[#This Row],[Pagado]]</f>
        <v>0</v>
      </c>
      <c r="H1236" s="75" t="s">
        <v>10</v>
      </c>
    </row>
    <row r="1237" spans="1:8" x14ac:dyDescent="0.25">
      <c r="A1237" s="148">
        <v>44754</v>
      </c>
      <c r="B1237" s="149" t="s">
        <v>22549</v>
      </c>
      <c r="C1237" s="153" t="s">
        <v>127</v>
      </c>
      <c r="D1237" s="154">
        <v>2136</v>
      </c>
      <c r="E1237" s="155">
        <v>44754</v>
      </c>
      <c r="F1237" s="154">
        <v>2136</v>
      </c>
      <c r="G1237" s="156">
        <f>Tabla18[[#This Row],[Importe]]-Tabla18[[#This Row],[Pagado]]</f>
        <v>0</v>
      </c>
      <c r="H1237" s="153" t="s">
        <v>10</v>
      </c>
    </row>
    <row r="1238" spans="1:8" x14ac:dyDescent="0.25">
      <c r="A1238" s="73">
        <v>44754</v>
      </c>
      <c r="B1238" s="74" t="s">
        <v>22550</v>
      </c>
      <c r="C1238" s="75" t="s">
        <v>146</v>
      </c>
      <c r="D1238" s="81">
        <v>2584.8000000000002</v>
      </c>
      <c r="E1238" s="151">
        <v>44754</v>
      </c>
      <c r="F1238" s="81">
        <v>2584.8000000000002</v>
      </c>
      <c r="G1238" s="156">
        <f>Tabla18[[#This Row],[Importe]]-Tabla18[[#This Row],[Pagado]]</f>
        <v>0</v>
      </c>
      <c r="H1238" s="75" t="s">
        <v>10</v>
      </c>
    </row>
    <row r="1239" spans="1:8" x14ac:dyDescent="0.25">
      <c r="A1239" s="148">
        <v>44754</v>
      </c>
      <c r="B1239" s="149" t="s">
        <v>22551</v>
      </c>
      <c r="C1239" s="153" t="s">
        <v>664</v>
      </c>
      <c r="D1239" s="154">
        <v>13736</v>
      </c>
      <c r="E1239" s="155">
        <v>44754</v>
      </c>
      <c r="F1239" s="154">
        <v>13736</v>
      </c>
      <c r="G1239" s="156">
        <f>Tabla18[[#This Row],[Importe]]-Tabla18[[#This Row],[Pagado]]</f>
        <v>0</v>
      </c>
      <c r="H1239" s="153" t="s">
        <v>10</v>
      </c>
    </row>
    <row r="1240" spans="1:8" x14ac:dyDescent="0.25">
      <c r="A1240" s="73">
        <v>44754</v>
      </c>
      <c r="B1240" s="74" t="s">
        <v>22552</v>
      </c>
      <c r="C1240" s="75" t="s">
        <v>56</v>
      </c>
      <c r="D1240" s="81">
        <v>5137.5</v>
      </c>
      <c r="E1240" s="151">
        <v>44754</v>
      </c>
      <c r="F1240" s="81">
        <v>5137.5</v>
      </c>
      <c r="G1240" s="156">
        <f>Tabla18[[#This Row],[Importe]]-Tabla18[[#This Row],[Pagado]]</f>
        <v>0</v>
      </c>
      <c r="H1240" s="75" t="s">
        <v>10</v>
      </c>
    </row>
    <row r="1241" spans="1:8" x14ac:dyDescent="0.25">
      <c r="A1241" s="148">
        <v>44754</v>
      </c>
      <c r="B1241" s="149" t="s">
        <v>22553</v>
      </c>
      <c r="C1241" s="153" t="s">
        <v>214</v>
      </c>
      <c r="D1241" s="154">
        <v>851.5</v>
      </c>
      <c r="E1241" s="155">
        <v>44754</v>
      </c>
      <c r="F1241" s="154">
        <v>851.5</v>
      </c>
      <c r="G1241" s="156">
        <f>Tabla18[[#This Row],[Importe]]-Tabla18[[#This Row],[Pagado]]</f>
        <v>0</v>
      </c>
      <c r="H1241" s="153" t="s">
        <v>10</v>
      </c>
    </row>
    <row r="1242" spans="1:8" x14ac:dyDescent="0.25">
      <c r="A1242" s="73">
        <v>44754</v>
      </c>
      <c r="B1242" s="74" t="s">
        <v>22554</v>
      </c>
      <c r="C1242" s="75" t="s">
        <v>67</v>
      </c>
      <c r="D1242" s="81">
        <v>2158.6</v>
      </c>
      <c r="E1242" s="151">
        <v>44754</v>
      </c>
      <c r="F1242" s="81">
        <v>2158.6</v>
      </c>
      <c r="G1242" s="156">
        <f>Tabla18[[#This Row],[Importe]]-Tabla18[[#This Row],[Pagado]]</f>
        <v>0</v>
      </c>
      <c r="H1242" s="75" t="s">
        <v>10</v>
      </c>
    </row>
    <row r="1243" spans="1:8" x14ac:dyDescent="0.25">
      <c r="A1243" s="148">
        <v>44754</v>
      </c>
      <c r="B1243" s="149" t="s">
        <v>22555</v>
      </c>
      <c r="C1243" s="153" t="s">
        <v>24</v>
      </c>
      <c r="D1243" s="154">
        <v>510</v>
      </c>
      <c r="E1243" s="155">
        <v>44754</v>
      </c>
      <c r="F1243" s="154">
        <v>510</v>
      </c>
      <c r="G1243" s="156">
        <f>Tabla18[[#This Row],[Importe]]-Tabla18[[#This Row],[Pagado]]</f>
        <v>0</v>
      </c>
      <c r="H1243" s="153" t="s">
        <v>10</v>
      </c>
    </row>
    <row r="1244" spans="1:8" x14ac:dyDescent="0.25">
      <c r="A1244" s="73">
        <v>44754</v>
      </c>
      <c r="B1244" s="74" t="s">
        <v>22556</v>
      </c>
      <c r="C1244" s="75" t="s">
        <v>24</v>
      </c>
      <c r="D1244" s="81">
        <v>3313.6</v>
      </c>
      <c r="E1244" s="151">
        <v>44754</v>
      </c>
      <c r="F1244" s="81">
        <v>3313.6</v>
      </c>
      <c r="G1244" s="156">
        <f>Tabla18[[#This Row],[Importe]]-Tabla18[[#This Row],[Pagado]]</f>
        <v>0</v>
      </c>
      <c r="H1244" s="75" t="s">
        <v>10</v>
      </c>
    </row>
    <row r="1245" spans="1:8" x14ac:dyDescent="0.25">
      <c r="A1245" s="148">
        <v>44754</v>
      </c>
      <c r="B1245" s="149" t="s">
        <v>22557</v>
      </c>
      <c r="C1245" s="153" t="s">
        <v>53</v>
      </c>
      <c r="D1245" s="154">
        <v>1701.7</v>
      </c>
      <c r="E1245" s="155">
        <v>44754</v>
      </c>
      <c r="F1245" s="154">
        <v>1701.7</v>
      </c>
      <c r="G1245" s="156">
        <f>Tabla18[[#This Row],[Importe]]-Tabla18[[#This Row],[Pagado]]</f>
        <v>0</v>
      </c>
      <c r="H1245" s="153" t="s">
        <v>10</v>
      </c>
    </row>
    <row r="1246" spans="1:8" ht="31.5" x14ac:dyDescent="0.25">
      <c r="A1246" s="73">
        <v>44754</v>
      </c>
      <c r="B1246" s="74" t="s">
        <v>22558</v>
      </c>
      <c r="C1246" s="75" t="s">
        <v>22</v>
      </c>
      <c r="D1246" s="81">
        <v>50536.800000000003</v>
      </c>
      <c r="E1246" s="147" t="s">
        <v>22399</v>
      </c>
      <c r="F1246" s="81">
        <f>40000+10536.8</f>
        <v>50536.800000000003</v>
      </c>
      <c r="G1246" s="156">
        <f>Tabla18[[#This Row],[Importe]]-Tabla18[[#This Row],[Pagado]]</f>
        <v>0</v>
      </c>
      <c r="H1246" s="75" t="s">
        <v>10</v>
      </c>
    </row>
    <row r="1247" spans="1:8" x14ac:dyDescent="0.25">
      <c r="A1247" s="148">
        <v>44754</v>
      </c>
      <c r="B1247" s="149" t="s">
        <v>22559</v>
      </c>
      <c r="C1247" s="153" t="s">
        <v>135</v>
      </c>
      <c r="D1247" s="154">
        <v>1712</v>
      </c>
      <c r="E1247" s="155">
        <v>44754</v>
      </c>
      <c r="F1247" s="154">
        <v>1712</v>
      </c>
      <c r="G1247" s="156">
        <f>Tabla18[[#This Row],[Importe]]-Tabla18[[#This Row],[Pagado]]</f>
        <v>0</v>
      </c>
      <c r="H1247" s="153" t="s">
        <v>10</v>
      </c>
    </row>
    <row r="1248" spans="1:8" x14ac:dyDescent="0.25">
      <c r="A1248" s="73">
        <v>44754</v>
      </c>
      <c r="B1248" s="74" t="s">
        <v>22560</v>
      </c>
      <c r="C1248" s="75" t="s">
        <v>79</v>
      </c>
      <c r="D1248" s="81">
        <v>26349.9</v>
      </c>
      <c r="E1248" s="151">
        <v>44754</v>
      </c>
      <c r="F1248" s="81">
        <v>26349.9</v>
      </c>
      <c r="G1248" s="156">
        <f>Tabla18[[#This Row],[Importe]]-Tabla18[[#This Row],[Pagado]]</f>
        <v>0</v>
      </c>
      <c r="H1248" s="75" t="s">
        <v>10</v>
      </c>
    </row>
    <row r="1249" spans="1:8" x14ac:dyDescent="0.25">
      <c r="A1249" s="148">
        <v>44754</v>
      </c>
      <c r="B1249" s="149" t="s">
        <v>22561</v>
      </c>
      <c r="C1249" s="153" t="s">
        <v>31</v>
      </c>
      <c r="D1249" s="154">
        <v>405.6</v>
      </c>
      <c r="E1249" s="155">
        <v>44754</v>
      </c>
      <c r="F1249" s="154">
        <v>405.6</v>
      </c>
      <c r="G1249" s="156">
        <f>Tabla18[[#This Row],[Importe]]-Tabla18[[#This Row],[Pagado]]</f>
        <v>0</v>
      </c>
      <c r="H1249" s="153" t="s">
        <v>10</v>
      </c>
    </row>
    <row r="1250" spans="1:8" x14ac:dyDescent="0.25">
      <c r="A1250" s="73">
        <v>44754</v>
      </c>
      <c r="B1250" s="74" t="s">
        <v>22562</v>
      </c>
      <c r="C1250" s="75" t="s">
        <v>421</v>
      </c>
      <c r="D1250" s="81">
        <v>9668.2000000000007</v>
      </c>
      <c r="E1250" s="151">
        <v>44754</v>
      </c>
      <c r="F1250" s="81">
        <v>9668.2000000000007</v>
      </c>
      <c r="G1250" s="156">
        <f>Tabla18[[#This Row],[Importe]]-Tabla18[[#This Row],[Pagado]]</f>
        <v>0</v>
      </c>
      <c r="H1250" s="75" t="s">
        <v>10</v>
      </c>
    </row>
    <row r="1251" spans="1:8" x14ac:dyDescent="0.25">
      <c r="A1251" s="148">
        <v>44754</v>
      </c>
      <c r="B1251" s="149" t="s">
        <v>22563</v>
      </c>
      <c r="C1251" s="153" t="s">
        <v>49</v>
      </c>
      <c r="D1251" s="154">
        <v>5401.2</v>
      </c>
      <c r="E1251" s="155">
        <v>44754</v>
      </c>
      <c r="F1251" s="154">
        <v>5401.2</v>
      </c>
      <c r="G1251" s="156">
        <f>Tabla18[[#This Row],[Importe]]-Tabla18[[#This Row],[Pagado]]</f>
        <v>0</v>
      </c>
      <c r="H1251" s="153" t="s">
        <v>10</v>
      </c>
    </row>
    <row r="1252" spans="1:8" x14ac:dyDescent="0.25">
      <c r="A1252" s="73">
        <v>44754</v>
      </c>
      <c r="B1252" s="74" t="s">
        <v>22564</v>
      </c>
      <c r="C1252" s="75" t="s">
        <v>291</v>
      </c>
      <c r="D1252" s="81">
        <v>4058.1</v>
      </c>
      <c r="E1252" s="151">
        <v>44755</v>
      </c>
      <c r="F1252" s="81">
        <v>4058.1</v>
      </c>
      <c r="G1252" s="156">
        <f>Tabla18[[#This Row],[Importe]]-Tabla18[[#This Row],[Pagado]]</f>
        <v>0</v>
      </c>
      <c r="H1252" s="75" t="s">
        <v>10</v>
      </c>
    </row>
    <row r="1253" spans="1:8" x14ac:dyDescent="0.25">
      <c r="A1253" s="148">
        <v>44754</v>
      </c>
      <c r="B1253" s="149" t="s">
        <v>22565</v>
      </c>
      <c r="C1253" s="153" t="s">
        <v>226</v>
      </c>
      <c r="D1253" s="154">
        <v>4101.5</v>
      </c>
      <c r="E1253" s="155">
        <v>44754</v>
      </c>
      <c r="F1253" s="154">
        <v>4101.5</v>
      </c>
      <c r="G1253" s="156">
        <f>Tabla18[[#This Row],[Importe]]-Tabla18[[#This Row],[Pagado]]</f>
        <v>0</v>
      </c>
      <c r="H1253" s="153" t="s">
        <v>10</v>
      </c>
    </row>
    <row r="1254" spans="1:8" x14ac:dyDescent="0.25">
      <c r="A1254" s="73">
        <v>44754</v>
      </c>
      <c r="B1254" s="74" t="s">
        <v>22566</v>
      </c>
      <c r="C1254" s="75" t="s">
        <v>670</v>
      </c>
      <c r="D1254" s="81">
        <v>4232.8</v>
      </c>
      <c r="E1254" s="151">
        <v>44754</v>
      </c>
      <c r="F1254" s="81">
        <v>4232.8</v>
      </c>
      <c r="G1254" s="156">
        <f>Tabla18[[#This Row],[Importe]]-Tabla18[[#This Row],[Pagado]]</f>
        <v>0</v>
      </c>
      <c r="H1254" s="75" t="s">
        <v>10</v>
      </c>
    </row>
    <row r="1255" spans="1:8" x14ac:dyDescent="0.25">
      <c r="A1255" s="148">
        <v>44754</v>
      </c>
      <c r="B1255" s="149" t="s">
        <v>22567</v>
      </c>
      <c r="C1255" s="153" t="s">
        <v>15039</v>
      </c>
      <c r="D1255" s="154">
        <v>4005.2</v>
      </c>
      <c r="E1255" s="155">
        <v>44754</v>
      </c>
      <c r="F1255" s="154">
        <v>4005.2</v>
      </c>
      <c r="G1255" s="156">
        <f>Tabla18[[#This Row],[Importe]]-Tabla18[[#This Row],[Pagado]]</f>
        <v>0</v>
      </c>
      <c r="H1255" s="153" t="s">
        <v>10</v>
      </c>
    </row>
    <row r="1256" spans="1:8" x14ac:dyDescent="0.25">
      <c r="A1256" s="73">
        <v>44754</v>
      </c>
      <c r="B1256" s="74" t="s">
        <v>22568</v>
      </c>
      <c r="C1256" s="75" t="s">
        <v>191</v>
      </c>
      <c r="D1256" s="81">
        <v>1892.4</v>
      </c>
      <c r="E1256" s="151">
        <v>44754</v>
      </c>
      <c r="F1256" s="81">
        <v>1892.4</v>
      </c>
      <c r="G1256" s="156">
        <f>Tabla18[[#This Row],[Importe]]-Tabla18[[#This Row],[Pagado]]</f>
        <v>0</v>
      </c>
      <c r="H1256" s="75" t="s">
        <v>10</v>
      </c>
    </row>
    <row r="1257" spans="1:8" x14ac:dyDescent="0.25">
      <c r="A1257" s="148">
        <v>44754</v>
      </c>
      <c r="B1257" s="149" t="s">
        <v>22569</v>
      </c>
      <c r="C1257" s="153" t="s">
        <v>9827</v>
      </c>
      <c r="D1257" s="154">
        <v>2010</v>
      </c>
      <c r="E1257" s="155">
        <v>44754</v>
      </c>
      <c r="F1257" s="154">
        <v>2010</v>
      </c>
      <c r="G1257" s="156">
        <f>Tabla18[[#This Row],[Importe]]-Tabla18[[#This Row],[Pagado]]</f>
        <v>0</v>
      </c>
      <c r="H1257" s="153" t="s">
        <v>10</v>
      </c>
    </row>
    <row r="1258" spans="1:8" x14ac:dyDescent="0.25">
      <c r="A1258" s="73">
        <v>44754</v>
      </c>
      <c r="B1258" s="74" t="s">
        <v>22570</v>
      </c>
      <c r="C1258" s="75" t="s">
        <v>698</v>
      </c>
      <c r="D1258" s="81">
        <v>6518.1</v>
      </c>
      <c r="E1258" s="151">
        <v>44754</v>
      </c>
      <c r="F1258" s="81">
        <v>6518.1</v>
      </c>
      <c r="G1258" s="156">
        <f>Tabla18[[#This Row],[Importe]]-Tabla18[[#This Row],[Pagado]]</f>
        <v>0</v>
      </c>
      <c r="H1258" s="75" t="s">
        <v>10</v>
      </c>
    </row>
    <row r="1259" spans="1:8" x14ac:dyDescent="0.25">
      <c r="A1259" s="148">
        <v>44754</v>
      </c>
      <c r="B1259" s="149" t="s">
        <v>22571</v>
      </c>
      <c r="C1259" s="153" t="s">
        <v>45</v>
      </c>
      <c r="D1259" s="154">
        <v>8726.1</v>
      </c>
      <c r="E1259" s="155">
        <v>44754</v>
      </c>
      <c r="F1259" s="154">
        <v>8726.1</v>
      </c>
      <c r="G1259" s="156">
        <f>Tabla18[[#This Row],[Importe]]-Tabla18[[#This Row],[Pagado]]</f>
        <v>0</v>
      </c>
      <c r="H1259" s="153" t="s">
        <v>10</v>
      </c>
    </row>
    <row r="1260" spans="1:8" x14ac:dyDescent="0.25">
      <c r="A1260" s="73">
        <v>44754</v>
      </c>
      <c r="B1260" s="74" t="s">
        <v>22572</v>
      </c>
      <c r="C1260" s="75" t="s">
        <v>196</v>
      </c>
      <c r="D1260" s="81">
        <v>29055.5</v>
      </c>
      <c r="E1260" s="151">
        <v>44757</v>
      </c>
      <c r="F1260" s="81">
        <v>29055.5</v>
      </c>
      <c r="G1260" s="156">
        <f>Tabla18[[#This Row],[Importe]]-Tabla18[[#This Row],[Pagado]]</f>
        <v>0</v>
      </c>
      <c r="H1260" s="75" t="s">
        <v>10</v>
      </c>
    </row>
    <row r="1261" spans="1:8" x14ac:dyDescent="0.25">
      <c r="A1261" s="148">
        <v>44754</v>
      </c>
      <c r="B1261" s="149" t="s">
        <v>22573</v>
      </c>
      <c r="C1261" s="153" t="s">
        <v>319</v>
      </c>
      <c r="D1261" s="154">
        <v>9755</v>
      </c>
      <c r="E1261" s="155">
        <v>44754</v>
      </c>
      <c r="F1261" s="154">
        <v>9755</v>
      </c>
      <c r="G1261" s="156">
        <f>Tabla18[[#This Row],[Importe]]-Tabla18[[#This Row],[Pagado]]</f>
        <v>0</v>
      </c>
      <c r="H1261" s="153" t="s">
        <v>10</v>
      </c>
    </row>
    <row r="1262" spans="1:8" x14ac:dyDescent="0.25">
      <c r="A1262" s="73">
        <v>44754</v>
      </c>
      <c r="B1262" s="74" t="s">
        <v>22574</v>
      </c>
      <c r="C1262" s="75" t="s">
        <v>520</v>
      </c>
      <c r="D1262" s="81">
        <v>21682.2</v>
      </c>
      <c r="E1262" s="151">
        <v>44754</v>
      </c>
      <c r="F1262" s="81">
        <v>21682.2</v>
      </c>
      <c r="G1262" s="156">
        <f>Tabla18[[#This Row],[Importe]]-Tabla18[[#This Row],[Pagado]]</f>
        <v>0</v>
      </c>
      <c r="H1262" s="75" t="s">
        <v>10</v>
      </c>
    </row>
    <row r="1263" spans="1:8" x14ac:dyDescent="0.25">
      <c r="A1263" s="148">
        <v>44754</v>
      </c>
      <c r="B1263" s="149" t="s">
        <v>22575</v>
      </c>
      <c r="C1263" s="153" t="s">
        <v>233</v>
      </c>
      <c r="D1263" s="154">
        <v>5426.4</v>
      </c>
      <c r="E1263" s="155">
        <v>44754</v>
      </c>
      <c r="F1263" s="154">
        <v>5426.4</v>
      </c>
      <c r="G1263" s="156">
        <f>Tabla18[[#This Row],[Importe]]-Tabla18[[#This Row],[Pagado]]</f>
        <v>0</v>
      </c>
      <c r="H1263" s="153" t="s">
        <v>10</v>
      </c>
    </row>
    <row r="1264" spans="1:8" x14ac:dyDescent="0.25">
      <c r="A1264" s="73">
        <v>44754</v>
      </c>
      <c r="B1264" s="74" t="s">
        <v>22576</v>
      </c>
      <c r="C1264" s="75" t="s">
        <v>157</v>
      </c>
      <c r="D1264" s="81">
        <v>8747.2000000000007</v>
      </c>
      <c r="E1264" s="151">
        <v>44754</v>
      </c>
      <c r="F1264" s="81">
        <v>8747.2000000000007</v>
      </c>
      <c r="G1264" s="156">
        <f>Tabla18[[#This Row],[Importe]]-Tabla18[[#This Row],[Pagado]]</f>
        <v>0</v>
      </c>
      <c r="H1264" s="75" t="s">
        <v>10</v>
      </c>
    </row>
    <row r="1265" spans="1:8" x14ac:dyDescent="0.25">
      <c r="A1265" s="148">
        <v>44754</v>
      </c>
      <c r="B1265" s="149" t="s">
        <v>22577</v>
      </c>
      <c r="C1265" s="153" t="s">
        <v>419</v>
      </c>
      <c r="D1265" s="154">
        <v>9626.9</v>
      </c>
      <c r="E1265" s="155">
        <v>44754</v>
      </c>
      <c r="F1265" s="154">
        <v>9626.9</v>
      </c>
      <c r="G1265" s="156">
        <f>Tabla18[[#This Row],[Importe]]-Tabla18[[#This Row],[Pagado]]</f>
        <v>0</v>
      </c>
      <c r="H1265" s="153" t="s">
        <v>10</v>
      </c>
    </row>
    <row r="1266" spans="1:8" x14ac:dyDescent="0.25">
      <c r="A1266" s="73">
        <v>44754</v>
      </c>
      <c r="B1266" s="74" t="s">
        <v>22578</v>
      </c>
      <c r="C1266" s="75" t="s">
        <v>562</v>
      </c>
      <c r="D1266" s="81">
        <v>4566</v>
      </c>
      <c r="E1266" s="151">
        <v>44754</v>
      </c>
      <c r="F1266" s="81">
        <v>4566</v>
      </c>
      <c r="G1266" s="156">
        <f>Tabla18[[#This Row],[Importe]]-Tabla18[[#This Row],[Pagado]]</f>
        <v>0</v>
      </c>
      <c r="H1266" s="75" t="s">
        <v>10</v>
      </c>
    </row>
    <row r="1267" spans="1:8" x14ac:dyDescent="0.25">
      <c r="A1267" s="148">
        <v>44754</v>
      </c>
      <c r="B1267" s="149" t="s">
        <v>22579</v>
      </c>
      <c r="C1267" s="153" t="s">
        <v>31</v>
      </c>
      <c r="D1267" s="154">
        <v>1575</v>
      </c>
      <c r="E1267" s="155">
        <v>44754</v>
      </c>
      <c r="F1267" s="154">
        <v>1575</v>
      </c>
      <c r="G1267" s="156">
        <f>Tabla18[[#This Row],[Importe]]-Tabla18[[#This Row],[Pagado]]</f>
        <v>0</v>
      </c>
      <c r="H1267" s="153" t="s">
        <v>10</v>
      </c>
    </row>
    <row r="1268" spans="1:8" x14ac:dyDescent="0.25">
      <c r="A1268" s="73">
        <v>44754</v>
      </c>
      <c r="B1268" s="74" t="s">
        <v>22580</v>
      </c>
      <c r="C1268" s="75" t="s">
        <v>58</v>
      </c>
      <c r="D1268" s="81">
        <v>3551.8</v>
      </c>
      <c r="E1268" s="151">
        <v>44754</v>
      </c>
      <c r="F1268" s="81">
        <v>3551.8</v>
      </c>
      <c r="G1268" s="156">
        <f>Tabla18[[#This Row],[Importe]]-Tabla18[[#This Row],[Pagado]]</f>
        <v>0</v>
      </c>
      <c r="H1268" s="75" t="s">
        <v>10</v>
      </c>
    </row>
    <row r="1269" spans="1:8" x14ac:dyDescent="0.25">
      <c r="A1269" s="148">
        <v>44754</v>
      </c>
      <c r="B1269" s="149" t="s">
        <v>22581</v>
      </c>
      <c r="C1269" s="153" t="s">
        <v>610</v>
      </c>
      <c r="D1269" s="154">
        <v>33299.800000000003</v>
      </c>
      <c r="E1269" s="155">
        <v>44760</v>
      </c>
      <c r="F1269" s="154">
        <v>33299.800000000003</v>
      </c>
      <c r="G1269" s="156">
        <f>Tabla18[[#This Row],[Importe]]-Tabla18[[#This Row],[Pagado]]</f>
        <v>0</v>
      </c>
      <c r="H1269" s="153" t="s">
        <v>10</v>
      </c>
    </row>
    <row r="1270" spans="1:8" x14ac:dyDescent="0.25">
      <c r="A1270" s="73">
        <v>44754</v>
      </c>
      <c r="B1270" s="74" t="s">
        <v>22582</v>
      </c>
      <c r="C1270" s="75" t="s">
        <v>612</v>
      </c>
      <c r="D1270" s="81">
        <v>600</v>
      </c>
      <c r="E1270" s="151">
        <v>44754</v>
      </c>
      <c r="F1270" s="81">
        <v>600</v>
      </c>
      <c r="G1270" s="156">
        <f>Tabla18[[#This Row],[Importe]]-Tabla18[[#This Row],[Pagado]]</f>
        <v>0</v>
      </c>
      <c r="H1270" s="75" t="s">
        <v>10</v>
      </c>
    </row>
    <row r="1271" spans="1:8" x14ac:dyDescent="0.25">
      <c r="A1271" s="148">
        <v>44754</v>
      </c>
      <c r="B1271" s="149" t="s">
        <v>22583</v>
      </c>
      <c r="C1271" s="153" t="s">
        <v>91</v>
      </c>
      <c r="D1271" s="154">
        <v>8140</v>
      </c>
      <c r="E1271" s="155">
        <v>44755</v>
      </c>
      <c r="F1271" s="154">
        <v>8140</v>
      </c>
      <c r="G1271" s="156">
        <f>Tabla18[[#This Row],[Importe]]-Tabla18[[#This Row],[Pagado]]</f>
        <v>0</v>
      </c>
      <c r="H1271" s="153" t="s">
        <v>10</v>
      </c>
    </row>
    <row r="1272" spans="1:8" x14ac:dyDescent="0.25">
      <c r="A1272" s="73">
        <v>44754</v>
      </c>
      <c r="B1272" s="74" t="s">
        <v>22584</v>
      </c>
      <c r="C1272" s="75" t="s">
        <v>843</v>
      </c>
      <c r="D1272" s="81">
        <v>24336</v>
      </c>
      <c r="E1272" s="151">
        <v>44754</v>
      </c>
      <c r="F1272" s="81">
        <v>24336</v>
      </c>
      <c r="G1272" s="156">
        <f>Tabla18[[#This Row],[Importe]]-Tabla18[[#This Row],[Pagado]]</f>
        <v>0</v>
      </c>
      <c r="H1272" s="75" t="s">
        <v>10</v>
      </c>
    </row>
    <row r="1273" spans="1:8" x14ac:dyDescent="0.25">
      <c r="A1273" s="148">
        <v>44754</v>
      </c>
      <c r="B1273" s="149" t="s">
        <v>22585</v>
      </c>
      <c r="C1273" s="153" t="s">
        <v>142</v>
      </c>
      <c r="D1273" s="154">
        <v>60297.8</v>
      </c>
      <c r="E1273" s="155">
        <v>44799</v>
      </c>
      <c r="F1273" s="154">
        <v>60297.8</v>
      </c>
      <c r="G1273" s="156">
        <f>Tabla18[[#This Row],[Importe]]-Tabla18[[#This Row],[Pagado]]</f>
        <v>0</v>
      </c>
      <c r="H1273" s="153" t="s">
        <v>10</v>
      </c>
    </row>
    <row r="1274" spans="1:8" x14ac:dyDescent="0.25">
      <c r="A1274" s="73">
        <v>44754</v>
      </c>
      <c r="B1274" s="74" t="s">
        <v>22586</v>
      </c>
      <c r="C1274" s="75" t="s">
        <v>440</v>
      </c>
      <c r="D1274" s="81">
        <v>10875.6</v>
      </c>
      <c r="E1274" s="151">
        <v>44768</v>
      </c>
      <c r="F1274" s="81">
        <v>10875.6</v>
      </c>
      <c r="G1274" s="156">
        <f>Tabla18[[#This Row],[Importe]]-Tabla18[[#This Row],[Pagado]]</f>
        <v>0</v>
      </c>
      <c r="H1274" s="75" t="s">
        <v>10</v>
      </c>
    </row>
    <row r="1275" spans="1:8" x14ac:dyDescent="0.25">
      <c r="A1275" s="148">
        <v>44754</v>
      </c>
      <c r="B1275" s="149" t="s">
        <v>22587</v>
      </c>
      <c r="C1275" s="153" t="s">
        <v>142</v>
      </c>
      <c r="D1275" s="154">
        <v>330</v>
      </c>
      <c r="E1275" s="155">
        <v>44754</v>
      </c>
      <c r="F1275" s="154">
        <v>330</v>
      </c>
      <c r="G1275" s="156">
        <f>Tabla18[[#This Row],[Importe]]-Tabla18[[#This Row],[Pagado]]</f>
        <v>0</v>
      </c>
      <c r="H1275" s="153" t="s">
        <v>10</v>
      </c>
    </row>
    <row r="1276" spans="1:8" x14ac:dyDescent="0.25">
      <c r="A1276" s="73">
        <v>44754</v>
      </c>
      <c r="B1276" s="74" t="s">
        <v>22588</v>
      </c>
      <c r="C1276" s="75" t="s">
        <v>31</v>
      </c>
      <c r="D1276" s="81">
        <v>160</v>
      </c>
      <c r="E1276" s="151">
        <v>44754</v>
      </c>
      <c r="F1276" s="81">
        <v>160</v>
      </c>
      <c r="G1276" s="156">
        <f>Tabla18[[#This Row],[Importe]]-Tabla18[[#This Row],[Pagado]]</f>
        <v>0</v>
      </c>
      <c r="H1276" s="75" t="s">
        <v>10</v>
      </c>
    </row>
    <row r="1277" spans="1:8" x14ac:dyDescent="0.25">
      <c r="A1277" s="148">
        <v>44754</v>
      </c>
      <c r="B1277" s="149" t="s">
        <v>22589</v>
      </c>
      <c r="C1277" s="153" t="s">
        <v>91</v>
      </c>
      <c r="D1277" s="154">
        <v>4440</v>
      </c>
      <c r="E1277" s="155">
        <v>44755</v>
      </c>
      <c r="F1277" s="154">
        <v>4440</v>
      </c>
      <c r="G1277" s="156">
        <f>Tabla18[[#This Row],[Importe]]-Tabla18[[#This Row],[Pagado]]</f>
        <v>0</v>
      </c>
      <c r="H1277" s="153" t="s">
        <v>10</v>
      </c>
    </row>
    <row r="1278" spans="1:8" x14ac:dyDescent="0.25">
      <c r="A1278" s="73">
        <v>44754</v>
      </c>
      <c r="B1278" s="74" t="s">
        <v>22590</v>
      </c>
      <c r="C1278" s="75" t="s">
        <v>10678</v>
      </c>
      <c r="D1278" s="81">
        <v>2488.8000000000002</v>
      </c>
      <c r="E1278" s="151">
        <v>44754</v>
      </c>
      <c r="F1278" s="81">
        <v>2488.8000000000002</v>
      </c>
      <c r="G1278" s="156">
        <f>Tabla18[[#This Row],[Importe]]-Tabla18[[#This Row],[Pagado]]</f>
        <v>0</v>
      </c>
      <c r="H1278" s="75" t="s">
        <v>10</v>
      </c>
    </row>
    <row r="1279" spans="1:8" x14ac:dyDescent="0.25">
      <c r="A1279" s="148">
        <v>44754</v>
      </c>
      <c r="B1279" s="149" t="s">
        <v>22591</v>
      </c>
      <c r="C1279" s="153" t="s">
        <v>10678</v>
      </c>
      <c r="D1279" s="154">
        <v>120</v>
      </c>
      <c r="E1279" s="155">
        <v>44754</v>
      </c>
      <c r="F1279" s="154">
        <v>120</v>
      </c>
      <c r="G1279" s="156">
        <f>Tabla18[[#This Row],[Importe]]-Tabla18[[#This Row],[Pagado]]</f>
        <v>0</v>
      </c>
      <c r="H1279" s="153" t="s">
        <v>10</v>
      </c>
    </row>
    <row r="1280" spans="1:8" x14ac:dyDescent="0.25">
      <c r="A1280" s="73">
        <v>44754</v>
      </c>
      <c r="B1280" s="74" t="s">
        <v>22592</v>
      </c>
      <c r="C1280" s="75" t="s">
        <v>249</v>
      </c>
      <c r="D1280" s="81">
        <v>7553.7</v>
      </c>
      <c r="E1280" s="151">
        <v>44754</v>
      </c>
      <c r="F1280" s="81">
        <v>7553.7</v>
      </c>
      <c r="G1280" s="156">
        <f>Tabla18[[#This Row],[Importe]]-Tabla18[[#This Row],[Pagado]]</f>
        <v>0</v>
      </c>
      <c r="H1280" s="75" t="s">
        <v>10</v>
      </c>
    </row>
    <row r="1281" spans="1:8" x14ac:dyDescent="0.25">
      <c r="A1281" s="148">
        <v>44754</v>
      </c>
      <c r="B1281" s="149" t="s">
        <v>22593</v>
      </c>
      <c r="C1281" s="153" t="s">
        <v>470</v>
      </c>
      <c r="D1281" s="154">
        <v>16264</v>
      </c>
      <c r="E1281" s="155">
        <v>44754</v>
      </c>
      <c r="F1281" s="154">
        <v>16264</v>
      </c>
      <c r="G1281" s="156">
        <f>Tabla18[[#This Row],[Importe]]-Tabla18[[#This Row],[Pagado]]</f>
        <v>0</v>
      </c>
      <c r="H1281" s="153" t="s">
        <v>10</v>
      </c>
    </row>
    <row r="1282" spans="1:8" x14ac:dyDescent="0.25">
      <c r="A1282" s="73">
        <v>44754</v>
      </c>
      <c r="B1282" s="74" t="s">
        <v>22594</v>
      </c>
      <c r="C1282" s="75" t="s">
        <v>275</v>
      </c>
      <c r="D1282" s="81">
        <v>83065.850000000006</v>
      </c>
      <c r="E1282" s="151">
        <v>44771</v>
      </c>
      <c r="F1282" s="81">
        <v>83065.850000000006</v>
      </c>
      <c r="G1282" s="156">
        <f>Tabla18[[#This Row],[Importe]]-Tabla18[[#This Row],[Pagado]]</f>
        <v>0</v>
      </c>
      <c r="H1282" s="75" t="s">
        <v>10</v>
      </c>
    </row>
    <row r="1283" spans="1:8" x14ac:dyDescent="0.25">
      <c r="A1283" s="148">
        <v>44754</v>
      </c>
      <c r="B1283" s="149" t="s">
        <v>22595</v>
      </c>
      <c r="C1283" s="153" t="s">
        <v>7444</v>
      </c>
      <c r="D1283" s="154">
        <v>1152</v>
      </c>
      <c r="E1283" s="155">
        <v>44754</v>
      </c>
      <c r="F1283" s="154">
        <v>1152</v>
      </c>
      <c r="G1283" s="156">
        <f>Tabla18[[#This Row],[Importe]]-Tabla18[[#This Row],[Pagado]]</f>
        <v>0</v>
      </c>
      <c r="H1283" s="153" t="s">
        <v>10</v>
      </c>
    </row>
    <row r="1284" spans="1:8" x14ac:dyDescent="0.25">
      <c r="A1284" s="73">
        <v>44754</v>
      </c>
      <c r="B1284" s="74" t="s">
        <v>22596</v>
      </c>
      <c r="C1284" s="75" t="s">
        <v>409</v>
      </c>
      <c r="D1284" s="81">
        <v>2078.4</v>
      </c>
      <c r="E1284" s="151">
        <v>44756</v>
      </c>
      <c r="F1284" s="81">
        <v>2078.4</v>
      </c>
      <c r="G1284" s="156">
        <f>Tabla18[[#This Row],[Importe]]-Tabla18[[#This Row],[Pagado]]</f>
        <v>0</v>
      </c>
      <c r="H1284" s="75" t="s">
        <v>10</v>
      </c>
    </row>
    <row r="1285" spans="1:8" x14ac:dyDescent="0.25">
      <c r="A1285" s="148">
        <v>44754</v>
      </c>
      <c r="B1285" s="149" t="s">
        <v>22597</v>
      </c>
      <c r="C1285" s="153" t="s">
        <v>433</v>
      </c>
      <c r="D1285" s="154">
        <v>37500</v>
      </c>
      <c r="E1285" s="155">
        <v>44754</v>
      </c>
      <c r="F1285" s="154">
        <v>37500</v>
      </c>
      <c r="G1285" s="156">
        <f>Tabla18[[#This Row],[Importe]]-Tabla18[[#This Row],[Pagado]]</f>
        <v>0</v>
      </c>
      <c r="H1285" s="153" t="s">
        <v>10</v>
      </c>
    </row>
    <row r="1286" spans="1:8" x14ac:dyDescent="0.25">
      <c r="A1286" s="73">
        <v>44754</v>
      </c>
      <c r="B1286" s="74" t="s">
        <v>22598</v>
      </c>
      <c r="C1286" s="75" t="s">
        <v>89</v>
      </c>
      <c r="D1286" s="81">
        <v>630.79999999999995</v>
      </c>
      <c r="E1286" s="151">
        <v>44754</v>
      </c>
      <c r="F1286" s="81">
        <v>630.79999999999995</v>
      </c>
      <c r="G1286" s="156">
        <f>Tabla18[[#This Row],[Importe]]-Tabla18[[#This Row],[Pagado]]</f>
        <v>0</v>
      </c>
      <c r="H1286" s="75" t="s">
        <v>10</v>
      </c>
    </row>
    <row r="1287" spans="1:8" x14ac:dyDescent="0.25">
      <c r="A1287" s="148">
        <v>44754</v>
      </c>
      <c r="B1287" s="149" t="s">
        <v>22599</v>
      </c>
      <c r="C1287" s="153" t="s">
        <v>21812</v>
      </c>
      <c r="D1287" s="154">
        <v>4461.3999999999996</v>
      </c>
      <c r="E1287" s="155">
        <v>44754</v>
      </c>
      <c r="F1287" s="154">
        <v>4461.3999999999996</v>
      </c>
      <c r="G1287" s="156">
        <f>Tabla18[[#This Row],[Importe]]-Tabla18[[#This Row],[Pagado]]</f>
        <v>0</v>
      </c>
      <c r="H1287" s="153" t="s">
        <v>10</v>
      </c>
    </row>
    <row r="1288" spans="1:8" x14ac:dyDescent="0.25">
      <c r="A1288" s="73">
        <v>44754</v>
      </c>
      <c r="B1288" s="74" t="s">
        <v>22600</v>
      </c>
      <c r="C1288" s="75" t="s">
        <v>31</v>
      </c>
      <c r="D1288" s="81">
        <v>506</v>
      </c>
      <c r="E1288" s="151">
        <v>44754</v>
      </c>
      <c r="F1288" s="81">
        <v>506</v>
      </c>
      <c r="G1288" s="156">
        <f>Tabla18[[#This Row],[Importe]]-Tabla18[[#This Row],[Pagado]]</f>
        <v>0</v>
      </c>
      <c r="H1288" s="75" t="s">
        <v>10</v>
      </c>
    </row>
    <row r="1289" spans="1:8" x14ac:dyDescent="0.25">
      <c r="A1289" s="148">
        <v>44754</v>
      </c>
      <c r="B1289" s="149" t="s">
        <v>22601</v>
      </c>
      <c r="C1289" s="153" t="s">
        <v>16</v>
      </c>
      <c r="D1289" s="154">
        <v>1356</v>
      </c>
      <c r="E1289" s="155">
        <v>44754</v>
      </c>
      <c r="F1289" s="154">
        <v>1356</v>
      </c>
      <c r="G1289" s="156">
        <f>Tabla18[[#This Row],[Importe]]-Tabla18[[#This Row],[Pagado]]</f>
        <v>0</v>
      </c>
      <c r="H1289" s="153" t="s">
        <v>10</v>
      </c>
    </row>
    <row r="1290" spans="1:8" x14ac:dyDescent="0.25">
      <c r="A1290" s="73">
        <v>44754</v>
      </c>
      <c r="B1290" s="74" t="s">
        <v>22602</v>
      </c>
      <c r="C1290" s="75" t="s">
        <v>450</v>
      </c>
      <c r="D1290" s="81">
        <v>475.2</v>
      </c>
      <c r="E1290" s="151">
        <v>44754</v>
      </c>
      <c r="F1290" s="81">
        <v>475.2</v>
      </c>
      <c r="G1290" s="156">
        <f>Tabla18[[#This Row],[Importe]]-Tabla18[[#This Row],[Pagado]]</f>
        <v>0</v>
      </c>
      <c r="H1290" s="75" t="s">
        <v>10</v>
      </c>
    </row>
    <row r="1291" spans="1:8" x14ac:dyDescent="0.25">
      <c r="A1291" s="148">
        <v>44754</v>
      </c>
      <c r="B1291" s="149" t="s">
        <v>22603</v>
      </c>
      <c r="C1291" s="153" t="s">
        <v>4136</v>
      </c>
      <c r="D1291" s="154">
        <v>1214.4000000000001</v>
      </c>
      <c r="E1291" s="155">
        <v>44754</v>
      </c>
      <c r="F1291" s="154">
        <v>1214.4000000000001</v>
      </c>
      <c r="G1291" s="156">
        <f>Tabla18[[#This Row],[Importe]]-Tabla18[[#This Row],[Pagado]]</f>
        <v>0</v>
      </c>
      <c r="H1291" s="153" t="s">
        <v>10</v>
      </c>
    </row>
    <row r="1292" spans="1:8" x14ac:dyDescent="0.25">
      <c r="A1292" s="73">
        <v>44754</v>
      </c>
      <c r="B1292" s="74" t="s">
        <v>22604</v>
      </c>
      <c r="C1292" s="75" t="s">
        <v>426</v>
      </c>
      <c r="D1292" s="81">
        <v>16207.6</v>
      </c>
      <c r="E1292" s="151">
        <v>44755</v>
      </c>
      <c r="F1292" s="81">
        <v>16207.6</v>
      </c>
      <c r="G1292" s="156">
        <f>Tabla18[[#This Row],[Importe]]-Tabla18[[#This Row],[Pagado]]</f>
        <v>0</v>
      </c>
      <c r="H1292" s="75" t="s">
        <v>10</v>
      </c>
    </row>
    <row r="1293" spans="1:8" x14ac:dyDescent="0.25">
      <c r="A1293" s="148">
        <v>44754</v>
      </c>
      <c r="B1293" s="149" t="s">
        <v>22605</v>
      </c>
      <c r="C1293" s="153" t="s">
        <v>296</v>
      </c>
      <c r="D1293" s="154">
        <v>2691.6</v>
      </c>
      <c r="E1293" s="155">
        <v>44754</v>
      </c>
      <c r="F1293" s="154">
        <v>2691.6</v>
      </c>
      <c r="G1293" s="156">
        <f>Tabla18[[#This Row],[Importe]]-Tabla18[[#This Row],[Pagado]]</f>
        <v>0</v>
      </c>
      <c r="H1293" s="153" t="s">
        <v>10</v>
      </c>
    </row>
    <row r="1294" spans="1:8" x14ac:dyDescent="0.25">
      <c r="A1294" s="73">
        <v>44754</v>
      </c>
      <c r="B1294" s="74" t="s">
        <v>22606</v>
      </c>
      <c r="C1294" s="75" t="s">
        <v>263</v>
      </c>
      <c r="D1294" s="81">
        <v>8043.2</v>
      </c>
      <c r="E1294" s="151">
        <v>44769</v>
      </c>
      <c r="F1294" s="81">
        <v>8043.2</v>
      </c>
      <c r="G1294" s="156">
        <f>Tabla18[[#This Row],[Importe]]-Tabla18[[#This Row],[Pagado]]</f>
        <v>0</v>
      </c>
      <c r="H1294" s="75" t="s">
        <v>10</v>
      </c>
    </row>
    <row r="1295" spans="1:8" x14ac:dyDescent="0.25">
      <c r="A1295" s="148">
        <v>44754</v>
      </c>
      <c r="B1295" s="149" t="s">
        <v>22607</v>
      </c>
      <c r="C1295" s="153" t="s">
        <v>181</v>
      </c>
      <c r="D1295" s="154">
        <v>14548.1</v>
      </c>
      <c r="E1295" s="155">
        <v>44755</v>
      </c>
      <c r="F1295" s="154">
        <v>14548.1</v>
      </c>
      <c r="G1295" s="156">
        <f>Tabla18[[#This Row],[Importe]]-Tabla18[[#This Row],[Pagado]]</f>
        <v>0</v>
      </c>
      <c r="H1295" s="153" t="s">
        <v>10</v>
      </c>
    </row>
    <row r="1296" spans="1:8" x14ac:dyDescent="0.25">
      <c r="A1296" s="73">
        <v>44754</v>
      </c>
      <c r="B1296" s="74" t="s">
        <v>22608</v>
      </c>
      <c r="C1296" s="75" t="s">
        <v>1481</v>
      </c>
      <c r="D1296" s="81">
        <v>2560</v>
      </c>
      <c r="E1296" s="151">
        <v>44755</v>
      </c>
      <c r="F1296" s="81">
        <v>2560</v>
      </c>
      <c r="G1296" s="156">
        <f>Tabla18[[#This Row],[Importe]]-Tabla18[[#This Row],[Pagado]]</f>
        <v>0</v>
      </c>
      <c r="H1296" s="75" t="s">
        <v>10</v>
      </c>
    </row>
    <row r="1297" spans="1:8" x14ac:dyDescent="0.25">
      <c r="A1297" s="148">
        <v>44754</v>
      </c>
      <c r="B1297" s="149" t="s">
        <v>22609</v>
      </c>
      <c r="C1297" s="153" t="s">
        <v>31</v>
      </c>
      <c r="D1297" s="154">
        <v>98.4</v>
      </c>
      <c r="E1297" s="155">
        <v>44754</v>
      </c>
      <c r="F1297" s="154">
        <v>98.4</v>
      </c>
      <c r="G1297" s="156">
        <f>Tabla18[[#This Row],[Importe]]-Tabla18[[#This Row],[Pagado]]</f>
        <v>0</v>
      </c>
      <c r="H1297" s="153" t="s">
        <v>10</v>
      </c>
    </row>
    <row r="1298" spans="1:8" x14ac:dyDescent="0.25">
      <c r="A1298" s="73">
        <v>44754</v>
      </c>
      <c r="B1298" s="74" t="s">
        <v>22610</v>
      </c>
      <c r="C1298" s="75" t="s">
        <v>284</v>
      </c>
      <c r="D1298" s="81">
        <v>9457.5</v>
      </c>
      <c r="E1298" s="151">
        <v>44755</v>
      </c>
      <c r="F1298" s="81">
        <v>9457.5</v>
      </c>
      <c r="G1298" s="156">
        <f>Tabla18[[#This Row],[Importe]]-Tabla18[[#This Row],[Pagado]]</f>
        <v>0</v>
      </c>
      <c r="H1298" s="75" t="s">
        <v>10</v>
      </c>
    </row>
    <row r="1299" spans="1:8" x14ac:dyDescent="0.25">
      <c r="A1299" s="148">
        <v>44754</v>
      </c>
      <c r="B1299" s="149" t="s">
        <v>22611</v>
      </c>
      <c r="C1299" s="153" t="s">
        <v>263</v>
      </c>
      <c r="D1299" s="154">
        <v>8800</v>
      </c>
      <c r="E1299" s="155">
        <v>44769</v>
      </c>
      <c r="F1299" s="154">
        <v>8800</v>
      </c>
      <c r="G1299" s="156">
        <f>Tabla18[[#This Row],[Importe]]-Tabla18[[#This Row],[Pagado]]</f>
        <v>0</v>
      </c>
      <c r="H1299" s="153" t="s">
        <v>10</v>
      </c>
    </row>
    <row r="1300" spans="1:8" x14ac:dyDescent="0.25">
      <c r="A1300" s="73">
        <v>44754</v>
      </c>
      <c r="B1300" s="74" t="s">
        <v>22612</v>
      </c>
      <c r="C1300" s="75" t="s">
        <v>53</v>
      </c>
      <c r="D1300" s="81">
        <v>1463.8</v>
      </c>
      <c r="E1300" s="151">
        <v>44754</v>
      </c>
      <c r="F1300" s="81">
        <v>1463.8</v>
      </c>
      <c r="G1300" s="156">
        <f>Tabla18[[#This Row],[Importe]]-Tabla18[[#This Row],[Pagado]]</f>
        <v>0</v>
      </c>
      <c r="H1300" s="75" t="s">
        <v>10</v>
      </c>
    </row>
    <row r="1301" spans="1:8" x14ac:dyDescent="0.25">
      <c r="A1301" s="148">
        <v>44754</v>
      </c>
      <c r="B1301" s="149" t="s">
        <v>22613</v>
      </c>
      <c r="C1301" s="153" t="s">
        <v>1008</v>
      </c>
      <c r="D1301" s="154">
        <v>3097.5</v>
      </c>
      <c r="E1301" s="155">
        <v>44754</v>
      </c>
      <c r="F1301" s="154">
        <v>3097.5</v>
      </c>
      <c r="G1301" s="156">
        <f>Tabla18[[#This Row],[Importe]]-Tabla18[[#This Row],[Pagado]]</f>
        <v>0</v>
      </c>
      <c r="H1301" s="153" t="s">
        <v>10</v>
      </c>
    </row>
    <row r="1302" spans="1:8" x14ac:dyDescent="0.25">
      <c r="A1302" s="73">
        <v>44754</v>
      </c>
      <c r="B1302" s="74" t="s">
        <v>22614</v>
      </c>
      <c r="C1302" s="75" t="s">
        <v>10819</v>
      </c>
      <c r="D1302" s="81">
        <v>682.5</v>
      </c>
      <c r="E1302" s="151">
        <v>44755</v>
      </c>
      <c r="F1302" s="81">
        <v>682.5</v>
      </c>
      <c r="G1302" s="156">
        <f>Tabla18[[#This Row],[Importe]]-Tabla18[[#This Row],[Pagado]]</f>
        <v>0</v>
      </c>
      <c r="H1302" s="75" t="s">
        <v>10</v>
      </c>
    </row>
    <row r="1303" spans="1:8" x14ac:dyDescent="0.25">
      <c r="A1303" s="148">
        <v>44754</v>
      </c>
      <c r="B1303" s="149" t="s">
        <v>22615</v>
      </c>
      <c r="C1303" s="153" t="s">
        <v>69</v>
      </c>
      <c r="D1303" s="154">
        <v>1477.5</v>
      </c>
      <c r="E1303" s="155">
        <v>44754</v>
      </c>
      <c r="F1303" s="154">
        <v>1477.5</v>
      </c>
      <c r="G1303" s="156">
        <f>Tabla18[[#This Row],[Importe]]-Tabla18[[#This Row],[Pagado]]</f>
        <v>0</v>
      </c>
      <c r="H1303" s="153" t="s">
        <v>10</v>
      </c>
    </row>
    <row r="1304" spans="1:8" x14ac:dyDescent="0.25">
      <c r="A1304" s="73">
        <v>44754</v>
      </c>
      <c r="B1304" s="74" t="s">
        <v>22616</v>
      </c>
      <c r="C1304" s="75" t="s">
        <v>10819</v>
      </c>
      <c r="D1304" s="81">
        <v>44</v>
      </c>
      <c r="E1304" s="151">
        <v>44755</v>
      </c>
      <c r="F1304" s="81">
        <v>44</v>
      </c>
      <c r="G1304" s="156">
        <f>Tabla18[[#This Row],[Importe]]-Tabla18[[#This Row],[Pagado]]</f>
        <v>0</v>
      </c>
      <c r="H1304" s="75" t="s">
        <v>10</v>
      </c>
    </row>
    <row r="1305" spans="1:8" x14ac:dyDescent="0.25">
      <c r="A1305" s="148">
        <v>44754</v>
      </c>
      <c r="B1305" s="149" t="s">
        <v>22617</v>
      </c>
      <c r="C1305" s="153" t="s">
        <v>312</v>
      </c>
      <c r="D1305" s="154">
        <v>1164.8</v>
      </c>
      <c r="E1305" s="155">
        <v>44755</v>
      </c>
      <c r="F1305" s="154">
        <v>1164.8</v>
      </c>
      <c r="G1305" s="156">
        <f>Tabla18[[#This Row],[Importe]]-Tabla18[[#This Row],[Pagado]]</f>
        <v>0</v>
      </c>
      <c r="H1305" s="153" t="s">
        <v>10</v>
      </c>
    </row>
    <row r="1306" spans="1:8" x14ac:dyDescent="0.25">
      <c r="A1306" s="73">
        <v>44754</v>
      </c>
      <c r="B1306" s="74" t="s">
        <v>22618</v>
      </c>
      <c r="C1306" s="75" t="s">
        <v>198</v>
      </c>
      <c r="D1306" s="81">
        <v>1080</v>
      </c>
      <c r="E1306" s="151">
        <v>44755</v>
      </c>
      <c r="F1306" s="81">
        <v>1080</v>
      </c>
      <c r="G1306" s="156">
        <f>Tabla18[[#This Row],[Importe]]-Tabla18[[#This Row],[Pagado]]</f>
        <v>0</v>
      </c>
      <c r="H1306" s="75" t="s">
        <v>10</v>
      </c>
    </row>
    <row r="1307" spans="1:8" x14ac:dyDescent="0.25">
      <c r="A1307" s="148">
        <v>44754</v>
      </c>
      <c r="B1307" s="149" t="s">
        <v>22619</v>
      </c>
      <c r="C1307" s="153" t="s">
        <v>282</v>
      </c>
      <c r="D1307" s="154">
        <v>1282.5</v>
      </c>
      <c r="E1307" s="155">
        <v>44755</v>
      </c>
      <c r="F1307" s="154">
        <v>1282.5</v>
      </c>
      <c r="G1307" s="156">
        <f>Tabla18[[#This Row],[Importe]]-Tabla18[[#This Row],[Pagado]]</f>
        <v>0</v>
      </c>
      <c r="H1307" s="153" t="s">
        <v>10</v>
      </c>
    </row>
    <row r="1308" spans="1:8" x14ac:dyDescent="0.25">
      <c r="A1308" s="73">
        <v>44754</v>
      </c>
      <c r="B1308" s="74" t="s">
        <v>22620</v>
      </c>
      <c r="C1308" s="75" t="s">
        <v>5345</v>
      </c>
      <c r="D1308" s="81">
        <v>3150</v>
      </c>
      <c r="E1308" s="151">
        <v>44755</v>
      </c>
      <c r="F1308" s="81">
        <v>3150</v>
      </c>
      <c r="G1308" s="156">
        <f>Tabla18[[#This Row],[Importe]]-Tabla18[[#This Row],[Pagado]]</f>
        <v>0</v>
      </c>
      <c r="H1308" s="75" t="s">
        <v>10</v>
      </c>
    </row>
    <row r="1309" spans="1:8" x14ac:dyDescent="0.25">
      <c r="A1309" s="148">
        <v>44754</v>
      </c>
      <c r="B1309" s="149" t="s">
        <v>22621</v>
      </c>
      <c r="C1309" s="153" t="s">
        <v>654</v>
      </c>
      <c r="D1309" s="154">
        <v>7560</v>
      </c>
      <c r="E1309" s="155">
        <v>44757</v>
      </c>
      <c r="F1309" s="154">
        <v>7560</v>
      </c>
      <c r="G1309" s="156">
        <f>Tabla18[[#This Row],[Importe]]-Tabla18[[#This Row],[Pagado]]</f>
        <v>0</v>
      </c>
      <c r="H1309" s="153" t="s">
        <v>10</v>
      </c>
    </row>
    <row r="1310" spans="1:8" x14ac:dyDescent="0.25">
      <c r="A1310" s="73">
        <v>44754</v>
      </c>
      <c r="B1310" s="74" t="s">
        <v>22622</v>
      </c>
      <c r="C1310" s="75" t="s">
        <v>612</v>
      </c>
      <c r="D1310" s="81">
        <v>900</v>
      </c>
      <c r="E1310" s="151">
        <v>44755</v>
      </c>
      <c r="F1310" s="81">
        <v>900</v>
      </c>
      <c r="G1310" s="156">
        <f>Tabla18[[#This Row],[Importe]]-Tabla18[[#This Row],[Pagado]]</f>
        <v>0</v>
      </c>
      <c r="H1310" s="75" t="s">
        <v>10</v>
      </c>
    </row>
    <row r="1311" spans="1:8" x14ac:dyDescent="0.25">
      <c r="A1311" s="148">
        <v>44754</v>
      </c>
      <c r="B1311" s="149" t="s">
        <v>22623</v>
      </c>
      <c r="C1311" s="153" t="s">
        <v>22</v>
      </c>
      <c r="D1311" s="154">
        <v>5505.6</v>
      </c>
      <c r="E1311" s="155">
        <v>44755</v>
      </c>
      <c r="F1311" s="154">
        <v>5505.6</v>
      </c>
      <c r="G1311" s="156">
        <f>Tabla18[[#This Row],[Importe]]-Tabla18[[#This Row],[Pagado]]</f>
        <v>0</v>
      </c>
      <c r="H1311" s="153" t="s">
        <v>10</v>
      </c>
    </row>
    <row r="1312" spans="1:8" x14ac:dyDescent="0.25">
      <c r="A1312" s="73">
        <v>44754</v>
      </c>
      <c r="B1312" s="74" t="s">
        <v>22624</v>
      </c>
      <c r="C1312" s="75" t="s">
        <v>53</v>
      </c>
      <c r="D1312" s="81">
        <v>1288</v>
      </c>
      <c r="E1312" s="151">
        <v>44755</v>
      </c>
      <c r="F1312" s="81">
        <v>1288</v>
      </c>
      <c r="G1312" s="156">
        <f>Tabla18[[#This Row],[Importe]]-Tabla18[[#This Row],[Pagado]]</f>
        <v>0</v>
      </c>
      <c r="H1312" s="75" t="s">
        <v>10</v>
      </c>
    </row>
    <row r="1313" spans="1:8" x14ac:dyDescent="0.25">
      <c r="A1313" s="148">
        <v>44754</v>
      </c>
      <c r="B1313" s="149" t="s">
        <v>22625</v>
      </c>
      <c r="C1313" s="153" t="s">
        <v>31</v>
      </c>
      <c r="D1313" s="154">
        <v>1156</v>
      </c>
      <c r="E1313" s="155">
        <v>44755</v>
      </c>
      <c r="F1313" s="154">
        <v>1156</v>
      </c>
      <c r="G1313" s="156">
        <f>Tabla18[[#This Row],[Importe]]-Tabla18[[#This Row],[Pagado]]</f>
        <v>0</v>
      </c>
      <c r="H1313" s="153" t="s">
        <v>10</v>
      </c>
    </row>
    <row r="1314" spans="1:8" x14ac:dyDescent="0.25">
      <c r="A1314" s="73">
        <v>44754</v>
      </c>
      <c r="B1314" s="74" t="s">
        <v>22626</v>
      </c>
      <c r="C1314" s="75" t="s">
        <v>402</v>
      </c>
      <c r="D1314" s="81">
        <v>16365.35</v>
      </c>
      <c r="E1314" s="151">
        <v>44762</v>
      </c>
      <c r="F1314" s="81">
        <v>16365.35</v>
      </c>
      <c r="G1314" s="156">
        <f>Tabla18[[#This Row],[Importe]]-Tabla18[[#This Row],[Pagado]]</f>
        <v>0</v>
      </c>
      <c r="H1314" s="75" t="s">
        <v>10</v>
      </c>
    </row>
    <row r="1315" spans="1:8" x14ac:dyDescent="0.25">
      <c r="A1315" s="148">
        <v>44754</v>
      </c>
      <c r="B1315" s="149" t="s">
        <v>22627</v>
      </c>
      <c r="C1315" s="153" t="s">
        <v>1339</v>
      </c>
      <c r="D1315" s="154">
        <v>3512</v>
      </c>
      <c r="E1315" s="155">
        <v>44755</v>
      </c>
      <c r="F1315" s="154">
        <v>3512</v>
      </c>
      <c r="G1315" s="156">
        <f>Tabla18[[#This Row],[Importe]]-Tabla18[[#This Row],[Pagado]]</f>
        <v>0</v>
      </c>
      <c r="H1315" s="153" t="s">
        <v>10</v>
      </c>
    </row>
    <row r="1316" spans="1:8" x14ac:dyDescent="0.25">
      <c r="A1316" s="73">
        <v>44755</v>
      </c>
      <c r="B1316" s="74" t="s">
        <v>22628</v>
      </c>
      <c r="C1316" s="75" t="s">
        <v>887</v>
      </c>
      <c r="D1316" s="81">
        <v>8800</v>
      </c>
      <c r="E1316" s="151">
        <v>44755</v>
      </c>
      <c r="F1316" s="81">
        <v>8800</v>
      </c>
      <c r="G1316" s="156">
        <f>Tabla18[[#This Row],[Importe]]-Tabla18[[#This Row],[Pagado]]</f>
        <v>0</v>
      </c>
      <c r="H1316" s="75" t="s">
        <v>10</v>
      </c>
    </row>
    <row r="1317" spans="1:8" x14ac:dyDescent="0.25">
      <c r="A1317" s="148">
        <v>44755</v>
      </c>
      <c r="B1317" s="149" t="s">
        <v>22629</v>
      </c>
      <c r="C1317" s="153" t="s">
        <v>475</v>
      </c>
      <c r="D1317" s="154">
        <v>67040</v>
      </c>
      <c r="E1317" s="155">
        <v>44756</v>
      </c>
      <c r="F1317" s="154">
        <v>67040</v>
      </c>
      <c r="G1317" s="156">
        <f>Tabla18[[#This Row],[Importe]]-Tabla18[[#This Row],[Pagado]]</f>
        <v>0</v>
      </c>
      <c r="H1317" s="153" t="s">
        <v>10</v>
      </c>
    </row>
    <row r="1318" spans="1:8" x14ac:dyDescent="0.25">
      <c r="A1318" s="73">
        <v>44755</v>
      </c>
      <c r="B1318" s="74" t="s">
        <v>22630</v>
      </c>
      <c r="C1318" s="75" t="s">
        <v>473</v>
      </c>
      <c r="D1318" s="81">
        <v>5557</v>
      </c>
      <c r="E1318" s="151">
        <v>44755</v>
      </c>
      <c r="F1318" s="81">
        <v>5557</v>
      </c>
      <c r="G1318" s="156">
        <f>Tabla18[[#This Row],[Importe]]-Tabla18[[#This Row],[Pagado]]</f>
        <v>0</v>
      </c>
      <c r="H1318" s="75" t="s">
        <v>10</v>
      </c>
    </row>
    <row r="1319" spans="1:8" x14ac:dyDescent="0.25">
      <c r="A1319" s="148">
        <v>44755</v>
      </c>
      <c r="B1319" s="149" t="s">
        <v>22631</v>
      </c>
      <c r="C1319" s="153" t="s">
        <v>85</v>
      </c>
      <c r="D1319" s="154">
        <v>1634.7</v>
      </c>
      <c r="E1319" s="155">
        <v>44755</v>
      </c>
      <c r="F1319" s="154">
        <v>1634.7</v>
      </c>
      <c r="G1319" s="156">
        <f>Tabla18[[#This Row],[Importe]]-Tabla18[[#This Row],[Pagado]]</f>
        <v>0</v>
      </c>
      <c r="H1319" s="153" t="s">
        <v>10</v>
      </c>
    </row>
    <row r="1320" spans="1:8" x14ac:dyDescent="0.25">
      <c r="A1320" s="73">
        <v>44755</v>
      </c>
      <c r="B1320" s="74" t="s">
        <v>22632</v>
      </c>
      <c r="C1320" s="75" t="s">
        <v>75</v>
      </c>
      <c r="D1320" s="81">
        <v>3873.1</v>
      </c>
      <c r="E1320" s="151">
        <v>44755</v>
      </c>
      <c r="F1320" s="81">
        <v>3873.1</v>
      </c>
      <c r="G1320" s="156">
        <f>Tabla18[[#This Row],[Importe]]-Tabla18[[#This Row],[Pagado]]</f>
        <v>0</v>
      </c>
      <c r="H1320" s="75" t="s">
        <v>10</v>
      </c>
    </row>
    <row r="1321" spans="1:8" x14ac:dyDescent="0.25">
      <c r="A1321" s="148">
        <v>44755</v>
      </c>
      <c r="B1321" s="149" t="s">
        <v>22633</v>
      </c>
      <c r="C1321" s="153" t="s">
        <v>83</v>
      </c>
      <c r="D1321" s="154">
        <v>6342.5</v>
      </c>
      <c r="E1321" s="155">
        <v>44755</v>
      </c>
      <c r="F1321" s="154">
        <v>6342.5</v>
      </c>
      <c r="G1321" s="156">
        <f>Tabla18[[#This Row],[Importe]]-Tabla18[[#This Row],[Pagado]]</f>
        <v>0</v>
      </c>
      <c r="H1321" s="153" t="s">
        <v>10</v>
      </c>
    </row>
    <row r="1322" spans="1:8" x14ac:dyDescent="0.25">
      <c r="A1322" s="73">
        <v>44755</v>
      </c>
      <c r="B1322" s="74" t="s">
        <v>22634</v>
      </c>
      <c r="C1322" s="75" t="s">
        <v>9993</v>
      </c>
      <c r="D1322" s="81">
        <v>6254</v>
      </c>
      <c r="E1322" s="151">
        <v>44755</v>
      </c>
      <c r="F1322" s="81">
        <v>6254</v>
      </c>
      <c r="G1322" s="156">
        <f>Tabla18[[#This Row],[Importe]]-Tabla18[[#This Row],[Pagado]]</f>
        <v>0</v>
      </c>
      <c r="H1322" s="75" t="s">
        <v>10</v>
      </c>
    </row>
    <row r="1323" spans="1:8" x14ac:dyDescent="0.25">
      <c r="A1323" s="148">
        <v>44755</v>
      </c>
      <c r="B1323" s="149" t="s">
        <v>22635</v>
      </c>
      <c r="C1323" s="153" t="s">
        <v>87</v>
      </c>
      <c r="D1323" s="154">
        <v>3169.7</v>
      </c>
      <c r="E1323" s="155">
        <v>44755</v>
      </c>
      <c r="F1323" s="154">
        <v>3169.7</v>
      </c>
      <c r="G1323" s="156">
        <f>Tabla18[[#This Row],[Importe]]-Tabla18[[#This Row],[Pagado]]</f>
        <v>0</v>
      </c>
      <c r="H1323" s="153" t="s">
        <v>10</v>
      </c>
    </row>
    <row r="1324" spans="1:8" x14ac:dyDescent="0.25">
      <c r="A1324" s="73">
        <v>44755</v>
      </c>
      <c r="B1324" s="74" t="s">
        <v>22636</v>
      </c>
      <c r="C1324" s="75" t="s">
        <v>481</v>
      </c>
      <c r="D1324" s="81">
        <v>193.6</v>
      </c>
      <c r="E1324" s="151">
        <v>44755</v>
      </c>
      <c r="F1324" s="81">
        <v>193.6</v>
      </c>
      <c r="G1324" s="156">
        <f>Tabla18[[#This Row],[Importe]]-Tabla18[[#This Row],[Pagado]]</f>
        <v>0</v>
      </c>
      <c r="H1324" s="75" t="s">
        <v>10</v>
      </c>
    </row>
    <row r="1325" spans="1:8" x14ac:dyDescent="0.25">
      <c r="A1325" s="148">
        <v>44755</v>
      </c>
      <c r="B1325" s="149" t="s">
        <v>22637</v>
      </c>
      <c r="C1325" s="153" t="s">
        <v>22638</v>
      </c>
      <c r="D1325" s="154">
        <v>0</v>
      </c>
      <c r="E1325" s="158" t="s">
        <v>189</v>
      </c>
      <c r="F1325" s="154">
        <v>0</v>
      </c>
      <c r="G1325" s="156">
        <f>Tabla18[[#This Row],[Importe]]-Tabla18[[#This Row],[Pagado]]</f>
        <v>0</v>
      </c>
      <c r="H1325" s="159" t="s">
        <v>22639</v>
      </c>
    </row>
    <row r="1326" spans="1:8" x14ac:dyDescent="0.25">
      <c r="A1326" s="73">
        <v>44755</v>
      </c>
      <c r="B1326" s="74" t="s">
        <v>22640</v>
      </c>
      <c r="C1326" s="75" t="s">
        <v>2563</v>
      </c>
      <c r="D1326" s="81">
        <v>4819.2</v>
      </c>
      <c r="E1326" s="151">
        <v>44756</v>
      </c>
      <c r="F1326" s="81">
        <v>4819.2</v>
      </c>
      <c r="G1326" s="156">
        <f>Tabla18[[#This Row],[Importe]]-Tabla18[[#This Row],[Pagado]]</f>
        <v>0</v>
      </c>
      <c r="H1326" s="75" t="s">
        <v>10</v>
      </c>
    </row>
    <row r="1327" spans="1:8" x14ac:dyDescent="0.25">
      <c r="A1327" s="148">
        <v>44755</v>
      </c>
      <c r="B1327" s="149" t="s">
        <v>22641</v>
      </c>
      <c r="C1327" s="153" t="s">
        <v>97</v>
      </c>
      <c r="D1327" s="154">
        <v>5420.8</v>
      </c>
      <c r="E1327" s="155">
        <v>44756</v>
      </c>
      <c r="F1327" s="154">
        <v>5420.8</v>
      </c>
      <c r="G1327" s="156">
        <f>Tabla18[[#This Row],[Importe]]-Tabla18[[#This Row],[Pagado]]</f>
        <v>0</v>
      </c>
      <c r="H1327" s="153" t="s">
        <v>10</v>
      </c>
    </row>
    <row r="1328" spans="1:8" x14ac:dyDescent="0.25">
      <c r="A1328" s="73">
        <v>44755</v>
      </c>
      <c r="B1328" s="74" t="s">
        <v>22642</v>
      </c>
      <c r="C1328" s="75" t="s">
        <v>64</v>
      </c>
      <c r="D1328" s="81">
        <v>4563.2</v>
      </c>
      <c r="E1328" s="151">
        <v>44757</v>
      </c>
      <c r="F1328" s="81">
        <v>4563.2</v>
      </c>
      <c r="G1328" s="156">
        <f>Tabla18[[#This Row],[Importe]]-Tabla18[[#This Row],[Pagado]]</f>
        <v>0</v>
      </c>
      <c r="H1328" s="75" t="s">
        <v>10</v>
      </c>
    </row>
    <row r="1329" spans="1:8" x14ac:dyDescent="0.25">
      <c r="A1329" s="148">
        <v>44755</v>
      </c>
      <c r="B1329" s="149" t="s">
        <v>22643</v>
      </c>
      <c r="C1329" s="153" t="s">
        <v>5043</v>
      </c>
      <c r="D1329" s="154">
        <v>5363.2</v>
      </c>
      <c r="E1329" s="155">
        <v>44757</v>
      </c>
      <c r="F1329" s="154">
        <v>5363.2</v>
      </c>
      <c r="G1329" s="156">
        <f>Tabla18[[#This Row],[Importe]]-Tabla18[[#This Row],[Pagado]]</f>
        <v>0</v>
      </c>
      <c r="H1329" s="153" t="s">
        <v>10</v>
      </c>
    </row>
    <row r="1330" spans="1:8" x14ac:dyDescent="0.25">
      <c r="A1330" s="73">
        <v>44755</v>
      </c>
      <c r="B1330" s="74" t="s">
        <v>22644</v>
      </c>
      <c r="C1330" s="75" t="s">
        <v>99</v>
      </c>
      <c r="D1330" s="81">
        <v>5003.3999999999996</v>
      </c>
      <c r="E1330" s="151">
        <v>44757</v>
      </c>
      <c r="F1330" s="81">
        <v>5003.3999999999996</v>
      </c>
      <c r="G1330" s="156">
        <f>Tabla18[[#This Row],[Importe]]-Tabla18[[#This Row],[Pagado]]</f>
        <v>0</v>
      </c>
      <c r="H1330" s="75" t="s">
        <v>10</v>
      </c>
    </row>
    <row r="1331" spans="1:8" x14ac:dyDescent="0.25">
      <c r="A1331" s="148">
        <v>44755</v>
      </c>
      <c r="B1331" s="149" t="s">
        <v>22645</v>
      </c>
      <c r="C1331" s="153" t="s">
        <v>89</v>
      </c>
      <c r="D1331" s="154">
        <v>11422.4</v>
      </c>
      <c r="E1331" s="155">
        <v>44756</v>
      </c>
      <c r="F1331" s="154">
        <v>11422.4</v>
      </c>
      <c r="G1331" s="156">
        <f>Tabla18[[#This Row],[Importe]]-Tabla18[[#This Row],[Pagado]]</f>
        <v>0</v>
      </c>
      <c r="H1331" s="153" t="s">
        <v>10</v>
      </c>
    </row>
    <row r="1332" spans="1:8" x14ac:dyDescent="0.25">
      <c r="A1332" s="73">
        <v>44755</v>
      </c>
      <c r="B1332" s="74" t="s">
        <v>22646</v>
      </c>
      <c r="C1332" s="75" t="s">
        <v>2151</v>
      </c>
      <c r="D1332" s="81">
        <v>18688.400000000001</v>
      </c>
      <c r="E1332" s="151">
        <v>44755</v>
      </c>
      <c r="F1332" s="81">
        <v>18688.400000000001</v>
      </c>
      <c r="G1332" s="156">
        <f>Tabla18[[#This Row],[Importe]]-Tabla18[[#This Row],[Pagado]]</f>
        <v>0</v>
      </c>
      <c r="H1332" s="75" t="s">
        <v>10</v>
      </c>
    </row>
    <row r="1333" spans="1:8" x14ac:dyDescent="0.25">
      <c r="A1333" s="148">
        <v>44755</v>
      </c>
      <c r="B1333" s="149" t="s">
        <v>22647</v>
      </c>
      <c r="C1333" s="153" t="s">
        <v>93</v>
      </c>
      <c r="D1333" s="154">
        <v>9262.7000000000007</v>
      </c>
      <c r="E1333" s="155">
        <v>44758</v>
      </c>
      <c r="F1333" s="154">
        <v>9262.7000000000007</v>
      </c>
      <c r="G1333" s="156">
        <f>Tabla18[[#This Row],[Importe]]-Tabla18[[#This Row],[Pagado]]</f>
        <v>0</v>
      </c>
      <c r="H1333" s="153" t="s">
        <v>10</v>
      </c>
    </row>
    <row r="1334" spans="1:8" x14ac:dyDescent="0.25">
      <c r="A1334" s="73">
        <v>44755</v>
      </c>
      <c r="B1334" s="74" t="s">
        <v>22648</v>
      </c>
      <c r="C1334" s="75" t="s">
        <v>109</v>
      </c>
      <c r="D1334" s="81">
        <v>5572.6</v>
      </c>
      <c r="E1334" s="151">
        <v>44756</v>
      </c>
      <c r="F1334" s="81">
        <v>5572.6</v>
      </c>
      <c r="G1334" s="156">
        <f>Tabla18[[#This Row],[Importe]]-Tabla18[[#This Row],[Pagado]]</f>
        <v>0</v>
      </c>
      <c r="H1334" s="75" t="s">
        <v>10</v>
      </c>
    </row>
    <row r="1335" spans="1:8" x14ac:dyDescent="0.25">
      <c r="A1335" s="148">
        <v>44755</v>
      </c>
      <c r="B1335" s="149" t="s">
        <v>22649</v>
      </c>
      <c r="C1335" s="153" t="s">
        <v>20</v>
      </c>
      <c r="D1335" s="154">
        <v>2720.1</v>
      </c>
      <c r="E1335" s="155">
        <v>44755</v>
      </c>
      <c r="F1335" s="154">
        <v>2720.1</v>
      </c>
      <c r="G1335" s="156">
        <f>Tabla18[[#This Row],[Importe]]-Tabla18[[#This Row],[Pagado]]</f>
        <v>0</v>
      </c>
      <c r="H1335" s="153" t="s">
        <v>10</v>
      </c>
    </row>
    <row r="1336" spans="1:8" x14ac:dyDescent="0.25">
      <c r="A1336" s="73">
        <v>44755</v>
      </c>
      <c r="B1336" s="74" t="s">
        <v>22650</v>
      </c>
      <c r="C1336" s="75" t="s">
        <v>105</v>
      </c>
      <c r="D1336" s="81">
        <v>7784.2</v>
      </c>
      <c r="E1336" s="151">
        <v>44756</v>
      </c>
      <c r="F1336" s="81">
        <v>7784.2</v>
      </c>
      <c r="G1336" s="156">
        <f>Tabla18[[#This Row],[Importe]]-Tabla18[[#This Row],[Pagado]]</f>
        <v>0</v>
      </c>
      <c r="H1336" s="75" t="s">
        <v>10</v>
      </c>
    </row>
    <row r="1337" spans="1:8" x14ac:dyDescent="0.25">
      <c r="A1337" s="148">
        <v>44755</v>
      </c>
      <c r="B1337" s="149" t="s">
        <v>22651</v>
      </c>
      <c r="C1337" s="153" t="s">
        <v>114</v>
      </c>
      <c r="D1337" s="154">
        <v>11326.6</v>
      </c>
      <c r="E1337" s="155">
        <v>44757</v>
      </c>
      <c r="F1337" s="154">
        <v>11326.6</v>
      </c>
      <c r="G1337" s="156">
        <f>Tabla18[[#This Row],[Importe]]-Tabla18[[#This Row],[Pagado]]</f>
        <v>0</v>
      </c>
      <c r="H1337" s="153" t="s">
        <v>10</v>
      </c>
    </row>
    <row r="1338" spans="1:8" x14ac:dyDescent="0.25">
      <c r="A1338" s="73">
        <v>44755</v>
      </c>
      <c r="B1338" s="74" t="s">
        <v>22652</v>
      </c>
      <c r="C1338" s="75" t="s">
        <v>326</v>
      </c>
      <c r="D1338" s="81">
        <v>6965.9</v>
      </c>
      <c r="E1338" s="151">
        <v>44757</v>
      </c>
      <c r="F1338" s="81">
        <v>6965.9</v>
      </c>
      <c r="G1338" s="156">
        <f>Tabla18[[#This Row],[Importe]]-Tabla18[[#This Row],[Pagado]]</f>
        <v>0</v>
      </c>
      <c r="H1338" s="75" t="s">
        <v>10</v>
      </c>
    </row>
    <row r="1339" spans="1:8" x14ac:dyDescent="0.25">
      <c r="A1339" s="148">
        <v>44755</v>
      </c>
      <c r="B1339" s="149" t="s">
        <v>22653</v>
      </c>
      <c r="C1339" s="153" t="s">
        <v>348</v>
      </c>
      <c r="D1339" s="154">
        <v>4914.7</v>
      </c>
      <c r="E1339" s="155">
        <v>44755</v>
      </c>
      <c r="F1339" s="154">
        <v>4914.7</v>
      </c>
      <c r="G1339" s="156">
        <f>Tabla18[[#This Row],[Importe]]-Tabla18[[#This Row],[Pagado]]</f>
        <v>0</v>
      </c>
      <c r="H1339" s="153" t="s">
        <v>10</v>
      </c>
    </row>
    <row r="1340" spans="1:8" x14ac:dyDescent="0.25">
      <c r="A1340" s="73">
        <v>44755</v>
      </c>
      <c r="B1340" s="74" t="s">
        <v>22654</v>
      </c>
      <c r="C1340" s="75" t="s">
        <v>450</v>
      </c>
      <c r="D1340" s="81">
        <v>4237.5</v>
      </c>
      <c r="E1340" s="151">
        <v>44755</v>
      </c>
      <c r="F1340" s="81">
        <v>4237.5</v>
      </c>
      <c r="G1340" s="156">
        <f>Tabla18[[#This Row],[Importe]]-Tabla18[[#This Row],[Pagado]]</f>
        <v>0</v>
      </c>
      <c r="H1340" s="75" t="s">
        <v>10</v>
      </c>
    </row>
    <row r="1341" spans="1:8" x14ac:dyDescent="0.25">
      <c r="A1341" s="148">
        <v>44755</v>
      </c>
      <c r="B1341" s="149" t="s">
        <v>22655</v>
      </c>
      <c r="C1341" s="153" t="s">
        <v>9</v>
      </c>
      <c r="D1341" s="154">
        <v>6868.2</v>
      </c>
      <c r="E1341" s="155">
        <v>44755</v>
      </c>
      <c r="F1341" s="154">
        <v>6868.2</v>
      </c>
      <c r="G1341" s="156">
        <f>Tabla18[[#This Row],[Importe]]-Tabla18[[#This Row],[Pagado]]</f>
        <v>0</v>
      </c>
      <c r="H1341" s="153" t="s">
        <v>10</v>
      </c>
    </row>
    <row r="1342" spans="1:8" x14ac:dyDescent="0.25">
      <c r="A1342" s="73">
        <v>44755</v>
      </c>
      <c r="B1342" s="74" t="s">
        <v>22656</v>
      </c>
      <c r="C1342" s="75" t="s">
        <v>1187</v>
      </c>
      <c r="D1342" s="81">
        <v>2418</v>
      </c>
      <c r="E1342" s="151">
        <v>44755</v>
      </c>
      <c r="F1342" s="81">
        <v>2418</v>
      </c>
      <c r="G1342" s="156">
        <f>Tabla18[[#This Row],[Importe]]-Tabla18[[#This Row],[Pagado]]</f>
        <v>0</v>
      </c>
      <c r="H1342" s="75" t="s">
        <v>10</v>
      </c>
    </row>
    <row r="1343" spans="1:8" x14ac:dyDescent="0.25">
      <c r="A1343" s="148">
        <v>44755</v>
      </c>
      <c r="B1343" s="149" t="s">
        <v>22657</v>
      </c>
      <c r="C1343" s="153" t="s">
        <v>56</v>
      </c>
      <c r="D1343" s="154">
        <v>9471.7999999999993</v>
      </c>
      <c r="E1343" s="155">
        <v>44755</v>
      </c>
      <c r="F1343" s="154">
        <v>9471.7999999999993</v>
      </c>
      <c r="G1343" s="156">
        <f>Tabla18[[#This Row],[Importe]]-Tabla18[[#This Row],[Pagado]]</f>
        <v>0</v>
      </c>
      <c r="H1343" s="153" t="s">
        <v>10</v>
      </c>
    </row>
    <row r="1344" spans="1:8" x14ac:dyDescent="0.25">
      <c r="A1344" s="73">
        <v>44755</v>
      </c>
      <c r="B1344" s="74" t="s">
        <v>22658</v>
      </c>
      <c r="C1344" s="75" t="s">
        <v>924</v>
      </c>
      <c r="D1344" s="81">
        <v>13620</v>
      </c>
      <c r="E1344" s="151">
        <v>44755</v>
      </c>
      <c r="F1344" s="81">
        <v>13620</v>
      </c>
      <c r="G1344" s="156">
        <f>Tabla18[[#This Row],[Importe]]-Tabla18[[#This Row],[Pagado]]</f>
        <v>0</v>
      </c>
      <c r="H1344" s="75" t="s">
        <v>10</v>
      </c>
    </row>
    <row r="1345" spans="1:8" x14ac:dyDescent="0.25">
      <c r="A1345" s="148">
        <v>44755</v>
      </c>
      <c r="B1345" s="149" t="s">
        <v>22659</v>
      </c>
      <c r="C1345" s="153" t="s">
        <v>16</v>
      </c>
      <c r="D1345" s="154">
        <v>5754</v>
      </c>
      <c r="E1345" s="155">
        <v>44755</v>
      </c>
      <c r="F1345" s="154">
        <v>5754</v>
      </c>
      <c r="G1345" s="156">
        <f>Tabla18[[#This Row],[Importe]]-Tabla18[[#This Row],[Pagado]]</f>
        <v>0</v>
      </c>
      <c r="H1345" s="153" t="s">
        <v>10</v>
      </c>
    </row>
    <row r="1346" spans="1:8" x14ac:dyDescent="0.25">
      <c r="A1346" s="73">
        <v>44755</v>
      </c>
      <c r="B1346" s="74" t="s">
        <v>22660</v>
      </c>
      <c r="C1346" s="75" t="s">
        <v>22</v>
      </c>
      <c r="D1346" s="81">
        <v>55993.1</v>
      </c>
      <c r="E1346" s="151">
        <v>44756</v>
      </c>
      <c r="F1346" s="81">
        <f>36000+19993.1</f>
        <v>55993.1</v>
      </c>
      <c r="G1346" s="156">
        <f>Tabla18[[#This Row],[Importe]]-Tabla18[[#This Row],[Pagado]]</f>
        <v>0</v>
      </c>
      <c r="H1346" s="75" t="s">
        <v>10</v>
      </c>
    </row>
    <row r="1347" spans="1:8" x14ac:dyDescent="0.25">
      <c r="A1347" s="148">
        <v>44755</v>
      </c>
      <c r="B1347" s="149" t="s">
        <v>22661</v>
      </c>
      <c r="C1347" s="153" t="s">
        <v>22</v>
      </c>
      <c r="D1347" s="154">
        <v>1014</v>
      </c>
      <c r="E1347" s="155">
        <v>44757</v>
      </c>
      <c r="F1347" s="154">
        <v>1014</v>
      </c>
      <c r="G1347" s="156">
        <f>Tabla18[[#This Row],[Importe]]-Tabla18[[#This Row],[Pagado]]</f>
        <v>0</v>
      </c>
      <c r="H1347" s="153" t="s">
        <v>10</v>
      </c>
    </row>
    <row r="1348" spans="1:8" x14ac:dyDescent="0.25">
      <c r="A1348" s="73">
        <v>44755</v>
      </c>
      <c r="B1348" s="74" t="s">
        <v>22662</v>
      </c>
      <c r="C1348" s="75" t="s">
        <v>11033</v>
      </c>
      <c r="D1348" s="81">
        <v>1824.9</v>
      </c>
      <c r="E1348" s="151">
        <v>44755</v>
      </c>
      <c r="F1348" s="81">
        <v>1824.9</v>
      </c>
      <c r="G1348" s="156">
        <f>Tabla18[[#This Row],[Importe]]-Tabla18[[#This Row],[Pagado]]</f>
        <v>0</v>
      </c>
      <c r="H1348" s="75" t="s">
        <v>10</v>
      </c>
    </row>
    <row r="1349" spans="1:8" x14ac:dyDescent="0.25">
      <c r="A1349" s="148">
        <v>44755</v>
      </c>
      <c r="B1349" s="149" t="s">
        <v>22663</v>
      </c>
      <c r="C1349" s="153" t="s">
        <v>31</v>
      </c>
      <c r="D1349" s="154">
        <v>39557.699999999997</v>
      </c>
      <c r="E1349" s="155">
        <v>44755</v>
      </c>
      <c r="F1349" s="154">
        <v>39557.699999999997</v>
      </c>
      <c r="G1349" s="156">
        <f>Tabla18[[#This Row],[Importe]]-Tabla18[[#This Row],[Pagado]]</f>
        <v>0</v>
      </c>
      <c r="H1349" s="153" t="s">
        <v>10</v>
      </c>
    </row>
    <row r="1350" spans="1:8" x14ac:dyDescent="0.25">
      <c r="A1350" s="73">
        <v>44755</v>
      </c>
      <c r="B1350" s="74" t="s">
        <v>22664</v>
      </c>
      <c r="C1350" s="75" t="s">
        <v>27</v>
      </c>
      <c r="D1350" s="81">
        <v>726.8</v>
      </c>
      <c r="E1350" s="151">
        <v>44755</v>
      </c>
      <c r="F1350" s="81">
        <v>726.8</v>
      </c>
      <c r="G1350" s="156">
        <f>Tabla18[[#This Row],[Importe]]-Tabla18[[#This Row],[Pagado]]</f>
        <v>0</v>
      </c>
      <c r="H1350" s="75" t="s">
        <v>10</v>
      </c>
    </row>
    <row r="1351" spans="1:8" x14ac:dyDescent="0.25">
      <c r="A1351" s="148">
        <v>44755</v>
      </c>
      <c r="B1351" s="149" t="s">
        <v>22665</v>
      </c>
      <c r="C1351" s="153" t="s">
        <v>196</v>
      </c>
      <c r="D1351" s="154">
        <v>87559.6</v>
      </c>
      <c r="E1351" s="155">
        <v>44757</v>
      </c>
      <c r="F1351" s="154">
        <v>87559.6</v>
      </c>
      <c r="G1351" s="156">
        <f>Tabla18[[#This Row],[Importe]]-Tabla18[[#This Row],[Pagado]]</f>
        <v>0</v>
      </c>
      <c r="H1351" s="153" t="s">
        <v>10</v>
      </c>
    </row>
    <row r="1352" spans="1:8" x14ac:dyDescent="0.25">
      <c r="A1352" s="73">
        <v>44755</v>
      </c>
      <c r="B1352" s="74" t="s">
        <v>22666</v>
      </c>
      <c r="C1352" s="75" t="s">
        <v>161</v>
      </c>
      <c r="D1352" s="81">
        <v>3981.2</v>
      </c>
      <c r="E1352" s="151">
        <v>44755</v>
      </c>
      <c r="F1352" s="81">
        <v>3981.2</v>
      </c>
      <c r="G1352" s="156">
        <f>Tabla18[[#This Row],[Importe]]-Tabla18[[#This Row],[Pagado]]</f>
        <v>0</v>
      </c>
      <c r="H1352" s="75" t="s">
        <v>10</v>
      </c>
    </row>
    <row r="1353" spans="1:8" x14ac:dyDescent="0.25">
      <c r="A1353" s="148">
        <v>44755</v>
      </c>
      <c r="B1353" s="149" t="s">
        <v>22667</v>
      </c>
      <c r="C1353" s="153" t="s">
        <v>107</v>
      </c>
      <c r="D1353" s="154">
        <v>15324.8</v>
      </c>
      <c r="E1353" s="155">
        <v>44756</v>
      </c>
      <c r="F1353" s="154">
        <v>15324.8</v>
      </c>
      <c r="G1353" s="156">
        <f>Tabla18[[#This Row],[Importe]]-Tabla18[[#This Row],[Pagado]]</f>
        <v>0</v>
      </c>
      <c r="H1353" s="153" t="s">
        <v>10</v>
      </c>
    </row>
    <row r="1354" spans="1:8" x14ac:dyDescent="0.25">
      <c r="A1354" s="73">
        <v>44755</v>
      </c>
      <c r="B1354" s="74" t="s">
        <v>22668</v>
      </c>
      <c r="C1354" s="75" t="s">
        <v>45</v>
      </c>
      <c r="D1354" s="81">
        <v>10438.6</v>
      </c>
      <c r="E1354" s="151">
        <v>44755</v>
      </c>
      <c r="F1354" s="81">
        <v>10438.6</v>
      </c>
      <c r="G1354" s="156">
        <f>Tabla18[[#This Row],[Importe]]-Tabla18[[#This Row],[Pagado]]</f>
        <v>0</v>
      </c>
      <c r="H1354" s="75" t="s">
        <v>10</v>
      </c>
    </row>
    <row r="1355" spans="1:8" x14ac:dyDescent="0.25">
      <c r="A1355" s="148">
        <v>44755</v>
      </c>
      <c r="B1355" s="149" t="s">
        <v>22669</v>
      </c>
      <c r="C1355" s="153" t="s">
        <v>19979</v>
      </c>
      <c r="D1355" s="154">
        <v>0</v>
      </c>
      <c r="E1355" s="158" t="s">
        <v>189</v>
      </c>
      <c r="F1355" s="154">
        <v>0</v>
      </c>
      <c r="G1355" s="156">
        <f>Tabla18[[#This Row],[Importe]]-Tabla18[[#This Row],[Pagado]]</f>
        <v>0</v>
      </c>
      <c r="H1355" s="159" t="s">
        <v>22670</v>
      </c>
    </row>
    <row r="1356" spans="1:8" x14ac:dyDescent="0.25">
      <c r="A1356" s="73">
        <v>44755</v>
      </c>
      <c r="B1356" s="74" t="s">
        <v>22671</v>
      </c>
      <c r="C1356" s="75" t="s">
        <v>127</v>
      </c>
      <c r="D1356" s="81">
        <v>1960</v>
      </c>
      <c r="E1356" s="151">
        <v>44755</v>
      </c>
      <c r="F1356" s="81">
        <v>1960</v>
      </c>
      <c r="G1356" s="156">
        <f>Tabla18[[#This Row],[Importe]]-Tabla18[[#This Row],[Pagado]]</f>
        <v>0</v>
      </c>
      <c r="H1356" s="75" t="s">
        <v>10</v>
      </c>
    </row>
    <row r="1357" spans="1:8" x14ac:dyDescent="0.25">
      <c r="A1357" s="148">
        <v>44755</v>
      </c>
      <c r="B1357" s="149" t="s">
        <v>22672</v>
      </c>
      <c r="C1357" s="153" t="s">
        <v>339</v>
      </c>
      <c r="D1357" s="154">
        <v>728</v>
      </c>
      <c r="E1357" s="155">
        <v>44755</v>
      </c>
      <c r="F1357" s="154">
        <v>728</v>
      </c>
      <c r="G1357" s="156">
        <f>Tabla18[[#This Row],[Importe]]-Tabla18[[#This Row],[Pagado]]</f>
        <v>0</v>
      </c>
      <c r="H1357" s="153" t="s">
        <v>10</v>
      </c>
    </row>
    <row r="1358" spans="1:8" x14ac:dyDescent="0.25">
      <c r="A1358" s="73">
        <v>44755</v>
      </c>
      <c r="B1358" s="74" t="s">
        <v>22673</v>
      </c>
      <c r="C1358" s="75" t="s">
        <v>140</v>
      </c>
      <c r="D1358" s="81">
        <v>4462.5</v>
      </c>
      <c r="E1358" s="151">
        <v>44755</v>
      </c>
      <c r="F1358" s="81">
        <v>4462.5</v>
      </c>
      <c r="G1358" s="156">
        <f>Tabla18[[#This Row],[Importe]]-Tabla18[[#This Row],[Pagado]]</f>
        <v>0</v>
      </c>
      <c r="H1358" s="75" t="s">
        <v>10</v>
      </c>
    </row>
    <row r="1359" spans="1:8" x14ac:dyDescent="0.25">
      <c r="A1359" s="148">
        <v>44755</v>
      </c>
      <c r="B1359" s="149" t="s">
        <v>22674</v>
      </c>
      <c r="C1359" s="153" t="s">
        <v>129</v>
      </c>
      <c r="D1359" s="154">
        <v>4650</v>
      </c>
      <c r="E1359" s="155">
        <v>44755</v>
      </c>
      <c r="F1359" s="154">
        <v>4650</v>
      </c>
      <c r="G1359" s="156">
        <f>Tabla18[[#This Row],[Importe]]-Tabla18[[#This Row],[Pagado]]</f>
        <v>0</v>
      </c>
      <c r="H1359" s="153" t="s">
        <v>10</v>
      </c>
    </row>
    <row r="1360" spans="1:8" x14ac:dyDescent="0.25">
      <c r="A1360" s="73">
        <v>44755</v>
      </c>
      <c r="B1360" s="74" t="s">
        <v>22675</v>
      </c>
      <c r="C1360" s="75" t="s">
        <v>214</v>
      </c>
      <c r="D1360" s="81">
        <v>9976</v>
      </c>
      <c r="E1360" s="151">
        <v>44755</v>
      </c>
      <c r="F1360" s="81">
        <v>9976</v>
      </c>
      <c r="G1360" s="156">
        <f>Tabla18[[#This Row],[Importe]]-Tabla18[[#This Row],[Pagado]]</f>
        <v>0</v>
      </c>
      <c r="H1360" s="75" t="s">
        <v>10</v>
      </c>
    </row>
    <row r="1361" spans="1:8" x14ac:dyDescent="0.25">
      <c r="A1361" s="148">
        <v>44755</v>
      </c>
      <c r="B1361" s="149" t="s">
        <v>22676</v>
      </c>
      <c r="C1361" s="153" t="s">
        <v>31</v>
      </c>
      <c r="D1361" s="154">
        <v>7700</v>
      </c>
      <c r="E1361" s="155">
        <v>44755</v>
      </c>
      <c r="F1361" s="154">
        <v>7700</v>
      </c>
      <c r="G1361" s="156">
        <f>Tabla18[[#This Row],[Importe]]-Tabla18[[#This Row],[Pagado]]</f>
        <v>0</v>
      </c>
      <c r="H1361" s="153" t="s">
        <v>10</v>
      </c>
    </row>
    <row r="1362" spans="1:8" x14ac:dyDescent="0.25">
      <c r="A1362" s="73">
        <v>44755</v>
      </c>
      <c r="B1362" s="74" t="s">
        <v>22677</v>
      </c>
      <c r="C1362" s="75" t="s">
        <v>414</v>
      </c>
      <c r="D1362" s="81">
        <v>36.94</v>
      </c>
      <c r="E1362" s="151">
        <v>44756</v>
      </c>
      <c r="F1362" s="81">
        <v>36.94</v>
      </c>
      <c r="G1362" s="156">
        <f>Tabla18[[#This Row],[Importe]]-Tabla18[[#This Row],[Pagado]]</f>
        <v>0</v>
      </c>
      <c r="H1362" s="75" t="s">
        <v>10</v>
      </c>
    </row>
    <row r="1363" spans="1:8" x14ac:dyDescent="0.25">
      <c r="A1363" s="148">
        <v>44755</v>
      </c>
      <c r="B1363" s="149" t="s">
        <v>22678</v>
      </c>
      <c r="C1363" s="153" t="s">
        <v>348</v>
      </c>
      <c r="D1363" s="154">
        <v>2151.6999999999998</v>
      </c>
      <c r="E1363" s="155">
        <v>44755</v>
      </c>
      <c r="F1363" s="154">
        <v>2151.6999999999998</v>
      </c>
      <c r="G1363" s="156">
        <f>Tabla18[[#This Row],[Importe]]-Tabla18[[#This Row],[Pagado]]</f>
        <v>0</v>
      </c>
      <c r="H1363" s="153" t="s">
        <v>10</v>
      </c>
    </row>
    <row r="1364" spans="1:8" x14ac:dyDescent="0.25">
      <c r="A1364" s="73">
        <v>44755</v>
      </c>
      <c r="B1364" s="74" t="s">
        <v>22679</v>
      </c>
      <c r="C1364" s="75" t="s">
        <v>1362</v>
      </c>
      <c r="D1364" s="81">
        <v>3007.2</v>
      </c>
      <c r="E1364" s="151">
        <v>44755</v>
      </c>
      <c r="F1364" s="81">
        <v>3007.2</v>
      </c>
      <c r="G1364" s="156">
        <f>Tabla18[[#This Row],[Importe]]-Tabla18[[#This Row],[Pagado]]</f>
        <v>0</v>
      </c>
      <c r="H1364" s="75" t="s">
        <v>10</v>
      </c>
    </row>
    <row r="1365" spans="1:8" x14ac:dyDescent="0.25">
      <c r="A1365" s="148">
        <v>44755</v>
      </c>
      <c r="B1365" s="149" t="s">
        <v>22680</v>
      </c>
      <c r="C1365" s="153" t="s">
        <v>24</v>
      </c>
      <c r="D1365" s="154">
        <v>3629.2</v>
      </c>
      <c r="E1365" s="155">
        <v>44755</v>
      </c>
      <c r="F1365" s="154">
        <v>3629.2</v>
      </c>
      <c r="G1365" s="156">
        <f>Tabla18[[#This Row],[Importe]]-Tabla18[[#This Row],[Pagado]]</f>
        <v>0</v>
      </c>
      <c r="H1365" s="153" t="s">
        <v>10</v>
      </c>
    </row>
    <row r="1366" spans="1:8" x14ac:dyDescent="0.25">
      <c r="A1366" s="73">
        <v>44755</v>
      </c>
      <c r="B1366" s="74" t="s">
        <v>22681</v>
      </c>
      <c r="C1366" s="75" t="s">
        <v>49</v>
      </c>
      <c r="D1366" s="81">
        <v>954</v>
      </c>
      <c r="E1366" s="151">
        <v>44755</v>
      </c>
      <c r="F1366" s="81">
        <v>954</v>
      </c>
      <c r="G1366" s="156">
        <f>Tabla18[[#This Row],[Importe]]-Tabla18[[#This Row],[Pagado]]</f>
        <v>0</v>
      </c>
      <c r="H1366" s="75" t="s">
        <v>10</v>
      </c>
    </row>
    <row r="1367" spans="1:8" x14ac:dyDescent="0.25">
      <c r="A1367" s="148">
        <v>44755</v>
      </c>
      <c r="B1367" s="149" t="s">
        <v>22682</v>
      </c>
      <c r="C1367" s="153" t="s">
        <v>33</v>
      </c>
      <c r="D1367" s="154">
        <v>2323.1</v>
      </c>
      <c r="E1367" s="155">
        <v>44755</v>
      </c>
      <c r="F1367" s="154">
        <v>2323.1</v>
      </c>
      <c r="G1367" s="156">
        <f>Tabla18[[#This Row],[Importe]]-Tabla18[[#This Row],[Pagado]]</f>
        <v>0</v>
      </c>
      <c r="H1367" s="153" t="s">
        <v>10</v>
      </c>
    </row>
    <row r="1368" spans="1:8" x14ac:dyDescent="0.25">
      <c r="A1368" s="73">
        <v>44755</v>
      </c>
      <c r="B1368" s="74" t="s">
        <v>22683</v>
      </c>
      <c r="C1368" s="75" t="s">
        <v>216</v>
      </c>
      <c r="D1368" s="81">
        <v>2256.1</v>
      </c>
      <c r="E1368" s="151">
        <v>44755</v>
      </c>
      <c r="F1368" s="81">
        <v>2256.1</v>
      </c>
      <c r="G1368" s="156">
        <f>Tabla18[[#This Row],[Importe]]-Tabla18[[#This Row],[Pagado]]</f>
        <v>0</v>
      </c>
      <c r="H1368" s="75" t="s">
        <v>10</v>
      </c>
    </row>
    <row r="1369" spans="1:8" x14ac:dyDescent="0.25">
      <c r="A1369" s="148">
        <v>44755</v>
      </c>
      <c r="B1369" s="149" t="s">
        <v>22684</v>
      </c>
      <c r="C1369" s="153" t="s">
        <v>1378</v>
      </c>
      <c r="D1369" s="154">
        <v>85515.6</v>
      </c>
      <c r="E1369" s="155">
        <v>44756</v>
      </c>
      <c r="F1369" s="154">
        <v>85515.6</v>
      </c>
      <c r="G1369" s="156">
        <f>Tabla18[[#This Row],[Importe]]-Tabla18[[#This Row],[Pagado]]</f>
        <v>0</v>
      </c>
      <c r="H1369" s="153" t="s">
        <v>10</v>
      </c>
    </row>
    <row r="1370" spans="1:8" x14ac:dyDescent="0.25">
      <c r="A1370" s="73">
        <v>44755</v>
      </c>
      <c r="B1370" s="74" t="s">
        <v>22685</v>
      </c>
      <c r="C1370" s="75" t="s">
        <v>133</v>
      </c>
      <c r="D1370" s="81">
        <v>13453.7</v>
      </c>
      <c r="E1370" s="151">
        <v>44756</v>
      </c>
      <c r="F1370" s="81">
        <v>13453.7</v>
      </c>
      <c r="G1370" s="156">
        <f>Tabla18[[#This Row],[Importe]]-Tabla18[[#This Row],[Pagado]]</f>
        <v>0</v>
      </c>
      <c r="H1370" s="75" t="s">
        <v>10</v>
      </c>
    </row>
    <row r="1371" spans="1:8" x14ac:dyDescent="0.25">
      <c r="A1371" s="148">
        <v>44755</v>
      </c>
      <c r="B1371" s="149" t="s">
        <v>22686</v>
      </c>
      <c r="C1371" s="153" t="s">
        <v>31</v>
      </c>
      <c r="D1371" s="154">
        <v>1480</v>
      </c>
      <c r="E1371" s="155">
        <v>44755</v>
      </c>
      <c r="F1371" s="154">
        <v>1480</v>
      </c>
      <c r="G1371" s="156">
        <f>Tabla18[[#This Row],[Importe]]-Tabla18[[#This Row],[Pagado]]</f>
        <v>0</v>
      </c>
      <c r="H1371" s="153" t="s">
        <v>10</v>
      </c>
    </row>
    <row r="1372" spans="1:8" x14ac:dyDescent="0.25">
      <c r="A1372" s="73">
        <v>44755</v>
      </c>
      <c r="B1372" s="74" t="s">
        <v>22687</v>
      </c>
      <c r="C1372" s="75" t="s">
        <v>31</v>
      </c>
      <c r="D1372" s="81">
        <v>825.8</v>
      </c>
      <c r="E1372" s="151">
        <v>44755</v>
      </c>
      <c r="F1372" s="81">
        <v>825.8</v>
      </c>
      <c r="G1372" s="156">
        <f>Tabla18[[#This Row],[Importe]]-Tabla18[[#This Row],[Pagado]]</f>
        <v>0</v>
      </c>
      <c r="H1372" s="75" t="s">
        <v>10</v>
      </c>
    </row>
    <row r="1373" spans="1:8" x14ac:dyDescent="0.25">
      <c r="A1373" s="148">
        <v>44755</v>
      </c>
      <c r="B1373" s="149" t="s">
        <v>22688</v>
      </c>
      <c r="C1373" s="153" t="s">
        <v>179</v>
      </c>
      <c r="D1373" s="154">
        <v>1201.2</v>
      </c>
      <c r="E1373" s="155">
        <v>44755</v>
      </c>
      <c r="F1373" s="154">
        <v>1201.2</v>
      </c>
      <c r="G1373" s="156">
        <f>Tabla18[[#This Row],[Importe]]-Tabla18[[#This Row],[Pagado]]</f>
        <v>0</v>
      </c>
      <c r="H1373" s="153" t="s">
        <v>10</v>
      </c>
    </row>
    <row r="1374" spans="1:8" x14ac:dyDescent="0.25">
      <c r="A1374" s="73">
        <v>44755</v>
      </c>
      <c r="B1374" s="74" t="s">
        <v>22689</v>
      </c>
      <c r="C1374" s="75" t="s">
        <v>31</v>
      </c>
      <c r="D1374" s="81">
        <v>1432.2</v>
      </c>
      <c r="E1374" s="151">
        <v>44755</v>
      </c>
      <c r="F1374" s="81">
        <v>1432.2</v>
      </c>
      <c r="G1374" s="156">
        <f>Tabla18[[#This Row],[Importe]]-Tabla18[[#This Row],[Pagado]]</f>
        <v>0</v>
      </c>
      <c r="H1374" s="75" t="s">
        <v>10</v>
      </c>
    </row>
    <row r="1375" spans="1:8" x14ac:dyDescent="0.25">
      <c r="A1375" s="148">
        <v>44755</v>
      </c>
      <c r="B1375" s="149" t="s">
        <v>22690</v>
      </c>
      <c r="C1375" s="153" t="s">
        <v>212</v>
      </c>
      <c r="D1375" s="154">
        <v>37651.800000000003</v>
      </c>
      <c r="E1375" s="155">
        <v>44757</v>
      </c>
      <c r="F1375" s="154">
        <v>37651.800000000003</v>
      </c>
      <c r="G1375" s="156">
        <f>Tabla18[[#This Row],[Importe]]-Tabla18[[#This Row],[Pagado]]</f>
        <v>0</v>
      </c>
      <c r="H1375" s="153" t="s">
        <v>10</v>
      </c>
    </row>
    <row r="1376" spans="1:8" x14ac:dyDescent="0.25">
      <c r="A1376" s="73">
        <v>44755</v>
      </c>
      <c r="B1376" s="74" t="s">
        <v>22691</v>
      </c>
      <c r="C1376" s="75" t="s">
        <v>142</v>
      </c>
      <c r="D1376" s="81">
        <v>105453.7</v>
      </c>
      <c r="E1376" s="151">
        <v>44799</v>
      </c>
      <c r="F1376" s="81">
        <v>105453.7</v>
      </c>
      <c r="G1376" s="156">
        <f>Tabla18[[#This Row],[Importe]]-Tabla18[[#This Row],[Pagado]]</f>
        <v>0</v>
      </c>
      <c r="H1376" s="75" t="s">
        <v>10</v>
      </c>
    </row>
    <row r="1377" spans="1:8" x14ac:dyDescent="0.25">
      <c r="A1377" s="148">
        <v>44755</v>
      </c>
      <c r="B1377" s="149" t="s">
        <v>22692</v>
      </c>
      <c r="C1377" s="153" t="s">
        <v>206</v>
      </c>
      <c r="D1377" s="154">
        <v>12158.2</v>
      </c>
      <c r="E1377" s="155">
        <v>44758</v>
      </c>
      <c r="F1377" s="154">
        <v>12158.2</v>
      </c>
      <c r="G1377" s="156">
        <f>Tabla18[[#This Row],[Importe]]-Tabla18[[#This Row],[Pagado]]</f>
        <v>0</v>
      </c>
      <c r="H1377" s="153" t="s">
        <v>10</v>
      </c>
    </row>
    <row r="1378" spans="1:8" x14ac:dyDescent="0.25">
      <c r="A1378" s="73">
        <v>44755</v>
      </c>
      <c r="B1378" s="74" t="s">
        <v>22693</v>
      </c>
      <c r="C1378" s="75" t="s">
        <v>154</v>
      </c>
      <c r="D1378" s="81">
        <v>35558</v>
      </c>
      <c r="E1378" s="151">
        <v>44758</v>
      </c>
      <c r="F1378" s="81">
        <v>35558</v>
      </c>
      <c r="G1378" s="156">
        <f>Tabla18[[#This Row],[Importe]]-Tabla18[[#This Row],[Pagado]]</f>
        <v>0</v>
      </c>
      <c r="H1378" s="75" t="s">
        <v>10</v>
      </c>
    </row>
    <row r="1379" spans="1:8" x14ac:dyDescent="0.25">
      <c r="A1379" s="148">
        <v>44755</v>
      </c>
      <c r="B1379" s="149" t="s">
        <v>22694</v>
      </c>
      <c r="C1379" s="153" t="s">
        <v>218</v>
      </c>
      <c r="D1379" s="154">
        <v>14916.2</v>
      </c>
      <c r="E1379" s="155">
        <v>44758</v>
      </c>
      <c r="F1379" s="154">
        <v>14916.2</v>
      </c>
      <c r="G1379" s="156">
        <f>Tabla18[[#This Row],[Importe]]-Tabla18[[#This Row],[Pagado]]</f>
        <v>0</v>
      </c>
      <c r="H1379" s="153" t="s">
        <v>10</v>
      </c>
    </row>
    <row r="1380" spans="1:8" x14ac:dyDescent="0.25">
      <c r="A1380" s="73">
        <v>44755</v>
      </c>
      <c r="B1380" s="74" t="s">
        <v>22695</v>
      </c>
      <c r="C1380" s="75" t="s">
        <v>312</v>
      </c>
      <c r="D1380" s="81">
        <v>4575</v>
      </c>
      <c r="E1380" s="151">
        <v>44755</v>
      </c>
      <c r="F1380" s="81">
        <v>4575</v>
      </c>
      <c r="G1380" s="156">
        <f>Tabla18[[#This Row],[Importe]]-Tabla18[[#This Row],[Pagado]]</f>
        <v>0</v>
      </c>
      <c r="H1380" s="75" t="s">
        <v>10</v>
      </c>
    </row>
    <row r="1381" spans="1:8" ht="31.5" x14ac:dyDescent="0.25">
      <c r="A1381" s="148">
        <v>44755</v>
      </c>
      <c r="B1381" s="149" t="s">
        <v>22696</v>
      </c>
      <c r="C1381" s="153" t="s">
        <v>670</v>
      </c>
      <c r="D1381" s="154">
        <v>5135.6000000000004</v>
      </c>
      <c r="E1381" s="150" t="s">
        <v>22697</v>
      </c>
      <c r="F1381" s="154">
        <f>3000+2135.6</f>
        <v>5135.6000000000004</v>
      </c>
      <c r="G1381" s="156">
        <f>Tabla18[[#This Row],[Importe]]-Tabla18[[#This Row],[Pagado]]</f>
        <v>0</v>
      </c>
      <c r="H1381" s="153" t="s">
        <v>10</v>
      </c>
    </row>
    <row r="1382" spans="1:8" x14ac:dyDescent="0.25">
      <c r="A1382" s="73">
        <v>44755</v>
      </c>
      <c r="B1382" s="74" t="s">
        <v>22698</v>
      </c>
      <c r="C1382" s="75" t="s">
        <v>198</v>
      </c>
      <c r="D1382" s="81">
        <v>1488</v>
      </c>
      <c r="E1382" s="151">
        <v>44755</v>
      </c>
      <c r="F1382" s="81">
        <v>1488</v>
      </c>
      <c r="G1382" s="156">
        <f>Tabla18[[#This Row],[Importe]]-Tabla18[[#This Row],[Pagado]]</f>
        <v>0</v>
      </c>
      <c r="H1382" s="75" t="s">
        <v>10</v>
      </c>
    </row>
    <row r="1383" spans="1:8" x14ac:dyDescent="0.25">
      <c r="A1383" s="148">
        <v>44755</v>
      </c>
      <c r="B1383" s="149" t="s">
        <v>22699</v>
      </c>
      <c r="C1383" s="153" t="s">
        <v>208</v>
      </c>
      <c r="D1383" s="154">
        <v>10565.2</v>
      </c>
      <c r="E1383" s="155">
        <v>44761</v>
      </c>
      <c r="F1383" s="154">
        <v>10565.2</v>
      </c>
      <c r="G1383" s="156">
        <f>Tabla18[[#This Row],[Importe]]-Tabla18[[#This Row],[Pagado]]</f>
        <v>0</v>
      </c>
      <c r="H1383" s="153" t="s">
        <v>10</v>
      </c>
    </row>
    <row r="1384" spans="1:8" x14ac:dyDescent="0.25">
      <c r="A1384" s="73">
        <v>44755</v>
      </c>
      <c r="B1384" s="74" t="s">
        <v>22700</v>
      </c>
      <c r="C1384" s="75" t="s">
        <v>840</v>
      </c>
      <c r="D1384" s="81">
        <v>8979.7999999999993</v>
      </c>
      <c r="E1384" s="151">
        <v>44755</v>
      </c>
      <c r="F1384" s="81">
        <v>8979.7999999999993</v>
      </c>
      <c r="G1384" s="156">
        <f>Tabla18[[#This Row],[Importe]]-Tabla18[[#This Row],[Pagado]]</f>
        <v>0</v>
      </c>
      <c r="H1384" s="75" t="s">
        <v>10</v>
      </c>
    </row>
    <row r="1385" spans="1:8" x14ac:dyDescent="0.25">
      <c r="A1385" s="148">
        <v>44755</v>
      </c>
      <c r="B1385" s="149" t="s">
        <v>22701</v>
      </c>
      <c r="C1385" s="153" t="s">
        <v>359</v>
      </c>
      <c r="D1385" s="154">
        <v>1243.5</v>
      </c>
      <c r="E1385" s="155">
        <v>44755</v>
      </c>
      <c r="F1385" s="154">
        <v>1243.5</v>
      </c>
      <c r="G1385" s="156">
        <f>Tabla18[[#This Row],[Importe]]-Tabla18[[#This Row],[Pagado]]</f>
        <v>0</v>
      </c>
      <c r="H1385" s="153" t="s">
        <v>10</v>
      </c>
    </row>
    <row r="1386" spans="1:8" x14ac:dyDescent="0.25">
      <c r="A1386" s="73">
        <v>44755</v>
      </c>
      <c r="B1386" s="74" t="s">
        <v>22702</v>
      </c>
      <c r="C1386" s="75" t="s">
        <v>173</v>
      </c>
      <c r="D1386" s="81">
        <v>19681.2</v>
      </c>
      <c r="E1386" s="151">
        <v>44756</v>
      </c>
      <c r="F1386" s="81">
        <v>19681.2</v>
      </c>
      <c r="G1386" s="156">
        <f>Tabla18[[#This Row],[Importe]]-Tabla18[[#This Row],[Pagado]]</f>
        <v>0</v>
      </c>
      <c r="H1386" s="75" t="s">
        <v>10</v>
      </c>
    </row>
    <row r="1387" spans="1:8" x14ac:dyDescent="0.25">
      <c r="A1387" s="148">
        <v>44755</v>
      </c>
      <c r="B1387" s="149" t="s">
        <v>22703</v>
      </c>
      <c r="C1387" s="153" t="s">
        <v>62</v>
      </c>
      <c r="D1387" s="154">
        <v>3675</v>
      </c>
      <c r="E1387" s="155">
        <v>44755</v>
      </c>
      <c r="F1387" s="154">
        <v>3675</v>
      </c>
      <c r="G1387" s="156">
        <f>Tabla18[[#This Row],[Importe]]-Tabla18[[#This Row],[Pagado]]</f>
        <v>0</v>
      </c>
      <c r="H1387" s="153" t="s">
        <v>10</v>
      </c>
    </row>
    <row r="1388" spans="1:8" x14ac:dyDescent="0.25">
      <c r="A1388" s="73">
        <v>44755</v>
      </c>
      <c r="B1388" s="74" t="s">
        <v>22704</v>
      </c>
      <c r="C1388" s="75" t="s">
        <v>426</v>
      </c>
      <c r="D1388" s="81">
        <v>4304</v>
      </c>
      <c r="E1388" s="151">
        <v>44755</v>
      </c>
      <c r="F1388" s="81">
        <v>4304</v>
      </c>
      <c r="G1388" s="156">
        <f>Tabla18[[#This Row],[Importe]]-Tabla18[[#This Row],[Pagado]]</f>
        <v>0</v>
      </c>
      <c r="H1388" s="75" t="s">
        <v>10</v>
      </c>
    </row>
    <row r="1389" spans="1:8" x14ac:dyDescent="0.25">
      <c r="A1389" s="148">
        <v>44755</v>
      </c>
      <c r="B1389" s="149" t="s">
        <v>22705</v>
      </c>
      <c r="C1389" s="153" t="s">
        <v>175</v>
      </c>
      <c r="D1389" s="154">
        <v>23108.6</v>
      </c>
      <c r="E1389" s="155">
        <v>44755</v>
      </c>
      <c r="F1389" s="154">
        <v>23108.6</v>
      </c>
      <c r="G1389" s="156">
        <f>Tabla18[[#This Row],[Importe]]-Tabla18[[#This Row],[Pagado]]</f>
        <v>0</v>
      </c>
      <c r="H1389" s="153" t="s">
        <v>10</v>
      </c>
    </row>
    <row r="1390" spans="1:8" x14ac:dyDescent="0.25">
      <c r="A1390" s="73">
        <v>44755</v>
      </c>
      <c r="B1390" s="74" t="s">
        <v>22706</v>
      </c>
      <c r="C1390" s="75" t="s">
        <v>204</v>
      </c>
      <c r="D1390" s="81">
        <v>4374.7</v>
      </c>
      <c r="E1390" s="151">
        <v>44755</v>
      </c>
      <c r="F1390" s="81">
        <v>4374.7</v>
      </c>
      <c r="G1390" s="156">
        <f>Tabla18[[#This Row],[Importe]]-Tabla18[[#This Row],[Pagado]]</f>
        <v>0</v>
      </c>
      <c r="H1390" s="75" t="s">
        <v>10</v>
      </c>
    </row>
    <row r="1391" spans="1:8" x14ac:dyDescent="0.25">
      <c r="A1391" s="148">
        <v>44755</v>
      </c>
      <c r="B1391" s="149" t="s">
        <v>22707</v>
      </c>
      <c r="C1391" s="153" t="s">
        <v>555</v>
      </c>
      <c r="D1391" s="154">
        <v>48947.519999999997</v>
      </c>
      <c r="E1391" s="155">
        <v>44755</v>
      </c>
      <c r="F1391" s="154">
        <v>48947.519999999997</v>
      </c>
      <c r="G1391" s="156">
        <f>Tabla18[[#This Row],[Importe]]-Tabla18[[#This Row],[Pagado]]</f>
        <v>0</v>
      </c>
      <c r="H1391" s="153" t="s">
        <v>10</v>
      </c>
    </row>
    <row r="1392" spans="1:8" x14ac:dyDescent="0.25">
      <c r="A1392" s="73">
        <v>44755</v>
      </c>
      <c r="B1392" s="74" t="s">
        <v>22708</v>
      </c>
      <c r="C1392" s="75" t="s">
        <v>5816</v>
      </c>
      <c r="D1392" s="81">
        <v>8316</v>
      </c>
      <c r="E1392" s="151">
        <v>44756</v>
      </c>
      <c r="F1392" s="81">
        <v>8316</v>
      </c>
      <c r="G1392" s="156">
        <f>Tabla18[[#This Row],[Importe]]-Tabla18[[#This Row],[Pagado]]</f>
        <v>0</v>
      </c>
      <c r="H1392" s="75" t="s">
        <v>10</v>
      </c>
    </row>
    <row r="1393" spans="1:8" x14ac:dyDescent="0.25">
      <c r="A1393" s="148">
        <v>44755</v>
      </c>
      <c r="B1393" s="149" t="s">
        <v>22709</v>
      </c>
      <c r="C1393" s="153" t="s">
        <v>1174</v>
      </c>
      <c r="D1393" s="154">
        <v>27120.799999999999</v>
      </c>
      <c r="E1393" s="155">
        <v>44755</v>
      </c>
      <c r="F1393" s="154">
        <v>27120.799999999999</v>
      </c>
      <c r="G1393" s="156">
        <f>Tabla18[[#This Row],[Importe]]-Tabla18[[#This Row],[Pagado]]</f>
        <v>0</v>
      </c>
      <c r="H1393" s="153" t="s">
        <v>10</v>
      </c>
    </row>
    <row r="1394" spans="1:8" x14ac:dyDescent="0.25">
      <c r="A1394" s="73">
        <v>44755</v>
      </c>
      <c r="B1394" s="74" t="s">
        <v>22710</v>
      </c>
      <c r="C1394" s="75" t="s">
        <v>175</v>
      </c>
      <c r="D1394" s="81">
        <v>378.4</v>
      </c>
      <c r="E1394" s="151">
        <v>44755</v>
      </c>
      <c r="F1394" s="81">
        <v>378.4</v>
      </c>
      <c r="G1394" s="156">
        <f>Tabla18[[#This Row],[Importe]]-Tabla18[[#This Row],[Pagado]]</f>
        <v>0</v>
      </c>
      <c r="H1394" s="75" t="s">
        <v>10</v>
      </c>
    </row>
    <row r="1395" spans="1:8" x14ac:dyDescent="0.25">
      <c r="A1395" s="148">
        <v>44755</v>
      </c>
      <c r="B1395" s="149" t="s">
        <v>22711</v>
      </c>
      <c r="C1395" s="153" t="s">
        <v>200</v>
      </c>
      <c r="D1395" s="154">
        <v>669.9</v>
      </c>
      <c r="E1395" s="155">
        <v>44755</v>
      </c>
      <c r="F1395" s="154">
        <v>669.9</v>
      </c>
      <c r="G1395" s="156">
        <f>Tabla18[[#This Row],[Importe]]-Tabla18[[#This Row],[Pagado]]</f>
        <v>0</v>
      </c>
      <c r="H1395" s="153" t="s">
        <v>10</v>
      </c>
    </row>
    <row r="1396" spans="1:8" x14ac:dyDescent="0.25">
      <c r="A1396" s="73">
        <v>44755</v>
      </c>
      <c r="B1396" s="74" t="s">
        <v>22712</v>
      </c>
      <c r="C1396" s="75" t="s">
        <v>9827</v>
      </c>
      <c r="D1396" s="81">
        <v>3611.3</v>
      </c>
      <c r="E1396" s="151">
        <v>44755</v>
      </c>
      <c r="F1396" s="81">
        <v>3611.3</v>
      </c>
      <c r="G1396" s="156">
        <f>Tabla18[[#This Row],[Importe]]-Tabla18[[#This Row],[Pagado]]</f>
        <v>0</v>
      </c>
      <c r="H1396" s="75" t="s">
        <v>10</v>
      </c>
    </row>
    <row r="1397" spans="1:8" x14ac:dyDescent="0.25">
      <c r="A1397" s="148">
        <v>44755</v>
      </c>
      <c r="B1397" s="149" t="s">
        <v>22713</v>
      </c>
      <c r="C1397" s="153" t="s">
        <v>58</v>
      </c>
      <c r="D1397" s="154">
        <v>3327.6</v>
      </c>
      <c r="E1397" s="155">
        <v>44755</v>
      </c>
      <c r="F1397" s="154">
        <v>3327.6</v>
      </c>
      <c r="G1397" s="156">
        <f>Tabla18[[#This Row],[Importe]]-Tabla18[[#This Row],[Pagado]]</f>
        <v>0</v>
      </c>
      <c r="H1397" s="153" t="s">
        <v>10</v>
      </c>
    </row>
    <row r="1398" spans="1:8" x14ac:dyDescent="0.25">
      <c r="A1398" s="73">
        <v>44755</v>
      </c>
      <c r="B1398" s="74" t="s">
        <v>22714</v>
      </c>
      <c r="C1398" s="75" t="s">
        <v>587</v>
      </c>
      <c r="D1398" s="81">
        <v>6887.58</v>
      </c>
      <c r="E1398" s="151">
        <v>44755</v>
      </c>
      <c r="F1398" s="81">
        <v>6887.58</v>
      </c>
      <c r="G1398" s="156">
        <f>Tabla18[[#This Row],[Importe]]-Tabla18[[#This Row],[Pagado]]</f>
        <v>0</v>
      </c>
      <c r="H1398" s="75" t="s">
        <v>10</v>
      </c>
    </row>
    <row r="1399" spans="1:8" x14ac:dyDescent="0.25">
      <c r="A1399" s="148">
        <v>44755</v>
      </c>
      <c r="B1399" s="149" t="s">
        <v>22715</v>
      </c>
      <c r="C1399" s="153" t="s">
        <v>698</v>
      </c>
      <c r="D1399" s="154">
        <v>7968.4</v>
      </c>
      <c r="E1399" s="155">
        <v>44755</v>
      </c>
      <c r="F1399" s="154">
        <v>7968.4</v>
      </c>
      <c r="G1399" s="156">
        <f>Tabla18[[#This Row],[Importe]]-Tabla18[[#This Row],[Pagado]]</f>
        <v>0</v>
      </c>
      <c r="H1399" s="153" t="s">
        <v>10</v>
      </c>
    </row>
    <row r="1400" spans="1:8" x14ac:dyDescent="0.25">
      <c r="A1400" s="73">
        <v>44755</v>
      </c>
      <c r="B1400" s="74" t="s">
        <v>22716</v>
      </c>
      <c r="C1400" s="75" t="s">
        <v>191</v>
      </c>
      <c r="D1400" s="81">
        <v>442.2</v>
      </c>
      <c r="E1400" s="151">
        <v>44755</v>
      </c>
      <c r="F1400" s="81">
        <v>442.2</v>
      </c>
      <c r="G1400" s="156">
        <f>Tabla18[[#This Row],[Importe]]-Tabla18[[#This Row],[Pagado]]</f>
        <v>0</v>
      </c>
      <c r="H1400" s="75" t="s">
        <v>10</v>
      </c>
    </row>
    <row r="1401" spans="1:8" x14ac:dyDescent="0.25">
      <c r="A1401" s="148">
        <v>44755</v>
      </c>
      <c r="B1401" s="149" t="s">
        <v>22717</v>
      </c>
      <c r="C1401" s="153" t="s">
        <v>275</v>
      </c>
      <c r="D1401" s="154">
        <v>82091.8</v>
      </c>
      <c r="E1401" s="155">
        <v>44771</v>
      </c>
      <c r="F1401" s="154">
        <v>82091.8</v>
      </c>
      <c r="G1401" s="156">
        <f>Tabla18[[#This Row],[Importe]]-Tabla18[[#This Row],[Pagado]]</f>
        <v>0</v>
      </c>
      <c r="H1401" s="153" t="s">
        <v>10</v>
      </c>
    </row>
    <row r="1402" spans="1:8" x14ac:dyDescent="0.25">
      <c r="A1402" s="73">
        <v>44755</v>
      </c>
      <c r="B1402" s="74" t="s">
        <v>22718</v>
      </c>
      <c r="C1402" s="75" t="s">
        <v>91</v>
      </c>
      <c r="D1402" s="81">
        <v>7700</v>
      </c>
      <c r="E1402" s="151">
        <v>44755</v>
      </c>
      <c r="F1402" s="81">
        <v>7700</v>
      </c>
      <c r="G1402" s="156">
        <f>Tabla18[[#This Row],[Importe]]-Tabla18[[#This Row],[Pagado]]</f>
        <v>0</v>
      </c>
      <c r="H1402" s="75" t="s">
        <v>10</v>
      </c>
    </row>
    <row r="1403" spans="1:8" ht="31.5" x14ac:dyDescent="0.25">
      <c r="A1403" s="148">
        <v>44755</v>
      </c>
      <c r="B1403" s="149" t="s">
        <v>22719</v>
      </c>
      <c r="C1403" s="153" t="s">
        <v>91</v>
      </c>
      <c r="D1403" s="154">
        <v>6267.8</v>
      </c>
      <c r="E1403" s="150" t="s">
        <v>22399</v>
      </c>
      <c r="F1403" s="154">
        <f>2080+4187.8</f>
        <v>6267.8</v>
      </c>
      <c r="G1403" s="156">
        <f>Tabla18[[#This Row],[Importe]]-Tabla18[[#This Row],[Pagado]]</f>
        <v>0</v>
      </c>
      <c r="H1403" s="153" t="s">
        <v>10</v>
      </c>
    </row>
    <row r="1404" spans="1:8" x14ac:dyDescent="0.25">
      <c r="A1404" s="73">
        <v>44755</v>
      </c>
      <c r="B1404" s="74" t="s">
        <v>22720</v>
      </c>
      <c r="C1404" s="75" t="s">
        <v>7818</v>
      </c>
      <c r="D1404" s="81">
        <v>760</v>
      </c>
      <c r="E1404" s="151">
        <v>44755</v>
      </c>
      <c r="F1404" s="81">
        <v>760</v>
      </c>
      <c r="G1404" s="156">
        <f>Tabla18[[#This Row],[Importe]]-Tabla18[[#This Row],[Pagado]]</f>
        <v>0</v>
      </c>
      <c r="H1404" s="75" t="s">
        <v>10</v>
      </c>
    </row>
    <row r="1405" spans="1:8" x14ac:dyDescent="0.25">
      <c r="A1405" s="148">
        <v>44755</v>
      </c>
      <c r="B1405" s="149" t="s">
        <v>22721</v>
      </c>
      <c r="C1405" s="153" t="s">
        <v>116</v>
      </c>
      <c r="D1405" s="154">
        <v>3132.9</v>
      </c>
      <c r="E1405" s="155">
        <v>44757</v>
      </c>
      <c r="F1405" s="154">
        <v>3132.9</v>
      </c>
      <c r="G1405" s="156">
        <f>Tabla18[[#This Row],[Importe]]-Tabla18[[#This Row],[Pagado]]</f>
        <v>0</v>
      </c>
      <c r="H1405" s="153" t="s">
        <v>10</v>
      </c>
    </row>
    <row r="1406" spans="1:8" x14ac:dyDescent="0.25">
      <c r="A1406" s="73">
        <v>44755</v>
      </c>
      <c r="B1406" s="74" t="s">
        <v>22722</v>
      </c>
      <c r="C1406" s="75" t="s">
        <v>296</v>
      </c>
      <c r="D1406" s="81">
        <v>3260.4</v>
      </c>
      <c r="E1406" s="151">
        <v>44755</v>
      </c>
      <c r="F1406" s="81">
        <v>3260.4</v>
      </c>
      <c r="G1406" s="156">
        <f>Tabla18[[#This Row],[Importe]]-Tabla18[[#This Row],[Pagado]]</f>
        <v>0</v>
      </c>
      <c r="H1406" s="75" t="s">
        <v>10</v>
      </c>
    </row>
    <row r="1407" spans="1:8" x14ac:dyDescent="0.25">
      <c r="A1407" s="148">
        <v>44755</v>
      </c>
      <c r="B1407" s="149" t="s">
        <v>22723</v>
      </c>
      <c r="C1407" s="153" t="s">
        <v>31</v>
      </c>
      <c r="D1407" s="154">
        <v>1692.6</v>
      </c>
      <c r="E1407" s="155">
        <v>44755</v>
      </c>
      <c r="F1407" s="154">
        <v>1692.6</v>
      </c>
      <c r="G1407" s="156">
        <f>Tabla18[[#This Row],[Importe]]-Tabla18[[#This Row],[Pagado]]</f>
        <v>0</v>
      </c>
      <c r="H1407" s="153" t="s">
        <v>10</v>
      </c>
    </row>
    <row r="1408" spans="1:8" x14ac:dyDescent="0.25">
      <c r="A1408" s="73">
        <v>44755</v>
      </c>
      <c r="B1408" s="74" t="s">
        <v>22724</v>
      </c>
      <c r="C1408" s="75" t="s">
        <v>2139</v>
      </c>
      <c r="D1408" s="81">
        <v>6354.6</v>
      </c>
      <c r="E1408" s="151">
        <v>44755</v>
      </c>
      <c r="F1408" s="81">
        <v>6354.6</v>
      </c>
      <c r="G1408" s="156">
        <f>Tabla18[[#This Row],[Importe]]-Tabla18[[#This Row],[Pagado]]</f>
        <v>0</v>
      </c>
      <c r="H1408" s="75" t="s">
        <v>10</v>
      </c>
    </row>
    <row r="1409" spans="1:8" x14ac:dyDescent="0.25">
      <c r="A1409" s="148">
        <v>44755</v>
      </c>
      <c r="B1409" s="149" t="s">
        <v>22725</v>
      </c>
      <c r="C1409" s="153" t="s">
        <v>11383</v>
      </c>
      <c r="D1409" s="154">
        <v>31316.2</v>
      </c>
      <c r="E1409" s="155">
        <v>44755</v>
      </c>
      <c r="F1409" s="154">
        <v>31316.2</v>
      </c>
      <c r="G1409" s="156">
        <f>Tabla18[[#This Row],[Importe]]-Tabla18[[#This Row],[Pagado]]</f>
        <v>0</v>
      </c>
      <c r="H1409" s="153" t="s">
        <v>10</v>
      </c>
    </row>
    <row r="1410" spans="1:8" x14ac:dyDescent="0.25">
      <c r="A1410" s="73">
        <v>44755</v>
      </c>
      <c r="B1410" s="74" t="s">
        <v>22726</v>
      </c>
      <c r="C1410" s="75" t="s">
        <v>445</v>
      </c>
      <c r="D1410" s="81">
        <v>3644.4</v>
      </c>
      <c r="E1410" s="151">
        <v>44755</v>
      </c>
      <c r="F1410" s="81">
        <v>3644.4</v>
      </c>
      <c r="G1410" s="156">
        <f>Tabla18[[#This Row],[Importe]]-Tabla18[[#This Row],[Pagado]]</f>
        <v>0</v>
      </c>
      <c r="H1410" s="75" t="s">
        <v>10</v>
      </c>
    </row>
    <row r="1411" spans="1:8" x14ac:dyDescent="0.25">
      <c r="A1411" s="148">
        <v>44755</v>
      </c>
      <c r="B1411" s="149" t="s">
        <v>22727</v>
      </c>
      <c r="C1411" s="153" t="s">
        <v>15306</v>
      </c>
      <c r="D1411" s="154">
        <v>6408.8</v>
      </c>
      <c r="E1411" s="155">
        <v>44755</v>
      </c>
      <c r="F1411" s="154">
        <v>6408.8</v>
      </c>
      <c r="G1411" s="156">
        <f>Tabla18[[#This Row],[Importe]]-Tabla18[[#This Row],[Pagado]]</f>
        <v>0</v>
      </c>
      <c r="H1411" s="153" t="s">
        <v>10</v>
      </c>
    </row>
    <row r="1412" spans="1:8" x14ac:dyDescent="0.25">
      <c r="A1412" s="73">
        <v>44755</v>
      </c>
      <c r="B1412" s="74" t="s">
        <v>22728</v>
      </c>
      <c r="C1412" s="75" t="s">
        <v>11383</v>
      </c>
      <c r="D1412" s="81">
        <v>506</v>
      </c>
      <c r="E1412" s="151">
        <v>44755</v>
      </c>
      <c r="F1412" s="81">
        <v>506</v>
      </c>
      <c r="G1412" s="156">
        <f>Tabla18[[#This Row],[Importe]]-Tabla18[[#This Row],[Pagado]]</f>
        <v>0</v>
      </c>
      <c r="H1412" s="75" t="s">
        <v>10</v>
      </c>
    </row>
    <row r="1413" spans="1:8" x14ac:dyDescent="0.25">
      <c r="A1413" s="148">
        <v>44755</v>
      </c>
      <c r="B1413" s="149" t="s">
        <v>22729</v>
      </c>
      <c r="C1413" s="153" t="s">
        <v>214</v>
      </c>
      <c r="D1413" s="154">
        <v>1447.6</v>
      </c>
      <c r="E1413" s="155">
        <v>44756</v>
      </c>
      <c r="F1413" s="154">
        <v>1447.6</v>
      </c>
      <c r="G1413" s="156">
        <f>Tabla18[[#This Row],[Importe]]-Tabla18[[#This Row],[Pagado]]</f>
        <v>0</v>
      </c>
      <c r="H1413" s="153" t="s">
        <v>10</v>
      </c>
    </row>
    <row r="1414" spans="1:8" x14ac:dyDescent="0.25">
      <c r="A1414" s="73">
        <v>44755</v>
      </c>
      <c r="B1414" s="74" t="s">
        <v>22730</v>
      </c>
      <c r="C1414" s="75" t="s">
        <v>53</v>
      </c>
      <c r="D1414" s="81">
        <v>2024</v>
      </c>
      <c r="E1414" s="151">
        <v>44755</v>
      </c>
      <c r="F1414" s="81">
        <v>2024</v>
      </c>
      <c r="G1414" s="156">
        <f>Tabla18[[#This Row],[Importe]]-Tabla18[[#This Row],[Pagado]]</f>
        <v>0</v>
      </c>
      <c r="H1414" s="75" t="s">
        <v>10</v>
      </c>
    </row>
    <row r="1415" spans="1:8" x14ac:dyDescent="0.25">
      <c r="A1415" s="148">
        <v>44755</v>
      </c>
      <c r="B1415" s="149" t="s">
        <v>22731</v>
      </c>
      <c r="C1415" s="153" t="s">
        <v>4136</v>
      </c>
      <c r="D1415" s="154">
        <v>2211.6</v>
      </c>
      <c r="E1415" s="155">
        <v>44755</v>
      </c>
      <c r="F1415" s="154">
        <v>2211.6</v>
      </c>
      <c r="G1415" s="156">
        <f>Tabla18[[#This Row],[Importe]]-Tabla18[[#This Row],[Pagado]]</f>
        <v>0</v>
      </c>
      <c r="H1415" s="153" t="s">
        <v>10</v>
      </c>
    </row>
    <row r="1416" spans="1:8" x14ac:dyDescent="0.25">
      <c r="A1416" s="73">
        <v>44755</v>
      </c>
      <c r="B1416" s="74" t="s">
        <v>22732</v>
      </c>
      <c r="C1416" s="75" t="s">
        <v>31</v>
      </c>
      <c r="D1416" s="81">
        <v>128</v>
      </c>
      <c r="E1416" s="151">
        <v>44755</v>
      </c>
      <c r="F1416" s="81">
        <v>128</v>
      </c>
      <c r="G1416" s="156">
        <f>Tabla18[[#This Row],[Importe]]-Tabla18[[#This Row],[Pagado]]</f>
        <v>0</v>
      </c>
      <c r="H1416" s="75" t="s">
        <v>10</v>
      </c>
    </row>
    <row r="1417" spans="1:8" x14ac:dyDescent="0.25">
      <c r="A1417" s="148">
        <v>44755</v>
      </c>
      <c r="B1417" s="149" t="s">
        <v>22733</v>
      </c>
      <c r="C1417" s="153" t="s">
        <v>1275</v>
      </c>
      <c r="D1417" s="154">
        <v>963.6</v>
      </c>
      <c r="E1417" s="155">
        <v>44755</v>
      </c>
      <c r="F1417" s="154">
        <v>963.6</v>
      </c>
      <c r="G1417" s="156">
        <f>Tabla18[[#This Row],[Importe]]-Tabla18[[#This Row],[Pagado]]</f>
        <v>0</v>
      </c>
      <c r="H1417" s="153" t="s">
        <v>10</v>
      </c>
    </row>
    <row r="1418" spans="1:8" x14ac:dyDescent="0.25">
      <c r="A1418" s="73">
        <v>44755</v>
      </c>
      <c r="B1418" s="74" t="s">
        <v>22734</v>
      </c>
      <c r="C1418" s="75" t="s">
        <v>71</v>
      </c>
      <c r="D1418" s="81">
        <v>1794</v>
      </c>
      <c r="E1418" s="151">
        <v>44755</v>
      </c>
      <c r="F1418" s="81">
        <v>1794</v>
      </c>
      <c r="G1418" s="156">
        <f>Tabla18[[#This Row],[Importe]]-Tabla18[[#This Row],[Pagado]]</f>
        <v>0</v>
      </c>
      <c r="H1418" s="75" t="s">
        <v>10</v>
      </c>
    </row>
    <row r="1419" spans="1:8" x14ac:dyDescent="0.25">
      <c r="A1419" s="148">
        <v>44755</v>
      </c>
      <c r="B1419" s="149" t="s">
        <v>22735</v>
      </c>
      <c r="C1419" s="153" t="s">
        <v>16</v>
      </c>
      <c r="D1419" s="154">
        <v>570</v>
      </c>
      <c r="E1419" s="155">
        <v>44755</v>
      </c>
      <c r="F1419" s="154">
        <v>570</v>
      </c>
      <c r="G1419" s="156">
        <f>Tabla18[[#This Row],[Importe]]-Tabla18[[#This Row],[Pagado]]</f>
        <v>0</v>
      </c>
      <c r="H1419" s="153" t="s">
        <v>10</v>
      </c>
    </row>
    <row r="1420" spans="1:8" x14ac:dyDescent="0.25">
      <c r="A1420" s="73">
        <v>44755</v>
      </c>
      <c r="B1420" s="74" t="s">
        <v>22736</v>
      </c>
      <c r="C1420" s="75" t="s">
        <v>296</v>
      </c>
      <c r="D1420" s="81">
        <v>4879.6000000000004</v>
      </c>
      <c r="E1420" s="151">
        <v>44755</v>
      </c>
      <c r="F1420" s="81">
        <v>4879.6000000000004</v>
      </c>
      <c r="G1420" s="156">
        <f>Tabla18[[#This Row],[Importe]]-Tabla18[[#This Row],[Pagado]]</f>
        <v>0</v>
      </c>
      <c r="H1420" s="75" t="s">
        <v>10</v>
      </c>
    </row>
    <row r="1421" spans="1:8" x14ac:dyDescent="0.25">
      <c r="A1421" s="148">
        <v>44755</v>
      </c>
      <c r="B1421" s="149" t="s">
        <v>22737</v>
      </c>
      <c r="C1421" s="153" t="s">
        <v>9577</v>
      </c>
      <c r="D1421" s="154">
        <v>30239.599999999999</v>
      </c>
      <c r="E1421" s="155">
        <v>44756</v>
      </c>
      <c r="F1421" s="154">
        <v>30239.599999999999</v>
      </c>
      <c r="G1421" s="156">
        <f>Tabla18[[#This Row],[Importe]]-Tabla18[[#This Row],[Pagado]]</f>
        <v>0</v>
      </c>
      <c r="H1421" s="153" t="s">
        <v>10</v>
      </c>
    </row>
    <row r="1422" spans="1:8" x14ac:dyDescent="0.25">
      <c r="A1422" s="73">
        <v>44755</v>
      </c>
      <c r="B1422" s="74" t="s">
        <v>22738</v>
      </c>
      <c r="C1422" s="75" t="s">
        <v>31</v>
      </c>
      <c r="D1422" s="81">
        <v>4537</v>
      </c>
      <c r="E1422" s="151">
        <v>44755</v>
      </c>
      <c r="F1422" s="81">
        <v>4537</v>
      </c>
      <c r="G1422" s="156">
        <f>Tabla18[[#This Row],[Importe]]-Tabla18[[#This Row],[Pagado]]</f>
        <v>0</v>
      </c>
      <c r="H1422" s="75" t="s">
        <v>10</v>
      </c>
    </row>
    <row r="1423" spans="1:8" x14ac:dyDescent="0.25">
      <c r="A1423" s="148">
        <v>44755</v>
      </c>
      <c r="B1423" s="149" t="s">
        <v>22739</v>
      </c>
      <c r="C1423" s="153" t="s">
        <v>284</v>
      </c>
      <c r="D1423" s="154">
        <v>9309.2999999999993</v>
      </c>
      <c r="E1423" s="155">
        <v>44756</v>
      </c>
      <c r="F1423" s="154">
        <v>9309.2999999999993</v>
      </c>
      <c r="G1423" s="156">
        <f>Tabla18[[#This Row],[Importe]]-Tabla18[[#This Row],[Pagado]]</f>
        <v>0</v>
      </c>
      <c r="H1423" s="153" t="s">
        <v>10</v>
      </c>
    </row>
    <row r="1424" spans="1:8" x14ac:dyDescent="0.25">
      <c r="A1424" s="73">
        <v>44755</v>
      </c>
      <c r="B1424" s="74" t="s">
        <v>22740</v>
      </c>
      <c r="C1424" s="75" t="s">
        <v>282</v>
      </c>
      <c r="D1424" s="81">
        <v>1593.9</v>
      </c>
      <c r="E1424" s="151">
        <v>44756</v>
      </c>
      <c r="F1424" s="81">
        <v>1593.9</v>
      </c>
      <c r="G1424" s="156">
        <f>Tabla18[[#This Row],[Importe]]-Tabla18[[#This Row],[Pagado]]</f>
        <v>0</v>
      </c>
      <c r="H1424" s="75" t="s">
        <v>10</v>
      </c>
    </row>
    <row r="1425" spans="1:8" x14ac:dyDescent="0.25">
      <c r="A1425" s="148">
        <v>44755</v>
      </c>
      <c r="B1425" s="149" t="s">
        <v>22741</v>
      </c>
      <c r="C1425" s="153" t="s">
        <v>5345</v>
      </c>
      <c r="D1425" s="154">
        <v>3118.5</v>
      </c>
      <c r="E1425" s="155">
        <v>44756</v>
      </c>
      <c r="F1425" s="154">
        <v>3118.5</v>
      </c>
      <c r="G1425" s="156">
        <f>Tabla18[[#This Row],[Importe]]-Tabla18[[#This Row],[Pagado]]</f>
        <v>0</v>
      </c>
      <c r="H1425" s="153" t="s">
        <v>10</v>
      </c>
    </row>
    <row r="1426" spans="1:8" x14ac:dyDescent="0.25">
      <c r="A1426" s="73">
        <v>44755</v>
      </c>
      <c r="B1426" s="74" t="s">
        <v>22742</v>
      </c>
      <c r="C1426" s="75" t="s">
        <v>10819</v>
      </c>
      <c r="D1426" s="81">
        <v>716.1</v>
      </c>
      <c r="E1426" s="151">
        <v>44756</v>
      </c>
      <c r="F1426" s="81">
        <v>716.1</v>
      </c>
      <c r="G1426" s="156">
        <f>Tabla18[[#This Row],[Importe]]-Tabla18[[#This Row],[Pagado]]</f>
        <v>0</v>
      </c>
      <c r="H1426" s="75" t="s">
        <v>10</v>
      </c>
    </row>
    <row r="1427" spans="1:8" x14ac:dyDescent="0.25">
      <c r="A1427" s="148">
        <v>44755</v>
      </c>
      <c r="B1427" s="149" t="s">
        <v>22743</v>
      </c>
      <c r="C1427" s="153" t="s">
        <v>365</v>
      </c>
      <c r="D1427" s="154">
        <v>909</v>
      </c>
      <c r="E1427" s="155">
        <v>44755</v>
      </c>
      <c r="F1427" s="154">
        <v>909</v>
      </c>
      <c r="G1427" s="156">
        <f>Tabla18[[#This Row],[Importe]]-Tabla18[[#This Row],[Pagado]]</f>
        <v>0</v>
      </c>
      <c r="H1427" s="153" t="s">
        <v>10</v>
      </c>
    </row>
    <row r="1428" spans="1:8" x14ac:dyDescent="0.25">
      <c r="A1428" s="73">
        <v>44755</v>
      </c>
      <c r="B1428" s="74" t="s">
        <v>22744</v>
      </c>
      <c r="C1428" s="75" t="s">
        <v>5694</v>
      </c>
      <c r="D1428" s="81">
        <v>4123.8</v>
      </c>
      <c r="E1428" s="151">
        <v>44755</v>
      </c>
      <c r="F1428" s="81">
        <v>4123.8</v>
      </c>
      <c r="G1428" s="156">
        <f>Tabla18[[#This Row],[Importe]]-Tabla18[[#This Row],[Pagado]]</f>
        <v>0</v>
      </c>
      <c r="H1428" s="75" t="s">
        <v>10</v>
      </c>
    </row>
    <row r="1429" spans="1:8" x14ac:dyDescent="0.25">
      <c r="A1429" s="148">
        <v>44755</v>
      </c>
      <c r="B1429" s="149" t="s">
        <v>22745</v>
      </c>
      <c r="C1429" s="153" t="s">
        <v>9175</v>
      </c>
      <c r="D1429" s="154">
        <v>3551.8</v>
      </c>
      <c r="E1429" s="155">
        <v>44755</v>
      </c>
      <c r="F1429" s="154">
        <v>3551.8</v>
      </c>
      <c r="G1429" s="156">
        <f>Tabla18[[#This Row],[Importe]]-Tabla18[[#This Row],[Pagado]]</f>
        <v>0</v>
      </c>
      <c r="H1429" s="153" t="s">
        <v>10</v>
      </c>
    </row>
    <row r="1430" spans="1:8" x14ac:dyDescent="0.25">
      <c r="A1430" s="73">
        <v>44755</v>
      </c>
      <c r="B1430" s="74" t="s">
        <v>22746</v>
      </c>
      <c r="C1430" s="75" t="s">
        <v>610</v>
      </c>
      <c r="D1430" s="81">
        <v>5449.2</v>
      </c>
      <c r="E1430" s="151">
        <v>44756</v>
      </c>
      <c r="F1430" s="81">
        <v>5449.2</v>
      </c>
      <c r="G1430" s="156">
        <f>Tabla18[[#This Row],[Importe]]-Tabla18[[#This Row],[Pagado]]</f>
        <v>0</v>
      </c>
      <c r="H1430" s="75" t="s">
        <v>10</v>
      </c>
    </row>
    <row r="1431" spans="1:8" x14ac:dyDescent="0.25">
      <c r="A1431" s="148">
        <v>44755</v>
      </c>
      <c r="B1431" s="149" t="s">
        <v>22747</v>
      </c>
      <c r="C1431" s="153" t="s">
        <v>53</v>
      </c>
      <c r="D1431" s="154">
        <v>2586.1999999999998</v>
      </c>
      <c r="E1431" s="155">
        <v>44756</v>
      </c>
      <c r="F1431" s="154">
        <v>2586.1999999999998</v>
      </c>
      <c r="G1431" s="156">
        <f>Tabla18[[#This Row],[Importe]]-Tabla18[[#This Row],[Pagado]]</f>
        <v>0</v>
      </c>
      <c r="H1431" s="153" t="s">
        <v>10</v>
      </c>
    </row>
    <row r="1432" spans="1:8" x14ac:dyDescent="0.25">
      <c r="A1432" s="73">
        <v>44755</v>
      </c>
      <c r="B1432" s="74" t="s">
        <v>22748</v>
      </c>
      <c r="C1432" s="75" t="s">
        <v>22749</v>
      </c>
      <c r="D1432" s="81">
        <v>920</v>
      </c>
      <c r="E1432" s="151">
        <v>44756</v>
      </c>
      <c r="F1432" s="81">
        <v>920</v>
      </c>
      <c r="G1432" s="156">
        <f>Tabla18[[#This Row],[Importe]]-Tabla18[[#This Row],[Pagado]]</f>
        <v>0</v>
      </c>
      <c r="H1432" s="75" t="s">
        <v>10</v>
      </c>
    </row>
    <row r="1433" spans="1:8" x14ac:dyDescent="0.25">
      <c r="A1433" s="148">
        <v>44756</v>
      </c>
      <c r="B1433" s="149" t="s">
        <v>22750</v>
      </c>
      <c r="C1433" s="153" t="s">
        <v>887</v>
      </c>
      <c r="D1433" s="154">
        <v>14575.2</v>
      </c>
      <c r="E1433" s="155">
        <v>44756</v>
      </c>
      <c r="F1433" s="154">
        <v>14575.2</v>
      </c>
      <c r="G1433" s="156">
        <f>Tabla18[[#This Row],[Importe]]-Tabla18[[#This Row],[Pagado]]</f>
        <v>0</v>
      </c>
      <c r="H1433" s="153" t="s">
        <v>10</v>
      </c>
    </row>
    <row r="1434" spans="1:8" x14ac:dyDescent="0.25">
      <c r="A1434" s="73">
        <v>44756</v>
      </c>
      <c r="B1434" s="74" t="s">
        <v>22751</v>
      </c>
      <c r="C1434" s="75" t="s">
        <v>475</v>
      </c>
      <c r="D1434" s="81">
        <v>56716.800000000003</v>
      </c>
      <c r="E1434" s="151">
        <v>44757</v>
      </c>
      <c r="F1434" s="81">
        <v>56716.800000000003</v>
      </c>
      <c r="G1434" s="156">
        <f>Tabla18[[#This Row],[Importe]]-Tabla18[[#This Row],[Pagado]]</f>
        <v>0</v>
      </c>
      <c r="H1434" s="75" t="s">
        <v>10</v>
      </c>
    </row>
    <row r="1435" spans="1:8" x14ac:dyDescent="0.25">
      <c r="A1435" s="148">
        <v>44756</v>
      </c>
      <c r="B1435" s="149" t="s">
        <v>22752</v>
      </c>
      <c r="C1435" s="153" t="s">
        <v>473</v>
      </c>
      <c r="D1435" s="154">
        <v>6047.8</v>
      </c>
      <c r="E1435" s="155">
        <v>44756</v>
      </c>
      <c r="F1435" s="154">
        <v>6047.8</v>
      </c>
      <c r="G1435" s="156">
        <f>Tabla18[[#This Row],[Importe]]-Tabla18[[#This Row],[Pagado]]</f>
        <v>0</v>
      </c>
      <c r="H1435" s="153" t="s">
        <v>10</v>
      </c>
    </row>
    <row r="1436" spans="1:8" x14ac:dyDescent="0.25">
      <c r="A1436" s="73">
        <v>44756</v>
      </c>
      <c r="B1436" s="74" t="s">
        <v>22753</v>
      </c>
      <c r="C1436" s="75" t="s">
        <v>618</v>
      </c>
      <c r="D1436" s="81">
        <v>8095.6</v>
      </c>
      <c r="E1436" s="151">
        <v>44756</v>
      </c>
      <c r="F1436" s="81">
        <v>8095.6</v>
      </c>
      <c r="G1436" s="156">
        <f>Tabla18[[#This Row],[Importe]]-Tabla18[[#This Row],[Pagado]]</f>
        <v>0</v>
      </c>
      <c r="H1436" s="75" t="s">
        <v>10</v>
      </c>
    </row>
    <row r="1437" spans="1:8" x14ac:dyDescent="0.25">
      <c r="A1437" s="148">
        <v>44756</v>
      </c>
      <c r="B1437" s="149" t="s">
        <v>22754</v>
      </c>
      <c r="C1437" s="153" t="s">
        <v>85</v>
      </c>
      <c r="D1437" s="154">
        <v>1478.4</v>
      </c>
      <c r="E1437" s="155">
        <v>44756</v>
      </c>
      <c r="F1437" s="154">
        <v>1478.4</v>
      </c>
      <c r="G1437" s="156">
        <f>Tabla18[[#This Row],[Importe]]-Tabla18[[#This Row],[Pagado]]</f>
        <v>0</v>
      </c>
      <c r="H1437" s="153" t="s">
        <v>10</v>
      </c>
    </row>
    <row r="1438" spans="1:8" x14ac:dyDescent="0.25">
      <c r="A1438" s="73">
        <v>44756</v>
      </c>
      <c r="B1438" s="74" t="s">
        <v>22755</v>
      </c>
      <c r="C1438" s="75" t="s">
        <v>75</v>
      </c>
      <c r="D1438" s="81">
        <v>6129.2</v>
      </c>
      <c r="E1438" s="151">
        <v>44756</v>
      </c>
      <c r="F1438" s="81">
        <v>6129.2</v>
      </c>
      <c r="G1438" s="156">
        <f>Tabla18[[#This Row],[Importe]]-Tabla18[[#This Row],[Pagado]]</f>
        <v>0</v>
      </c>
      <c r="H1438" s="75" t="s">
        <v>10</v>
      </c>
    </row>
    <row r="1439" spans="1:8" x14ac:dyDescent="0.25">
      <c r="A1439" s="148">
        <v>44756</v>
      </c>
      <c r="B1439" s="149" t="s">
        <v>22756</v>
      </c>
      <c r="C1439" s="153" t="s">
        <v>481</v>
      </c>
      <c r="D1439" s="154">
        <v>802.4</v>
      </c>
      <c r="E1439" s="155">
        <v>44756</v>
      </c>
      <c r="F1439" s="154">
        <v>802.4</v>
      </c>
      <c r="G1439" s="156">
        <f>Tabla18[[#This Row],[Importe]]-Tabla18[[#This Row],[Pagado]]</f>
        <v>0</v>
      </c>
      <c r="H1439" s="153" t="s">
        <v>10</v>
      </c>
    </row>
    <row r="1440" spans="1:8" x14ac:dyDescent="0.25">
      <c r="A1440" s="73">
        <v>44756</v>
      </c>
      <c r="B1440" s="74" t="s">
        <v>22757</v>
      </c>
      <c r="C1440" s="75" t="s">
        <v>135</v>
      </c>
      <c r="D1440" s="81">
        <v>1376</v>
      </c>
      <c r="E1440" s="151">
        <v>44756</v>
      </c>
      <c r="F1440" s="81">
        <v>1376</v>
      </c>
      <c r="G1440" s="156">
        <f>Tabla18[[#This Row],[Importe]]-Tabla18[[#This Row],[Pagado]]</f>
        <v>0</v>
      </c>
      <c r="H1440" s="75" t="s">
        <v>10</v>
      </c>
    </row>
    <row r="1441" spans="1:8" x14ac:dyDescent="0.25">
      <c r="A1441" s="148">
        <v>44756</v>
      </c>
      <c r="B1441" s="149" t="s">
        <v>22758</v>
      </c>
      <c r="C1441" s="153" t="s">
        <v>179</v>
      </c>
      <c r="D1441" s="154">
        <v>1532.3</v>
      </c>
      <c r="E1441" s="155">
        <v>44756</v>
      </c>
      <c r="F1441" s="154">
        <v>1532.3</v>
      </c>
      <c r="G1441" s="156">
        <f>Tabla18[[#This Row],[Importe]]-Tabla18[[#This Row],[Pagado]]</f>
        <v>0</v>
      </c>
      <c r="H1441" s="153" t="s">
        <v>10</v>
      </c>
    </row>
    <row r="1442" spans="1:8" x14ac:dyDescent="0.25">
      <c r="A1442" s="73">
        <v>44756</v>
      </c>
      <c r="B1442" s="74" t="s">
        <v>22759</v>
      </c>
      <c r="C1442" s="75" t="s">
        <v>87</v>
      </c>
      <c r="D1442" s="81">
        <v>2194.9</v>
      </c>
      <c r="E1442" s="151">
        <v>44756</v>
      </c>
      <c r="F1442" s="81">
        <v>2194.9</v>
      </c>
      <c r="G1442" s="156">
        <f>Tabla18[[#This Row],[Importe]]-Tabla18[[#This Row],[Pagado]]</f>
        <v>0</v>
      </c>
      <c r="H1442" s="75" t="s">
        <v>10</v>
      </c>
    </row>
    <row r="1443" spans="1:8" ht="31.5" x14ac:dyDescent="0.25">
      <c r="A1443" s="148">
        <v>44756</v>
      </c>
      <c r="B1443" s="149" t="s">
        <v>22760</v>
      </c>
      <c r="C1443" s="153" t="s">
        <v>99</v>
      </c>
      <c r="D1443" s="154">
        <v>7647.2</v>
      </c>
      <c r="E1443" s="150" t="s">
        <v>22761</v>
      </c>
      <c r="F1443" s="154">
        <f>4000+3647.2</f>
        <v>7647.2</v>
      </c>
      <c r="G1443" s="156">
        <f>Tabla18[[#This Row],[Importe]]-Tabla18[[#This Row],[Pagado]]</f>
        <v>0</v>
      </c>
      <c r="H1443" s="153" t="s">
        <v>10</v>
      </c>
    </row>
    <row r="1444" spans="1:8" x14ac:dyDescent="0.25">
      <c r="A1444" s="73">
        <v>44756</v>
      </c>
      <c r="B1444" s="74" t="s">
        <v>22762</v>
      </c>
      <c r="C1444" s="75" t="s">
        <v>89</v>
      </c>
      <c r="D1444" s="81">
        <v>9215.7999999999993</v>
      </c>
      <c r="E1444" s="151">
        <v>44757</v>
      </c>
      <c r="F1444" s="81">
        <v>9215.7999999999993</v>
      </c>
      <c r="G1444" s="156">
        <f>Tabla18[[#This Row],[Importe]]-Tabla18[[#This Row],[Pagado]]</f>
        <v>0</v>
      </c>
      <c r="H1444" s="75" t="s">
        <v>10</v>
      </c>
    </row>
    <row r="1445" spans="1:8" x14ac:dyDescent="0.25">
      <c r="A1445" s="148">
        <v>44756</v>
      </c>
      <c r="B1445" s="149" t="s">
        <v>22763</v>
      </c>
      <c r="C1445" s="153" t="s">
        <v>64</v>
      </c>
      <c r="D1445" s="154">
        <v>4582.3999999999996</v>
      </c>
      <c r="E1445" s="155">
        <v>44757</v>
      </c>
      <c r="F1445" s="154">
        <v>4582.3999999999996</v>
      </c>
      <c r="G1445" s="156">
        <f>Tabla18[[#This Row],[Importe]]-Tabla18[[#This Row],[Pagado]]</f>
        <v>0</v>
      </c>
      <c r="H1445" s="153" t="s">
        <v>10</v>
      </c>
    </row>
    <row r="1446" spans="1:8" x14ac:dyDescent="0.25">
      <c r="A1446" s="73">
        <v>44756</v>
      </c>
      <c r="B1446" s="74" t="s">
        <v>22764</v>
      </c>
      <c r="C1446" s="75" t="s">
        <v>111</v>
      </c>
      <c r="D1446" s="81">
        <v>5009.6000000000004</v>
      </c>
      <c r="E1446" s="151">
        <v>44757</v>
      </c>
      <c r="F1446" s="81">
        <v>5009.6000000000004</v>
      </c>
      <c r="G1446" s="156">
        <f>Tabla18[[#This Row],[Importe]]-Tabla18[[#This Row],[Pagado]]</f>
        <v>0</v>
      </c>
      <c r="H1446" s="75" t="s">
        <v>10</v>
      </c>
    </row>
    <row r="1447" spans="1:8" x14ac:dyDescent="0.25">
      <c r="A1447" s="148">
        <v>44756</v>
      </c>
      <c r="B1447" s="149" t="s">
        <v>22765</v>
      </c>
      <c r="C1447" s="153" t="s">
        <v>348</v>
      </c>
      <c r="D1447" s="154">
        <v>1244.9000000000001</v>
      </c>
      <c r="E1447" s="155">
        <v>44756</v>
      </c>
      <c r="F1447" s="154">
        <v>1244.9000000000001</v>
      </c>
      <c r="G1447" s="156">
        <f>Tabla18[[#This Row],[Importe]]-Tabla18[[#This Row],[Pagado]]</f>
        <v>0</v>
      </c>
      <c r="H1447" s="153" t="s">
        <v>10</v>
      </c>
    </row>
    <row r="1448" spans="1:8" x14ac:dyDescent="0.25">
      <c r="A1448" s="73">
        <v>44756</v>
      </c>
      <c r="B1448" s="74" t="s">
        <v>22766</v>
      </c>
      <c r="C1448" s="75" t="s">
        <v>105</v>
      </c>
      <c r="D1448" s="81">
        <v>4997.2</v>
      </c>
      <c r="E1448" s="151">
        <v>44757</v>
      </c>
      <c r="F1448" s="81">
        <v>4997.2</v>
      </c>
      <c r="G1448" s="156">
        <f>Tabla18[[#This Row],[Importe]]-Tabla18[[#This Row],[Pagado]]</f>
        <v>0</v>
      </c>
      <c r="H1448" s="75" t="s">
        <v>10</v>
      </c>
    </row>
    <row r="1449" spans="1:8" x14ac:dyDescent="0.25">
      <c r="A1449" s="148">
        <v>44756</v>
      </c>
      <c r="B1449" s="149" t="s">
        <v>22767</v>
      </c>
      <c r="C1449" s="153" t="s">
        <v>326</v>
      </c>
      <c r="D1449" s="154">
        <v>5395.2</v>
      </c>
      <c r="E1449" s="155">
        <v>44757</v>
      </c>
      <c r="F1449" s="154">
        <v>5395.2</v>
      </c>
      <c r="G1449" s="156">
        <f>Tabla18[[#This Row],[Importe]]-Tabla18[[#This Row],[Pagado]]</f>
        <v>0</v>
      </c>
      <c r="H1449" s="153" t="s">
        <v>10</v>
      </c>
    </row>
    <row r="1450" spans="1:8" x14ac:dyDescent="0.25">
      <c r="A1450" s="73">
        <v>44756</v>
      </c>
      <c r="B1450" s="74" t="s">
        <v>22768</v>
      </c>
      <c r="C1450" s="75" t="s">
        <v>60</v>
      </c>
      <c r="D1450" s="81">
        <v>5164.8</v>
      </c>
      <c r="E1450" s="151">
        <v>44760</v>
      </c>
      <c r="F1450" s="81">
        <v>5164.8</v>
      </c>
      <c r="G1450" s="156">
        <f>Tabla18[[#This Row],[Importe]]-Tabla18[[#This Row],[Pagado]]</f>
        <v>0</v>
      </c>
      <c r="H1450" s="75" t="s">
        <v>10</v>
      </c>
    </row>
    <row r="1451" spans="1:8" x14ac:dyDescent="0.25">
      <c r="A1451" s="148">
        <v>44756</v>
      </c>
      <c r="B1451" s="149" t="s">
        <v>22769</v>
      </c>
      <c r="C1451" s="153" t="s">
        <v>97</v>
      </c>
      <c r="D1451" s="154">
        <v>4569.6000000000004</v>
      </c>
      <c r="E1451" s="155">
        <v>44757</v>
      </c>
      <c r="F1451" s="154">
        <v>4569.6000000000004</v>
      </c>
      <c r="G1451" s="156">
        <f>Tabla18[[#This Row],[Importe]]-Tabla18[[#This Row],[Pagado]]</f>
        <v>0</v>
      </c>
      <c r="H1451" s="153" t="s">
        <v>10</v>
      </c>
    </row>
    <row r="1452" spans="1:8" x14ac:dyDescent="0.25">
      <c r="A1452" s="73">
        <v>44756</v>
      </c>
      <c r="B1452" s="74" t="s">
        <v>22770</v>
      </c>
      <c r="C1452" s="75" t="s">
        <v>2151</v>
      </c>
      <c r="D1452" s="81">
        <v>17287.599999999999</v>
      </c>
      <c r="E1452" s="151">
        <v>44756</v>
      </c>
      <c r="F1452" s="81">
        <v>17287.599999999999</v>
      </c>
      <c r="G1452" s="156">
        <f>Tabla18[[#This Row],[Importe]]-Tabla18[[#This Row],[Pagado]]</f>
        <v>0</v>
      </c>
      <c r="H1452" s="75" t="s">
        <v>10</v>
      </c>
    </row>
    <row r="1453" spans="1:8" x14ac:dyDescent="0.25">
      <c r="A1453" s="148">
        <v>44756</v>
      </c>
      <c r="B1453" s="149" t="s">
        <v>22771</v>
      </c>
      <c r="C1453" s="153" t="s">
        <v>93</v>
      </c>
      <c r="D1453" s="154">
        <v>5208</v>
      </c>
      <c r="E1453" s="155">
        <v>44757</v>
      </c>
      <c r="F1453" s="154">
        <v>5208</v>
      </c>
      <c r="G1453" s="156">
        <f>Tabla18[[#This Row],[Importe]]-Tabla18[[#This Row],[Pagado]]</f>
        <v>0</v>
      </c>
      <c r="H1453" s="153" t="s">
        <v>10</v>
      </c>
    </row>
    <row r="1454" spans="1:8" x14ac:dyDescent="0.25">
      <c r="A1454" s="73">
        <v>44756</v>
      </c>
      <c r="B1454" s="74" t="s">
        <v>22772</v>
      </c>
      <c r="C1454" s="75" t="s">
        <v>5043</v>
      </c>
      <c r="D1454" s="81">
        <v>4716.8</v>
      </c>
      <c r="E1454" s="151">
        <v>44758</v>
      </c>
      <c r="F1454" s="81">
        <v>4716.8</v>
      </c>
      <c r="G1454" s="156">
        <f>Tabla18[[#This Row],[Importe]]-Tabla18[[#This Row],[Pagado]]</f>
        <v>0</v>
      </c>
      <c r="H1454" s="75" t="s">
        <v>10</v>
      </c>
    </row>
    <row r="1455" spans="1:8" x14ac:dyDescent="0.25">
      <c r="A1455" s="148">
        <v>44756</v>
      </c>
      <c r="B1455" s="149" t="s">
        <v>22773</v>
      </c>
      <c r="C1455" s="153" t="s">
        <v>9</v>
      </c>
      <c r="D1455" s="154">
        <v>9951.2000000000007</v>
      </c>
      <c r="E1455" s="155">
        <v>44756</v>
      </c>
      <c r="F1455" s="154">
        <v>9951.2000000000007</v>
      </c>
      <c r="G1455" s="156">
        <f>Tabla18[[#This Row],[Importe]]-Tabla18[[#This Row],[Pagado]]</f>
        <v>0</v>
      </c>
      <c r="H1455" s="153" t="s">
        <v>10</v>
      </c>
    </row>
    <row r="1456" spans="1:8" x14ac:dyDescent="0.25">
      <c r="A1456" s="73">
        <v>44756</v>
      </c>
      <c r="B1456" s="74" t="s">
        <v>22774</v>
      </c>
      <c r="C1456" s="75" t="s">
        <v>1187</v>
      </c>
      <c r="D1456" s="81">
        <v>2652</v>
      </c>
      <c r="E1456" s="151">
        <v>44756</v>
      </c>
      <c r="F1456" s="81">
        <v>2652</v>
      </c>
      <c r="G1456" s="156">
        <f>Tabla18[[#This Row],[Importe]]-Tabla18[[#This Row],[Pagado]]</f>
        <v>0</v>
      </c>
      <c r="H1456" s="75" t="s">
        <v>10</v>
      </c>
    </row>
    <row r="1457" spans="1:8" x14ac:dyDescent="0.25">
      <c r="A1457" s="148">
        <v>44756</v>
      </c>
      <c r="B1457" s="149" t="s">
        <v>22775</v>
      </c>
      <c r="C1457" s="153" t="s">
        <v>95</v>
      </c>
      <c r="D1457" s="154">
        <v>29068.2</v>
      </c>
      <c r="E1457" s="155">
        <v>44756</v>
      </c>
      <c r="F1457" s="154">
        <v>29068.2</v>
      </c>
      <c r="G1457" s="156">
        <f>Tabla18[[#This Row],[Importe]]-Tabla18[[#This Row],[Pagado]]</f>
        <v>0</v>
      </c>
      <c r="H1457" s="153" t="s">
        <v>10</v>
      </c>
    </row>
    <row r="1458" spans="1:8" x14ac:dyDescent="0.25">
      <c r="A1458" s="73">
        <v>44756</v>
      </c>
      <c r="B1458" s="74" t="s">
        <v>22776</v>
      </c>
      <c r="C1458" s="75" t="s">
        <v>79</v>
      </c>
      <c r="D1458" s="81">
        <v>21202</v>
      </c>
      <c r="E1458" s="151">
        <v>44756</v>
      </c>
      <c r="F1458" s="81">
        <v>21202</v>
      </c>
      <c r="G1458" s="156">
        <f>Tabla18[[#This Row],[Importe]]-Tabla18[[#This Row],[Pagado]]</f>
        <v>0</v>
      </c>
      <c r="H1458" s="75" t="s">
        <v>10</v>
      </c>
    </row>
    <row r="1459" spans="1:8" x14ac:dyDescent="0.25">
      <c r="A1459" s="148">
        <v>44756</v>
      </c>
      <c r="B1459" s="149" t="s">
        <v>22777</v>
      </c>
      <c r="C1459" s="153" t="s">
        <v>31</v>
      </c>
      <c r="D1459" s="154">
        <v>630</v>
      </c>
      <c r="E1459" s="155">
        <v>44756</v>
      </c>
      <c r="F1459" s="154">
        <v>630</v>
      </c>
      <c r="G1459" s="156">
        <f>Tabla18[[#This Row],[Importe]]-Tabla18[[#This Row],[Pagado]]</f>
        <v>0</v>
      </c>
      <c r="H1459" s="153" t="s">
        <v>10</v>
      </c>
    </row>
    <row r="1460" spans="1:8" x14ac:dyDescent="0.25">
      <c r="A1460" s="73">
        <v>44756</v>
      </c>
      <c r="B1460" s="74" t="s">
        <v>22778</v>
      </c>
      <c r="C1460" s="75" t="s">
        <v>1239</v>
      </c>
      <c r="D1460" s="81">
        <v>13445.6</v>
      </c>
      <c r="E1460" s="151">
        <v>44756</v>
      </c>
      <c r="F1460" s="81">
        <v>13445.6</v>
      </c>
      <c r="G1460" s="156">
        <f>Tabla18[[#This Row],[Importe]]-Tabla18[[#This Row],[Pagado]]</f>
        <v>0</v>
      </c>
      <c r="H1460" s="75" t="s">
        <v>10</v>
      </c>
    </row>
    <row r="1461" spans="1:8" x14ac:dyDescent="0.25">
      <c r="A1461" s="148">
        <v>44756</v>
      </c>
      <c r="B1461" s="149" t="s">
        <v>22779</v>
      </c>
      <c r="C1461" s="153" t="s">
        <v>198</v>
      </c>
      <c r="D1461" s="154">
        <v>5312.5</v>
      </c>
      <c r="E1461" s="155">
        <v>44756</v>
      </c>
      <c r="F1461" s="154">
        <v>5312.5</v>
      </c>
      <c r="G1461" s="156">
        <f>Tabla18[[#This Row],[Importe]]-Tabla18[[#This Row],[Pagado]]</f>
        <v>0</v>
      </c>
      <c r="H1461" s="153" t="s">
        <v>10</v>
      </c>
    </row>
    <row r="1462" spans="1:8" x14ac:dyDescent="0.25">
      <c r="A1462" s="73">
        <v>44756</v>
      </c>
      <c r="B1462" s="74" t="s">
        <v>22780</v>
      </c>
      <c r="C1462" s="75" t="s">
        <v>11033</v>
      </c>
      <c r="D1462" s="81">
        <v>2271.5</v>
      </c>
      <c r="E1462" s="151">
        <v>44756</v>
      </c>
      <c r="F1462" s="81">
        <v>2271.5</v>
      </c>
      <c r="G1462" s="156">
        <f>Tabla18[[#This Row],[Importe]]-Tabla18[[#This Row],[Pagado]]</f>
        <v>0</v>
      </c>
      <c r="H1462" s="75" t="s">
        <v>10</v>
      </c>
    </row>
    <row r="1463" spans="1:8" ht="31.5" x14ac:dyDescent="0.25">
      <c r="A1463" s="148">
        <v>44756</v>
      </c>
      <c r="B1463" s="149" t="s">
        <v>22781</v>
      </c>
      <c r="C1463" s="153" t="s">
        <v>22</v>
      </c>
      <c r="D1463" s="154">
        <v>56794</v>
      </c>
      <c r="E1463" s="150" t="s">
        <v>22761</v>
      </c>
      <c r="F1463" s="154">
        <f>49000+7794</f>
        <v>56794</v>
      </c>
      <c r="G1463" s="156">
        <f>Tabla18[[#This Row],[Importe]]-Tabla18[[#This Row],[Pagado]]</f>
        <v>0</v>
      </c>
      <c r="H1463" s="153" t="s">
        <v>10</v>
      </c>
    </row>
    <row r="1464" spans="1:8" x14ac:dyDescent="0.25">
      <c r="A1464" s="73">
        <v>44756</v>
      </c>
      <c r="B1464" s="74" t="s">
        <v>22782</v>
      </c>
      <c r="C1464" s="75" t="s">
        <v>22783</v>
      </c>
      <c r="D1464" s="81">
        <v>2981</v>
      </c>
      <c r="E1464" s="151">
        <v>44756</v>
      </c>
      <c r="F1464" s="81">
        <v>2981</v>
      </c>
      <c r="G1464" s="156">
        <f>Tabla18[[#This Row],[Importe]]-Tabla18[[#This Row],[Pagado]]</f>
        <v>0</v>
      </c>
      <c r="H1464" s="75" t="s">
        <v>10</v>
      </c>
    </row>
    <row r="1465" spans="1:8" x14ac:dyDescent="0.25">
      <c r="A1465" s="148">
        <v>44756</v>
      </c>
      <c r="B1465" s="149" t="s">
        <v>22784</v>
      </c>
      <c r="C1465" s="153" t="s">
        <v>214</v>
      </c>
      <c r="D1465" s="154">
        <v>5304</v>
      </c>
      <c r="E1465" s="155">
        <v>44756</v>
      </c>
      <c r="F1465" s="154">
        <v>5304</v>
      </c>
      <c r="G1465" s="156">
        <f>Tabla18[[#This Row],[Importe]]-Tabla18[[#This Row],[Pagado]]</f>
        <v>0</v>
      </c>
      <c r="H1465" s="153" t="s">
        <v>10</v>
      </c>
    </row>
    <row r="1466" spans="1:8" x14ac:dyDescent="0.25">
      <c r="A1466" s="73">
        <v>44756</v>
      </c>
      <c r="B1466" s="74" t="s">
        <v>22785</v>
      </c>
      <c r="C1466" s="75" t="s">
        <v>22786</v>
      </c>
      <c r="D1466" s="81">
        <v>0</v>
      </c>
      <c r="E1466" s="157" t="s">
        <v>189</v>
      </c>
      <c r="F1466" s="81">
        <v>0</v>
      </c>
      <c r="G1466" s="156">
        <f>Tabla18[[#This Row],[Importe]]-Tabla18[[#This Row],[Pagado]]</f>
        <v>0</v>
      </c>
      <c r="H1466" s="161" t="s">
        <v>22787</v>
      </c>
    </row>
    <row r="1467" spans="1:8" x14ac:dyDescent="0.25">
      <c r="A1467" s="148">
        <v>44756</v>
      </c>
      <c r="B1467" s="149" t="s">
        <v>22788</v>
      </c>
      <c r="C1467" s="153" t="s">
        <v>142</v>
      </c>
      <c r="D1467" s="154">
        <v>65012.85</v>
      </c>
      <c r="E1467" s="155">
        <v>44799</v>
      </c>
      <c r="F1467" s="154">
        <v>65012.85</v>
      </c>
      <c r="G1467" s="156">
        <f>Tabla18[[#This Row],[Importe]]-Tabla18[[#This Row],[Pagado]]</f>
        <v>0</v>
      </c>
      <c r="H1467" s="153" t="s">
        <v>10</v>
      </c>
    </row>
    <row r="1468" spans="1:8" x14ac:dyDescent="0.25">
      <c r="A1468" s="73">
        <v>44756</v>
      </c>
      <c r="B1468" s="74" t="s">
        <v>22789</v>
      </c>
      <c r="C1468" s="75" t="s">
        <v>107</v>
      </c>
      <c r="D1468" s="81">
        <v>11257.6</v>
      </c>
      <c r="E1468" s="151">
        <v>44756</v>
      </c>
      <c r="F1468" s="81">
        <v>11257.6</v>
      </c>
      <c r="G1468" s="156">
        <f>Tabla18[[#This Row],[Importe]]-Tabla18[[#This Row],[Pagado]]</f>
        <v>0</v>
      </c>
      <c r="H1468" s="75" t="s">
        <v>10</v>
      </c>
    </row>
    <row r="1469" spans="1:8" x14ac:dyDescent="0.25">
      <c r="A1469" s="148">
        <v>44756</v>
      </c>
      <c r="B1469" s="149" t="s">
        <v>22790</v>
      </c>
      <c r="C1469" s="153" t="s">
        <v>339</v>
      </c>
      <c r="D1469" s="154">
        <v>640</v>
      </c>
      <c r="E1469" s="155">
        <v>44756</v>
      </c>
      <c r="F1469" s="154">
        <v>640</v>
      </c>
      <c r="G1469" s="156">
        <f>Tabla18[[#This Row],[Importe]]-Tabla18[[#This Row],[Pagado]]</f>
        <v>0</v>
      </c>
      <c r="H1469" s="153" t="s">
        <v>10</v>
      </c>
    </row>
    <row r="1470" spans="1:8" x14ac:dyDescent="0.25">
      <c r="A1470" s="73">
        <v>44756</v>
      </c>
      <c r="B1470" s="74" t="s">
        <v>22791</v>
      </c>
      <c r="C1470" s="75" t="s">
        <v>357</v>
      </c>
      <c r="D1470" s="81">
        <v>1320</v>
      </c>
      <c r="E1470" s="151">
        <v>44756</v>
      </c>
      <c r="F1470" s="81">
        <v>1320</v>
      </c>
      <c r="G1470" s="156">
        <f>Tabla18[[#This Row],[Importe]]-Tabla18[[#This Row],[Pagado]]</f>
        <v>0</v>
      </c>
      <c r="H1470" s="75" t="s">
        <v>10</v>
      </c>
    </row>
    <row r="1471" spans="1:8" x14ac:dyDescent="0.25">
      <c r="A1471" s="148">
        <v>44756</v>
      </c>
      <c r="B1471" s="149" t="s">
        <v>22792</v>
      </c>
      <c r="C1471" s="153" t="s">
        <v>140</v>
      </c>
      <c r="D1471" s="154">
        <v>1160</v>
      </c>
      <c r="E1471" s="155">
        <v>44756</v>
      </c>
      <c r="F1471" s="154">
        <v>1160</v>
      </c>
      <c r="G1471" s="156">
        <f>Tabla18[[#This Row],[Importe]]-Tabla18[[#This Row],[Pagado]]</f>
        <v>0</v>
      </c>
      <c r="H1471" s="153" t="s">
        <v>10</v>
      </c>
    </row>
    <row r="1472" spans="1:8" x14ac:dyDescent="0.25">
      <c r="A1472" s="73">
        <v>44756</v>
      </c>
      <c r="B1472" s="74" t="s">
        <v>22793</v>
      </c>
      <c r="C1472" s="75" t="s">
        <v>129</v>
      </c>
      <c r="D1472" s="81">
        <v>1471.8</v>
      </c>
      <c r="E1472" s="151">
        <v>44756</v>
      </c>
      <c r="F1472" s="81">
        <v>1471.8</v>
      </c>
      <c r="G1472" s="156">
        <f>Tabla18[[#This Row],[Importe]]-Tabla18[[#This Row],[Pagado]]</f>
        <v>0</v>
      </c>
      <c r="H1472" s="75" t="s">
        <v>10</v>
      </c>
    </row>
    <row r="1473" spans="1:8" x14ac:dyDescent="0.25">
      <c r="A1473" s="148">
        <v>44756</v>
      </c>
      <c r="B1473" s="149" t="s">
        <v>22794</v>
      </c>
      <c r="C1473" s="153" t="s">
        <v>127</v>
      </c>
      <c r="D1473" s="154">
        <v>4282.5</v>
      </c>
      <c r="E1473" s="155">
        <v>44756</v>
      </c>
      <c r="F1473" s="154">
        <v>4282.5</v>
      </c>
      <c r="G1473" s="156">
        <f>Tabla18[[#This Row],[Importe]]-Tabla18[[#This Row],[Pagado]]</f>
        <v>0</v>
      </c>
      <c r="H1473" s="153" t="s">
        <v>10</v>
      </c>
    </row>
    <row r="1474" spans="1:8" ht="47.25" x14ac:dyDescent="0.25">
      <c r="A1474" s="73">
        <v>44756</v>
      </c>
      <c r="B1474" s="74" t="s">
        <v>22795</v>
      </c>
      <c r="C1474" s="75" t="s">
        <v>91</v>
      </c>
      <c r="D1474" s="81">
        <v>5382.3</v>
      </c>
      <c r="E1474" s="147" t="s">
        <v>22796</v>
      </c>
      <c r="F1474" s="81">
        <f>1212.2+4060+110.1</f>
        <v>5382.3</v>
      </c>
      <c r="G1474" s="156">
        <f>Tabla18[[#This Row],[Importe]]-Tabla18[[#This Row],[Pagado]]</f>
        <v>0</v>
      </c>
      <c r="H1474" s="75" t="s">
        <v>10</v>
      </c>
    </row>
    <row r="1475" spans="1:8" x14ac:dyDescent="0.25">
      <c r="A1475" s="148">
        <v>44756</v>
      </c>
      <c r="B1475" s="149" t="s">
        <v>22797</v>
      </c>
      <c r="C1475" s="153" t="s">
        <v>56</v>
      </c>
      <c r="D1475" s="154">
        <v>6520.6</v>
      </c>
      <c r="E1475" s="155">
        <v>44756</v>
      </c>
      <c r="F1475" s="154">
        <v>6520.6</v>
      </c>
      <c r="G1475" s="156">
        <f>Tabla18[[#This Row],[Importe]]-Tabla18[[#This Row],[Pagado]]</f>
        <v>0</v>
      </c>
      <c r="H1475" s="153" t="s">
        <v>10</v>
      </c>
    </row>
    <row r="1476" spans="1:8" x14ac:dyDescent="0.25">
      <c r="A1476" s="73">
        <v>44756</v>
      </c>
      <c r="B1476" s="74" t="s">
        <v>22798</v>
      </c>
      <c r="C1476" s="75" t="s">
        <v>647</v>
      </c>
      <c r="D1476" s="81">
        <v>3824.8</v>
      </c>
      <c r="E1476" s="151">
        <v>44756</v>
      </c>
      <c r="F1476" s="81">
        <v>3824.8</v>
      </c>
      <c r="G1476" s="156">
        <f>Tabla18[[#This Row],[Importe]]-Tabla18[[#This Row],[Pagado]]</f>
        <v>0</v>
      </c>
      <c r="H1476" s="75" t="s">
        <v>10</v>
      </c>
    </row>
    <row r="1477" spans="1:8" x14ac:dyDescent="0.25">
      <c r="A1477" s="148">
        <v>44756</v>
      </c>
      <c r="B1477" s="149" t="s">
        <v>22799</v>
      </c>
      <c r="C1477" s="153" t="s">
        <v>45</v>
      </c>
      <c r="D1477" s="154">
        <v>17479.099999999999</v>
      </c>
      <c r="E1477" s="155">
        <v>44756</v>
      </c>
      <c r="F1477" s="154">
        <v>17479.099999999999</v>
      </c>
      <c r="G1477" s="156">
        <f>Tabla18[[#This Row],[Importe]]-Tabla18[[#This Row],[Pagado]]</f>
        <v>0</v>
      </c>
      <c r="H1477" s="153" t="s">
        <v>10</v>
      </c>
    </row>
    <row r="1478" spans="1:8" x14ac:dyDescent="0.25">
      <c r="A1478" s="73">
        <v>44756</v>
      </c>
      <c r="B1478" s="74" t="s">
        <v>22800</v>
      </c>
      <c r="C1478" s="75" t="s">
        <v>670</v>
      </c>
      <c r="D1478" s="81">
        <v>1599.2</v>
      </c>
      <c r="E1478" s="151">
        <v>44756</v>
      </c>
      <c r="F1478" s="81">
        <v>1599.2</v>
      </c>
      <c r="G1478" s="156">
        <f>Tabla18[[#This Row],[Importe]]-Tabla18[[#This Row],[Pagado]]</f>
        <v>0</v>
      </c>
      <c r="H1478" s="75" t="s">
        <v>10</v>
      </c>
    </row>
    <row r="1479" spans="1:8" x14ac:dyDescent="0.25">
      <c r="A1479" s="148">
        <v>44756</v>
      </c>
      <c r="B1479" s="149" t="s">
        <v>22801</v>
      </c>
      <c r="C1479" s="153" t="s">
        <v>53</v>
      </c>
      <c r="D1479" s="154">
        <v>2152</v>
      </c>
      <c r="E1479" s="155">
        <v>44756</v>
      </c>
      <c r="F1479" s="154">
        <v>2152</v>
      </c>
      <c r="G1479" s="156">
        <f>Tabla18[[#This Row],[Importe]]-Tabla18[[#This Row],[Pagado]]</f>
        <v>0</v>
      </c>
      <c r="H1479" s="153" t="s">
        <v>10</v>
      </c>
    </row>
    <row r="1480" spans="1:8" x14ac:dyDescent="0.25">
      <c r="A1480" s="73">
        <v>44756</v>
      </c>
      <c r="B1480" s="74" t="s">
        <v>22802</v>
      </c>
      <c r="C1480" s="75" t="s">
        <v>196</v>
      </c>
      <c r="D1480" s="81">
        <v>132564.79999999999</v>
      </c>
      <c r="E1480" s="151">
        <v>44757</v>
      </c>
      <c r="F1480" s="81">
        <v>132564.79999999999</v>
      </c>
      <c r="G1480" s="156">
        <f>Tabla18[[#This Row],[Importe]]-Tabla18[[#This Row],[Pagado]]</f>
        <v>0</v>
      </c>
      <c r="H1480" s="75" t="s">
        <v>10</v>
      </c>
    </row>
    <row r="1481" spans="1:8" x14ac:dyDescent="0.25">
      <c r="A1481" s="148">
        <v>44756</v>
      </c>
      <c r="B1481" s="149" t="s">
        <v>22803</v>
      </c>
      <c r="C1481" s="153" t="s">
        <v>49</v>
      </c>
      <c r="D1481" s="154">
        <v>4055</v>
      </c>
      <c r="E1481" s="155">
        <v>44756</v>
      </c>
      <c r="F1481" s="154">
        <v>4055</v>
      </c>
      <c r="G1481" s="156">
        <f>Tabla18[[#This Row],[Importe]]-Tabla18[[#This Row],[Pagado]]</f>
        <v>0</v>
      </c>
      <c r="H1481" s="153" t="s">
        <v>10</v>
      </c>
    </row>
    <row r="1482" spans="1:8" x14ac:dyDescent="0.25">
      <c r="A1482" s="73">
        <v>44756</v>
      </c>
      <c r="B1482" s="74" t="s">
        <v>22804</v>
      </c>
      <c r="C1482" s="75" t="s">
        <v>29</v>
      </c>
      <c r="D1482" s="81">
        <v>4273.5</v>
      </c>
      <c r="E1482" s="151">
        <v>44756</v>
      </c>
      <c r="F1482" s="81">
        <v>4273.5</v>
      </c>
      <c r="G1482" s="156">
        <f>Tabla18[[#This Row],[Importe]]-Tabla18[[#This Row],[Pagado]]</f>
        <v>0</v>
      </c>
      <c r="H1482" s="75" t="s">
        <v>10</v>
      </c>
    </row>
    <row r="1483" spans="1:8" x14ac:dyDescent="0.25">
      <c r="A1483" s="148">
        <v>44756</v>
      </c>
      <c r="B1483" s="149" t="s">
        <v>22805</v>
      </c>
      <c r="C1483" s="153" t="s">
        <v>24</v>
      </c>
      <c r="D1483" s="154">
        <v>4219.2</v>
      </c>
      <c r="E1483" s="155">
        <v>44756</v>
      </c>
      <c r="F1483" s="154">
        <v>4219.2</v>
      </c>
      <c r="G1483" s="156">
        <f>Tabla18[[#This Row],[Importe]]-Tabla18[[#This Row],[Pagado]]</f>
        <v>0</v>
      </c>
      <c r="H1483" s="153" t="s">
        <v>10</v>
      </c>
    </row>
    <row r="1484" spans="1:8" x14ac:dyDescent="0.25">
      <c r="A1484" s="73">
        <v>44756</v>
      </c>
      <c r="B1484" s="74" t="s">
        <v>22806</v>
      </c>
      <c r="C1484" s="75" t="s">
        <v>214</v>
      </c>
      <c r="D1484" s="81">
        <v>1332.1</v>
      </c>
      <c r="E1484" s="151">
        <v>44756</v>
      </c>
      <c r="F1484" s="81">
        <v>1332.1</v>
      </c>
      <c r="G1484" s="156">
        <f>Tabla18[[#This Row],[Importe]]-Tabla18[[#This Row],[Pagado]]</f>
        <v>0</v>
      </c>
      <c r="H1484" s="75" t="s">
        <v>10</v>
      </c>
    </row>
    <row r="1485" spans="1:8" x14ac:dyDescent="0.25">
      <c r="A1485" s="148">
        <v>44756</v>
      </c>
      <c r="B1485" s="149" t="s">
        <v>22807</v>
      </c>
      <c r="C1485" s="153" t="s">
        <v>222</v>
      </c>
      <c r="D1485" s="154">
        <v>13585.6</v>
      </c>
      <c r="E1485" s="155">
        <v>44756</v>
      </c>
      <c r="F1485" s="154">
        <v>13585.6</v>
      </c>
      <c r="G1485" s="156">
        <f>Tabla18[[#This Row],[Importe]]-Tabla18[[#This Row],[Pagado]]</f>
        <v>0</v>
      </c>
      <c r="H1485" s="153" t="s">
        <v>10</v>
      </c>
    </row>
    <row r="1486" spans="1:8" x14ac:dyDescent="0.25">
      <c r="A1486" s="73">
        <v>44756</v>
      </c>
      <c r="B1486" s="74" t="s">
        <v>22808</v>
      </c>
      <c r="C1486" s="75" t="s">
        <v>222</v>
      </c>
      <c r="D1486" s="81">
        <v>600</v>
      </c>
      <c r="E1486" s="151">
        <v>44756</v>
      </c>
      <c r="F1486" s="81">
        <v>600</v>
      </c>
      <c r="G1486" s="156">
        <f>Tabla18[[#This Row],[Importe]]-Tabla18[[#This Row],[Pagado]]</f>
        <v>0</v>
      </c>
      <c r="H1486" s="75" t="s">
        <v>10</v>
      </c>
    </row>
    <row r="1487" spans="1:8" x14ac:dyDescent="0.25">
      <c r="A1487" s="148">
        <v>44756</v>
      </c>
      <c r="B1487" s="149" t="s">
        <v>22809</v>
      </c>
      <c r="C1487" s="153" t="s">
        <v>31</v>
      </c>
      <c r="D1487" s="154">
        <v>9760</v>
      </c>
      <c r="E1487" s="155">
        <v>44756</v>
      </c>
      <c r="F1487" s="154">
        <v>9760</v>
      </c>
      <c r="G1487" s="156">
        <f>Tabla18[[#This Row],[Importe]]-Tabla18[[#This Row],[Pagado]]</f>
        <v>0</v>
      </c>
      <c r="H1487" s="153" t="s">
        <v>10</v>
      </c>
    </row>
    <row r="1488" spans="1:8" x14ac:dyDescent="0.25">
      <c r="A1488" s="73">
        <v>44756</v>
      </c>
      <c r="B1488" s="74" t="s">
        <v>22810</v>
      </c>
      <c r="C1488" s="75" t="s">
        <v>9827</v>
      </c>
      <c r="D1488" s="81">
        <v>2179.1</v>
      </c>
      <c r="E1488" s="151">
        <v>44756</v>
      </c>
      <c r="F1488" s="81">
        <v>2179.1</v>
      </c>
      <c r="G1488" s="156">
        <f>Tabla18[[#This Row],[Importe]]-Tabla18[[#This Row],[Pagado]]</f>
        <v>0</v>
      </c>
      <c r="H1488" s="75" t="s">
        <v>10</v>
      </c>
    </row>
    <row r="1489" spans="1:8" x14ac:dyDescent="0.25">
      <c r="A1489" s="148">
        <v>44756</v>
      </c>
      <c r="B1489" s="149" t="s">
        <v>22811</v>
      </c>
      <c r="C1489" s="153" t="s">
        <v>31</v>
      </c>
      <c r="D1489" s="154">
        <v>716.1</v>
      </c>
      <c r="E1489" s="155">
        <v>44756</v>
      </c>
      <c r="F1489" s="154">
        <v>716.1</v>
      </c>
      <c r="G1489" s="156">
        <f>Tabla18[[#This Row],[Importe]]-Tabla18[[#This Row],[Pagado]]</f>
        <v>0</v>
      </c>
      <c r="H1489" s="153" t="s">
        <v>10</v>
      </c>
    </row>
    <row r="1490" spans="1:8" x14ac:dyDescent="0.25">
      <c r="A1490" s="73">
        <v>44756</v>
      </c>
      <c r="B1490" s="74" t="s">
        <v>22812</v>
      </c>
      <c r="C1490" s="75" t="s">
        <v>31</v>
      </c>
      <c r="D1490" s="81">
        <v>2361</v>
      </c>
      <c r="E1490" s="151">
        <v>44756</v>
      </c>
      <c r="F1490" s="81">
        <v>2361</v>
      </c>
      <c r="G1490" s="156">
        <f>Tabla18[[#This Row],[Importe]]-Tabla18[[#This Row],[Pagado]]</f>
        <v>0</v>
      </c>
      <c r="H1490" s="75" t="s">
        <v>10</v>
      </c>
    </row>
    <row r="1491" spans="1:8" x14ac:dyDescent="0.25">
      <c r="A1491" s="148">
        <v>44756</v>
      </c>
      <c r="B1491" s="149" t="s">
        <v>22813</v>
      </c>
      <c r="C1491" s="153" t="s">
        <v>371</v>
      </c>
      <c r="D1491" s="154">
        <v>5139.8</v>
      </c>
      <c r="E1491" s="155">
        <v>44757</v>
      </c>
      <c r="F1491" s="154">
        <v>5139.8</v>
      </c>
      <c r="G1491" s="156">
        <f>Tabla18[[#This Row],[Importe]]-Tabla18[[#This Row],[Pagado]]</f>
        <v>0</v>
      </c>
      <c r="H1491" s="153" t="s">
        <v>10</v>
      </c>
    </row>
    <row r="1492" spans="1:8" x14ac:dyDescent="0.25">
      <c r="A1492" s="73">
        <v>44756</v>
      </c>
      <c r="B1492" s="74" t="s">
        <v>22814</v>
      </c>
      <c r="C1492" s="75" t="s">
        <v>1505</v>
      </c>
      <c r="D1492" s="81">
        <v>5219.6000000000004</v>
      </c>
      <c r="E1492" s="151">
        <v>44756</v>
      </c>
      <c r="F1492" s="81">
        <v>5219.6000000000004</v>
      </c>
      <c r="G1492" s="156">
        <f>Tabla18[[#This Row],[Importe]]-Tabla18[[#This Row],[Pagado]]</f>
        <v>0</v>
      </c>
      <c r="H1492" s="75" t="s">
        <v>10</v>
      </c>
    </row>
    <row r="1493" spans="1:8" x14ac:dyDescent="0.25">
      <c r="A1493" s="148">
        <v>44756</v>
      </c>
      <c r="B1493" s="149" t="s">
        <v>22815</v>
      </c>
      <c r="C1493" s="153" t="s">
        <v>319</v>
      </c>
      <c r="D1493" s="154">
        <v>10754.5</v>
      </c>
      <c r="E1493" s="155">
        <v>44757</v>
      </c>
      <c r="F1493" s="154">
        <v>10754.5</v>
      </c>
      <c r="G1493" s="156">
        <f>Tabla18[[#This Row],[Importe]]-Tabla18[[#This Row],[Pagado]]</f>
        <v>0</v>
      </c>
      <c r="H1493" s="153" t="s">
        <v>10</v>
      </c>
    </row>
    <row r="1494" spans="1:8" x14ac:dyDescent="0.25">
      <c r="A1494" s="73">
        <v>44756</v>
      </c>
      <c r="B1494" s="74" t="s">
        <v>22816</v>
      </c>
      <c r="C1494" s="75" t="s">
        <v>151</v>
      </c>
      <c r="D1494" s="81">
        <v>25440</v>
      </c>
      <c r="E1494" s="151">
        <v>44757</v>
      </c>
      <c r="F1494" s="81">
        <v>25440</v>
      </c>
      <c r="G1494" s="156">
        <f>Tabla18[[#This Row],[Importe]]-Tabla18[[#This Row],[Pagado]]</f>
        <v>0</v>
      </c>
      <c r="H1494" s="75" t="s">
        <v>10</v>
      </c>
    </row>
    <row r="1495" spans="1:8" x14ac:dyDescent="0.25">
      <c r="A1495" s="148">
        <v>44756</v>
      </c>
      <c r="B1495" s="149" t="s">
        <v>22817</v>
      </c>
      <c r="C1495" s="153" t="s">
        <v>520</v>
      </c>
      <c r="D1495" s="154">
        <v>7337.6</v>
      </c>
      <c r="E1495" s="155">
        <v>44757</v>
      </c>
      <c r="F1495" s="154">
        <v>7337.6</v>
      </c>
      <c r="G1495" s="156">
        <f>Tabla18[[#This Row],[Importe]]-Tabla18[[#This Row],[Pagado]]</f>
        <v>0</v>
      </c>
      <c r="H1495" s="153" t="s">
        <v>10</v>
      </c>
    </row>
    <row r="1496" spans="1:8" x14ac:dyDescent="0.25">
      <c r="A1496" s="73">
        <v>44756</v>
      </c>
      <c r="B1496" s="74" t="s">
        <v>22818</v>
      </c>
      <c r="C1496" s="75" t="s">
        <v>966</v>
      </c>
      <c r="D1496" s="81">
        <v>682</v>
      </c>
      <c r="E1496" s="151">
        <v>44757</v>
      </c>
      <c r="F1496" s="81">
        <v>682</v>
      </c>
      <c r="G1496" s="156">
        <f>Tabla18[[#This Row],[Importe]]-Tabla18[[#This Row],[Pagado]]</f>
        <v>0</v>
      </c>
      <c r="H1496" s="75" t="s">
        <v>10</v>
      </c>
    </row>
    <row r="1497" spans="1:8" x14ac:dyDescent="0.25">
      <c r="A1497" s="148">
        <v>44756</v>
      </c>
      <c r="B1497" s="149" t="s">
        <v>22819</v>
      </c>
      <c r="C1497" s="153" t="s">
        <v>159</v>
      </c>
      <c r="D1497" s="154">
        <v>4918.5</v>
      </c>
      <c r="E1497" s="155">
        <v>44757</v>
      </c>
      <c r="F1497" s="154">
        <v>4918.5</v>
      </c>
      <c r="G1497" s="156">
        <f>Tabla18[[#This Row],[Importe]]-Tabla18[[#This Row],[Pagado]]</f>
        <v>0</v>
      </c>
      <c r="H1497" s="153" t="s">
        <v>10</v>
      </c>
    </row>
    <row r="1498" spans="1:8" x14ac:dyDescent="0.25">
      <c r="A1498" s="73">
        <v>44756</v>
      </c>
      <c r="B1498" s="74" t="s">
        <v>22820</v>
      </c>
      <c r="C1498" s="75" t="s">
        <v>157</v>
      </c>
      <c r="D1498" s="81">
        <v>7839.4</v>
      </c>
      <c r="E1498" s="151">
        <v>44757</v>
      </c>
      <c r="F1498" s="81">
        <v>7839.4</v>
      </c>
      <c r="G1498" s="156">
        <f>Tabla18[[#This Row],[Importe]]-Tabla18[[#This Row],[Pagado]]</f>
        <v>0</v>
      </c>
      <c r="H1498" s="75" t="s">
        <v>10</v>
      </c>
    </row>
    <row r="1499" spans="1:8" x14ac:dyDescent="0.25">
      <c r="A1499" s="148">
        <v>44756</v>
      </c>
      <c r="B1499" s="149" t="s">
        <v>22821</v>
      </c>
      <c r="C1499" s="153" t="s">
        <v>414</v>
      </c>
      <c r="D1499" s="154">
        <v>23485</v>
      </c>
      <c r="E1499" s="155">
        <v>44763</v>
      </c>
      <c r="F1499" s="154">
        <v>23485</v>
      </c>
      <c r="G1499" s="156">
        <f>Tabla18[[#This Row],[Importe]]-Tabla18[[#This Row],[Pagado]]</f>
        <v>0</v>
      </c>
      <c r="H1499" s="153" t="s">
        <v>10</v>
      </c>
    </row>
    <row r="1500" spans="1:8" x14ac:dyDescent="0.25">
      <c r="A1500" s="73">
        <v>44756</v>
      </c>
      <c r="B1500" s="74" t="s">
        <v>22822</v>
      </c>
      <c r="C1500" s="75" t="s">
        <v>3402</v>
      </c>
      <c r="D1500" s="81">
        <v>2191.1999999999998</v>
      </c>
      <c r="E1500" s="151">
        <v>44756</v>
      </c>
      <c r="F1500" s="81">
        <v>2191.1999999999998</v>
      </c>
      <c r="G1500" s="156">
        <f>Tabla18[[#This Row],[Importe]]-Tabla18[[#This Row],[Pagado]]</f>
        <v>0</v>
      </c>
      <c r="H1500" s="75" t="s">
        <v>10</v>
      </c>
    </row>
    <row r="1501" spans="1:8" x14ac:dyDescent="0.25">
      <c r="A1501" s="148">
        <v>44756</v>
      </c>
      <c r="B1501" s="149" t="s">
        <v>22823</v>
      </c>
      <c r="C1501" s="153" t="s">
        <v>419</v>
      </c>
      <c r="D1501" s="154">
        <v>8135.2</v>
      </c>
      <c r="E1501" s="155">
        <v>44756</v>
      </c>
      <c r="F1501" s="154">
        <v>8135.2</v>
      </c>
      <c r="G1501" s="156">
        <f>Tabla18[[#This Row],[Importe]]-Tabla18[[#This Row],[Pagado]]</f>
        <v>0</v>
      </c>
      <c r="H1501" s="153" t="s">
        <v>10</v>
      </c>
    </row>
    <row r="1502" spans="1:8" x14ac:dyDescent="0.25">
      <c r="A1502" s="73">
        <v>44756</v>
      </c>
      <c r="B1502" s="74" t="s">
        <v>22824</v>
      </c>
      <c r="C1502" s="75" t="s">
        <v>698</v>
      </c>
      <c r="D1502" s="81">
        <v>4717.5</v>
      </c>
      <c r="E1502" s="151">
        <v>44756</v>
      </c>
      <c r="F1502" s="81">
        <v>4717.5</v>
      </c>
      <c r="G1502" s="156">
        <f>Tabla18[[#This Row],[Importe]]-Tabla18[[#This Row],[Pagado]]</f>
        <v>0</v>
      </c>
      <c r="H1502" s="75" t="s">
        <v>10</v>
      </c>
    </row>
    <row r="1503" spans="1:8" x14ac:dyDescent="0.25">
      <c r="A1503" s="148">
        <v>44756</v>
      </c>
      <c r="B1503" s="149" t="s">
        <v>22825</v>
      </c>
      <c r="C1503" s="153" t="s">
        <v>1003</v>
      </c>
      <c r="D1503" s="154">
        <v>7709.9</v>
      </c>
      <c r="E1503" s="155">
        <v>44757</v>
      </c>
      <c r="F1503" s="154">
        <v>7709.9</v>
      </c>
      <c r="G1503" s="156">
        <f>Tabla18[[#This Row],[Importe]]-Tabla18[[#This Row],[Pagado]]</f>
        <v>0</v>
      </c>
      <c r="H1503" s="153" t="s">
        <v>10</v>
      </c>
    </row>
    <row r="1504" spans="1:8" x14ac:dyDescent="0.25">
      <c r="A1504" s="73">
        <v>44756</v>
      </c>
      <c r="B1504" s="74" t="s">
        <v>22826</v>
      </c>
      <c r="C1504" s="75" t="s">
        <v>58</v>
      </c>
      <c r="D1504" s="81">
        <v>2731.7</v>
      </c>
      <c r="E1504" s="151">
        <v>44756</v>
      </c>
      <c r="F1504" s="81">
        <v>2731.7</v>
      </c>
      <c r="G1504" s="156">
        <f>Tabla18[[#This Row],[Importe]]-Tabla18[[#This Row],[Pagado]]</f>
        <v>0</v>
      </c>
      <c r="H1504" s="75" t="s">
        <v>10</v>
      </c>
    </row>
    <row r="1505" spans="1:8" x14ac:dyDescent="0.25">
      <c r="A1505" s="148">
        <v>44756</v>
      </c>
      <c r="B1505" s="149" t="s">
        <v>22827</v>
      </c>
      <c r="C1505" s="153" t="s">
        <v>275</v>
      </c>
      <c r="D1505" s="154">
        <v>66856.92</v>
      </c>
      <c r="E1505" s="155">
        <v>44771</v>
      </c>
      <c r="F1505" s="154">
        <v>66856.92</v>
      </c>
      <c r="G1505" s="156">
        <f>Tabla18[[#This Row],[Importe]]-Tabla18[[#This Row],[Pagado]]</f>
        <v>0</v>
      </c>
      <c r="H1505" s="153" t="s">
        <v>10</v>
      </c>
    </row>
    <row r="1506" spans="1:8" x14ac:dyDescent="0.25">
      <c r="A1506" s="73">
        <v>44756</v>
      </c>
      <c r="B1506" s="74" t="s">
        <v>22828</v>
      </c>
      <c r="C1506" s="75" t="s">
        <v>181</v>
      </c>
      <c r="D1506" s="81">
        <v>8086.4</v>
      </c>
      <c r="E1506" s="151">
        <v>44757</v>
      </c>
      <c r="F1506" s="81">
        <v>8086.4</v>
      </c>
      <c r="G1506" s="156">
        <f>Tabla18[[#This Row],[Importe]]-Tabla18[[#This Row],[Pagado]]</f>
        <v>0</v>
      </c>
      <c r="H1506" s="75" t="s">
        <v>10</v>
      </c>
    </row>
    <row r="1507" spans="1:8" x14ac:dyDescent="0.25">
      <c r="A1507" s="148">
        <v>44756</v>
      </c>
      <c r="B1507" s="149" t="s">
        <v>22829</v>
      </c>
      <c r="C1507" s="153" t="s">
        <v>396</v>
      </c>
      <c r="D1507" s="154">
        <v>16221.24</v>
      </c>
      <c r="E1507" s="155">
        <v>44762</v>
      </c>
      <c r="F1507" s="154">
        <v>16221.24</v>
      </c>
      <c r="G1507" s="156">
        <f>Tabla18[[#This Row],[Importe]]-Tabla18[[#This Row],[Pagado]]</f>
        <v>0</v>
      </c>
      <c r="H1507" s="153" t="s">
        <v>10</v>
      </c>
    </row>
    <row r="1508" spans="1:8" x14ac:dyDescent="0.25">
      <c r="A1508" s="73">
        <v>44756</v>
      </c>
      <c r="B1508" s="74" t="s">
        <v>22830</v>
      </c>
      <c r="C1508" s="75" t="s">
        <v>843</v>
      </c>
      <c r="D1508" s="81">
        <v>40354.400000000001</v>
      </c>
      <c r="E1508" s="151">
        <v>44756</v>
      </c>
      <c r="F1508" s="81">
        <v>40354.400000000001</v>
      </c>
      <c r="G1508" s="156">
        <f>Tabla18[[#This Row],[Importe]]-Tabla18[[#This Row],[Pagado]]</f>
        <v>0</v>
      </c>
      <c r="H1508" s="75" t="s">
        <v>10</v>
      </c>
    </row>
    <row r="1509" spans="1:8" x14ac:dyDescent="0.25">
      <c r="A1509" s="148">
        <v>44756</v>
      </c>
      <c r="B1509" s="149" t="s">
        <v>22831</v>
      </c>
      <c r="C1509" s="153" t="s">
        <v>131</v>
      </c>
      <c r="D1509" s="154">
        <v>1260</v>
      </c>
      <c r="E1509" s="155">
        <v>44756</v>
      </c>
      <c r="F1509" s="154">
        <v>1260</v>
      </c>
      <c r="G1509" s="156">
        <f>Tabla18[[#This Row],[Importe]]-Tabla18[[#This Row],[Pagado]]</f>
        <v>0</v>
      </c>
      <c r="H1509" s="153" t="s">
        <v>10</v>
      </c>
    </row>
    <row r="1510" spans="1:8" x14ac:dyDescent="0.25">
      <c r="A1510" s="73">
        <v>44756</v>
      </c>
      <c r="B1510" s="74" t="s">
        <v>22832</v>
      </c>
      <c r="C1510" s="75" t="s">
        <v>31</v>
      </c>
      <c r="D1510" s="81">
        <v>1481</v>
      </c>
      <c r="E1510" s="151">
        <v>44756</v>
      </c>
      <c r="F1510" s="81">
        <v>1481</v>
      </c>
      <c r="G1510" s="156">
        <f>Tabla18[[#This Row],[Importe]]-Tabla18[[#This Row],[Pagado]]</f>
        <v>0</v>
      </c>
      <c r="H1510" s="75" t="s">
        <v>10</v>
      </c>
    </row>
    <row r="1511" spans="1:8" x14ac:dyDescent="0.25">
      <c r="A1511" s="148">
        <v>44756</v>
      </c>
      <c r="B1511" s="149" t="s">
        <v>22833</v>
      </c>
      <c r="C1511" s="153" t="s">
        <v>282</v>
      </c>
      <c r="D1511" s="154">
        <v>1486.1</v>
      </c>
      <c r="E1511" s="155">
        <v>44757</v>
      </c>
      <c r="F1511" s="154">
        <v>1486.1</v>
      </c>
      <c r="G1511" s="156">
        <f>Tabla18[[#This Row],[Importe]]-Tabla18[[#This Row],[Pagado]]</f>
        <v>0</v>
      </c>
      <c r="H1511" s="153" t="s">
        <v>10</v>
      </c>
    </row>
    <row r="1512" spans="1:8" x14ac:dyDescent="0.25">
      <c r="A1512" s="73">
        <v>44756</v>
      </c>
      <c r="B1512" s="74" t="s">
        <v>22834</v>
      </c>
      <c r="C1512" s="75" t="s">
        <v>280</v>
      </c>
      <c r="D1512" s="81">
        <v>708.4</v>
      </c>
      <c r="E1512" s="151">
        <v>44757</v>
      </c>
      <c r="F1512" s="81">
        <v>708.4</v>
      </c>
      <c r="G1512" s="156">
        <f>Tabla18[[#This Row],[Importe]]-Tabla18[[#This Row],[Pagado]]</f>
        <v>0</v>
      </c>
      <c r="H1512" s="75" t="s">
        <v>10</v>
      </c>
    </row>
    <row r="1513" spans="1:8" x14ac:dyDescent="0.25">
      <c r="A1513" s="148">
        <v>44756</v>
      </c>
      <c r="B1513" s="149" t="s">
        <v>22835</v>
      </c>
      <c r="C1513" s="153" t="s">
        <v>396</v>
      </c>
      <c r="D1513" s="154">
        <v>1624</v>
      </c>
      <c r="E1513" s="155">
        <v>44762</v>
      </c>
      <c r="F1513" s="154">
        <v>1624</v>
      </c>
      <c r="G1513" s="156">
        <f>Tabla18[[#This Row],[Importe]]-Tabla18[[#This Row],[Pagado]]</f>
        <v>0</v>
      </c>
      <c r="H1513" s="153" t="s">
        <v>10</v>
      </c>
    </row>
    <row r="1514" spans="1:8" x14ac:dyDescent="0.25">
      <c r="A1514" s="73">
        <v>44756</v>
      </c>
      <c r="B1514" s="74" t="s">
        <v>22836</v>
      </c>
      <c r="C1514" s="75" t="s">
        <v>284</v>
      </c>
      <c r="D1514" s="81">
        <v>9709.7000000000007</v>
      </c>
      <c r="E1514" s="151">
        <v>44757</v>
      </c>
      <c r="F1514" s="81">
        <v>9709.7000000000007</v>
      </c>
      <c r="G1514" s="156">
        <f>Tabla18[[#This Row],[Importe]]-Tabla18[[#This Row],[Pagado]]</f>
        <v>0</v>
      </c>
      <c r="H1514" s="75" t="s">
        <v>10</v>
      </c>
    </row>
    <row r="1515" spans="1:8" x14ac:dyDescent="0.25">
      <c r="A1515" s="148">
        <v>44756</v>
      </c>
      <c r="B1515" s="149" t="s">
        <v>22837</v>
      </c>
      <c r="C1515" s="153" t="s">
        <v>19637</v>
      </c>
      <c r="D1515" s="154">
        <v>1845</v>
      </c>
      <c r="E1515" s="155">
        <v>44769</v>
      </c>
      <c r="F1515" s="154">
        <v>1845</v>
      </c>
      <c r="G1515" s="156">
        <f>Tabla18[[#This Row],[Importe]]-Tabla18[[#This Row],[Pagado]]</f>
        <v>0</v>
      </c>
      <c r="H1515" s="153" t="s">
        <v>10</v>
      </c>
    </row>
    <row r="1516" spans="1:8" x14ac:dyDescent="0.25">
      <c r="A1516" s="73">
        <v>44756</v>
      </c>
      <c r="B1516" s="74" t="s">
        <v>22838</v>
      </c>
      <c r="C1516" s="75" t="s">
        <v>400</v>
      </c>
      <c r="D1516" s="81">
        <v>8885.18</v>
      </c>
      <c r="E1516" s="151">
        <v>44762</v>
      </c>
      <c r="F1516" s="81">
        <v>8885.18</v>
      </c>
      <c r="G1516" s="156">
        <f>Tabla18[[#This Row],[Importe]]-Tabla18[[#This Row],[Pagado]]</f>
        <v>0</v>
      </c>
      <c r="H1516" s="75" t="s">
        <v>10</v>
      </c>
    </row>
    <row r="1517" spans="1:8" x14ac:dyDescent="0.25">
      <c r="A1517" s="148">
        <v>44756</v>
      </c>
      <c r="B1517" s="149" t="s">
        <v>22839</v>
      </c>
      <c r="C1517" s="153" t="s">
        <v>359</v>
      </c>
      <c r="D1517" s="154">
        <v>1038.9000000000001</v>
      </c>
      <c r="E1517" s="155">
        <v>44757</v>
      </c>
      <c r="F1517" s="154">
        <v>1038.9000000000001</v>
      </c>
      <c r="G1517" s="156">
        <f>Tabla18[[#This Row],[Importe]]-Tabla18[[#This Row],[Pagado]]</f>
        <v>0</v>
      </c>
      <c r="H1517" s="153" t="s">
        <v>10</v>
      </c>
    </row>
    <row r="1518" spans="1:8" x14ac:dyDescent="0.25">
      <c r="A1518" s="73">
        <v>44756</v>
      </c>
      <c r="B1518" s="74" t="s">
        <v>22840</v>
      </c>
      <c r="C1518" s="75" t="s">
        <v>857</v>
      </c>
      <c r="D1518" s="81">
        <v>404</v>
      </c>
      <c r="E1518" s="151">
        <v>44756</v>
      </c>
      <c r="F1518" s="81">
        <v>404</v>
      </c>
      <c r="G1518" s="156">
        <f>Tabla18[[#This Row],[Importe]]-Tabla18[[#This Row],[Pagado]]</f>
        <v>0</v>
      </c>
      <c r="H1518" s="75" t="s">
        <v>10</v>
      </c>
    </row>
    <row r="1519" spans="1:8" x14ac:dyDescent="0.25">
      <c r="A1519" s="148">
        <v>44756</v>
      </c>
      <c r="B1519" s="149" t="s">
        <v>22841</v>
      </c>
      <c r="C1519" s="153" t="s">
        <v>1265</v>
      </c>
      <c r="D1519" s="154">
        <v>1248</v>
      </c>
      <c r="E1519" s="155">
        <v>44756</v>
      </c>
      <c r="F1519" s="154">
        <v>1248</v>
      </c>
      <c r="G1519" s="156">
        <f>Tabla18[[#This Row],[Importe]]-Tabla18[[#This Row],[Pagado]]</f>
        <v>0</v>
      </c>
      <c r="H1519" s="153" t="s">
        <v>10</v>
      </c>
    </row>
    <row r="1520" spans="1:8" x14ac:dyDescent="0.25">
      <c r="A1520" s="73">
        <v>44756</v>
      </c>
      <c r="B1520" s="74" t="s">
        <v>22842</v>
      </c>
      <c r="C1520" s="75" t="s">
        <v>1676</v>
      </c>
      <c r="D1520" s="81">
        <v>2156</v>
      </c>
      <c r="E1520" s="151">
        <v>44756</v>
      </c>
      <c r="F1520" s="81">
        <v>2156</v>
      </c>
      <c r="G1520" s="156">
        <f>Tabla18[[#This Row],[Importe]]-Tabla18[[#This Row],[Pagado]]</f>
        <v>0</v>
      </c>
      <c r="H1520" s="75" t="s">
        <v>10</v>
      </c>
    </row>
    <row r="1521" spans="1:8" x14ac:dyDescent="0.25">
      <c r="A1521" s="148">
        <v>44756</v>
      </c>
      <c r="B1521" s="149" t="s">
        <v>22843</v>
      </c>
      <c r="C1521" s="153" t="s">
        <v>9827</v>
      </c>
      <c r="D1521" s="154">
        <v>3349.5</v>
      </c>
      <c r="E1521" s="155">
        <v>44756</v>
      </c>
      <c r="F1521" s="154">
        <v>3349.5</v>
      </c>
      <c r="G1521" s="156">
        <f>Tabla18[[#This Row],[Importe]]-Tabla18[[#This Row],[Pagado]]</f>
        <v>0</v>
      </c>
      <c r="H1521" s="153" t="s">
        <v>10</v>
      </c>
    </row>
    <row r="1522" spans="1:8" x14ac:dyDescent="0.25">
      <c r="A1522" s="73">
        <v>44756</v>
      </c>
      <c r="B1522" s="74" t="s">
        <v>22844</v>
      </c>
      <c r="C1522" s="75" t="s">
        <v>484</v>
      </c>
      <c r="D1522" s="81">
        <v>4134</v>
      </c>
      <c r="E1522" s="151">
        <v>44756</v>
      </c>
      <c r="F1522" s="81">
        <v>4134</v>
      </c>
      <c r="G1522" s="156">
        <f>Tabla18[[#This Row],[Importe]]-Tabla18[[#This Row],[Pagado]]</f>
        <v>0</v>
      </c>
      <c r="H1522" s="75" t="s">
        <v>10</v>
      </c>
    </row>
    <row r="1523" spans="1:8" x14ac:dyDescent="0.25">
      <c r="A1523" s="148">
        <v>44756</v>
      </c>
      <c r="B1523" s="149" t="s">
        <v>22845</v>
      </c>
      <c r="C1523" s="153" t="s">
        <v>67</v>
      </c>
      <c r="D1523" s="154">
        <v>5397</v>
      </c>
      <c r="E1523" s="155">
        <v>44756</v>
      </c>
      <c r="F1523" s="154">
        <v>5397</v>
      </c>
      <c r="G1523" s="156">
        <f>Tabla18[[#This Row],[Importe]]-Tabla18[[#This Row],[Pagado]]</f>
        <v>0</v>
      </c>
      <c r="H1523" s="153" t="s">
        <v>10</v>
      </c>
    </row>
    <row r="1524" spans="1:8" x14ac:dyDescent="0.25">
      <c r="A1524" s="73">
        <v>44756</v>
      </c>
      <c r="B1524" s="74" t="s">
        <v>22846</v>
      </c>
      <c r="C1524" s="75" t="s">
        <v>407</v>
      </c>
      <c r="D1524" s="81">
        <v>10000</v>
      </c>
      <c r="E1524" s="151">
        <v>44778</v>
      </c>
      <c r="F1524" s="81">
        <v>10000</v>
      </c>
      <c r="G1524" s="156">
        <f>Tabla18[[#This Row],[Importe]]-Tabla18[[#This Row],[Pagado]]</f>
        <v>0</v>
      </c>
      <c r="H1524" s="75" t="s">
        <v>10</v>
      </c>
    </row>
    <row r="1525" spans="1:8" x14ac:dyDescent="0.25">
      <c r="A1525" s="148">
        <v>44756</v>
      </c>
      <c r="B1525" s="149" t="s">
        <v>22847</v>
      </c>
      <c r="C1525" s="153" t="s">
        <v>31</v>
      </c>
      <c r="D1525" s="154">
        <v>1218</v>
      </c>
      <c r="E1525" s="155">
        <v>44756</v>
      </c>
      <c r="F1525" s="154">
        <v>1218</v>
      </c>
      <c r="G1525" s="156">
        <f>Tabla18[[#This Row],[Importe]]-Tabla18[[#This Row],[Pagado]]</f>
        <v>0</v>
      </c>
      <c r="H1525" s="153" t="s">
        <v>10</v>
      </c>
    </row>
    <row r="1526" spans="1:8" x14ac:dyDescent="0.25">
      <c r="A1526" s="73">
        <v>44756</v>
      </c>
      <c r="B1526" s="74" t="s">
        <v>22848</v>
      </c>
      <c r="C1526" s="75" t="s">
        <v>263</v>
      </c>
      <c r="D1526" s="81">
        <v>184139.5</v>
      </c>
      <c r="E1526" s="151">
        <v>44757</v>
      </c>
      <c r="F1526" s="81">
        <v>184139.5</v>
      </c>
      <c r="G1526" s="156">
        <f>Tabla18[[#This Row],[Importe]]-Tabla18[[#This Row],[Pagado]]</f>
        <v>0</v>
      </c>
      <c r="H1526" s="75" t="s">
        <v>10</v>
      </c>
    </row>
    <row r="1527" spans="1:8" x14ac:dyDescent="0.25">
      <c r="A1527" s="148">
        <v>44756</v>
      </c>
      <c r="B1527" s="149" t="s">
        <v>22849</v>
      </c>
      <c r="C1527" s="153" t="s">
        <v>69</v>
      </c>
      <c r="D1527" s="154">
        <v>2240.6999999999998</v>
      </c>
      <c r="E1527" s="155">
        <v>44756</v>
      </c>
      <c r="F1527" s="154">
        <v>2240.6999999999998</v>
      </c>
      <c r="G1527" s="156">
        <f>Tabla18[[#This Row],[Importe]]-Tabla18[[#This Row],[Pagado]]</f>
        <v>0</v>
      </c>
      <c r="H1527" s="153" t="s">
        <v>10</v>
      </c>
    </row>
    <row r="1528" spans="1:8" x14ac:dyDescent="0.25">
      <c r="A1528" s="73">
        <v>44756</v>
      </c>
      <c r="B1528" s="74" t="s">
        <v>22850</v>
      </c>
      <c r="C1528" s="75" t="s">
        <v>296</v>
      </c>
      <c r="D1528" s="81">
        <v>6576</v>
      </c>
      <c r="E1528" s="151">
        <v>44756</v>
      </c>
      <c r="F1528" s="81">
        <v>6576</v>
      </c>
      <c r="G1528" s="156">
        <f>Tabla18[[#This Row],[Importe]]-Tabla18[[#This Row],[Pagado]]</f>
        <v>0</v>
      </c>
      <c r="H1528" s="75" t="s">
        <v>10</v>
      </c>
    </row>
    <row r="1529" spans="1:8" x14ac:dyDescent="0.25">
      <c r="A1529" s="148">
        <v>44756</v>
      </c>
      <c r="B1529" s="149" t="s">
        <v>22851</v>
      </c>
      <c r="C1529" s="153" t="s">
        <v>31</v>
      </c>
      <c r="D1529" s="154">
        <v>165</v>
      </c>
      <c r="E1529" s="155">
        <v>44756</v>
      </c>
      <c r="F1529" s="154">
        <v>165</v>
      </c>
      <c r="G1529" s="156">
        <f>Tabla18[[#This Row],[Importe]]-Tabla18[[#This Row],[Pagado]]</f>
        <v>0</v>
      </c>
      <c r="H1529" s="153" t="s">
        <v>10</v>
      </c>
    </row>
    <row r="1530" spans="1:8" x14ac:dyDescent="0.25">
      <c r="A1530" s="73">
        <v>44756</v>
      </c>
      <c r="B1530" s="74" t="s">
        <v>22852</v>
      </c>
      <c r="C1530" s="75" t="s">
        <v>7818</v>
      </c>
      <c r="D1530" s="81">
        <v>600</v>
      </c>
      <c r="E1530" s="151">
        <v>44756</v>
      </c>
      <c r="F1530" s="81">
        <v>600</v>
      </c>
      <c r="G1530" s="156">
        <f>Tabla18[[#This Row],[Importe]]-Tabla18[[#This Row],[Pagado]]</f>
        <v>0</v>
      </c>
      <c r="H1530" s="75" t="s">
        <v>10</v>
      </c>
    </row>
    <row r="1531" spans="1:8" x14ac:dyDescent="0.25">
      <c r="A1531" s="148">
        <v>44756</v>
      </c>
      <c r="B1531" s="149" t="s">
        <v>22853</v>
      </c>
      <c r="C1531" s="153" t="s">
        <v>16</v>
      </c>
      <c r="D1531" s="154">
        <v>2667</v>
      </c>
      <c r="E1531" s="155">
        <v>44756</v>
      </c>
      <c r="F1531" s="154">
        <v>2667</v>
      </c>
      <c r="G1531" s="156">
        <f>Tabla18[[#This Row],[Importe]]-Tabla18[[#This Row],[Pagado]]</f>
        <v>0</v>
      </c>
      <c r="H1531" s="153" t="s">
        <v>10</v>
      </c>
    </row>
    <row r="1532" spans="1:8" x14ac:dyDescent="0.25">
      <c r="A1532" s="73">
        <v>44756</v>
      </c>
      <c r="B1532" s="74" t="s">
        <v>22854</v>
      </c>
      <c r="C1532" s="75" t="s">
        <v>22</v>
      </c>
      <c r="D1532" s="81">
        <v>3085.7</v>
      </c>
      <c r="E1532" s="151">
        <v>44756</v>
      </c>
      <c r="F1532" s="81">
        <v>3085.7</v>
      </c>
      <c r="G1532" s="156">
        <f>Tabla18[[#This Row],[Importe]]-Tabla18[[#This Row],[Pagado]]</f>
        <v>0</v>
      </c>
      <c r="H1532" s="75" t="s">
        <v>10</v>
      </c>
    </row>
    <row r="1533" spans="1:8" x14ac:dyDescent="0.25">
      <c r="A1533" s="148">
        <v>44756</v>
      </c>
      <c r="B1533" s="149" t="s">
        <v>22855</v>
      </c>
      <c r="C1533" s="153" t="s">
        <v>53</v>
      </c>
      <c r="D1533" s="154">
        <v>1416.2</v>
      </c>
      <c r="E1533" s="155">
        <v>44756</v>
      </c>
      <c r="F1533" s="154">
        <v>1416.2</v>
      </c>
      <c r="G1533" s="156">
        <f>Tabla18[[#This Row],[Importe]]-Tabla18[[#This Row],[Pagado]]</f>
        <v>0</v>
      </c>
      <c r="H1533" s="153" t="s">
        <v>10</v>
      </c>
    </row>
    <row r="1534" spans="1:8" x14ac:dyDescent="0.25">
      <c r="A1534" s="73">
        <v>44756</v>
      </c>
      <c r="B1534" s="74" t="s">
        <v>22856</v>
      </c>
      <c r="C1534" s="75" t="s">
        <v>681</v>
      </c>
      <c r="D1534" s="81">
        <v>13.64</v>
      </c>
      <c r="E1534" s="151">
        <v>44767</v>
      </c>
      <c r="F1534" s="81">
        <v>13.64</v>
      </c>
      <c r="G1534" s="156">
        <f>Tabla18[[#This Row],[Importe]]-Tabla18[[#This Row],[Pagado]]</f>
        <v>0</v>
      </c>
      <c r="H1534" s="75" t="s">
        <v>10</v>
      </c>
    </row>
    <row r="1535" spans="1:8" x14ac:dyDescent="0.25">
      <c r="A1535" s="148">
        <v>44756</v>
      </c>
      <c r="B1535" s="149" t="s">
        <v>22857</v>
      </c>
      <c r="C1535" s="153" t="s">
        <v>409</v>
      </c>
      <c r="D1535" s="154">
        <v>7357.2</v>
      </c>
      <c r="E1535" s="155">
        <v>44762</v>
      </c>
      <c r="F1535" s="154">
        <v>7357.2</v>
      </c>
      <c r="G1535" s="156">
        <f>Tabla18[[#This Row],[Importe]]-Tabla18[[#This Row],[Pagado]]</f>
        <v>0</v>
      </c>
      <c r="H1535" s="153" t="s">
        <v>10</v>
      </c>
    </row>
    <row r="1536" spans="1:8" x14ac:dyDescent="0.25">
      <c r="A1536" s="73">
        <v>44756</v>
      </c>
      <c r="B1536" s="74" t="s">
        <v>22858</v>
      </c>
      <c r="C1536" s="75" t="s">
        <v>31</v>
      </c>
      <c r="D1536" s="81">
        <v>478.5</v>
      </c>
      <c r="E1536" s="151">
        <v>44756</v>
      </c>
      <c r="F1536" s="81">
        <v>478.5</v>
      </c>
      <c r="G1536" s="156">
        <f>Tabla18[[#This Row],[Importe]]-Tabla18[[#This Row],[Pagado]]</f>
        <v>0</v>
      </c>
      <c r="H1536" s="75" t="s">
        <v>10</v>
      </c>
    </row>
    <row r="1537" spans="1:8" x14ac:dyDescent="0.25">
      <c r="A1537" s="148">
        <v>44756</v>
      </c>
      <c r="B1537" s="149" t="s">
        <v>22859</v>
      </c>
      <c r="C1537" s="153" t="s">
        <v>31</v>
      </c>
      <c r="D1537" s="154">
        <v>1352</v>
      </c>
      <c r="E1537" s="155">
        <v>44756</v>
      </c>
      <c r="F1537" s="154">
        <v>1352</v>
      </c>
      <c r="G1537" s="156">
        <f>Tabla18[[#This Row],[Importe]]-Tabla18[[#This Row],[Pagado]]</f>
        <v>0</v>
      </c>
      <c r="H1537" s="153" t="s">
        <v>10</v>
      </c>
    </row>
    <row r="1538" spans="1:8" x14ac:dyDescent="0.25">
      <c r="A1538" s="73">
        <v>44757</v>
      </c>
      <c r="B1538" s="74" t="s">
        <v>22860</v>
      </c>
      <c r="C1538" s="75" t="s">
        <v>887</v>
      </c>
      <c r="D1538" s="81">
        <v>13888</v>
      </c>
      <c r="E1538" s="151">
        <v>44757</v>
      </c>
      <c r="F1538" s="81">
        <v>13888</v>
      </c>
      <c r="G1538" s="156">
        <f>Tabla18[[#This Row],[Importe]]-Tabla18[[#This Row],[Pagado]]</f>
        <v>0</v>
      </c>
      <c r="H1538" s="75" t="s">
        <v>10</v>
      </c>
    </row>
    <row r="1539" spans="1:8" x14ac:dyDescent="0.25">
      <c r="A1539" s="148">
        <v>44757</v>
      </c>
      <c r="B1539" s="149" t="s">
        <v>22861</v>
      </c>
      <c r="C1539" s="153" t="s">
        <v>473</v>
      </c>
      <c r="D1539" s="154">
        <v>4908</v>
      </c>
      <c r="E1539" s="155">
        <v>44757</v>
      </c>
      <c r="F1539" s="154">
        <v>4908</v>
      </c>
      <c r="G1539" s="156">
        <f>Tabla18[[#This Row],[Importe]]-Tabla18[[#This Row],[Pagado]]</f>
        <v>0</v>
      </c>
      <c r="H1539" s="153" t="s">
        <v>10</v>
      </c>
    </row>
    <row r="1540" spans="1:8" x14ac:dyDescent="0.25">
      <c r="A1540" s="73">
        <v>44757</v>
      </c>
      <c r="B1540" s="74" t="s">
        <v>22862</v>
      </c>
      <c r="C1540" s="75" t="s">
        <v>85</v>
      </c>
      <c r="D1540" s="81">
        <v>2335</v>
      </c>
      <c r="E1540" s="151">
        <v>44757</v>
      </c>
      <c r="F1540" s="81">
        <v>2335</v>
      </c>
      <c r="G1540" s="156">
        <f>Tabla18[[#This Row],[Importe]]-Tabla18[[#This Row],[Pagado]]</f>
        <v>0</v>
      </c>
      <c r="H1540" s="75" t="s">
        <v>10</v>
      </c>
    </row>
    <row r="1541" spans="1:8" x14ac:dyDescent="0.25">
      <c r="A1541" s="148">
        <v>44757</v>
      </c>
      <c r="B1541" s="149" t="s">
        <v>22863</v>
      </c>
      <c r="C1541" s="153" t="s">
        <v>31</v>
      </c>
      <c r="D1541" s="154">
        <v>7730.8</v>
      </c>
      <c r="E1541" s="155">
        <v>44757</v>
      </c>
      <c r="F1541" s="154">
        <v>7730.8</v>
      </c>
      <c r="G1541" s="156">
        <f>Tabla18[[#This Row],[Importe]]-Tabla18[[#This Row],[Pagado]]</f>
        <v>0</v>
      </c>
      <c r="H1541" s="153" t="s">
        <v>10</v>
      </c>
    </row>
    <row r="1542" spans="1:8" x14ac:dyDescent="0.25">
      <c r="A1542" s="73">
        <v>44757</v>
      </c>
      <c r="B1542" s="74" t="s">
        <v>22864</v>
      </c>
      <c r="C1542" s="75" t="s">
        <v>179</v>
      </c>
      <c r="D1542" s="81">
        <v>1416.8</v>
      </c>
      <c r="E1542" s="151">
        <v>44757</v>
      </c>
      <c r="F1542" s="81">
        <v>1416.8</v>
      </c>
      <c r="G1542" s="156">
        <f>Tabla18[[#This Row],[Importe]]-Tabla18[[#This Row],[Pagado]]</f>
        <v>0</v>
      </c>
      <c r="H1542" s="75" t="s">
        <v>10</v>
      </c>
    </row>
    <row r="1543" spans="1:8" ht="31.5" x14ac:dyDescent="0.25">
      <c r="A1543" s="148">
        <v>44757</v>
      </c>
      <c r="B1543" s="149" t="s">
        <v>22865</v>
      </c>
      <c r="C1543" s="153" t="s">
        <v>475</v>
      </c>
      <c r="D1543" s="154">
        <v>106342.39999999999</v>
      </c>
      <c r="E1543" s="150" t="s">
        <v>22866</v>
      </c>
      <c r="F1543" s="154">
        <f>100000+6342.4</f>
        <v>106342.39999999999</v>
      </c>
      <c r="G1543" s="156">
        <f>Tabla18[[#This Row],[Importe]]-Tabla18[[#This Row],[Pagado]]</f>
        <v>0</v>
      </c>
      <c r="H1543" s="153" t="s">
        <v>10</v>
      </c>
    </row>
    <row r="1544" spans="1:8" x14ac:dyDescent="0.25">
      <c r="A1544" s="73">
        <v>44757</v>
      </c>
      <c r="B1544" s="74" t="s">
        <v>22867</v>
      </c>
      <c r="C1544" s="75" t="s">
        <v>296</v>
      </c>
      <c r="D1544" s="81">
        <v>2503</v>
      </c>
      <c r="E1544" s="151">
        <v>44757</v>
      </c>
      <c r="F1544" s="81">
        <v>2503</v>
      </c>
      <c r="G1544" s="156">
        <f>Tabla18[[#This Row],[Importe]]-Tabla18[[#This Row],[Pagado]]</f>
        <v>0</v>
      </c>
      <c r="H1544" s="75" t="s">
        <v>10</v>
      </c>
    </row>
    <row r="1545" spans="1:8" x14ac:dyDescent="0.25">
      <c r="A1545" s="148">
        <v>44757</v>
      </c>
      <c r="B1545" s="149" t="s">
        <v>22868</v>
      </c>
      <c r="C1545" s="153" t="s">
        <v>31</v>
      </c>
      <c r="D1545" s="154">
        <v>3919.3</v>
      </c>
      <c r="E1545" s="155">
        <v>44757</v>
      </c>
      <c r="F1545" s="154">
        <v>3919.3</v>
      </c>
      <c r="G1545" s="156">
        <f>Tabla18[[#This Row],[Importe]]-Tabla18[[#This Row],[Pagado]]</f>
        <v>0</v>
      </c>
      <c r="H1545" s="153" t="s">
        <v>10</v>
      </c>
    </row>
    <row r="1546" spans="1:8" x14ac:dyDescent="0.25">
      <c r="A1546" s="73">
        <v>44757</v>
      </c>
      <c r="B1546" s="74" t="s">
        <v>22869</v>
      </c>
      <c r="C1546" s="75" t="s">
        <v>314</v>
      </c>
      <c r="D1546" s="81">
        <v>3226.3</v>
      </c>
      <c r="E1546" s="151">
        <v>44757</v>
      </c>
      <c r="F1546" s="81">
        <v>3226.3</v>
      </c>
      <c r="G1546" s="156">
        <f>Tabla18[[#This Row],[Importe]]-Tabla18[[#This Row],[Pagado]]</f>
        <v>0</v>
      </c>
      <c r="H1546" s="75" t="s">
        <v>10</v>
      </c>
    </row>
    <row r="1547" spans="1:8" x14ac:dyDescent="0.25">
      <c r="A1547" s="148">
        <v>44757</v>
      </c>
      <c r="B1547" s="149" t="s">
        <v>22870</v>
      </c>
      <c r="C1547" s="153" t="s">
        <v>87</v>
      </c>
      <c r="D1547" s="154">
        <v>200</v>
      </c>
      <c r="E1547" s="155">
        <v>44757</v>
      </c>
      <c r="F1547" s="154">
        <v>200</v>
      </c>
      <c r="G1547" s="156">
        <f>Tabla18[[#This Row],[Importe]]-Tabla18[[#This Row],[Pagado]]</f>
        <v>0</v>
      </c>
      <c r="H1547" s="153" t="s">
        <v>10</v>
      </c>
    </row>
    <row r="1548" spans="1:8" x14ac:dyDescent="0.25">
      <c r="A1548" s="73">
        <v>44757</v>
      </c>
      <c r="B1548" s="74" t="s">
        <v>22871</v>
      </c>
      <c r="C1548" s="75" t="s">
        <v>83</v>
      </c>
      <c r="D1548" s="81">
        <v>6134.5</v>
      </c>
      <c r="E1548" s="151">
        <v>44757</v>
      </c>
      <c r="F1548" s="81">
        <v>6134.5</v>
      </c>
      <c r="G1548" s="156">
        <f>Tabla18[[#This Row],[Importe]]-Tabla18[[#This Row],[Pagado]]</f>
        <v>0</v>
      </c>
      <c r="H1548" s="75" t="s">
        <v>10</v>
      </c>
    </row>
    <row r="1549" spans="1:8" x14ac:dyDescent="0.25">
      <c r="A1549" s="148">
        <v>44757</v>
      </c>
      <c r="B1549" s="149" t="s">
        <v>22872</v>
      </c>
      <c r="C1549" s="153" t="s">
        <v>135</v>
      </c>
      <c r="D1549" s="154">
        <v>2608</v>
      </c>
      <c r="E1549" s="155">
        <v>44757</v>
      </c>
      <c r="F1549" s="154">
        <v>2608</v>
      </c>
      <c r="G1549" s="156">
        <f>Tabla18[[#This Row],[Importe]]-Tabla18[[#This Row],[Pagado]]</f>
        <v>0</v>
      </c>
      <c r="H1549" s="153" t="s">
        <v>10</v>
      </c>
    </row>
    <row r="1550" spans="1:8" x14ac:dyDescent="0.25">
      <c r="A1550" s="73">
        <v>44757</v>
      </c>
      <c r="B1550" s="74" t="s">
        <v>22873</v>
      </c>
      <c r="C1550" s="75" t="s">
        <v>109</v>
      </c>
      <c r="D1550" s="81">
        <v>5208</v>
      </c>
      <c r="E1550" s="151">
        <v>44758</v>
      </c>
      <c r="F1550" s="81">
        <v>5208</v>
      </c>
      <c r="G1550" s="156">
        <f>Tabla18[[#This Row],[Importe]]-Tabla18[[#This Row],[Pagado]]</f>
        <v>0</v>
      </c>
      <c r="H1550" s="75" t="s">
        <v>10</v>
      </c>
    </row>
    <row r="1551" spans="1:8" x14ac:dyDescent="0.25">
      <c r="A1551" s="148">
        <v>44757</v>
      </c>
      <c r="B1551" s="149" t="s">
        <v>22874</v>
      </c>
      <c r="C1551" s="153" t="s">
        <v>345</v>
      </c>
      <c r="D1551" s="154">
        <v>5088</v>
      </c>
      <c r="E1551" s="155">
        <v>44757</v>
      </c>
      <c r="F1551" s="154">
        <v>5088</v>
      </c>
      <c r="G1551" s="156">
        <f>Tabla18[[#This Row],[Importe]]-Tabla18[[#This Row],[Pagado]]</f>
        <v>0</v>
      </c>
      <c r="H1551" s="153" t="s">
        <v>10</v>
      </c>
    </row>
    <row r="1552" spans="1:8" x14ac:dyDescent="0.25">
      <c r="A1552" s="73">
        <v>44757</v>
      </c>
      <c r="B1552" s="74" t="s">
        <v>22875</v>
      </c>
      <c r="C1552" s="75" t="s">
        <v>97</v>
      </c>
      <c r="D1552" s="81">
        <v>9836.7999999999993</v>
      </c>
      <c r="E1552" s="151">
        <v>44758</v>
      </c>
      <c r="F1552" s="81">
        <v>9836.7999999999993</v>
      </c>
      <c r="G1552" s="156">
        <f>Tabla18[[#This Row],[Importe]]-Tabla18[[#This Row],[Pagado]]</f>
        <v>0</v>
      </c>
      <c r="H1552" s="75" t="s">
        <v>10</v>
      </c>
    </row>
    <row r="1553" spans="1:8" x14ac:dyDescent="0.25">
      <c r="A1553" s="148">
        <v>44757</v>
      </c>
      <c r="B1553" s="149" t="s">
        <v>22876</v>
      </c>
      <c r="C1553" s="153" t="s">
        <v>31</v>
      </c>
      <c r="D1553" s="154">
        <v>5332</v>
      </c>
      <c r="E1553" s="155">
        <v>44758</v>
      </c>
      <c r="F1553" s="154">
        <v>5332</v>
      </c>
      <c r="G1553" s="156">
        <f>Tabla18[[#This Row],[Importe]]-Tabla18[[#This Row],[Pagado]]</f>
        <v>0</v>
      </c>
      <c r="H1553" s="153" t="s">
        <v>10</v>
      </c>
    </row>
    <row r="1554" spans="1:8" x14ac:dyDescent="0.25">
      <c r="A1554" s="73">
        <v>44757</v>
      </c>
      <c r="B1554" s="74" t="s">
        <v>22877</v>
      </c>
      <c r="C1554" s="75" t="s">
        <v>114</v>
      </c>
      <c r="D1554" s="81">
        <v>12605.7</v>
      </c>
      <c r="E1554" s="151">
        <v>44758</v>
      </c>
      <c r="F1554" s="81">
        <v>12605.7</v>
      </c>
      <c r="G1554" s="156">
        <f>Tabla18[[#This Row],[Importe]]-Tabla18[[#This Row],[Pagado]]</f>
        <v>0</v>
      </c>
      <c r="H1554" s="75" t="s">
        <v>10</v>
      </c>
    </row>
    <row r="1555" spans="1:8" x14ac:dyDescent="0.25">
      <c r="A1555" s="148">
        <v>44757</v>
      </c>
      <c r="B1555" s="149" t="s">
        <v>22878</v>
      </c>
      <c r="C1555" s="153" t="s">
        <v>64</v>
      </c>
      <c r="D1555" s="154">
        <v>10972.8</v>
      </c>
      <c r="E1555" s="155">
        <v>44758</v>
      </c>
      <c r="F1555" s="154">
        <v>10972.8</v>
      </c>
      <c r="G1555" s="156">
        <f>Tabla18[[#This Row],[Importe]]-Tabla18[[#This Row],[Pagado]]</f>
        <v>0</v>
      </c>
      <c r="H1555" s="153" t="s">
        <v>10</v>
      </c>
    </row>
    <row r="1556" spans="1:8" x14ac:dyDescent="0.25">
      <c r="A1556" s="73">
        <v>44757</v>
      </c>
      <c r="B1556" s="74" t="s">
        <v>22879</v>
      </c>
      <c r="C1556" s="75" t="s">
        <v>450</v>
      </c>
      <c r="D1556" s="81">
        <v>7542.7</v>
      </c>
      <c r="E1556" s="151">
        <v>44757</v>
      </c>
      <c r="F1556" s="81">
        <v>7542.7</v>
      </c>
      <c r="G1556" s="156">
        <f>Tabla18[[#This Row],[Importe]]-Tabla18[[#This Row],[Pagado]]</f>
        <v>0</v>
      </c>
      <c r="H1556" s="75" t="s">
        <v>10</v>
      </c>
    </row>
    <row r="1557" spans="1:8" x14ac:dyDescent="0.25">
      <c r="A1557" s="148">
        <v>44757</v>
      </c>
      <c r="B1557" s="149" t="s">
        <v>22880</v>
      </c>
      <c r="C1557" s="153" t="s">
        <v>105</v>
      </c>
      <c r="D1557" s="154">
        <v>9334.5</v>
      </c>
      <c r="E1557" s="155">
        <v>44758</v>
      </c>
      <c r="F1557" s="154">
        <v>9334.5</v>
      </c>
      <c r="G1557" s="156">
        <f>Tabla18[[#This Row],[Importe]]-Tabla18[[#This Row],[Pagado]]</f>
        <v>0</v>
      </c>
      <c r="H1557" s="153" t="s">
        <v>10</v>
      </c>
    </row>
    <row r="1558" spans="1:8" ht="75" x14ac:dyDescent="0.25">
      <c r="A1558" s="73">
        <v>44757</v>
      </c>
      <c r="B1558" s="74" t="s">
        <v>22881</v>
      </c>
      <c r="C1558" s="75" t="s">
        <v>116</v>
      </c>
      <c r="D1558" s="81">
        <v>8039.8</v>
      </c>
      <c r="E1558" s="175" t="s">
        <v>24630</v>
      </c>
      <c r="F1558" s="81">
        <f>4000+1000+500+539.8+500+1500</f>
        <v>8039.8</v>
      </c>
      <c r="G1558" s="156">
        <f>Tabla18[[#This Row],[Importe]]-Tabla18[[#This Row],[Pagado]]</f>
        <v>0</v>
      </c>
      <c r="H1558" s="75" t="s">
        <v>10</v>
      </c>
    </row>
    <row r="1559" spans="1:8" x14ac:dyDescent="0.25">
      <c r="A1559" s="148">
        <v>44757</v>
      </c>
      <c r="B1559" s="149" t="s">
        <v>22882</v>
      </c>
      <c r="C1559" s="153" t="s">
        <v>348</v>
      </c>
      <c r="D1559" s="154">
        <v>3309.9</v>
      </c>
      <c r="E1559" s="155">
        <v>44757</v>
      </c>
      <c r="F1559" s="154">
        <v>3309.9</v>
      </c>
      <c r="G1559" s="156">
        <f>Tabla18[[#This Row],[Importe]]-Tabla18[[#This Row],[Pagado]]</f>
        <v>0</v>
      </c>
      <c r="H1559" s="153" t="s">
        <v>10</v>
      </c>
    </row>
    <row r="1560" spans="1:8" x14ac:dyDescent="0.25">
      <c r="A1560" s="73">
        <v>44757</v>
      </c>
      <c r="B1560" s="74" t="s">
        <v>22883</v>
      </c>
      <c r="C1560" s="75" t="s">
        <v>93</v>
      </c>
      <c r="D1560" s="81">
        <v>3898.3</v>
      </c>
      <c r="E1560" s="151">
        <v>44760</v>
      </c>
      <c r="F1560" s="81">
        <v>3898.3</v>
      </c>
      <c r="G1560" s="156">
        <f>Tabla18[[#This Row],[Importe]]-Tabla18[[#This Row],[Pagado]]</f>
        <v>0</v>
      </c>
      <c r="H1560" s="75" t="s">
        <v>10</v>
      </c>
    </row>
    <row r="1561" spans="1:8" ht="31.5" x14ac:dyDescent="0.25">
      <c r="A1561" s="148">
        <v>44757</v>
      </c>
      <c r="B1561" s="149" t="s">
        <v>22884</v>
      </c>
      <c r="C1561" s="153" t="s">
        <v>99</v>
      </c>
      <c r="D1561" s="154">
        <v>8485.5</v>
      </c>
      <c r="E1561" s="150" t="s">
        <v>22885</v>
      </c>
      <c r="F1561" s="154">
        <f>2000+6485.5</f>
        <v>8485.5</v>
      </c>
      <c r="G1561" s="156">
        <f>Tabla18[[#This Row],[Importe]]-Tabla18[[#This Row],[Pagado]]</f>
        <v>0</v>
      </c>
      <c r="H1561" s="153" t="s">
        <v>10</v>
      </c>
    </row>
    <row r="1562" spans="1:8" x14ac:dyDescent="0.25">
      <c r="A1562" s="73">
        <v>44757</v>
      </c>
      <c r="B1562" s="74" t="s">
        <v>22886</v>
      </c>
      <c r="C1562" s="75" t="s">
        <v>2151</v>
      </c>
      <c r="D1562" s="81">
        <v>33598.400000000001</v>
      </c>
      <c r="E1562" s="151">
        <v>44757</v>
      </c>
      <c r="F1562" s="81">
        <v>33598.400000000001</v>
      </c>
      <c r="G1562" s="156">
        <f>Tabla18[[#This Row],[Importe]]-Tabla18[[#This Row],[Pagado]]</f>
        <v>0</v>
      </c>
      <c r="H1562" s="75" t="s">
        <v>10</v>
      </c>
    </row>
    <row r="1563" spans="1:8" x14ac:dyDescent="0.25">
      <c r="A1563" s="148">
        <v>44757</v>
      </c>
      <c r="B1563" s="149" t="s">
        <v>22887</v>
      </c>
      <c r="C1563" s="153" t="s">
        <v>918</v>
      </c>
      <c r="D1563" s="154">
        <v>1319.5</v>
      </c>
      <c r="E1563" s="155">
        <v>44757</v>
      </c>
      <c r="F1563" s="154">
        <v>1319.5</v>
      </c>
      <c r="G1563" s="156">
        <f>Tabla18[[#This Row],[Importe]]-Tabla18[[#This Row],[Pagado]]</f>
        <v>0</v>
      </c>
      <c r="H1563" s="153" t="s">
        <v>10</v>
      </c>
    </row>
    <row r="1564" spans="1:8" x14ac:dyDescent="0.25">
      <c r="A1564" s="73">
        <v>44757</v>
      </c>
      <c r="B1564" s="74" t="s">
        <v>22888</v>
      </c>
      <c r="C1564" s="75" t="s">
        <v>89</v>
      </c>
      <c r="D1564" s="81">
        <v>12142.2</v>
      </c>
      <c r="E1564" s="151">
        <v>44758</v>
      </c>
      <c r="F1564" s="81">
        <v>12142.2</v>
      </c>
      <c r="G1564" s="156">
        <f>Tabla18[[#This Row],[Importe]]-Tabla18[[#This Row],[Pagado]]</f>
        <v>0</v>
      </c>
      <c r="H1564" s="75" t="s">
        <v>10</v>
      </c>
    </row>
    <row r="1565" spans="1:8" x14ac:dyDescent="0.25">
      <c r="A1565" s="148">
        <v>44757</v>
      </c>
      <c r="B1565" s="149" t="s">
        <v>22889</v>
      </c>
      <c r="C1565" s="153" t="s">
        <v>9</v>
      </c>
      <c r="D1565" s="154">
        <v>10841.2</v>
      </c>
      <c r="E1565" s="155">
        <v>44757</v>
      </c>
      <c r="F1565" s="154">
        <v>10841.2</v>
      </c>
      <c r="G1565" s="156">
        <f>Tabla18[[#This Row],[Importe]]-Tabla18[[#This Row],[Pagado]]</f>
        <v>0</v>
      </c>
      <c r="H1565" s="153" t="s">
        <v>10</v>
      </c>
    </row>
    <row r="1566" spans="1:8" x14ac:dyDescent="0.25">
      <c r="A1566" s="73">
        <v>44757</v>
      </c>
      <c r="B1566" s="74" t="s">
        <v>22890</v>
      </c>
      <c r="C1566" s="75" t="s">
        <v>481</v>
      </c>
      <c r="D1566" s="81">
        <v>1152.8</v>
      </c>
      <c r="E1566" s="151">
        <v>44757</v>
      </c>
      <c r="F1566" s="81">
        <v>1152.8</v>
      </c>
      <c r="G1566" s="156">
        <f>Tabla18[[#This Row],[Importe]]-Tabla18[[#This Row],[Pagado]]</f>
        <v>0</v>
      </c>
      <c r="H1566" s="75" t="s">
        <v>10</v>
      </c>
    </row>
    <row r="1567" spans="1:8" x14ac:dyDescent="0.25">
      <c r="A1567" s="148">
        <v>44757</v>
      </c>
      <c r="B1567" s="149" t="s">
        <v>22891</v>
      </c>
      <c r="C1567" s="153" t="s">
        <v>918</v>
      </c>
      <c r="D1567" s="154">
        <v>2006.4</v>
      </c>
      <c r="E1567" s="155">
        <v>44757</v>
      </c>
      <c r="F1567" s="154">
        <v>2006.4</v>
      </c>
      <c r="G1567" s="156">
        <f>Tabla18[[#This Row],[Importe]]-Tabla18[[#This Row],[Pagado]]</f>
        <v>0</v>
      </c>
      <c r="H1567" s="153" t="s">
        <v>10</v>
      </c>
    </row>
    <row r="1568" spans="1:8" x14ac:dyDescent="0.25">
      <c r="A1568" s="73">
        <v>44757</v>
      </c>
      <c r="B1568" s="74" t="s">
        <v>22892</v>
      </c>
      <c r="C1568" s="75" t="s">
        <v>2151</v>
      </c>
      <c r="D1568" s="81">
        <v>696</v>
      </c>
      <c r="E1568" s="151">
        <v>44757</v>
      </c>
      <c r="F1568" s="81">
        <v>696</v>
      </c>
      <c r="G1568" s="156">
        <f>Tabla18[[#This Row],[Importe]]-Tabla18[[#This Row],[Pagado]]</f>
        <v>0</v>
      </c>
      <c r="H1568" s="75" t="s">
        <v>10</v>
      </c>
    </row>
    <row r="1569" spans="1:8" x14ac:dyDescent="0.25">
      <c r="A1569" s="148">
        <v>44757</v>
      </c>
      <c r="B1569" s="149" t="s">
        <v>22893</v>
      </c>
      <c r="C1569" s="153" t="s">
        <v>31</v>
      </c>
      <c r="D1569" s="154">
        <v>1364</v>
      </c>
      <c r="E1569" s="155">
        <v>44757</v>
      </c>
      <c r="F1569" s="154">
        <v>1364</v>
      </c>
      <c r="G1569" s="156">
        <f>Tabla18[[#This Row],[Importe]]-Tabla18[[#This Row],[Pagado]]</f>
        <v>0</v>
      </c>
      <c r="H1569" s="153" t="s">
        <v>10</v>
      </c>
    </row>
    <row r="1570" spans="1:8" x14ac:dyDescent="0.25">
      <c r="A1570" s="73">
        <v>44757</v>
      </c>
      <c r="B1570" s="74" t="s">
        <v>22894</v>
      </c>
      <c r="C1570" s="75" t="s">
        <v>31</v>
      </c>
      <c r="D1570" s="81">
        <v>1212</v>
      </c>
      <c r="E1570" s="151">
        <v>44757</v>
      </c>
      <c r="F1570" s="81">
        <v>1212</v>
      </c>
      <c r="G1570" s="156">
        <f>Tabla18[[#This Row],[Importe]]-Tabla18[[#This Row],[Pagado]]</f>
        <v>0</v>
      </c>
      <c r="H1570" s="75" t="s">
        <v>10</v>
      </c>
    </row>
    <row r="1571" spans="1:8" ht="31.5" x14ac:dyDescent="0.25">
      <c r="A1571" s="148">
        <v>44757</v>
      </c>
      <c r="B1571" s="149" t="s">
        <v>22895</v>
      </c>
      <c r="C1571" s="153" t="s">
        <v>22</v>
      </c>
      <c r="D1571" s="154">
        <v>75203.8</v>
      </c>
      <c r="E1571" s="150" t="s">
        <v>22866</v>
      </c>
      <c r="F1571" s="154">
        <f>65000+10203.8</f>
        <v>75203.8</v>
      </c>
      <c r="G1571" s="156">
        <f>Tabla18[[#This Row],[Importe]]-Tabla18[[#This Row],[Pagado]]</f>
        <v>0</v>
      </c>
      <c r="H1571" s="153" t="s">
        <v>10</v>
      </c>
    </row>
    <row r="1572" spans="1:8" x14ac:dyDescent="0.25">
      <c r="A1572" s="73">
        <v>44757</v>
      </c>
      <c r="B1572" s="74" t="s">
        <v>22896</v>
      </c>
      <c r="C1572" s="75" t="s">
        <v>1187</v>
      </c>
      <c r="D1572" s="81">
        <v>1024.4000000000001</v>
      </c>
      <c r="E1572" s="151">
        <v>44757</v>
      </c>
      <c r="F1572" s="81">
        <v>1024.4000000000001</v>
      </c>
      <c r="G1572" s="156">
        <f>Tabla18[[#This Row],[Importe]]-Tabla18[[#This Row],[Pagado]]</f>
        <v>0</v>
      </c>
      <c r="H1572" s="75" t="s">
        <v>10</v>
      </c>
    </row>
    <row r="1573" spans="1:8" x14ac:dyDescent="0.25">
      <c r="A1573" s="148">
        <v>44757</v>
      </c>
      <c r="B1573" s="149" t="s">
        <v>22897</v>
      </c>
      <c r="C1573" s="153" t="s">
        <v>1187</v>
      </c>
      <c r="D1573" s="154">
        <v>303.60000000000002</v>
      </c>
      <c r="E1573" s="155">
        <v>44757</v>
      </c>
      <c r="F1573" s="154">
        <v>303.60000000000002</v>
      </c>
      <c r="G1573" s="156">
        <f>Tabla18[[#This Row],[Importe]]-Tabla18[[#This Row],[Pagado]]</f>
        <v>0</v>
      </c>
      <c r="H1573" s="153" t="s">
        <v>10</v>
      </c>
    </row>
    <row r="1574" spans="1:8" x14ac:dyDescent="0.25">
      <c r="A1574" s="73">
        <v>44757</v>
      </c>
      <c r="B1574" s="74" t="s">
        <v>22898</v>
      </c>
      <c r="C1574" s="75" t="s">
        <v>484</v>
      </c>
      <c r="D1574" s="81">
        <v>5608.2</v>
      </c>
      <c r="E1574" s="151">
        <v>44757</v>
      </c>
      <c r="F1574" s="81">
        <v>5608.2</v>
      </c>
      <c r="G1574" s="156">
        <f>Tabla18[[#This Row],[Importe]]-Tabla18[[#This Row],[Pagado]]</f>
        <v>0</v>
      </c>
      <c r="H1574" s="75" t="s">
        <v>10</v>
      </c>
    </row>
    <row r="1575" spans="1:8" x14ac:dyDescent="0.25">
      <c r="A1575" s="148">
        <v>44757</v>
      </c>
      <c r="B1575" s="149" t="s">
        <v>22899</v>
      </c>
      <c r="C1575" s="153" t="s">
        <v>31</v>
      </c>
      <c r="D1575" s="154">
        <v>28016.1</v>
      </c>
      <c r="E1575" s="155">
        <v>44757</v>
      </c>
      <c r="F1575" s="154">
        <v>28016.1</v>
      </c>
      <c r="G1575" s="156">
        <f>Tabla18[[#This Row],[Importe]]-Tabla18[[#This Row],[Pagado]]</f>
        <v>0</v>
      </c>
      <c r="H1575" s="153" t="s">
        <v>10</v>
      </c>
    </row>
    <row r="1576" spans="1:8" x14ac:dyDescent="0.25">
      <c r="A1576" s="73">
        <v>44757</v>
      </c>
      <c r="B1576" s="74" t="s">
        <v>22900</v>
      </c>
      <c r="C1576" s="75" t="s">
        <v>371</v>
      </c>
      <c r="D1576" s="81">
        <v>23576.400000000001</v>
      </c>
      <c r="E1576" s="151">
        <v>44757</v>
      </c>
      <c r="F1576" s="81">
        <v>23576.400000000001</v>
      </c>
      <c r="G1576" s="156">
        <f>Tabla18[[#This Row],[Importe]]-Tabla18[[#This Row],[Pagado]]</f>
        <v>0</v>
      </c>
      <c r="H1576" s="75" t="s">
        <v>10</v>
      </c>
    </row>
    <row r="1577" spans="1:8" x14ac:dyDescent="0.25">
      <c r="A1577" s="148">
        <v>44757</v>
      </c>
      <c r="B1577" s="149" t="s">
        <v>22901</v>
      </c>
      <c r="C1577" s="153" t="s">
        <v>11033</v>
      </c>
      <c r="D1577" s="154">
        <v>1809.5</v>
      </c>
      <c r="E1577" s="155">
        <v>44757</v>
      </c>
      <c r="F1577" s="154">
        <v>1809.5</v>
      </c>
      <c r="G1577" s="156">
        <f>Tabla18[[#This Row],[Importe]]-Tabla18[[#This Row],[Pagado]]</f>
        <v>0</v>
      </c>
      <c r="H1577" s="153" t="s">
        <v>10</v>
      </c>
    </row>
    <row r="1578" spans="1:8" x14ac:dyDescent="0.25">
      <c r="A1578" s="73">
        <v>44757</v>
      </c>
      <c r="B1578" s="74" t="s">
        <v>22902</v>
      </c>
      <c r="C1578" s="75" t="s">
        <v>804</v>
      </c>
      <c r="D1578" s="81">
        <v>9608.7000000000007</v>
      </c>
      <c r="E1578" s="151">
        <v>44757</v>
      </c>
      <c r="F1578" s="81">
        <v>9608.7000000000007</v>
      </c>
      <c r="G1578" s="156">
        <f>Tabla18[[#This Row],[Importe]]-Tabla18[[#This Row],[Pagado]]</f>
        <v>0</v>
      </c>
      <c r="H1578" s="75" t="s">
        <v>10</v>
      </c>
    </row>
    <row r="1579" spans="1:8" x14ac:dyDescent="0.25">
      <c r="A1579" s="148">
        <v>44757</v>
      </c>
      <c r="B1579" s="149" t="s">
        <v>22903</v>
      </c>
      <c r="C1579" s="153" t="s">
        <v>196</v>
      </c>
      <c r="D1579" s="154">
        <v>44983.4</v>
      </c>
      <c r="E1579" s="155">
        <v>44757</v>
      </c>
      <c r="F1579" s="154">
        <v>44983.4</v>
      </c>
      <c r="G1579" s="156">
        <f>Tabla18[[#This Row],[Importe]]-Tabla18[[#This Row],[Pagado]]</f>
        <v>0</v>
      </c>
      <c r="H1579" s="153" t="s">
        <v>10</v>
      </c>
    </row>
    <row r="1580" spans="1:8" x14ac:dyDescent="0.25">
      <c r="A1580" s="73">
        <v>44757</v>
      </c>
      <c r="B1580" s="74" t="s">
        <v>22904</v>
      </c>
      <c r="C1580" s="75" t="s">
        <v>275</v>
      </c>
      <c r="D1580" s="81">
        <v>96568.320000000007</v>
      </c>
      <c r="E1580" s="151">
        <v>44771</v>
      </c>
      <c r="F1580" s="81">
        <v>96568.320000000007</v>
      </c>
      <c r="G1580" s="156">
        <f>Tabla18[[#This Row],[Importe]]-Tabla18[[#This Row],[Pagado]]</f>
        <v>0</v>
      </c>
      <c r="H1580" s="75" t="s">
        <v>10</v>
      </c>
    </row>
    <row r="1581" spans="1:8" x14ac:dyDescent="0.25">
      <c r="A1581" s="148">
        <v>44757</v>
      </c>
      <c r="B1581" s="149" t="s">
        <v>22905</v>
      </c>
      <c r="C1581" s="153" t="s">
        <v>49</v>
      </c>
      <c r="D1581" s="154">
        <v>5141</v>
      </c>
      <c r="E1581" s="155">
        <v>44757</v>
      </c>
      <c r="F1581" s="154">
        <v>5141</v>
      </c>
      <c r="G1581" s="156">
        <f>Tabla18[[#This Row],[Importe]]-Tabla18[[#This Row],[Pagado]]</f>
        <v>0</v>
      </c>
      <c r="H1581" s="153" t="s">
        <v>10</v>
      </c>
    </row>
    <row r="1582" spans="1:8" ht="47.25" x14ac:dyDescent="0.25">
      <c r="A1582" s="73">
        <v>44757</v>
      </c>
      <c r="B1582" s="74" t="s">
        <v>22906</v>
      </c>
      <c r="C1582" s="75" t="s">
        <v>592</v>
      </c>
      <c r="D1582" s="81">
        <v>42319.5</v>
      </c>
      <c r="E1582" s="147" t="s">
        <v>24622</v>
      </c>
      <c r="F1582" s="81">
        <f>10000+30000+2319.5</f>
        <v>42319.5</v>
      </c>
      <c r="G1582" s="156">
        <f>Tabla18[[#This Row],[Importe]]-Tabla18[[#This Row],[Pagado]]</f>
        <v>0</v>
      </c>
      <c r="H1582" s="75" t="s">
        <v>10</v>
      </c>
    </row>
    <row r="1583" spans="1:8" x14ac:dyDescent="0.25">
      <c r="A1583" s="148">
        <v>44757</v>
      </c>
      <c r="B1583" s="149" t="s">
        <v>22907</v>
      </c>
      <c r="C1583" s="153" t="s">
        <v>45</v>
      </c>
      <c r="D1583" s="154">
        <v>16146.8</v>
      </c>
      <c r="E1583" s="155">
        <v>44757</v>
      </c>
      <c r="F1583" s="154">
        <v>16146.8</v>
      </c>
      <c r="G1583" s="156">
        <f>Tabla18[[#This Row],[Importe]]-Tabla18[[#This Row],[Pagado]]</f>
        <v>0</v>
      </c>
      <c r="H1583" s="153" t="s">
        <v>10</v>
      </c>
    </row>
    <row r="1584" spans="1:8" x14ac:dyDescent="0.25">
      <c r="A1584" s="73">
        <v>44757</v>
      </c>
      <c r="B1584" s="74" t="s">
        <v>22908</v>
      </c>
      <c r="C1584" s="75" t="s">
        <v>27</v>
      </c>
      <c r="D1584" s="81">
        <v>1126</v>
      </c>
      <c r="E1584" s="151">
        <v>44757</v>
      </c>
      <c r="F1584" s="81">
        <v>1126</v>
      </c>
      <c r="G1584" s="156">
        <f>Tabla18[[#This Row],[Importe]]-Tabla18[[#This Row],[Pagado]]</f>
        <v>0</v>
      </c>
      <c r="H1584" s="75" t="s">
        <v>10</v>
      </c>
    </row>
    <row r="1585" spans="1:8" x14ac:dyDescent="0.25">
      <c r="A1585" s="148">
        <v>44757</v>
      </c>
      <c r="B1585" s="149" t="s">
        <v>22909</v>
      </c>
      <c r="C1585" s="153" t="s">
        <v>29</v>
      </c>
      <c r="D1585" s="154">
        <v>5528.6</v>
      </c>
      <c r="E1585" s="155">
        <v>44757</v>
      </c>
      <c r="F1585" s="154">
        <v>5528.6</v>
      </c>
      <c r="G1585" s="156">
        <f>Tabla18[[#This Row],[Importe]]-Tabla18[[#This Row],[Pagado]]</f>
        <v>0</v>
      </c>
      <c r="H1585" s="153" t="s">
        <v>10</v>
      </c>
    </row>
    <row r="1586" spans="1:8" x14ac:dyDescent="0.25">
      <c r="A1586" s="73">
        <v>44757</v>
      </c>
      <c r="B1586" s="74" t="s">
        <v>22910</v>
      </c>
      <c r="C1586" s="75" t="s">
        <v>16</v>
      </c>
      <c r="D1586" s="81">
        <v>4222.6000000000004</v>
      </c>
      <c r="E1586" s="151">
        <v>44757</v>
      </c>
      <c r="F1586" s="81">
        <v>4222.6000000000004</v>
      </c>
      <c r="G1586" s="156">
        <f>Tabla18[[#This Row],[Importe]]-Tabla18[[#This Row],[Pagado]]</f>
        <v>0</v>
      </c>
      <c r="H1586" s="75" t="s">
        <v>10</v>
      </c>
    </row>
    <row r="1587" spans="1:8" x14ac:dyDescent="0.25">
      <c r="A1587" s="148">
        <v>44757</v>
      </c>
      <c r="B1587" s="149" t="s">
        <v>22911</v>
      </c>
      <c r="C1587" s="153" t="s">
        <v>107</v>
      </c>
      <c r="D1587" s="154">
        <v>20330.400000000001</v>
      </c>
      <c r="E1587" s="155">
        <v>44757</v>
      </c>
      <c r="F1587" s="154">
        <v>20330.400000000001</v>
      </c>
      <c r="G1587" s="156">
        <f>Tabla18[[#This Row],[Importe]]-Tabla18[[#This Row],[Pagado]]</f>
        <v>0</v>
      </c>
      <c r="H1587" s="153" t="s">
        <v>10</v>
      </c>
    </row>
    <row r="1588" spans="1:8" x14ac:dyDescent="0.25">
      <c r="A1588" s="73">
        <v>44757</v>
      </c>
      <c r="B1588" s="74" t="s">
        <v>22912</v>
      </c>
      <c r="C1588" s="75" t="s">
        <v>333</v>
      </c>
      <c r="D1588" s="81">
        <v>313.26</v>
      </c>
      <c r="E1588" s="151">
        <v>44757</v>
      </c>
      <c r="F1588" s="81">
        <v>313.26</v>
      </c>
      <c r="G1588" s="156">
        <f>Tabla18[[#This Row],[Importe]]-Tabla18[[#This Row],[Pagado]]</f>
        <v>0</v>
      </c>
      <c r="H1588" s="75" t="s">
        <v>10</v>
      </c>
    </row>
    <row r="1589" spans="1:8" x14ac:dyDescent="0.25">
      <c r="A1589" s="148">
        <v>44757</v>
      </c>
      <c r="B1589" s="149" t="s">
        <v>22913</v>
      </c>
      <c r="C1589" s="153" t="s">
        <v>357</v>
      </c>
      <c r="D1589" s="154">
        <v>1591</v>
      </c>
      <c r="E1589" s="155">
        <v>44757</v>
      </c>
      <c r="F1589" s="154">
        <v>1591</v>
      </c>
      <c r="G1589" s="156">
        <f>Tabla18[[#This Row],[Importe]]-Tabla18[[#This Row],[Pagado]]</f>
        <v>0</v>
      </c>
      <c r="H1589" s="153" t="s">
        <v>10</v>
      </c>
    </row>
    <row r="1590" spans="1:8" x14ac:dyDescent="0.25">
      <c r="A1590" s="73">
        <v>44757</v>
      </c>
      <c r="B1590" s="74" t="s">
        <v>22914</v>
      </c>
      <c r="C1590" s="75" t="s">
        <v>140</v>
      </c>
      <c r="D1590" s="81">
        <v>1096</v>
      </c>
      <c r="E1590" s="151">
        <v>44757</v>
      </c>
      <c r="F1590" s="81">
        <v>1096</v>
      </c>
      <c r="G1590" s="156">
        <f>Tabla18[[#This Row],[Importe]]-Tabla18[[#This Row],[Pagado]]</f>
        <v>0</v>
      </c>
      <c r="H1590" s="75" t="s">
        <v>10</v>
      </c>
    </row>
    <row r="1591" spans="1:8" x14ac:dyDescent="0.25">
      <c r="A1591" s="148">
        <v>44757</v>
      </c>
      <c r="B1591" s="149" t="s">
        <v>22915</v>
      </c>
      <c r="C1591" s="153" t="s">
        <v>129</v>
      </c>
      <c r="D1591" s="154">
        <v>1441</v>
      </c>
      <c r="E1591" s="155">
        <v>44757</v>
      </c>
      <c r="F1591" s="154">
        <v>1441</v>
      </c>
      <c r="G1591" s="156">
        <f>Tabla18[[#This Row],[Importe]]-Tabla18[[#This Row],[Pagado]]</f>
        <v>0</v>
      </c>
      <c r="H1591" s="153" t="s">
        <v>10</v>
      </c>
    </row>
    <row r="1592" spans="1:8" x14ac:dyDescent="0.25">
      <c r="A1592" s="73">
        <v>44757</v>
      </c>
      <c r="B1592" s="74" t="s">
        <v>22916</v>
      </c>
      <c r="C1592" s="75" t="s">
        <v>127</v>
      </c>
      <c r="D1592" s="81">
        <v>5670.6</v>
      </c>
      <c r="E1592" s="151">
        <v>44757</v>
      </c>
      <c r="F1592" s="81">
        <v>5670.6</v>
      </c>
      <c r="G1592" s="156">
        <f>Tabla18[[#This Row],[Importe]]-Tabla18[[#This Row],[Pagado]]</f>
        <v>0</v>
      </c>
      <c r="H1592" s="75" t="s">
        <v>10</v>
      </c>
    </row>
    <row r="1593" spans="1:8" x14ac:dyDescent="0.25">
      <c r="A1593" s="148">
        <v>44757</v>
      </c>
      <c r="B1593" s="149" t="s">
        <v>22917</v>
      </c>
      <c r="C1593" s="153" t="s">
        <v>5816</v>
      </c>
      <c r="D1593" s="154">
        <v>6400</v>
      </c>
      <c r="E1593" s="155">
        <v>44758</v>
      </c>
      <c r="F1593" s="154">
        <v>6400</v>
      </c>
      <c r="G1593" s="156">
        <f>Tabla18[[#This Row],[Importe]]-Tabla18[[#This Row],[Pagado]]</f>
        <v>0</v>
      </c>
      <c r="H1593" s="153" t="s">
        <v>10</v>
      </c>
    </row>
    <row r="1594" spans="1:8" x14ac:dyDescent="0.25">
      <c r="A1594" s="73">
        <v>44757</v>
      </c>
      <c r="B1594" s="74" t="s">
        <v>22918</v>
      </c>
      <c r="C1594" s="75" t="s">
        <v>22783</v>
      </c>
      <c r="D1594" s="81">
        <v>1472</v>
      </c>
      <c r="E1594" s="151">
        <v>44757</v>
      </c>
      <c r="F1594" s="81">
        <v>1472</v>
      </c>
      <c r="G1594" s="156">
        <f>Tabla18[[#This Row],[Importe]]-Tabla18[[#This Row],[Pagado]]</f>
        <v>0</v>
      </c>
      <c r="H1594" s="75" t="s">
        <v>10</v>
      </c>
    </row>
    <row r="1595" spans="1:8" x14ac:dyDescent="0.25">
      <c r="A1595" s="148">
        <v>44757</v>
      </c>
      <c r="B1595" s="149" t="s">
        <v>22919</v>
      </c>
      <c r="C1595" s="153" t="s">
        <v>5816</v>
      </c>
      <c r="D1595" s="154">
        <v>1972</v>
      </c>
      <c r="E1595" s="155">
        <v>44758</v>
      </c>
      <c r="F1595" s="154">
        <v>1972</v>
      </c>
      <c r="G1595" s="156">
        <f>Tabla18[[#This Row],[Importe]]-Tabla18[[#This Row],[Pagado]]</f>
        <v>0</v>
      </c>
      <c r="H1595" s="153" t="s">
        <v>10</v>
      </c>
    </row>
    <row r="1596" spans="1:8" x14ac:dyDescent="0.25">
      <c r="A1596" s="73">
        <v>44757</v>
      </c>
      <c r="B1596" s="74" t="s">
        <v>22920</v>
      </c>
      <c r="C1596" s="75" t="s">
        <v>1378</v>
      </c>
      <c r="D1596" s="81">
        <v>82079</v>
      </c>
      <c r="E1596" s="151">
        <v>44758</v>
      </c>
      <c r="F1596" s="81">
        <v>82079</v>
      </c>
      <c r="G1596" s="156">
        <f>Tabla18[[#This Row],[Importe]]-Tabla18[[#This Row],[Pagado]]</f>
        <v>0</v>
      </c>
      <c r="H1596" s="75" t="s">
        <v>10</v>
      </c>
    </row>
    <row r="1597" spans="1:8" x14ac:dyDescent="0.25">
      <c r="A1597" s="148">
        <v>44757</v>
      </c>
      <c r="B1597" s="149" t="s">
        <v>22921</v>
      </c>
      <c r="C1597" s="153" t="s">
        <v>133</v>
      </c>
      <c r="D1597" s="154">
        <v>28218.799999999999</v>
      </c>
      <c r="E1597" s="155">
        <v>44770</v>
      </c>
      <c r="F1597" s="154">
        <v>28218.799999999999</v>
      </c>
      <c r="G1597" s="156">
        <f>Tabla18[[#This Row],[Importe]]-Tabla18[[#This Row],[Pagado]]</f>
        <v>0</v>
      </c>
      <c r="H1597" s="153" t="s">
        <v>10</v>
      </c>
    </row>
    <row r="1598" spans="1:8" x14ac:dyDescent="0.25">
      <c r="A1598" s="73">
        <v>44757</v>
      </c>
      <c r="B1598" s="74" t="s">
        <v>22922</v>
      </c>
      <c r="C1598" s="75" t="s">
        <v>31</v>
      </c>
      <c r="D1598" s="81">
        <v>5285.7</v>
      </c>
      <c r="E1598" s="151">
        <v>44757</v>
      </c>
      <c r="F1598" s="81">
        <v>5285.7</v>
      </c>
      <c r="G1598" s="156">
        <f>Tabla18[[#This Row],[Importe]]-Tabla18[[#This Row],[Pagado]]</f>
        <v>0</v>
      </c>
      <c r="H1598" s="75" t="s">
        <v>10</v>
      </c>
    </row>
    <row r="1599" spans="1:8" x14ac:dyDescent="0.25">
      <c r="A1599" s="148">
        <v>44757</v>
      </c>
      <c r="B1599" s="149" t="s">
        <v>22923</v>
      </c>
      <c r="C1599" s="153" t="s">
        <v>214</v>
      </c>
      <c r="D1599" s="154">
        <v>1486.1</v>
      </c>
      <c r="E1599" s="155">
        <v>44757</v>
      </c>
      <c r="F1599" s="154">
        <v>1486.1</v>
      </c>
      <c r="G1599" s="156">
        <f>Tabla18[[#This Row],[Importe]]-Tabla18[[#This Row],[Pagado]]</f>
        <v>0</v>
      </c>
      <c r="H1599" s="153" t="s">
        <v>10</v>
      </c>
    </row>
    <row r="1600" spans="1:8" x14ac:dyDescent="0.25">
      <c r="A1600" s="73">
        <v>44757</v>
      </c>
      <c r="B1600" s="74" t="s">
        <v>22924</v>
      </c>
      <c r="C1600" s="75" t="s">
        <v>56</v>
      </c>
      <c r="D1600" s="81">
        <v>9255</v>
      </c>
      <c r="E1600" s="151">
        <v>44757</v>
      </c>
      <c r="F1600" s="81">
        <v>9255</v>
      </c>
      <c r="G1600" s="156">
        <f>Tabla18[[#This Row],[Importe]]-Tabla18[[#This Row],[Pagado]]</f>
        <v>0</v>
      </c>
      <c r="H1600" s="75" t="s">
        <v>10</v>
      </c>
    </row>
    <row r="1601" spans="1:8" x14ac:dyDescent="0.25">
      <c r="A1601" s="148">
        <v>44757</v>
      </c>
      <c r="B1601" s="149" t="s">
        <v>22925</v>
      </c>
      <c r="C1601" s="153" t="s">
        <v>173</v>
      </c>
      <c r="D1601" s="154">
        <v>17386.599999999999</v>
      </c>
      <c r="E1601" s="155">
        <v>44758</v>
      </c>
      <c r="F1601" s="154">
        <v>17386.599999999999</v>
      </c>
      <c r="G1601" s="156">
        <f>Tabla18[[#This Row],[Importe]]-Tabla18[[#This Row],[Pagado]]</f>
        <v>0</v>
      </c>
      <c r="H1601" s="153" t="s">
        <v>10</v>
      </c>
    </row>
    <row r="1602" spans="1:8" x14ac:dyDescent="0.25">
      <c r="A1602" s="73">
        <v>44757</v>
      </c>
      <c r="B1602" s="74" t="s">
        <v>22926</v>
      </c>
      <c r="C1602" s="75" t="s">
        <v>212</v>
      </c>
      <c r="D1602" s="81">
        <v>27572.2</v>
      </c>
      <c r="E1602" s="151">
        <v>44762</v>
      </c>
      <c r="F1602" s="81">
        <v>27572.2</v>
      </c>
      <c r="G1602" s="156">
        <f>Tabla18[[#This Row],[Importe]]-Tabla18[[#This Row],[Pagado]]</f>
        <v>0</v>
      </c>
      <c r="H1602" s="75" t="s">
        <v>10</v>
      </c>
    </row>
    <row r="1603" spans="1:8" x14ac:dyDescent="0.25">
      <c r="A1603" s="148">
        <v>44757</v>
      </c>
      <c r="B1603" s="149" t="s">
        <v>22927</v>
      </c>
      <c r="C1603" s="153" t="s">
        <v>849</v>
      </c>
      <c r="D1603" s="154">
        <v>5832</v>
      </c>
      <c r="E1603" s="155">
        <v>44757</v>
      </c>
      <c r="F1603" s="154">
        <v>5832</v>
      </c>
      <c r="G1603" s="156">
        <f>Tabla18[[#This Row],[Importe]]-Tabla18[[#This Row],[Pagado]]</f>
        <v>0</v>
      </c>
      <c r="H1603" s="153" t="s">
        <v>10</v>
      </c>
    </row>
    <row r="1604" spans="1:8" x14ac:dyDescent="0.25">
      <c r="A1604" s="73">
        <v>44757</v>
      </c>
      <c r="B1604" s="74" t="s">
        <v>22928</v>
      </c>
      <c r="C1604" s="75" t="s">
        <v>31</v>
      </c>
      <c r="D1604" s="81">
        <v>3288</v>
      </c>
      <c r="E1604" s="151">
        <v>44757</v>
      </c>
      <c r="F1604" s="81">
        <v>3288</v>
      </c>
      <c r="G1604" s="156">
        <f>Tabla18[[#This Row],[Importe]]-Tabla18[[#This Row],[Pagado]]</f>
        <v>0</v>
      </c>
      <c r="H1604" s="75" t="s">
        <v>10</v>
      </c>
    </row>
    <row r="1605" spans="1:8" x14ac:dyDescent="0.25">
      <c r="A1605" s="148">
        <v>44757</v>
      </c>
      <c r="B1605" s="149" t="s">
        <v>22929</v>
      </c>
      <c r="C1605" s="153" t="s">
        <v>9827</v>
      </c>
      <c r="D1605" s="154">
        <v>1478.4</v>
      </c>
      <c r="E1605" s="155">
        <v>44757</v>
      </c>
      <c r="F1605" s="154">
        <v>1478.4</v>
      </c>
      <c r="G1605" s="156">
        <f>Tabla18[[#This Row],[Importe]]-Tabla18[[#This Row],[Pagado]]</f>
        <v>0</v>
      </c>
      <c r="H1605" s="153" t="s">
        <v>10</v>
      </c>
    </row>
    <row r="1606" spans="1:8" x14ac:dyDescent="0.25">
      <c r="A1606" s="73">
        <v>44757</v>
      </c>
      <c r="B1606" s="74" t="s">
        <v>22930</v>
      </c>
      <c r="C1606" s="75" t="s">
        <v>24</v>
      </c>
      <c r="D1606" s="81">
        <v>864</v>
      </c>
      <c r="E1606" s="151">
        <v>44757</v>
      </c>
      <c r="F1606" s="81">
        <v>864</v>
      </c>
      <c r="G1606" s="156">
        <f>Tabla18[[#This Row],[Importe]]-Tabla18[[#This Row],[Pagado]]</f>
        <v>0</v>
      </c>
      <c r="H1606" s="75" t="s">
        <v>10</v>
      </c>
    </row>
    <row r="1607" spans="1:8" x14ac:dyDescent="0.25">
      <c r="A1607" s="148">
        <v>44757</v>
      </c>
      <c r="B1607" s="149" t="s">
        <v>22931</v>
      </c>
      <c r="C1607" s="153" t="s">
        <v>51</v>
      </c>
      <c r="D1607" s="154">
        <v>3628</v>
      </c>
      <c r="E1607" s="155">
        <v>44757</v>
      </c>
      <c r="F1607" s="154">
        <v>3628</v>
      </c>
      <c r="G1607" s="156">
        <f>Tabla18[[#This Row],[Importe]]-Tabla18[[#This Row],[Pagado]]</f>
        <v>0</v>
      </c>
      <c r="H1607" s="153" t="s">
        <v>10</v>
      </c>
    </row>
    <row r="1608" spans="1:8" x14ac:dyDescent="0.25">
      <c r="A1608" s="73">
        <v>44757</v>
      </c>
      <c r="B1608" s="74" t="s">
        <v>22932</v>
      </c>
      <c r="C1608" s="75" t="s">
        <v>541</v>
      </c>
      <c r="D1608" s="81">
        <v>8631.6</v>
      </c>
      <c r="E1608" s="151">
        <v>44758</v>
      </c>
      <c r="F1608" s="81">
        <v>8631.6</v>
      </c>
      <c r="G1608" s="156">
        <f>Tabla18[[#This Row],[Importe]]-Tabla18[[#This Row],[Pagado]]</f>
        <v>0</v>
      </c>
      <c r="H1608" s="75" t="s">
        <v>10</v>
      </c>
    </row>
    <row r="1609" spans="1:8" x14ac:dyDescent="0.25">
      <c r="A1609" s="148">
        <v>44757</v>
      </c>
      <c r="B1609" s="149" t="s">
        <v>22933</v>
      </c>
      <c r="C1609" s="153" t="s">
        <v>670</v>
      </c>
      <c r="D1609" s="154">
        <v>4336.3999999999996</v>
      </c>
      <c r="E1609" s="155">
        <v>44757</v>
      </c>
      <c r="F1609" s="154">
        <v>4336.3999999999996</v>
      </c>
      <c r="G1609" s="156">
        <f>Tabla18[[#This Row],[Importe]]-Tabla18[[#This Row],[Pagado]]</f>
        <v>0</v>
      </c>
      <c r="H1609" s="153" t="s">
        <v>10</v>
      </c>
    </row>
    <row r="1610" spans="1:8" x14ac:dyDescent="0.25">
      <c r="A1610" s="73">
        <v>44757</v>
      </c>
      <c r="B1610" s="74" t="s">
        <v>22934</v>
      </c>
      <c r="C1610" s="75" t="s">
        <v>53</v>
      </c>
      <c r="D1610" s="81">
        <v>1048</v>
      </c>
      <c r="E1610" s="151">
        <v>44757</v>
      </c>
      <c r="F1610" s="81">
        <v>1048</v>
      </c>
      <c r="G1610" s="156">
        <f>Tabla18[[#This Row],[Importe]]-Tabla18[[#This Row],[Pagado]]</f>
        <v>0</v>
      </c>
      <c r="H1610" s="75" t="s">
        <v>10</v>
      </c>
    </row>
    <row r="1611" spans="1:8" x14ac:dyDescent="0.25">
      <c r="A1611" s="148">
        <v>44757</v>
      </c>
      <c r="B1611" s="149" t="s">
        <v>22935</v>
      </c>
      <c r="C1611" s="153" t="s">
        <v>555</v>
      </c>
      <c r="D1611" s="154">
        <v>27285.7</v>
      </c>
      <c r="E1611" s="155">
        <v>44758</v>
      </c>
      <c r="F1611" s="154">
        <v>27285.7</v>
      </c>
      <c r="G1611" s="156">
        <f>Tabla18[[#This Row],[Importe]]-Tabla18[[#This Row],[Pagado]]</f>
        <v>0</v>
      </c>
      <c r="H1611" s="153" t="s">
        <v>10</v>
      </c>
    </row>
    <row r="1612" spans="1:8" x14ac:dyDescent="0.25">
      <c r="A1612" s="73">
        <v>44757</v>
      </c>
      <c r="B1612" s="74" t="s">
        <v>22936</v>
      </c>
      <c r="C1612" s="75" t="s">
        <v>654</v>
      </c>
      <c r="D1612" s="81">
        <v>5392.5</v>
      </c>
      <c r="E1612" s="151">
        <v>44758</v>
      </c>
      <c r="F1612" s="81">
        <v>5392.5</v>
      </c>
      <c r="G1612" s="156">
        <f>Tabla18[[#This Row],[Importe]]-Tabla18[[#This Row],[Pagado]]</f>
        <v>0</v>
      </c>
      <c r="H1612" s="75" t="s">
        <v>10</v>
      </c>
    </row>
    <row r="1613" spans="1:8" x14ac:dyDescent="0.25">
      <c r="A1613" s="148">
        <v>44757</v>
      </c>
      <c r="B1613" s="149" t="s">
        <v>22937</v>
      </c>
      <c r="C1613" s="153" t="s">
        <v>1003</v>
      </c>
      <c r="D1613" s="154">
        <v>7362.3</v>
      </c>
      <c r="E1613" s="155">
        <v>44759</v>
      </c>
      <c r="F1613" s="154">
        <v>7362.3</v>
      </c>
      <c r="G1613" s="156">
        <f>Tabla18[[#This Row],[Importe]]-Tabla18[[#This Row],[Pagado]]</f>
        <v>0</v>
      </c>
      <c r="H1613" s="153" t="s">
        <v>10</v>
      </c>
    </row>
    <row r="1614" spans="1:8" x14ac:dyDescent="0.25">
      <c r="A1614" s="73">
        <v>44757</v>
      </c>
      <c r="B1614" s="74" t="s">
        <v>22938</v>
      </c>
      <c r="C1614" s="75" t="s">
        <v>3402</v>
      </c>
      <c r="D1614" s="81">
        <v>466.4</v>
      </c>
      <c r="E1614" s="151">
        <v>44757</v>
      </c>
      <c r="F1614" s="81">
        <v>466.4</v>
      </c>
      <c r="G1614" s="156">
        <f>Tabla18[[#This Row],[Importe]]-Tabla18[[#This Row],[Pagado]]</f>
        <v>0</v>
      </c>
      <c r="H1614" s="75" t="s">
        <v>10</v>
      </c>
    </row>
    <row r="1615" spans="1:8" x14ac:dyDescent="0.25">
      <c r="A1615" s="148">
        <v>44757</v>
      </c>
      <c r="B1615" s="149" t="s">
        <v>22939</v>
      </c>
      <c r="C1615" s="153" t="s">
        <v>191</v>
      </c>
      <c r="D1615" s="154">
        <v>3294.8</v>
      </c>
      <c r="E1615" s="155">
        <v>44757</v>
      </c>
      <c r="F1615" s="154">
        <v>3294.8</v>
      </c>
      <c r="G1615" s="156">
        <f>Tabla18[[#This Row],[Importe]]-Tabla18[[#This Row],[Pagado]]</f>
        <v>0</v>
      </c>
      <c r="H1615" s="153" t="s">
        <v>10</v>
      </c>
    </row>
    <row r="1616" spans="1:8" x14ac:dyDescent="0.25">
      <c r="A1616" s="73">
        <v>44757</v>
      </c>
      <c r="B1616" s="74" t="s">
        <v>22940</v>
      </c>
      <c r="C1616" s="75" t="s">
        <v>151</v>
      </c>
      <c r="D1616" s="81">
        <v>19274.759999999998</v>
      </c>
      <c r="E1616" s="151">
        <v>44757</v>
      </c>
      <c r="F1616" s="81">
        <v>19274.759999999998</v>
      </c>
      <c r="G1616" s="156">
        <f>Tabla18[[#This Row],[Importe]]-Tabla18[[#This Row],[Pagado]]</f>
        <v>0</v>
      </c>
      <c r="H1616" s="75" t="s">
        <v>10</v>
      </c>
    </row>
    <row r="1617" spans="1:8" x14ac:dyDescent="0.25">
      <c r="A1617" s="148">
        <v>44757</v>
      </c>
      <c r="B1617" s="149" t="s">
        <v>22941</v>
      </c>
      <c r="C1617" s="153" t="s">
        <v>452</v>
      </c>
      <c r="D1617" s="154">
        <v>6016</v>
      </c>
      <c r="E1617" s="155">
        <v>44757</v>
      </c>
      <c r="F1617" s="154">
        <v>6016</v>
      </c>
      <c r="G1617" s="156">
        <f>Tabla18[[#This Row],[Importe]]-Tabla18[[#This Row],[Pagado]]</f>
        <v>0</v>
      </c>
      <c r="H1617" s="153" t="s">
        <v>10</v>
      </c>
    </row>
    <row r="1618" spans="1:8" x14ac:dyDescent="0.25">
      <c r="A1618" s="73">
        <v>44757</v>
      </c>
      <c r="B1618" s="74" t="s">
        <v>22942</v>
      </c>
      <c r="C1618" s="75" t="s">
        <v>11383</v>
      </c>
      <c r="D1618" s="81">
        <v>28879.599999999999</v>
      </c>
      <c r="E1618" s="151">
        <v>44757</v>
      </c>
      <c r="F1618" s="81">
        <v>28879.599999999999</v>
      </c>
      <c r="G1618" s="156">
        <f>Tabla18[[#This Row],[Importe]]-Tabla18[[#This Row],[Pagado]]</f>
        <v>0</v>
      </c>
      <c r="H1618" s="75" t="s">
        <v>10</v>
      </c>
    </row>
    <row r="1619" spans="1:8" x14ac:dyDescent="0.25">
      <c r="A1619" s="148">
        <v>44757</v>
      </c>
      <c r="B1619" s="149" t="s">
        <v>22943</v>
      </c>
      <c r="C1619" s="153" t="s">
        <v>840</v>
      </c>
      <c r="D1619" s="154">
        <v>19505.96</v>
      </c>
      <c r="E1619" s="155">
        <v>44757</v>
      </c>
      <c r="F1619" s="154">
        <v>19505.96</v>
      </c>
      <c r="G1619" s="156">
        <f>Tabla18[[#This Row],[Importe]]-Tabla18[[#This Row],[Pagado]]</f>
        <v>0</v>
      </c>
      <c r="H1619" s="153" t="s">
        <v>10</v>
      </c>
    </row>
    <row r="1620" spans="1:8" x14ac:dyDescent="0.25">
      <c r="A1620" s="73">
        <v>44757</v>
      </c>
      <c r="B1620" s="74" t="s">
        <v>22944</v>
      </c>
      <c r="C1620" s="75" t="s">
        <v>15039</v>
      </c>
      <c r="D1620" s="81">
        <v>4111.6000000000004</v>
      </c>
      <c r="E1620" s="151">
        <v>44757</v>
      </c>
      <c r="F1620" s="81">
        <v>4111.6000000000004</v>
      </c>
      <c r="G1620" s="156">
        <f>Tabla18[[#This Row],[Importe]]-Tabla18[[#This Row],[Pagado]]</f>
        <v>0</v>
      </c>
      <c r="H1620" s="75" t="s">
        <v>10</v>
      </c>
    </row>
    <row r="1621" spans="1:8" x14ac:dyDescent="0.25">
      <c r="A1621" s="148">
        <v>44757</v>
      </c>
      <c r="B1621" s="149" t="s">
        <v>22945</v>
      </c>
      <c r="C1621" s="153" t="s">
        <v>58</v>
      </c>
      <c r="D1621" s="154">
        <v>7362.9</v>
      </c>
      <c r="E1621" s="155">
        <v>44757</v>
      </c>
      <c r="F1621" s="154">
        <v>7362.9</v>
      </c>
      <c r="G1621" s="156">
        <f>Tabla18[[#This Row],[Importe]]-Tabla18[[#This Row],[Pagado]]</f>
        <v>0</v>
      </c>
      <c r="H1621" s="153" t="s">
        <v>10</v>
      </c>
    </row>
    <row r="1622" spans="1:8" x14ac:dyDescent="0.25">
      <c r="A1622" s="73">
        <v>44757</v>
      </c>
      <c r="B1622" s="74" t="s">
        <v>22946</v>
      </c>
      <c r="C1622" s="75" t="s">
        <v>365</v>
      </c>
      <c r="D1622" s="81">
        <v>426</v>
      </c>
      <c r="E1622" s="151">
        <v>44757</v>
      </c>
      <c r="F1622" s="81">
        <v>426</v>
      </c>
      <c r="G1622" s="156">
        <f>Tabla18[[#This Row],[Importe]]-Tabla18[[#This Row],[Pagado]]</f>
        <v>0</v>
      </c>
      <c r="H1622" s="75" t="s">
        <v>10</v>
      </c>
    </row>
    <row r="1623" spans="1:8" x14ac:dyDescent="0.25">
      <c r="A1623" s="148">
        <v>44757</v>
      </c>
      <c r="B1623" s="149" t="s">
        <v>22947</v>
      </c>
      <c r="C1623" s="153" t="s">
        <v>518</v>
      </c>
      <c r="D1623" s="154">
        <v>6262.5</v>
      </c>
      <c r="E1623" s="155">
        <v>44757</v>
      </c>
      <c r="F1623" s="154">
        <v>6262.5</v>
      </c>
      <c r="G1623" s="156">
        <f>Tabla18[[#This Row],[Importe]]-Tabla18[[#This Row],[Pagado]]</f>
        <v>0</v>
      </c>
      <c r="H1623" s="153" t="s">
        <v>10</v>
      </c>
    </row>
    <row r="1624" spans="1:8" x14ac:dyDescent="0.25">
      <c r="A1624" s="73">
        <v>44757</v>
      </c>
      <c r="B1624" s="74" t="s">
        <v>22948</v>
      </c>
      <c r="C1624" s="75" t="s">
        <v>11383</v>
      </c>
      <c r="D1624" s="81">
        <v>5981.2</v>
      </c>
      <c r="E1624" s="151">
        <v>44757</v>
      </c>
      <c r="F1624" s="81">
        <v>5981.2</v>
      </c>
      <c r="G1624" s="156">
        <f>Tabla18[[#This Row],[Importe]]-Tabla18[[#This Row],[Pagado]]</f>
        <v>0</v>
      </c>
      <c r="H1624" s="75" t="s">
        <v>10</v>
      </c>
    </row>
    <row r="1625" spans="1:8" x14ac:dyDescent="0.25">
      <c r="A1625" s="148">
        <v>44757</v>
      </c>
      <c r="B1625" s="149" t="s">
        <v>22949</v>
      </c>
      <c r="C1625" s="153" t="s">
        <v>1265</v>
      </c>
      <c r="D1625" s="154">
        <v>959</v>
      </c>
      <c r="E1625" s="155">
        <v>44757</v>
      </c>
      <c r="F1625" s="154">
        <v>959</v>
      </c>
      <c r="G1625" s="156">
        <f>Tabla18[[#This Row],[Importe]]-Tabla18[[#This Row],[Pagado]]</f>
        <v>0</v>
      </c>
      <c r="H1625" s="153" t="s">
        <v>10</v>
      </c>
    </row>
    <row r="1626" spans="1:8" x14ac:dyDescent="0.25">
      <c r="A1626" s="73">
        <v>44757</v>
      </c>
      <c r="B1626" s="74" t="s">
        <v>22950</v>
      </c>
      <c r="C1626" s="75" t="s">
        <v>206</v>
      </c>
      <c r="D1626" s="81">
        <v>34644.800000000003</v>
      </c>
      <c r="E1626" s="151">
        <v>44763</v>
      </c>
      <c r="F1626" s="81">
        <v>34644.800000000003</v>
      </c>
      <c r="G1626" s="156">
        <f>Tabla18[[#This Row],[Importe]]-Tabla18[[#This Row],[Pagado]]</f>
        <v>0</v>
      </c>
      <c r="H1626" s="75" t="s">
        <v>10</v>
      </c>
    </row>
    <row r="1627" spans="1:8" x14ac:dyDescent="0.25">
      <c r="A1627" s="148">
        <v>44757</v>
      </c>
      <c r="B1627" s="149" t="s">
        <v>22951</v>
      </c>
      <c r="C1627" s="153" t="s">
        <v>10157</v>
      </c>
      <c r="D1627" s="154">
        <v>38122.04</v>
      </c>
      <c r="E1627" s="155">
        <v>44765</v>
      </c>
      <c r="F1627" s="154">
        <v>38122.04</v>
      </c>
      <c r="G1627" s="156">
        <f>Tabla18[[#This Row],[Importe]]-Tabla18[[#This Row],[Pagado]]</f>
        <v>0</v>
      </c>
      <c r="H1627" s="153" t="s">
        <v>10</v>
      </c>
    </row>
    <row r="1628" spans="1:8" x14ac:dyDescent="0.25">
      <c r="A1628" s="73">
        <v>44757</v>
      </c>
      <c r="B1628" s="74" t="s">
        <v>22952</v>
      </c>
      <c r="C1628" s="75" t="s">
        <v>154</v>
      </c>
      <c r="D1628" s="81">
        <v>56876.800000000003</v>
      </c>
      <c r="E1628" s="151">
        <v>44762</v>
      </c>
      <c r="F1628" s="81">
        <v>56876.800000000003</v>
      </c>
      <c r="G1628" s="156">
        <f>Tabla18[[#This Row],[Importe]]-Tabla18[[#This Row],[Pagado]]</f>
        <v>0</v>
      </c>
      <c r="H1628" s="75" t="s">
        <v>10</v>
      </c>
    </row>
    <row r="1629" spans="1:8" x14ac:dyDescent="0.25">
      <c r="A1629" s="148">
        <v>44757</v>
      </c>
      <c r="B1629" s="149" t="s">
        <v>22953</v>
      </c>
      <c r="C1629" s="153" t="s">
        <v>218</v>
      </c>
      <c r="D1629" s="154">
        <v>25272.400000000001</v>
      </c>
      <c r="E1629" s="155">
        <v>44763</v>
      </c>
      <c r="F1629" s="154">
        <v>25272.400000000001</v>
      </c>
      <c r="G1629" s="156">
        <f>Tabla18[[#This Row],[Importe]]-Tabla18[[#This Row],[Pagado]]</f>
        <v>0</v>
      </c>
      <c r="H1629" s="153" t="s">
        <v>10</v>
      </c>
    </row>
    <row r="1630" spans="1:8" x14ac:dyDescent="0.25">
      <c r="A1630" s="73">
        <v>44757</v>
      </c>
      <c r="B1630" s="74" t="s">
        <v>22954</v>
      </c>
      <c r="C1630" s="75" t="s">
        <v>67</v>
      </c>
      <c r="D1630" s="81">
        <v>8666.5</v>
      </c>
      <c r="E1630" s="151">
        <v>44757</v>
      </c>
      <c r="F1630" s="81">
        <v>8666.5</v>
      </c>
      <c r="G1630" s="156">
        <f>Tabla18[[#This Row],[Importe]]-Tabla18[[#This Row],[Pagado]]</f>
        <v>0</v>
      </c>
      <c r="H1630" s="75" t="s">
        <v>10</v>
      </c>
    </row>
    <row r="1631" spans="1:8" x14ac:dyDescent="0.25">
      <c r="A1631" s="148">
        <v>44757</v>
      </c>
      <c r="B1631" s="149" t="s">
        <v>22955</v>
      </c>
      <c r="C1631" s="153" t="s">
        <v>31</v>
      </c>
      <c r="D1631" s="154">
        <v>669.9</v>
      </c>
      <c r="E1631" s="155">
        <v>44757</v>
      </c>
      <c r="F1631" s="154">
        <v>669.9</v>
      </c>
      <c r="G1631" s="156">
        <f>Tabla18[[#This Row],[Importe]]-Tabla18[[#This Row],[Pagado]]</f>
        <v>0</v>
      </c>
      <c r="H1631" s="153" t="s">
        <v>10</v>
      </c>
    </row>
    <row r="1632" spans="1:8" x14ac:dyDescent="0.25">
      <c r="A1632" s="73">
        <v>44757</v>
      </c>
      <c r="B1632" s="74" t="s">
        <v>22956</v>
      </c>
      <c r="C1632" s="75" t="s">
        <v>11383</v>
      </c>
      <c r="D1632" s="81">
        <v>880</v>
      </c>
      <c r="E1632" s="151">
        <v>44757</v>
      </c>
      <c r="F1632" s="81">
        <v>880</v>
      </c>
      <c r="G1632" s="156">
        <f>Tabla18[[#This Row],[Importe]]-Tabla18[[#This Row],[Pagado]]</f>
        <v>0</v>
      </c>
      <c r="H1632" s="75" t="s">
        <v>10</v>
      </c>
    </row>
    <row r="1633" spans="1:8" x14ac:dyDescent="0.25">
      <c r="A1633" s="148">
        <v>44757</v>
      </c>
      <c r="B1633" s="149" t="s">
        <v>22957</v>
      </c>
      <c r="C1633" s="153" t="s">
        <v>452</v>
      </c>
      <c r="D1633" s="154">
        <v>2304</v>
      </c>
      <c r="E1633" s="155">
        <v>44757</v>
      </c>
      <c r="F1633" s="154">
        <v>2304</v>
      </c>
      <c r="G1633" s="156">
        <f>Tabla18[[#This Row],[Importe]]-Tabla18[[#This Row],[Pagado]]</f>
        <v>0</v>
      </c>
      <c r="H1633" s="153" t="s">
        <v>10</v>
      </c>
    </row>
    <row r="1634" spans="1:8" x14ac:dyDescent="0.25">
      <c r="A1634" s="73">
        <v>44757</v>
      </c>
      <c r="B1634" s="74" t="s">
        <v>22958</v>
      </c>
      <c r="C1634" s="75" t="s">
        <v>698</v>
      </c>
      <c r="D1634" s="81">
        <v>6150.2</v>
      </c>
      <c r="E1634" s="151">
        <v>44757</v>
      </c>
      <c r="F1634" s="81">
        <v>6150.2</v>
      </c>
      <c r="G1634" s="156">
        <f>Tabla18[[#This Row],[Importe]]-Tabla18[[#This Row],[Pagado]]</f>
        <v>0</v>
      </c>
      <c r="H1634" s="75" t="s">
        <v>10</v>
      </c>
    </row>
    <row r="1635" spans="1:8" x14ac:dyDescent="0.25">
      <c r="A1635" s="148">
        <v>44757</v>
      </c>
      <c r="B1635" s="149" t="s">
        <v>22959</v>
      </c>
      <c r="C1635" s="153" t="s">
        <v>142</v>
      </c>
      <c r="D1635" s="154">
        <v>83843.7</v>
      </c>
      <c r="E1635" s="155">
        <v>44799</v>
      </c>
      <c r="F1635" s="154">
        <v>83843.7</v>
      </c>
      <c r="G1635" s="156">
        <f>Tabla18[[#This Row],[Importe]]-Tabla18[[#This Row],[Pagado]]</f>
        <v>0</v>
      </c>
      <c r="H1635" s="153" t="s">
        <v>10</v>
      </c>
    </row>
    <row r="1636" spans="1:8" x14ac:dyDescent="0.25">
      <c r="A1636" s="73">
        <v>44757</v>
      </c>
      <c r="B1636" s="74" t="s">
        <v>22960</v>
      </c>
      <c r="C1636" s="75" t="s">
        <v>9827</v>
      </c>
      <c r="D1636" s="81">
        <v>3717.3</v>
      </c>
      <c r="E1636" s="151">
        <v>44757</v>
      </c>
      <c r="F1636" s="81">
        <v>3717.3</v>
      </c>
      <c r="G1636" s="156">
        <f>Tabla18[[#This Row],[Importe]]-Tabla18[[#This Row],[Pagado]]</f>
        <v>0</v>
      </c>
      <c r="H1636" s="75" t="s">
        <v>10</v>
      </c>
    </row>
    <row r="1637" spans="1:8" x14ac:dyDescent="0.25">
      <c r="A1637" s="148">
        <v>44757</v>
      </c>
      <c r="B1637" s="149" t="s">
        <v>22961</v>
      </c>
      <c r="C1637" s="153" t="s">
        <v>91</v>
      </c>
      <c r="D1637" s="154">
        <v>6930</v>
      </c>
      <c r="E1637" s="155">
        <v>44758</v>
      </c>
      <c r="F1637" s="154">
        <v>6930</v>
      </c>
      <c r="G1637" s="156">
        <f>Tabla18[[#This Row],[Importe]]-Tabla18[[#This Row],[Pagado]]</f>
        <v>0</v>
      </c>
      <c r="H1637" s="153" t="s">
        <v>10</v>
      </c>
    </row>
    <row r="1638" spans="1:8" x14ac:dyDescent="0.25">
      <c r="A1638" s="73">
        <v>44757</v>
      </c>
      <c r="B1638" s="74" t="s">
        <v>22962</v>
      </c>
      <c r="C1638" s="75" t="s">
        <v>273</v>
      </c>
      <c r="D1638" s="81">
        <v>2268</v>
      </c>
      <c r="E1638" s="151">
        <v>44757</v>
      </c>
      <c r="F1638" s="81">
        <v>2268</v>
      </c>
      <c r="G1638" s="156">
        <f>Tabla18[[#This Row],[Importe]]-Tabla18[[#This Row],[Pagado]]</f>
        <v>0</v>
      </c>
      <c r="H1638" s="75" t="s">
        <v>10</v>
      </c>
    </row>
    <row r="1639" spans="1:8" x14ac:dyDescent="0.25">
      <c r="A1639" s="148">
        <v>44757</v>
      </c>
      <c r="B1639" s="149" t="s">
        <v>22963</v>
      </c>
      <c r="C1639" s="153" t="s">
        <v>175</v>
      </c>
      <c r="D1639" s="154">
        <v>38102.6</v>
      </c>
      <c r="E1639" s="155">
        <v>44757</v>
      </c>
      <c r="F1639" s="154">
        <v>38102.6</v>
      </c>
      <c r="G1639" s="156">
        <f>Tabla18[[#This Row],[Importe]]-Tabla18[[#This Row],[Pagado]]</f>
        <v>0</v>
      </c>
      <c r="H1639" s="153" t="s">
        <v>10</v>
      </c>
    </row>
    <row r="1640" spans="1:8" x14ac:dyDescent="0.25">
      <c r="A1640" s="73">
        <v>44757</v>
      </c>
      <c r="B1640" s="74" t="s">
        <v>22964</v>
      </c>
      <c r="C1640" s="75" t="s">
        <v>167</v>
      </c>
      <c r="D1640" s="81">
        <v>6786</v>
      </c>
      <c r="E1640" s="151">
        <v>44757</v>
      </c>
      <c r="F1640" s="81">
        <v>6786</v>
      </c>
      <c r="G1640" s="156">
        <f>Tabla18[[#This Row],[Importe]]-Tabla18[[#This Row],[Pagado]]</f>
        <v>0</v>
      </c>
      <c r="H1640" s="75" t="s">
        <v>10</v>
      </c>
    </row>
    <row r="1641" spans="1:8" x14ac:dyDescent="0.25">
      <c r="A1641" s="148">
        <v>44757</v>
      </c>
      <c r="B1641" s="149" t="s">
        <v>22965</v>
      </c>
      <c r="C1641" s="153" t="s">
        <v>31</v>
      </c>
      <c r="D1641" s="154">
        <v>1966.8</v>
      </c>
      <c r="E1641" s="155">
        <v>44757</v>
      </c>
      <c r="F1641" s="154">
        <v>1966.8</v>
      </c>
      <c r="G1641" s="156">
        <f>Tabla18[[#This Row],[Importe]]-Tabla18[[#This Row],[Pagado]]</f>
        <v>0</v>
      </c>
      <c r="H1641" s="153" t="s">
        <v>10</v>
      </c>
    </row>
    <row r="1642" spans="1:8" x14ac:dyDescent="0.25">
      <c r="A1642" s="73">
        <v>44757</v>
      </c>
      <c r="B1642" s="74" t="s">
        <v>22966</v>
      </c>
      <c r="C1642" s="75" t="s">
        <v>2139</v>
      </c>
      <c r="D1642" s="81">
        <v>603.20000000000005</v>
      </c>
      <c r="E1642" s="151">
        <v>44757</v>
      </c>
      <c r="F1642" s="81">
        <v>603.20000000000005</v>
      </c>
      <c r="G1642" s="156">
        <f>Tabla18[[#This Row],[Importe]]-Tabla18[[#This Row],[Pagado]]</f>
        <v>0</v>
      </c>
      <c r="H1642" s="75" t="s">
        <v>10</v>
      </c>
    </row>
    <row r="1643" spans="1:8" x14ac:dyDescent="0.25">
      <c r="A1643" s="148">
        <v>44757</v>
      </c>
      <c r="B1643" s="149" t="s">
        <v>22967</v>
      </c>
      <c r="C1643" s="153" t="s">
        <v>10678</v>
      </c>
      <c r="D1643" s="154">
        <v>5266.2</v>
      </c>
      <c r="E1643" s="155">
        <v>44757</v>
      </c>
      <c r="F1643" s="154">
        <v>5266.2</v>
      </c>
      <c r="G1643" s="156">
        <f>Tabla18[[#This Row],[Importe]]-Tabla18[[#This Row],[Pagado]]</f>
        <v>0</v>
      </c>
      <c r="H1643" s="153" t="s">
        <v>10</v>
      </c>
    </row>
    <row r="1644" spans="1:8" x14ac:dyDescent="0.25">
      <c r="A1644" s="73">
        <v>44757</v>
      </c>
      <c r="B1644" s="74" t="s">
        <v>22968</v>
      </c>
      <c r="C1644" s="75" t="s">
        <v>31</v>
      </c>
      <c r="D1644" s="81">
        <v>516</v>
      </c>
      <c r="E1644" s="151">
        <v>44757</v>
      </c>
      <c r="F1644" s="81">
        <v>516</v>
      </c>
      <c r="G1644" s="156">
        <f>Tabla18[[#This Row],[Importe]]-Tabla18[[#This Row],[Pagado]]</f>
        <v>0</v>
      </c>
      <c r="H1644" s="75" t="s">
        <v>10</v>
      </c>
    </row>
    <row r="1645" spans="1:8" x14ac:dyDescent="0.25">
      <c r="A1645" s="148">
        <v>44757</v>
      </c>
      <c r="B1645" s="149" t="s">
        <v>22969</v>
      </c>
      <c r="C1645" s="153" t="s">
        <v>31</v>
      </c>
      <c r="D1645" s="154">
        <v>313.5</v>
      </c>
      <c r="E1645" s="155">
        <v>44757</v>
      </c>
      <c r="F1645" s="154">
        <v>313.5</v>
      </c>
      <c r="G1645" s="156">
        <f>Tabla18[[#This Row],[Importe]]-Tabla18[[#This Row],[Pagado]]</f>
        <v>0</v>
      </c>
      <c r="H1645" s="153" t="s">
        <v>10</v>
      </c>
    </row>
    <row r="1646" spans="1:8" x14ac:dyDescent="0.25">
      <c r="A1646" s="73">
        <v>44757</v>
      </c>
      <c r="B1646" s="74" t="s">
        <v>22970</v>
      </c>
      <c r="C1646" s="75" t="s">
        <v>31</v>
      </c>
      <c r="D1646" s="81">
        <v>105</v>
      </c>
      <c r="E1646" s="151">
        <v>44757</v>
      </c>
      <c r="F1646" s="81">
        <v>105</v>
      </c>
      <c r="G1646" s="156">
        <f>Tabla18[[#This Row],[Importe]]-Tabla18[[#This Row],[Pagado]]</f>
        <v>0</v>
      </c>
      <c r="H1646" s="75" t="s">
        <v>10</v>
      </c>
    </row>
    <row r="1647" spans="1:8" x14ac:dyDescent="0.25">
      <c r="A1647" s="148">
        <v>44757</v>
      </c>
      <c r="B1647" s="149" t="s">
        <v>22971</v>
      </c>
      <c r="C1647" s="153" t="s">
        <v>31</v>
      </c>
      <c r="D1647" s="154">
        <v>962.5</v>
      </c>
      <c r="E1647" s="155">
        <v>44757</v>
      </c>
      <c r="F1647" s="154">
        <v>962.5</v>
      </c>
      <c r="G1647" s="156">
        <f>Tabla18[[#This Row],[Importe]]-Tabla18[[#This Row],[Pagado]]</f>
        <v>0</v>
      </c>
      <c r="H1647" s="153" t="s">
        <v>10</v>
      </c>
    </row>
    <row r="1648" spans="1:8" x14ac:dyDescent="0.25">
      <c r="A1648" s="73">
        <v>44757</v>
      </c>
      <c r="B1648" s="74" t="s">
        <v>22972</v>
      </c>
      <c r="C1648" s="75" t="s">
        <v>373</v>
      </c>
      <c r="D1648" s="81">
        <v>2090</v>
      </c>
      <c r="E1648" s="151">
        <v>44757</v>
      </c>
      <c r="F1648" s="81">
        <v>2090</v>
      </c>
      <c r="G1648" s="156">
        <f>Tabla18[[#This Row],[Importe]]-Tabla18[[#This Row],[Pagado]]</f>
        <v>0</v>
      </c>
      <c r="H1648" s="75" t="s">
        <v>10</v>
      </c>
    </row>
    <row r="1649" spans="1:8" x14ac:dyDescent="0.25">
      <c r="A1649" s="148">
        <v>44757</v>
      </c>
      <c r="B1649" s="149" t="s">
        <v>22973</v>
      </c>
      <c r="C1649" s="153" t="s">
        <v>296</v>
      </c>
      <c r="D1649" s="154">
        <v>2417.8000000000002</v>
      </c>
      <c r="E1649" s="155">
        <v>44757</v>
      </c>
      <c r="F1649" s="154">
        <v>2417.8000000000002</v>
      </c>
      <c r="G1649" s="156">
        <f>Tabla18[[#This Row],[Importe]]-Tabla18[[#This Row],[Pagado]]</f>
        <v>0</v>
      </c>
      <c r="H1649" s="153" t="s">
        <v>10</v>
      </c>
    </row>
    <row r="1650" spans="1:8" x14ac:dyDescent="0.25">
      <c r="A1650" s="73">
        <v>44757</v>
      </c>
      <c r="B1650" s="74" t="s">
        <v>22974</v>
      </c>
      <c r="C1650" s="75" t="s">
        <v>4129</v>
      </c>
      <c r="D1650" s="81">
        <v>29144</v>
      </c>
      <c r="E1650" s="151">
        <v>44757</v>
      </c>
      <c r="F1650" s="81">
        <v>29144</v>
      </c>
      <c r="G1650" s="156">
        <f>Tabla18[[#This Row],[Importe]]-Tabla18[[#This Row],[Pagado]]</f>
        <v>0</v>
      </c>
      <c r="H1650" s="75" t="s">
        <v>10</v>
      </c>
    </row>
    <row r="1651" spans="1:8" x14ac:dyDescent="0.25">
      <c r="A1651" s="148">
        <v>44757</v>
      </c>
      <c r="B1651" s="149" t="s">
        <v>22975</v>
      </c>
      <c r="C1651" s="153" t="s">
        <v>142</v>
      </c>
      <c r="D1651" s="154">
        <v>11248</v>
      </c>
      <c r="E1651" s="155">
        <v>44799</v>
      </c>
      <c r="F1651" s="154">
        <v>11248</v>
      </c>
      <c r="G1651" s="156">
        <f>Tabla18[[#This Row],[Importe]]-Tabla18[[#This Row],[Pagado]]</f>
        <v>0</v>
      </c>
      <c r="H1651" s="153" t="s">
        <v>10</v>
      </c>
    </row>
    <row r="1652" spans="1:8" x14ac:dyDescent="0.25">
      <c r="A1652" s="73">
        <v>44757</v>
      </c>
      <c r="B1652" s="74" t="s">
        <v>22976</v>
      </c>
      <c r="C1652" s="75" t="s">
        <v>280</v>
      </c>
      <c r="D1652" s="81">
        <v>1948.1</v>
      </c>
      <c r="E1652" s="151">
        <v>44758</v>
      </c>
      <c r="F1652" s="81">
        <v>1948.1</v>
      </c>
      <c r="G1652" s="156">
        <f>Tabla18[[#This Row],[Importe]]-Tabla18[[#This Row],[Pagado]]</f>
        <v>0</v>
      </c>
      <c r="H1652" s="75" t="s">
        <v>10</v>
      </c>
    </row>
    <row r="1653" spans="1:8" x14ac:dyDescent="0.25">
      <c r="A1653" s="148">
        <v>44757</v>
      </c>
      <c r="B1653" s="149" t="s">
        <v>22977</v>
      </c>
      <c r="C1653" s="153" t="s">
        <v>5345</v>
      </c>
      <c r="D1653" s="154">
        <v>1855.7</v>
      </c>
      <c r="E1653" s="155">
        <v>44758</v>
      </c>
      <c r="F1653" s="154">
        <v>1855.7</v>
      </c>
      <c r="G1653" s="156">
        <f>Tabla18[[#This Row],[Importe]]-Tabla18[[#This Row],[Pagado]]</f>
        <v>0</v>
      </c>
      <c r="H1653" s="153" t="s">
        <v>10</v>
      </c>
    </row>
    <row r="1654" spans="1:8" x14ac:dyDescent="0.25">
      <c r="A1654" s="73">
        <v>44757</v>
      </c>
      <c r="B1654" s="74" t="s">
        <v>22978</v>
      </c>
      <c r="C1654" s="75" t="s">
        <v>284</v>
      </c>
      <c r="D1654" s="81">
        <v>11403.7</v>
      </c>
      <c r="E1654" s="151">
        <v>44758</v>
      </c>
      <c r="F1654" s="81">
        <v>11403.7</v>
      </c>
      <c r="G1654" s="156">
        <f>Tabla18[[#This Row],[Importe]]-Tabla18[[#This Row],[Pagado]]</f>
        <v>0</v>
      </c>
      <c r="H1654" s="75" t="s">
        <v>10</v>
      </c>
    </row>
    <row r="1655" spans="1:8" x14ac:dyDescent="0.25">
      <c r="A1655" s="148">
        <v>44757</v>
      </c>
      <c r="B1655" s="149" t="s">
        <v>22979</v>
      </c>
      <c r="C1655" s="153" t="s">
        <v>282</v>
      </c>
      <c r="D1655" s="154">
        <v>5781.5</v>
      </c>
      <c r="E1655" s="155">
        <v>44758</v>
      </c>
      <c r="F1655" s="154">
        <v>5781.5</v>
      </c>
      <c r="G1655" s="156">
        <f>Tabla18[[#This Row],[Importe]]-Tabla18[[#This Row],[Pagado]]</f>
        <v>0</v>
      </c>
      <c r="H1655" s="153" t="s">
        <v>10</v>
      </c>
    </row>
    <row r="1656" spans="1:8" x14ac:dyDescent="0.25">
      <c r="A1656" s="73">
        <v>44757</v>
      </c>
      <c r="B1656" s="74" t="s">
        <v>22980</v>
      </c>
      <c r="C1656" s="75" t="s">
        <v>10819</v>
      </c>
      <c r="D1656" s="81">
        <v>822.3</v>
      </c>
      <c r="E1656" s="151">
        <v>44758</v>
      </c>
      <c r="F1656" s="81">
        <v>822.3</v>
      </c>
      <c r="G1656" s="156">
        <f>Tabla18[[#This Row],[Importe]]-Tabla18[[#This Row],[Pagado]]</f>
        <v>0</v>
      </c>
      <c r="H1656" s="75" t="s">
        <v>10</v>
      </c>
    </row>
    <row r="1657" spans="1:8" x14ac:dyDescent="0.25">
      <c r="A1657" s="148">
        <v>44757</v>
      </c>
      <c r="B1657" s="149" t="s">
        <v>22981</v>
      </c>
      <c r="C1657" s="153" t="s">
        <v>53</v>
      </c>
      <c r="D1657" s="154">
        <v>1185</v>
      </c>
      <c r="E1657" s="155">
        <v>44757</v>
      </c>
      <c r="F1657" s="154">
        <v>1185</v>
      </c>
      <c r="G1657" s="156">
        <f>Tabla18[[#This Row],[Importe]]-Tabla18[[#This Row],[Pagado]]</f>
        <v>0</v>
      </c>
      <c r="H1657" s="153" t="s">
        <v>10</v>
      </c>
    </row>
    <row r="1658" spans="1:8" x14ac:dyDescent="0.25">
      <c r="A1658" s="73">
        <v>44757</v>
      </c>
      <c r="B1658" s="74" t="s">
        <v>22982</v>
      </c>
      <c r="C1658" s="75" t="s">
        <v>442</v>
      </c>
      <c r="D1658" s="81">
        <v>22754.400000000001</v>
      </c>
      <c r="E1658" s="151">
        <v>44757</v>
      </c>
      <c r="F1658" s="81">
        <v>22754.400000000001</v>
      </c>
      <c r="G1658" s="156">
        <f>Tabla18[[#This Row],[Importe]]-Tabla18[[#This Row],[Pagado]]</f>
        <v>0</v>
      </c>
      <c r="H1658" s="75" t="s">
        <v>10</v>
      </c>
    </row>
    <row r="1659" spans="1:8" x14ac:dyDescent="0.25">
      <c r="A1659" s="148">
        <v>44757</v>
      </c>
      <c r="B1659" s="149" t="s">
        <v>22983</v>
      </c>
      <c r="C1659" s="153" t="s">
        <v>583</v>
      </c>
      <c r="D1659" s="154">
        <v>1848</v>
      </c>
      <c r="E1659" s="155">
        <v>44757</v>
      </c>
      <c r="F1659" s="154">
        <v>1848</v>
      </c>
      <c r="G1659" s="156">
        <f>Tabla18[[#This Row],[Importe]]-Tabla18[[#This Row],[Pagado]]</f>
        <v>0</v>
      </c>
      <c r="H1659" s="153" t="s">
        <v>10</v>
      </c>
    </row>
    <row r="1660" spans="1:8" x14ac:dyDescent="0.25">
      <c r="A1660" s="73">
        <v>44757</v>
      </c>
      <c r="B1660" s="74" t="s">
        <v>22984</v>
      </c>
      <c r="C1660" s="75" t="s">
        <v>857</v>
      </c>
      <c r="D1660" s="81">
        <v>1422</v>
      </c>
      <c r="E1660" s="151">
        <v>44757</v>
      </c>
      <c r="F1660" s="81">
        <v>1422</v>
      </c>
      <c r="G1660" s="156">
        <f>Tabla18[[#This Row],[Importe]]-Tabla18[[#This Row],[Pagado]]</f>
        <v>0</v>
      </c>
      <c r="H1660" s="75" t="s">
        <v>10</v>
      </c>
    </row>
    <row r="1661" spans="1:8" x14ac:dyDescent="0.25">
      <c r="A1661" s="148">
        <v>44757</v>
      </c>
      <c r="B1661" s="149" t="s">
        <v>22985</v>
      </c>
      <c r="C1661" s="153" t="s">
        <v>31</v>
      </c>
      <c r="D1661" s="154">
        <v>5453.5</v>
      </c>
      <c r="E1661" s="155">
        <v>44757</v>
      </c>
      <c r="F1661" s="154">
        <v>5453.5</v>
      </c>
      <c r="G1661" s="156">
        <f>Tabla18[[#This Row],[Importe]]-Tabla18[[#This Row],[Pagado]]</f>
        <v>0</v>
      </c>
      <c r="H1661" s="153" t="s">
        <v>10</v>
      </c>
    </row>
    <row r="1662" spans="1:8" x14ac:dyDescent="0.25">
      <c r="A1662" s="73">
        <v>44757</v>
      </c>
      <c r="B1662" s="74" t="s">
        <v>22986</v>
      </c>
      <c r="C1662" s="75" t="s">
        <v>69</v>
      </c>
      <c r="D1662" s="81">
        <v>7761.6</v>
      </c>
      <c r="E1662" s="151">
        <v>44757</v>
      </c>
      <c r="F1662" s="81">
        <v>7761.6</v>
      </c>
      <c r="G1662" s="156">
        <f>Tabla18[[#This Row],[Importe]]-Tabla18[[#This Row],[Pagado]]</f>
        <v>0</v>
      </c>
      <c r="H1662" s="75" t="s">
        <v>10</v>
      </c>
    </row>
    <row r="1663" spans="1:8" x14ac:dyDescent="0.25">
      <c r="A1663" s="148">
        <v>44757</v>
      </c>
      <c r="B1663" s="149" t="s">
        <v>22987</v>
      </c>
      <c r="C1663" s="153" t="s">
        <v>31</v>
      </c>
      <c r="D1663" s="154">
        <v>7525.2</v>
      </c>
      <c r="E1663" s="155">
        <v>44757</v>
      </c>
      <c r="F1663" s="154">
        <v>7525.2</v>
      </c>
      <c r="G1663" s="156">
        <f>Tabla18[[#This Row],[Importe]]-Tabla18[[#This Row],[Pagado]]</f>
        <v>0</v>
      </c>
      <c r="H1663" s="153" t="s">
        <v>10</v>
      </c>
    </row>
    <row r="1664" spans="1:8" x14ac:dyDescent="0.25">
      <c r="A1664" s="73">
        <v>44758</v>
      </c>
      <c r="B1664" s="74" t="s">
        <v>22988</v>
      </c>
      <c r="C1664" s="75" t="s">
        <v>887</v>
      </c>
      <c r="D1664" s="81">
        <v>29466.400000000001</v>
      </c>
      <c r="E1664" s="151">
        <v>44758</v>
      </c>
      <c r="F1664" s="81">
        <v>29466.400000000001</v>
      </c>
      <c r="G1664" s="156">
        <f>Tabla18[[#This Row],[Importe]]-Tabla18[[#This Row],[Pagado]]</f>
        <v>0</v>
      </c>
      <c r="H1664" s="75" t="s">
        <v>10</v>
      </c>
    </row>
    <row r="1665" spans="1:8" ht="31.5" x14ac:dyDescent="0.25">
      <c r="A1665" s="148">
        <v>44758</v>
      </c>
      <c r="B1665" s="149" t="s">
        <v>22989</v>
      </c>
      <c r="C1665" s="153" t="s">
        <v>475</v>
      </c>
      <c r="D1665" s="154">
        <v>59910.400000000001</v>
      </c>
      <c r="E1665" s="150" t="s">
        <v>22990</v>
      </c>
      <c r="F1665" s="154">
        <f>54500+5410.4</f>
        <v>59910.400000000001</v>
      </c>
      <c r="G1665" s="156">
        <f>Tabla18[[#This Row],[Importe]]-Tabla18[[#This Row],[Pagado]]</f>
        <v>0</v>
      </c>
      <c r="H1665" s="153" t="s">
        <v>10</v>
      </c>
    </row>
    <row r="1666" spans="1:8" x14ac:dyDescent="0.25">
      <c r="A1666" s="73">
        <v>44758</v>
      </c>
      <c r="B1666" s="74" t="s">
        <v>22991</v>
      </c>
      <c r="C1666" s="75" t="s">
        <v>475</v>
      </c>
      <c r="D1666" s="81">
        <v>1704</v>
      </c>
      <c r="E1666" s="151">
        <v>44759</v>
      </c>
      <c r="F1666" s="81">
        <v>1704</v>
      </c>
      <c r="G1666" s="156">
        <f>Tabla18[[#This Row],[Importe]]-Tabla18[[#This Row],[Pagado]]</f>
        <v>0</v>
      </c>
      <c r="H1666" s="75" t="s">
        <v>10</v>
      </c>
    </row>
    <row r="1667" spans="1:8" x14ac:dyDescent="0.25">
      <c r="A1667" s="148">
        <v>44758</v>
      </c>
      <c r="B1667" s="149" t="s">
        <v>22992</v>
      </c>
      <c r="C1667" s="153" t="s">
        <v>85</v>
      </c>
      <c r="D1667" s="154">
        <v>2675.1</v>
      </c>
      <c r="E1667" s="155">
        <v>44758</v>
      </c>
      <c r="F1667" s="154">
        <v>2675.1</v>
      </c>
      <c r="G1667" s="156">
        <f>Tabla18[[#This Row],[Importe]]-Tabla18[[#This Row],[Pagado]]</f>
        <v>0</v>
      </c>
      <c r="H1667" s="153" t="s">
        <v>10</v>
      </c>
    </row>
    <row r="1668" spans="1:8" x14ac:dyDescent="0.25">
      <c r="A1668" s="73">
        <v>44758</v>
      </c>
      <c r="B1668" s="74" t="s">
        <v>22993</v>
      </c>
      <c r="C1668" s="75" t="s">
        <v>473</v>
      </c>
      <c r="D1668" s="81">
        <v>3060</v>
      </c>
      <c r="E1668" s="151">
        <v>44758</v>
      </c>
      <c r="F1668" s="81">
        <v>3060</v>
      </c>
      <c r="G1668" s="156">
        <f>Tabla18[[#This Row],[Importe]]-Tabla18[[#This Row],[Pagado]]</f>
        <v>0</v>
      </c>
      <c r="H1668" s="75" t="s">
        <v>10</v>
      </c>
    </row>
    <row r="1669" spans="1:8" x14ac:dyDescent="0.25">
      <c r="A1669" s="148">
        <v>44758</v>
      </c>
      <c r="B1669" s="149" t="s">
        <v>22994</v>
      </c>
      <c r="C1669" s="153" t="s">
        <v>31</v>
      </c>
      <c r="D1669" s="154">
        <v>25856.6</v>
      </c>
      <c r="E1669" s="155">
        <v>44758</v>
      </c>
      <c r="F1669" s="154">
        <v>25856.6</v>
      </c>
      <c r="G1669" s="156">
        <f>Tabla18[[#This Row],[Importe]]-Tabla18[[#This Row],[Pagado]]</f>
        <v>0</v>
      </c>
      <c r="H1669" s="153" t="s">
        <v>10</v>
      </c>
    </row>
    <row r="1670" spans="1:8" x14ac:dyDescent="0.25">
      <c r="A1670" s="73">
        <v>44758</v>
      </c>
      <c r="B1670" s="74" t="s">
        <v>22995</v>
      </c>
      <c r="C1670" s="75" t="s">
        <v>31</v>
      </c>
      <c r="D1670" s="81">
        <v>6347.5</v>
      </c>
      <c r="E1670" s="151">
        <v>44758</v>
      </c>
      <c r="F1670" s="81">
        <v>6347.5</v>
      </c>
      <c r="G1670" s="156">
        <f>Tabla18[[#This Row],[Importe]]-Tabla18[[#This Row],[Pagado]]</f>
        <v>0</v>
      </c>
      <c r="H1670" s="75" t="s">
        <v>10</v>
      </c>
    </row>
    <row r="1671" spans="1:8" x14ac:dyDescent="0.25">
      <c r="A1671" s="148">
        <v>44758</v>
      </c>
      <c r="B1671" s="149" t="s">
        <v>22996</v>
      </c>
      <c r="C1671" s="153" t="s">
        <v>314</v>
      </c>
      <c r="D1671" s="154">
        <v>5559.4</v>
      </c>
      <c r="E1671" s="155">
        <v>44758</v>
      </c>
      <c r="F1671" s="154">
        <v>5559.4</v>
      </c>
      <c r="G1671" s="156">
        <f>Tabla18[[#This Row],[Importe]]-Tabla18[[#This Row],[Pagado]]</f>
        <v>0</v>
      </c>
      <c r="H1671" s="153" t="s">
        <v>10</v>
      </c>
    </row>
    <row r="1672" spans="1:8" x14ac:dyDescent="0.25">
      <c r="A1672" s="73">
        <v>44758</v>
      </c>
      <c r="B1672" s="74" t="s">
        <v>22997</v>
      </c>
      <c r="C1672" s="75" t="s">
        <v>481</v>
      </c>
      <c r="D1672" s="81">
        <v>1146</v>
      </c>
      <c r="E1672" s="151">
        <v>44758</v>
      </c>
      <c r="F1672" s="81">
        <v>1146</v>
      </c>
      <c r="G1672" s="156">
        <f>Tabla18[[#This Row],[Importe]]-Tabla18[[#This Row],[Pagado]]</f>
        <v>0</v>
      </c>
      <c r="H1672" s="75" t="s">
        <v>10</v>
      </c>
    </row>
    <row r="1673" spans="1:8" x14ac:dyDescent="0.25">
      <c r="A1673" s="148">
        <v>44758</v>
      </c>
      <c r="B1673" s="149" t="s">
        <v>22998</v>
      </c>
      <c r="C1673" s="153" t="s">
        <v>105</v>
      </c>
      <c r="D1673" s="154">
        <v>19588.400000000001</v>
      </c>
      <c r="E1673" s="155">
        <v>44761</v>
      </c>
      <c r="F1673" s="154">
        <v>19588.400000000001</v>
      </c>
      <c r="G1673" s="156">
        <f>Tabla18[[#This Row],[Importe]]-Tabla18[[#This Row],[Pagado]]</f>
        <v>0</v>
      </c>
      <c r="H1673" s="153" t="s">
        <v>10</v>
      </c>
    </row>
    <row r="1674" spans="1:8" x14ac:dyDescent="0.25">
      <c r="A1674" s="73">
        <v>44758</v>
      </c>
      <c r="B1674" s="74" t="s">
        <v>22999</v>
      </c>
      <c r="C1674" s="75" t="s">
        <v>179</v>
      </c>
      <c r="D1674" s="81">
        <v>2156</v>
      </c>
      <c r="E1674" s="151">
        <v>44758</v>
      </c>
      <c r="F1674" s="81">
        <v>2156</v>
      </c>
      <c r="G1674" s="156">
        <f>Tabla18[[#This Row],[Importe]]-Tabla18[[#This Row],[Pagado]]</f>
        <v>0</v>
      </c>
      <c r="H1674" s="75" t="s">
        <v>10</v>
      </c>
    </row>
    <row r="1675" spans="1:8" x14ac:dyDescent="0.25">
      <c r="A1675" s="148">
        <v>44758</v>
      </c>
      <c r="B1675" s="149" t="s">
        <v>23000</v>
      </c>
      <c r="C1675" s="153" t="s">
        <v>89</v>
      </c>
      <c r="D1675" s="154">
        <v>16968.400000000001</v>
      </c>
      <c r="E1675" s="155">
        <v>44761</v>
      </c>
      <c r="F1675" s="154">
        <v>16968.400000000001</v>
      </c>
      <c r="G1675" s="156">
        <f>Tabla18[[#This Row],[Importe]]-Tabla18[[#This Row],[Pagado]]</f>
        <v>0</v>
      </c>
      <c r="H1675" s="153" t="s">
        <v>10</v>
      </c>
    </row>
    <row r="1676" spans="1:8" x14ac:dyDescent="0.25">
      <c r="A1676" s="73">
        <v>44758</v>
      </c>
      <c r="B1676" s="74" t="s">
        <v>23001</v>
      </c>
      <c r="C1676" s="75" t="s">
        <v>60</v>
      </c>
      <c r="D1676" s="81">
        <v>5323.5</v>
      </c>
      <c r="E1676" s="151">
        <v>44763</v>
      </c>
      <c r="F1676" s="81">
        <v>5323.5</v>
      </c>
      <c r="G1676" s="156">
        <f>Tabla18[[#This Row],[Importe]]-Tabla18[[#This Row],[Pagado]]</f>
        <v>0</v>
      </c>
      <c r="H1676" s="75" t="s">
        <v>10</v>
      </c>
    </row>
    <row r="1677" spans="1:8" x14ac:dyDescent="0.25">
      <c r="A1677" s="148">
        <v>44758</v>
      </c>
      <c r="B1677" s="149" t="s">
        <v>23002</v>
      </c>
      <c r="C1677" s="153" t="s">
        <v>9</v>
      </c>
      <c r="D1677" s="154">
        <v>14293.3</v>
      </c>
      <c r="E1677" s="155">
        <v>44758</v>
      </c>
      <c r="F1677" s="154">
        <v>14293.3</v>
      </c>
      <c r="G1677" s="156">
        <f>Tabla18[[#This Row],[Importe]]-Tabla18[[#This Row],[Pagado]]</f>
        <v>0</v>
      </c>
      <c r="H1677" s="153" t="s">
        <v>10</v>
      </c>
    </row>
    <row r="1678" spans="1:8" x14ac:dyDescent="0.25">
      <c r="A1678" s="73">
        <v>44758</v>
      </c>
      <c r="B1678" s="74" t="s">
        <v>23003</v>
      </c>
      <c r="C1678" s="75" t="s">
        <v>64</v>
      </c>
      <c r="D1678" s="81">
        <v>11368</v>
      </c>
      <c r="E1678" s="151">
        <v>44760</v>
      </c>
      <c r="F1678" s="81">
        <v>11368</v>
      </c>
      <c r="G1678" s="156">
        <f>Tabla18[[#This Row],[Importe]]-Tabla18[[#This Row],[Pagado]]</f>
        <v>0</v>
      </c>
      <c r="H1678" s="75" t="s">
        <v>10</v>
      </c>
    </row>
    <row r="1679" spans="1:8" x14ac:dyDescent="0.25">
      <c r="A1679" s="148">
        <v>44758</v>
      </c>
      <c r="B1679" s="149" t="s">
        <v>23004</v>
      </c>
      <c r="C1679" s="153" t="s">
        <v>8825</v>
      </c>
      <c r="D1679" s="154">
        <v>0</v>
      </c>
      <c r="E1679" s="158" t="s">
        <v>189</v>
      </c>
      <c r="F1679" s="154">
        <v>0</v>
      </c>
      <c r="G1679" s="156">
        <f>Tabla18[[#This Row],[Importe]]-Tabla18[[#This Row],[Pagado]]</f>
        <v>0</v>
      </c>
      <c r="H1679" s="159" t="s">
        <v>23005</v>
      </c>
    </row>
    <row r="1680" spans="1:8" x14ac:dyDescent="0.25">
      <c r="A1680" s="73">
        <v>44758</v>
      </c>
      <c r="B1680" s="74" t="s">
        <v>23006</v>
      </c>
      <c r="C1680" s="75" t="s">
        <v>5043</v>
      </c>
      <c r="D1680" s="81">
        <v>11492</v>
      </c>
      <c r="E1680" s="151">
        <v>44760</v>
      </c>
      <c r="F1680" s="81">
        <v>11492</v>
      </c>
      <c r="G1680" s="156">
        <f>Tabla18[[#This Row],[Importe]]-Tabla18[[#This Row],[Pagado]]</f>
        <v>0</v>
      </c>
      <c r="H1680" s="75" t="s">
        <v>10</v>
      </c>
    </row>
    <row r="1681" spans="1:8" x14ac:dyDescent="0.25">
      <c r="A1681" s="148">
        <v>44758</v>
      </c>
      <c r="B1681" s="149" t="s">
        <v>23007</v>
      </c>
      <c r="C1681" s="153" t="s">
        <v>109</v>
      </c>
      <c r="D1681" s="154">
        <v>8346.2999999999993</v>
      </c>
      <c r="E1681" s="155">
        <v>44760</v>
      </c>
      <c r="F1681" s="154">
        <v>8346.2999999999993</v>
      </c>
      <c r="G1681" s="156">
        <f>Tabla18[[#This Row],[Importe]]-Tabla18[[#This Row],[Pagado]]</f>
        <v>0</v>
      </c>
      <c r="H1681" s="153" t="s">
        <v>10</v>
      </c>
    </row>
    <row r="1682" spans="1:8" x14ac:dyDescent="0.25">
      <c r="A1682" s="73">
        <v>44758</v>
      </c>
      <c r="B1682" s="74" t="s">
        <v>23008</v>
      </c>
      <c r="C1682" s="75" t="s">
        <v>10586</v>
      </c>
      <c r="D1682" s="81">
        <v>5700.5</v>
      </c>
      <c r="E1682" s="151">
        <v>44760</v>
      </c>
      <c r="F1682" s="81">
        <v>5700.5</v>
      </c>
      <c r="G1682" s="156">
        <f>Tabla18[[#This Row],[Importe]]-Tabla18[[#This Row],[Pagado]]</f>
        <v>0</v>
      </c>
      <c r="H1682" s="75" t="s">
        <v>10</v>
      </c>
    </row>
    <row r="1683" spans="1:8" x14ac:dyDescent="0.25">
      <c r="A1683" s="148">
        <v>44758</v>
      </c>
      <c r="B1683" s="149" t="s">
        <v>23009</v>
      </c>
      <c r="C1683" s="153" t="s">
        <v>348</v>
      </c>
      <c r="D1683" s="154">
        <v>10006.4</v>
      </c>
      <c r="E1683" s="155">
        <v>44758</v>
      </c>
      <c r="F1683" s="154">
        <v>10006.4</v>
      </c>
      <c r="G1683" s="156">
        <f>Tabla18[[#This Row],[Importe]]-Tabla18[[#This Row],[Pagado]]</f>
        <v>0</v>
      </c>
      <c r="H1683" s="153" t="s">
        <v>10</v>
      </c>
    </row>
    <row r="1684" spans="1:8" x14ac:dyDescent="0.25">
      <c r="A1684" s="73">
        <v>44758</v>
      </c>
      <c r="B1684" s="74" t="s">
        <v>23010</v>
      </c>
      <c r="C1684" s="75" t="s">
        <v>9993</v>
      </c>
      <c r="D1684" s="81">
        <v>5947.2</v>
      </c>
      <c r="E1684" s="151">
        <v>44758</v>
      </c>
      <c r="F1684" s="81">
        <v>5947.2</v>
      </c>
      <c r="G1684" s="156">
        <f>Tabla18[[#This Row],[Importe]]-Tabla18[[#This Row],[Pagado]]</f>
        <v>0</v>
      </c>
      <c r="H1684" s="75" t="s">
        <v>10</v>
      </c>
    </row>
    <row r="1685" spans="1:8" x14ac:dyDescent="0.25">
      <c r="A1685" s="148">
        <v>44758</v>
      </c>
      <c r="B1685" s="149" t="s">
        <v>23011</v>
      </c>
      <c r="C1685" s="153" t="s">
        <v>326</v>
      </c>
      <c r="D1685" s="154">
        <v>14202.5</v>
      </c>
      <c r="E1685" s="155">
        <v>44760</v>
      </c>
      <c r="F1685" s="154">
        <v>14202.5</v>
      </c>
      <c r="G1685" s="156">
        <f>Tabla18[[#This Row],[Importe]]-Tabla18[[#This Row],[Pagado]]</f>
        <v>0</v>
      </c>
      <c r="H1685" s="153" t="s">
        <v>10</v>
      </c>
    </row>
    <row r="1686" spans="1:8" x14ac:dyDescent="0.25">
      <c r="A1686" s="73">
        <v>44758</v>
      </c>
      <c r="B1686" s="74" t="s">
        <v>23012</v>
      </c>
      <c r="C1686" s="75" t="s">
        <v>2151</v>
      </c>
      <c r="D1686" s="81">
        <v>44934</v>
      </c>
      <c r="E1686" s="151">
        <v>44758</v>
      </c>
      <c r="F1686" s="81">
        <v>44934</v>
      </c>
      <c r="G1686" s="156">
        <f>Tabla18[[#This Row],[Importe]]-Tabla18[[#This Row],[Pagado]]</f>
        <v>0</v>
      </c>
      <c r="H1686" s="75" t="s">
        <v>10</v>
      </c>
    </row>
    <row r="1687" spans="1:8" x14ac:dyDescent="0.25">
      <c r="A1687" s="148">
        <v>44758</v>
      </c>
      <c r="B1687" s="149" t="s">
        <v>23013</v>
      </c>
      <c r="C1687" s="153" t="s">
        <v>97</v>
      </c>
      <c r="D1687" s="154">
        <v>10562.5</v>
      </c>
      <c r="E1687" s="155">
        <v>44760</v>
      </c>
      <c r="F1687" s="154">
        <v>10562.5</v>
      </c>
      <c r="G1687" s="156">
        <f>Tabla18[[#This Row],[Importe]]-Tabla18[[#This Row],[Pagado]]</f>
        <v>0</v>
      </c>
      <c r="H1687" s="153" t="s">
        <v>10</v>
      </c>
    </row>
    <row r="1688" spans="1:8" x14ac:dyDescent="0.25">
      <c r="A1688" s="73">
        <v>44758</v>
      </c>
      <c r="B1688" s="74" t="s">
        <v>23014</v>
      </c>
      <c r="C1688" s="75" t="s">
        <v>2563</v>
      </c>
      <c r="D1688" s="81">
        <v>4790.5</v>
      </c>
      <c r="E1688" s="151">
        <v>44760</v>
      </c>
      <c r="F1688" s="81">
        <v>4790.5</v>
      </c>
      <c r="G1688" s="156">
        <f>Tabla18[[#This Row],[Importe]]-Tabla18[[#This Row],[Pagado]]</f>
        <v>0</v>
      </c>
      <c r="H1688" s="75" t="s">
        <v>10</v>
      </c>
    </row>
    <row r="1689" spans="1:8" x14ac:dyDescent="0.25">
      <c r="A1689" s="148">
        <v>44758</v>
      </c>
      <c r="B1689" s="149" t="s">
        <v>23015</v>
      </c>
      <c r="C1689" s="153" t="s">
        <v>114</v>
      </c>
      <c r="D1689" s="154">
        <v>21300.3</v>
      </c>
      <c r="E1689" s="155">
        <v>44760</v>
      </c>
      <c r="F1689" s="154">
        <v>21300.3</v>
      </c>
      <c r="G1689" s="156">
        <f>Tabla18[[#This Row],[Importe]]-Tabla18[[#This Row],[Pagado]]</f>
        <v>0</v>
      </c>
      <c r="H1689" s="153" t="s">
        <v>10</v>
      </c>
    </row>
    <row r="1690" spans="1:8" ht="31.5" x14ac:dyDescent="0.25">
      <c r="A1690" s="73">
        <v>44758</v>
      </c>
      <c r="B1690" s="74" t="s">
        <v>23016</v>
      </c>
      <c r="C1690" s="75" t="s">
        <v>93</v>
      </c>
      <c r="D1690" s="81">
        <v>25478.2</v>
      </c>
      <c r="E1690" s="147" t="s">
        <v>23017</v>
      </c>
      <c r="F1690" s="81">
        <f>15000+10478.2</f>
        <v>25478.2</v>
      </c>
      <c r="G1690" s="156">
        <f>Tabla18[[#This Row],[Importe]]-Tabla18[[#This Row],[Pagado]]</f>
        <v>0</v>
      </c>
      <c r="H1690" s="75" t="s">
        <v>10</v>
      </c>
    </row>
    <row r="1691" spans="1:8" x14ac:dyDescent="0.25">
      <c r="A1691" s="148">
        <v>44758</v>
      </c>
      <c r="B1691" s="149" t="s">
        <v>23018</v>
      </c>
      <c r="C1691" s="153" t="s">
        <v>111</v>
      </c>
      <c r="D1691" s="154">
        <v>10722.6</v>
      </c>
      <c r="E1691" s="155">
        <v>44760</v>
      </c>
      <c r="F1691" s="154">
        <v>10722.6</v>
      </c>
      <c r="G1691" s="156">
        <f>Tabla18[[#This Row],[Importe]]-Tabla18[[#This Row],[Pagado]]</f>
        <v>0</v>
      </c>
      <c r="H1691" s="153" t="s">
        <v>10</v>
      </c>
    </row>
    <row r="1692" spans="1:8" ht="47.25" x14ac:dyDescent="0.25">
      <c r="A1692" s="73">
        <v>44758</v>
      </c>
      <c r="B1692" s="74" t="s">
        <v>23019</v>
      </c>
      <c r="C1692" s="75" t="s">
        <v>99</v>
      </c>
      <c r="D1692" s="81">
        <v>15584.6</v>
      </c>
      <c r="E1692" s="147" t="s">
        <v>23020</v>
      </c>
      <c r="F1692" s="81">
        <f>6000+3200+6384.6</f>
        <v>15584.6</v>
      </c>
      <c r="G1692" s="156">
        <f>Tabla18[[#This Row],[Importe]]-Tabla18[[#This Row],[Pagado]]</f>
        <v>0</v>
      </c>
      <c r="H1692" s="75" t="s">
        <v>10</v>
      </c>
    </row>
    <row r="1693" spans="1:8" ht="31.5" x14ac:dyDescent="0.25">
      <c r="A1693" s="148">
        <v>44758</v>
      </c>
      <c r="B1693" s="149" t="s">
        <v>23021</v>
      </c>
      <c r="C1693" s="153" t="s">
        <v>22</v>
      </c>
      <c r="D1693" s="154">
        <v>93056.7</v>
      </c>
      <c r="E1693" s="150" t="s">
        <v>22990</v>
      </c>
      <c r="F1693" s="154">
        <f>78000+15056.7</f>
        <v>93056.7</v>
      </c>
      <c r="G1693" s="156">
        <f>Tabla18[[#This Row],[Importe]]-Tabla18[[#This Row],[Pagado]]</f>
        <v>0</v>
      </c>
      <c r="H1693" s="153" t="s">
        <v>10</v>
      </c>
    </row>
    <row r="1694" spans="1:8" ht="31.5" x14ac:dyDescent="0.25">
      <c r="A1694" s="73">
        <v>44758</v>
      </c>
      <c r="B1694" s="74" t="s">
        <v>23022</v>
      </c>
      <c r="C1694" s="75" t="s">
        <v>275</v>
      </c>
      <c r="D1694" s="81">
        <v>232260.23</v>
      </c>
      <c r="E1694" s="147" t="s">
        <v>23023</v>
      </c>
      <c r="F1694" s="81">
        <f>113068.58+119191.65</f>
        <v>232260.22999999998</v>
      </c>
      <c r="G1694" s="156">
        <f>Tabla18[[#This Row],[Importe]]-Tabla18[[#This Row],[Pagado]]</f>
        <v>0</v>
      </c>
      <c r="H1694" s="75" t="s">
        <v>10</v>
      </c>
    </row>
    <row r="1695" spans="1:8" x14ac:dyDescent="0.25">
      <c r="A1695" s="148">
        <v>44758</v>
      </c>
      <c r="B1695" s="149" t="s">
        <v>23024</v>
      </c>
      <c r="C1695" s="153" t="s">
        <v>924</v>
      </c>
      <c r="D1695" s="154">
        <v>12982.2</v>
      </c>
      <c r="E1695" s="155">
        <v>44758</v>
      </c>
      <c r="F1695" s="154">
        <v>12982.2</v>
      </c>
      <c r="G1695" s="156">
        <f>Tabla18[[#This Row],[Importe]]-Tabla18[[#This Row],[Pagado]]</f>
        <v>0</v>
      </c>
      <c r="H1695" s="153" t="s">
        <v>10</v>
      </c>
    </row>
    <row r="1696" spans="1:8" x14ac:dyDescent="0.25">
      <c r="A1696" s="73">
        <v>44758</v>
      </c>
      <c r="B1696" s="74" t="s">
        <v>23025</v>
      </c>
      <c r="C1696" s="75" t="s">
        <v>29</v>
      </c>
      <c r="D1696" s="81">
        <v>9032.1</v>
      </c>
      <c r="E1696" s="151">
        <v>44758</v>
      </c>
      <c r="F1696" s="81">
        <v>9032.1</v>
      </c>
      <c r="G1696" s="156">
        <f>Tabla18[[#This Row],[Importe]]-Tabla18[[#This Row],[Pagado]]</f>
        <v>0</v>
      </c>
      <c r="H1696" s="75" t="s">
        <v>10</v>
      </c>
    </row>
    <row r="1697" spans="1:8" x14ac:dyDescent="0.25">
      <c r="A1697" s="148">
        <v>44758</v>
      </c>
      <c r="B1697" s="149" t="s">
        <v>23026</v>
      </c>
      <c r="C1697" s="153" t="s">
        <v>11033</v>
      </c>
      <c r="D1697" s="154">
        <v>1809.6</v>
      </c>
      <c r="E1697" s="155">
        <v>44758</v>
      </c>
      <c r="F1697" s="154">
        <v>1809.6</v>
      </c>
      <c r="G1697" s="156">
        <f>Tabla18[[#This Row],[Importe]]-Tabla18[[#This Row],[Pagado]]</f>
        <v>0</v>
      </c>
      <c r="H1697" s="153" t="s">
        <v>10</v>
      </c>
    </row>
    <row r="1698" spans="1:8" x14ac:dyDescent="0.25">
      <c r="A1698" s="73">
        <v>44758</v>
      </c>
      <c r="B1698" s="74" t="s">
        <v>23027</v>
      </c>
      <c r="C1698" s="75" t="s">
        <v>16</v>
      </c>
      <c r="D1698" s="81">
        <v>3632.4</v>
      </c>
      <c r="E1698" s="151">
        <v>44758</v>
      </c>
      <c r="F1698" s="81">
        <v>3632.4</v>
      </c>
      <c r="G1698" s="156">
        <f>Tabla18[[#This Row],[Importe]]-Tabla18[[#This Row],[Pagado]]</f>
        <v>0</v>
      </c>
      <c r="H1698" s="75" t="s">
        <v>10</v>
      </c>
    </row>
    <row r="1699" spans="1:8" x14ac:dyDescent="0.25">
      <c r="A1699" s="148">
        <v>44758</v>
      </c>
      <c r="B1699" s="149" t="s">
        <v>23028</v>
      </c>
      <c r="C1699" s="153" t="s">
        <v>196</v>
      </c>
      <c r="D1699" s="154">
        <v>155220.28</v>
      </c>
      <c r="E1699" s="155">
        <v>44765</v>
      </c>
      <c r="F1699" s="154">
        <v>155220.28</v>
      </c>
      <c r="G1699" s="156">
        <f>Tabla18[[#This Row],[Importe]]-Tabla18[[#This Row],[Pagado]]</f>
        <v>0</v>
      </c>
      <c r="H1699" s="153" t="s">
        <v>10</v>
      </c>
    </row>
    <row r="1700" spans="1:8" x14ac:dyDescent="0.25">
      <c r="A1700" s="73">
        <v>44758</v>
      </c>
      <c r="B1700" s="74" t="s">
        <v>23029</v>
      </c>
      <c r="C1700" s="75" t="s">
        <v>142</v>
      </c>
      <c r="D1700" s="81">
        <v>30498.9</v>
      </c>
      <c r="E1700" s="151">
        <v>44799</v>
      </c>
      <c r="F1700" s="81">
        <v>30498.9</v>
      </c>
      <c r="G1700" s="156">
        <f>Tabla18[[#This Row],[Importe]]-Tabla18[[#This Row],[Pagado]]</f>
        <v>0</v>
      </c>
      <c r="H1700" s="75" t="s">
        <v>10</v>
      </c>
    </row>
    <row r="1701" spans="1:8" x14ac:dyDescent="0.25">
      <c r="A1701" s="148">
        <v>44758</v>
      </c>
      <c r="B1701" s="149" t="s">
        <v>23030</v>
      </c>
      <c r="C1701" s="153" t="s">
        <v>51</v>
      </c>
      <c r="D1701" s="154">
        <v>6308</v>
      </c>
      <c r="E1701" s="155">
        <v>44758</v>
      </c>
      <c r="F1701" s="154">
        <v>6308</v>
      </c>
      <c r="G1701" s="156">
        <f>Tabla18[[#This Row],[Importe]]-Tabla18[[#This Row],[Pagado]]</f>
        <v>0</v>
      </c>
      <c r="H1701" s="153" t="s">
        <v>10</v>
      </c>
    </row>
    <row r="1702" spans="1:8" x14ac:dyDescent="0.25">
      <c r="A1702" s="73">
        <v>44758</v>
      </c>
      <c r="B1702" s="74" t="s">
        <v>23031</v>
      </c>
      <c r="C1702" s="75" t="s">
        <v>161</v>
      </c>
      <c r="D1702" s="81">
        <v>4507.5</v>
      </c>
      <c r="E1702" s="151">
        <v>44758</v>
      </c>
      <c r="F1702" s="81">
        <v>4507.5</v>
      </c>
      <c r="G1702" s="156">
        <f>Tabla18[[#This Row],[Importe]]-Tabla18[[#This Row],[Pagado]]</f>
        <v>0</v>
      </c>
      <c r="H1702" s="75" t="s">
        <v>10</v>
      </c>
    </row>
    <row r="1703" spans="1:8" x14ac:dyDescent="0.25">
      <c r="A1703" s="148">
        <v>44758</v>
      </c>
      <c r="B1703" s="149" t="s">
        <v>23032</v>
      </c>
      <c r="C1703" s="153" t="s">
        <v>49</v>
      </c>
      <c r="D1703" s="154">
        <v>4069.5</v>
      </c>
      <c r="E1703" s="155">
        <v>44758</v>
      </c>
      <c r="F1703" s="154">
        <v>4069.5</v>
      </c>
      <c r="G1703" s="156">
        <f>Tabla18[[#This Row],[Importe]]-Tabla18[[#This Row],[Pagado]]</f>
        <v>0</v>
      </c>
      <c r="H1703" s="153" t="s">
        <v>10</v>
      </c>
    </row>
    <row r="1704" spans="1:8" x14ac:dyDescent="0.25">
      <c r="A1704" s="73">
        <v>44758</v>
      </c>
      <c r="B1704" s="74" t="s">
        <v>23033</v>
      </c>
      <c r="C1704" s="75" t="s">
        <v>31</v>
      </c>
      <c r="D1704" s="81">
        <v>1504</v>
      </c>
      <c r="E1704" s="151">
        <v>44758</v>
      </c>
      <c r="F1704" s="81">
        <v>1504</v>
      </c>
      <c r="G1704" s="156">
        <f>Tabla18[[#This Row],[Importe]]-Tabla18[[#This Row],[Pagado]]</f>
        <v>0</v>
      </c>
      <c r="H1704" s="75" t="s">
        <v>10</v>
      </c>
    </row>
    <row r="1705" spans="1:8" x14ac:dyDescent="0.25">
      <c r="A1705" s="148">
        <v>44758</v>
      </c>
      <c r="B1705" s="149" t="s">
        <v>23034</v>
      </c>
      <c r="C1705" s="153" t="s">
        <v>15039</v>
      </c>
      <c r="D1705" s="154">
        <v>4649.3999999999996</v>
      </c>
      <c r="E1705" s="155">
        <v>44758</v>
      </c>
      <c r="F1705" s="154">
        <v>4649.3999999999996</v>
      </c>
      <c r="G1705" s="156">
        <f>Tabla18[[#This Row],[Importe]]-Tabla18[[#This Row],[Pagado]]</f>
        <v>0</v>
      </c>
      <c r="H1705" s="153" t="s">
        <v>10</v>
      </c>
    </row>
    <row r="1706" spans="1:8" x14ac:dyDescent="0.25">
      <c r="A1706" s="73">
        <v>44758</v>
      </c>
      <c r="B1706" s="74" t="s">
        <v>23035</v>
      </c>
      <c r="C1706" s="75" t="s">
        <v>442</v>
      </c>
      <c r="D1706" s="81">
        <v>6808</v>
      </c>
      <c r="E1706" s="151">
        <v>44758</v>
      </c>
      <c r="F1706" s="81">
        <v>6808</v>
      </c>
      <c r="G1706" s="156">
        <f>Tabla18[[#This Row],[Importe]]-Tabla18[[#This Row],[Pagado]]</f>
        <v>0</v>
      </c>
      <c r="H1706" s="75" t="s">
        <v>10</v>
      </c>
    </row>
    <row r="1707" spans="1:8" x14ac:dyDescent="0.25">
      <c r="A1707" s="148">
        <v>44758</v>
      </c>
      <c r="B1707" s="149" t="s">
        <v>23036</v>
      </c>
      <c r="C1707" s="153" t="s">
        <v>1362</v>
      </c>
      <c r="D1707" s="154">
        <v>7165.2</v>
      </c>
      <c r="E1707" s="155">
        <v>44758</v>
      </c>
      <c r="F1707" s="154">
        <v>7165.2</v>
      </c>
      <c r="G1707" s="156">
        <f>Tabla18[[#This Row],[Importe]]-Tabla18[[#This Row],[Pagado]]</f>
        <v>0</v>
      </c>
      <c r="H1707" s="153" t="s">
        <v>10</v>
      </c>
    </row>
    <row r="1708" spans="1:8" x14ac:dyDescent="0.25">
      <c r="A1708" s="73">
        <v>44758</v>
      </c>
      <c r="B1708" s="74" t="s">
        <v>23037</v>
      </c>
      <c r="C1708" s="75" t="s">
        <v>214</v>
      </c>
      <c r="D1708" s="81">
        <v>6600</v>
      </c>
      <c r="E1708" s="151">
        <v>44758</v>
      </c>
      <c r="F1708" s="81">
        <v>6600</v>
      </c>
      <c r="G1708" s="156">
        <f>Tabla18[[#This Row],[Importe]]-Tabla18[[#This Row],[Pagado]]</f>
        <v>0</v>
      </c>
      <c r="H1708" s="75" t="s">
        <v>10</v>
      </c>
    </row>
    <row r="1709" spans="1:8" x14ac:dyDescent="0.25">
      <c r="A1709" s="148">
        <v>44758</v>
      </c>
      <c r="B1709" s="149" t="s">
        <v>23038</v>
      </c>
      <c r="C1709" s="153" t="s">
        <v>698</v>
      </c>
      <c r="D1709" s="154">
        <v>6973.2</v>
      </c>
      <c r="E1709" s="155">
        <v>44758</v>
      </c>
      <c r="F1709" s="154">
        <v>6973.2</v>
      </c>
      <c r="G1709" s="156">
        <f>Tabla18[[#This Row],[Importe]]-Tabla18[[#This Row],[Pagado]]</f>
        <v>0</v>
      </c>
      <c r="H1709" s="153" t="s">
        <v>10</v>
      </c>
    </row>
    <row r="1710" spans="1:8" x14ac:dyDescent="0.25">
      <c r="A1710" s="73">
        <v>44758</v>
      </c>
      <c r="B1710" s="74" t="s">
        <v>23039</v>
      </c>
      <c r="C1710" s="75" t="s">
        <v>1302</v>
      </c>
      <c r="D1710" s="81">
        <v>10230</v>
      </c>
      <c r="E1710" s="151">
        <v>44758</v>
      </c>
      <c r="F1710" s="81">
        <v>10230</v>
      </c>
      <c r="G1710" s="156">
        <f>Tabla18[[#This Row],[Importe]]-Tabla18[[#This Row],[Pagado]]</f>
        <v>0</v>
      </c>
      <c r="H1710" s="75" t="s">
        <v>10</v>
      </c>
    </row>
    <row r="1711" spans="1:8" x14ac:dyDescent="0.25">
      <c r="A1711" s="148">
        <v>44758</v>
      </c>
      <c r="B1711" s="149" t="s">
        <v>23040</v>
      </c>
      <c r="C1711" s="153" t="s">
        <v>91</v>
      </c>
      <c r="D1711" s="154">
        <v>11550</v>
      </c>
      <c r="E1711" s="155">
        <v>44760</v>
      </c>
      <c r="F1711" s="154">
        <v>11550</v>
      </c>
      <c r="G1711" s="156">
        <f>Tabla18[[#This Row],[Importe]]-Tabla18[[#This Row],[Pagado]]</f>
        <v>0</v>
      </c>
      <c r="H1711" s="153" t="s">
        <v>10</v>
      </c>
    </row>
    <row r="1712" spans="1:8" x14ac:dyDescent="0.25">
      <c r="A1712" s="73">
        <v>44758</v>
      </c>
      <c r="B1712" s="74" t="s">
        <v>23041</v>
      </c>
      <c r="C1712" s="75" t="s">
        <v>191</v>
      </c>
      <c r="D1712" s="81">
        <v>2065.4</v>
      </c>
      <c r="E1712" s="151">
        <v>44758</v>
      </c>
      <c r="F1712" s="81">
        <v>2065.4</v>
      </c>
      <c r="G1712" s="156">
        <f>Tabla18[[#This Row],[Importe]]-Tabla18[[#This Row],[Pagado]]</f>
        <v>0</v>
      </c>
      <c r="H1712" s="75" t="s">
        <v>10</v>
      </c>
    </row>
    <row r="1713" spans="1:8" x14ac:dyDescent="0.25">
      <c r="A1713" s="148">
        <v>44758</v>
      </c>
      <c r="B1713" s="149" t="s">
        <v>23042</v>
      </c>
      <c r="C1713" s="153" t="s">
        <v>95</v>
      </c>
      <c r="D1713" s="154">
        <v>16957.2</v>
      </c>
      <c r="E1713" s="155">
        <v>44758</v>
      </c>
      <c r="F1713" s="154">
        <v>16957.2</v>
      </c>
      <c r="G1713" s="156">
        <f>Tabla18[[#This Row],[Importe]]-Tabla18[[#This Row],[Pagado]]</f>
        <v>0</v>
      </c>
      <c r="H1713" s="153" t="s">
        <v>10</v>
      </c>
    </row>
    <row r="1714" spans="1:8" x14ac:dyDescent="0.25">
      <c r="A1714" s="73">
        <v>44758</v>
      </c>
      <c r="B1714" s="74" t="s">
        <v>23043</v>
      </c>
      <c r="C1714" s="75" t="s">
        <v>2166</v>
      </c>
      <c r="D1714" s="81">
        <v>2400</v>
      </c>
      <c r="E1714" s="151">
        <v>44758</v>
      </c>
      <c r="F1714" s="81">
        <v>2400</v>
      </c>
      <c r="G1714" s="156">
        <f>Tabla18[[#This Row],[Importe]]-Tabla18[[#This Row],[Pagado]]</f>
        <v>0</v>
      </c>
      <c r="H1714" s="75" t="s">
        <v>10</v>
      </c>
    </row>
    <row r="1715" spans="1:8" x14ac:dyDescent="0.25">
      <c r="A1715" s="148">
        <v>44758</v>
      </c>
      <c r="B1715" s="149" t="s">
        <v>23044</v>
      </c>
      <c r="C1715" s="153" t="s">
        <v>45</v>
      </c>
      <c r="D1715" s="154">
        <v>13326.1</v>
      </c>
      <c r="E1715" s="155">
        <v>44758</v>
      </c>
      <c r="F1715" s="154">
        <v>13326.1</v>
      </c>
      <c r="G1715" s="156">
        <f>Tabla18[[#This Row],[Importe]]-Tabla18[[#This Row],[Pagado]]</f>
        <v>0</v>
      </c>
      <c r="H1715" s="153" t="s">
        <v>10</v>
      </c>
    </row>
    <row r="1716" spans="1:8" x14ac:dyDescent="0.25">
      <c r="A1716" s="73">
        <v>44758</v>
      </c>
      <c r="B1716" s="74" t="s">
        <v>23045</v>
      </c>
      <c r="C1716" s="75" t="s">
        <v>107</v>
      </c>
      <c r="D1716" s="81">
        <v>26753.5</v>
      </c>
      <c r="E1716" s="151">
        <v>44758</v>
      </c>
      <c r="F1716" s="81">
        <v>26753.5</v>
      </c>
      <c r="G1716" s="156">
        <f>Tabla18[[#This Row],[Importe]]-Tabla18[[#This Row],[Pagado]]</f>
        <v>0</v>
      </c>
      <c r="H1716" s="75" t="s">
        <v>10</v>
      </c>
    </row>
    <row r="1717" spans="1:8" x14ac:dyDescent="0.25">
      <c r="A1717" s="148">
        <v>44758</v>
      </c>
      <c r="B1717" s="149" t="s">
        <v>23046</v>
      </c>
      <c r="C1717" s="153" t="s">
        <v>4136</v>
      </c>
      <c r="D1717" s="154">
        <v>4428.6000000000004</v>
      </c>
      <c r="E1717" s="155">
        <v>44758</v>
      </c>
      <c r="F1717" s="154">
        <v>4428.6000000000004</v>
      </c>
      <c r="G1717" s="156">
        <f>Tabla18[[#This Row],[Importe]]-Tabla18[[#This Row],[Pagado]]</f>
        <v>0</v>
      </c>
      <c r="H1717" s="153" t="s">
        <v>10</v>
      </c>
    </row>
    <row r="1718" spans="1:8" x14ac:dyDescent="0.25">
      <c r="A1718" s="73">
        <v>44758</v>
      </c>
      <c r="B1718" s="74" t="s">
        <v>23047</v>
      </c>
      <c r="C1718" s="75" t="s">
        <v>56</v>
      </c>
      <c r="D1718" s="81">
        <v>11021.2</v>
      </c>
      <c r="E1718" s="151">
        <v>44758</v>
      </c>
      <c r="F1718" s="81">
        <v>11021.2</v>
      </c>
      <c r="G1718" s="156">
        <f>Tabla18[[#This Row],[Importe]]-Tabla18[[#This Row],[Pagado]]</f>
        <v>0</v>
      </c>
      <c r="H1718" s="75" t="s">
        <v>10</v>
      </c>
    </row>
    <row r="1719" spans="1:8" x14ac:dyDescent="0.25">
      <c r="A1719" s="148">
        <v>44758</v>
      </c>
      <c r="B1719" s="149" t="s">
        <v>23048</v>
      </c>
      <c r="C1719" s="153" t="s">
        <v>216</v>
      </c>
      <c r="D1719" s="154">
        <v>2156</v>
      </c>
      <c r="E1719" s="155">
        <v>44758</v>
      </c>
      <c r="F1719" s="154">
        <v>2156</v>
      </c>
      <c r="G1719" s="156">
        <f>Tabla18[[#This Row],[Importe]]-Tabla18[[#This Row],[Pagado]]</f>
        <v>0</v>
      </c>
      <c r="H1719" s="153" t="s">
        <v>10</v>
      </c>
    </row>
    <row r="1720" spans="1:8" x14ac:dyDescent="0.25">
      <c r="A1720" s="73">
        <v>44758</v>
      </c>
      <c r="B1720" s="74" t="s">
        <v>23049</v>
      </c>
      <c r="C1720" s="75" t="s">
        <v>56</v>
      </c>
      <c r="D1720" s="81">
        <v>408</v>
      </c>
      <c r="E1720" s="151">
        <v>44758</v>
      </c>
      <c r="F1720" s="81">
        <v>408</v>
      </c>
      <c r="G1720" s="156">
        <f>Tabla18[[#This Row],[Importe]]-Tabla18[[#This Row],[Pagado]]</f>
        <v>0</v>
      </c>
      <c r="H1720" s="75" t="s">
        <v>10</v>
      </c>
    </row>
    <row r="1721" spans="1:8" x14ac:dyDescent="0.25">
      <c r="A1721" s="148">
        <v>44758</v>
      </c>
      <c r="B1721" s="149" t="s">
        <v>23050</v>
      </c>
      <c r="C1721" s="153" t="s">
        <v>127</v>
      </c>
      <c r="D1721" s="154">
        <v>7189.4</v>
      </c>
      <c r="E1721" s="155">
        <v>44758</v>
      </c>
      <c r="F1721" s="154">
        <v>7189.4</v>
      </c>
      <c r="G1721" s="156">
        <f>Tabla18[[#This Row],[Importe]]-Tabla18[[#This Row],[Pagado]]</f>
        <v>0</v>
      </c>
      <c r="H1721" s="153" t="s">
        <v>10</v>
      </c>
    </row>
    <row r="1722" spans="1:8" x14ac:dyDescent="0.25">
      <c r="A1722" s="73">
        <v>44758</v>
      </c>
      <c r="B1722" s="74" t="s">
        <v>23051</v>
      </c>
      <c r="C1722" s="75" t="s">
        <v>129</v>
      </c>
      <c r="D1722" s="81">
        <v>6566.4</v>
      </c>
      <c r="E1722" s="151">
        <v>44758</v>
      </c>
      <c r="F1722" s="81">
        <v>6566.4</v>
      </c>
      <c r="G1722" s="156">
        <f>Tabla18[[#This Row],[Importe]]-Tabla18[[#This Row],[Pagado]]</f>
        <v>0</v>
      </c>
      <c r="H1722" s="75" t="s">
        <v>10</v>
      </c>
    </row>
    <row r="1723" spans="1:8" x14ac:dyDescent="0.25">
      <c r="A1723" s="148">
        <v>44758</v>
      </c>
      <c r="B1723" s="149" t="s">
        <v>23052</v>
      </c>
      <c r="C1723" s="153" t="s">
        <v>140</v>
      </c>
      <c r="D1723" s="154">
        <v>6789.4</v>
      </c>
      <c r="E1723" s="155">
        <v>44758</v>
      </c>
      <c r="F1723" s="154">
        <v>6789.4</v>
      </c>
      <c r="G1723" s="156">
        <f>Tabla18[[#This Row],[Importe]]-Tabla18[[#This Row],[Pagado]]</f>
        <v>0</v>
      </c>
      <c r="H1723" s="153" t="s">
        <v>10</v>
      </c>
    </row>
    <row r="1724" spans="1:8" x14ac:dyDescent="0.25">
      <c r="A1724" s="73">
        <v>44758</v>
      </c>
      <c r="B1724" s="74" t="s">
        <v>23053</v>
      </c>
      <c r="C1724" s="75" t="s">
        <v>414</v>
      </c>
      <c r="D1724" s="81">
        <v>534684.6</v>
      </c>
      <c r="E1724" s="151" t="s">
        <v>4813</v>
      </c>
      <c r="F1724" s="81">
        <v>0</v>
      </c>
      <c r="G1724" s="156">
        <f>Tabla18[[#This Row],[Importe]]-Tabla18[[#This Row],[Pagado]]</f>
        <v>534684.6</v>
      </c>
      <c r="H1724" s="75" t="s">
        <v>4814</v>
      </c>
    </row>
    <row r="1725" spans="1:8" x14ac:dyDescent="0.25">
      <c r="A1725" s="148">
        <v>44758</v>
      </c>
      <c r="B1725" s="149" t="s">
        <v>23054</v>
      </c>
      <c r="C1725" s="153" t="s">
        <v>181</v>
      </c>
      <c r="D1725" s="154">
        <v>19720.8</v>
      </c>
      <c r="E1725" s="155">
        <v>44758</v>
      </c>
      <c r="F1725" s="154">
        <v>19720.8</v>
      </c>
      <c r="G1725" s="156">
        <f>Tabla18[[#This Row],[Importe]]-Tabla18[[#This Row],[Pagado]]</f>
        <v>0</v>
      </c>
      <c r="H1725" s="153" t="s">
        <v>10</v>
      </c>
    </row>
    <row r="1726" spans="1:8" x14ac:dyDescent="0.25">
      <c r="A1726" s="73">
        <v>44758</v>
      </c>
      <c r="B1726" s="74" t="s">
        <v>23055</v>
      </c>
      <c r="C1726" s="75" t="s">
        <v>175</v>
      </c>
      <c r="D1726" s="81">
        <v>30269.200000000001</v>
      </c>
      <c r="E1726" s="151">
        <v>44758</v>
      </c>
      <c r="F1726" s="81">
        <v>30269.200000000001</v>
      </c>
      <c r="G1726" s="156">
        <f>Tabla18[[#This Row],[Importe]]-Tabla18[[#This Row],[Pagado]]</f>
        <v>0</v>
      </c>
      <c r="H1726" s="75" t="s">
        <v>10</v>
      </c>
    </row>
    <row r="1727" spans="1:8" x14ac:dyDescent="0.25">
      <c r="A1727" s="148">
        <v>44758</v>
      </c>
      <c r="B1727" s="149" t="s">
        <v>23056</v>
      </c>
      <c r="C1727" s="153" t="s">
        <v>273</v>
      </c>
      <c r="D1727" s="154">
        <v>2930.4</v>
      </c>
      <c r="E1727" s="155">
        <v>44758</v>
      </c>
      <c r="F1727" s="154">
        <v>2930.4</v>
      </c>
      <c r="G1727" s="156">
        <f>Tabla18[[#This Row],[Importe]]-Tabla18[[#This Row],[Pagado]]</f>
        <v>0</v>
      </c>
      <c r="H1727" s="153" t="s">
        <v>10</v>
      </c>
    </row>
    <row r="1728" spans="1:8" x14ac:dyDescent="0.25">
      <c r="A1728" s="73">
        <v>44758</v>
      </c>
      <c r="B1728" s="74" t="s">
        <v>23057</v>
      </c>
      <c r="C1728" s="75" t="s">
        <v>200</v>
      </c>
      <c r="D1728" s="81">
        <v>1185.8</v>
      </c>
      <c r="E1728" s="151">
        <v>44758</v>
      </c>
      <c r="F1728" s="81">
        <v>1185.8</v>
      </c>
      <c r="G1728" s="156">
        <f>Tabla18[[#This Row],[Importe]]-Tabla18[[#This Row],[Pagado]]</f>
        <v>0</v>
      </c>
      <c r="H1728" s="75" t="s">
        <v>10</v>
      </c>
    </row>
    <row r="1729" spans="1:8" x14ac:dyDescent="0.25">
      <c r="A1729" s="148">
        <v>44758</v>
      </c>
      <c r="B1729" s="149" t="s">
        <v>23058</v>
      </c>
      <c r="C1729" s="153" t="s">
        <v>426</v>
      </c>
      <c r="D1729" s="154">
        <v>7356.4</v>
      </c>
      <c r="E1729" s="155">
        <v>44758</v>
      </c>
      <c r="F1729" s="154">
        <v>7356.4</v>
      </c>
      <c r="G1729" s="156">
        <f>Tabla18[[#This Row],[Importe]]-Tabla18[[#This Row],[Pagado]]</f>
        <v>0</v>
      </c>
      <c r="H1729" s="153" t="s">
        <v>10</v>
      </c>
    </row>
    <row r="1730" spans="1:8" x14ac:dyDescent="0.25">
      <c r="A1730" s="73">
        <v>44758</v>
      </c>
      <c r="B1730" s="74" t="s">
        <v>23059</v>
      </c>
      <c r="C1730" s="75" t="s">
        <v>175</v>
      </c>
      <c r="D1730" s="81">
        <v>5329.8</v>
      </c>
      <c r="E1730" s="151">
        <v>44758</v>
      </c>
      <c r="F1730" s="81">
        <v>5329.8</v>
      </c>
      <c r="G1730" s="156">
        <f>Tabla18[[#This Row],[Importe]]-Tabla18[[#This Row],[Pagado]]</f>
        <v>0</v>
      </c>
      <c r="H1730" s="75" t="s">
        <v>10</v>
      </c>
    </row>
    <row r="1731" spans="1:8" x14ac:dyDescent="0.25">
      <c r="A1731" s="148">
        <v>44758</v>
      </c>
      <c r="B1731" s="149" t="s">
        <v>23060</v>
      </c>
      <c r="C1731" s="153" t="s">
        <v>414</v>
      </c>
      <c r="D1731" s="154">
        <v>22961.4</v>
      </c>
      <c r="E1731" s="155">
        <v>44761</v>
      </c>
      <c r="F1731" s="154">
        <v>22961.4</v>
      </c>
      <c r="G1731" s="156">
        <f>Tabla18[[#This Row],[Importe]]-Tabla18[[#This Row],[Pagado]]</f>
        <v>0</v>
      </c>
      <c r="H1731" s="153" t="s">
        <v>10</v>
      </c>
    </row>
    <row r="1732" spans="1:8" x14ac:dyDescent="0.25">
      <c r="A1732" s="73">
        <v>44758</v>
      </c>
      <c r="B1732" s="74" t="s">
        <v>23061</v>
      </c>
      <c r="C1732" s="75" t="s">
        <v>359</v>
      </c>
      <c r="D1732" s="81">
        <v>585</v>
      </c>
      <c r="E1732" s="151">
        <v>44758</v>
      </c>
      <c r="F1732" s="81">
        <v>585</v>
      </c>
      <c r="G1732" s="156">
        <f>Tabla18[[#This Row],[Importe]]-Tabla18[[#This Row],[Pagado]]</f>
        <v>0</v>
      </c>
      <c r="H1732" s="75" t="s">
        <v>10</v>
      </c>
    </row>
    <row r="1733" spans="1:8" x14ac:dyDescent="0.25">
      <c r="A1733" s="148">
        <v>44758</v>
      </c>
      <c r="B1733" s="149" t="s">
        <v>23062</v>
      </c>
      <c r="C1733" s="153" t="s">
        <v>9577</v>
      </c>
      <c r="D1733" s="154">
        <v>2482</v>
      </c>
      <c r="E1733" s="155">
        <v>44758</v>
      </c>
      <c r="F1733" s="154">
        <v>2482</v>
      </c>
      <c r="G1733" s="156">
        <f>Tabla18[[#This Row],[Importe]]-Tabla18[[#This Row],[Pagado]]</f>
        <v>0</v>
      </c>
      <c r="H1733" s="153" t="s">
        <v>10</v>
      </c>
    </row>
    <row r="1734" spans="1:8" x14ac:dyDescent="0.25">
      <c r="A1734" s="73">
        <v>44758</v>
      </c>
      <c r="B1734" s="74" t="s">
        <v>23063</v>
      </c>
      <c r="C1734" s="75" t="s">
        <v>157</v>
      </c>
      <c r="D1734" s="81">
        <v>6517.2</v>
      </c>
      <c r="E1734" s="151">
        <v>44759</v>
      </c>
      <c r="F1734" s="81">
        <v>6517.2</v>
      </c>
      <c r="G1734" s="156">
        <f>Tabla18[[#This Row],[Importe]]-Tabla18[[#This Row],[Pagado]]</f>
        <v>0</v>
      </c>
      <c r="H1734" s="75" t="s">
        <v>10</v>
      </c>
    </row>
    <row r="1735" spans="1:8" x14ac:dyDescent="0.25">
      <c r="A1735" s="148">
        <v>44758</v>
      </c>
      <c r="B1735" s="149" t="s">
        <v>23064</v>
      </c>
      <c r="C1735" s="153" t="s">
        <v>275</v>
      </c>
      <c r="D1735" s="154">
        <v>5413</v>
      </c>
      <c r="E1735" s="155">
        <v>44773</v>
      </c>
      <c r="F1735" s="154">
        <v>5413</v>
      </c>
      <c r="G1735" s="156">
        <f>Tabla18[[#This Row],[Importe]]-Tabla18[[#This Row],[Pagado]]</f>
        <v>0</v>
      </c>
      <c r="H1735" s="153" t="s">
        <v>10</v>
      </c>
    </row>
    <row r="1736" spans="1:8" x14ac:dyDescent="0.25">
      <c r="A1736" s="73">
        <v>44758</v>
      </c>
      <c r="B1736" s="74" t="s">
        <v>23065</v>
      </c>
      <c r="C1736" s="75" t="s">
        <v>319</v>
      </c>
      <c r="D1736" s="81">
        <v>11437</v>
      </c>
      <c r="E1736" s="151">
        <v>44759</v>
      </c>
      <c r="F1736" s="81">
        <v>11437</v>
      </c>
      <c r="G1736" s="156">
        <f>Tabla18[[#This Row],[Importe]]-Tabla18[[#This Row],[Pagado]]</f>
        <v>0</v>
      </c>
      <c r="H1736" s="75" t="s">
        <v>10</v>
      </c>
    </row>
    <row r="1737" spans="1:8" x14ac:dyDescent="0.25">
      <c r="A1737" s="148">
        <v>44758</v>
      </c>
      <c r="B1737" s="149" t="s">
        <v>23066</v>
      </c>
      <c r="C1737" s="153" t="s">
        <v>31</v>
      </c>
      <c r="D1737" s="154">
        <v>2046.5</v>
      </c>
      <c r="E1737" s="155">
        <v>44758</v>
      </c>
      <c r="F1737" s="154">
        <v>2046.5</v>
      </c>
      <c r="G1737" s="156">
        <f>Tabla18[[#This Row],[Importe]]-Tabla18[[#This Row],[Pagado]]</f>
        <v>0</v>
      </c>
      <c r="H1737" s="153" t="s">
        <v>10</v>
      </c>
    </row>
    <row r="1738" spans="1:8" x14ac:dyDescent="0.25">
      <c r="A1738" s="73">
        <v>44758</v>
      </c>
      <c r="B1738" s="74" t="s">
        <v>23067</v>
      </c>
      <c r="C1738" s="75" t="s">
        <v>159</v>
      </c>
      <c r="D1738" s="81">
        <v>3073.9</v>
      </c>
      <c r="E1738" s="151">
        <v>44759</v>
      </c>
      <c r="F1738" s="81">
        <v>3073.9</v>
      </c>
      <c r="G1738" s="156">
        <f>Tabla18[[#This Row],[Importe]]-Tabla18[[#This Row],[Pagado]]</f>
        <v>0</v>
      </c>
      <c r="H1738" s="75" t="s">
        <v>10</v>
      </c>
    </row>
    <row r="1739" spans="1:8" x14ac:dyDescent="0.25">
      <c r="A1739" s="148">
        <v>44758</v>
      </c>
      <c r="B1739" s="149" t="s">
        <v>23068</v>
      </c>
      <c r="C1739" s="153" t="s">
        <v>53</v>
      </c>
      <c r="D1739" s="154">
        <v>2863</v>
      </c>
      <c r="E1739" s="155">
        <v>44758</v>
      </c>
      <c r="F1739" s="154">
        <v>2863</v>
      </c>
      <c r="G1739" s="156">
        <f>Tabla18[[#This Row],[Importe]]-Tabla18[[#This Row],[Pagado]]</f>
        <v>0</v>
      </c>
      <c r="H1739" s="153" t="s">
        <v>10</v>
      </c>
    </row>
    <row r="1740" spans="1:8" x14ac:dyDescent="0.25">
      <c r="A1740" s="73">
        <v>44758</v>
      </c>
      <c r="B1740" s="74" t="s">
        <v>23069</v>
      </c>
      <c r="C1740" s="75" t="s">
        <v>520</v>
      </c>
      <c r="D1740" s="81">
        <v>10909.6</v>
      </c>
      <c r="E1740" s="151">
        <v>44758</v>
      </c>
      <c r="F1740" s="81">
        <v>10909.6</v>
      </c>
      <c r="G1740" s="156">
        <f>Tabla18[[#This Row],[Importe]]-Tabla18[[#This Row],[Pagado]]</f>
        <v>0</v>
      </c>
      <c r="H1740" s="75" t="s">
        <v>10</v>
      </c>
    </row>
    <row r="1741" spans="1:8" x14ac:dyDescent="0.25">
      <c r="A1741" s="148">
        <v>44758</v>
      </c>
      <c r="B1741" s="149" t="s">
        <v>23070</v>
      </c>
      <c r="C1741" s="153" t="s">
        <v>62</v>
      </c>
      <c r="D1741" s="154">
        <v>4476.3999999999996</v>
      </c>
      <c r="E1741" s="155">
        <v>44758</v>
      </c>
      <c r="F1741" s="154">
        <v>4476.3999999999996</v>
      </c>
      <c r="G1741" s="156">
        <f>Tabla18[[#This Row],[Importe]]-Tabla18[[#This Row],[Pagado]]</f>
        <v>0</v>
      </c>
      <c r="H1741" s="153" t="s">
        <v>10</v>
      </c>
    </row>
    <row r="1742" spans="1:8" x14ac:dyDescent="0.25">
      <c r="A1742" s="73">
        <v>44758</v>
      </c>
      <c r="B1742" s="74" t="s">
        <v>23071</v>
      </c>
      <c r="C1742" s="75" t="s">
        <v>31</v>
      </c>
      <c r="D1742" s="81">
        <v>1293.5999999999999</v>
      </c>
      <c r="E1742" s="151">
        <v>44758</v>
      </c>
      <c r="F1742" s="81">
        <v>1293.5999999999999</v>
      </c>
      <c r="G1742" s="156">
        <f>Tabla18[[#This Row],[Importe]]-Tabla18[[#This Row],[Pagado]]</f>
        <v>0</v>
      </c>
      <c r="H1742" s="75" t="s">
        <v>10</v>
      </c>
    </row>
    <row r="1743" spans="1:8" x14ac:dyDescent="0.25">
      <c r="A1743" s="148">
        <v>44758</v>
      </c>
      <c r="B1743" s="149" t="s">
        <v>23072</v>
      </c>
      <c r="C1743" s="153" t="s">
        <v>31</v>
      </c>
      <c r="D1743" s="154">
        <v>360</v>
      </c>
      <c r="E1743" s="155">
        <v>44758</v>
      </c>
      <c r="F1743" s="154">
        <v>360</v>
      </c>
      <c r="G1743" s="156">
        <f>Tabla18[[#This Row],[Importe]]-Tabla18[[#This Row],[Pagado]]</f>
        <v>0</v>
      </c>
      <c r="H1743" s="153" t="s">
        <v>10</v>
      </c>
    </row>
    <row r="1744" spans="1:8" x14ac:dyDescent="0.25">
      <c r="A1744" s="73">
        <v>44758</v>
      </c>
      <c r="B1744" s="74" t="s">
        <v>23073</v>
      </c>
      <c r="C1744" s="75" t="s">
        <v>79</v>
      </c>
      <c r="D1744" s="81">
        <v>25807.599999999999</v>
      </c>
      <c r="E1744" s="151">
        <v>44759</v>
      </c>
      <c r="F1744" s="81">
        <v>25807.599999999999</v>
      </c>
      <c r="G1744" s="156">
        <f>Tabla18[[#This Row],[Importe]]-Tabla18[[#This Row],[Pagado]]</f>
        <v>0</v>
      </c>
      <c r="H1744" s="75" t="s">
        <v>10</v>
      </c>
    </row>
    <row r="1745" spans="1:8" x14ac:dyDescent="0.25">
      <c r="A1745" s="148">
        <v>44758</v>
      </c>
      <c r="B1745" s="149" t="s">
        <v>23074</v>
      </c>
      <c r="C1745" s="153" t="s">
        <v>9827</v>
      </c>
      <c r="D1745" s="154">
        <v>10033.1</v>
      </c>
      <c r="E1745" s="155">
        <v>44758</v>
      </c>
      <c r="F1745" s="154">
        <v>10033.1</v>
      </c>
      <c r="G1745" s="156">
        <f>Tabla18[[#This Row],[Importe]]-Tabla18[[#This Row],[Pagado]]</f>
        <v>0</v>
      </c>
      <c r="H1745" s="153" t="s">
        <v>10</v>
      </c>
    </row>
    <row r="1746" spans="1:8" x14ac:dyDescent="0.25">
      <c r="A1746" s="73">
        <v>44758</v>
      </c>
      <c r="B1746" s="74" t="s">
        <v>23075</v>
      </c>
      <c r="C1746" s="75" t="s">
        <v>10190</v>
      </c>
      <c r="D1746" s="81">
        <v>20002.8</v>
      </c>
      <c r="E1746" s="151">
        <v>44758</v>
      </c>
      <c r="F1746" s="81">
        <v>20002.8</v>
      </c>
      <c r="G1746" s="156">
        <f>Tabla18[[#This Row],[Importe]]-Tabla18[[#This Row],[Pagado]]</f>
        <v>0</v>
      </c>
      <c r="H1746" s="75" t="s">
        <v>10</v>
      </c>
    </row>
    <row r="1747" spans="1:8" x14ac:dyDescent="0.25">
      <c r="A1747" s="148">
        <v>44758</v>
      </c>
      <c r="B1747" s="149" t="s">
        <v>23076</v>
      </c>
      <c r="C1747" s="153" t="s">
        <v>407</v>
      </c>
      <c r="D1747" s="154">
        <v>18184.900000000001</v>
      </c>
      <c r="E1747" s="155">
        <v>44762</v>
      </c>
      <c r="F1747" s="154">
        <v>18184.900000000001</v>
      </c>
      <c r="G1747" s="156">
        <f>Tabla18[[#This Row],[Importe]]-Tabla18[[#This Row],[Pagado]]</f>
        <v>0</v>
      </c>
      <c r="H1747" s="153" t="s">
        <v>10</v>
      </c>
    </row>
    <row r="1748" spans="1:8" x14ac:dyDescent="0.25">
      <c r="A1748" s="73">
        <v>44758</v>
      </c>
      <c r="B1748" s="74" t="s">
        <v>23077</v>
      </c>
      <c r="C1748" s="75" t="s">
        <v>79</v>
      </c>
      <c r="D1748" s="81">
        <v>9813.2000000000007</v>
      </c>
      <c r="E1748" s="151">
        <v>44759</v>
      </c>
      <c r="F1748" s="81">
        <v>9813.2000000000007</v>
      </c>
      <c r="G1748" s="156">
        <f>Tabla18[[#This Row],[Importe]]-Tabla18[[#This Row],[Pagado]]</f>
        <v>0</v>
      </c>
      <c r="H1748" s="75" t="s">
        <v>10</v>
      </c>
    </row>
    <row r="1749" spans="1:8" x14ac:dyDescent="0.25">
      <c r="A1749" s="148">
        <v>44758</v>
      </c>
      <c r="B1749" s="149" t="s">
        <v>23078</v>
      </c>
      <c r="C1749" s="153" t="s">
        <v>58</v>
      </c>
      <c r="D1749" s="154">
        <v>4367.7</v>
      </c>
      <c r="E1749" s="155">
        <v>44758</v>
      </c>
      <c r="F1749" s="154">
        <v>4367.7</v>
      </c>
      <c r="G1749" s="156">
        <f>Tabla18[[#This Row],[Importe]]-Tabla18[[#This Row],[Pagado]]</f>
        <v>0</v>
      </c>
      <c r="H1749" s="153" t="s">
        <v>10</v>
      </c>
    </row>
    <row r="1750" spans="1:8" x14ac:dyDescent="0.25">
      <c r="A1750" s="73">
        <v>44758</v>
      </c>
      <c r="B1750" s="74" t="s">
        <v>23079</v>
      </c>
      <c r="C1750" s="75" t="s">
        <v>1676</v>
      </c>
      <c r="D1750" s="81">
        <v>4111.8</v>
      </c>
      <c r="E1750" s="151">
        <v>44758</v>
      </c>
      <c r="F1750" s="81">
        <v>4111.8</v>
      </c>
      <c r="G1750" s="156">
        <f>Tabla18[[#This Row],[Importe]]-Tabla18[[#This Row],[Pagado]]</f>
        <v>0</v>
      </c>
      <c r="H1750" s="75" t="s">
        <v>10</v>
      </c>
    </row>
    <row r="1751" spans="1:8" x14ac:dyDescent="0.25">
      <c r="A1751" s="148">
        <v>44758</v>
      </c>
      <c r="B1751" s="149" t="s">
        <v>23080</v>
      </c>
      <c r="C1751" s="153" t="s">
        <v>24</v>
      </c>
      <c r="D1751" s="154">
        <v>1044</v>
      </c>
      <c r="E1751" s="155">
        <v>44758</v>
      </c>
      <c r="F1751" s="154">
        <v>1044</v>
      </c>
      <c r="G1751" s="156">
        <f>Tabla18[[#This Row],[Importe]]-Tabla18[[#This Row],[Pagado]]</f>
        <v>0</v>
      </c>
      <c r="H1751" s="153" t="s">
        <v>10</v>
      </c>
    </row>
    <row r="1752" spans="1:8" x14ac:dyDescent="0.25">
      <c r="A1752" s="73">
        <v>44758</v>
      </c>
      <c r="B1752" s="74" t="s">
        <v>23081</v>
      </c>
      <c r="C1752" s="75" t="s">
        <v>67</v>
      </c>
      <c r="D1752" s="81">
        <v>2494.1</v>
      </c>
      <c r="E1752" s="151">
        <v>44758</v>
      </c>
      <c r="F1752" s="81">
        <v>2494.1</v>
      </c>
      <c r="G1752" s="156">
        <f>Tabla18[[#This Row],[Importe]]-Tabla18[[#This Row],[Pagado]]</f>
        <v>0</v>
      </c>
      <c r="H1752" s="75" t="s">
        <v>10</v>
      </c>
    </row>
    <row r="1753" spans="1:8" x14ac:dyDescent="0.25">
      <c r="A1753" s="148">
        <v>44758</v>
      </c>
      <c r="B1753" s="149" t="s">
        <v>23082</v>
      </c>
      <c r="C1753" s="153" t="s">
        <v>31</v>
      </c>
      <c r="D1753" s="154">
        <v>62382.6</v>
      </c>
      <c r="E1753" s="155">
        <v>44758</v>
      </c>
      <c r="F1753" s="154">
        <v>62382.6</v>
      </c>
      <c r="G1753" s="156">
        <f>Tabla18[[#This Row],[Importe]]-Tabla18[[#This Row],[Pagado]]</f>
        <v>0</v>
      </c>
      <c r="H1753" s="153" t="s">
        <v>10</v>
      </c>
    </row>
    <row r="1754" spans="1:8" x14ac:dyDescent="0.25">
      <c r="A1754" s="73">
        <v>44758</v>
      </c>
      <c r="B1754" s="74" t="s">
        <v>23083</v>
      </c>
      <c r="C1754" s="75" t="s">
        <v>934</v>
      </c>
      <c r="D1754" s="81">
        <v>53898.27</v>
      </c>
      <c r="E1754" s="151">
        <v>44758</v>
      </c>
      <c r="F1754" s="81">
        <v>53898.27</v>
      </c>
      <c r="G1754" s="156">
        <f>Tabla18[[#This Row],[Importe]]-Tabla18[[#This Row],[Pagado]]</f>
        <v>0</v>
      </c>
      <c r="H1754" s="75" t="s">
        <v>10</v>
      </c>
    </row>
    <row r="1755" spans="1:8" x14ac:dyDescent="0.25">
      <c r="A1755" s="148">
        <v>44758</v>
      </c>
      <c r="B1755" s="149" t="s">
        <v>23084</v>
      </c>
      <c r="C1755" s="153" t="s">
        <v>289</v>
      </c>
      <c r="D1755" s="154">
        <v>15080.4</v>
      </c>
      <c r="E1755" s="155">
        <v>44758</v>
      </c>
      <c r="F1755" s="154">
        <v>15080.4</v>
      </c>
      <c r="G1755" s="156">
        <f>Tabla18[[#This Row],[Importe]]-Tabla18[[#This Row],[Pagado]]</f>
        <v>0</v>
      </c>
      <c r="H1755" s="153" t="s">
        <v>10</v>
      </c>
    </row>
    <row r="1756" spans="1:8" x14ac:dyDescent="0.25">
      <c r="A1756" s="73">
        <v>44758</v>
      </c>
      <c r="B1756" s="74" t="s">
        <v>23085</v>
      </c>
      <c r="C1756" s="75" t="s">
        <v>244</v>
      </c>
      <c r="D1756" s="81">
        <v>695.2</v>
      </c>
      <c r="E1756" s="151">
        <v>44758</v>
      </c>
      <c r="F1756" s="81">
        <v>695.2</v>
      </c>
      <c r="G1756" s="156">
        <f>Tabla18[[#This Row],[Importe]]-Tabla18[[#This Row],[Pagado]]</f>
        <v>0</v>
      </c>
      <c r="H1756" s="75" t="s">
        <v>10</v>
      </c>
    </row>
    <row r="1757" spans="1:8" x14ac:dyDescent="0.25">
      <c r="A1757" s="148">
        <v>44758</v>
      </c>
      <c r="B1757" s="149" t="s">
        <v>23086</v>
      </c>
      <c r="C1757" s="153" t="s">
        <v>419</v>
      </c>
      <c r="D1757" s="154">
        <v>6269</v>
      </c>
      <c r="E1757" s="155">
        <v>44758</v>
      </c>
      <c r="F1757" s="154">
        <v>6269</v>
      </c>
      <c r="G1757" s="156">
        <f>Tabla18[[#This Row],[Importe]]-Tabla18[[#This Row],[Pagado]]</f>
        <v>0</v>
      </c>
      <c r="H1757" s="153" t="s">
        <v>10</v>
      </c>
    </row>
    <row r="1758" spans="1:8" x14ac:dyDescent="0.25">
      <c r="A1758" s="73">
        <v>44758</v>
      </c>
      <c r="B1758" s="74" t="s">
        <v>23087</v>
      </c>
      <c r="C1758" s="75" t="s">
        <v>555</v>
      </c>
      <c r="D1758" s="81">
        <v>37527</v>
      </c>
      <c r="E1758" s="151">
        <v>44758</v>
      </c>
      <c r="F1758" s="81">
        <v>37527</v>
      </c>
      <c r="G1758" s="156">
        <f>Tabla18[[#This Row],[Importe]]-Tabla18[[#This Row],[Pagado]]</f>
        <v>0</v>
      </c>
      <c r="H1758" s="75" t="s">
        <v>10</v>
      </c>
    </row>
    <row r="1759" spans="1:8" x14ac:dyDescent="0.25">
      <c r="A1759" s="148">
        <v>44758</v>
      </c>
      <c r="B1759" s="149" t="s">
        <v>23088</v>
      </c>
      <c r="C1759" s="153" t="s">
        <v>22</v>
      </c>
      <c r="D1759" s="154">
        <v>13087.5</v>
      </c>
      <c r="E1759" s="155">
        <v>44759</v>
      </c>
      <c r="F1759" s="154">
        <v>13087.5</v>
      </c>
      <c r="G1759" s="156">
        <f>Tabla18[[#This Row],[Importe]]-Tabla18[[#This Row],[Pagado]]</f>
        <v>0</v>
      </c>
      <c r="H1759" s="153" t="s">
        <v>10</v>
      </c>
    </row>
    <row r="1760" spans="1:8" x14ac:dyDescent="0.25">
      <c r="A1760" s="73">
        <v>44758</v>
      </c>
      <c r="B1760" s="74" t="s">
        <v>23089</v>
      </c>
      <c r="C1760" s="75" t="s">
        <v>296</v>
      </c>
      <c r="D1760" s="81">
        <v>5086.7</v>
      </c>
      <c r="E1760" s="151">
        <v>44758</v>
      </c>
      <c r="F1760" s="81">
        <v>5086.7</v>
      </c>
      <c r="G1760" s="156">
        <f>Tabla18[[#This Row],[Importe]]-Tabla18[[#This Row],[Pagado]]</f>
        <v>0</v>
      </c>
      <c r="H1760" s="75" t="s">
        <v>10</v>
      </c>
    </row>
    <row r="1761" spans="1:8" x14ac:dyDescent="0.25">
      <c r="A1761" s="148">
        <v>44758</v>
      </c>
      <c r="B1761" s="149" t="s">
        <v>23090</v>
      </c>
      <c r="C1761" s="153" t="s">
        <v>214</v>
      </c>
      <c r="D1761" s="154">
        <v>1747.9</v>
      </c>
      <c r="E1761" s="155">
        <v>44758</v>
      </c>
      <c r="F1761" s="154">
        <v>1747.9</v>
      </c>
      <c r="G1761" s="156">
        <f>Tabla18[[#This Row],[Importe]]-Tabla18[[#This Row],[Pagado]]</f>
        <v>0</v>
      </c>
      <c r="H1761" s="153" t="s">
        <v>10</v>
      </c>
    </row>
    <row r="1762" spans="1:8" x14ac:dyDescent="0.25">
      <c r="A1762" s="73">
        <v>44758</v>
      </c>
      <c r="B1762" s="74" t="s">
        <v>23091</v>
      </c>
      <c r="C1762" s="75" t="s">
        <v>654</v>
      </c>
      <c r="D1762" s="81">
        <v>10405.6</v>
      </c>
      <c r="E1762" s="151">
        <v>44760</v>
      </c>
      <c r="F1762" s="81">
        <v>10405.6</v>
      </c>
      <c r="G1762" s="156">
        <f>Tabla18[[#This Row],[Importe]]-Tabla18[[#This Row],[Pagado]]</f>
        <v>0</v>
      </c>
      <c r="H1762" s="75" t="s">
        <v>10</v>
      </c>
    </row>
    <row r="1763" spans="1:8" x14ac:dyDescent="0.25">
      <c r="A1763" s="148">
        <v>44758</v>
      </c>
      <c r="B1763" s="149" t="s">
        <v>23092</v>
      </c>
      <c r="C1763" s="153" t="s">
        <v>442</v>
      </c>
      <c r="D1763" s="154">
        <v>12877</v>
      </c>
      <c r="E1763" s="155">
        <v>44758</v>
      </c>
      <c r="F1763" s="154">
        <v>12877</v>
      </c>
      <c r="G1763" s="156">
        <f>Tabla18[[#This Row],[Importe]]-Tabla18[[#This Row],[Pagado]]</f>
        <v>0</v>
      </c>
      <c r="H1763" s="153" t="s">
        <v>10</v>
      </c>
    </row>
    <row r="1764" spans="1:8" x14ac:dyDescent="0.25">
      <c r="A1764" s="73">
        <v>44758</v>
      </c>
      <c r="B1764" s="74" t="s">
        <v>23093</v>
      </c>
      <c r="C1764" s="75" t="s">
        <v>421</v>
      </c>
      <c r="D1764" s="81">
        <v>5322.5</v>
      </c>
      <c r="E1764" s="151">
        <v>44758</v>
      </c>
      <c r="F1764" s="81">
        <v>5322.5</v>
      </c>
      <c r="G1764" s="156">
        <f>Tabla18[[#This Row],[Importe]]-Tabla18[[#This Row],[Pagado]]</f>
        <v>0</v>
      </c>
      <c r="H1764" s="75" t="s">
        <v>10</v>
      </c>
    </row>
    <row r="1765" spans="1:8" x14ac:dyDescent="0.25">
      <c r="A1765" s="148">
        <v>44758</v>
      </c>
      <c r="B1765" s="149" t="s">
        <v>23094</v>
      </c>
      <c r="C1765" s="153" t="s">
        <v>16</v>
      </c>
      <c r="D1765" s="154">
        <v>2041.2</v>
      </c>
      <c r="E1765" s="155">
        <v>44758</v>
      </c>
      <c r="F1765" s="154">
        <v>2041.2</v>
      </c>
      <c r="G1765" s="156">
        <f>Tabla18[[#This Row],[Importe]]-Tabla18[[#This Row],[Pagado]]</f>
        <v>0</v>
      </c>
      <c r="H1765" s="153" t="s">
        <v>10</v>
      </c>
    </row>
    <row r="1766" spans="1:8" x14ac:dyDescent="0.25">
      <c r="A1766" s="73">
        <v>44758</v>
      </c>
      <c r="B1766" s="74" t="s">
        <v>23095</v>
      </c>
      <c r="C1766" s="75" t="s">
        <v>53</v>
      </c>
      <c r="D1766" s="81">
        <v>1600</v>
      </c>
      <c r="E1766" s="151">
        <v>44758</v>
      </c>
      <c r="F1766" s="81">
        <v>1600</v>
      </c>
      <c r="G1766" s="156">
        <f>Tabla18[[#This Row],[Importe]]-Tabla18[[#This Row],[Pagado]]</f>
        <v>0</v>
      </c>
      <c r="H1766" s="75" t="s">
        <v>10</v>
      </c>
    </row>
    <row r="1767" spans="1:8" x14ac:dyDescent="0.25">
      <c r="A1767" s="148">
        <v>44758</v>
      </c>
      <c r="B1767" s="149" t="s">
        <v>23096</v>
      </c>
      <c r="C1767" s="153" t="s">
        <v>27</v>
      </c>
      <c r="D1767" s="154">
        <v>780</v>
      </c>
      <c r="E1767" s="155">
        <v>44758</v>
      </c>
      <c r="F1767" s="154">
        <v>780</v>
      </c>
      <c r="G1767" s="156">
        <f>Tabla18[[#This Row],[Importe]]-Tabla18[[#This Row],[Pagado]]</f>
        <v>0</v>
      </c>
      <c r="H1767" s="153" t="s">
        <v>10</v>
      </c>
    </row>
    <row r="1768" spans="1:8" x14ac:dyDescent="0.25">
      <c r="A1768" s="73">
        <v>44758</v>
      </c>
      <c r="B1768" s="74" t="s">
        <v>23097</v>
      </c>
      <c r="C1768" s="75" t="s">
        <v>1421</v>
      </c>
      <c r="D1768" s="81">
        <v>42555.5</v>
      </c>
      <c r="E1768" s="151">
        <v>44758</v>
      </c>
      <c r="F1768" s="81">
        <v>42555.5</v>
      </c>
      <c r="G1768" s="156">
        <f>Tabla18[[#This Row],[Importe]]-Tabla18[[#This Row],[Pagado]]</f>
        <v>0</v>
      </c>
      <c r="H1768" s="75" t="s">
        <v>10</v>
      </c>
    </row>
    <row r="1769" spans="1:8" x14ac:dyDescent="0.25">
      <c r="A1769" s="148">
        <v>44758</v>
      </c>
      <c r="B1769" s="149" t="s">
        <v>23098</v>
      </c>
      <c r="C1769" s="153" t="s">
        <v>431</v>
      </c>
      <c r="D1769" s="154">
        <v>1310.5</v>
      </c>
      <c r="E1769" s="155">
        <v>44759</v>
      </c>
      <c r="F1769" s="154">
        <v>1310.5</v>
      </c>
      <c r="G1769" s="156">
        <f>Tabla18[[#This Row],[Importe]]-Tabla18[[#This Row],[Pagado]]</f>
        <v>0</v>
      </c>
      <c r="H1769" s="153" t="s">
        <v>10</v>
      </c>
    </row>
    <row r="1770" spans="1:8" x14ac:dyDescent="0.25">
      <c r="A1770" s="73">
        <v>44758</v>
      </c>
      <c r="B1770" s="74" t="s">
        <v>23099</v>
      </c>
      <c r="C1770" s="75" t="s">
        <v>280</v>
      </c>
      <c r="D1770" s="81">
        <v>3534.3</v>
      </c>
      <c r="E1770" s="151">
        <v>44759</v>
      </c>
      <c r="F1770" s="81">
        <v>3534.3</v>
      </c>
      <c r="G1770" s="156">
        <f>Tabla18[[#This Row],[Importe]]-Tabla18[[#This Row],[Pagado]]</f>
        <v>0</v>
      </c>
      <c r="H1770" s="75" t="s">
        <v>10</v>
      </c>
    </row>
    <row r="1771" spans="1:8" x14ac:dyDescent="0.25">
      <c r="A1771" s="148">
        <v>44758</v>
      </c>
      <c r="B1771" s="149" t="s">
        <v>23100</v>
      </c>
      <c r="C1771" s="153" t="s">
        <v>282</v>
      </c>
      <c r="D1771" s="154">
        <v>2941.4</v>
      </c>
      <c r="E1771" s="155">
        <v>44759</v>
      </c>
      <c r="F1771" s="154">
        <v>2941.4</v>
      </c>
      <c r="G1771" s="156">
        <f>Tabla18[[#This Row],[Importe]]-Tabla18[[#This Row],[Pagado]]</f>
        <v>0</v>
      </c>
      <c r="H1771" s="153" t="s">
        <v>10</v>
      </c>
    </row>
    <row r="1772" spans="1:8" x14ac:dyDescent="0.25">
      <c r="A1772" s="73">
        <v>44758</v>
      </c>
      <c r="B1772" s="74" t="s">
        <v>23101</v>
      </c>
      <c r="C1772" s="75" t="s">
        <v>284</v>
      </c>
      <c r="D1772" s="81">
        <v>20820.8</v>
      </c>
      <c r="E1772" s="151">
        <v>44759</v>
      </c>
      <c r="F1772" s="81">
        <v>20820.8</v>
      </c>
      <c r="G1772" s="156">
        <f>Tabla18[[#This Row],[Importe]]-Tabla18[[#This Row],[Pagado]]</f>
        <v>0</v>
      </c>
      <c r="H1772" s="75" t="s">
        <v>10</v>
      </c>
    </row>
    <row r="1773" spans="1:8" x14ac:dyDescent="0.25">
      <c r="A1773" s="148">
        <v>44758</v>
      </c>
      <c r="B1773" s="149" t="s">
        <v>23102</v>
      </c>
      <c r="C1773" s="153" t="s">
        <v>5345</v>
      </c>
      <c r="D1773" s="154">
        <v>9178.4</v>
      </c>
      <c r="E1773" s="155">
        <v>44759</v>
      </c>
      <c r="F1773" s="154">
        <v>9178.4</v>
      </c>
      <c r="G1773" s="156">
        <f>Tabla18[[#This Row],[Importe]]-Tabla18[[#This Row],[Pagado]]</f>
        <v>0</v>
      </c>
      <c r="H1773" s="153" t="s">
        <v>10</v>
      </c>
    </row>
    <row r="1774" spans="1:8" x14ac:dyDescent="0.25">
      <c r="A1774" s="73">
        <v>44758</v>
      </c>
      <c r="B1774" s="74" t="s">
        <v>23103</v>
      </c>
      <c r="C1774" s="75" t="s">
        <v>10840</v>
      </c>
      <c r="D1774" s="81">
        <v>201.6</v>
      </c>
      <c r="E1774" s="151">
        <v>44758</v>
      </c>
      <c r="F1774" s="81">
        <v>201.6</v>
      </c>
      <c r="G1774" s="156">
        <f>Tabla18[[#This Row],[Importe]]-Tabla18[[#This Row],[Pagado]]</f>
        <v>0</v>
      </c>
      <c r="H1774" s="75" t="s">
        <v>10</v>
      </c>
    </row>
    <row r="1775" spans="1:8" x14ac:dyDescent="0.25">
      <c r="A1775" s="148">
        <v>44758</v>
      </c>
      <c r="B1775" s="149" t="s">
        <v>23104</v>
      </c>
      <c r="C1775" s="153" t="s">
        <v>31</v>
      </c>
      <c r="D1775" s="154">
        <v>2284</v>
      </c>
      <c r="E1775" s="155">
        <v>44758</v>
      </c>
      <c r="F1775" s="154">
        <v>2284</v>
      </c>
      <c r="G1775" s="156">
        <f>Tabla18[[#This Row],[Importe]]-Tabla18[[#This Row],[Pagado]]</f>
        <v>0</v>
      </c>
      <c r="H1775" s="153" t="s">
        <v>10</v>
      </c>
    </row>
    <row r="1776" spans="1:8" x14ac:dyDescent="0.25">
      <c r="A1776" s="73">
        <v>44758</v>
      </c>
      <c r="B1776" s="74" t="s">
        <v>23105</v>
      </c>
      <c r="C1776" s="75" t="s">
        <v>67</v>
      </c>
      <c r="D1776" s="81">
        <v>348</v>
      </c>
      <c r="E1776" s="151">
        <v>44758</v>
      </c>
      <c r="F1776" s="81">
        <v>348</v>
      </c>
      <c r="G1776" s="156">
        <f>Tabla18[[#This Row],[Importe]]-Tabla18[[#This Row],[Pagado]]</f>
        <v>0</v>
      </c>
      <c r="H1776" s="75" t="s">
        <v>10</v>
      </c>
    </row>
    <row r="1777" spans="1:8" x14ac:dyDescent="0.25">
      <c r="A1777" s="148">
        <v>44758</v>
      </c>
      <c r="B1777" s="149" t="s">
        <v>23106</v>
      </c>
      <c r="C1777" s="153" t="s">
        <v>296</v>
      </c>
      <c r="D1777" s="154">
        <v>1760</v>
      </c>
      <c r="E1777" s="155">
        <v>44758</v>
      </c>
      <c r="F1777" s="154">
        <v>1760</v>
      </c>
      <c r="G1777" s="156">
        <f>Tabla18[[#This Row],[Importe]]-Tabla18[[#This Row],[Pagado]]</f>
        <v>0</v>
      </c>
      <c r="H1777" s="153" t="s">
        <v>10</v>
      </c>
    </row>
    <row r="1778" spans="1:8" x14ac:dyDescent="0.25">
      <c r="A1778" s="73">
        <v>44758</v>
      </c>
      <c r="B1778" s="74" t="s">
        <v>23107</v>
      </c>
      <c r="C1778" s="75" t="s">
        <v>857</v>
      </c>
      <c r="D1778" s="81">
        <v>2290.4</v>
      </c>
      <c r="E1778" s="151">
        <v>44758</v>
      </c>
      <c r="F1778" s="81">
        <v>2290.4</v>
      </c>
      <c r="G1778" s="156">
        <f>Tabla18[[#This Row],[Importe]]-Tabla18[[#This Row],[Pagado]]</f>
        <v>0</v>
      </c>
      <c r="H1778" s="75" t="s">
        <v>10</v>
      </c>
    </row>
    <row r="1779" spans="1:8" x14ac:dyDescent="0.25">
      <c r="A1779" s="148">
        <v>44758</v>
      </c>
      <c r="B1779" s="149" t="s">
        <v>23108</v>
      </c>
      <c r="C1779" s="153" t="s">
        <v>175</v>
      </c>
      <c r="D1779" s="154">
        <v>28771.200000000001</v>
      </c>
      <c r="E1779" s="155">
        <v>44759</v>
      </c>
      <c r="F1779" s="154">
        <v>28771.200000000001</v>
      </c>
      <c r="G1779" s="156">
        <f>Tabla18[[#This Row],[Importe]]-Tabla18[[#This Row],[Pagado]]</f>
        <v>0</v>
      </c>
      <c r="H1779" s="153" t="s">
        <v>10</v>
      </c>
    </row>
    <row r="1780" spans="1:8" x14ac:dyDescent="0.25">
      <c r="A1780" s="73">
        <v>44758</v>
      </c>
      <c r="B1780" s="74" t="s">
        <v>23109</v>
      </c>
      <c r="C1780" s="75" t="s">
        <v>142</v>
      </c>
      <c r="D1780" s="81">
        <v>4920</v>
      </c>
      <c r="E1780" s="151">
        <v>44799</v>
      </c>
      <c r="F1780" s="81">
        <v>4920</v>
      </c>
      <c r="G1780" s="156">
        <f>Tabla18[[#This Row],[Importe]]-Tabla18[[#This Row],[Pagado]]</f>
        <v>0</v>
      </c>
      <c r="H1780" s="75" t="s">
        <v>10</v>
      </c>
    </row>
    <row r="1781" spans="1:8" x14ac:dyDescent="0.25">
      <c r="A1781" s="148">
        <v>44758</v>
      </c>
      <c r="B1781" s="149" t="s">
        <v>23110</v>
      </c>
      <c r="C1781" s="153" t="s">
        <v>37</v>
      </c>
      <c r="D1781" s="154">
        <v>2512</v>
      </c>
      <c r="E1781" s="155">
        <v>44758</v>
      </c>
      <c r="F1781" s="154">
        <v>2512</v>
      </c>
      <c r="G1781" s="156">
        <f>Tabla18[[#This Row],[Importe]]-Tabla18[[#This Row],[Pagado]]</f>
        <v>0</v>
      </c>
      <c r="H1781" s="153" t="s">
        <v>10</v>
      </c>
    </row>
    <row r="1782" spans="1:8" x14ac:dyDescent="0.25">
      <c r="A1782" s="73">
        <v>44758</v>
      </c>
      <c r="B1782" s="74" t="s">
        <v>23111</v>
      </c>
      <c r="C1782" s="75" t="s">
        <v>91</v>
      </c>
      <c r="D1782" s="81">
        <v>11550</v>
      </c>
      <c r="E1782" s="151">
        <v>44760</v>
      </c>
      <c r="F1782" s="81">
        <v>11550</v>
      </c>
      <c r="G1782" s="156">
        <f>Tabla18[[#This Row],[Importe]]-Tabla18[[#This Row],[Pagado]]</f>
        <v>0</v>
      </c>
      <c r="H1782" s="75" t="s">
        <v>10</v>
      </c>
    </row>
    <row r="1783" spans="1:8" x14ac:dyDescent="0.25">
      <c r="A1783" s="148">
        <v>44758</v>
      </c>
      <c r="B1783" s="149" t="s">
        <v>23112</v>
      </c>
      <c r="C1783" s="153" t="s">
        <v>463</v>
      </c>
      <c r="D1783" s="154">
        <v>550</v>
      </c>
      <c r="E1783" s="155">
        <v>44758</v>
      </c>
      <c r="F1783" s="154">
        <v>550</v>
      </c>
      <c r="G1783" s="156">
        <f>Tabla18[[#This Row],[Importe]]-Tabla18[[#This Row],[Pagado]]</f>
        <v>0</v>
      </c>
      <c r="H1783" s="153" t="s">
        <v>10</v>
      </c>
    </row>
    <row r="1784" spans="1:8" x14ac:dyDescent="0.25">
      <c r="A1784" s="73">
        <v>44758</v>
      </c>
      <c r="B1784" s="74" t="s">
        <v>23113</v>
      </c>
      <c r="C1784" s="75" t="s">
        <v>461</v>
      </c>
      <c r="D1784" s="81">
        <v>394</v>
      </c>
      <c r="E1784" s="151">
        <v>44758</v>
      </c>
      <c r="F1784" s="81">
        <v>394</v>
      </c>
      <c r="G1784" s="156">
        <f>Tabla18[[#This Row],[Importe]]-Tabla18[[#This Row],[Pagado]]</f>
        <v>0</v>
      </c>
      <c r="H1784" s="75" t="s">
        <v>10</v>
      </c>
    </row>
    <row r="1785" spans="1:8" x14ac:dyDescent="0.25">
      <c r="A1785" s="148">
        <v>44758</v>
      </c>
      <c r="B1785" s="149" t="s">
        <v>23114</v>
      </c>
      <c r="C1785" s="153" t="s">
        <v>459</v>
      </c>
      <c r="D1785" s="154">
        <v>213</v>
      </c>
      <c r="E1785" s="155">
        <v>44758</v>
      </c>
      <c r="F1785" s="154">
        <v>213</v>
      </c>
      <c r="G1785" s="156">
        <f>Tabla18[[#This Row],[Importe]]-Tabla18[[#This Row],[Pagado]]</f>
        <v>0</v>
      </c>
      <c r="H1785" s="153" t="s">
        <v>10</v>
      </c>
    </row>
    <row r="1786" spans="1:8" x14ac:dyDescent="0.25">
      <c r="A1786" s="73">
        <v>44758</v>
      </c>
      <c r="B1786" s="74" t="s">
        <v>23115</v>
      </c>
      <c r="C1786" s="75" t="s">
        <v>457</v>
      </c>
      <c r="D1786" s="81">
        <v>198</v>
      </c>
      <c r="E1786" s="151">
        <v>44758</v>
      </c>
      <c r="F1786" s="81">
        <v>198</v>
      </c>
      <c r="G1786" s="156">
        <f>Tabla18[[#This Row],[Importe]]-Tabla18[[#This Row],[Pagado]]</f>
        <v>0</v>
      </c>
      <c r="H1786" s="75" t="s">
        <v>10</v>
      </c>
    </row>
    <row r="1787" spans="1:8" x14ac:dyDescent="0.25">
      <c r="A1787" s="148">
        <v>44758</v>
      </c>
      <c r="B1787" s="149" t="s">
        <v>23116</v>
      </c>
      <c r="C1787" s="153" t="s">
        <v>31</v>
      </c>
      <c r="D1787" s="154">
        <v>624</v>
      </c>
      <c r="E1787" s="155">
        <v>44760</v>
      </c>
      <c r="F1787" s="154">
        <v>624</v>
      </c>
      <c r="G1787" s="156">
        <f>Tabla18[[#This Row],[Importe]]-Tabla18[[#This Row],[Pagado]]</f>
        <v>0</v>
      </c>
      <c r="H1787" s="153" t="s">
        <v>10</v>
      </c>
    </row>
    <row r="1788" spans="1:8" x14ac:dyDescent="0.25">
      <c r="A1788" s="73">
        <v>44759</v>
      </c>
      <c r="B1788" s="74" t="s">
        <v>23117</v>
      </c>
      <c r="C1788" s="75" t="s">
        <v>1187</v>
      </c>
      <c r="D1788" s="81">
        <v>3219.5</v>
      </c>
      <c r="E1788" s="151">
        <v>44759</v>
      </c>
      <c r="F1788" s="81">
        <v>3219.5</v>
      </c>
      <c r="G1788" s="156">
        <f>Tabla18[[#This Row],[Importe]]-Tabla18[[#This Row],[Pagado]]</f>
        <v>0</v>
      </c>
      <c r="H1788" s="75" t="s">
        <v>10</v>
      </c>
    </row>
    <row r="1789" spans="1:8" x14ac:dyDescent="0.25">
      <c r="A1789" s="148">
        <v>44759</v>
      </c>
      <c r="B1789" s="149" t="s">
        <v>23118</v>
      </c>
      <c r="C1789" s="153" t="s">
        <v>9</v>
      </c>
      <c r="D1789" s="154">
        <v>12346.9</v>
      </c>
      <c r="E1789" s="155">
        <v>44759</v>
      </c>
      <c r="F1789" s="154">
        <v>12346.9</v>
      </c>
      <c r="G1789" s="156">
        <f>Tabla18[[#This Row],[Importe]]-Tabla18[[#This Row],[Pagado]]</f>
        <v>0</v>
      </c>
      <c r="H1789" s="153" t="s">
        <v>10</v>
      </c>
    </row>
    <row r="1790" spans="1:8" ht="31.5" x14ac:dyDescent="0.25">
      <c r="A1790" s="73">
        <v>44759</v>
      </c>
      <c r="B1790" s="74" t="s">
        <v>23119</v>
      </c>
      <c r="C1790" s="75" t="s">
        <v>475</v>
      </c>
      <c r="D1790" s="81">
        <v>69378.3</v>
      </c>
      <c r="E1790" s="147" t="s">
        <v>23120</v>
      </c>
      <c r="F1790" s="81">
        <f>61400+7978.3</f>
        <v>69378.3</v>
      </c>
      <c r="G1790" s="156">
        <f>Tabla18[[#This Row],[Importe]]-Tabla18[[#This Row],[Pagado]]</f>
        <v>0</v>
      </c>
      <c r="H1790" s="75" t="s">
        <v>10</v>
      </c>
    </row>
    <row r="1791" spans="1:8" x14ac:dyDescent="0.25">
      <c r="A1791" s="148">
        <v>44759</v>
      </c>
      <c r="B1791" s="149" t="s">
        <v>23121</v>
      </c>
      <c r="C1791" s="153" t="s">
        <v>12</v>
      </c>
      <c r="D1791" s="154">
        <v>5808</v>
      </c>
      <c r="E1791" s="155">
        <v>44759</v>
      </c>
      <c r="F1791" s="154">
        <v>5808</v>
      </c>
      <c r="G1791" s="156">
        <f>Tabla18[[#This Row],[Importe]]-Tabla18[[#This Row],[Pagado]]</f>
        <v>0</v>
      </c>
      <c r="H1791" s="153" t="s">
        <v>10</v>
      </c>
    </row>
    <row r="1792" spans="1:8" x14ac:dyDescent="0.25">
      <c r="A1792" s="73">
        <v>44759</v>
      </c>
      <c r="B1792" s="74" t="s">
        <v>23122</v>
      </c>
      <c r="C1792" s="75" t="s">
        <v>31</v>
      </c>
      <c r="D1792" s="81">
        <v>2124</v>
      </c>
      <c r="E1792" s="151">
        <v>44759</v>
      </c>
      <c r="F1792" s="81">
        <v>2124</v>
      </c>
      <c r="G1792" s="156">
        <f>Tabla18[[#This Row],[Importe]]-Tabla18[[#This Row],[Pagado]]</f>
        <v>0</v>
      </c>
      <c r="H1792" s="75" t="s">
        <v>10</v>
      </c>
    </row>
    <row r="1793" spans="1:8" x14ac:dyDescent="0.25">
      <c r="A1793" s="148">
        <v>44759</v>
      </c>
      <c r="B1793" s="149" t="s">
        <v>23123</v>
      </c>
      <c r="C1793" s="153" t="s">
        <v>31</v>
      </c>
      <c r="D1793" s="154">
        <v>1280</v>
      </c>
      <c r="E1793" s="155">
        <v>44759</v>
      </c>
      <c r="F1793" s="154">
        <v>1280</v>
      </c>
      <c r="G1793" s="156">
        <f>Tabla18[[#This Row],[Importe]]-Tabla18[[#This Row],[Pagado]]</f>
        <v>0</v>
      </c>
      <c r="H1793" s="153" t="s">
        <v>10</v>
      </c>
    </row>
    <row r="1794" spans="1:8" x14ac:dyDescent="0.25">
      <c r="A1794" s="73">
        <v>44759</v>
      </c>
      <c r="B1794" s="74" t="s">
        <v>23124</v>
      </c>
      <c r="C1794" s="75" t="s">
        <v>16</v>
      </c>
      <c r="D1794" s="81">
        <v>11382.9</v>
      </c>
      <c r="E1794" s="151">
        <v>44759</v>
      </c>
      <c r="F1794" s="81">
        <v>11382.9</v>
      </c>
      <c r="G1794" s="156">
        <f>Tabla18[[#This Row],[Importe]]-Tabla18[[#This Row],[Pagado]]</f>
        <v>0</v>
      </c>
      <c r="H1794" s="75" t="s">
        <v>10</v>
      </c>
    </row>
    <row r="1795" spans="1:8" x14ac:dyDescent="0.25">
      <c r="A1795" s="148">
        <v>44759</v>
      </c>
      <c r="B1795" s="149" t="s">
        <v>23125</v>
      </c>
      <c r="C1795" s="153" t="s">
        <v>31</v>
      </c>
      <c r="D1795" s="154">
        <v>96</v>
      </c>
      <c r="E1795" s="155">
        <v>44759</v>
      </c>
      <c r="F1795" s="154">
        <v>96</v>
      </c>
      <c r="G1795" s="156">
        <f>Tabla18[[#This Row],[Importe]]-Tabla18[[#This Row],[Pagado]]</f>
        <v>0</v>
      </c>
      <c r="H1795" s="153" t="s">
        <v>10</v>
      </c>
    </row>
    <row r="1796" spans="1:8" ht="31.5" x14ac:dyDescent="0.25">
      <c r="A1796" s="73">
        <v>44759</v>
      </c>
      <c r="B1796" s="74" t="s">
        <v>23126</v>
      </c>
      <c r="C1796" s="75" t="s">
        <v>22</v>
      </c>
      <c r="D1796" s="81">
        <v>80611.8</v>
      </c>
      <c r="E1796" s="147" t="s">
        <v>23017</v>
      </c>
      <c r="F1796" s="81">
        <f>58000+22611.8</f>
        <v>80611.8</v>
      </c>
      <c r="G1796" s="156">
        <f>Tabla18[[#This Row],[Importe]]-Tabla18[[#This Row],[Pagado]]</f>
        <v>0</v>
      </c>
      <c r="H1796" s="75" t="s">
        <v>10</v>
      </c>
    </row>
    <row r="1797" spans="1:8" x14ac:dyDescent="0.25">
      <c r="A1797" s="148">
        <v>44759</v>
      </c>
      <c r="B1797" s="149" t="s">
        <v>23127</v>
      </c>
      <c r="C1797" s="153" t="s">
        <v>31</v>
      </c>
      <c r="D1797" s="154">
        <v>48</v>
      </c>
      <c r="E1797" s="155">
        <v>44759</v>
      </c>
      <c r="F1797" s="154">
        <v>48</v>
      </c>
      <c r="G1797" s="156">
        <f>Tabla18[[#This Row],[Importe]]-Tabla18[[#This Row],[Pagado]]</f>
        <v>0</v>
      </c>
      <c r="H1797" s="153" t="s">
        <v>10</v>
      </c>
    </row>
    <row r="1798" spans="1:8" x14ac:dyDescent="0.25">
      <c r="A1798" s="73">
        <v>44759</v>
      </c>
      <c r="B1798" s="74" t="s">
        <v>23128</v>
      </c>
      <c r="C1798" s="75" t="s">
        <v>51</v>
      </c>
      <c r="D1798" s="81">
        <v>3347.3</v>
      </c>
      <c r="E1798" s="151">
        <v>44759</v>
      </c>
      <c r="F1798" s="81">
        <v>3347.3</v>
      </c>
      <c r="G1798" s="156">
        <f>Tabla18[[#This Row],[Importe]]-Tabla18[[#This Row],[Pagado]]</f>
        <v>0</v>
      </c>
      <c r="H1798" s="75" t="s">
        <v>10</v>
      </c>
    </row>
    <row r="1799" spans="1:8" x14ac:dyDescent="0.25">
      <c r="A1799" s="148">
        <v>44759</v>
      </c>
      <c r="B1799" s="149" t="s">
        <v>23129</v>
      </c>
      <c r="C1799" s="153" t="s">
        <v>466</v>
      </c>
      <c r="D1799" s="154">
        <v>3131.2</v>
      </c>
      <c r="E1799" s="155">
        <v>44759</v>
      </c>
      <c r="F1799" s="154">
        <v>3131.2</v>
      </c>
      <c r="G1799" s="156">
        <f>Tabla18[[#This Row],[Importe]]-Tabla18[[#This Row],[Pagado]]</f>
        <v>0</v>
      </c>
      <c r="H1799" s="153" t="s">
        <v>10</v>
      </c>
    </row>
    <row r="1800" spans="1:8" x14ac:dyDescent="0.25">
      <c r="A1800" s="73">
        <v>44759</v>
      </c>
      <c r="B1800" s="74" t="s">
        <v>23130</v>
      </c>
      <c r="C1800" s="75" t="s">
        <v>49</v>
      </c>
      <c r="D1800" s="81">
        <v>4905.8</v>
      </c>
      <c r="E1800" s="151">
        <v>44759</v>
      </c>
      <c r="F1800" s="81">
        <v>4905.8</v>
      </c>
      <c r="G1800" s="156">
        <f>Tabla18[[#This Row],[Importe]]-Tabla18[[#This Row],[Pagado]]</f>
        <v>0</v>
      </c>
      <c r="H1800" s="75" t="s">
        <v>10</v>
      </c>
    </row>
    <row r="1801" spans="1:8" x14ac:dyDescent="0.25">
      <c r="A1801" s="148">
        <v>44759</v>
      </c>
      <c r="B1801" s="149" t="s">
        <v>23131</v>
      </c>
      <c r="C1801" s="153" t="s">
        <v>450</v>
      </c>
      <c r="D1801" s="154">
        <v>4503</v>
      </c>
      <c r="E1801" s="155">
        <v>44759</v>
      </c>
      <c r="F1801" s="154">
        <v>4503</v>
      </c>
      <c r="G1801" s="156">
        <f>Tabla18[[#This Row],[Importe]]-Tabla18[[#This Row],[Pagado]]</f>
        <v>0</v>
      </c>
      <c r="H1801" s="153" t="s">
        <v>10</v>
      </c>
    </row>
    <row r="1802" spans="1:8" x14ac:dyDescent="0.25">
      <c r="A1802" s="73">
        <v>44759</v>
      </c>
      <c r="B1802" s="74" t="s">
        <v>23132</v>
      </c>
      <c r="C1802" s="75" t="s">
        <v>216</v>
      </c>
      <c r="D1802" s="81">
        <v>3182.4</v>
      </c>
      <c r="E1802" s="151">
        <v>44759</v>
      </c>
      <c r="F1802" s="81">
        <v>3182.4</v>
      </c>
      <c r="G1802" s="156">
        <f>Tabla18[[#This Row],[Importe]]-Tabla18[[#This Row],[Pagado]]</f>
        <v>0</v>
      </c>
      <c r="H1802" s="75" t="s">
        <v>10</v>
      </c>
    </row>
    <row r="1803" spans="1:8" x14ac:dyDescent="0.25">
      <c r="A1803" s="148">
        <v>44759</v>
      </c>
      <c r="B1803" s="149" t="s">
        <v>23133</v>
      </c>
      <c r="C1803" s="153" t="s">
        <v>15039</v>
      </c>
      <c r="D1803" s="154">
        <v>4346.3999999999996</v>
      </c>
      <c r="E1803" s="155">
        <v>44759</v>
      </c>
      <c r="F1803" s="154">
        <v>4346.3999999999996</v>
      </c>
      <c r="G1803" s="156">
        <f>Tabla18[[#This Row],[Importe]]-Tabla18[[#This Row],[Pagado]]</f>
        <v>0</v>
      </c>
      <c r="H1803" s="153" t="s">
        <v>10</v>
      </c>
    </row>
    <row r="1804" spans="1:8" x14ac:dyDescent="0.25">
      <c r="A1804" s="73">
        <v>44759</v>
      </c>
      <c r="B1804" s="74" t="s">
        <v>23134</v>
      </c>
      <c r="C1804" s="75" t="s">
        <v>326</v>
      </c>
      <c r="D1804" s="81">
        <v>7722.6</v>
      </c>
      <c r="E1804" s="151">
        <v>44759</v>
      </c>
      <c r="F1804" s="81">
        <v>7722.6</v>
      </c>
      <c r="G1804" s="156">
        <f>Tabla18[[#This Row],[Importe]]-Tabla18[[#This Row],[Pagado]]</f>
        <v>0</v>
      </c>
      <c r="H1804" s="75" t="s">
        <v>10</v>
      </c>
    </row>
    <row r="1805" spans="1:8" x14ac:dyDescent="0.25">
      <c r="A1805" s="148">
        <v>44759</v>
      </c>
      <c r="B1805" s="149" t="s">
        <v>23135</v>
      </c>
      <c r="C1805" s="153" t="s">
        <v>29</v>
      </c>
      <c r="D1805" s="154">
        <v>11076</v>
      </c>
      <c r="E1805" s="155">
        <v>44759</v>
      </c>
      <c r="F1805" s="154">
        <v>11076</v>
      </c>
      <c r="G1805" s="156">
        <f>Tabla18[[#This Row],[Importe]]-Tabla18[[#This Row],[Pagado]]</f>
        <v>0</v>
      </c>
      <c r="H1805" s="153" t="s">
        <v>10</v>
      </c>
    </row>
    <row r="1806" spans="1:8" x14ac:dyDescent="0.25">
      <c r="A1806" s="73">
        <v>44759</v>
      </c>
      <c r="B1806" s="74" t="s">
        <v>23136</v>
      </c>
      <c r="C1806" s="75" t="s">
        <v>20</v>
      </c>
      <c r="D1806" s="81">
        <v>1937.2</v>
      </c>
      <c r="E1806" s="151">
        <v>44759</v>
      </c>
      <c r="F1806" s="81">
        <v>1937.2</v>
      </c>
      <c r="G1806" s="156">
        <f>Tabla18[[#This Row],[Importe]]-Tabla18[[#This Row],[Pagado]]</f>
        <v>0</v>
      </c>
      <c r="H1806" s="75" t="s">
        <v>10</v>
      </c>
    </row>
    <row r="1807" spans="1:8" x14ac:dyDescent="0.25">
      <c r="A1807" s="148">
        <v>44759</v>
      </c>
      <c r="B1807" s="149" t="s">
        <v>23137</v>
      </c>
      <c r="C1807" s="153" t="s">
        <v>35</v>
      </c>
      <c r="D1807" s="154">
        <v>2549</v>
      </c>
      <c r="E1807" s="155">
        <v>44759</v>
      </c>
      <c r="F1807" s="154">
        <v>2549</v>
      </c>
      <c r="G1807" s="156">
        <f>Tabla18[[#This Row],[Importe]]-Tabla18[[#This Row],[Pagado]]</f>
        <v>0</v>
      </c>
      <c r="H1807" s="153" t="s">
        <v>10</v>
      </c>
    </row>
    <row r="1808" spans="1:8" x14ac:dyDescent="0.25">
      <c r="A1808" s="73">
        <v>44759</v>
      </c>
      <c r="B1808" s="74" t="s">
        <v>23138</v>
      </c>
      <c r="C1808" s="75" t="s">
        <v>24</v>
      </c>
      <c r="D1808" s="81">
        <v>5376.9</v>
      </c>
      <c r="E1808" s="151">
        <v>44759</v>
      </c>
      <c r="F1808" s="81">
        <v>5376.9</v>
      </c>
      <c r="G1808" s="156">
        <f>Tabla18[[#This Row],[Importe]]-Tabla18[[#This Row],[Pagado]]</f>
        <v>0</v>
      </c>
      <c r="H1808" s="75" t="s">
        <v>10</v>
      </c>
    </row>
    <row r="1809" spans="1:8" x14ac:dyDescent="0.25">
      <c r="A1809" s="148">
        <v>44759</v>
      </c>
      <c r="B1809" s="149" t="s">
        <v>23139</v>
      </c>
      <c r="C1809" s="153" t="s">
        <v>20</v>
      </c>
      <c r="D1809" s="154">
        <v>12979.2</v>
      </c>
      <c r="E1809" s="155">
        <v>44759</v>
      </c>
      <c r="F1809" s="154">
        <v>12979.2</v>
      </c>
      <c r="G1809" s="156">
        <f>Tabla18[[#This Row],[Importe]]-Tabla18[[#This Row],[Pagado]]</f>
        <v>0</v>
      </c>
      <c r="H1809" s="153" t="s">
        <v>10</v>
      </c>
    </row>
    <row r="1810" spans="1:8" x14ac:dyDescent="0.25">
      <c r="A1810" s="73">
        <v>44759</v>
      </c>
      <c r="B1810" s="74" t="s">
        <v>23140</v>
      </c>
      <c r="C1810" s="75" t="s">
        <v>1003</v>
      </c>
      <c r="D1810" s="81">
        <v>12545</v>
      </c>
      <c r="E1810" s="151">
        <v>44764</v>
      </c>
      <c r="F1810" s="81">
        <v>12545</v>
      </c>
      <c r="G1810" s="156">
        <f>Tabla18[[#This Row],[Importe]]-Tabla18[[#This Row],[Pagado]]</f>
        <v>0</v>
      </c>
      <c r="H1810" s="75" t="s">
        <v>10</v>
      </c>
    </row>
    <row r="1811" spans="1:8" x14ac:dyDescent="0.25">
      <c r="A1811" s="148">
        <v>44759</v>
      </c>
      <c r="B1811" s="149" t="s">
        <v>23141</v>
      </c>
      <c r="C1811" s="153" t="s">
        <v>196</v>
      </c>
      <c r="D1811" s="154">
        <v>77061</v>
      </c>
      <c r="E1811" s="155">
        <v>44765</v>
      </c>
      <c r="F1811" s="154">
        <v>77061</v>
      </c>
      <c r="G1811" s="156">
        <f>Tabla18[[#This Row],[Importe]]-Tabla18[[#This Row],[Pagado]]</f>
        <v>0</v>
      </c>
      <c r="H1811" s="153" t="s">
        <v>10</v>
      </c>
    </row>
    <row r="1812" spans="1:8" x14ac:dyDescent="0.25">
      <c r="A1812" s="73">
        <v>44759</v>
      </c>
      <c r="B1812" s="74" t="s">
        <v>23142</v>
      </c>
      <c r="C1812" s="75" t="s">
        <v>97</v>
      </c>
      <c r="D1812" s="81">
        <v>6732.8</v>
      </c>
      <c r="E1812" s="151">
        <v>44759</v>
      </c>
      <c r="F1812" s="81">
        <v>6732.8</v>
      </c>
      <c r="G1812" s="156">
        <f>Tabla18[[#This Row],[Importe]]-Tabla18[[#This Row],[Pagado]]</f>
        <v>0</v>
      </c>
      <c r="H1812" s="75" t="s">
        <v>10</v>
      </c>
    </row>
    <row r="1813" spans="1:8" x14ac:dyDescent="0.25">
      <c r="A1813" s="148">
        <v>44759</v>
      </c>
      <c r="B1813" s="149" t="s">
        <v>23143</v>
      </c>
      <c r="C1813" s="153" t="s">
        <v>45</v>
      </c>
      <c r="D1813" s="154">
        <v>8699.5</v>
      </c>
      <c r="E1813" s="155">
        <v>44759</v>
      </c>
      <c r="F1813" s="154">
        <v>8699.5</v>
      </c>
      <c r="G1813" s="156">
        <f>Tabla18[[#This Row],[Importe]]-Tabla18[[#This Row],[Pagado]]</f>
        <v>0</v>
      </c>
      <c r="H1813" s="153" t="s">
        <v>10</v>
      </c>
    </row>
    <row r="1814" spans="1:8" x14ac:dyDescent="0.25">
      <c r="A1814" s="73">
        <v>44759</v>
      </c>
      <c r="B1814" s="74" t="s">
        <v>23144</v>
      </c>
      <c r="C1814" s="75" t="s">
        <v>58</v>
      </c>
      <c r="D1814" s="81">
        <v>4758</v>
      </c>
      <c r="E1814" s="151">
        <v>44759</v>
      </c>
      <c r="F1814" s="81">
        <v>4758</v>
      </c>
      <c r="G1814" s="156">
        <f>Tabla18[[#This Row],[Importe]]-Tabla18[[#This Row],[Pagado]]</f>
        <v>0</v>
      </c>
      <c r="H1814" s="75" t="s">
        <v>10</v>
      </c>
    </row>
    <row r="1815" spans="1:8" x14ac:dyDescent="0.25">
      <c r="A1815" s="148">
        <v>44759</v>
      </c>
      <c r="B1815" s="149" t="s">
        <v>23145</v>
      </c>
      <c r="C1815" s="153" t="s">
        <v>191</v>
      </c>
      <c r="D1815" s="154">
        <v>2573</v>
      </c>
      <c r="E1815" s="155">
        <v>44759</v>
      </c>
      <c r="F1815" s="154">
        <v>2573</v>
      </c>
      <c r="G1815" s="156">
        <f>Tabla18[[#This Row],[Importe]]-Tabla18[[#This Row],[Pagado]]</f>
        <v>0</v>
      </c>
      <c r="H1815" s="153" t="s">
        <v>10</v>
      </c>
    </row>
    <row r="1816" spans="1:8" x14ac:dyDescent="0.25">
      <c r="A1816" s="73">
        <v>44759</v>
      </c>
      <c r="B1816" s="74" t="s">
        <v>23146</v>
      </c>
      <c r="C1816" s="75" t="s">
        <v>670</v>
      </c>
      <c r="D1816" s="81">
        <v>1586.8</v>
      </c>
      <c r="E1816" s="151">
        <v>44759</v>
      </c>
      <c r="F1816" s="81">
        <v>1586.8</v>
      </c>
      <c r="G1816" s="156">
        <f>Tabla18[[#This Row],[Importe]]-Tabla18[[#This Row],[Pagado]]</f>
        <v>0</v>
      </c>
      <c r="H1816" s="75" t="s">
        <v>10</v>
      </c>
    </row>
    <row r="1817" spans="1:8" x14ac:dyDescent="0.25">
      <c r="A1817" s="148">
        <v>44759</v>
      </c>
      <c r="B1817" s="149" t="s">
        <v>23147</v>
      </c>
      <c r="C1817" s="153" t="s">
        <v>69</v>
      </c>
      <c r="D1817" s="154">
        <v>3042</v>
      </c>
      <c r="E1817" s="155">
        <v>44759</v>
      </c>
      <c r="F1817" s="154">
        <v>3042</v>
      </c>
      <c r="G1817" s="156">
        <f>Tabla18[[#This Row],[Importe]]-Tabla18[[#This Row],[Pagado]]</f>
        <v>0</v>
      </c>
      <c r="H1817" s="153" t="s">
        <v>10</v>
      </c>
    </row>
    <row r="1818" spans="1:8" x14ac:dyDescent="0.25">
      <c r="A1818" s="73">
        <v>44759</v>
      </c>
      <c r="B1818" s="74" t="s">
        <v>23148</v>
      </c>
      <c r="C1818" s="75" t="s">
        <v>56</v>
      </c>
      <c r="D1818" s="81">
        <v>10814.1</v>
      </c>
      <c r="E1818" s="151">
        <v>44759</v>
      </c>
      <c r="F1818" s="81">
        <v>10814.1</v>
      </c>
      <c r="G1818" s="156">
        <f>Tabla18[[#This Row],[Importe]]-Tabla18[[#This Row],[Pagado]]</f>
        <v>0</v>
      </c>
      <c r="H1818" s="75" t="s">
        <v>10</v>
      </c>
    </row>
    <row r="1819" spans="1:8" x14ac:dyDescent="0.25">
      <c r="A1819" s="148">
        <v>44759</v>
      </c>
      <c r="B1819" s="149" t="s">
        <v>23149</v>
      </c>
      <c r="C1819" s="153" t="s">
        <v>31</v>
      </c>
      <c r="D1819" s="154">
        <v>1840.8</v>
      </c>
      <c r="E1819" s="155">
        <v>44759</v>
      </c>
      <c r="F1819" s="154">
        <v>1840.8</v>
      </c>
      <c r="G1819" s="156">
        <f>Tabla18[[#This Row],[Importe]]-Tabla18[[#This Row],[Pagado]]</f>
        <v>0</v>
      </c>
      <c r="H1819" s="153" t="s">
        <v>10</v>
      </c>
    </row>
    <row r="1820" spans="1:8" x14ac:dyDescent="0.25">
      <c r="A1820" s="73">
        <v>44759</v>
      </c>
      <c r="B1820" s="74" t="s">
        <v>23150</v>
      </c>
      <c r="C1820" s="75" t="s">
        <v>9993</v>
      </c>
      <c r="D1820" s="81">
        <v>47082</v>
      </c>
      <c r="E1820" s="151">
        <v>44759</v>
      </c>
      <c r="F1820" s="81">
        <v>47082</v>
      </c>
      <c r="G1820" s="156">
        <f>Tabla18[[#This Row],[Importe]]-Tabla18[[#This Row],[Pagado]]</f>
        <v>0</v>
      </c>
      <c r="H1820" s="75" t="s">
        <v>10</v>
      </c>
    </row>
    <row r="1821" spans="1:8" x14ac:dyDescent="0.25">
      <c r="A1821" s="148">
        <v>44759</v>
      </c>
      <c r="B1821" s="149" t="s">
        <v>23151</v>
      </c>
      <c r="C1821" s="153" t="s">
        <v>67</v>
      </c>
      <c r="D1821" s="154">
        <v>4387</v>
      </c>
      <c r="E1821" s="155">
        <v>44759</v>
      </c>
      <c r="F1821" s="154">
        <v>4387</v>
      </c>
      <c r="G1821" s="156">
        <f>Tabla18[[#This Row],[Importe]]-Tabla18[[#This Row],[Pagado]]</f>
        <v>0</v>
      </c>
      <c r="H1821" s="153" t="s">
        <v>10</v>
      </c>
    </row>
    <row r="1822" spans="1:8" x14ac:dyDescent="0.25">
      <c r="A1822" s="73">
        <v>44759</v>
      </c>
      <c r="B1822" s="74" t="s">
        <v>23152</v>
      </c>
      <c r="C1822" s="75" t="s">
        <v>16</v>
      </c>
      <c r="D1822" s="81">
        <v>1568.6</v>
      </c>
      <c r="E1822" s="151">
        <v>44759</v>
      </c>
      <c r="F1822" s="81">
        <v>1568.6</v>
      </c>
      <c r="G1822" s="156">
        <f>Tabla18[[#This Row],[Importe]]-Tabla18[[#This Row],[Pagado]]</f>
        <v>0</v>
      </c>
      <c r="H1822" s="75" t="s">
        <v>10</v>
      </c>
    </row>
    <row r="1823" spans="1:8" x14ac:dyDescent="0.25">
      <c r="A1823" s="148">
        <v>44759</v>
      </c>
      <c r="B1823" s="149" t="s">
        <v>23153</v>
      </c>
      <c r="C1823" s="153" t="s">
        <v>31</v>
      </c>
      <c r="D1823" s="154">
        <v>22438.3</v>
      </c>
      <c r="E1823" s="155">
        <v>44759</v>
      </c>
      <c r="F1823" s="154">
        <v>22438.3</v>
      </c>
      <c r="G1823" s="156">
        <f>Tabla18[[#This Row],[Importe]]-Tabla18[[#This Row],[Pagado]]</f>
        <v>0</v>
      </c>
      <c r="H1823" s="153" t="s">
        <v>10</v>
      </c>
    </row>
    <row r="1824" spans="1:8" x14ac:dyDescent="0.25">
      <c r="A1824" s="73">
        <v>44759</v>
      </c>
      <c r="B1824" s="74" t="s">
        <v>23154</v>
      </c>
      <c r="C1824" s="75" t="s">
        <v>244</v>
      </c>
      <c r="D1824" s="81">
        <v>1078.3</v>
      </c>
      <c r="E1824" s="151">
        <v>44759</v>
      </c>
      <c r="F1824" s="81">
        <v>1078.3</v>
      </c>
      <c r="G1824" s="156">
        <f>Tabla18[[#This Row],[Importe]]-Tabla18[[#This Row],[Pagado]]</f>
        <v>0</v>
      </c>
      <c r="H1824" s="75" t="s">
        <v>10</v>
      </c>
    </row>
    <row r="1825" spans="1:8" x14ac:dyDescent="0.25">
      <c r="A1825" s="148">
        <v>44759</v>
      </c>
      <c r="B1825" s="149" t="s">
        <v>23155</v>
      </c>
      <c r="C1825" s="153" t="s">
        <v>9993</v>
      </c>
      <c r="D1825" s="154">
        <v>7528.4</v>
      </c>
      <c r="E1825" s="155">
        <v>44759</v>
      </c>
      <c r="F1825" s="154">
        <v>7528.4</v>
      </c>
      <c r="G1825" s="156">
        <f>Tabla18[[#This Row],[Importe]]-Tabla18[[#This Row],[Pagado]]</f>
        <v>0</v>
      </c>
      <c r="H1825" s="153" t="s">
        <v>10</v>
      </c>
    </row>
    <row r="1826" spans="1:8" x14ac:dyDescent="0.25">
      <c r="A1826" s="73">
        <v>44759</v>
      </c>
      <c r="B1826" s="74" t="s">
        <v>23156</v>
      </c>
      <c r="C1826" s="75" t="s">
        <v>31</v>
      </c>
      <c r="D1826" s="81">
        <v>1801.8</v>
      </c>
      <c r="E1826" s="151">
        <v>44759</v>
      </c>
      <c r="F1826" s="81">
        <v>1801.8</v>
      </c>
      <c r="G1826" s="156">
        <f>Tabla18[[#This Row],[Importe]]-Tabla18[[#This Row],[Pagado]]</f>
        <v>0</v>
      </c>
      <c r="H1826" s="75" t="s">
        <v>10</v>
      </c>
    </row>
    <row r="1827" spans="1:8" x14ac:dyDescent="0.25">
      <c r="A1827" s="148">
        <v>44759</v>
      </c>
      <c r="B1827" s="149" t="s">
        <v>23157</v>
      </c>
      <c r="C1827" s="153" t="s">
        <v>31</v>
      </c>
      <c r="D1827" s="154">
        <v>1770.6</v>
      </c>
      <c r="E1827" s="155">
        <v>44759</v>
      </c>
      <c r="F1827" s="154">
        <v>1770.6</v>
      </c>
      <c r="G1827" s="156">
        <f>Tabla18[[#This Row],[Importe]]-Tabla18[[#This Row],[Pagado]]</f>
        <v>0</v>
      </c>
      <c r="H1827" s="153" t="s">
        <v>10</v>
      </c>
    </row>
    <row r="1828" spans="1:8" x14ac:dyDescent="0.25">
      <c r="A1828" s="73">
        <v>44759</v>
      </c>
      <c r="B1828" s="74" t="s">
        <v>23158</v>
      </c>
      <c r="C1828" s="75" t="s">
        <v>22</v>
      </c>
      <c r="D1828" s="81">
        <v>364.17</v>
      </c>
      <c r="E1828" s="151">
        <v>44759</v>
      </c>
      <c r="F1828" s="81">
        <v>364.17</v>
      </c>
      <c r="G1828" s="156">
        <f>Tabla18[[#This Row],[Importe]]-Tabla18[[#This Row],[Pagado]]</f>
        <v>0</v>
      </c>
      <c r="H1828" s="75" t="s">
        <v>10</v>
      </c>
    </row>
    <row r="1829" spans="1:8" x14ac:dyDescent="0.25">
      <c r="A1829" s="148">
        <v>44759</v>
      </c>
      <c r="B1829" s="149" t="s">
        <v>23159</v>
      </c>
      <c r="C1829" s="153" t="s">
        <v>296</v>
      </c>
      <c r="D1829" s="154">
        <v>3290.9</v>
      </c>
      <c r="E1829" s="155">
        <v>44759</v>
      </c>
      <c r="F1829" s="154">
        <v>3290.9</v>
      </c>
      <c r="G1829" s="156">
        <f>Tabla18[[#This Row],[Importe]]-Tabla18[[#This Row],[Pagado]]</f>
        <v>0</v>
      </c>
      <c r="H1829" s="153" t="s">
        <v>10</v>
      </c>
    </row>
    <row r="1830" spans="1:8" x14ac:dyDescent="0.25">
      <c r="A1830" s="73">
        <v>44759</v>
      </c>
      <c r="B1830" s="74" t="s">
        <v>23160</v>
      </c>
      <c r="C1830" s="75" t="s">
        <v>857</v>
      </c>
      <c r="D1830" s="81">
        <v>268</v>
      </c>
      <c r="E1830" s="151">
        <v>44759</v>
      </c>
      <c r="F1830" s="81">
        <v>268</v>
      </c>
      <c r="G1830" s="156">
        <f>Tabla18[[#This Row],[Importe]]-Tabla18[[#This Row],[Pagado]]</f>
        <v>0</v>
      </c>
      <c r="H1830" s="75" t="s">
        <v>10</v>
      </c>
    </row>
    <row r="1831" spans="1:8" x14ac:dyDescent="0.25">
      <c r="A1831" s="148">
        <v>44759</v>
      </c>
      <c r="B1831" s="149" t="s">
        <v>23161</v>
      </c>
      <c r="C1831" s="153" t="s">
        <v>53</v>
      </c>
      <c r="D1831" s="154">
        <v>616.79999999999995</v>
      </c>
      <c r="E1831" s="155">
        <v>44759</v>
      </c>
      <c r="F1831" s="154">
        <v>616.79999999999995</v>
      </c>
      <c r="G1831" s="156">
        <f>Tabla18[[#This Row],[Importe]]-Tabla18[[#This Row],[Pagado]]</f>
        <v>0</v>
      </c>
      <c r="H1831" s="153" t="s">
        <v>10</v>
      </c>
    </row>
    <row r="1832" spans="1:8" x14ac:dyDescent="0.25">
      <c r="A1832" s="73">
        <v>44759</v>
      </c>
      <c r="B1832" s="74" t="s">
        <v>23162</v>
      </c>
      <c r="C1832" s="75" t="s">
        <v>226</v>
      </c>
      <c r="D1832" s="81">
        <v>21304</v>
      </c>
      <c r="E1832" s="151">
        <v>44759</v>
      </c>
      <c r="F1832" s="81">
        <v>21304</v>
      </c>
      <c r="G1832" s="156">
        <f>Tabla18[[#This Row],[Importe]]-Tabla18[[#This Row],[Pagado]]</f>
        <v>0</v>
      </c>
      <c r="H1832" s="75" t="s">
        <v>10</v>
      </c>
    </row>
    <row r="1833" spans="1:8" x14ac:dyDescent="0.25">
      <c r="A1833" s="148">
        <v>44759</v>
      </c>
      <c r="B1833" s="149" t="s">
        <v>23163</v>
      </c>
      <c r="C1833" s="153" t="s">
        <v>35</v>
      </c>
      <c r="D1833" s="154">
        <v>617.79999999999995</v>
      </c>
      <c r="E1833" s="155">
        <v>44759</v>
      </c>
      <c r="F1833" s="154">
        <v>617.79999999999995</v>
      </c>
      <c r="G1833" s="156">
        <f>Tabla18[[#This Row],[Importe]]-Tabla18[[#This Row],[Pagado]]</f>
        <v>0</v>
      </c>
      <c r="H1833" s="153" t="s">
        <v>10</v>
      </c>
    </row>
    <row r="1834" spans="1:8" x14ac:dyDescent="0.25">
      <c r="A1834" s="73">
        <v>44759</v>
      </c>
      <c r="B1834" s="74" t="s">
        <v>23164</v>
      </c>
      <c r="C1834" s="75" t="s">
        <v>16</v>
      </c>
      <c r="D1834" s="81">
        <v>2448.5</v>
      </c>
      <c r="E1834" s="151">
        <v>44759</v>
      </c>
      <c r="F1834" s="81">
        <v>2448.5</v>
      </c>
      <c r="G1834" s="156">
        <f>Tabla18[[#This Row],[Importe]]-Tabla18[[#This Row],[Pagado]]</f>
        <v>0</v>
      </c>
      <c r="H1834" s="75" t="s">
        <v>10</v>
      </c>
    </row>
    <row r="1835" spans="1:8" x14ac:dyDescent="0.25">
      <c r="A1835" s="148">
        <v>44759</v>
      </c>
      <c r="B1835" s="149" t="s">
        <v>23165</v>
      </c>
      <c r="C1835" s="153" t="s">
        <v>214</v>
      </c>
      <c r="D1835" s="154">
        <v>1755</v>
      </c>
      <c r="E1835" s="155">
        <v>44759</v>
      </c>
      <c r="F1835" s="154">
        <v>1755</v>
      </c>
      <c r="G1835" s="156">
        <f>Tabla18[[#This Row],[Importe]]-Tabla18[[#This Row],[Pagado]]</f>
        <v>0</v>
      </c>
      <c r="H1835" s="153" t="s">
        <v>10</v>
      </c>
    </row>
    <row r="1836" spans="1:8" x14ac:dyDescent="0.25">
      <c r="A1836" s="73">
        <v>44759</v>
      </c>
      <c r="B1836" s="74" t="s">
        <v>23166</v>
      </c>
      <c r="C1836" s="75" t="s">
        <v>27</v>
      </c>
      <c r="D1836" s="81">
        <v>840</v>
      </c>
      <c r="E1836" s="151">
        <v>44759</v>
      </c>
      <c r="F1836" s="81">
        <v>840</v>
      </c>
      <c r="G1836" s="156">
        <f>Tabla18[[#This Row],[Importe]]-Tabla18[[#This Row],[Pagado]]</f>
        <v>0</v>
      </c>
      <c r="H1836" s="75" t="s">
        <v>10</v>
      </c>
    </row>
    <row r="1837" spans="1:8" x14ac:dyDescent="0.25">
      <c r="A1837" s="148">
        <v>44759</v>
      </c>
      <c r="B1837" s="149" t="s">
        <v>23167</v>
      </c>
      <c r="C1837" s="153" t="s">
        <v>67</v>
      </c>
      <c r="D1837" s="154">
        <v>1607.2</v>
      </c>
      <c r="E1837" s="155">
        <v>44759</v>
      </c>
      <c r="F1837" s="154">
        <v>1607.2</v>
      </c>
      <c r="G1837" s="156">
        <f>Tabla18[[#This Row],[Importe]]-Tabla18[[#This Row],[Pagado]]</f>
        <v>0</v>
      </c>
      <c r="H1837" s="153" t="s">
        <v>10</v>
      </c>
    </row>
    <row r="1838" spans="1:8" x14ac:dyDescent="0.25">
      <c r="A1838" s="73">
        <v>44759</v>
      </c>
      <c r="B1838" s="74" t="s">
        <v>23168</v>
      </c>
      <c r="C1838" s="75" t="s">
        <v>7745</v>
      </c>
      <c r="D1838" s="81">
        <v>24960</v>
      </c>
      <c r="E1838" s="151">
        <v>44759</v>
      </c>
      <c r="F1838" s="81">
        <v>24960</v>
      </c>
      <c r="G1838" s="156">
        <f>Tabla18[[#This Row],[Importe]]-Tabla18[[#This Row],[Pagado]]</f>
        <v>0</v>
      </c>
      <c r="H1838" s="75" t="s">
        <v>10</v>
      </c>
    </row>
    <row r="1839" spans="1:8" x14ac:dyDescent="0.25">
      <c r="A1839" s="148">
        <v>44759</v>
      </c>
      <c r="B1839" s="149" t="s">
        <v>23169</v>
      </c>
      <c r="C1839" s="153" t="s">
        <v>191</v>
      </c>
      <c r="D1839" s="154">
        <v>676.2</v>
      </c>
      <c r="E1839" s="155">
        <v>44759</v>
      </c>
      <c r="F1839" s="154">
        <v>676.2</v>
      </c>
      <c r="G1839" s="156">
        <f>Tabla18[[#This Row],[Importe]]-Tabla18[[#This Row],[Pagado]]</f>
        <v>0</v>
      </c>
      <c r="H1839" s="153" t="s">
        <v>10</v>
      </c>
    </row>
    <row r="1840" spans="1:8" x14ac:dyDescent="0.25">
      <c r="A1840" s="73">
        <v>44759</v>
      </c>
      <c r="B1840" s="74" t="s">
        <v>23170</v>
      </c>
      <c r="C1840" s="75" t="s">
        <v>296</v>
      </c>
      <c r="D1840" s="81">
        <v>1603.8</v>
      </c>
      <c r="E1840" s="151">
        <v>44759</v>
      </c>
      <c r="F1840" s="81">
        <v>1603.8</v>
      </c>
      <c r="G1840" s="156">
        <f>Tabla18[[#This Row],[Importe]]-Tabla18[[#This Row],[Pagado]]</f>
        <v>0</v>
      </c>
      <c r="H1840" s="75" t="s">
        <v>10</v>
      </c>
    </row>
    <row r="1841" spans="1:8" x14ac:dyDescent="0.25">
      <c r="A1841" s="148">
        <v>44759</v>
      </c>
      <c r="B1841" s="149" t="s">
        <v>23171</v>
      </c>
      <c r="C1841" s="153" t="s">
        <v>67</v>
      </c>
      <c r="D1841" s="154">
        <v>138</v>
      </c>
      <c r="E1841" s="155">
        <v>44760</v>
      </c>
      <c r="F1841" s="154">
        <v>138</v>
      </c>
      <c r="G1841" s="156">
        <f>Tabla18[[#This Row],[Importe]]-Tabla18[[#This Row],[Pagado]]</f>
        <v>0</v>
      </c>
      <c r="H1841" s="153" t="s">
        <v>10</v>
      </c>
    </row>
    <row r="1842" spans="1:8" x14ac:dyDescent="0.25">
      <c r="A1842" s="73">
        <v>44759</v>
      </c>
      <c r="B1842" s="74" t="s">
        <v>23172</v>
      </c>
      <c r="C1842" s="75" t="s">
        <v>12</v>
      </c>
      <c r="D1842" s="81">
        <v>127</v>
      </c>
      <c r="E1842" s="151">
        <v>44760</v>
      </c>
      <c r="F1842" s="81">
        <v>127</v>
      </c>
      <c r="G1842" s="156">
        <f>Tabla18[[#This Row],[Importe]]-Tabla18[[#This Row],[Pagado]]</f>
        <v>0</v>
      </c>
      <c r="H1842" s="75" t="s">
        <v>10</v>
      </c>
    </row>
    <row r="1843" spans="1:8" x14ac:dyDescent="0.25">
      <c r="A1843" s="148">
        <v>44760</v>
      </c>
      <c r="B1843" s="149" t="s">
        <v>23173</v>
      </c>
      <c r="C1843" s="153" t="s">
        <v>887</v>
      </c>
      <c r="D1843" s="154">
        <v>15529.8</v>
      </c>
      <c r="E1843" s="155">
        <v>44760</v>
      </c>
      <c r="F1843" s="154">
        <v>15529.8</v>
      </c>
      <c r="G1843" s="156">
        <f>Tabla18[[#This Row],[Importe]]-Tabla18[[#This Row],[Pagado]]</f>
        <v>0</v>
      </c>
      <c r="H1843" s="153" t="s">
        <v>10</v>
      </c>
    </row>
    <row r="1844" spans="1:8" x14ac:dyDescent="0.25">
      <c r="A1844" s="73">
        <v>44760</v>
      </c>
      <c r="B1844" s="74" t="s">
        <v>23174</v>
      </c>
      <c r="C1844" s="75" t="s">
        <v>475</v>
      </c>
      <c r="D1844" s="81">
        <v>118196.4</v>
      </c>
      <c r="E1844" s="151">
        <v>44762</v>
      </c>
      <c r="F1844" s="81">
        <v>118196.4</v>
      </c>
      <c r="G1844" s="156">
        <f>Tabla18[[#This Row],[Importe]]-Tabla18[[#This Row],[Pagado]]</f>
        <v>0</v>
      </c>
      <c r="H1844" s="75" t="s">
        <v>10</v>
      </c>
    </row>
    <row r="1845" spans="1:8" x14ac:dyDescent="0.25">
      <c r="A1845" s="148">
        <v>44760</v>
      </c>
      <c r="B1845" s="149" t="s">
        <v>23175</v>
      </c>
      <c r="C1845" s="153" t="s">
        <v>31</v>
      </c>
      <c r="D1845" s="154">
        <v>8307</v>
      </c>
      <c r="E1845" s="155">
        <v>44760</v>
      </c>
      <c r="F1845" s="154">
        <v>8307</v>
      </c>
      <c r="G1845" s="156">
        <f>Tabla18[[#This Row],[Importe]]-Tabla18[[#This Row],[Pagado]]</f>
        <v>0</v>
      </c>
      <c r="H1845" s="153" t="s">
        <v>10</v>
      </c>
    </row>
    <row r="1846" spans="1:8" x14ac:dyDescent="0.25">
      <c r="A1846" s="73">
        <v>44760</v>
      </c>
      <c r="B1846" s="74" t="s">
        <v>23176</v>
      </c>
      <c r="C1846" s="75" t="s">
        <v>473</v>
      </c>
      <c r="D1846" s="81">
        <v>7234.5</v>
      </c>
      <c r="E1846" s="151">
        <v>44760</v>
      </c>
      <c r="F1846" s="81">
        <v>7234.5</v>
      </c>
      <c r="G1846" s="156">
        <f>Tabla18[[#This Row],[Importe]]-Tabla18[[#This Row],[Pagado]]</f>
        <v>0</v>
      </c>
      <c r="H1846" s="75" t="s">
        <v>10</v>
      </c>
    </row>
    <row r="1847" spans="1:8" x14ac:dyDescent="0.25">
      <c r="A1847" s="148">
        <v>44760</v>
      </c>
      <c r="B1847" s="149" t="s">
        <v>23177</v>
      </c>
      <c r="C1847" s="153" t="s">
        <v>60</v>
      </c>
      <c r="D1847" s="154">
        <v>5049</v>
      </c>
      <c r="E1847" s="155">
        <v>44765</v>
      </c>
      <c r="F1847" s="154">
        <v>5049</v>
      </c>
      <c r="G1847" s="156">
        <f>Tabla18[[#This Row],[Importe]]-Tabla18[[#This Row],[Pagado]]</f>
        <v>0</v>
      </c>
      <c r="H1847" s="153" t="s">
        <v>10</v>
      </c>
    </row>
    <row r="1848" spans="1:8" x14ac:dyDescent="0.25">
      <c r="A1848" s="73">
        <v>44760</v>
      </c>
      <c r="B1848" s="74" t="s">
        <v>23178</v>
      </c>
      <c r="C1848" s="75" t="s">
        <v>111</v>
      </c>
      <c r="D1848" s="81">
        <v>5798.4</v>
      </c>
      <c r="E1848" s="151">
        <v>44762</v>
      </c>
      <c r="F1848" s="81">
        <v>5798.4</v>
      </c>
      <c r="G1848" s="156">
        <f>Tabla18[[#This Row],[Importe]]-Tabla18[[#This Row],[Pagado]]</f>
        <v>0</v>
      </c>
      <c r="H1848" s="75" t="s">
        <v>10</v>
      </c>
    </row>
    <row r="1849" spans="1:8" x14ac:dyDescent="0.25">
      <c r="A1849" s="148">
        <v>44760</v>
      </c>
      <c r="B1849" s="149" t="s">
        <v>23179</v>
      </c>
      <c r="C1849" s="153" t="s">
        <v>2563</v>
      </c>
      <c r="D1849" s="154">
        <v>5511</v>
      </c>
      <c r="E1849" s="155">
        <v>44761</v>
      </c>
      <c r="F1849" s="154">
        <v>5511</v>
      </c>
      <c r="G1849" s="156">
        <f>Tabla18[[#This Row],[Importe]]-Tabla18[[#This Row],[Pagado]]</f>
        <v>0</v>
      </c>
      <c r="H1849" s="153" t="s">
        <v>10</v>
      </c>
    </row>
    <row r="1850" spans="1:8" x14ac:dyDescent="0.25">
      <c r="A1850" s="73">
        <v>44760</v>
      </c>
      <c r="B1850" s="74" t="s">
        <v>23180</v>
      </c>
      <c r="C1850" s="75" t="s">
        <v>99</v>
      </c>
      <c r="D1850" s="81">
        <v>4038.2</v>
      </c>
      <c r="E1850" s="151">
        <v>44764</v>
      </c>
      <c r="F1850" s="81">
        <v>4038.2</v>
      </c>
      <c r="G1850" s="156">
        <f>Tabla18[[#This Row],[Importe]]-Tabla18[[#This Row],[Pagado]]</f>
        <v>0</v>
      </c>
      <c r="H1850" s="75" t="s">
        <v>10</v>
      </c>
    </row>
    <row r="1851" spans="1:8" x14ac:dyDescent="0.25">
      <c r="A1851" s="148">
        <v>44760</v>
      </c>
      <c r="B1851" s="149" t="s">
        <v>23181</v>
      </c>
      <c r="C1851" s="153" t="s">
        <v>109</v>
      </c>
      <c r="D1851" s="154">
        <v>5452.8</v>
      </c>
      <c r="E1851" s="155">
        <v>44761</v>
      </c>
      <c r="F1851" s="154">
        <v>5452.8</v>
      </c>
      <c r="G1851" s="156">
        <f>Tabla18[[#This Row],[Importe]]-Tabla18[[#This Row],[Pagado]]</f>
        <v>0</v>
      </c>
      <c r="H1851" s="153" t="s">
        <v>10</v>
      </c>
    </row>
    <row r="1852" spans="1:8" x14ac:dyDescent="0.25">
      <c r="A1852" s="73">
        <v>44760</v>
      </c>
      <c r="B1852" s="74" t="s">
        <v>23182</v>
      </c>
      <c r="C1852" s="75" t="s">
        <v>64</v>
      </c>
      <c r="D1852" s="81">
        <v>5121.6000000000004</v>
      </c>
      <c r="E1852" s="151">
        <v>44761</v>
      </c>
      <c r="F1852" s="81">
        <v>5121.6000000000004</v>
      </c>
      <c r="G1852" s="156">
        <f>Tabla18[[#This Row],[Importe]]-Tabla18[[#This Row],[Pagado]]</f>
        <v>0</v>
      </c>
      <c r="H1852" s="75" t="s">
        <v>10</v>
      </c>
    </row>
    <row r="1853" spans="1:8" x14ac:dyDescent="0.25">
      <c r="A1853" s="148">
        <v>44760</v>
      </c>
      <c r="B1853" s="149" t="s">
        <v>23183</v>
      </c>
      <c r="C1853" s="153" t="s">
        <v>348</v>
      </c>
      <c r="D1853" s="154">
        <v>3910.1</v>
      </c>
      <c r="E1853" s="155">
        <v>44760</v>
      </c>
      <c r="F1853" s="154">
        <v>3910.1</v>
      </c>
      <c r="G1853" s="156">
        <f>Tabla18[[#This Row],[Importe]]-Tabla18[[#This Row],[Pagado]]</f>
        <v>0</v>
      </c>
      <c r="H1853" s="153" t="s">
        <v>10</v>
      </c>
    </row>
    <row r="1854" spans="1:8" x14ac:dyDescent="0.25">
      <c r="A1854" s="73">
        <v>44760</v>
      </c>
      <c r="B1854" s="74" t="s">
        <v>23184</v>
      </c>
      <c r="C1854" s="75" t="s">
        <v>2151</v>
      </c>
      <c r="D1854" s="81">
        <v>23586.1</v>
      </c>
      <c r="E1854" s="151">
        <v>44760</v>
      </c>
      <c r="F1854" s="81">
        <v>23586.1</v>
      </c>
      <c r="G1854" s="156">
        <f>Tabla18[[#This Row],[Importe]]-Tabla18[[#This Row],[Pagado]]</f>
        <v>0</v>
      </c>
      <c r="H1854" s="75" t="s">
        <v>10</v>
      </c>
    </row>
    <row r="1855" spans="1:8" x14ac:dyDescent="0.25">
      <c r="A1855" s="148">
        <v>44760</v>
      </c>
      <c r="B1855" s="149" t="s">
        <v>23185</v>
      </c>
      <c r="C1855" s="153" t="s">
        <v>105</v>
      </c>
      <c r="D1855" s="154">
        <v>7431.6</v>
      </c>
      <c r="E1855" s="155">
        <v>44760</v>
      </c>
      <c r="F1855" s="154">
        <v>7431.6</v>
      </c>
      <c r="G1855" s="156">
        <f>Tabla18[[#This Row],[Importe]]-Tabla18[[#This Row],[Pagado]]</f>
        <v>0</v>
      </c>
      <c r="H1855" s="153" t="s">
        <v>10</v>
      </c>
    </row>
    <row r="1856" spans="1:8" x14ac:dyDescent="0.25">
      <c r="A1856" s="73">
        <v>44760</v>
      </c>
      <c r="B1856" s="74" t="s">
        <v>23186</v>
      </c>
      <c r="C1856" s="75" t="s">
        <v>93</v>
      </c>
      <c r="D1856" s="81">
        <v>6277.6</v>
      </c>
      <c r="E1856" s="151">
        <v>44762</v>
      </c>
      <c r="F1856" s="81">
        <v>6277.6</v>
      </c>
      <c r="G1856" s="156">
        <f>Tabla18[[#This Row],[Importe]]-Tabla18[[#This Row],[Pagado]]</f>
        <v>0</v>
      </c>
      <c r="H1856" s="75" t="s">
        <v>10</v>
      </c>
    </row>
    <row r="1857" spans="1:8" x14ac:dyDescent="0.25">
      <c r="A1857" s="148">
        <v>44760</v>
      </c>
      <c r="B1857" s="149" t="s">
        <v>23187</v>
      </c>
      <c r="C1857" s="153" t="s">
        <v>481</v>
      </c>
      <c r="D1857" s="154">
        <v>703.6</v>
      </c>
      <c r="E1857" s="155">
        <v>44760</v>
      </c>
      <c r="F1857" s="154">
        <v>703.6</v>
      </c>
      <c r="G1857" s="156">
        <f>Tabla18[[#This Row],[Importe]]-Tabla18[[#This Row],[Pagado]]</f>
        <v>0</v>
      </c>
      <c r="H1857" s="153" t="s">
        <v>10</v>
      </c>
    </row>
    <row r="1858" spans="1:8" x14ac:dyDescent="0.25">
      <c r="A1858" s="73">
        <v>44760</v>
      </c>
      <c r="B1858" s="74" t="s">
        <v>23188</v>
      </c>
      <c r="C1858" s="75" t="s">
        <v>89</v>
      </c>
      <c r="D1858" s="81">
        <v>12628.7</v>
      </c>
      <c r="E1858" s="151">
        <v>44760</v>
      </c>
      <c r="F1858" s="81">
        <v>12628.7</v>
      </c>
      <c r="G1858" s="156">
        <f>Tabla18[[#This Row],[Importe]]-Tabla18[[#This Row],[Pagado]]</f>
        <v>0</v>
      </c>
      <c r="H1858" s="75" t="s">
        <v>10</v>
      </c>
    </row>
    <row r="1859" spans="1:8" x14ac:dyDescent="0.25">
      <c r="A1859" s="148">
        <v>44760</v>
      </c>
      <c r="B1859" s="149" t="s">
        <v>23189</v>
      </c>
      <c r="C1859" s="153" t="s">
        <v>47</v>
      </c>
      <c r="D1859" s="154">
        <v>13464</v>
      </c>
      <c r="E1859" s="155">
        <v>44760</v>
      </c>
      <c r="F1859" s="154">
        <v>13464</v>
      </c>
      <c r="G1859" s="156">
        <f>Tabla18[[#This Row],[Importe]]-Tabla18[[#This Row],[Pagado]]</f>
        <v>0</v>
      </c>
      <c r="H1859" s="153" t="s">
        <v>10</v>
      </c>
    </row>
    <row r="1860" spans="1:8" x14ac:dyDescent="0.25">
      <c r="A1860" s="73">
        <v>44760</v>
      </c>
      <c r="B1860" s="74" t="s">
        <v>23190</v>
      </c>
      <c r="C1860" s="75" t="s">
        <v>83</v>
      </c>
      <c r="D1860" s="81">
        <v>11694</v>
      </c>
      <c r="E1860" s="151">
        <v>44760</v>
      </c>
      <c r="F1860" s="81">
        <v>11694</v>
      </c>
      <c r="G1860" s="156">
        <f>Tabla18[[#This Row],[Importe]]-Tabla18[[#This Row],[Pagado]]</f>
        <v>0</v>
      </c>
      <c r="H1860" s="75" t="s">
        <v>10</v>
      </c>
    </row>
    <row r="1861" spans="1:8" x14ac:dyDescent="0.25">
      <c r="A1861" s="148">
        <v>44760</v>
      </c>
      <c r="B1861" s="149" t="s">
        <v>23191</v>
      </c>
      <c r="C1861" s="153" t="s">
        <v>87</v>
      </c>
      <c r="D1861" s="154">
        <v>2657</v>
      </c>
      <c r="E1861" s="155">
        <v>44760</v>
      </c>
      <c r="F1861" s="154">
        <v>2657</v>
      </c>
      <c r="G1861" s="156">
        <f>Tabla18[[#This Row],[Importe]]-Tabla18[[#This Row],[Pagado]]</f>
        <v>0</v>
      </c>
      <c r="H1861" s="153" t="s">
        <v>10</v>
      </c>
    </row>
    <row r="1862" spans="1:8" x14ac:dyDescent="0.25">
      <c r="A1862" s="73">
        <v>44760</v>
      </c>
      <c r="B1862" s="74" t="s">
        <v>23192</v>
      </c>
      <c r="C1862" s="75" t="s">
        <v>9</v>
      </c>
      <c r="D1862" s="81">
        <v>9439.5</v>
      </c>
      <c r="E1862" s="151">
        <v>44760</v>
      </c>
      <c r="F1862" s="81">
        <v>9439.5</v>
      </c>
      <c r="G1862" s="156">
        <f>Tabla18[[#This Row],[Importe]]-Tabla18[[#This Row],[Pagado]]</f>
        <v>0</v>
      </c>
      <c r="H1862" s="75" t="s">
        <v>10</v>
      </c>
    </row>
    <row r="1863" spans="1:8" x14ac:dyDescent="0.25">
      <c r="A1863" s="148">
        <v>44760</v>
      </c>
      <c r="B1863" s="149" t="s">
        <v>23193</v>
      </c>
      <c r="C1863" s="153" t="s">
        <v>1187</v>
      </c>
      <c r="D1863" s="154">
        <v>2720.2</v>
      </c>
      <c r="E1863" s="155">
        <v>44760</v>
      </c>
      <c r="F1863" s="154">
        <v>2720.2</v>
      </c>
      <c r="G1863" s="156">
        <f>Tabla18[[#This Row],[Importe]]-Tabla18[[#This Row],[Pagado]]</f>
        <v>0</v>
      </c>
      <c r="H1863" s="153" t="s">
        <v>10</v>
      </c>
    </row>
    <row r="1864" spans="1:8" x14ac:dyDescent="0.25">
      <c r="A1864" s="73">
        <v>44760</v>
      </c>
      <c r="B1864" s="74" t="s">
        <v>23194</v>
      </c>
      <c r="C1864" s="75" t="s">
        <v>924</v>
      </c>
      <c r="D1864" s="81">
        <v>18584.7</v>
      </c>
      <c r="E1864" s="151">
        <v>44760</v>
      </c>
      <c r="F1864" s="81">
        <v>18584.7</v>
      </c>
      <c r="G1864" s="156">
        <f>Tabla18[[#This Row],[Importe]]-Tabla18[[#This Row],[Pagado]]</f>
        <v>0</v>
      </c>
      <c r="H1864" s="75" t="s">
        <v>10</v>
      </c>
    </row>
    <row r="1865" spans="1:8" x14ac:dyDescent="0.25">
      <c r="A1865" s="148">
        <v>44760</v>
      </c>
      <c r="B1865" s="149" t="s">
        <v>23195</v>
      </c>
      <c r="C1865" s="153" t="s">
        <v>9415</v>
      </c>
      <c r="D1865" s="154">
        <v>10044</v>
      </c>
      <c r="E1865" s="155">
        <v>44762</v>
      </c>
      <c r="F1865" s="154">
        <v>10044</v>
      </c>
      <c r="G1865" s="156">
        <f>Tabla18[[#This Row],[Importe]]-Tabla18[[#This Row],[Pagado]]</f>
        <v>0</v>
      </c>
      <c r="H1865" s="153" t="s">
        <v>10</v>
      </c>
    </row>
    <row r="1866" spans="1:8" x14ac:dyDescent="0.25">
      <c r="A1866" s="73">
        <v>44760</v>
      </c>
      <c r="B1866" s="74" t="s">
        <v>23196</v>
      </c>
      <c r="C1866" s="75" t="s">
        <v>196</v>
      </c>
      <c r="D1866" s="81">
        <v>78240.2</v>
      </c>
      <c r="E1866" s="151">
        <v>44765</v>
      </c>
      <c r="F1866" s="81">
        <v>78240.2</v>
      </c>
      <c r="G1866" s="156">
        <f>Tabla18[[#This Row],[Importe]]-Tabla18[[#This Row],[Pagado]]</f>
        <v>0</v>
      </c>
      <c r="H1866" s="75" t="s">
        <v>10</v>
      </c>
    </row>
    <row r="1867" spans="1:8" ht="31.5" x14ac:dyDescent="0.25">
      <c r="A1867" s="148">
        <v>44760</v>
      </c>
      <c r="B1867" s="149" t="s">
        <v>23197</v>
      </c>
      <c r="C1867" s="153" t="s">
        <v>275</v>
      </c>
      <c r="D1867" s="154">
        <v>193215.65</v>
      </c>
      <c r="E1867" s="150" t="s">
        <v>24620</v>
      </c>
      <c r="F1867" s="154">
        <f>151665.35+41550.3</f>
        <v>193215.65000000002</v>
      </c>
      <c r="G1867" s="156">
        <f>Tabla18[[#This Row],[Importe]]-Tabla18[[#This Row],[Pagado]]</f>
        <v>0</v>
      </c>
      <c r="H1867" s="153" t="s">
        <v>10</v>
      </c>
    </row>
    <row r="1868" spans="1:8" x14ac:dyDescent="0.25">
      <c r="A1868" s="73">
        <v>44760</v>
      </c>
      <c r="B1868" s="74" t="s">
        <v>23198</v>
      </c>
      <c r="C1868" s="75" t="s">
        <v>24</v>
      </c>
      <c r="D1868" s="81">
        <v>731.6</v>
      </c>
      <c r="E1868" s="151">
        <v>44760</v>
      </c>
      <c r="F1868" s="81">
        <v>731.6</v>
      </c>
      <c r="G1868" s="156">
        <f>Tabla18[[#This Row],[Importe]]-Tabla18[[#This Row],[Pagado]]</f>
        <v>0</v>
      </c>
      <c r="H1868" s="75" t="s">
        <v>10</v>
      </c>
    </row>
    <row r="1869" spans="1:8" ht="31.5" x14ac:dyDescent="0.25">
      <c r="A1869" s="148">
        <v>44760</v>
      </c>
      <c r="B1869" s="149" t="s">
        <v>23199</v>
      </c>
      <c r="C1869" s="153" t="s">
        <v>22</v>
      </c>
      <c r="D1869" s="154">
        <v>43645.2</v>
      </c>
      <c r="E1869" s="150" t="s">
        <v>23200</v>
      </c>
      <c r="F1869" s="154">
        <f>34000+9645.2</f>
        <v>43645.2</v>
      </c>
      <c r="G1869" s="156">
        <f>Tabla18[[#This Row],[Importe]]-Tabla18[[#This Row],[Pagado]]</f>
        <v>0</v>
      </c>
      <c r="H1869" s="153" t="s">
        <v>10</v>
      </c>
    </row>
    <row r="1870" spans="1:8" x14ac:dyDescent="0.25">
      <c r="A1870" s="73">
        <v>44760</v>
      </c>
      <c r="B1870" s="74" t="s">
        <v>23201</v>
      </c>
      <c r="C1870" s="75" t="s">
        <v>11033</v>
      </c>
      <c r="D1870" s="81">
        <v>1892.4</v>
      </c>
      <c r="E1870" s="151">
        <v>44760</v>
      </c>
      <c r="F1870" s="81">
        <v>1892.4</v>
      </c>
      <c r="G1870" s="156">
        <f>Tabla18[[#This Row],[Importe]]-Tabla18[[#This Row],[Pagado]]</f>
        <v>0</v>
      </c>
      <c r="H1870" s="75" t="s">
        <v>10</v>
      </c>
    </row>
    <row r="1871" spans="1:8" x14ac:dyDescent="0.25">
      <c r="A1871" s="148">
        <v>44760</v>
      </c>
      <c r="B1871" s="149" t="s">
        <v>23202</v>
      </c>
      <c r="C1871" s="153" t="s">
        <v>16</v>
      </c>
      <c r="D1871" s="154">
        <v>6483.6</v>
      </c>
      <c r="E1871" s="155">
        <v>44760</v>
      </c>
      <c r="F1871" s="154">
        <v>6483.6</v>
      </c>
      <c r="G1871" s="156">
        <f>Tabla18[[#This Row],[Importe]]-Tabla18[[#This Row],[Pagado]]</f>
        <v>0</v>
      </c>
      <c r="H1871" s="153" t="s">
        <v>10</v>
      </c>
    </row>
    <row r="1872" spans="1:8" x14ac:dyDescent="0.25">
      <c r="A1872" s="73">
        <v>44760</v>
      </c>
      <c r="B1872" s="74" t="s">
        <v>23203</v>
      </c>
      <c r="C1872" s="75" t="s">
        <v>45</v>
      </c>
      <c r="D1872" s="81">
        <v>12934.3</v>
      </c>
      <c r="E1872" s="151">
        <v>44760</v>
      </c>
      <c r="F1872" s="81">
        <v>12934.3</v>
      </c>
      <c r="G1872" s="156">
        <f>Tabla18[[#This Row],[Importe]]-Tabla18[[#This Row],[Pagado]]</f>
        <v>0</v>
      </c>
      <c r="H1872" s="75" t="s">
        <v>10</v>
      </c>
    </row>
    <row r="1873" spans="1:8" x14ac:dyDescent="0.25">
      <c r="A1873" s="148">
        <v>44760</v>
      </c>
      <c r="B1873" s="149" t="s">
        <v>23204</v>
      </c>
      <c r="C1873" s="153" t="s">
        <v>142</v>
      </c>
      <c r="D1873" s="154">
        <v>97808.75</v>
      </c>
      <c r="E1873" s="155">
        <v>44799</v>
      </c>
      <c r="F1873" s="154">
        <v>97808.75</v>
      </c>
      <c r="G1873" s="156">
        <f>Tabla18[[#This Row],[Importe]]-Tabla18[[#This Row],[Pagado]]</f>
        <v>0</v>
      </c>
      <c r="H1873" s="153" t="s">
        <v>10</v>
      </c>
    </row>
    <row r="1874" spans="1:8" x14ac:dyDescent="0.25">
      <c r="A1874" s="73">
        <v>44760</v>
      </c>
      <c r="B1874" s="74" t="s">
        <v>23205</v>
      </c>
      <c r="C1874" s="75" t="s">
        <v>23206</v>
      </c>
      <c r="D1874" s="81">
        <v>16723.2</v>
      </c>
      <c r="E1874" s="151">
        <v>44760</v>
      </c>
      <c r="F1874" s="81">
        <v>16723.2</v>
      </c>
      <c r="G1874" s="156">
        <f>Tabla18[[#This Row],[Importe]]-Tabla18[[#This Row],[Pagado]]</f>
        <v>0</v>
      </c>
      <c r="H1874" s="75" t="s">
        <v>10</v>
      </c>
    </row>
    <row r="1875" spans="1:8" x14ac:dyDescent="0.25">
      <c r="A1875" s="148">
        <v>44760</v>
      </c>
      <c r="B1875" s="149" t="s">
        <v>23207</v>
      </c>
      <c r="C1875" s="153" t="s">
        <v>49</v>
      </c>
      <c r="D1875" s="154">
        <v>4997.2</v>
      </c>
      <c r="E1875" s="155">
        <v>44760</v>
      </c>
      <c r="F1875" s="154">
        <v>4997.2</v>
      </c>
      <c r="G1875" s="156">
        <f>Tabla18[[#This Row],[Importe]]-Tabla18[[#This Row],[Pagado]]</f>
        <v>0</v>
      </c>
      <c r="H1875" s="153" t="s">
        <v>10</v>
      </c>
    </row>
    <row r="1876" spans="1:8" x14ac:dyDescent="0.25">
      <c r="A1876" s="73">
        <v>44760</v>
      </c>
      <c r="B1876" s="74" t="s">
        <v>23208</v>
      </c>
      <c r="C1876" s="75" t="s">
        <v>137</v>
      </c>
      <c r="D1876" s="81">
        <v>4481.6000000000004</v>
      </c>
      <c r="E1876" s="151">
        <v>44760</v>
      </c>
      <c r="F1876" s="81">
        <v>4481.6000000000004</v>
      </c>
      <c r="G1876" s="156">
        <f>Tabla18[[#This Row],[Importe]]-Tabla18[[#This Row],[Pagado]]</f>
        <v>0</v>
      </c>
      <c r="H1876" s="75" t="s">
        <v>10</v>
      </c>
    </row>
    <row r="1877" spans="1:8" x14ac:dyDescent="0.25">
      <c r="A1877" s="148">
        <v>44760</v>
      </c>
      <c r="B1877" s="149" t="s">
        <v>23209</v>
      </c>
      <c r="C1877" s="153" t="s">
        <v>107</v>
      </c>
      <c r="D1877" s="154">
        <v>16794.5</v>
      </c>
      <c r="E1877" s="155">
        <v>44760</v>
      </c>
      <c r="F1877" s="154">
        <v>16794.5</v>
      </c>
      <c r="G1877" s="156">
        <f>Tabla18[[#This Row],[Importe]]-Tabla18[[#This Row],[Pagado]]</f>
        <v>0</v>
      </c>
      <c r="H1877" s="153" t="s">
        <v>10</v>
      </c>
    </row>
    <row r="1878" spans="1:8" x14ac:dyDescent="0.25">
      <c r="A1878" s="73">
        <v>44760</v>
      </c>
      <c r="B1878" s="74" t="s">
        <v>23210</v>
      </c>
      <c r="C1878" s="75" t="s">
        <v>27</v>
      </c>
      <c r="D1878" s="81">
        <v>5143.3999999999996</v>
      </c>
      <c r="E1878" s="151">
        <v>44760</v>
      </c>
      <c r="F1878" s="81">
        <v>5143.3999999999996</v>
      </c>
      <c r="G1878" s="156">
        <f>Tabla18[[#This Row],[Importe]]-Tabla18[[#This Row],[Pagado]]</f>
        <v>0</v>
      </c>
      <c r="H1878" s="75" t="s">
        <v>10</v>
      </c>
    </row>
    <row r="1879" spans="1:8" x14ac:dyDescent="0.25">
      <c r="A1879" s="148">
        <v>44760</v>
      </c>
      <c r="B1879" s="149" t="s">
        <v>23211</v>
      </c>
      <c r="C1879" s="153" t="s">
        <v>56</v>
      </c>
      <c r="D1879" s="154">
        <v>6777.6</v>
      </c>
      <c r="E1879" s="155">
        <v>44760</v>
      </c>
      <c r="F1879" s="154">
        <v>6777.6</v>
      </c>
      <c r="G1879" s="156">
        <f>Tabla18[[#This Row],[Importe]]-Tabla18[[#This Row],[Pagado]]</f>
        <v>0</v>
      </c>
      <c r="H1879" s="153" t="s">
        <v>10</v>
      </c>
    </row>
    <row r="1880" spans="1:8" x14ac:dyDescent="0.25">
      <c r="A1880" s="73">
        <v>44760</v>
      </c>
      <c r="B1880" s="74" t="s">
        <v>23212</v>
      </c>
      <c r="C1880" s="75" t="s">
        <v>357</v>
      </c>
      <c r="D1880" s="81">
        <v>1780.6</v>
      </c>
      <c r="E1880" s="151">
        <v>44760</v>
      </c>
      <c r="F1880" s="81">
        <v>1780.6</v>
      </c>
      <c r="G1880" s="156">
        <f>Tabla18[[#This Row],[Importe]]-Tabla18[[#This Row],[Pagado]]</f>
        <v>0</v>
      </c>
      <c r="H1880" s="75" t="s">
        <v>10</v>
      </c>
    </row>
    <row r="1881" spans="1:8" x14ac:dyDescent="0.25">
      <c r="A1881" s="148">
        <v>44760</v>
      </c>
      <c r="B1881" s="149" t="s">
        <v>23213</v>
      </c>
      <c r="C1881" s="153" t="s">
        <v>56</v>
      </c>
      <c r="D1881" s="154">
        <v>263.5</v>
      </c>
      <c r="E1881" s="155">
        <v>44760</v>
      </c>
      <c r="F1881" s="154">
        <v>263.5</v>
      </c>
      <c r="G1881" s="156">
        <f>Tabla18[[#This Row],[Importe]]-Tabla18[[#This Row],[Pagado]]</f>
        <v>0</v>
      </c>
      <c r="H1881" s="153" t="s">
        <v>10</v>
      </c>
    </row>
    <row r="1882" spans="1:8" x14ac:dyDescent="0.25">
      <c r="A1882" s="73">
        <v>44760</v>
      </c>
      <c r="B1882" s="74" t="s">
        <v>23214</v>
      </c>
      <c r="C1882" s="75" t="s">
        <v>129</v>
      </c>
      <c r="D1882" s="81">
        <v>1913.8</v>
      </c>
      <c r="E1882" s="151">
        <v>44760</v>
      </c>
      <c r="F1882" s="81">
        <v>1913.8</v>
      </c>
      <c r="G1882" s="156">
        <f>Tabla18[[#This Row],[Importe]]-Tabla18[[#This Row],[Pagado]]</f>
        <v>0</v>
      </c>
      <c r="H1882" s="75" t="s">
        <v>10</v>
      </c>
    </row>
    <row r="1883" spans="1:8" x14ac:dyDescent="0.25">
      <c r="A1883" s="148">
        <v>44760</v>
      </c>
      <c r="B1883" s="149" t="s">
        <v>23215</v>
      </c>
      <c r="C1883" s="153" t="s">
        <v>127</v>
      </c>
      <c r="D1883" s="154">
        <v>6784.4</v>
      </c>
      <c r="E1883" s="155">
        <v>44760</v>
      </c>
      <c r="F1883" s="154">
        <v>6784.4</v>
      </c>
      <c r="G1883" s="156">
        <f>Tabla18[[#This Row],[Importe]]-Tabla18[[#This Row],[Pagado]]</f>
        <v>0</v>
      </c>
      <c r="H1883" s="153" t="s">
        <v>10</v>
      </c>
    </row>
    <row r="1884" spans="1:8" x14ac:dyDescent="0.25">
      <c r="A1884" s="73">
        <v>44760</v>
      </c>
      <c r="B1884" s="74" t="s">
        <v>23216</v>
      </c>
      <c r="C1884" s="75" t="s">
        <v>222</v>
      </c>
      <c r="D1884" s="81">
        <v>12565.6</v>
      </c>
      <c r="E1884" s="151">
        <v>44760</v>
      </c>
      <c r="F1884" s="81">
        <v>12565.6</v>
      </c>
      <c r="G1884" s="156">
        <f>Tabla18[[#This Row],[Importe]]-Tabla18[[#This Row],[Pagado]]</f>
        <v>0</v>
      </c>
      <c r="H1884" s="75" t="s">
        <v>10</v>
      </c>
    </row>
    <row r="1885" spans="1:8" x14ac:dyDescent="0.25">
      <c r="A1885" s="148">
        <v>44760</v>
      </c>
      <c r="B1885" s="149" t="s">
        <v>23217</v>
      </c>
      <c r="C1885" s="153" t="s">
        <v>140</v>
      </c>
      <c r="D1885" s="154">
        <v>5242.5</v>
      </c>
      <c r="E1885" s="155">
        <v>44760</v>
      </c>
      <c r="F1885" s="154">
        <v>5242.5</v>
      </c>
      <c r="G1885" s="156">
        <f>Tabla18[[#This Row],[Importe]]-Tabla18[[#This Row],[Pagado]]</f>
        <v>0</v>
      </c>
      <c r="H1885" s="153" t="s">
        <v>10</v>
      </c>
    </row>
    <row r="1886" spans="1:8" x14ac:dyDescent="0.25">
      <c r="A1886" s="73">
        <v>44760</v>
      </c>
      <c r="B1886" s="74" t="s">
        <v>23218</v>
      </c>
      <c r="C1886" s="75" t="s">
        <v>146</v>
      </c>
      <c r="D1886" s="81">
        <v>3502.8</v>
      </c>
      <c r="E1886" s="151">
        <v>44760</v>
      </c>
      <c r="F1886" s="81">
        <v>3502.8</v>
      </c>
      <c r="G1886" s="156">
        <f>Tabla18[[#This Row],[Importe]]-Tabla18[[#This Row],[Pagado]]</f>
        <v>0</v>
      </c>
      <c r="H1886" s="75" t="s">
        <v>10</v>
      </c>
    </row>
    <row r="1887" spans="1:8" x14ac:dyDescent="0.25">
      <c r="A1887" s="148">
        <v>44760</v>
      </c>
      <c r="B1887" s="149" t="s">
        <v>23219</v>
      </c>
      <c r="C1887" s="153" t="s">
        <v>1362</v>
      </c>
      <c r="D1887" s="154">
        <v>5082</v>
      </c>
      <c r="E1887" s="155">
        <v>44760</v>
      </c>
      <c r="F1887" s="154">
        <v>5082</v>
      </c>
      <c r="G1887" s="156">
        <f>Tabla18[[#This Row],[Importe]]-Tabla18[[#This Row],[Pagado]]</f>
        <v>0</v>
      </c>
      <c r="H1887" s="153" t="s">
        <v>10</v>
      </c>
    </row>
    <row r="1888" spans="1:8" x14ac:dyDescent="0.25">
      <c r="A1888" s="73">
        <v>44760</v>
      </c>
      <c r="B1888" s="74" t="s">
        <v>23220</v>
      </c>
      <c r="C1888" s="75" t="s">
        <v>144</v>
      </c>
      <c r="D1888" s="81">
        <v>3000</v>
      </c>
      <c r="E1888" s="151">
        <v>44760</v>
      </c>
      <c r="F1888" s="81">
        <v>3000</v>
      </c>
      <c r="G1888" s="156">
        <f>Tabla18[[#This Row],[Importe]]-Tabla18[[#This Row],[Pagado]]</f>
        <v>0</v>
      </c>
      <c r="H1888" s="75" t="s">
        <v>10</v>
      </c>
    </row>
    <row r="1889" spans="1:8" x14ac:dyDescent="0.25">
      <c r="A1889" s="148">
        <v>44760</v>
      </c>
      <c r="B1889" s="149" t="s">
        <v>23221</v>
      </c>
      <c r="C1889" s="153" t="s">
        <v>62</v>
      </c>
      <c r="D1889" s="154">
        <v>4188.6000000000004</v>
      </c>
      <c r="E1889" s="155">
        <v>44760</v>
      </c>
      <c r="F1889" s="154">
        <v>4188.6000000000004</v>
      </c>
      <c r="G1889" s="156">
        <f>Tabla18[[#This Row],[Importe]]-Tabla18[[#This Row],[Pagado]]</f>
        <v>0</v>
      </c>
      <c r="H1889" s="153" t="s">
        <v>10</v>
      </c>
    </row>
    <row r="1890" spans="1:8" x14ac:dyDescent="0.25">
      <c r="A1890" s="73">
        <v>44760</v>
      </c>
      <c r="B1890" s="74" t="s">
        <v>23222</v>
      </c>
      <c r="C1890" s="75" t="s">
        <v>53</v>
      </c>
      <c r="D1890" s="81">
        <v>1498.5</v>
      </c>
      <c r="E1890" s="151">
        <v>44760</v>
      </c>
      <c r="F1890" s="81">
        <v>1498.5</v>
      </c>
      <c r="G1890" s="156">
        <f>Tabla18[[#This Row],[Importe]]-Tabla18[[#This Row],[Pagado]]</f>
        <v>0</v>
      </c>
      <c r="H1890" s="75" t="s">
        <v>10</v>
      </c>
    </row>
    <row r="1891" spans="1:8" x14ac:dyDescent="0.25">
      <c r="A1891" s="148">
        <v>44760</v>
      </c>
      <c r="B1891" s="149" t="s">
        <v>23223</v>
      </c>
      <c r="C1891" s="153" t="s">
        <v>289</v>
      </c>
      <c r="D1891" s="154">
        <v>15703.8</v>
      </c>
      <c r="E1891" s="155">
        <v>44760</v>
      </c>
      <c r="F1891" s="154">
        <v>15703.8</v>
      </c>
      <c r="G1891" s="156">
        <f>Tabla18[[#This Row],[Importe]]-Tabla18[[#This Row],[Pagado]]</f>
        <v>0</v>
      </c>
      <c r="H1891" s="153" t="s">
        <v>10</v>
      </c>
    </row>
    <row r="1892" spans="1:8" x14ac:dyDescent="0.25">
      <c r="A1892" s="73">
        <v>44760</v>
      </c>
      <c r="B1892" s="74" t="s">
        <v>23224</v>
      </c>
      <c r="C1892" s="75" t="s">
        <v>333</v>
      </c>
      <c r="D1892" s="81">
        <v>1279.8</v>
      </c>
      <c r="E1892" s="151">
        <v>44760</v>
      </c>
      <c r="F1892" s="81">
        <v>1279.8</v>
      </c>
      <c r="G1892" s="156">
        <f>Tabla18[[#This Row],[Importe]]-Tabla18[[#This Row],[Pagado]]</f>
        <v>0</v>
      </c>
      <c r="H1892" s="75" t="s">
        <v>10</v>
      </c>
    </row>
    <row r="1893" spans="1:8" x14ac:dyDescent="0.25">
      <c r="A1893" s="148">
        <v>44760</v>
      </c>
      <c r="B1893" s="149" t="s">
        <v>23225</v>
      </c>
      <c r="C1893" s="153" t="s">
        <v>312</v>
      </c>
      <c r="D1893" s="154">
        <v>6485.8</v>
      </c>
      <c r="E1893" s="155">
        <v>44760</v>
      </c>
      <c r="F1893" s="154">
        <v>6485.8</v>
      </c>
      <c r="G1893" s="156">
        <f>Tabla18[[#This Row],[Importe]]-Tabla18[[#This Row],[Pagado]]</f>
        <v>0</v>
      </c>
      <c r="H1893" s="153" t="s">
        <v>10</v>
      </c>
    </row>
    <row r="1894" spans="1:8" x14ac:dyDescent="0.25">
      <c r="A1894" s="73">
        <v>44760</v>
      </c>
      <c r="B1894" s="74" t="s">
        <v>23226</v>
      </c>
      <c r="C1894" s="75" t="s">
        <v>179</v>
      </c>
      <c r="D1894" s="81">
        <v>1583.4</v>
      </c>
      <c r="E1894" s="151">
        <v>44760</v>
      </c>
      <c r="F1894" s="81">
        <v>1583.4</v>
      </c>
      <c r="G1894" s="156">
        <f>Tabla18[[#This Row],[Importe]]-Tabla18[[#This Row],[Pagado]]</f>
        <v>0</v>
      </c>
      <c r="H1894" s="75" t="s">
        <v>10</v>
      </c>
    </row>
    <row r="1895" spans="1:8" x14ac:dyDescent="0.25">
      <c r="A1895" s="148">
        <v>44760</v>
      </c>
      <c r="B1895" s="149" t="s">
        <v>23227</v>
      </c>
      <c r="C1895" s="153" t="s">
        <v>1362</v>
      </c>
      <c r="D1895" s="154">
        <v>1152</v>
      </c>
      <c r="E1895" s="155">
        <v>44760</v>
      </c>
      <c r="F1895" s="154">
        <v>1152</v>
      </c>
      <c r="G1895" s="156">
        <f>Tabla18[[#This Row],[Importe]]-Tabla18[[#This Row],[Pagado]]</f>
        <v>0</v>
      </c>
      <c r="H1895" s="153" t="s">
        <v>10</v>
      </c>
    </row>
    <row r="1896" spans="1:8" x14ac:dyDescent="0.25">
      <c r="A1896" s="73">
        <v>44760</v>
      </c>
      <c r="B1896" s="74" t="s">
        <v>23228</v>
      </c>
      <c r="C1896" s="75" t="s">
        <v>1378</v>
      </c>
      <c r="D1896" s="81">
        <v>81191.8</v>
      </c>
      <c r="E1896" s="151">
        <v>44761</v>
      </c>
      <c r="F1896" s="81">
        <v>81191.8</v>
      </c>
      <c r="G1896" s="156">
        <f>Tabla18[[#This Row],[Importe]]-Tabla18[[#This Row],[Pagado]]</f>
        <v>0</v>
      </c>
      <c r="H1896" s="75" t="s">
        <v>10</v>
      </c>
    </row>
    <row r="1897" spans="1:8" x14ac:dyDescent="0.25">
      <c r="A1897" s="148">
        <v>44760</v>
      </c>
      <c r="B1897" s="149" t="s">
        <v>23229</v>
      </c>
      <c r="C1897" s="153" t="s">
        <v>91</v>
      </c>
      <c r="D1897" s="154">
        <v>5460</v>
      </c>
      <c r="E1897" s="155">
        <v>44762</v>
      </c>
      <c r="F1897" s="154">
        <v>5460</v>
      </c>
      <c r="G1897" s="156">
        <f>Tabla18[[#This Row],[Importe]]-Tabla18[[#This Row],[Pagado]]</f>
        <v>0</v>
      </c>
      <c r="H1897" s="153" t="s">
        <v>10</v>
      </c>
    </row>
    <row r="1898" spans="1:8" x14ac:dyDescent="0.25">
      <c r="A1898" s="73">
        <v>44760</v>
      </c>
      <c r="B1898" s="74" t="s">
        <v>23230</v>
      </c>
      <c r="C1898" s="75" t="s">
        <v>37</v>
      </c>
      <c r="D1898" s="81">
        <v>2397.6</v>
      </c>
      <c r="E1898" s="151">
        <v>44760</v>
      </c>
      <c r="F1898" s="81">
        <v>2397.6</v>
      </c>
      <c r="G1898" s="156">
        <f>Tabla18[[#This Row],[Importe]]-Tabla18[[#This Row],[Pagado]]</f>
        <v>0</v>
      </c>
      <c r="H1898" s="75" t="s">
        <v>10</v>
      </c>
    </row>
    <row r="1899" spans="1:8" x14ac:dyDescent="0.25">
      <c r="A1899" s="148">
        <v>44760</v>
      </c>
      <c r="B1899" s="149" t="s">
        <v>23231</v>
      </c>
      <c r="C1899" s="153" t="s">
        <v>528</v>
      </c>
      <c r="D1899" s="154">
        <v>48096</v>
      </c>
      <c r="E1899" s="155">
        <v>44761</v>
      </c>
      <c r="F1899" s="154">
        <v>48096</v>
      </c>
      <c r="G1899" s="156">
        <f>Tabla18[[#This Row],[Importe]]-Tabla18[[#This Row],[Pagado]]</f>
        <v>0</v>
      </c>
      <c r="H1899" s="153" t="s">
        <v>10</v>
      </c>
    </row>
    <row r="1900" spans="1:8" x14ac:dyDescent="0.25">
      <c r="A1900" s="73">
        <v>44760</v>
      </c>
      <c r="B1900" s="74" t="s">
        <v>23232</v>
      </c>
      <c r="C1900" s="75" t="s">
        <v>240</v>
      </c>
      <c r="D1900" s="81">
        <v>13088</v>
      </c>
      <c r="E1900" s="151">
        <v>44760</v>
      </c>
      <c r="F1900" s="81">
        <v>13088</v>
      </c>
      <c r="G1900" s="156">
        <f>Tabla18[[#This Row],[Importe]]-Tabla18[[#This Row],[Pagado]]</f>
        <v>0</v>
      </c>
      <c r="H1900" s="75" t="s">
        <v>10</v>
      </c>
    </row>
    <row r="1901" spans="1:8" x14ac:dyDescent="0.25">
      <c r="A1901" s="148">
        <v>44760</v>
      </c>
      <c r="B1901" s="149" t="s">
        <v>23233</v>
      </c>
      <c r="C1901" s="153" t="s">
        <v>214</v>
      </c>
      <c r="D1901" s="154">
        <v>7200</v>
      </c>
      <c r="E1901" s="155">
        <v>44760</v>
      </c>
      <c r="F1901" s="154">
        <v>7200</v>
      </c>
      <c r="G1901" s="156">
        <f>Tabla18[[#This Row],[Importe]]-Tabla18[[#This Row],[Pagado]]</f>
        <v>0</v>
      </c>
      <c r="H1901" s="153" t="s">
        <v>10</v>
      </c>
    </row>
    <row r="1902" spans="1:8" x14ac:dyDescent="0.25">
      <c r="A1902" s="73">
        <v>44760</v>
      </c>
      <c r="B1902" s="74" t="s">
        <v>23234</v>
      </c>
      <c r="C1902" s="75" t="s">
        <v>133</v>
      </c>
      <c r="D1902" s="81">
        <v>11952</v>
      </c>
      <c r="E1902" s="151">
        <v>44761</v>
      </c>
      <c r="F1902" s="81">
        <v>11952</v>
      </c>
      <c r="G1902" s="156">
        <f>Tabla18[[#This Row],[Importe]]-Tabla18[[#This Row],[Pagado]]</f>
        <v>0</v>
      </c>
      <c r="H1902" s="75" t="s">
        <v>10</v>
      </c>
    </row>
    <row r="1903" spans="1:8" x14ac:dyDescent="0.25">
      <c r="A1903" s="148">
        <v>44760</v>
      </c>
      <c r="B1903" s="149" t="s">
        <v>23235</v>
      </c>
      <c r="C1903" s="153" t="s">
        <v>214</v>
      </c>
      <c r="D1903" s="154">
        <v>1731.6</v>
      </c>
      <c r="E1903" s="155">
        <v>44760</v>
      </c>
      <c r="F1903" s="154">
        <v>1731.6</v>
      </c>
      <c r="G1903" s="156">
        <f>Tabla18[[#This Row],[Importe]]-Tabla18[[#This Row],[Pagado]]</f>
        <v>0</v>
      </c>
      <c r="H1903" s="153" t="s">
        <v>10</v>
      </c>
    </row>
    <row r="1904" spans="1:8" x14ac:dyDescent="0.25">
      <c r="A1904" s="73">
        <v>44760</v>
      </c>
      <c r="B1904" s="74" t="s">
        <v>23236</v>
      </c>
      <c r="C1904" s="75" t="s">
        <v>173</v>
      </c>
      <c r="D1904" s="81">
        <v>23700.799999999999</v>
      </c>
      <c r="E1904" s="151">
        <v>44761</v>
      </c>
      <c r="F1904" s="81">
        <v>23700.799999999999</v>
      </c>
      <c r="G1904" s="156">
        <f>Tabla18[[#This Row],[Importe]]-Tabla18[[#This Row],[Pagado]]</f>
        <v>0</v>
      </c>
      <c r="H1904" s="75" t="s">
        <v>10</v>
      </c>
    </row>
    <row r="1905" spans="1:8" x14ac:dyDescent="0.25">
      <c r="A1905" s="148">
        <v>44760</v>
      </c>
      <c r="B1905" s="149" t="s">
        <v>23237</v>
      </c>
      <c r="C1905" s="153" t="s">
        <v>5816</v>
      </c>
      <c r="D1905" s="154">
        <v>4155.3</v>
      </c>
      <c r="E1905" s="155">
        <v>44761</v>
      </c>
      <c r="F1905" s="154">
        <v>4155.3</v>
      </c>
      <c r="G1905" s="156">
        <f>Tabla18[[#This Row],[Importe]]-Tabla18[[#This Row],[Pagado]]</f>
        <v>0</v>
      </c>
      <c r="H1905" s="153" t="s">
        <v>10</v>
      </c>
    </row>
    <row r="1906" spans="1:8" x14ac:dyDescent="0.25">
      <c r="A1906" s="73">
        <v>44760</v>
      </c>
      <c r="B1906" s="74" t="s">
        <v>23238</v>
      </c>
      <c r="C1906" s="75" t="s">
        <v>216</v>
      </c>
      <c r="D1906" s="81">
        <v>2386.8000000000002</v>
      </c>
      <c r="E1906" s="151">
        <v>44760</v>
      </c>
      <c r="F1906" s="81">
        <v>2386.8000000000002</v>
      </c>
      <c r="G1906" s="156">
        <f>Tabla18[[#This Row],[Importe]]-Tabla18[[#This Row],[Pagado]]</f>
        <v>0</v>
      </c>
      <c r="H1906" s="75" t="s">
        <v>10</v>
      </c>
    </row>
    <row r="1907" spans="1:8" x14ac:dyDescent="0.25">
      <c r="A1907" s="148">
        <v>44760</v>
      </c>
      <c r="B1907" s="149" t="s">
        <v>23239</v>
      </c>
      <c r="C1907" s="153" t="s">
        <v>191</v>
      </c>
      <c r="D1907" s="154">
        <v>1684.9</v>
      </c>
      <c r="E1907" s="155">
        <v>44760</v>
      </c>
      <c r="F1907" s="154">
        <v>1684.9</v>
      </c>
      <c r="G1907" s="156">
        <f>Tabla18[[#This Row],[Importe]]-Tabla18[[#This Row],[Pagado]]</f>
        <v>0</v>
      </c>
      <c r="H1907" s="153" t="s">
        <v>10</v>
      </c>
    </row>
    <row r="1908" spans="1:8" x14ac:dyDescent="0.25">
      <c r="A1908" s="73">
        <v>44760</v>
      </c>
      <c r="B1908" s="74" t="s">
        <v>23240</v>
      </c>
      <c r="C1908" s="75" t="s">
        <v>1003</v>
      </c>
      <c r="D1908" s="81">
        <v>2828.2</v>
      </c>
      <c r="E1908" s="151">
        <v>44760</v>
      </c>
      <c r="F1908" s="81">
        <v>2828.2</v>
      </c>
      <c r="G1908" s="156">
        <f>Tabla18[[#This Row],[Importe]]-Tabla18[[#This Row],[Pagado]]</f>
        <v>0</v>
      </c>
      <c r="H1908" s="75" t="s">
        <v>10</v>
      </c>
    </row>
    <row r="1909" spans="1:8" x14ac:dyDescent="0.25">
      <c r="A1909" s="148">
        <v>44760</v>
      </c>
      <c r="B1909" s="149" t="s">
        <v>23241</v>
      </c>
      <c r="C1909" s="153" t="s">
        <v>7745</v>
      </c>
      <c r="D1909" s="154">
        <v>6490.4</v>
      </c>
      <c r="E1909" s="155">
        <v>44760</v>
      </c>
      <c r="F1909" s="154">
        <v>6490.4</v>
      </c>
      <c r="G1909" s="156">
        <f>Tabla18[[#This Row],[Importe]]-Tabla18[[#This Row],[Pagado]]</f>
        <v>0</v>
      </c>
      <c r="H1909" s="153" t="s">
        <v>10</v>
      </c>
    </row>
    <row r="1910" spans="1:8" x14ac:dyDescent="0.25">
      <c r="A1910" s="73">
        <v>44760</v>
      </c>
      <c r="B1910" s="74" t="s">
        <v>23242</v>
      </c>
      <c r="C1910" s="75" t="s">
        <v>7745</v>
      </c>
      <c r="D1910" s="81">
        <v>8400</v>
      </c>
      <c r="E1910" s="151">
        <v>44760</v>
      </c>
      <c r="F1910" s="81">
        <v>8400</v>
      </c>
      <c r="G1910" s="156">
        <f>Tabla18[[#This Row],[Importe]]-Tabla18[[#This Row],[Pagado]]</f>
        <v>0</v>
      </c>
      <c r="H1910" s="75" t="s">
        <v>10</v>
      </c>
    </row>
    <row r="1911" spans="1:8" x14ac:dyDescent="0.25">
      <c r="A1911" s="148">
        <v>44760</v>
      </c>
      <c r="B1911" s="149" t="s">
        <v>23243</v>
      </c>
      <c r="C1911" s="153" t="s">
        <v>541</v>
      </c>
      <c r="D1911" s="154">
        <v>8808.7999999999993</v>
      </c>
      <c r="E1911" s="155">
        <v>44761</v>
      </c>
      <c r="F1911" s="154">
        <v>8808.7999999999993</v>
      </c>
      <c r="G1911" s="156">
        <f>Tabla18[[#This Row],[Importe]]-Tabla18[[#This Row],[Pagado]]</f>
        <v>0</v>
      </c>
      <c r="H1911" s="153" t="s">
        <v>10</v>
      </c>
    </row>
    <row r="1912" spans="1:8" x14ac:dyDescent="0.25">
      <c r="A1912" s="73">
        <v>44760</v>
      </c>
      <c r="B1912" s="74" t="s">
        <v>23244</v>
      </c>
      <c r="C1912" s="75" t="s">
        <v>857</v>
      </c>
      <c r="D1912" s="81">
        <v>524</v>
      </c>
      <c r="E1912" s="151">
        <v>44760</v>
      </c>
      <c r="F1912" s="81">
        <v>524</v>
      </c>
      <c r="G1912" s="156">
        <f>Tabla18[[#This Row],[Importe]]-Tabla18[[#This Row],[Pagado]]</f>
        <v>0</v>
      </c>
      <c r="H1912" s="75" t="s">
        <v>10</v>
      </c>
    </row>
    <row r="1913" spans="1:8" x14ac:dyDescent="0.25">
      <c r="A1913" s="148">
        <v>44760</v>
      </c>
      <c r="B1913" s="149" t="s">
        <v>23245</v>
      </c>
      <c r="C1913" s="153" t="s">
        <v>392</v>
      </c>
      <c r="D1913" s="154">
        <v>12940.8</v>
      </c>
      <c r="E1913" s="155">
        <v>44764</v>
      </c>
      <c r="F1913" s="154">
        <v>12940.8</v>
      </c>
      <c r="G1913" s="156">
        <f>Tabla18[[#This Row],[Importe]]-Tabla18[[#This Row],[Pagado]]</f>
        <v>0</v>
      </c>
      <c r="H1913" s="153" t="s">
        <v>10</v>
      </c>
    </row>
    <row r="1914" spans="1:8" x14ac:dyDescent="0.25">
      <c r="A1914" s="73">
        <v>44760</v>
      </c>
      <c r="B1914" s="74" t="s">
        <v>23246</v>
      </c>
      <c r="C1914" s="75" t="s">
        <v>664</v>
      </c>
      <c r="D1914" s="81">
        <v>15344.4</v>
      </c>
      <c r="E1914" s="151">
        <v>44760</v>
      </c>
      <c r="F1914" s="81">
        <v>15344.4</v>
      </c>
      <c r="G1914" s="156">
        <f>Tabla18[[#This Row],[Importe]]-Tabla18[[#This Row],[Pagado]]</f>
        <v>0</v>
      </c>
      <c r="H1914" s="75" t="s">
        <v>10</v>
      </c>
    </row>
    <row r="1915" spans="1:8" x14ac:dyDescent="0.25">
      <c r="A1915" s="148">
        <v>44760</v>
      </c>
      <c r="B1915" s="149" t="s">
        <v>23247</v>
      </c>
      <c r="C1915" s="153" t="s">
        <v>58</v>
      </c>
      <c r="D1915" s="154">
        <v>2397.3000000000002</v>
      </c>
      <c r="E1915" s="155">
        <v>44760</v>
      </c>
      <c r="F1915" s="154">
        <v>2397.3000000000002</v>
      </c>
      <c r="G1915" s="156">
        <f>Tabla18[[#This Row],[Importe]]-Tabla18[[#This Row],[Pagado]]</f>
        <v>0</v>
      </c>
      <c r="H1915" s="153" t="s">
        <v>10</v>
      </c>
    </row>
    <row r="1916" spans="1:8" x14ac:dyDescent="0.25">
      <c r="A1916" s="73">
        <v>44760</v>
      </c>
      <c r="B1916" s="74" t="s">
        <v>23248</v>
      </c>
      <c r="C1916" s="75" t="s">
        <v>224</v>
      </c>
      <c r="D1916" s="81">
        <v>15342.5</v>
      </c>
      <c r="E1916" s="151">
        <v>44774</v>
      </c>
      <c r="F1916" s="81">
        <v>15342.5</v>
      </c>
      <c r="G1916" s="156">
        <f>Tabla18[[#This Row],[Importe]]-Tabla18[[#This Row],[Pagado]]</f>
        <v>0</v>
      </c>
      <c r="H1916" s="75" t="s">
        <v>10</v>
      </c>
    </row>
    <row r="1917" spans="1:8" x14ac:dyDescent="0.25">
      <c r="A1917" s="148">
        <v>44760</v>
      </c>
      <c r="B1917" s="149" t="s">
        <v>23249</v>
      </c>
      <c r="C1917" s="153" t="s">
        <v>31</v>
      </c>
      <c r="D1917" s="154">
        <v>3778</v>
      </c>
      <c r="E1917" s="155">
        <v>44760</v>
      </c>
      <c r="F1917" s="154">
        <v>3778</v>
      </c>
      <c r="G1917" s="156">
        <f>Tabla18[[#This Row],[Importe]]-Tabla18[[#This Row],[Pagado]]</f>
        <v>0</v>
      </c>
      <c r="H1917" s="153" t="s">
        <v>10</v>
      </c>
    </row>
    <row r="1918" spans="1:8" x14ac:dyDescent="0.25">
      <c r="A1918" s="73">
        <v>44760</v>
      </c>
      <c r="B1918" s="74" t="s">
        <v>23250</v>
      </c>
      <c r="C1918" s="75" t="s">
        <v>6405</v>
      </c>
      <c r="D1918" s="81">
        <v>2.0499999999999998</v>
      </c>
      <c r="E1918" s="151">
        <v>44772</v>
      </c>
      <c r="F1918" s="81">
        <v>2.0499999999999998</v>
      </c>
      <c r="G1918" s="156">
        <f>Tabla18[[#This Row],[Importe]]-Tabla18[[#This Row],[Pagado]]</f>
        <v>0</v>
      </c>
      <c r="H1918" s="75" t="s">
        <v>10</v>
      </c>
    </row>
    <row r="1919" spans="1:8" x14ac:dyDescent="0.25">
      <c r="A1919" s="148">
        <v>44760</v>
      </c>
      <c r="B1919" s="149" t="s">
        <v>23251</v>
      </c>
      <c r="C1919" s="153" t="s">
        <v>4136</v>
      </c>
      <c r="D1919" s="154">
        <v>1142</v>
      </c>
      <c r="E1919" s="155">
        <v>44760</v>
      </c>
      <c r="F1919" s="154">
        <v>1142</v>
      </c>
      <c r="G1919" s="156">
        <f>Tabla18[[#This Row],[Importe]]-Tabla18[[#This Row],[Pagado]]</f>
        <v>0</v>
      </c>
      <c r="H1919" s="153" t="s">
        <v>10</v>
      </c>
    </row>
    <row r="1920" spans="1:8" x14ac:dyDescent="0.25">
      <c r="A1920" s="73">
        <v>44760</v>
      </c>
      <c r="B1920" s="74" t="s">
        <v>23252</v>
      </c>
      <c r="C1920" s="75" t="s">
        <v>419</v>
      </c>
      <c r="D1920" s="81">
        <v>7166.6</v>
      </c>
      <c r="E1920" s="151">
        <v>44760</v>
      </c>
      <c r="F1920" s="81">
        <v>7166.6</v>
      </c>
      <c r="G1920" s="156">
        <f>Tabla18[[#This Row],[Importe]]-Tabla18[[#This Row],[Pagado]]</f>
        <v>0</v>
      </c>
      <c r="H1920" s="75" t="s">
        <v>10</v>
      </c>
    </row>
    <row r="1921" spans="1:8" x14ac:dyDescent="0.25">
      <c r="A1921" s="148">
        <v>44760</v>
      </c>
      <c r="B1921" s="149" t="s">
        <v>23253</v>
      </c>
      <c r="C1921" s="153" t="s">
        <v>654</v>
      </c>
      <c r="D1921" s="154">
        <v>9579.5</v>
      </c>
      <c r="E1921" s="155">
        <v>44764</v>
      </c>
      <c r="F1921" s="154">
        <v>9579.5</v>
      </c>
      <c r="G1921" s="156">
        <f>Tabla18[[#This Row],[Importe]]-Tabla18[[#This Row],[Pagado]]</f>
        <v>0</v>
      </c>
      <c r="H1921" s="153" t="s">
        <v>10</v>
      </c>
    </row>
    <row r="1922" spans="1:8" x14ac:dyDescent="0.25">
      <c r="A1922" s="73">
        <v>44760</v>
      </c>
      <c r="B1922" s="74" t="s">
        <v>23254</v>
      </c>
      <c r="C1922" s="75" t="s">
        <v>67</v>
      </c>
      <c r="D1922" s="81">
        <v>580</v>
      </c>
      <c r="E1922" s="151">
        <v>44760</v>
      </c>
      <c r="F1922" s="81">
        <v>580</v>
      </c>
      <c r="G1922" s="156">
        <f>Tabla18[[#This Row],[Importe]]-Tabla18[[#This Row],[Pagado]]</f>
        <v>0</v>
      </c>
      <c r="H1922" s="75" t="s">
        <v>10</v>
      </c>
    </row>
    <row r="1923" spans="1:8" x14ac:dyDescent="0.25">
      <c r="A1923" s="148">
        <v>44760</v>
      </c>
      <c r="B1923" s="149" t="s">
        <v>23255</v>
      </c>
      <c r="C1923" s="153" t="s">
        <v>91</v>
      </c>
      <c r="D1923" s="154">
        <v>7020</v>
      </c>
      <c r="E1923" s="155">
        <v>44762</v>
      </c>
      <c r="F1923" s="154">
        <v>7020</v>
      </c>
      <c r="G1923" s="156">
        <f>Tabla18[[#This Row],[Importe]]-Tabla18[[#This Row],[Pagado]]</f>
        <v>0</v>
      </c>
      <c r="H1923" s="153" t="s">
        <v>10</v>
      </c>
    </row>
    <row r="1924" spans="1:8" x14ac:dyDescent="0.25">
      <c r="A1924" s="73">
        <v>44760</v>
      </c>
      <c r="B1924" s="74" t="s">
        <v>23256</v>
      </c>
      <c r="C1924" s="75" t="s">
        <v>845</v>
      </c>
      <c r="D1924" s="81">
        <v>1352.4</v>
      </c>
      <c r="E1924" s="151">
        <v>44760</v>
      </c>
      <c r="F1924" s="81">
        <v>1352.4</v>
      </c>
      <c r="G1924" s="156">
        <f>Tabla18[[#This Row],[Importe]]-Tabla18[[#This Row],[Pagado]]</f>
        <v>0</v>
      </c>
      <c r="H1924" s="75" t="s">
        <v>10</v>
      </c>
    </row>
    <row r="1925" spans="1:8" x14ac:dyDescent="0.25">
      <c r="A1925" s="148">
        <v>44760</v>
      </c>
      <c r="B1925" s="149" t="s">
        <v>23257</v>
      </c>
      <c r="C1925" s="153" t="s">
        <v>31</v>
      </c>
      <c r="D1925" s="154">
        <v>2363.4</v>
      </c>
      <c r="E1925" s="155">
        <v>44760</v>
      </c>
      <c r="F1925" s="154">
        <v>2363.4</v>
      </c>
      <c r="G1925" s="156">
        <f>Tabla18[[#This Row],[Importe]]-Tabla18[[#This Row],[Pagado]]</f>
        <v>0</v>
      </c>
      <c r="H1925" s="153" t="s">
        <v>10</v>
      </c>
    </row>
    <row r="1926" spans="1:8" x14ac:dyDescent="0.25">
      <c r="A1926" s="73">
        <v>44760</v>
      </c>
      <c r="B1926" s="74" t="s">
        <v>23258</v>
      </c>
      <c r="C1926" s="75" t="s">
        <v>208</v>
      </c>
      <c r="D1926" s="81">
        <v>51492.12</v>
      </c>
      <c r="E1926" s="151">
        <v>44768</v>
      </c>
      <c r="F1926" s="81">
        <v>51492.12</v>
      </c>
      <c r="G1926" s="156">
        <f>Tabla18[[#This Row],[Importe]]-Tabla18[[#This Row],[Pagado]]</f>
        <v>0</v>
      </c>
      <c r="H1926" s="75" t="s">
        <v>10</v>
      </c>
    </row>
    <row r="1927" spans="1:8" x14ac:dyDescent="0.25">
      <c r="A1927" s="148">
        <v>44760</v>
      </c>
      <c r="B1927" s="149" t="s">
        <v>23259</v>
      </c>
      <c r="C1927" s="153" t="s">
        <v>154</v>
      </c>
      <c r="D1927" s="154">
        <v>32590.799999999999</v>
      </c>
      <c r="E1927" s="155">
        <v>44763</v>
      </c>
      <c r="F1927" s="154">
        <v>32590.799999999999</v>
      </c>
      <c r="G1927" s="156">
        <f>Tabla18[[#This Row],[Importe]]-Tabla18[[#This Row],[Pagado]]</f>
        <v>0</v>
      </c>
      <c r="H1927" s="153" t="s">
        <v>10</v>
      </c>
    </row>
    <row r="1928" spans="1:8" x14ac:dyDescent="0.25">
      <c r="A1928" s="73">
        <v>44760</v>
      </c>
      <c r="B1928" s="74" t="s">
        <v>23260</v>
      </c>
      <c r="C1928" s="75" t="s">
        <v>212</v>
      </c>
      <c r="D1928" s="81">
        <v>47611.5</v>
      </c>
      <c r="E1928" s="151">
        <v>44762</v>
      </c>
      <c r="F1928" s="81">
        <v>47611.5</v>
      </c>
      <c r="G1928" s="156">
        <f>Tabla18[[#This Row],[Importe]]-Tabla18[[#This Row],[Pagado]]</f>
        <v>0</v>
      </c>
      <c r="H1928" s="75" t="s">
        <v>10</v>
      </c>
    </row>
    <row r="1929" spans="1:8" x14ac:dyDescent="0.25">
      <c r="A1929" s="148">
        <v>44760</v>
      </c>
      <c r="B1929" s="149" t="s">
        <v>23261</v>
      </c>
      <c r="C1929" s="153" t="s">
        <v>206</v>
      </c>
      <c r="D1929" s="154">
        <v>35084.699999999997</v>
      </c>
      <c r="E1929" s="155">
        <v>44763</v>
      </c>
      <c r="F1929" s="154">
        <v>35084.699999999997</v>
      </c>
      <c r="G1929" s="156">
        <f>Tabla18[[#This Row],[Importe]]-Tabla18[[#This Row],[Pagado]]</f>
        <v>0</v>
      </c>
      <c r="H1929" s="153" t="s">
        <v>10</v>
      </c>
    </row>
    <row r="1930" spans="1:8" x14ac:dyDescent="0.25">
      <c r="A1930" s="73">
        <v>44760</v>
      </c>
      <c r="B1930" s="74" t="s">
        <v>23262</v>
      </c>
      <c r="C1930" s="75" t="s">
        <v>218</v>
      </c>
      <c r="D1930" s="81">
        <v>19697.8</v>
      </c>
      <c r="E1930" s="151">
        <v>44763</v>
      </c>
      <c r="F1930" s="81">
        <v>19697.8</v>
      </c>
      <c r="G1930" s="156">
        <f>Tabla18[[#This Row],[Importe]]-Tabla18[[#This Row],[Pagado]]</f>
        <v>0</v>
      </c>
      <c r="H1930" s="75" t="s">
        <v>10</v>
      </c>
    </row>
    <row r="1931" spans="1:8" x14ac:dyDescent="0.25">
      <c r="A1931" s="148">
        <v>44760</v>
      </c>
      <c r="B1931" s="149" t="s">
        <v>23263</v>
      </c>
      <c r="C1931" s="153" t="s">
        <v>31</v>
      </c>
      <c r="D1931" s="154">
        <v>1620.1</v>
      </c>
      <c r="E1931" s="155">
        <v>44760</v>
      </c>
      <c r="F1931" s="154">
        <v>1620.1</v>
      </c>
      <c r="G1931" s="156">
        <f>Tabla18[[#This Row],[Importe]]-Tabla18[[#This Row],[Pagado]]</f>
        <v>0</v>
      </c>
      <c r="H1931" s="153" t="s">
        <v>10</v>
      </c>
    </row>
    <row r="1932" spans="1:8" x14ac:dyDescent="0.25">
      <c r="A1932" s="73">
        <v>44760</v>
      </c>
      <c r="B1932" s="74" t="s">
        <v>23264</v>
      </c>
      <c r="C1932" s="75" t="s">
        <v>698</v>
      </c>
      <c r="D1932" s="81">
        <v>9997.6</v>
      </c>
      <c r="E1932" s="151">
        <v>44760</v>
      </c>
      <c r="F1932" s="81">
        <v>9997.6</v>
      </c>
      <c r="G1932" s="156">
        <f>Tabla18[[#This Row],[Importe]]-Tabla18[[#This Row],[Pagado]]</f>
        <v>0</v>
      </c>
      <c r="H1932" s="75" t="s">
        <v>10</v>
      </c>
    </row>
    <row r="1933" spans="1:8" x14ac:dyDescent="0.25">
      <c r="A1933" s="148">
        <v>44760</v>
      </c>
      <c r="B1933" s="149" t="s">
        <v>23265</v>
      </c>
      <c r="C1933" s="153" t="s">
        <v>670</v>
      </c>
      <c r="D1933" s="154">
        <v>5066.6000000000004</v>
      </c>
      <c r="E1933" s="155">
        <v>44760</v>
      </c>
      <c r="F1933" s="154">
        <v>5066.6000000000004</v>
      </c>
      <c r="G1933" s="156">
        <f>Tabla18[[#This Row],[Importe]]-Tabla18[[#This Row],[Pagado]]</f>
        <v>0</v>
      </c>
      <c r="H1933" s="153" t="s">
        <v>10</v>
      </c>
    </row>
    <row r="1934" spans="1:8" x14ac:dyDescent="0.25">
      <c r="A1934" s="73">
        <v>44760</v>
      </c>
      <c r="B1934" s="74" t="s">
        <v>23266</v>
      </c>
      <c r="C1934" s="75" t="s">
        <v>286</v>
      </c>
      <c r="D1934" s="81">
        <v>32168</v>
      </c>
      <c r="E1934" s="151">
        <v>44760</v>
      </c>
      <c r="F1934" s="81">
        <v>32168</v>
      </c>
      <c r="G1934" s="156">
        <f>Tabla18[[#This Row],[Importe]]-Tabla18[[#This Row],[Pagado]]</f>
        <v>0</v>
      </c>
      <c r="H1934" s="75" t="s">
        <v>10</v>
      </c>
    </row>
    <row r="1935" spans="1:8" x14ac:dyDescent="0.25">
      <c r="A1935" s="148">
        <v>44760</v>
      </c>
      <c r="B1935" s="149" t="s">
        <v>23267</v>
      </c>
      <c r="C1935" s="153" t="s">
        <v>191</v>
      </c>
      <c r="D1935" s="154">
        <v>19782</v>
      </c>
      <c r="E1935" s="155">
        <v>44760</v>
      </c>
      <c r="F1935" s="154">
        <v>19782</v>
      </c>
      <c r="G1935" s="156">
        <f>Tabla18[[#This Row],[Importe]]-Tabla18[[#This Row],[Pagado]]</f>
        <v>0</v>
      </c>
      <c r="H1935" s="153" t="s">
        <v>10</v>
      </c>
    </row>
    <row r="1936" spans="1:8" x14ac:dyDescent="0.25">
      <c r="A1936" s="73">
        <v>44760</v>
      </c>
      <c r="B1936" s="74" t="s">
        <v>23268</v>
      </c>
      <c r="C1936" s="75" t="s">
        <v>200</v>
      </c>
      <c r="D1936" s="81">
        <v>1310.4000000000001</v>
      </c>
      <c r="E1936" s="151">
        <v>44760</v>
      </c>
      <c r="F1936" s="81">
        <v>1310.4000000000001</v>
      </c>
      <c r="G1936" s="156">
        <f>Tabla18[[#This Row],[Importe]]-Tabla18[[#This Row],[Pagado]]</f>
        <v>0</v>
      </c>
      <c r="H1936" s="75" t="s">
        <v>10</v>
      </c>
    </row>
    <row r="1937" spans="1:8" x14ac:dyDescent="0.25">
      <c r="A1937" s="148">
        <v>44760</v>
      </c>
      <c r="B1937" s="149" t="s">
        <v>23269</v>
      </c>
      <c r="C1937" s="153" t="s">
        <v>175</v>
      </c>
      <c r="D1937" s="154">
        <v>15598.6</v>
      </c>
      <c r="E1937" s="155">
        <v>44760</v>
      </c>
      <c r="F1937" s="154">
        <v>15598.6</v>
      </c>
      <c r="G1937" s="156">
        <f>Tabla18[[#This Row],[Importe]]-Tabla18[[#This Row],[Pagado]]</f>
        <v>0</v>
      </c>
      <c r="H1937" s="153" t="s">
        <v>10</v>
      </c>
    </row>
    <row r="1938" spans="1:8" x14ac:dyDescent="0.25">
      <c r="A1938" s="73">
        <v>44760</v>
      </c>
      <c r="B1938" s="74" t="s">
        <v>23270</v>
      </c>
      <c r="C1938" s="75" t="s">
        <v>426</v>
      </c>
      <c r="D1938" s="81">
        <v>12166.2</v>
      </c>
      <c r="E1938" s="151">
        <v>44760</v>
      </c>
      <c r="F1938" s="81">
        <v>12166.2</v>
      </c>
      <c r="G1938" s="156">
        <f>Tabla18[[#This Row],[Importe]]-Tabla18[[#This Row],[Pagado]]</f>
        <v>0</v>
      </c>
      <c r="H1938" s="75" t="s">
        <v>10</v>
      </c>
    </row>
    <row r="1939" spans="1:8" x14ac:dyDescent="0.25">
      <c r="A1939" s="148">
        <v>44760</v>
      </c>
      <c r="B1939" s="149" t="s">
        <v>23271</v>
      </c>
      <c r="C1939" s="153" t="s">
        <v>359</v>
      </c>
      <c r="D1939" s="154">
        <v>1548.3</v>
      </c>
      <c r="E1939" s="155">
        <v>44760</v>
      </c>
      <c r="F1939" s="154">
        <v>1548.3</v>
      </c>
      <c r="G1939" s="156">
        <f>Tabla18[[#This Row],[Importe]]-Tabla18[[#This Row],[Pagado]]</f>
        <v>0</v>
      </c>
      <c r="H1939" s="153" t="s">
        <v>10</v>
      </c>
    </row>
    <row r="1940" spans="1:8" x14ac:dyDescent="0.25">
      <c r="A1940" s="73">
        <v>44760</v>
      </c>
      <c r="B1940" s="74" t="s">
        <v>23272</v>
      </c>
      <c r="C1940" s="75" t="s">
        <v>181</v>
      </c>
      <c r="D1940" s="81">
        <v>11753</v>
      </c>
      <c r="E1940" s="151">
        <v>44760</v>
      </c>
      <c r="F1940" s="81">
        <v>11753</v>
      </c>
      <c r="G1940" s="156">
        <f>Tabla18[[#This Row],[Importe]]-Tabla18[[#This Row],[Pagado]]</f>
        <v>0</v>
      </c>
      <c r="H1940" s="75" t="s">
        <v>10</v>
      </c>
    </row>
    <row r="1941" spans="1:8" x14ac:dyDescent="0.25">
      <c r="A1941" s="148">
        <v>44760</v>
      </c>
      <c r="B1941" s="149" t="s">
        <v>23273</v>
      </c>
      <c r="C1941" s="153" t="s">
        <v>9827</v>
      </c>
      <c r="D1941" s="154">
        <v>3751.8</v>
      </c>
      <c r="E1941" s="155">
        <v>44760</v>
      </c>
      <c r="F1941" s="154">
        <v>3751.8</v>
      </c>
      <c r="G1941" s="156">
        <f>Tabla18[[#This Row],[Importe]]-Tabla18[[#This Row],[Pagado]]</f>
        <v>0</v>
      </c>
      <c r="H1941" s="153" t="s">
        <v>10</v>
      </c>
    </row>
    <row r="1942" spans="1:8" x14ac:dyDescent="0.25">
      <c r="A1942" s="73">
        <v>44760</v>
      </c>
      <c r="B1942" s="74" t="s">
        <v>23274</v>
      </c>
      <c r="C1942" s="75" t="s">
        <v>4523</v>
      </c>
      <c r="D1942" s="81">
        <v>4602</v>
      </c>
      <c r="E1942" s="151">
        <v>44760</v>
      </c>
      <c r="F1942" s="81">
        <v>4602</v>
      </c>
      <c r="G1942" s="156">
        <f>Tabla18[[#This Row],[Importe]]-Tabla18[[#This Row],[Pagado]]</f>
        <v>0</v>
      </c>
      <c r="H1942" s="75" t="s">
        <v>10</v>
      </c>
    </row>
    <row r="1943" spans="1:8" x14ac:dyDescent="0.25">
      <c r="A1943" s="148">
        <v>44760</v>
      </c>
      <c r="B1943" s="149" t="s">
        <v>23275</v>
      </c>
      <c r="C1943" s="153" t="s">
        <v>284</v>
      </c>
      <c r="D1943" s="154">
        <v>8197.7999999999993</v>
      </c>
      <c r="E1943" s="155">
        <v>44761</v>
      </c>
      <c r="F1943" s="154">
        <v>8197.7999999999993</v>
      </c>
      <c r="G1943" s="156">
        <f>Tabla18[[#This Row],[Importe]]-Tabla18[[#This Row],[Pagado]]</f>
        <v>0</v>
      </c>
      <c r="H1943" s="153" t="s">
        <v>10</v>
      </c>
    </row>
    <row r="1944" spans="1:8" x14ac:dyDescent="0.25">
      <c r="A1944" s="73">
        <v>44760</v>
      </c>
      <c r="B1944" s="74" t="s">
        <v>23276</v>
      </c>
      <c r="C1944" s="75" t="s">
        <v>5345</v>
      </c>
      <c r="D1944" s="81">
        <v>3010.8</v>
      </c>
      <c r="E1944" s="151">
        <v>44761</v>
      </c>
      <c r="F1944" s="81">
        <v>3010.8</v>
      </c>
      <c r="G1944" s="156">
        <f>Tabla18[[#This Row],[Importe]]-Tabla18[[#This Row],[Pagado]]</f>
        <v>0</v>
      </c>
      <c r="H1944" s="75" t="s">
        <v>10</v>
      </c>
    </row>
    <row r="1945" spans="1:8" x14ac:dyDescent="0.25">
      <c r="A1945" s="148">
        <v>44760</v>
      </c>
      <c r="B1945" s="149" t="s">
        <v>23277</v>
      </c>
      <c r="C1945" s="153" t="s">
        <v>10819</v>
      </c>
      <c r="D1945" s="154">
        <v>827.8</v>
      </c>
      <c r="E1945" s="155">
        <v>44761</v>
      </c>
      <c r="F1945" s="154">
        <v>827.8</v>
      </c>
      <c r="G1945" s="156">
        <f>Tabla18[[#This Row],[Importe]]-Tabla18[[#This Row],[Pagado]]</f>
        <v>0</v>
      </c>
      <c r="H1945" s="153" t="s">
        <v>10</v>
      </c>
    </row>
    <row r="1946" spans="1:8" x14ac:dyDescent="0.25">
      <c r="A1946" s="73">
        <v>44760</v>
      </c>
      <c r="B1946" s="74" t="s">
        <v>23278</v>
      </c>
      <c r="C1946" s="75" t="s">
        <v>280</v>
      </c>
      <c r="D1946" s="81">
        <v>1224.5999999999999</v>
      </c>
      <c r="E1946" s="151">
        <v>44761</v>
      </c>
      <c r="F1946" s="81">
        <v>1224.5999999999999</v>
      </c>
      <c r="G1946" s="156">
        <f>Tabla18[[#This Row],[Importe]]-Tabla18[[#This Row],[Pagado]]</f>
        <v>0</v>
      </c>
      <c r="H1946" s="75" t="s">
        <v>10</v>
      </c>
    </row>
    <row r="1947" spans="1:8" x14ac:dyDescent="0.25">
      <c r="A1947" s="148">
        <v>44760</v>
      </c>
      <c r="B1947" s="149" t="s">
        <v>23279</v>
      </c>
      <c r="C1947" s="153" t="s">
        <v>282</v>
      </c>
      <c r="D1947" s="154">
        <v>2223</v>
      </c>
      <c r="E1947" s="155">
        <v>44761</v>
      </c>
      <c r="F1947" s="154">
        <v>2223</v>
      </c>
      <c r="G1947" s="156">
        <f>Tabla18[[#This Row],[Importe]]-Tabla18[[#This Row],[Pagado]]</f>
        <v>0</v>
      </c>
      <c r="H1947" s="153" t="s">
        <v>10</v>
      </c>
    </row>
    <row r="1948" spans="1:8" x14ac:dyDescent="0.25">
      <c r="A1948" s="73">
        <v>44760</v>
      </c>
      <c r="B1948" s="74" t="s">
        <v>23280</v>
      </c>
      <c r="C1948" s="75" t="s">
        <v>450</v>
      </c>
      <c r="D1948" s="81">
        <v>7784</v>
      </c>
      <c r="E1948" s="151">
        <v>44760</v>
      </c>
      <c r="F1948" s="81">
        <v>7784</v>
      </c>
      <c r="G1948" s="156">
        <f>Tabla18[[#This Row],[Importe]]-Tabla18[[#This Row],[Pagado]]</f>
        <v>0</v>
      </c>
      <c r="H1948" s="75" t="s">
        <v>10</v>
      </c>
    </row>
    <row r="1949" spans="1:8" x14ac:dyDescent="0.25">
      <c r="A1949" s="148">
        <v>44760</v>
      </c>
      <c r="B1949" s="149" t="s">
        <v>23281</v>
      </c>
      <c r="C1949" s="153" t="s">
        <v>365</v>
      </c>
      <c r="D1949" s="154">
        <v>1002</v>
      </c>
      <c r="E1949" s="155">
        <v>44760</v>
      </c>
      <c r="F1949" s="154">
        <v>1002</v>
      </c>
      <c r="G1949" s="156">
        <f>Tabla18[[#This Row],[Importe]]-Tabla18[[#This Row],[Pagado]]</f>
        <v>0</v>
      </c>
      <c r="H1949" s="153" t="s">
        <v>10</v>
      </c>
    </row>
    <row r="1950" spans="1:8" x14ac:dyDescent="0.25">
      <c r="A1950" s="73">
        <v>44760</v>
      </c>
      <c r="B1950" s="74" t="s">
        <v>23282</v>
      </c>
      <c r="C1950" s="75" t="s">
        <v>1174</v>
      </c>
      <c r="D1950" s="81">
        <v>22480.799999999999</v>
      </c>
      <c r="E1950" s="151">
        <v>44760</v>
      </c>
      <c r="F1950" s="81">
        <v>22480.799999999999</v>
      </c>
      <c r="G1950" s="156">
        <f>Tabla18[[#This Row],[Importe]]-Tabla18[[#This Row],[Pagado]]</f>
        <v>0</v>
      </c>
      <c r="H1950" s="75" t="s">
        <v>10</v>
      </c>
    </row>
    <row r="1951" spans="1:8" x14ac:dyDescent="0.25">
      <c r="A1951" s="148">
        <v>44760</v>
      </c>
      <c r="B1951" s="149" t="s">
        <v>23283</v>
      </c>
      <c r="C1951" s="153" t="s">
        <v>421</v>
      </c>
      <c r="D1951" s="154">
        <v>2948.4</v>
      </c>
      <c r="E1951" s="155">
        <v>44760</v>
      </c>
      <c r="F1951" s="154">
        <v>2948.4</v>
      </c>
      <c r="G1951" s="156">
        <f>Tabla18[[#This Row],[Importe]]-Tabla18[[#This Row],[Pagado]]</f>
        <v>0</v>
      </c>
      <c r="H1951" s="153" t="s">
        <v>10</v>
      </c>
    </row>
    <row r="1952" spans="1:8" x14ac:dyDescent="0.25">
      <c r="A1952" s="73">
        <v>44760</v>
      </c>
      <c r="B1952" s="74" t="s">
        <v>23284</v>
      </c>
      <c r="C1952" s="75" t="s">
        <v>22</v>
      </c>
      <c r="D1952" s="81">
        <v>2360.6999999999998</v>
      </c>
      <c r="E1952" s="151">
        <v>44760</v>
      </c>
      <c r="F1952" s="81">
        <v>2360.6999999999998</v>
      </c>
      <c r="G1952" s="156">
        <f>Tabla18[[#This Row],[Importe]]-Tabla18[[#This Row],[Pagado]]</f>
        <v>0</v>
      </c>
      <c r="H1952" s="75" t="s">
        <v>10</v>
      </c>
    </row>
    <row r="1953" spans="1:8" x14ac:dyDescent="0.25">
      <c r="A1953" s="148">
        <v>44760</v>
      </c>
      <c r="B1953" s="149" t="s">
        <v>23285</v>
      </c>
      <c r="C1953" s="153" t="s">
        <v>31</v>
      </c>
      <c r="D1953" s="154">
        <v>7400</v>
      </c>
      <c r="E1953" s="155">
        <v>44760</v>
      </c>
      <c r="F1953" s="154">
        <v>7400</v>
      </c>
      <c r="G1953" s="156">
        <f>Tabla18[[#This Row],[Importe]]-Tabla18[[#This Row],[Pagado]]</f>
        <v>0</v>
      </c>
      <c r="H1953" s="153" t="s">
        <v>10</v>
      </c>
    </row>
    <row r="1954" spans="1:8" x14ac:dyDescent="0.25">
      <c r="A1954" s="73">
        <v>44760</v>
      </c>
      <c r="B1954" s="74" t="s">
        <v>23286</v>
      </c>
      <c r="C1954" s="75" t="s">
        <v>53</v>
      </c>
      <c r="D1954" s="81">
        <v>1336.5</v>
      </c>
      <c r="E1954" s="151">
        <v>44760</v>
      </c>
      <c r="F1954" s="81">
        <v>1336.5</v>
      </c>
      <c r="G1954" s="156">
        <f>Tabla18[[#This Row],[Importe]]-Tabla18[[#This Row],[Pagado]]</f>
        <v>0</v>
      </c>
      <c r="H1954" s="75" t="s">
        <v>10</v>
      </c>
    </row>
    <row r="1955" spans="1:8" x14ac:dyDescent="0.25">
      <c r="A1955" s="148">
        <v>44760</v>
      </c>
      <c r="B1955" s="149" t="s">
        <v>23287</v>
      </c>
      <c r="C1955" s="153" t="s">
        <v>10678</v>
      </c>
      <c r="D1955" s="154">
        <v>5161</v>
      </c>
      <c r="E1955" s="155">
        <v>44760</v>
      </c>
      <c r="F1955" s="154">
        <v>5161</v>
      </c>
      <c r="G1955" s="156">
        <f>Tabla18[[#This Row],[Importe]]-Tabla18[[#This Row],[Pagado]]</f>
        <v>0</v>
      </c>
      <c r="H1955" s="153" t="s">
        <v>10</v>
      </c>
    </row>
    <row r="1956" spans="1:8" x14ac:dyDescent="0.25">
      <c r="A1956" s="73">
        <v>44760</v>
      </c>
      <c r="B1956" s="74" t="s">
        <v>23288</v>
      </c>
      <c r="C1956" s="75" t="s">
        <v>2139</v>
      </c>
      <c r="D1956" s="81">
        <v>2641.8</v>
      </c>
      <c r="E1956" s="151">
        <v>44760</v>
      </c>
      <c r="F1956" s="81">
        <v>2641.8</v>
      </c>
      <c r="G1956" s="156">
        <f>Tabla18[[#This Row],[Importe]]-Tabla18[[#This Row],[Pagado]]</f>
        <v>0</v>
      </c>
      <c r="H1956" s="75" t="s">
        <v>10</v>
      </c>
    </row>
    <row r="1957" spans="1:8" x14ac:dyDescent="0.25">
      <c r="A1957" s="148">
        <v>44760</v>
      </c>
      <c r="B1957" s="149" t="s">
        <v>23289</v>
      </c>
      <c r="C1957" s="153" t="s">
        <v>296</v>
      </c>
      <c r="D1957" s="154">
        <v>3094.2</v>
      </c>
      <c r="E1957" s="155">
        <v>44760</v>
      </c>
      <c r="F1957" s="154">
        <v>3094.2</v>
      </c>
      <c r="G1957" s="156">
        <f>Tabla18[[#This Row],[Importe]]-Tabla18[[#This Row],[Pagado]]</f>
        <v>0</v>
      </c>
      <c r="H1957" s="153" t="s">
        <v>10</v>
      </c>
    </row>
    <row r="1958" spans="1:8" x14ac:dyDescent="0.25">
      <c r="A1958" s="73">
        <v>44760</v>
      </c>
      <c r="B1958" s="74" t="s">
        <v>23290</v>
      </c>
      <c r="C1958" s="75" t="s">
        <v>373</v>
      </c>
      <c r="D1958" s="81">
        <v>2091</v>
      </c>
      <c r="E1958" s="151">
        <v>44760</v>
      </c>
      <c r="F1958" s="81">
        <v>2091</v>
      </c>
      <c r="G1958" s="156">
        <f>Tabla18[[#This Row],[Importe]]-Tabla18[[#This Row],[Pagado]]</f>
        <v>0</v>
      </c>
      <c r="H1958" s="75" t="s">
        <v>10</v>
      </c>
    </row>
    <row r="1959" spans="1:8" x14ac:dyDescent="0.25">
      <c r="A1959" s="148">
        <v>44760</v>
      </c>
      <c r="B1959" s="149" t="s">
        <v>23291</v>
      </c>
      <c r="C1959" s="153" t="s">
        <v>520</v>
      </c>
      <c r="D1959" s="154">
        <v>7795.8</v>
      </c>
      <c r="E1959" s="155">
        <v>44761</v>
      </c>
      <c r="F1959" s="154">
        <v>7795.8</v>
      </c>
      <c r="G1959" s="156">
        <f>Tabla18[[#This Row],[Importe]]-Tabla18[[#This Row],[Pagado]]</f>
        <v>0</v>
      </c>
      <c r="H1959" s="153" t="s">
        <v>10</v>
      </c>
    </row>
    <row r="1960" spans="1:8" x14ac:dyDescent="0.25">
      <c r="A1960" s="73">
        <v>44760</v>
      </c>
      <c r="B1960" s="74" t="s">
        <v>23292</v>
      </c>
      <c r="C1960" s="75" t="s">
        <v>414</v>
      </c>
      <c r="D1960" s="81">
        <v>26418</v>
      </c>
      <c r="E1960" s="151">
        <v>44763</v>
      </c>
      <c r="F1960" s="81">
        <v>26418</v>
      </c>
      <c r="G1960" s="156">
        <f>Tabla18[[#This Row],[Importe]]-Tabla18[[#This Row],[Pagado]]</f>
        <v>0</v>
      </c>
      <c r="H1960" s="75" t="s">
        <v>10</v>
      </c>
    </row>
    <row r="1961" spans="1:8" x14ac:dyDescent="0.25">
      <c r="A1961" s="148">
        <v>44760</v>
      </c>
      <c r="B1961" s="149" t="s">
        <v>23293</v>
      </c>
      <c r="C1961" s="153" t="s">
        <v>10840</v>
      </c>
      <c r="D1961" s="154">
        <v>35310</v>
      </c>
      <c r="E1961" s="155">
        <v>44767</v>
      </c>
      <c r="F1961" s="154">
        <v>35310</v>
      </c>
      <c r="G1961" s="156">
        <f>Tabla18[[#This Row],[Importe]]-Tabla18[[#This Row],[Pagado]]</f>
        <v>0</v>
      </c>
      <c r="H1961" s="153" t="s">
        <v>10</v>
      </c>
    </row>
    <row r="1962" spans="1:8" x14ac:dyDescent="0.25">
      <c r="A1962" s="73">
        <v>44761</v>
      </c>
      <c r="B1962" s="74" t="s">
        <v>23294</v>
      </c>
      <c r="C1962" s="75" t="s">
        <v>887</v>
      </c>
      <c r="D1962" s="81">
        <v>17585.099999999999</v>
      </c>
      <c r="E1962" s="151">
        <v>44761</v>
      </c>
      <c r="F1962" s="81">
        <v>17585.099999999999</v>
      </c>
      <c r="G1962" s="156">
        <f>Tabla18[[#This Row],[Importe]]-Tabla18[[#This Row],[Pagado]]</f>
        <v>0</v>
      </c>
      <c r="H1962" s="75" t="s">
        <v>10</v>
      </c>
    </row>
    <row r="1963" spans="1:8" x14ac:dyDescent="0.25">
      <c r="A1963" s="148">
        <v>44761</v>
      </c>
      <c r="B1963" s="149" t="s">
        <v>23295</v>
      </c>
      <c r="C1963" s="153" t="s">
        <v>31</v>
      </c>
      <c r="D1963" s="154">
        <v>7254</v>
      </c>
      <c r="E1963" s="155">
        <v>44761</v>
      </c>
      <c r="F1963" s="154">
        <v>7254</v>
      </c>
      <c r="G1963" s="156">
        <f>Tabla18[[#This Row],[Importe]]-Tabla18[[#This Row],[Pagado]]</f>
        <v>0</v>
      </c>
      <c r="H1963" s="153" t="s">
        <v>10</v>
      </c>
    </row>
    <row r="1964" spans="1:8" x14ac:dyDescent="0.25">
      <c r="A1964" s="73">
        <v>44761</v>
      </c>
      <c r="B1964" s="74" t="s">
        <v>23296</v>
      </c>
      <c r="C1964" s="75" t="s">
        <v>83</v>
      </c>
      <c r="D1964" s="81">
        <v>6001.4</v>
      </c>
      <c r="E1964" s="151">
        <v>44761</v>
      </c>
      <c r="F1964" s="81">
        <v>6001.4</v>
      </c>
      <c r="G1964" s="156">
        <f>Tabla18[[#This Row],[Importe]]-Tabla18[[#This Row],[Pagado]]</f>
        <v>0</v>
      </c>
      <c r="H1964" s="75" t="s">
        <v>10</v>
      </c>
    </row>
    <row r="1965" spans="1:8" x14ac:dyDescent="0.25">
      <c r="A1965" s="148">
        <v>44761</v>
      </c>
      <c r="B1965" s="149" t="s">
        <v>23297</v>
      </c>
      <c r="C1965" s="153" t="s">
        <v>79</v>
      </c>
      <c r="D1965" s="154">
        <v>23114.400000000001</v>
      </c>
      <c r="E1965" s="155">
        <v>44761</v>
      </c>
      <c r="F1965" s="154">
        <v>23114.400000000001</v>
      </c>
      <c r="G1965" s="156">
        <f>Tabla18[[#This Row],[Importe]]-Tabla18[[#This Row],[Pagado]]</f>
        <v>0</v>
      </c>
      <c r="H1965" s="153" t="s">
        <v>10</v>
      </c>
    </row>
    <row r="1966" spans="1:8" x14ac:dyDescent="0.25">
      <c r="A1966" s="73">
        <v>44761</v>
      </c>
      <c r="B1966" s="74" t="s">
        <v>23298</v>
      </c>
      <c r="C1966" s="75" t="s">
        <v>87</v>
      </c>
      <c r="D1966" s="81">
        <v>2516.8000000000002</v>
      </c>
      <c r="E1966" s="151">
        <v>44761</v>
      </c>
      <c r="F1966" s="81">
        <v>2516.8000000000002</v>
      </c>
      <c r="G1966" s="156">
        <f>Tabla18[[#This Row],[Importe]]-Tabla18[[#This Row],[Pagado]]</f>
        <v>0</v>
      </c>
      <c r="H1966" s="75" t="s">
        <v>10</v>
      </c>
    </row>
    <row r="1967" spans="1:8" x14ac:dyDescent="0.25">
      <c r="A1967" s="148">
        <v>44761</v>
      </c>
      <c r="B1967" s="149" t="s">
        <v>23299</v>
      </c>
      <c r="C1967" s="153" t="s">
        <v>1350</v>
      </c>
      <c r="D1967" s="154">
        <v>811.5</v>
      </c>
      <c r="E1967" s="155">
        <v>44761</v>
      </c>
      <c r="F1967" s="154">
        <v>811.5</v>
      </c>
      <c r="G1967" s="156">
        <f>Tabla18[[#This Row],[Importe]]-Tabla18[[#This Row],[Pagado]]</f>
        <v>0</v>
      </c>
      <c r="H1967" s="153" t="s">
        <v>10</v>
      </c>
    </row>
    <row r="1968" spans="1:8" x14ac:dyDescent="0.25">
      <c r="A1968" s="73">
        <v>44761</v>
      </c>
      <c r="B1968" s="74" t="s">
        <v>23300</v>
      </c>
      <c r="C1968" s="75" t="s">
        <v>314</v>
      </c>
      <c r="D1968" s="81">
        <v>3299.4</v>
      </c>
      <c r="E1968" s="151">
        <v>44761</v>
      </c>
      <c r="F1968" s="81">
        <v>3299.4</v>
      </c>
      <c r="G1968" s="156">
        <f>Tabla18[[#This Row],[Importe]]-Tabla18[[#This Row],[Pagado]]</f>
        <v>0</v>
      </c>
      <c r="H1968" s="75" t="s">
        <v>10</v>
      </c>
    </row>
    <row r="1969" spans="1:8" x14ac:dyDescent="0.25">
      <c r="A1969" s="148">
        <v>44761</v>
      </c>
      <c r="B1969" s="149" t="s">
        <v>23301</v>
      </c>
      <c r="C1969" s="153" t="s">
        <v>179</v>
      </c>
      <c r="D1969" s="154">
        <v>1692.6</v>
      </c>
      <c r="E1969" s="155">
        <v>44761</v>
      </c>
      <c r="F1969" s="154">
        <v>1692.6</v>
      </c>
      <c r="G1969" s="156">
        <f>Tabla18[[#This Row],[Importe]]-Tabla18[[#This Row],[Pagado]]</f>
        <v>0</v>
      </c>
      <c r="H1969" s="153" t="s">
        <v>10</v>
      </c>
    </row>
    <row r="1970" spans="1:8" x14ac:dyDescent="0.25">
      <c r="A1970" s="73">
        <v>44761</v>
      </c>
      <c r="B1970" s="74" t="s">
        <v>23302</v>
      </c>
      <c r="C1970" s="75" t="s">
        <v>135</v>
      </c>
      <c r="D1970" s="81">
        <v>2655.6</v>
      </c>
      <c r="E1970" s="151">
        <v>44761</v>
      </c>
      <c r="F1970" s="81">
        <v>2655.6</v>
      </c>
      <c r="G1970" s="156">
        <f>Tabla18[[#This Row],[Importe]]-Tabla18[[#This Row],[Pagado]]</f>
        <v>0</v>
      </c>
      <c r="H1970" s="75" t="s">
        <v>10</v>
      </c>
    </row>
    <row r="1971" spans="1:8" x14ac:dyDescent="0.25">
      <c r="A1971" s="148">
        <v>44761</v>
      </c>
      <c r="B1971" s="149" t="s">
        <v>23303</v>
      </c>
      <c r="C1971" s="153" t="s">
        <v>91</v>
      </c>
      <c r="D1971" s="154">
        <v>6240</v>
      </c>
      <c r="E1971" s="155">
        <v>44763</v>
      </c>
      <c r="F1971" s="154">
        <v>6240</v>
      </c>
      <c r="G1971" s="156">
        <f>Tabla18[[#This Row],[Importe]]-Tabla18[[#This Row],[Pagado]]</f>
        <v>0</v>
      </c>
      <c r="H1971" s="153" t="s">
        <v>10</v>
      </c>
    </row>
    <row r="1972" spans="1:8" x14ac:dyDescent="0.25">
      <c r="A1972" s="73">
        <v>44761</v>
      </c>
      <c r="B1972" s="74" t="s">
        <v>23304</v>
      </c>
      <c r="C1972" s="75" t="s">
        <v>114</v>
      </c>
      <c r="D1972" s="81">
        <v>5808.1</v>
      </c>
      <c r="E1972" s="151">
        <v>44763</v>
      </c>
      <c r="F1972" s="81">
        <v>5808.1</v>
      </c>
      <c r="G1972" s="156">
        <f>Tabla18[[#This Row],[Importe]]-Tabla18[[#This Row],[Pagado]]</f>
        <v>0</v>
      </c>
      <c r="H1972" s="75" t="s">
        <v>10</v>
      </c>
    </row>
    <row r="1973" spans="1:8" x14ac:dyDescent="0.25">
      <c r="A1973" s="148">
        <v>44761</v>
      </c>
      <c r="B1973" s="149" t="s">
        <v>23305</v>
      </c>
      <c r="C1973" s="153" t="s">
        <v>5043</v>
      </c>
      <c r="D1973" s="154">
        <v>3190.3</v>
      </c>
      <c r="E1973" s="155">
        <v>44763</v>
      </c>
      <c r="F1973" s="154">
        <v>3190.3</v>
      </c>
      <c r="G1973" s="156">
        <f>Tabla18[[#This Row],[Importe]]-Tabla18[[#This Row],[Pagado]]</f>
        <v>0</v>
      </c>
      <c r="H1973" s="153" t="s">
        <v>10</v>
      </c>
    </row>
    <row r="1974" spans="1:8" x14ac:dyDescent="0.25">
      <c r="A1974" s="73">
        <v>44761</v>
      </c>
      <c r="B1974" s="74" t="s">
        <v>23306</v>
      </c>
      <c r="C1974" s="75" t="s">
        <v>64</v>
      </c>
      <c r="D1974" s="81">
        <v>5471.4</v>
      </c>
      <c r="E1974" s="151">
        <v>44762</v>
      </c>
      <c r="F1974" s="81">
        <v>5471.4</v>
      </c>
      <c r="G1974" s="156">
        <f>Tabla18[[#This Row],[Importe]]-Tabla18[[#This Row],[Pagado]]</f>
        <v>0</v>
      </c>
      <c r="H1974" s="75" t="s">
        <v>10</v>
      </c>
    </row>
    <row r="1975" spans="1:8" x14ac:dyDescent="0.25">
      <c r="A1975" s="148">
        <v>44761</v>
      </c>
      <c r="B1975" s="149" t="s">
        <v>23307</v>
      </c>
      <c r="C1975" s="153" t="s">
        <v>2151</v>
      </c>
      <c r="D1975" s="154">
        <v>25290.1</v>
      </c>
      <c r="E1975" s="155">
        <v>44761</v>
      </c>
      <c r="F1975" s="154">
        <v>25290.1</v>
      </c>
      <c r="G1975" s="156">
        <f>Tabla18[[#This Row],[Importe]]-Tabla18[[#This Row],[Pagado]]</f>
        <v>0</v>
      </c>
      <c r="H1975" s="153" t="s">
        <v>10</v>
      </c>
    </row>
    <row r="1976" spans="1:8" x14ac:dyDescent="0.25">
      <c r="A1976" s="73">
        <v>44761</v>
      </c>
      <c r="B1976" s="74" t="s">
        <v>23308</v>
      </c>
      <c r="C1976" s="75" t="s">
        <v>105</v>
      </c>
      <c r="D1976" s="81">
        <v>5657.6</v>
      </c>
      <c r="E1976" s="151">
        <v>44762</v>
      </c>
      <c r="F1976" s="81">
        <v>5657.6</v>
      </c>
      <c r="G1976" s="156">
        <f>Tabla18[[#This Row],[Importe]]-Tabla18[[#This Row],[Pagado]]</f>
        <v>0</v>
      </c>
      <c r="H1976" s="75" t="s">
        <v>10</v>
      </c>
    </row>
    <row r="1977" spans="1:8" x14ac:dyDescent="0.25">
      <c r="A1977" s="148">
        <v>44761</v>
      </c>
      <c r="B1977" s="149" t="s">
        <v>23309</v>
      </c>
      <c r="C1977" s="153" t="s">
        <v>99</v>
      </c>
      <c r="D1977" s="154">
        <v>2336.3000000000002</v>
      </c>
      <c r="E1977" s="155">
        <v>44763</v>
      </c>
      <c r="F1977" s="154">
        <v>2336.3000000000002</v>
      </c>
      <c r="G1977" s="156">
        <f>Tabla18[[#This Row],[Importe]]-Tabla18[[#This Row],[Pagado]]</f>
        <v>0</v>
      </c>
      <c r="H1977" s="153" t="s">
        <v>10</v>
      </c>
    </row>
    <row r="1978" spans="1:8" x14ac:dyDescent="0.25">
      <c r="A1978" s="73">
        <v>44761</v>
      </c>
      <c r="B1978" s="74" t="s">
        <v>23310</v>
      </c>
      <c r="C1978" s="75" t="s">
        <v>111</v>
      </c>
      <c r="D1978" s="81">
        <v>5632</v>
      </c>
      <c r="E1978" s="151">
        <v>44763</v>
      </c>
      <c r="F1978" s="81">
        <v>5632</v>
      </c>
      <c r="G1978" s="156">
        <f>Tabla18[[#This Row],[Importe]]-Tabla18[[#This Row],[Pagado]]</f>
        <v>0</v>
      </c>
      <c r="H1978" s="75" t="s">
        <v>10</v>
      </c>
    </row>
    <row r="1979" spans="1:8" x14ac:dyDescent="0.25">
      <c r="A1979" s="148">
        <v>44761</v>
      </c>
      <c r="B1979" s="149" t="s">
        <v>23311</v>
      </c>
      <c r="C1979" s="153" t="s">
        <v>89</v>
      </c>
      <c r="D1979" s="154">
        <v>10143.799999999999</v>
      </c>
      <c r="E1979" s="155">
        <v>44762</v>
      </c>
      <c r="F1979" s="154">
        <v>10143.799999999999</v>
      </c>
      <c r="G1979" s="156">
        <f>Tabla18[[#This Row],[Importe]]-Tabla18[[#This Row],[Pagado]]</f>
        <v>0</v>
      </c>
      <c r="H1979" s="153" t="s">
        <v>10</v>
      </c>
    </row>
    <row r="1980" spans="1:8" ht="31.5" x14ac:dyDescent="0.25">
      <c r="A1980" s="73">
        <v>44761</v>
      </c>
      <c r="B1980" s="74" t="s">
        <v>23312</v>
      </c>
      <c r="C1980" s="75" t="s">
        <v>93</v>
      </c>
      <c r="D1980" s="81">
        <v>11424</v>
      </c>
      <c r="E1980" s="147" t="s">
        <v>23313</v>
      </c>
      <c r="F1980" s="81">
        <f>1800+9624</f>
        <v>11424</v>
      </c>
      <c r="G1980" s="156">
        <f>Tabla18[[#This Row],[Importe]]-Tabla18[[#This Row],[Pagado]]</f>
        <v>0</v>
      </c>
      <c r="H1980" s="75" t="s">
        <v>10</v>
      </c>
    </row>
    <row r="1981" spans="1:8" x14ac:dyDescent="0.25">
      <c r="A1981" s="148">
        <v>44761</v>
      </c>
      <c r="B1981" s="149" t="s">
        <v>23314</v>
      </c>
      <c r="C1981" s="153" t="s">
        <v>345</v>
      </c>
      <c r="D1981" s="154">
        <v>1512</v>
      </c>
      <c r="E1981" s="155">
        <v>44761</v>
      </c>
      <c r="F1981" s="154">
        <v>1512</v>
      </c>
      <c r="G1981" s="156">
        <f>Tabla18[[#This Row],[Importe]]-Tabla18[[#This Row],[Pagado]]</f>
        <v>0</v>
      </c>
      <c r="H1981" s="153" t="s">
        <v>10</v>
      </c>
    </row>
    <row r="1982" spans="1:8" x14ac:dyDescent="0.25">
      <c r="A1982" s="73">
        <v>44761</v>
      </c>
      <c r="B1982" s="74" t="s">
        <v>23315</v>
      </c>
      <c r="C1982" s="75" t="s">
        <v>918</v>
      </c>
      <c r="D1982" s="81">
        <v>1666</v>
      </c>
      <c r="E1982" s="151">
        <v>44761</v>
      </c>
      <c r="F1982" s="81">
        <v>1666</v>
      </c>
      <c r="G1982" s="156">
        <f>Tabla18[[#This Row],[Importe]]-Tabla18[[#This Row],[Pagado]]</f>
        <v>0</v>
      </c>
      <c r="H1982" s="75" t="s">
        <v>10</v>
      </c>
    </row>
    <row r="1983" spans="1:8" x14ac:dyDescent="0.25">
      <c r="A1983" s="148">
        <v>44761</v>
      </c>
      <c r="B1983" s="149" t="s">
        <v>23316</v>
      </c>
      <c r="C1983" s="153" t="s">
        <v>9</v>
      </c>
      <c r="D1983" s="154">
        <v>8000.4</v>
      </c>
      <c r="E1983" s="155">
        <v>44761</v>
      </c>
      <c r="F1983" s="154">
        <v>8000.4</v>
      </c>
      <c r="G1983" s="156">
        <f>Tabla18[[#This Row],[Importe]]-Tabla18[[#This Row],[Pagado]]</f>
        <v>0</v>
      </c>
      <c r="H1983" s="153" t="s">
        <v>10</v>
      </c>
    </row>
    <row r="1984" spans="1:8" x14ac:dyDescent="0.25">
      <c r="A1984" s="73">
        <v>44761</v>
      </c>
      <c r="B1984" s="74" t="s">
        <v>23317</v>
      </c>
      <c r="C1984" s="75" t="s">
        <v>481</v>
      </c>
      <c r="D1984" s="81">
        <v>802.8</v>
      </c>
      <c r="E1984" s="151">
        <v>44761</v>
      </c>
      <c r="F1984" s="81">
        <v>802.8</v>
      </c>
      <c r="G1984" s="156">
        <f>Tabla18[[#This Row],[Importe]]-Tabla18[[#This Row],[Pagado]]</f>
        <v>0</v>
      </c>
      <c r="H1984" s="75" t="s">
        <v>10</v>
      </c>
    </row>
    <row r="1985" spans="1:8" x14ac:dyDescent="0.25">
      <c r="A1985" s="148">
        <v>44761</v>
      </c>
      <c r="B1985" s="149" t="s">
        <v>23318</v>
      </c>
      <c r="C1985" s="153" t="s">
        <v>275</v>
      </c>
      <c r="D1985" s="154">
        <v>100155.05</v>
      </c>
      <c r="E1985" s="155">
        <v>44778</v>
      </c>
      <c r="F1985" s="154">
        <v>100155.05</v>
      </c>
      <c r="G1985" s="156">
        <f>Tabla18[[#This Row],[Importe]]-Tabla18[[#This Row],[Pagado]]</f>
        <v>0</v>
      </c>
      <c r="H1985" s="153" t="s">
        <v>10</v>
      </c>
    </row>
    <row r="1986" spans="1:8" x14ac:dyDescent="0.25">
      <c r="A1986" s="73">
        <v>44761</v>
      </c>
      <c r="B1986" s="74" t="s">
        <v>23319</v>
      </c>
      <c r="C1986" s="75" t="s">
        <v>142</v>
      </c>
      <c r="D1986" s="81">
        <v>70509.3</v>
      </c>
      <c r="E1986" s="151">
        <v>44799</v>
      </c>
      <c r="F1986" s="81">
        <v>70509.3</v>
      </c>
      <c r="G1986" s="156">
        <f>Tabla18[[#This Row],[Importe]]-Tabla18[[#This Row],[Pagado]]</f>
        <v>0</v>
      </c>
      <c r="H1986" s="75" t="s">
        <v>10</v>
      </c>
    </row>
    <row r="1987" spans="1:8" x14ac:dyDescent="0.25">
      <c r="A1987" s="148">
        <v>44761</v>
      </c>
      <c r="B1987" s="149" t="s">
        <v>23320</v>
      </c>
      <c r="C1987" s="153" t="s">
        <v>840</v>
      </c>
      <c r="D1987" s="154">
        <v>23688.3</v>
      </c>
      <c r="E1987" s="155">
        <v>44761</v>
      </c>
      <c r="F1987" s="154">
        <v>23688.3</v>
      </c>
      <c r="G1987" s="156">
        <f>Tabla18[[#This Row],[Importe]]-Tabla18[[#This Row],[Pagado]]</f>
        <v>0</v>
      </c>
      <c r="H1987" s="153" t="s">
        <v>10</v>
      </c>
    </row>
    <row r="1988" spans="1:8" x14ac:dyDescent="0.25">
      <c r="A1988" s="73">
        <v>44761</v>
      </c>
      <c r="B1988" s="74" t="s">
        <v>23321</v>
      </c>
      <c r="C1988" s="75" t="s">
        <v>11033</v>
      </c>
      <c r="D1988" s="81">
        <v>1950.5</v>
      </c>
      <c r="E1988" s="151">
        <v>44761</v>
      </c>
      <c r="F1988" s="81">
        <v>1950.5</v>
      </c>
      <c r="G1988" s="156">
        <f>Tabla18[[#This Row],[Importe]]-Tabla18[[#This Row],[Pagado]]</f>
        <v>0</v>
      </c>
      <c r="H1988" s="75" t="s">
        <v>10</v>
      </c>
    </row>
    <row r="1989" spans="1:8" ht="31.5" x14ac:dyDescent="0.25">
      <c r="A1989" s="148">
        <v>44761</v>
      </c>
      <c r="B1989" s="149" t="s">
        <v>23322</v>
      </c>
      <c r="C1989" s="153" t="s">
        <v>22</v>
      </c>
      <c r="D1989" s="154">
        <v>35159.1</v>
      </c>
      <c r="E1989" s="150" t="s">
        <v>23323</v>
      </c>
      <c r="F1989" s="154">
        <f>32000+3159.1</f>
        <v>35159.1</v>
      </c>
      <c r="G1989" s="156">
        <f>Tabla18[[#This Row],[Importe]]-Tabla18[[#This Row],[Pagado]]</f>
        <v>0</v>
      </c>
      <c r="H1989" s="153" t="s">
        <v>10</v>
      </c>
    </row>
    <row r="1990" spans="1:8" x14ac:dyDescent="0.25">
      <c r="A1990" s="73">
        <v>44761</v>
      </c>
      <c r="B1990" s="74" t="s">
        <v>23324</v>
      </c>
      <c r="C1990" s="75" t="s">
        <v>840</v>
      </c>
      <c r="D1990" s="81">
        <v>823.5</v>
      </c>
      <c r="E1990" s="151">
        <v>44761</v>
      </c>
      <c r="F1990" s="81">
        <v>823.5</v>
      </c>
      <c r="G1990" s="156">
        <f>Tabla18[[#This Row],[Importe]]-Tabla18[[#This Row],[Pagado]]</f>
        <v>0</v>
      </c>
      <c r="H1990" s="75" t="s">
        <v>10</v>
      </c>
    </row>
    <row r="1991" spans="1:8" x14ac:dyDescent="0.25">
      <c r="A1991" s="148">
        <v>44761</v>
      </c>
      <c r="B1991" s="149" t="s">
        <v>23325</v>
      </c>
      <c r="C1991" s="153" t="s">
        <v>16</v>
      </c>
      <c r="D1991" s="154">
        <v>6992.2</v>
      </c>
      <c r="E1991" s="155">
        <v>44761</v>
      </c>
      <c r="F1991" s="154">
        <v>6992.2</v>
      </c>
      <c r="G1991" s="156">
        <f>Tabla18[[#This Row],[Importe]]-Tabla18[[#This Row],[Pagado]]</f>
        <v>0</v>
      </c>
      <c r="H1991" s="153" t="s">
        <v>10</v>
      </c>
    </row>
    <row r="1992" spans="1:8" x14ac:dyDescent="0.25">
      <c r="A1992" s="73">
        <v>44761</v>
      </c>
      <c r="B1992" s="74" t="s">
        <v>23326</v>
      </c>
      <c r="C1992" s="75" t="s">
        <v>56</v>
      </c>
      <c r="D1992" s="81">
        <v>4890.6000000000004</v>
      </c>
      <c r="E1992" s="151">
        <v>44761</v>
      </c>
      <c r="F1992" s="81">
        <v>4890.6000000000004</v>
      </c>
      <c r="G1992" s="156">
        <f>Tabla18[[#This Row],[Importe]]-Tabla18[[#This Row],[Pagado]]</f>
        <v>0</v>
      </c>
      <c r="H1992" s="75" t="s">
        <v>10</v>
      </c>
    </row>
    <row r="1993" spans="1:8" x14ac:dyDescent="0.25">
      <c r="A1993" s="148">
        <v>44761</v>
      </c>
      <c r="B1993" s="149" t="s">
        <v>23327</v>
      </c>
      <c r="C1993" s="153" t="s">
        <v>196</v>
      </c>
      <c r="D1993" s="154">
        <v>16361.3</v>
      </c>
      <c r="E1993" s="155">
        <v>44765</v>
      </c>
      <c r="F1993" s="154">
        <v>16361.3</v>
      </c>
      <c r="G1993" s="156">
        <f>Tabla18[[#This Row],[Importe]]-Tabla18[[#This Row],[Pagado]]</f>
        <v>0</v>
      </c>
      <c r="H1993" s="153" t="s">
        <v>10</v>
      </c>
    </row>
    <row r="1994" spans="1:8" x14ac:dyDescent="0.25">
      <c r="A1994" s="73">
        <v>44761</v>
      </c>
      <c r="B1994" s="74" t="s">
        <v>23328</v>
      </c>
      <c r="C1994" s="75" t="s">
        <v>53</v>
      </c>
      <c r="D1994" s="81">
        <v>2304.6999999999998</v>
      </c>
      <c r="E1994" s="151">
        <v>44761</v>
      </c>
      <c r="F1994" s="81">
        <v>2304.6999999999998</v>
      </c>
      <c r="G1994" s="156">
        <f>Tabla18[[#This Row],[Importe]]-Tabla18[[#This Row],[Pagado]]</f>
        <v>0</v>
      </c>
      <c r="H1994" s="75" t="s">
        <v>10</v>
      </c>
    </row>
    <row r="1995" spans="1:8" x14ac:dyDescent="0.25">
      <c r="A1995" s="148">
        <v>44761</v>
      </c>
      <c r="B1995" s="149" t="s">
        <v>23329</v>
      </c>
      <c r="C1995" s="153" t="s">
        <v>45</v>
      </c>
      <c r="D1995" s="154">
        <v>14350.8</v>
      </c>
      <c r="E1995" s="155">
        <v>44761</v>
      </c>
      <c r="F1995" s="154">
        <v>14350.8</v>
      </c>
      <c r="G1995" s="156">
        <f>Tabla18[[#This Row],[Importe]]-Tabla18[[#This Row],[Pagado]]</f>
        <v>0</v>
      </c>
      <c r="H1995" s="153" t="s">
        <v>10</v>
      </c>
    </row>
    <row r="1996" spans="1:8" x14ac:dyDescent="0.25">
      <c r="A1996" s="73">
        <v>44761</v>
      </c>
      <c r="B1996" s="74" t="s">
        <v>23330</v>
      </c>
      <c r="C1996" s="75" t="s">
        <v>24</v>
      </c>
      <c r="D1996" s="81">
        <v>4954.7</v>
      </c>
      <c r="E1996" s="151">
        <v>44761</v>
      </c>
      <c r="F1996" s="81">
        <v>4954.7</v>
      </c>
      <c r="G1996" s="156">
        <f>Tabla18[[#This Row],[Importe]]-Tabla18[[#This Row],[Pagado]]</f>
        <v>0</v>
      </c>
      <c r="H1996" s="75" t="s">
        <v>10</v>
      </c>
    </row>
    <row r="1997" spans="1:8" x14ac:dyDescent="0.25">
      <c r="A1997" s="148">
        <v>44761</v>
      </c>
      <c r="B1997" s="149" t="s">
        <v>23331</v>
      </c>
      <c r="C1997" s="153" t="s">
        <v>49</v>
      </c>
      <c r="D1997" s="154">
        <v>3757</v>
      </c>
      <c r="E1997" s="155">
        <v>44761</v>
      </c>
      <c r="F1997" s="154">
        <v>3757</v>
      </c>
      <c r="G1997" s="156">
        <f>Tabla18[[#This Row],[Importe]]-Tabla18[[#This Row],[Pagado]]</f>
        <v>0</v>
      </c>
      <c r="H1997" s="153" t="s">
        <v>10</v>
      </c>
    </row>
    <row r="1998" spans="1:8" x14ac:dyDescent="0.25">
      <c r="A1998" s="73">
        <v>44761</v>
      </c>
      <c r="B1998" s="74" t="s">
        <v>23332</v>
      </c>
      <c r="C1998" s="75" t="s">
        <v>214</v>
      </c>
      <c r="D1998" s="81">
        <v>1396.2</v>
      </c>
      <c r="E1998" s="151">
        <v>44761</v>
      </c>
      <c r="F1998" s="81">
        <v>1396.2</v>
      </c>
      <c r="G1998" s="156">
        <f>Tabla18[[#This Row],[Importe]]-Tabla18[[#This Row],[Pagado]]</f>
        <v>0</v>
      </c>
      <c r="H1998" s="75" t="s">
        <v>10</v>
      </c>
    </row>
    <row r="1999" spans="1:8" x14ac:dyDescent="0.25">
      <c r="A1999" s="148">
        <v>44761</v>
      </c>
      <c r="B1999" s="149" t="s">
        <v>23333</v>
      </c>
      <c r="C1999" s="153" t="s">
        <v>129</v>
      </c>
      <c r="D1999" s="154">
        <v>5140.2</v>
      </c>
      <c r="E1999" s="155">
        <v>44761</v>
      </c>
      <c r="F1999" s="154">
        <v>5140.2</v>
      </c>
      <c r="G1999" s="156">
        <f>Tabla18[[#This Row],[Importe]]-Tabla18[[#This Row],[Pagado]]</f>
        <v>0</v>
      </c>
      <c r="H1999" s="153" t="s">
        <v>10</v>
      </c>
    </row>
    <row r="2000" spans="1:8" x14ac:dyDescent="0.25">
      <c r="A2000" s="73">
        <v>44761</v>
      </c>
      <c r="B2000" s="74" t="s">
        <v>23334</v>
      </c>
      <c r="C2000" s="75" t="s">
        <v>91</v>
      </c>
      <c r="D2000" s="81">
        <v>3900</v>
      </c>
      <c r="E2000" s="151">
        <v>44765</v>
      </c>
      <c r="F2000" s="81">
        <v>3900</v>
      </c>
      <c r="G2000" s="156">
        <f>Tabla18[[#This Row],[Importe]]-Tabla18[[#This Row],[Pagado]]</f>
        <v>0</v>
      </c>
      <c r="H2000" s="75" t="s">
        <v>10</v>
      </c>
    </row>
    <row r="2001" spans="1:8" x14ac:dyDescent="0.25">
      <c r="A2001" s="148">
        <v>44761</v>
      </c>
      <c r="B2001" s="149" t="s">
        <v>23335</v>
      </c>
      <c r="C2001" s="153" t="s">
        <v>466</v>
      </c>
      <c r="D2001" s="154">
        <v>15802.8</v>
      </c>
      <c r="E2001" s="155">
        <v>44761</v>
      </c>
      <c r="F2001" s="154">
        <v>15802.8</v>
      </c>
      <c r="G2001" s="156">
        <f>Tabla18[[#This Row],[Importe]]-Tabla18[[#This Row],[Pagado]]</f>
        <v>0</v>
      </c>
      <c r="H2001" s="153" t="s">
        <v>10</v>
      </c>
    </row>
    <row r="2002" spans="1:8" x14ac:dyDescent="0.25">
      <c r="A2002" s="73">
        <v>44761</v>
      </c>
      <c r="B2002" s="74" t="s">
        <v>23336</v>
      </c>
      <c r="C2002" s="75" t="s">
        <v>107</v>
      </c>
      <c r="D2002" s="81">
        <v>11986.9</v>
      </c>
      <c r="E2002" s="151">
        <v>44761</v>
      </c>
      <c r="F2002" s="81">
        <v>11986.9</v>
      </c>
      <c r="G2002" s="156">
        <f>Tabla18[[#This Row],[Importe]]-Tabla18[[#This Row],[Pagado]]</f>
        <v>0</v>
      </c>
      <c r="H2002" s="75" t="s">
        <v>10</v>
      </c>
    </row>
    <row r="2003" spans="1:8" x14ac:dyDescent="0.25">
      <c r="A2003" s="148">
        <v>44761</v>
      </c>
      <c r="B2003" s="149" t="s">
        <v>23337</v>
      </c>
      <c r="C2003" s="153" t="s">
        <v>357</v>
      </c>
      <c r="D2003" s="154">
        <v>4843.8</v>
      </c>
      <c r="E2003" s="155">
        <v>44761</v>
      </c>
      <c r="F2003" s="154">
        <v>4843.8</v>
      </c>
      <c r="G2003" s="156">
        <f>Tabla18[[#This Row],[Importe]]-Tabla18[[#This Row],[Pagado]]</f>
        <v>0</v>
      </c>
      <c r="H2003" s="153" t="s">
        <v>10</v>
      </c>
    </row>
    <row r="2004" spans="1:8" x14ac:dyDescent="0.25">
      <c r="A2004" s="73">
        <v>44761</v>
      </c>
      <c r="B2004" s="74" t="s">
        <v>23338</v>
      </c>
      <c r="C2004" s="75" t="s">
        <v>140</v>
      </c>
      <c r="D2004" s="81">
        <v>1417.5</v>
      </c>
      <c r="E2004" s="151">
        <v>44761</v>
      </c>
      <c r="F2004" s="81">
        <v>1417.5</v>
      </c>
      <c r="G2004" s="156">
        <f>Tabla18[[#This Row],[Importe]]-Tabla18[[#This Row],[Pagado]]</f>
        <v>0</v>
      </c>
      <c r="H2004" s="75" t="s">
        <v>10</v>
      </c>
    </row>
    <row r="2005" spans="1:8" x14ac:dyDescent="0.25">
      <c r="A2005" s="148">
        <v>44761</v>
      </c>
      <c r="B2005" s="149" t="s">
        <v>23339</v>
      </c>
      <c r="C2005" s="153" t="s">
        <v>1362</v>
      </c>
      <c r="D2005" s="154">
        <v>2778.2</v>
      </c>
      <c r="E2005" s="155">
        <v>44761</v>
      </c>
      <c r="F2005" s="154">
        <v>2778.2</v>
      </c>
      <c r="G2005" s="156">
        <f>Tabla18[[#This Row],[Importe]]-Tabla18[[#This Row],[Pagado]]</f>
        <v>0</v>
      </c>
      <c r="H2005" s="153" t="s">
        <v>10</v>
      </c>
    </row>
    <row r="2006" spans="1:8" x14ac:dyDescent="0.25">
      <c r="A2006" s="73">
        <v>44761</v>
      </c>
      <c r="B2006" s="74" t="s">
        <v>23340</v>
      </c>
      <c r="C2006" s="75" t="s">
        <v>339</v>
      </c>
      <c r="D2006" s="81">
        <v>660</v>
      </c>
      <c r="E2006" s="151">
        <v>44761</v>
      </c>
      <c r="F2006" s="81">
        <v>660</v>
      </c>
      <c r="G2006" s="156">
        <f>Tabla18[[#This Row],[Importe]]-Tabla18[[#This Row],[Pagado]]</f>
        <v>0</v>
      </c>
      <c r="H2006" s="75" t="s">
        <v>10</v>
      </c>
    </row>
    <row r="2007" spans="1:8" x14ac:dyDescent="0.25">
      <c r="A2007" s="148">
        <v>44761</v>
      </c>
      <c r="B2007" s="149" t="s">
        <v>23341</v>
      </c>
      <c r="C2007" s="153" t="s">
        <v>698</v>
      </c>
      <c r="D2007" s="154">
        <v>6296.7</v>
      </c>
      <c r="E2007" s="155">
        <v>44761</v>
      </c>
      <c r="F2007" s="154">
        <v>6296.7</v>
      </c>
      <c r="G2007" s="156">
        <f>Tabla18[[#This Row],[Importe]]-Tabla18[[#This Row],[Pagado]]</f>
        <v>0</v>
      </c>
      <c r="H2007" s="153" t="s">
        <v>10</v>
      </c>
    </row>
    <row r="2008" spans="1:8" x14ac:dyDescent="0.25">
      <c r="A2008" s="73">
        <v>44761</v>
      </c>
      <c r="B2008" s="74" t="s">
        <v>23342</v>
      </c>
      <c r="C2008" s="75" t="s">
        <v>392</v>
      </c>
      <c r="D2008" s="81">
        <v>1591.2</v>
      </c>
      <c r="E2008" s="151">
        <v>44761</v>
      </c>
      <c r="F2008" s="81">
        <v>1591.2</v>
      </c>
      <c r="G2008" s="156">
        <f>Tabla18[[#This Row],[Importe]]-Tabla18[[#This Row],[Pagado]]</f>
        <v>0</v>
      </c>
      <c r="H2008" s="75" t="s">
        <v>10</v>
      </c>
    </row>
    <row r="2009" spans="1:8" x14ac:dyDescent="0.25">
      <c r="A2009" s="148">
        <v>44761</v>
      </c>
      <c r="B2009" s="149" t="s">
        <v>23343</v>
      </c>
      <c r="C2009" s="153" t="s">
        <v>520</v>
      </c>
      <c r="D2009" s="154">
        <v>26100</v>
      </c>
      <c r="E2009" s="155">
        <v>44761</v>
      </c>
      <c r="F2009" s="154">
        <v>26100</v>
      </c>
      <c r="G2009" s="156">
        <f>Tabla18[[#This Row],[Importe]]-Tabla18[[#This Row],[Pagado]]</f>
        <v>0</v>
      </c>
      <c r="H2009" s="153" t="s">
        <v>10</v>
      </c>
    </row>
    <row r="2010" spans="1:8" x14ac:dyDescent="0.25">
      <c r="A2010" s="73">
        <v>44761</v>
      </c>
      <c r="B2010" s="74" t="s">
        <v>23344</v>
      </c>
      <c r="C2010" s="75" t="s">
        <v>296</v>
      </c>
      <c r="D2010" s="81">
        <v>4945.3999999999996</v>
      </c>
      <c r="E2010" s="151">
        <v>44761</v>
      </c>
      <c r="F2010" s="81">
        <v>4945.3999999999996</v>
      </c>
      <c r="G2010" s="156">
        <f>Tabla18[[#This Row],[Importe]]-Tabla18[[#This Row],[Pagado]]</f>
        <v>0</v>
      </c>
      <c r="H2010" s="75" t="s">
        <v>10</v>
      </c>
    </row>
    <row r="2011" spans="1:8" x14ac:dyDescent="0.25">
      <c r="A2011" s="148">
        <v>44761</v>
      </c>
      <c r="B2011" s="149" t="s">
        <v>23345</v>
      </c>
      <c r="C2011" s="153" t="s">
        <v>191</v>
      </c>
      <c r="D2011" s="154">
        <v>2158</v>
      </c>
      <c r="E2011" s="155">
        <v>44761</v>
      </c>
      <c r="F2011" s="154">
        <v>2158</v>
      </c>
      <c r="G2011" s="156">
        <f>Tabla18[[#This Row],[Importe]]-Tabla18[[#This Row],[Pagado]]</f>
        <v>0</v>
      </c>
      <c r="H2011" s="153" t="s">
        <v>10</v>
      </c>
    </row>
    <row r="2012" spans="1:8" x14ac:dyDescent="0.25">
      <c r="A2012" s="73">
        <v>44761</v>
      </c>
      <c r="B2012" s="74" t="s">
        <v>23346</v>
      </c>
      <c r="C2012" s="75" t="s">
        <v>319</v>
      </c>
      <c r="D2012" s="81">
        <v>10165</v>
      </c>
      <c r="E2012" s="151">
        <v>44761</v>
      </c>
      <c r="F2012" s="81">
        <v>10165</v>
      </c>
      <c r="G2012" s="156">
        <f>Tabla18[[#This Row],[Importe]]-Tabla18[[#This Row],[Pagado]]</f>
        <v>0</v>
      </c>
      <c r="H2012" s="75" t="s">
        <v>10</v>
      </c>
    </row>
    <row r="2013" spans="1:8" x14ac:dyDescent="0.25">
      <c r="A2013" s="148">
        <v>44761</v>
      </c>
      <c r="B2013" s="149" t="s">
        <v>23347</v>
      </c>
      <c r="C2013" s="153" t="s">
        <v>151</v>
      </c>
      <c r="D2013" s="154">
        <v>31178.6</v>
      </c>
      <c r="E2013" s="155">
        <v>44761</v>
      </c>
      <c r="F2013" s="154">
        <v>31178.6</v>
      </c>
      <c r="G2013" s="156">
        <f>Tabla18[[#This Row],[Importe]]-Tabla18[[#This Row],[Pagado]]</f>
        <v>0</v>
      </c>
      <c r="H2013" s="153" t="s">
        <v>10</v>
      </c>
    </row>
    <row r="2014" spans="1:8" x14ac:dyDescent="0.25">
      <c r="A2014" s="73">
        <v>44761</v>
      </c>
      <c r="B2014" s="74" t="s">
        <v>23348</v>
      </c>
      <c r="C2014" s="75" t="s">
        <v>214</v>
      </c>
      <c r="D2014" s="81">
        <v>11456.2</v>
      </c>
      <c r="E2014" s="151">
        <v>44761</v>
      </c>
      <c r="F2014" s="81">
        <v>11456.2</v>
      </c>
      <c r="G2014" s="156">
        <f>Tabla18[[#This Row],[Importe]]-Tabla18[[#This Row],[Pagado]]</f>
        <v>0</v>
      </c>
      <c r="H2014" s="75" t="s">
        <v>10</v>
      </c>
    </row>
    <row r="2015" spans="1:8" x14ac:dyDescent="0.25">
      <c r="A2015" s="148">
        <v>44761</v>
      </c>
      <c r="B2015" s="149" t="s">
        <v>23349</v>
      </c>
      <c r="C2015" s="153" t="s">
        <v>127</v>
      </c>
      <c r="D2015" s="154">
        <v>1394.4</v>
      </c>
      <c r="E2015" s="155">
        <v>44761</v>
      </c>
      <c r="F2015" s="154">
        <v>1394.4</v>
      </c>
      <c r="G2015" s="156">
        <f>Tabla18[[#This Row],[Importe]]-Tabla18[[#This Row],[Pagado]]</f>
        <v>0</v>
      </c>
      <c r="H2015" s="153" t="s">
        <v>10</v>
      </c>
    </row>
    <row r="2016" spans="1:8" x14ac:dyDescent="0.25">
      <c r="A2016" s="73">
        <v>44761</v>
      </c>
      <c r="B2016" s="74" t="s">
        <v>23350</v>
      </c>
      <c r="C2016" s="75" t="s">
        <v>146</v>
      </c>
      <c r="D2016" s="81">
        <v>2284.8000000000002</v>
      </c>
      <c r="E2016" s="151">
        <v>44761</v>
      </c>
      <c r="F2016" s="81">
        <v>2284.8000000000002</v>
      </c>
      <c r="G2016" s="156">
        <f>Tabla18[[#This Row],[Importe]]-Tabla18[[#This Row],[Pagado]]</f>
        <v>0</v>
      </c>
      <c r="H2016" s="75" t="s">
        <v>10</v>
      </c>
    </row>
    <row r="2017" spans="1:8" x14ac:dyDescent="0.25">
      <c r="A2017" s="148">
        <v>44761</v>
      </c>
      <c r="B2017" s="149" t="s">
        <v>23351</v>
      </c>
      <c r="C2017" s="153" t="s">
        <v>157</v>
      </c>
      <c r="D2017" s="154">
        <v>5302</v>
      </c>
      <c r="E2017" s="155">
        <v>44761</v>
      </c>
      <c r="F2017" s="154">
        <v>5302</v>
      </c>
      <c r="G2017" s="156">
        <f>Tabla18[[#This Row],[Importe]]-Tabla18[[#This Row],[Pagado]]</f>
        <v>0</v>
      </c>
      <c r="H2017" s="153" t="s">
        <v>10</v>
      </c>
    </row>
    <row r="2018" spans="1:8" x14ac:dyDescent="0.25">
      <c r="A2018" s="73">
        <v>44761</v>
      </c>
      <c r="B2018" s="74" t="s">
        <v>23352</v>
      </c>
      <c r="C2018" s="75" t="s">
        <v>520</v>
      </c>
      <c r="D2018" s="81">
        <v>13225.02</v>
      </c>
      <c r="E2018" s="151">
        <v>44761</v>
      </c>
      <c r="F2018" s="81">
        <v>13225.02</v>
      </c>
      <c r="G2018" s="156">
        <f>Tabla18[[#This Row],[Importe]]-Tabla18[[#This Row],[Pagado]]</f>
        <v>0</v>
      </c>
      <c r="H2018" s="75" t="s">
        <v>10</v>
      </c>
    </row>
    <row r="2019" spans="1:8" x14ac:dyDescent="0.25">
      <c r="A2019" s="148">
        <v>44761</v>
      </c>
      <c r="B2019" s="149" t="s">
        <v>23353</v>
      </c>
      <c r="C2019" s="153" t="s">
        <v>10190</v>
      </c>
      <c r="D2019" s="154">
        <v>19860.599999999999</v>
      </c>
      <c r="E2019" s="155">
        <v>44761</v>
      </c>
      <c r="F2019" s="154">
        <v>19860.599999999999</v>
      </c>
      <c r="G2019" s="156">
        <f>Tabla18[[#This Row],[Importe]]-Tabla18[[#This Row],[Pagado]]</f>
        <v>0</v>
      </c>
      <c r="H2019" s="153" t="s">
        <v>10</v>
      </c>
    </row>
    <row r="2020" spans="1:8" x14ac:dyDescent="0.25">
      <c r="A2020" s="73">
        <v>44761</v>
      </c>
      <c r="B2020" s="74" t="s">
        <v>23354</v>
      </c>
      <c r="C2020" s="75" t="s">
        <v>159</v>
      </c>
      <c r="D2020" s="81">
        <v>2576.6999999999998</v>
      </c>
      <c r="E2020" s="151">
        <v>44761</v>
      </c>
      <c r="F2020" s="81">
        <v>2576.6999999999998</v>
      </c>
      <c r="G2020" s="156">
        <f>Tabla18[[#This Row],[Importe]]-Tabla18[[#This Row],[Pagado]]</f>
        <v>0</v>
      </c>
      <c r="H2020" s="75" t="s">
        <v>10</v>
      </c>
    </row>
    <row r="2021" spans="1:8" x14ac:dyDescent="0.25">
      <c r="A2021" s="148">
        <v>44761</v>
      </c>
      <c r="B2021" s="149" t="s">
        <v>23355</v>
      </c>
      <c r="C2021" s="153" t="s">
        <v>31</v>
      </c>
      <c r="D2021" s="154">
        <v>1443</v>
      </c>
      <c r="E2021" s="155">
        <v>44761</v>
      </c>
      <c r="F2021" s="154">
        <v>1443</v>
      </c>
      <c r="G2021" s="156">
        <f>Tabla18[[#This Row],[Importe]]-Tabla18[[#This Row],[Pagado]]</f>
        <v>0</v>
      </c>
      <c r="H2021" s="153" t="s">
        <v>10</v>
      </c>
    </row>
    <row r="2022" spans="1:8" x14ac:dyDescent="0.25">
      <c r="A2022" s="73">
        <v>44761</v>
      </c>
      <c r="B2022" s="74" t="s">
        <v>23356</v>
      </c>
      <c r="C2022" s="75" t="s">
        <v>175</v>
      </c>
      <c r="D2022" s="81">
        <v>10870.2</v>
      </c>
      <c r="E2022" s="151">
        <v>44761</v>
      </c>
      <c r="F2022" s="81">
        <v>10870.2</v>
      </c>
      <c r="G2022" s="156">
        <f>Tabla18[[#This Row],[Importe]]-Tabla18[[#This Row],[Pagado]]</f>
        <v>0</v>
      </c>
      <c r="H2022" s="75" t="s">
        <v>10</v>
      </c>
    </row>
    <row r="2023" spans="1:8" x14ac:dyDescent="0.25">
      <c r="A2023" s="148">
        <v>44761</v>
      </c>
      <c r="B2023" s="149" t="s">
        <v>23357</v>
      </c>
      <c r="C2023" s="153" t="s">
        <v>426</v>
      </c>
      <c r="D2023" s="154">
        <v>5086.8</v>
      </c>
      <c r="E2023" s="155">
        <v>44761</v>
      </c>
      <c r="F2023" s="154">
        <v>5086.8</v>
      </c>
      <c r="G2023" s="156">
        <f>Tabla18[[#This Row],[Importe]]-Tabla18[[#This Row],[Pagado]]</f>
        <v>0</v>
      </c>
      <c r="H2023" s="153" t="s">
        <v>10</v>
      </c>
    </row>
    <row r="2024" spans="1:8" x14ac:dyDescent="0.25">
      <c r="A2024" s="73">
        <v>44761</v>
      </c>
      <c r="B2024" s="74" t="s">
        <v>23358</v>
      </c>
      <c r="C2024" s="75" t="s">
        <v>359</v>
      </c>
      <c r="D2024" s="81">
        <v>408</v>
      </c>
      <c r="E2024" s="151">
        <v>44761</v>
      </c>
      <c r="F2024" s="81">
        <v>408</v>
      </c>
      <c r="G2024" s="156">
        <f>Tabla18[[#This Row],[Importe]]-Tabla18[[#This Row],[Pagado]]</f>
        <v>0</v>
      </c>
      <c r="H2024" s="75" t="s">
        <v>10</v>
      </c>
    </row>
    <row r="2025" spans="1:8" x14ac:dyDescent="0.25">
      <c r="A2025" s="148">
        <v>44761</v>
      </c>
      <c r="B2025" s="149" t="s">
        <v>23359</v>
      </c>
      <c r="C2025" s="153" t="s">
        <v>419</v>
      </c>
      <c r="D2025" s="154">
        <v>4419.3999999999996</v>
      </c>
      <c r="E2025" s="155">
        <v>44761</v>
      </c>
      <c r="F2025" s="154">
        <v>4419.3999999999996</v>
      </c>
      <c r="G2025" s="156">
        <f>Tabla18[[#This Row],[Importe]]-Tabla18[[#This Row],[Pagado]]</f>
        <v>0</v>
      </c>
      <c r="H2025" s="153" t="s">
        <v>10</v>
      </c>
    </row>
    <row r="2026" spans="1:8" x14ac:dyDescent="0.25">
      <c r="A2026" s="73">
        <v>44761</v>
      </c>
      <c r="B2026" s="74" t="s">
        <v>23360</v>
      </c>
      <c r="C2026" s="75" t="s">
        <v>58</v>
      </c>
      <c r="D2026" s="81">
        <v>2324.1</v>
      </c>
      <c r="E2026" s="151">
        <v>44761</v>
      </c>
      <c r="F2026" s="81">
        <v>2324.1</v>
      </c>
      <c r="G2026" s="156">
        <f>Tabla18[[#This Row],[Importe]]-Tabla18[[#This Row],[Pagado]]</f>
        <v>0</v>
      </c>
      <c r="H2026" s="75" t="s">
        <v>10</v>
      </c>
    </row>
    <row r="2027" spans="1:8" x14ac:dyDescent="0.25">
      <c r="A2027" s="148">
        <v>44761</v>
      </c>
      <c r="B2027" s="149" t="s">
        <v>23361</v>
      </c>
      <c r="C2027" s="153" t="s">
        <v>296</v>
      </c>
      <c r="D2027" s="154">
        <v>948</v>
      </c>
      <c r="E2027" s="155">
        <v>44761</v>
      </c>
      <c r="F2027" s="154">
        <v>948</v>
      </c>
      <c r="G2027" s="156">
        <f>Tabla18[[#This Row],[Importe]]-Tabla18[[#This Row],[Pagado]]</f>
        <v>0</v>
      </c>
      <c r="H2027" s="153" t="s">
        <v>10</v>
      </c>
    </row>
    <row r="2028" spans="1:8" x14ac:dyDescent="0.25">
      <c r="A2028" s="73">
        <v>44761</v>
      </c>
      <c r="B2028" s="74" t="s">
        <v>23362</v>
      </c>
      <c r="C2028" s="75" t="s">
        <v>67</v>
      </c>
      <c r="D2028" s="81">
        <v>1435.2</v>
      </c>
      <c r="E2028" s="151">
        <v>44761</v>
      </c>
      <c r="F2028" s="81">
        <v>1435.2</v>
      </c>
      <c r="G2028" s="156">
        <f>Tabla18[[#This Row],[Importe]]-Tabla18[[#This Row],[Pagado]]</f>
        <v>0</v>
      </c>
      <c r="H2028" s="75" t="s">
        <v>10</v>
      </c>
    </row>
    <row r="2029" spans="1:8" x14ac:dyDescent="0.25">
      <c r="A2029" s="148">
        <v>44761</v>
      </c>
      <c r="B2029" s="149" t="s">
        <v>23363</v>
      </c>
      <c r="C2029" s="153" t="s">
        <v>31</v>
      </c>
      <c r="D2029" s="154">
        <v>1973.4</v>
      </c>
      <c r="E2029" s="155">
        <v>44761</v>
      </c>
      <c r="F2029" s="154">
        <v>1973.4</v>
      </c>
      <c r="G2029" s="156">
        <f>Tabla18[[#This Row],[Importe]]-Tabla18[[#This Row],[Pagado]]</f>
        <v>0</v>
      </c>
      <c r="H2029" s="153" t="s">
        <v>10</v>
      </c>
    </row>
    <row r="2030" spans="1:8" x14ac:dyDescent="0.25">
      <c r="A2030" s="73">
        <v>44761</v>
      </c>
      <c r="B2030" s="74" t="s">
        <v>23364</v>
      </c>
      <c r="C2030" s="75" t="s">
        <v>440</v>
      </c>
      <c r="D2030" s="81">
        <v>10525.24</v>
      </c>
      <c r="E2030" s="151">
        <v>44768</v>
      </c>
      <c r="F2030" s="81">
        <v>10525.24</v>
      </c>
      <c r="G2030" s="156">
        <f>Tabla18[[#This Row],[Importe]]-Tabla18[[#This Row],[Pagado]]</f>
        <v>0</v>
      </c>
      <c r="H2030" s="75" t="s">
        <v>10</v>
      </c>
    </row>
    <row r="2031" spans="1:8" x14ac:dyDescent="0.25">
      <c r="A2031" s="148">
        <v>44761</v>
      </c>
      <c r="B2031" s="149" t="s">
        <v>23365</v>
      </c>
      <c r="C2031" s="153" t="s">
        <v>433</v>
      </c>
      <c r="D2031" s="154">
        <v>31200</v>
      </c>
      <c r="E2031" s="155">
        <v>44761</v>
      </c>
      <c r="F2031" s="154">
        <v>31200</v>
      </c>
      <c r="G2031" s="156">
        <f>Tabla18[[#This Row],[Importe]]-Tabla18[[#This Row],[Pagado]]</f>
        <v>0</v>
      </c>
      <c r="H2031" s="153" t="s">
        <v>10</v>
      </c>
    </row>
    <row r="2032" spans="1:8" x14ac:dyDescent="0.25">
      <c r="A2032" s="73">
        <v>44761</v>
      </c>
      <c r="B2032" s="74" t="s">
        <v>23366</v>
      </c>
      <c r="C2032" s="75" t="s">
        <v>452</v>
      </c>
      <c r="D2032" s="81">
        <v>4080</v>
      </c>
      <c r="E2032" s="151">
        <v>44761</v>
      </c>
      <c r="F2032" s="81">
        <v>4080</v>
      </c>
      <c r="G2032" s="156">
        <f>Tabla18[[#This Row],[Importe]]-Tabla18[[#This Row],[Pagado]]</f>
        <v>0</v>
      </c>
      <c r="H2032" s="75" t="s">
        <v>10</v>
      </c>
    </row>
    <row r="2033" spans="1:8" x14ac:dyDescent="0.25">
      <c r="A2033" s="148">
        <v>44761</v>
      </c>
      <c r="B2033" s="149" t="s">
        <v>23367</v>
      </c>
      <c r="C2033" s="153" t="s">
        <v>31</v>
      </c>
      <c r="D2033" s="154">
        <v>336</v>
      </c>
      <c r="E2033" s="155">
        <v>44761</v>
      </c>
      <c r="F2033" s="154">
        <v>336</v>
      </c>
      <c r="G2033" s="156">
        <f>Tabla18[[#This Row],[Importe]]-Tabla18[[#This Row],[Pagado]]</f>
        <v>0</v>
      </c>
      <c r="H2033" s="153" t="s">
        <v>10</v>
      </c>
    </row>
    <row r="2034" spans="1:8" x14ac:dyDescent="0.25">
      <c r="A2034" s="73">
        <v>44761</v>
      </c>
      <c r="B2034" s="74" t="s">
        <v>23368</v>
      </c>
      <c r="C2034" s="75" t="s">
        <v>647</v>
      </c>
      <c r="D2034" s="81">
        <v>1155</v>
      </c>
      <c r="E2034" s="151">
        <v>44761</v>
      </c>
      <c r="F2034" s="81">
        <v>1155</v>
      </c>
      <c r="G2034" s="156">
        <f>Tabla18[[#This Row],[Importe]]-Tabla18[[#This Row],[Pagado]]</f>
        <v>0</v>
      </c>
      <c r="H2034" s="75" t="s">
        <v>10</v>
      </c>
    </row>
    <row r="2035" spans="1:8" x14ac:dyDescent="0.25">
      <c r="A2035" s="148">
        <v>44761</v>
      </c>
      <c r="B2035" s="149" t="s">
        <v>23369</v>
      </c>
      <c r="C2035" s="153" t="s">
        <v>484</v>
      </c>
      <c r="D2035" s="154">
        <v>1600</v>
      </c>
      <c r="E2035" s="155">
        <v>44761</v>
      </c>
      <c r="F2035" s="154">
        <v>1600</v>
      </c>
      <c r="G2035" s="156">
        <f>Tabla18[[#This Row],[Importe]]-Tabla18[[#This Row],[Pagado]]</f>
        <v>0</v>
      </c>
      <c r="H2035" s="153" t="s">
        <v>10</v>
      </c>
    </row>
    <row r="2036" spans="1:8" x14ac:dyDescent="0.25">
      <c r="A2036" s="73">
        <v>44761</v>
      </c>
      <c r="B2036" s="74" t="s">
        <v>23370</v>
      </c>
      <c r="C2036" s="75" t="s">
        <v>7801</v>
      </c>
      <c r="D2036" s="81">
        <v>11200</v>
      </c>
      <c r="E2036" s="151">
        <v>44761</v>
      </c>
      <c r="F2036" s="81">
        <v>11200</v>
      </c>
      <c r="G2036" s="156">
        <f>Tabla18[[#This Row],[Importe]]-Tabla18[[#This Row],[Pagado]]</f>
        <v>0</v>
      </c>
      <c r="H2036" s="75" t="s">
        <v>10</v>
      </c>
    </row>
    <row r="2037" spans="1:8" x14ac:dyDescent="0.25">
      <c r="A2037" s="148">
        <v>44761</v>
      </c>
      <c r="B2037" s="149" t="s">
        <v>23371</v>
      </c>
      <c r="C2037" s="153" t="s">
        <v>9415</v>
      </c>
      <c r="D2037" s="154">
        <v>17286.400000000001</v>
      </c>
      <c r="E2037" s="155">
        <v>44762</v>
      </c>
      <c r="F2037" s="154">
        <v>17286.400000000001</v>
      </c>
      <c r="G2037" s="156">
        <f>Tabla18[[#This Row],[Importe]]-Tabla18[[#This Row],[Pagado]]</f>
        <v>0</v>
      </c>
      <c r="H2037" s="153" t="s">
        <v>10</v>
      </c>
    </row>
    <row r="2038" spans="1:8" x14ac:dyDescent="0.25">
      <c r="A2038" s="73">
        <v>44761</v>
      </c>
      <c r="B2038" s="74" t="s">
        <v>23372</v>
      </c>
      <c r="C2038" s="75" t="s">
        <v>9993</v>
      </c>
      <c r="D2038" s="81">
        <v>57000</v>
      </c>
      <c r="E2038" s="151">
        <v>44761</v>
      </c>
      <c r="F2038" s="81">
        <v>57000</v>
      </c>
      <c r="G2038" s="156">
        <f>Tabla18[[#This Row],[Importe]]-Tabla18[[#This Row],[Pagado]]</f>
        <v>0</v>
      </c>
      <c r="H2038" s="75" t="s">
        <v>10</v>
      </c>
    </row>
    <row r="2039" spans="1:8" x14ac:dyDescent="0.25">
      <c r="A2039" s="148">
        <v>44761</v>
      </c>
      <c r="B2039" s="149" t="s">
        <v>23373</v>
      </c>
      <c r="C2039" s="153" t="s">
        <v>10678</v>
      </c>
      <c r="D2039" s="154">
        <v>1047.2</v>
      </c>
      <c r="E2039" s="155">
        <v>44761</v>
      </c>
      <c r="F2039" s="154">
        <v>1047.2</v>
      </c>
      <c r="G2039" s="156">
        <f>Tabla18[[#This Row],[Importe]]-Tabla18[[#This Row],[Pagado]]</f>
        <v>0</v>
      </c>
      <c r="H2039" s="153" t="s">
        <v>10</v>
      </c>
    </row>
    <row r="2040" spans="1:8" x14ac:dyDescent="0.25">
      <c r="A2040" s="73">
        <v>44761</v>
      </c>
      <c r="B2040" s="74" t="s">
        <v>23374</v>
      </c>
      <c r="C2040" s="75" t="s">
        <v>6252</v>
      </c>
      <c r="D2040" s="81">
        <v>0</v>
      </c>
      <c r="E2040" s="157" t="s">
        <v>189</v>
      </c>
      <c r="F2040" s="81">
        <v>0</v>
      </c>
      <c r="G2040" s="156">
        <f>Tabla18[[#This Row],[Importe]]-Tabla18[[#This Row],[Pagado]]</f>
        <v>0</v>
      </c>
      <c r="H2040" s="161" t="s">
        <v>23375</v>
      </c>
    </row>
    <row r="2041" spans="1:8" x14ac:dyDescent="0.25">
      <c r="A2041" s="148">
        <v>44761</v>
      </c>
      <c r="B2041" s="149" t="s">
        <v>23376</v>
      </c>
      <c r="C2041" s="153" t="s">
        <v>31</v>
      </c>
      <c r="D2041" s="154">
        <v>1231.2</v>
      </c>
      <c r="E2041" s="155">
        <v>44761</v>
      </c>
      <c r="F2041" s="154">
        <v>1231.2</v>
      </c>
      <c r="G2041" s="156">
        <f>Tabla18[[#This Row],[Importe]]-Tabla18[[#This Row],[Pagado]]</f>
        <v>0</v>
      </c>
      <c r="H2041" s="153" t="s">
        <v>10</v>
      </c>
    </row>
    <row r="2042" spans="1:8" x14ac:dyDescent="0.25">
      <c r="A2042" s="73">
        <v>44761</v>
      </c>
      <c r="B2042" s="74" t="s">
        <v>23377</v>
      </c>
      <c r="C2042" s="75" t="s">
        <v>450</v>
      </c>
      <c r="D2042" s="81">
        <v>8402.6</v>
      </c>
      <c r="E2042" s="151">
        <v>44761</v>
      </c>
      <c r="F2042" s="81">
        <v>8402.6</v>
      </c>
      <c r="G2042" s="156">
        <f>Tabla18[[#This Row],[Importe]]-Tabla18[[#This Row],[Pagado]]</f>
        <v>0</v>
      </c>
      <c r="H2042" s="75" t="s">
        <v>10</v>
      </c>
    </row>
    <row r="2043" spans="1:8" x14ac:dyDescent="0.25">
      <c r="A2043" s="148">
        <v>44761</v>
      </c>
      <c r="B2043" s="149" t="s">
        <v>23378</v>
      </c>
      <c r="C2043" s="153" t="s">
        <v>284</v>
      </c>
      <c r="D2043" s="154">
        <v>9898.2000000000007</v>
      </c>
      <c r="E2043" s="155">
        <v>44762</v>
      </c>
      <c r="F2043" s="154">
        <v>9898.2000000000007</v>
      </c>
      <c r="G2043" s="156">
        <f>Tabla18[[#This Row],[Importe]]-Tabla18[[#This Row],[Pagado]]</f>
        <v>0</v>
      </c>
      <c r="H2043" s="153" t="s">
        <v>10</v>
      </c>
    </row>
    <row r="2044" spans="1:8" x14ac:dyDescent="0.25">
      <c r="A2044" s="73">
        <v>44761</v>
      </c>
      <c r="B2044" s="74" t="s">
        <v>23379</v>
      </c>
      <c r="C2044" s="75" t="s">
        <v>10819</v>
      </c>
      <c r="D2044" s="81">
        <v>1271.4000000000001</v>
      </c>
      <c r="E2044" s="151">
        <v>44762</v>
      </c>
      <c r="F2044" s="81">
        <v>1271.4000000000001</v>
      </c>
      <c r="G2044" s="156">
        <f>Tabla18[[#This Row],[Importe]]-Tabla18[[#This Row],[Pagado]]</f>
        <v>0</v>
      </c>
      <c r="H2044" s="75" t="s">
        <v>10</v>
      </c>
    </row>
    <row r="2045" spans="1:8" x14ac:dyDescent="0.25">
      <c r="A2045" s="148">
        <v>44761</v>
      </c>
      <c r="B2045" s="149" t="s">
        <v>23380</v>
      </c>
      <c r="C2045" s="153" t="s">
        <v>10819</v>
      </c>
      <c r="D2045" s="154">
        <v>40</v>
      </c>
      <c r="E2045" s="155">
        <v>44762</v>
      </c>
      <c r="F2045" s="154">
        <v>40</v>
      </c>
      <c r="G2045" s="156">
        <f>Tabla18[[#This Row],[Importe]]-Tabla18[[#This Row],[Pagado]]</f>
        <v>0</v>
      </c>
      <c r="H2045" s="153" t="s">
        <v>10</v>
      </c>
    </row>
    <row r="2046" spans="1:8" x14ac:dyDescent="0.25">
      <c r="A2046" s="73">
        <v>44761</v>
      </c>
      <c r="B2046" s="74" t="s">
        <v>23381</v>
      </c>
      <c r="C2046" s="75" t="s">
        <v>280</v>
      </c>
      <c r="D2046" s="81">
        <v>803.4</v>
      </c>
      <c r="E2046" s="151">
        <v>44762</v>
      </c>
      <c r="F2046" s="81">
        <v>803.4</v>
      </c>
      <c r="G2046" s="156">
        <f>Tabla18[[#This Row],[Importe]]-Tabla18[[#This Row],[Pagado]]</f>
        <v>0</v>
      </c>
      <c r="H2046" s="75" t="s">
        <v>10</v>
      </c>
    </row>
    <row r="2047" spans="1:8" x14ac:dyDescent="0.25">
      <c r="A2047" s="148">
        <v>44761</v>
      </c>
      <c r="B2047" s="149" t="s">
        <v>23382</v>
      </c>
      <c r="C2047" s="153" t="s">
        <v>282</v>
      </c>
      <c r="D2047" s="154">
        <v>1482</v>
      </c>
      <c r="E2047" s="155">
        <v>44762</v>
      </c>
      <c r="F2047" s="154">
        <v>1482</v>
      </c>
      <c r="G2047" s="156">
        <f>Tabla18[[#This Row],[Importe]]-Tabla18[[#This Row],[Pagado]]</f>
        <v>0</v>
      </c>
      <c r="H2047" s="153" t="s">
        <v>10</v>
      </c>
    </row>
    <row r="2048" spans="1:8" x14ac:dyDescent="0.25">
      <c r="A2048" s="73">
        <v>44761</v>
      </c>
      <c r="B2048" s="74" t="s">
        <v>23383</v>
      </c>
      <c r="C2048" s="75" t="s">
        <v>291</v>
      </c>
      <c r="D2048" s="81">
        <v>2244</v>
      </c>
      <c r="E2048" s="151">
        <v>44762</v>
      </c>
      <c r="F2048" s="81">
        <v>2244</v>
      </c>
      <c r="G2048" s="156">
        <f>Tabla18[[#This Row],[Importe]]-Tabla18[[#This Row],[Pagado]]</f>
        <v>0</v>
      </c>
      <c r="H2048" s="75" t="s">
        <v>10</v>
      </c>
    </row>
    <row r="2049" spans="1:8" x14ac:dyDescent="0.25">
      <c r="A2049" s="148">
        <v>44761</v>
      </c>
      <c r="B2049" s="149" t="s">
        <v>23384</v>
      </c>
      <c r="C2049" s="153" t="s">
        <v>69</v>
      </c>
      <c r="D2049" s="154">
        <v>4890.6000000000004</v>
      </c>
      <c r="E2049" s="155">
        <v>44761</v>
      </c>
      <c r="F2049" s="154">
        <v>4890.6000000000004</v>
      </c>
      <c r="G2049" s="156">
        <f>Tabla18[[#This Row],[Importe]]-Tabla18[[#This Row],[Pagado]]</f>
        <v>0</v>
      </c>
      <c r="H2049" s="153" t="s">
        <v>10</v>
      </c>
    </row>
    <row r="2050" spans="1:8" x14ac:dyDescent="0.25">
      <c r="A2050" s="73">
        <v>44761</v>
      </c>
      <c r="B2050" s="74" t="s">
        <v>23385</v>
      </c>
      <c r="C2050" s="75" t="s">
        <v>31</v>
      </c>
      <c r="D2050" s="81">
        <v>546</v>
      </c>
      <c r="E2050" s="151">
        <v>44761</v>
      </c>
      <c r="F2050" s="81">
        <v>546</v>
      </c>
      <c r="G2050" s="156">
        <f>Tabla18[[#This Row],[Importe]]-Tabla18[[#This Row],[Pagado]]</f>
        <v>0</v>
      </c>
      <c r="H2050" s="75" t="s">
        <v>10</v>
      </c>
    </row>
    <row r="2051" spans="1:8" x14ac:dyDescent="0.25">
      <c r="A2051" s="148">
        <v>44761</v>
      </c>
      <c r="B2051" s="149" t="s">
        <v>23386</v>
      </c>
      <c r="C2051" s="153" t="s">
        <v>612</v>
      </c>
      <c r="D2051" s="154">
        <v>130</v>
      </c>
      <c r="E2051" s="155">
        <v>44761</v>
      </c>
      <c r="F2051" s="154">
        <v>130</v>
      </c>
      <c r="G2051" s="156">
        <f>Tabla18[[#This Row],[Importe]]-Tabla18[[#This Row],[Pagado]]</f>
        <v>0</v>
      </c>
      <c r="H2051" s="153" t="s">
        <v>10</v>
      </c>
    </row>
    <row r="2052" spans="1:8" x14ac:dyDescent="0.25">
      <c r="A2052" s="73">
        <v>44762</v>
      </c>
      <c r="B2052" s="74" t="s">
        <v>23387</v>
      </c>
      <c r="C2052" s="75" t="s">
        <v>887</v>
      </c>
      <c r="D2052" s="81">
        <v>16656.8</v>
      </c>
      <c r="E2052" s="151">
        <v>44762</v>
      </c>
      <c r="F2052" s="81">
        <v>16656.8</v>
      </c>
      <c r="G2052" s="156">
        <f>Tabla18[[#This Row],[Importe]]-Tabla18[[#This Row],[Pagado]]</f>
        <v>0</v>
      </c>
      <c r="H2052" s="75" t="s">
        <v>10</v>
      </c>
    </row>
    <row r="2053" spans="1:8" ht="31.5" x14ac:dyDescent="0.25">
      <c r="A2053" s="148">
        <v>44762</v>
      </c>
      <c r="B2053" s="149" t="s">
        <v>23388</v>
      </c>
      <c r="C2053" s="153" t="s">
        <v>475</v>
      </c>
      <c r="D2053" s="154">
        <v>88893.8</v>
      </c>
      <c r="E2053" s="150" t="s">
        <v>23313</v>
      </c>
      <c r="F2053" s="154">
        <f>80500+8393.8</f>
        <v>88893.8</v>
      </c>
      <c r="G2053" s="156">
        <f>Tabla18[[#This Row],[Importe]]-Tabla18[[#This Row],[Pagado]]</f>
        <v>0</v>
      </c>
      <c r="H2053" s="153" t="s">
        <v>10</v>
      </c>
    </row>
    <row r="2054" spans="1:8" x14ac:dyDescent="0.25">
      <c r="A2054" s="73">
        <v>44762</v>
      </c>
      <c r="B2054" s="74" t="s">
        <v>23389</v>
      </c>
      <c r="C2054" s="75" t="s">
        <v>85</v>
      </c>
      <c r="D2054" s="81">
        <v>1427.4</v>
      </c>
      <c r="E2054" s="151">
        <v>44762</v>
      </c>
      <c r="F2054" s="81">
        <v>1427.4</v>
      </c>
      <c r="G2054" s="156">
        <f>Tabla18[[#This Row],[Importe]]-Tabla18[[#This Row],[Pagado]]</f>
        <v>0</v>
      </c>
      <c r="H2054" s="75" t="s">
        <v>10</v>
      </c>
    </row>
    <row r="2055" spans="1:8" x14ac:dyDescent="0.25">
      <c r="A2055" s="148">
        <v>44762</v>
      </c>
      <c r="B2055" s="149" t="s">
        <v>23390</v>
      </c>
      <c r="C2055" s="153" t="s">
        <v>75</v>
      </c>
      <c r="D2055" s="154">
        <v>4087.2</v>
      </c>
      <c r="E2055" s="155">
        <v>44762</v>
      </c>
      <c r="F2055" s="154">
        <v>4087.2</v>
      </c>
      <c r="G2055" s="156">
        <f>Tabla18[[#This Row],[Importe]]-Tabla18[[#This Row],[Pagado]]</f>
        <v>0</v>
      </c>
      <c r="H2055" s="153" t="s">
        <v>10</v>
      </c>
    </row>
    <row r="2056" spans="1:8" x14ac:dyDescent="0.25">
      <c r="A2056" s="73">
        <v>44762</v>
      </c>
      <c r="B2056" s="74" t="s">
        <v>23391</v>
      </c>
      <c r="C2056" s="75" t="s">
        <v>179</v>
      </c>
      <c r="D2056" s="81">
        <v>1318.2</v>
      </c>
      <c r="E2056" s="151">
        <v>44762</v>
      </c>
      <c r="F2056" s="81">
        <v>1318.2</v>
      </c>
      <c r="G2056" s="156">
        <f>Tabla18[[#This Row],[Importe]]-Tabla18[[#This Row],[Pagado]]</f>
        <v>0</v>
      </c>
      <c r="H2056" s="75" t="s">
        <v>10</v>
      </c>
    </row>
    <row r="2057" spans="1:8" x14ac:dyDescent="0.25">
      <c r="A2057" s="148">
        <v>44762</v>
      </c>
      <c r="B2057" s="149" t="s">
        <v>23392</v>
      </c>
      <c r="C2057" s="153" t="s">
        <v>2563</v>
      </c>
      <c r="D2057" s="154">
        <v>6771.6</v>
      </c>
      <c r="E2057" s="155">
        <v>44763</v>
      </c>
      <c r="F2057" s="154">
        <v>6771.6</v>
      </c>
      <c r="G2057" s="156">
        <f>Tabla18[[#This Row],[Importe]]-Tabla18[[#This Row],[Pagado]]</f>
        <v>0</v>
      </c>
      <c r="H2057" s="153" t="s">
        <v>10</v>
      </c>
    </row>
    <row r="2058" spans="1:8" x14ac:dyDescent="0.25">
      <c r="A2058" s="73">
        <v>44762</v>
      </c>
      <c r="B2058" s="74" t="s">
        <v>23393</v>
      </c>
      <c r="C2058" s="75" t="s">
        <v>60</v>
      </c>
      <c r="D2058" s="81">
        <v>5154.6000000000004</v>
      </c>
      <c r="E2058" s="151">
        <v>44765</v>
      </c>
      <c r="F2058" s="81">
        <v>5154.6000000000004</v>
      </c>
      <c r="G2058" s="156">
        <f>Tabla18[[#This Row],[Importe]]-Tabla18[[#This Row],[Pagado]]</f>
        <v>0</v>
      </c>
      <c r="H2058" s="75" t="s">
        <v>10</v>
      </c>
    </row>
    <row r="2059" spans="1:8" x14ac:dyDescent="0.25">
      <c r="A2059" s="148">
        <v>44762</v>
      </c>
      <c r="B2059" s="149" t="s">
        <v>23394</v>
      </c>
      <c r="C2059" s="153" t="s">
        <v>64</v>
      </c>
      <c r="D2059" s="154">
        <v>5662.8</v>
      </c>
      <c r="E2059" s="155">
        <v>44763</v>
      </c>
      <c r="F2059" s="154">
        <v>5662.8</v>
      </c>
      <c r="G2059" s="156">
        <f>Tabla18[[#This Row],[Importe]]-Tabla18[[#This Row],[Pagado]]</f>
        <v>0</v>
      </c>
      <c r="H2059" s="153" t="s">
        <v>10</v>
      </c>
    </row>
    <row r="2060" spans="1:8" x14ac:dyDescent="0.25">
      <c r="A2060" s="73">
        <v>44762</v>
      </c>
      <c r="B2060" s="74" t="s">
        <v>23395</v>
      </c>
      <c r="C2060" s="75" t="s">
        <v>97</v>
      </c>
      <c r="D2060" s="81">
        <v>5082</v>
      </c>
      <c r="E2060" s="151">
        <v>44763</v>
      </c>
      <c r="F2060" s="81">
        <v>5082</v>
      </c>
      <c r="G2060" s="156">
        <f>Tabla18[[#This Row],[Importe]]-Tabla18[[#This Row],[Pagado]]</f>
        <v>0</v>
      </c>
      <c r="H2060" s="75" t="s">
        <v>10</v>
      </c>
    </row>
    <row r="2061" spans="1:8" x14ac:dyDescent="0.25">
      <c r="A2061" s="148">
        <v>44762</v>
      </c>
      <c r="B2061" s="149" t="s">
        <v>23396</v>
      </c>
      <c r="C2061" s="153" t="s">
        <v>93</v>
      </c>
      <c r="D2061" s="154">
        <v>5241.6000000000004</v>
      </c>
      <c r="E2061" s="155">
        <v>44763</v>
      </c>
      <c r="F2061" s="154">
        <v>5241.6000000000004</v>
      </c>
      <c r="G2061" s="156">
        <f>Tabla18[[#This Row],[Importe]]-Tabla18[[#This Row],[Pagado]]</f>
        <v>0</v>
      </c>
      <c r="H2061" s="153" t="s">
        <v>10</v>
      </c>
    </row>
    <row r="2062" spans="1:8" x14ac:dyDescent="0.25">
      <c r="A2062" s="73">
        <v>44762</v>
      </c>
      <c r="B2062" s="74" t="s">
        <v>23397</v>
      </c>
      <c r="C2062" s="75" t="s">
        <v>5043</v>
      </c>
      <c r="D2062" s="81">
        <v>5669.4</v>
      </c>
      <c r="E2062" s="151">
        <v>44764</v>
      </c>
      <c r="F2062" s="81">
        <v>5669.4</v>
      </c>
      <c r="G2062" s="156">
        <f>Tabla18[[#This Row],[Importe]]-Tabla18[[#This Row],[Pagado]]</f>
        <v>0</v>
      </c>
      <c r="H2062" s="75" t="s">
        <v>10</v>
      </c>
    </row>
    <row r="2063" spans="1:8" x14ac:dyDescent="0.25">
      <c r="A2063" s="148">
        <v>44762</v>
      </c>
      <c r="B2063" s="149" t="s">
        <v>23398</v>
      </c>
      <c r="C2063" s="153" t="s">
        <v>105</v>
      </c>
      <c r="D2063" s="154">
        <v>11976</v>
      </c>
      <c r="E2063" s="155">
        <v>44763</v>
      </c>
      <c r="F2063" s="154">
        <v>11976</v>
      </c>
      <c r="G2063" s="156">
        <f>Tabla18[[#This Row],[Importe]]-Tabla18[[#This Row],[Pagado]]</f>
        <v>0</v>
      </c>
      <c r="H2063" s="153" t="s">
        <v>10</v>
      </c>
    </row>
    <row r="2064" spans="1:8" x14ac:dyDescent="0.25">
      <c r="A2064" s="73">
        <v>44762</v>
      </c>
      <c r="B2064" s="74" t="s">
        <v>23399</v>
      </c>
      <c r="C2064" s="75" t="s">
        <v>99</v>
      </c>
      <c r="D2064" s="81">
        <v>2752</v>
      </c>
      <c r="E2064" s="151">
        <v>44763</v>
      </c>
      <c r="F2064" s="81">
        <v>2752</v>
      </c>
      <c r="G2064" s="156">
        <f>Tabla18[[#This Row],[Importe]]-Tabla18[[#This Row],[Pagado]]</f>
        <v>0</v>
      </c>
      <c r="H2064" s="75" t="s">
        <v>10</v>
      </c>
    </row>
    <row r="2065" spans="1:8" x14ac:dyDescent="0.25">
      <c r="A2065" s="148">
        <v>44762</v>
      </c>
      <c r="B2065" s="149" t="s">
        <v>23400</v>
      </c>
      <c r="C2065" s="153" t="s">
        <v>89</v>
      </c>
      <c r="D2065" s="154">
        <v>8252.2000000000007</v>
      </c>
      <c r="E2065" s="155">
        <v>44763</v>
      </c>
      <c r="F2065" s="154">
        <v>8252.2000000000007</v>
      </c>
      <c r="G2065" s="156">
        <f>Tabla18[[#This Row],[Importe]]-Tabla18[[#This Row],[Pagado]]</f>
        <v>0</v>
      </c>
      <c r="H2065" s="153" t="s">
        <v>10</v>
      </c>
    </row>
    <row r="2066" spans="1:8" x14ac:dyDescent="0.25">
      <c r="A2066" s="73">
        <v>44762</v>
      </c>
      <c r="B2066" s="74" t="s">
        <v>23401</v>
      </c>
      <c r="C2066" s="75" t="s">
        <v>348</v>
      </c>
      <c r="D2066" s="81">
        <v>6069.5</v>
      </c>
      <c r="E2066" s="151">
        <v>44762</v>
      </c>
      <c r="F2066" s="81">
        <v>6069.5</v>
      </c>
      <c r="G2066" s="156">
        <f>Tabla18[[#This Row],[Importe]]-Tabla18[[#This Row],[Pagado]]</f>
        <v>0</v>
      </c>
      <c r="H2066" s="75" t="s">
        <v>10</v>
      </c>
    </row>
    <row r="2067" spans="1:8" x14ac:dyDescent="0.25">
      <c r="A2067" s="148">
        <v>44762</v>
      </c>
      <c r="B2067" s="149" t="s">
        <v>23402</v>
      </c>
      <c r="C2067" s="153" t="s">
        <v>326</v>
      </c>
      <c r="D2067" s="154">
        <v>7665.9</v>
      </c>
      <c r="E2067" s="155">
        <v>44764</v>
      </c>
      <c r="F2067" s="154">
        <v>7665.9</v>
      </c>
      <c r="G2067" s="156">
        <f>Tabla18[[#This Row],[Importe]]-Tabla18[[#This Row],[Pagado]]</f>
        <v>0</v>
      </c>
      <c r="H2067" s="153" t="s">
        <v>10</v>
      </c>
    </row>
    <row r="2068" spans="1:8" x14ac:dyDescent="0.25">
      <c r="A2068" s="73">
        <v>44762</v>
      </c>
      <c r="B2068" s="74" t="s">
        <v>23403</v>
      </c>
      <c r="C2068" s="75" t="s">
        <v>2151</v>
      </c>
      <c r="D2068" s="81">
        <v>8222.2000000000007</v>
      </c>
      <c r="E2068" s="151">
        <v>44762</v>
      </c>
      <c r="F2068" s="81">
        <v>8222.2000000000007</v>
      </c>
      <c r="G2068" s="156">
        <f>Tabla18[[#This Row],[Importe]]-Tabla18[[#This Row],[Pagado]]</f>
        <v>0</v>
      </c>
      <c r="H2068" s="75" t="s">
        <v>10</v>
      </c>
    </row>
    <row r="2069" spans="1:8" x14ac:dyDescent="0.25">
      <c r="A2069" s="148">
        <v>44762</v>
      </c>
      <c r="B2069" s="149" t="s">
        <v>23404</v>
      </c>
      <c r="C2069" s="153" t="s">
        <v>1187</v>
      </c>
      <c r="D2069" s="154">
        <v>2304.8000000000002</v>
      </c>
      <c r="E2069" s="155">
        <v>44762</v>
      </c>
      <c r="F2069" s="154">
        <v>2304.8000000000002</v>
      </c>
      <c r="G2069" s="156">
        <f>Tabla18[[#This Row],[Importe]]-Tabla18[[#This Row],[Pagado]]</f>
        <v>0</v>
      </c>
      <c r="H2069" s="153" t="s">
        <v>10</v>
      </c>
    </row>
    <row r="2070" spans="1:8" x14ac:dyDescent="0.25">
      <c r="A2070" s="73">
        <v>44762</v>
      </c>
      <c r="B2070" s="74" t="s">
        <v>23405</v>
      </c>
      <c r="C2070" s="75" t="s">
        <v>9</v>
      </c>
      <c r="D2070" s="81">
        <v>8117</v>
      </c>
      <c r="E2070" s="151">
        <v>44762</v>
      </c>
      <c r="F2070" s="81">
        <v>8117</v>
      </c>
      <c r="G2070" s="156">
        <f>Tabla18[[#This Row],[Importe]]-Tabla18[[#This Row],[Pagado]]</f>
        <v>0</v>
      </c>
      <c r="H2070" s="75" t="s">
        <v>10</v>
      </c>
    </row>
    <row r="2071" spans="1:8" x14ac:dyDescent="0.25">
      <c r="A2071" s="148">
        <v>44762</v>
      </c>
      <c r="B2071" s="149" t="s">
        <v>23406</v>
      </c>
      <c r="C2071" s="153" t="s">
        <v>83</v>
      </c>
      <c r="D2071" s="154">
        <v>12225</v>
      </c>
      <c r="E2071" s="155">
        <v>44762</v>
      </c>
      <c r="F2071" s="154">
        <v>12225</v>
      </c>
      <c r="G2071" s="156">
        <f>Tabla18[[#This Row],[Importe]]-Tabla18[[#This Row],[Pagado]]</f>
        <v>0</v>
      </c>
      <c r="H2071" s="153" t="s">
        <v>10</v>
      </c>
    </row>
    <row r="2072" spans="1:8" x14ac:dyDescent="0.25">
      <c r="A2072" s="73">
        <v>44762</v>
      </c>
      <c r="B2072" s="74" t="s">
        <v>23407</v>
      </c>
      <c r="C2072" s="75" t="s">
        <v>87</v>
      </c>
      <c r="D2072" s="81">
        <v>3109.4</v>
      </c>
      <c r="E2072" s="151">
        <v>44762</v>
      </c>
      <c r="F2072" s="81">
        <v>3109.4</v>
      </c>
      <c r="G2072" s="156">
        <f>Tabla18[[#This Row],[Importe]]-Tabla18[[#This Row],[Pagado]]</f>
        <v>0</v>
      </c>
      <c r="H2072" s="75" t="s">
        <v>10</v>
      </c>
    </row>
    <row r="2073" spans="1:8" x14ac:dyDescent="0.25">
      <c r="A2073" s="148">
        <v>44762</v>
      </c>
      <c r="B2073" s="149" t="s">
        <v>23408</v>
      </c>
      <c r="C2073" s="153" t="s">
        <v>91</v>
      </c>
      <c r="D2073" s="154">
        <v>6240</v>
      </c>
      <c r="E2073" s="155">
        <v>44763</v>
      </c>
      <c r="F2073" s="154">
        <v>6240</v>
      </c>
      <c r="G2073" s="156">
        <f>Tabla18[[#This Row],[Importe]]-Tabla18[[#This Row],[Pagado]]</f>
        <v>0</v>
      </c>
      <c r="H2073" s="153" t="s">
        <v>10</v>
      </c>
    </row>
    <row r="2074" spans="1:8" x14ac:dyDescent="0.25">
      <c r="A2074" s="73">
        <v>44762</v>
      </c>
      <c r="B2074" s="74" t="s">
        <v>23409</v>
      </c>
      <c r="C2074" s="75" t="s">
        <v>95</v>
      </c>
      <c r="D2074" s="81">
        <v>20770.8</v>
      </c>
      <c r="E2074" s="151">
        <v>44762</v>
      </c>
      <c r="F2074" s="81">
        <v>20770.8</v>
      </c>
      <c r="G2074" s="156">
        <f>Tabla18[[#This Row],[Importe]]-Tabla18[[#This Row],[Pagado]]</f>
        <v>0</v>
      </c>
      <c r="H2074" s="75" t="s">
        <v>10</v>
      </c>
    </row>
    <row r="2075" spans="1:8" x14ac:dyDescent="0.25">
      <c r="A2075" s="148">
        <v>44762</v>
      </c>
      <c r="B2075" s="149" t="s">
        <v>23410</v>
      </c>
      <c r="C2075" s="153" t="s">
        <v>142</v>
      </c>
      <c r="D2075" s="154">
        <v>72783.5</v>
      </c>
      <c r="E2075" s="155">
        <v>44799</v>
      </c>
      <c r="F2075" s="154">
        <v>72783.5</v>
      </c>
      <c r="G2075" s="156">
        <f>Tabla18[[#This Row],[Importe]]-Tabla18[[#This Row],[Pagado]]</f>
        <v>0</v>
      </c>
      <c r="H2075" s="153" t="s">
        <v>10</v>
      </c>
    </row>
    <row r="2076" spans="1:8" x14ac:dyDescent="0.25">
      <c r="A2076" s="73">
        <v>44762</v>
      </c>
      <c r="B2076" s="74" t="s">
        <v>23411</v>
      </c>
      <c r="C2076" s="75" t="s">
        <v>56</v>
      </c>
      <c r="D2076" s="81">
        <v>8719.7999999999993</v>
      </c>
      <c r="E2076" s="151">
        <v>44762</v>
      </c>
      <c r="F2076" s="81">
        <v>8719.7999999999993</v>
      </c>
      <c r="G2076" s="156">
        <f>Tabla18[[#This Row],[Importe]]-Tabla18[[#This Row],[Pagado]]</f>
        <v>0</v>
      </c>
      <c r="H2076" s="75" t="s">
        <v>10</v>
      </c>
    </row>
    <row r="2077" spans="1:8" x14ac:dyDescent="0.25">
      <c r="A2077" s="148">
        <v>44762</v>
      </c>
      <c r="B2077" s="149" t="s">
        <v>23412</v>
      </c>
      <c r="C2077" s="153" t="s">
        <v>16</v>
      </c>
      <c r="D2077" s="154">
        <v>6639.9</v>
      </c>
      <c r="E2077" s="155">
        <v>44762</v>
      </c>
      <c r="F2077" s="154">
        <v>6639.9</v>
      </c>
      <c r="G2077" s="156">
        <f>Tabla18[[#This Row],[Importe]]-Tabla18[[#This Row],[Pagado]]</f>
        <v>0</v>
      </c>
      <c r="H2077" s="153" t="s">
        <v>10</v>
      </c>
    </row>
    <row r="2078" spans="1:8" x14ac:dyDescent="0.25">
      <c r="A2078" s="73">
        <v>44762</v>
      </c>
      <c r="B2078" s="74" t="s">
        <v>23413</v>
      </c>
      <c r="C2078" s="75" t="s">
        <v>1378</v>
      </c>
      <c r="D2078" s="81">
        <v>85993.8</v>
      </c>
      <c r="E2078" s="151">
        <v>44763</v>
      </c>
      <c r="F2078" s="81">
        <v>85993.8</v>
      </c>
      <c r="G2078" s="156">
        <f>Tabla18[[#This Row],[Importe]]-Tabla18[[#This Row],[Pagado]]</f>
        <v>0</v>
      </c>
      <c r="H2078" s="75" t="s">
        <v>10</v>
      </c>
    </row>
    <row r="2079" spans="1:8" x14ac:dyDescent="0.25">
      <c r="A2079" s="148">
        <v>44762</v>
      </c>
      <c r="B2079" s="149" t="s">
        <v>23414</v>
      </c>
      <c r="C2079" s="153" t="s">
        <v>1676</v>
      </c>
      <c r="D2079" s="154">
        <v>9984</v>
      </c>
      <c r="E2079" s="155">
        <v>44762</v>
      </c>
      <c r="F2079" s="154">
        <v>9984</v>
      </c>
      <c r="G2079" s="156">
        <f>Tabla18[[#This Row],[Importe]]-Tabla18[[#This Row],[Pagado]]</f>
        <v>0</v>
      </c>
      <c r="H2079" s="153" t="s">
        <v>10</v>
      </c>
    </row>
    <row r="2080" spans="1:8" x14ac:dyDescent="0.25">
      <c r="A2080" s="73">
        <v>44762</v>
      </c>
      <c r="B2080" s="74" t="s">
        <v>23415</v>
      </c>
      <c r="C2080" s="75" t="s">
        <v>11033</v>
      </c>
      <c r="D2080" s="81">
        <v>2025.2</v>
      </c>
      <c r="E2080" s="151">
        <v>44762</v>
      </c>
      <c r="F2080" s="81">
        <v>2025.2</v>
      </c>
      <c r="G2080" s="156">
        <f>Tabla18[[#This Row],[Importe]]-Tabla18[[#This Row],[Pagado]]</f>
        <v>0</v>
      </c>
      <c r="H2080" s="75" t="s">
        <v>10</v>
      </c>
    </row>
    <row r="2081" spans="1:8" ht="31.5" x14ac:dyDescent="0.25">
      <c r="A2081" s="148">
        <v>44762</v>
      </c>
      <c r="B2081" s="149" t="s">
        <v>23416</v>
      </c>
      <c r="C2081" s="153" t="s">
        <v>22</v>
      </c>
      <c r="D2081" s="154">
        <v>35382.400000000001</v>
      </c>
      <c r="E2081" s="150" t="s">
        <v>23313</v>
      </c>
      <c r="F2081" s="154">
        <f>25000+10382.4</f>
        <v>35382.400000000001</v>
      </c>
      <c r="G2081" s="156">
        <f>Tabla18[[#This Row],[Importe]]-Tabla18[[#This Row],[Pagado]]</f>
        <v>0</v>
      </c>
      <c r="H2081" s="153" t="s">
        <v>10</v>
      </c>
    </row>
    <row r="2082" spans="1:8" x14ac:dyDescent="0.25">
      <c r="A2082" s="73">
        <v>44762</v>
      </c>
      <c r="B2082" s="74" t="s">
        <v>23417</v>
      </c>
      <c r="C2082" s="75" t="s">
        <v>196</v>
      </c>
      <c r="D2082" s="81">
        <v>162807.84</v>
      </c>
      <c r="E2082" s="151">
        <v>44765</v>
      </c>
      <c r="F2082" s="81">
        <v>162807.84</v>
      </c>
      <c r="G2082" s="156">
        <f>Tabla18[[#This Row],[Importe]]-Tabla18[[#This Row],[Pagado]]</f>
        <v>0</v>
      </c>
      <c r="H2082" s="75" t="s">
        <v>10</v>
      </c>
    </row>
    <row r="2083" spans="1:8" x14ac:dyDescent="0.25">
      <c r="A2083" s="148">
        <v>44762</v>
      </c>
      <c r="B2083" s="149" t="s">
        <v>23418</v>
      </c>
      <c r="C2083" s="153" t="s">
        <v>161</v>
      </c>
      <c r="D2083" s="154">
        <v>4466</v>
      </c>
      <c r="E2083" s="155">
        <v>44762</v>
      </c>
      <c r="F2083" s="154">
        <v>4466</v>
      </c>
      <c r="G2083" s="156">
        <f>Tabla18[[#This Row],[Importe]]-Tabla18[[#This Row],[Pagado]]</f>
        <v>0</v>
      </c>
      <c r="H2083" s="153" t="s">
        <v>10</v>
      </c>
    </row>
    <row r="2084" spans="1:8" x14ac:dyDescent="0.25">
      <c r="A2084" s="73">
        <v>44762</v>
      </c>
      <c r="B2084" s="74" t="s">
        <v>23419</v>
      </c>
      <c r="C2084" s="75" t="s">
        <v>45</v>
      </c>
      <c r="D2084" s="81">
        <v>14050.2</v>
      </c>
      <c r="E2084" s="151">
        <v>44762</v>
      </c>
      <c r="F2084" s="81">
        <v>14050.2</v>
      </c>
      <c r="G2084" s="156">
        <f>Tabla18[[#This Row],[Importe]]-Tabla18[[#This Row],[Pagado]]</f>
        <v>0</v>
      </c>
      <c r="H2084" s="75" t="s">
        <v>10</v>
      </c>
    </row>
    <row r="2085" spans="1:8" x14ac:dyDescent="0.25">
      <c r="A2085" s="148">
        <v>44762</v>
      </c>
      <c r="B2085" s="149" t="s">
        <v>23420</v>
      </c>
      <c r="C2085" s="153" t="s">
        <v>49</v>
      </c>
      <c r="D2085" s="154">
        <v>2744.8</v>
      </c>
      <c r="E2085" s="155">
        <v>44762</v>
      </c>
      <c r="F2085" s="154">
        <v>2744.8</v>
      </c>
      <c r="G2085" s="156">
        <f>Tabla18[[#This Row],[Importe]]-Tabla18[[#This Row],[Pagado]]</f>
        <v>0</v>
      </c>
      <c r="H2085" s="153" t="s">
        <v>10</v>
      </c>
    </row>
    <row r="2086" spans="1:8" x14ac:dyDescent="0.25">
      <c r="A2086" s="73">
        <v>44762</v>
      </c>
      <c r="B2086" s="74" t="s">
        <v>23421</v>
      </c>
      <c r="C2086" s="75" t="s">
        <v>664</v>
      </c>
      <c r="D2086" s="81">
        <v>15777.6</v>
      </c>
      <c r="E2086" s="151">
        <v>44762</v>
      </c>
      <c r="F2086" s="81">
        <v>15777.6</v>
      </c>
      <c r="G2086" s="156">
        <f>Tabla18[[#This Row],[Importe]]-Tabla18[[#This Row],[Pagado]]</f>
        <v>0</v>
      </c>
      <c r="H2086" s="75" t="s">
        <v>10</v>
      </c>
    </row>
    <row r="2087" spans="1:8" x14ac:dyDescent="0.25">
      <c r="A2087" s="148">
        <v>44762</v>
      </c>
      <c r="B2087" s="149" t="s">
        <v>23422</v>
      </c>
      <c r="C2087" s="153" t="s">
        <v>27</v>
      </c>
      <c r="D2087" s="154">
        <v>1023</v>
      </c>
      <c r="E2087" s="155">
        <v>44762</v>
      </c>
      <c r="F2087" s="154">
        <v>1023</v>
      </c>
      <c r="G2087" s="156">
        <f>Tabla18[[#This Row],[Importe]]-Tabla18[[#This Row],[Pagado]]</f>
        <v>0</v>
      </c>
      <c r="H2087" s="153" t="s">
        <v>10</v>
      </c>
    </row>
    <row r="2088" spans="1:8" x14ac:dyDescent="0.25">
      <c r="A2088" s="73">
        <v>44762</v>
      </c>
      <c r="B2088" s="74" t="s">
        <v>23423</v>
      </c>
      <c r="C2088" s="75" t="s">
        <v>91</v>
      </c>
      <c r="D2088" s="81">
        <v>5460</v>
      </c>
      <c r="E2088" s="151">
        <v>44763</v>
      </c>
      <c r="F2088" s="81">
        <v>5460</v>
      </c>
      <c r="G2088" s="156">
        <f>Tabla18[[#This Row],[Importe]]-Tabla18[[#This Row],[Pagado]]</f>
        <v>0</v>
      </c>
      <c r="H2088" s="75" t="s">
        <v>10</v>
      </c>
    </row>
    <row r="2089" spans="1:8" x14ac:dyDescent="0.25">
      <c r="A2089" s="148">
        <v>44762</v>
      </c>
      <c r="B2089" s="149" t="s">
        <v>23424</v>
      </c>
      <c r="C2089" s="153" t="s">
        <v>23425</v>
      </c>
      <c r="D2089" s="154">
        <v>0</v>
      </c>
      <c r="E2089" s="158" t="s">
        <v>189</v>
      </c>
      <c r="F2089" s="154">
        <v>0</v>
      </c>
      <c r="G2089" s="156">
        <f>Tabla18[[#This Row],[Importe]]-Tabla18[[#This Row],[Pagado]]</f>
        <v>0</v>
      </c>
      <c r="H2089" s="153" t="s">
        <v>189</v>
      </c>
    </row>
    <row r="2090" spans="1:8" x14ac:dyDescent="0.25">
      <c r="A2090" s="73">
        <v>44762</v>
      </c>
      <c r="B2090" s="74" t="s">
        <v>23426</v>
      </c>
      <c r="C2090" s="75" t="s">
        <v>664</v>
      </c>
      <c r="D2090" s="81">
        <v>4334.3999999999996</v>
      </c>
      <c r="E2090" s="151">
        <v>44762</v>
      </c>
      <c r="F2090" s="81">
        <v>4334.3999999999996</v>
      </c>
      <c r="G2090" s="156">
        <f>Tabla18[[#This Row],[Importe]]-Tabla18[[#This Row],[Pagado]]</f>
        <v>0</v>
      </c>
      <c r="H2090" s="75" t="s">
        <v>10</v>
      </c>
    </row>
    <row r="2091" spans="1:8" x14ac:dyDescent="0.25">
      <c r="A2091" s="148">
        <v>44762</v>
      </c>
      <c r="B2091" s="149" t="s">
        <v>23427</v>
      </c>
      <c r="C2091" s="153" t="s">
        <v>107</v>
      </c>
      <c r="D2091" s="154">
        <v>16174.7</v>
      </c>
      <c r="E2091" s="155">
        <v>44762</v>
      </c>
      <c r="F2091" s="154">
        <v>16174.7</v>
      </c>
      <c r="G2091" s="156">
        <f>Tabla18[[#This Row],[Importe]]-Tabla18[[#This Row],[Pagado]]</f>
        <v>0</v>
      </c>
      <c r="H2091" s="153" t="s">
        <v>10</v>
      </c>
    </row>
    <row r="2092" spans="1:8" x14ac:dyDescent="0.25">
      <c r="A2092" s="73">
        <v>44762</v>
      </c>
      <c r="B2092" s="74" t="s">
        <v>23428</v>
      </c>
      <c r="C2092" s="75" t="s">
        <v>146</v>
      </c>
      <c r="D2092" s="81">
        <v>1797.6</v>
      </c>
      <c r="E2092" s="151">
        <v>44762</v>
      </c>
      <c r="F2092" s="81">
        <v>1797.6</v>
      </c>
      <c r="G2092" s="156">
        <f>Tabla18[[#This Row],[Importe]]-Tabla18[[#This Row],[Pagado]]</f>
        <v>0</v>
      </c>
      <c r="H2092" s="75" t="s">
        <v>10</v>
      </c>
    </row>
    <row r="2093" spans="1:8" x14ac:dyDescent="0.25">
      <c r="A2093" s="148">
        <v>44762</v>
      </c>
      <c r="B2093" s="149" t="s">
        <v>23429</v>
      </c>
      <c r="C2093" s="153" t="s">
        <v>1362</v>
      </c>
      <c r="D2093" s="154">
        <v>5384.4</v>
      </c>
      <c r="E2093" s="155">
        <v>44762</v>
      </c>
      <c r="F2093" s="154">
        <v>5384.4</v>
      </c>
      <c r="G2093" s="156">
        <f>Tabla18[[#This Row],[Importe]]-Tabla18[[#This Row],[Pagado]]</f>
        <v>0</v>
      </c>
      <c r="H2093" s="153" t="s">
        <v>10</v>
      </c>
    </row>
    <row r="2094" spans="1:8" x14ac:dyDescent="0.25">
      <c r="A2094" s="73">
        <v>44762</v>
      </c>
      <c r="B2094" s="74" t="s">
        <v>23430</v>
      </c>
      <c r="C2094" s="75" t="s">
        <v>562</v>
      </c>
      <c r="D2094" s="81">
        <v>3852</v>
      </c>
      <c r="E2094" s="151">
        <v>44762</v>
      </c>
      <c r="F2094" s="81">
        <v>3852</v>
      </c>
      <c r="G2094" s="156">
        <f>Tabla18[[#This Row],[Importe]]-Tabla18[[#This Row],[Pagado]]</f>
        <v>0</v>
      </c>
      <c r="H2094" s="75" t="s">
        <v>10</v>
      </c>
    </row>
    <row r="2095" spans="1:8" x14ac:dyDescent="0.25">
      <c r="A2095" s="148">
        <v>44762</v>
      </c>
      <c r="B2095" s="149" t="s">
        <v>23431</v>
      </c>
      <c r="C2095" s="153" t="s">
        <v>91</v>
      </c>
      <c r="D2095" s="154">
        <v>390</v>
      </c>
      <c r="E2095" s="155">
        <v>44763</v>
      </c>
      <c r="F2095" s="154">
        <v>390</v>
      </c>
      <c r="G2095" s="156">
        <f>Tabla18[[#This Row],[Importe]]-Tabla18[[#This Row],[Pagado]]</f>
        <v>0</v>
      </c>
      <c r="H2095" s="153" t="s">
        <v>10</v>
      </c>
    </row>
    <row r="2096" spans="1:8" x14ac:dyDescent="0.25">
      <c r="A2096" s="73">
        <v>44762</v>
      </c>
      <c r="B2096" s="74" t="s">
        <v>23432</v>
      </c>
      <c r="C2096" s="75" t="s">
        <v>339</v>
      </c>
      <c r="D2096" s="81">
        <v>1307.4000000000001</v>
      </c>
      <c r="E2096" s="151">
        <v>44762</v>
      </c>
      <c r="F2096" s="81">
        <v>1307.4000000000001</v>
      </c>
      <c r="G2096" s="156">
        <f>Tabla18[[#This Row],[Importe]]-Tabla18[[#This Row],[Pagado]]</f>
        <v>0</v>
      </c>
      <c r="H2096" s="75" t="s">
        <v>10</v>
      </c>
    </row>
    <row r="2097" spans="1:8" x14ac:dyDescent="0.25">
      <c r="A2097" s="148">
        <v>44762</v>
      </c>
      <c r="B2097" s="149" t="s">
        <v>23433</v>
      </c>
      <c r="C2097" s="153" t="s">
        <v>144</v>
      </c>
      <c r="D2097" s="154">
        <v>3012</v>
      </c>
      <c r="E2097" s="155">
        <v>44762</v>
      </c>
      <c r="F2097" s="154">
        <v>3012</v>
      </c>
      <c r="G2097" s="156">
        <f>Tabla18[[#This Row],[Importe]]-Tabla18[[#This Row],[Pagado]]</f>
        <v>0</v>
      </c>
      <c r="H2097" s="153" t="s">
        <v>10</v>
      </c>
    </row>
    <row r="2098" spans="1:8" x14ac:dyDescent="0.25">
      <c r="A2098" s="73">
        <v>44762</v>
      </c>
      <c r="B2098" s="74" t="s">
        <v>23434</v>
      </c>
      <c r="C2098" s="75" t="s">
        <v>140</v>
      </c>
      <c r="D2098" s="81">
        <v>2246.5</v>
      </c>
      <c r="E2098" s="151">
        <v>44762</v>
      </c>
      <c r="F2098" s="81">
        <v>2246.5</v>
      </c>
      <c r="G2098" s="156">
        <f>Tabla18[[#This Row],[Importe]]-Tabla18[[#This Row],[Pagado]]</f>
        <v>0</v>
      </c>
      <c r="H2098" s="75" t="s">
        <v>10</v>
      </c>
    </row>
    <row r="2099" spans="1:8" x14ac:dyDescent="0.25">
      <c r="A2099" s="148">
        <v>44762</v>
      </c>
      <c r="B2099" s="149" t="s">
        <v>23435</v>
      </c>
      <c r="C2099" s="153" t="s">
        <v>129</v>
      </c>
      <c r="D2099" s="154">
        <v>1360.8</v>
      </c>
      <c r="E2099" s="155">
        <v>44762</v>
      </c>
      <c r="F2099" s="154">
        <v>1360.8</v>
      </c>
      <c r="G2099" s="156">
        <f>Tabla18[[#This Row],[Importe]]-Tabla18[[#This Row],[Pagado]]</f>
        <v>0</v>
      </c>
      <c r="H2099" s="153" t="s">
        <v>10</v>
      </c>
    </row>
    <row r="2100" spans="1:8" x14ac:dyDescent="0.25">
      <c r="A2100" s="73">
        <v>44762</v>
      </c>
      <c r="B2100" s="74" t="s">
        <v>23436</v>
      </c>
      <c r="C2100" s="75" t="s">
        <v>275</v>
      </c>
      <c r="D2100" s="81">
        <v>75689.600000000006</v>
      </c>
      <c r="E2100" s="151">
        <v>44778</v>
      </c>
      <c r="F2100" s="81">
        <v>75689.600000000006</v>
      </c>
      <c r="G2100" s="156">
        <f>Tabla18[[#This Row],[Importe]]-Tabla18[[#This Row],[Pagado]]</f>
        <v>0</v>
      </c>
      <c r="H2100" s="75" t="s">
        <v>10</v>
      </c>
    </row>
    <row r="2101" spans="1:8" x14ac:dyDescent="0.25">
      <c r="A2101" s="148">
        <v>44762</v>
      </c>
      <c r="B2101" s="149" t="s">
        <v>23437</v>
      </c>
      <c r="C2101" s="153" t="s">
        <v>670</v>
      </c>
      <c r="D2101" s="154">
        <v>4835.6000000000004</v>
      </c>
      <c r="E2101" s="155">
        <v>44762</v>
      </c>
      <c r="F2101" s="154">
        <v>4835.6000000000004</v>
      </c>
      <c r="G2101" s="156">
        <f>Tabla18[[#This Row],[Importe]]-Tabla18[[#This Row],[Pagado]]</f>
        <v>0</v>
      </c>
      <c r="H2101" s="153" t="s">
        <v>10</v>
      </c>
    </row>
    <row r="2102" spans="1:8" x14ac:dyDescent="0.25">
      <c r="A2102" s="73">
        <v>44762</v>
      </c>
      <c r="B2102" s="74" t="s">
        <v>23438</v>
      </c>
      <c r="C2102" s="75" t="s">
        <v>23439</v>
      </c>
      <c r="D2102" s="81">
        <v>0</v>
      </c>
      <c r="E2102" s="157" t="s">
        <v>189</v>
      </c>
      <c r="F2102" s="81">
        <v>0</v>
      </c>
      <c r="G2102" s="156">
        <f>Tabla18[[#This Row],[Importe]]-Tabla18[[#This Row],[Pagado]]</f>
        <v>0</v>
      </c>
      <c r="H2102" s="161" t="s">
        <v>23440</v>
      </c>
    </row>
    <row r="2103" spans="1:8" x14ac:dyDescent="0.25">
      <c r="A2103" s="148">
        <v>44762</v>
      </c>
      <c r="B2103" s="149" t="s">
        <v>23441</v>
      </c>
      <c r="C2103" s="153" t="s">
        <v>224</v>
      </c>
      <c r="D2103" s="154">
        <v>920</v>
      </c>
      <c r="E2103" s="155">
        <v>44762</v>
      </c>
      <c r="F2103" s="154">
        <v>920</v>
      </c>
      <c r="G2103" s="156">
        <f>Tabla18[[#This Row],[Importe]]-Tabla18[[#This Row],[Pagado]]</f>
        <v>0</v>
      </c>
      <c r="H2103" s="153" t="s">
        <v>10</v>
      </c>
    </row>
    <row r="2104" spans="1:8" x14ac:dyDescent="0.25">
      <c r="A2104" s="73">
        <v>44762</v>
      </c>
      <c r="B2104" s="74" t="s">
        <v>23442</v>
      </c>
      <c r="C2104" s="75" t="s">
        <v>191</v>
      </c>
      <c r="D2104" s="81">
        <v>1842.6</v>
      </c>
      <c r="E2104" s="151">
        <v>44762</v>
      </c>
      <c r="F2104" s="81">
        <v>1842.6</v>
      </c>
      <c r="G2104" s="156">
        <f>Tabla18[[#This Row],[Importe]]-Tabla18[[#This Row],[Pagado]]</f>
        <v>0</v>
      </c>
      <c r="H2104" s="75" t="s">
        <v>10</v>
      </c>
    </row>
    <row r="2105" spans="1:8" x14ac:dyDescent="0.25">
      <c r="A2105" s="148">
        <v>44762</v>
      </c>
      <c r="B2105" s="149" t="s">
        <v>23443</v>
      </c>
      <c r="C2105" s="153" t="s">
        <v>555</v>
      </c>
      <c r="D2105" s="154">
        <v>28344</v>
      </c>
      <c r="E2105" s="155">
        <v>44763</v>
      </c>
      <c r="F2105" s="154">
        <v>28344</v>
      </c>
      <c r="G2105" s="156">
        <f>Tabla18[[#This Row],[Importe]]-Tabla18[[#This Row],[Pagado]]</f>
        <v>0</v>
      </c>
      <c r="H2105" s="153" t="s">
        <v>10</v>
      </c>
    </row>
    <row r="2106" spans="1:8" x14ac:dyDescent="0.25">
      <c r="A2106" s="73">
        <v>44762</v>
      </c>
      <c r="B2106" s="74" t="s">
        <v>23444</v>
      </c>
      <c r="C2106" s="75" t="s">
        <v>555</v>
      </c>
      <c r="D2106" s="81">
        <v>1852.32</v>
      </c>
      <c r="E2106" s="151">
        <v>44763</v>
      </c>
      <c r="F2106" s="81">
        <v>1852.32</v>
      </c>
      <c r="G2106" s="156">
        <f>Tabla18[[#This Row],[Importe]]-Tabla18[[#This Row],[Pagado]]</f>
        <v>0</v>
      </c>
      <c r="H2106" s="75" t="s">
        <v>10</v>
      </c>
    </row>
    <row r="2107" spans="1:8" x14ac:dyDescent="0.25">
      <c r="A2107" s="148">
        <v>44762</v>
      </c>
      <c r="B2107" s="149" t="s">
        <v>23445</v>
      </c>
      <c r="C2107" s="153" t="s">
        <v>233</v>
      </c>
      <c r="D2107" s="154">
        <v>4712.7</v>
      </c>
      <c r="E2107" s="155">
        <v>44762</v>
      </c>
      <c r="F2107" s="154">
        <v>4712.7</v>
      </c>
      <c r="G2107" s="156">
        <f>Tabla18[[#This Row],[Importe]]-Tabla18[[#This Row],[Pagado]]</f>
        <v>0</v>
      </c>
      <c r="H2107" s="153" t="s">
        <v>10</v>
      </c>
    </row>
    <row r="2108" spans="1:8" x14ac:dyDescent="0.25">
      <c r="A2108" s="73">
        <v>44762</v>
      </c>
      <c r="B2108" s="74" t="s">
        <v>23446</v>
      </c>
      <c r="C2108" s="75" t="s">
        <v>31</v>
      </c>
      <c r="D2108" s="81">
        <v>1372.8</v>
      </c>
      <c r="E2108" s="151">
        <v>44762</v>
      </c>
      <c r="F2108" s="81">
        <v>1372.8</v>
      </c>
      <c r="G2108" s="156">
        <f>Tabla18[[#This Row],[Importe]]-Tabla18[[#This Row],[Pagado]]</f>
        <v>0</v>
      </c>
      <c r="H2108" s="75" t="s">
        <v>10</v>
      </c>
    </row>
    <row r="2109" spans="1:8" x14ac:dyDescent="0.25">
      <c r="A2109" s="148">
        <v>44762</v>
      </c>
      <c r="B2109" s="149" t="s">
        <v>23447</v>
      </c>
      <c r="C2109" s="153" t="s">
        <v>5816</v>
      </c>
      <c r="D2109" s="154">
        <v>12492</v>
      </c>
      <c r="E2109" s="155">
        <v>44763</v>
      </c>
      <c r="F2109" s="154">
        <v>12492</v>
      </c>
      <c r="G2109" s="156">
        <f>Tabla18[[#This Row],[Importe]]-Tabla18[[#This Row],[Pagado]]</f>
        <v>0</v>
      </c>
      <c r="H2109" s="153" t="s">
        <v>10</v>
      </c>
    </row>
    <row r="2110" spans="1:8" x14ac:dyDescent="0.25">
      <c r="A2110" s="73">
        <v>44762</v>
      </c>
      <c r="B2110" s="74" t="s">
        <v>23448</v>
      </c>
      <c r="C2110" s="75" t="s">
        <v>2139</v>
      </c>
      <c r="D2110" s="81">
        <v>5694</v>
      </c>
      <c r="E2110" s="151">
        <v>44762</v>
      </c>
      <c r="F2110" s="81">
        <v>5694</v>
      </c>
      <c r="G2110" s="156">
        <f>Tabla18[[#This Row],[Importe]]-Tabla18[[#This Row],[Pagado]]</f>
        <v>0</v>
      </c>
      <c r="H2110" s="75" t="s">
        <v>10</v>
      </c>
    </row>
    <row r="2111" spans="1:8" x14ac:dyDescent="0.25">
      <c r="A2111" s="148">
        <v>44762</v>
      </c>
      <c r="B2111" s="149" t="s">
        <v>23449</v>
      </c>
      <c r="C2111" s="153" t="s">
        <v>698</v>
      </c>
      <c r="D2111" s="154">
        <v>6462</v>
      </c>
      <c r="E2111" s="155">
        <v>44762</v>
      </c>
      <c r="F2111" s="154">
        <v>6462</v>
      </c>
      <c r="G2111" s="156">
        <f>Tabla18[[#This Row],[Importe]]-Tabla18[[#This Row],[Pagado]]</f>
        <v>0</v>
      </c>
      <c r="H2111" s="153" t="s">
        <v>10</v>
      </c>
    </row>
    <row r="2112" spans="1:8" x14ac:dyDescent="0.25">
      <c r="A2112" s="73">
        <v>44762</v>
      </c>
      <c r="B2112" s="74" t="s">
        <v>23450</v>
      </c>
      <c r="C2112" s="75" t="s">
        <v>541</v>
      </c>
      <c r="D2112" s="81">
        <v>97139.4</v>
      </c>
      <c r="E2112" s="151">
        <v>44763</v>
      </c>
      <c r="F2112" s="81">
        <v>97139.4</v>
      </c>
      <c r="G2112" s="156">
        <f>Tabla18[[#This Row],[Importe]]-Tabla18[[#This Row],[Pagado]]</f>
        <v>0</v>
      </c>
      <c r="H2112" s="75" t="s">
        <v>10</v>
      </c>
    </row>
    <row r="2113" spans="1:8" x14ac:dyDescent="0.25">
      <c r="A2113" s="148">
        <v>44762</v>
      </c>
      <c r="B2113" s="149" t="s">
        <v>23451</v>
      </c>
      <c r="C2113" s="153" t="s">
        <v>484</v>
      </c>
      <c r="D2113" s="154">
        <v>6037.2</v>
      </c>
      <c r="E2113" s="155">
        <v>44762</v>
      </c>
      <c r="F2113" s="154">
        <v>6037.2</v>
      </c>
      <c r="G2113" s="156">
        <f>Tabla18[[#This Row],[Importe]]-Tabla18[[#This Row],[Pagado]]</f>
        <v>0</v>
      </c>
      <c r="H2113" s="153" t="s">
        <v>10</v>
      </c>
    </row>
    <row r="2114" spans="1:8" x14ac:dyDescent="0.25">
      <c r="A2114" s="73">
        <v>44762</v>
      </c>
      <c r="B2114" s="74" t="s">
        <v>23452</v>
      </c>
      <c r="C2114" s="75" t="s">
        <v>212</v>
      </c>
      <c r="D2114" s="81">
        <v>51606.1</v>
      </c>
      <c r="E2114" s="151">
        <v>44765</v>
      </c>
      <c r="F2114" s="81">
        <v>51606.1</v>
      </c>
      <c r="G2114" s="156">
        <f>Tabla18[[#This Row],[Importe]]-Tabla18[[#This Row],[Pagado]]</f>
        <v>0</v>
      </c>
      <c r="H2114" s="75" t="s">
        <v>10</v>
      </c>
    </row>
    <row r="2115" spans="1:8" x14ac:dyDescent="0.25">
      <c r="A2115" s="148">
        <v>44762</v>
      </c>
      <c r="B2115" s="149" t="s">
        <v>23453</v>
      </c>
      <c r="C2115" s="153" t="s">
        <v>10954</v>
      </c>
      <c r="D2115" s="154">
        <v>0</v>
      </c>
      <c r="E2115" s="158" t="s">
        <v>189</v>
      </c>
      <c r="F2115" s="154">
        <v>0</v>
      </c>
      <c r="G2115" s="156">
        <f>Tabla18[[#This Row],[Importe]]-Tabla18[[#This Row],[Pagado]]</f>
        <v>0</v>
      </c>
      <c r="H2115" s="159" t="s">
        <v>23454</v>
      </c>
    </row>
    <row r="2116" spans="1:8" x14ac:dyDescent="0.25">
      <c r="A2116" s="73">
        <v>44762</v>
      </c>
      <c r="B2116" s="74" t="s">
        <v>23455</v>
      </c>
      <c r="C2116" s="75" t="s">
        <v>206</v>
      </c>
      <c r="D2116" s="81">
        <v>31969.1</v>
      </c>
      <c r="E2116" s="151">
        <v>44765</v>
      </c>
      <c r="F2116" s="81">
        <v>31969.1</v>
      </c>
      <c r="G2116" s="156">
        <f>Tabla18[[#This Row],[Importe]]-Tabla18[[#This Row],[Pagado]]</f>
        <v>0</v>
      </c>
      <c r="H2116" s="75" t="s">
        <v>10</v>
      </c>
    </row>
    <row r="2117" spans="1:8" x14ac:dyDescent="0.25">
      <c r="A2117" s="148">
        <v>44762</v>
      </c>
      <c r="B2117" s="149" t="s">
        <v>23456</v>
      </c>
      <c r="C2117" s="153" t="s">
        <v>218</v>
      </c>
      <c r="D2117" s="154">
        <v>16171.6</v>
      </c>
      <c r="E2117" s="155">
        <v>44765</v>
      </c>
      <c r="F2117" s="154">
        <v>16171.6</v>
      </c>
      <c r="G2117" s="156">
        <f>Tabla18[[#This Row],[Importe]]-Tabla18[[#This Row],[Pagado]]</f>
        <v>0</v>
      </c>
      <c r="H2117" s="153" t="s">
        <v>10</v>
      </c>
    </row>
    <row r="2118" spans="1:8" x14ac:dyDescent="0.25">
      <c r="A2118" s="73">
        <v>44762</v>
      </c>
      <c r="B2118" s="74" t="s">
        <v>23457</v>
      </c>
      <c r="C2118" s="75" t="s">
        <v>58</v>
      </c>
      <c r="D2118" s="81">
        <v>2934.1</v>
      </c>
      <c r="E2118" s="151">
        <v>44762</v>
      </c>
      <c r="F2118" s="81">
        <v>2934.1</v>
      </c>
      <c r="G2118" s="156">
        <f>Tabla18[[#This Row],[Importe]]-Tabla18[[#This Row],[Pagado]]</f>
        <v>0</v>
      </c>
      <c r="H2118" s="75" t="s">
        <v>10</v>
      </c>
    </row>
    <row r="2119" spans="1:8" x14ac:dyDescent="0.25">
      <c r="A2119" s="148">
        <v>44762</v>
      </c>
      <c r="B2119" s="149" t="s">
        <v>23458</v>
      </c>
      <c r="C2119" s="153" t="s">
        <v>133</v>
      </c>
      <c r="D2119" s="154">
        <v>13168</v>
      </c>
      <c r="E2119" s="155">
        <v>44763</v>
      </c>
      <c r="F2119" s="154">
        <v>13168</v>
      </c>
      <c r="G2119" s="156">
        <f>Tabla18[[#This Row],[Importe]]-Tabla18[[#This Row],[Pagado]]</f>
        <v>0</v>
      </c>
      <c r="H2119" s="153" t="s">
        <v>10</v>
      </c>
    </row>
    <row r="2120" spans="1:8" x14ac:dyDescent="0.25">
      <c r="A2120" s="73">
        <v>44762</v>
      </c>
      <c r="B2120" s="74" t="s">
        <v>23459</v>
      </c>
      <c r="C2120" s="75" t="s">
        <v>528</v>
      </c>
      <c r="D2120" s="81">
        <v>49760</v>
      </c>
      <c r="E2120" s="151">
        <v>44763</v>
      </c>
      <c r="F2120" s="81">
        <v>49760</v>
      </c>
      <c r="G2120" s="156">
        <f>Tabla18[[#This Row],[Importe]]-Tabla18[[#This Row],[Pagado]]</f>
        <v>0</v>
      </c>
      <c r="H2120" s="75" t="s">
        <v>10</v>
      </c>
    </row>
    <row r="2121" spans="1:8" x14ac:dyDescent="0.25">
      <c r="A2121" s="148">
        <v>44762</v>
      </c>
      <c r="B2121" s="149" t="s">
        <v>23460</v>
      </c>
      <c r="C2121" s="153" t="s">
        <v>154</v>
      </c>
      <c r="D2121" s="154">
        <v>44956.1</v>
      </c>
      <c r="E2121" s="155">
        <v>44765</v>
      </c>
      <c r="F2121" s="154">
        <v>44956.1</v>
      </c>
      <c r="G2121" s="156">
        <f>Tabla18[[#This Row],[Importe]]-Tabla18[[#This Row],[Pagado]]</f>
        <v>0</v>
      </c>
      <c r="H2121" s="153" t="s">
        <v>10</v>
      </c>
    </row>
    <row r="2122" spans="1:8" x14ac:dyDescent="0.25">
      <c r="A2122" s="73">
        <v>44762</v>
      </c>
      <c r="B2122" s="74" t="s">
        <v>23461</v>
      </c>
      <c r="C2122" s="75" t="s">
        <v>421</v>
      </c>
      <c r="D2122" s="81">
        <v>11033</v>
      </c>
      <c r="E2122" s="151">
        <v>44771</v>
      </c>
      <c r="F2122" s="81">
        <v>11033</v>
      </c>
      <c r="G2122" s="156">
        <f>Tabla18[[#This Row],[Importe]]-Tabla18[[#This Row],[Pagado]]</f>
        <v>0</v>
      </c>
      <c r="H2122" s="75" t="s">
        <v>10</v>
      </c>
    </row>
    <row r="2123" spans="1:8" x14ac:dyDescent="0.25">
      <c r="A2123" s="148">
        <v>44762</v>
      </c>
      <c r="B2123" s="149" t="s">
        <v>23462</v>
      </c>
      <c r="C2123" s="153" t="s">
        <v>15868</v>
      </c>
      <c r="D2123" s="154">
        <v>48568</v>
      </c>
      <c r="E2123" s="155">
        <v>44763</v>
      </c>
      <c r="F2123" s="154">
        <v>48568</v>
      </c>
      <c r="G2123" s="156">
        <f>Tabla18[[#This Row],[Importe]]-Tabla18[[#This Row],[Pagado]]</f>
        <v>0</v>
      </c>
      <c r="H2123" s="153" t="s">
        <v>10</v>
      </c>
    </row>
    <row r="2124" spans="1:8" x14ac:dyDescent="0.25">
      <c r="A2124" s="73">
        <v>44762</v>
      </c>
      <c r="B2124" s="74" t="s">
        <v>23463</v>
      </c>
      <c r="C2124" s="75" t="s">
        <v>22</v>
      </c>
      <c r="D2124" s="81">
        <v>7285.2</v>
      </c>
      <c r="E2124" s="151">
        <v>44763</v>
      </c>
      <c r="F2124" s="81">
        <v>7285.2</v>
      </c>
      <c r="G2124" s="156">
        <f>Tabla18[[#This Row],[Importe]]-Tabla18[[#This Row],[Pagado]]</f>
        <v>0</v>
      </c>
      <c r="H2124" s="75" t="s">
        <v>10</v>
      </c>
    </row>
    <row r="2125" spans="1:8" x14ac:dyDescent="0.25">
      <c r="A2125" s="148">
        <v>44762</v>
      </c>
      <c r="B2125" s="149" t="s">
        <v>23464</v>
      </c>
      <c r="C2125" s="153" t="s">
        <v>4136</v>
      </c>
      <c r="D2125" s="154">
        <v>2485.6999999999998</v>
      </c>
      <c r="E2125" s="155">
        <v>44762</v>
      </c>
      <c r="F2125" s="154">
        <v>2485.6999999999998</v>
      </c>
      <c r="G2125" s="156">
        <f>Tabla18[[#This Row],[Importe]]-Tabla18[[#This Row],[Pagado]]</f>
        <v>0</v>
      </c>
      <c r="H2125" s="153" t="s">
        <v>10</v>
      </c>
    </row>
    <row r="2126" spans="1:8" x14ac:dyDescent="0.25">
      <c r="A2126" s="73">
        <v>44762</v>
      </c>
      <c r="B2126" s="74" t="s">
        <v>23465</v>
      </c>
      <c r="C2126" s="75" t="s">
        <v>419</v>
      </c>
      <c r="D2126" s="81">
        <v>6574.7</v>
      </c>
      <c r="E2126" s="151">
        <v>44762</v>
      </c>
      <c r="F2126" s="81">
        <v>6574.7</v>
      </c>
      <c r="G2126" s="156">
        <f>Tabla18[[#This Row],[Importe]]-Tabla18[[#This Row],[Pagado]]</f>
        <v>0</v>
      </c>
      <c r="H2126" s="75" t="s">
        <v>10</v>
      </c>
    </row>
    <row r="2127" spans="1:8" x14ac:dyDescent="0.25">
      <c r="A2127" s="148">
        <v>44762</v>
      </c>
      <c r="B2127" s="149" t="s">
        <v>23466</v>
      </c>
      <c r="C2127" s="153" t="s">
        <v>214</v>
      </c>
      <c r="D2127" s="154">
        <v>1458.6</v>
      </c>
      <c r="E2127" s="155">
        <v>44762</v>
      </c>
      <c r="F2127" s="154">
        <v>1458.6</v>
      </c>
      <c r="G2127" s="156">
        <f>Tabla18[[#This Row],[Importe]]-Tabla18[[#This Row],[Pagado]]</f>
        <v>0</v>
      </c>
      <c r="H2127" s="153" t="s">
        <v>10</v>
      </c>
    </row>
    <row r="2128" spans="1:8" x14ac:dyDescent="0.25">
      <c r="A2128" s="73">
        <v>44762</v>
      </c>
      <c r="B2128" s="74" t="s">
        <v>23467</v>
      </c>
      <c r="C2128" s="75" t="s">
        <v>1174</v>
      </c>
      <c r="D2128" s="81">
        <v>27070.400000000001</v>
      </c>
      <c r="E2128" s="151">
        <v>44762</v>
      </c>
      <c r="F2128" s="81">
        <v>27070.400000000001</v>
      </c>
      <c r="G2128" s="156">
        <f>Tabla18[[#This Row],[Importe]]-Tabla18[[#This Row],[Pagado]]</f>
        <v>0</v>
      </c>
      <c r="H2128" s="75" t="s">
        <v>10</v>
      </c>
    </row>
    <row r="2129" spans="1:8" x14ac:dyDescent="0.25">
      <c r="A2129" s="148">
        <v>44762</v>
      </c>
      <c r="B2129" s="149" t="s">
        <v>23468</v>
      </c>
      <c r="C2129" s="153" t="s">
        <v>9827</v>
      </c>
      <c r="D2129" s="154">
        <v>3283.8</v>
      </c>
      <c r="E2129" s="155">
        <v>44762</v>
      </c>
      <c r="F2129" s="154">
        <v>3283.8</v>
      </c>
      <c r="G2129" s="156">
        <f>Tabla18[[#This Row],[Importe]]-Tabla18[[#This Row],[Pagado]]</f>
        <v>0</v>
      </c>
      <c r="H2129" s="153" t="s">
        <v>10</v>
      </c>
    </row>
    <row r="2130" spans="1:8" x14ac:dyDescent="0.25">
      <c r="A2130" s="73">
        <v>44762</v>
      </c>
      <c r="B2130" s="74" t="s">
        <v>23469</v>
      </c>
      <c r="C2130" s="75" t="s">
        <v>91</v>
      </c>
      <c r="D2130" s="81">
        <v>780</v>
      </c>
      <c r="E2130" s="151">
        <v>44765</v>
      </c>
      <c r="F2130" s="81">
        <v>780</v>
      </c>
      <c r="G2130" s="156">
        <f>Tabla18[[#This Row],[Importe]]-Tabla18[[#This Row],[Pagado]]</f>
        <v>0</v>
      </c>
      <c r="H2130" s="75" t="s">
        <v>10</v>
      </c>
    </row>
    <row r="2131" spans="1:8" x14ac:dyDescent="0.25">
      <c r="A2131" s="148">
        <v>44762</v>
      </c>
      <c r="B2131" s="149" t="s">
        <v>23470</v>
      </c>
      <c r="C2131" s="153" t="s">
        <v>181</v>
      </c>
      <c r="D2131" s="154">
        <v>16070.4</v>
      </c>
      <c r="E2131" s="155">
        <v>44763</v>
      </c>
      <c r="F2131" s="154">
        <v>16070.4</v>
      </c>
      <c r="G2131" s="156">
        <f>Tabla18[[#This Row],[Importe]]-Tabla18[[#This Row],[Pagado]]</f>
        <v>0</v>
      </c>
      <c r="H2131" s="153" t="s">
        <v>10</v>
      </c>
    </row>
    <row r="2132" spans="1:8" x14ac:dyDescent="0.25">
      <c r="A2132" s="73">
        <v>44762</v>
      </c>
      <c r="B2132" s="74" t="s">
        <v>23471</v>
      </c>
      <c r="C2132" s="75" t="s">
        <v>175</v>
      </c>
      <c r="D2132" s="81">
        <v>17757.7</v>
      </c>
      <c r="E2132" s="151">
        <v>44763</v>
      </c>
      <c r="F2132" s="81">
        <v>17757.7</v>
      </c>
      <c r="G2132" s="156">
        <f>Tabla18[[#This Row],[Importe]]-Tabla18[[#This Row],[Pagado]]</f>
        <v>0</v>
      </c>
      <c r="H2132" s="75" t="s">
        <v>10</v>
      </c>
    </row>
    <row r="2133" spans="1:8" x14ac:dyDescent="0.25">
      <c r="A2133" s="148">
        <v>44762</v>
      </c>
      <c r="B2133" s="149" t="s">
        <v>23472</v>
      </c>
      <c r="C2133" s="153" t="s">
        <v>200</v>
      </c>
      <c r="D2133" s="154">
        <v>1224.5999999999999</v>
      </c>
      <c r="E2133" s="155">
        <v>44763</v>
      </c>
      <c r="F2133" s="154">
        <v>1224.5999999999999</v>
      </c>
      <c r="G2133" s="156">
        <f>Tabla18[[#This Row],[Importe]]-Tabla18[[#This Row],[Pagado]]</f>
        <v>0</v>
      </c>
      <c r="H2133" s="153" t="s">
        <v>10</v>
      </c>
    </row>
    <row r="2134" spans="1:8" x14ac:dyDescent="0.25">
      <c r="A2134" s="73">
        <v>44762</v>
      </c>
      <c r="B2134" s="74" t="s">
        <v>23473</v>
      </c>
      <c r="C2134" s="75" t="s">
        <v>10819</v>
      </c>
      <c r="D2134" s="81">
        <v>836.2</v>
      </c>
      <c r="E2134" s="151">
        <v>44763</v>
      </c>
      <c r="F2134" s="81">
        <v>836.2</v>
      </c>
      <c r="G2134" s="156">
        <f>Tabla18[[#This Row],[Importe]]-Tabla18[[#This Row],[Pagado]]</f>
        <v>0</v>
      </c>
      <c r="H2134" s="75" t="s">
        <v>10</v>
      </c>
    </row>
    <row r="2135" spans="1:8" x14ac:dyDescent="0.25">
      <c r="A2135" s="148">
        <v>44762</v>
      </c>
      <c r="B2135" s="149" t="s">
        <v>23474</v>
      </c>
      <c r="C2135" s="153" t="s">
        <v>284</v>
      </c>
      <c r="D2135" s="154">
        <v>9204</v>
      </c>
      <c r="E2135" s="155">
        <v>44763</v>
      </c>
      <c r="F2135" s="154">
        <v>9204</v>
      </c>
      <c r="G2135" s="156">
        <f>Tabla18[[#This Row],[Importe]]-Tabla18[[#This Row],[Pagado]]</f>
        <v>0</v>
      </c>
      <c r="H2135" s="153" t="s">
        <v>10</v>
      </c>
    </row>
    <row r="2136" spans="1:8" x14ac:dyDescent="0.25">
      <c r="A2136" s="73">
        <v>44762</v>
      </c>
      <c r="B2136" s="74" t="s">
        <v>23475</v>
      </c>
      <c r="C2136" s="75" t="s">
        <v>5345</v>
      </c>
      <c r="D2136" s="81">
        <v>2792.4</v>
      </c>
      <c r="E2136" s="151">
        <v>44763</v>
      </c>
      <c r="F2136" s="81">
        <v>2792.4</v>
      </c>
      <c r="G2136" s="156">
        <f>Tabla18[[#This Row],[Importe]]-Tabla18[[#This Row],[Pagado]]</f>
        <v>0</v>
      </c>
      <c r="H2136" s="75" t="s">
        <v>10</v>
      </c>
    </row>
    <row r="2137" spans="1:8" x14ac:dyDescent="0.25">
      <c r="A2137" s="148">
        <v>44762</v>
      </c>
      <c r="B2137" s="149" t="s">
        <v>23476</v>
      </c>
      <c r="C2137" s="153" t="s">
        <v>280</v>
      </c>
      <c r="D2137" s="154">
        <v>1302.5999999999999</v>
      </c>
      <c r="E2137" s="155">
        <v>44763</v>
      </c>
      <c r="F2137" s="154">
        <v>1302.5999999999999</v>
      </c>
      <c r="G2137" s="156">
        <f>Tabla18[[#This Row],[Importe]]-Tabla18[[#This Row],[Pagado]]</f>
        <v>0</v>
      </c>
      <c r="H2137" s="153" t="s">
        <v>10</v>
      </c>
    </row>
    <row r="2138" spans="1:8" x14ac:dyDescent="0.25">
      <c r="A2138" s="73">
        <v>44762</v>
      </c>
      <c r="B2138" s="74" t="s">
        <v>23477</v>
      </c>
      <c r="C2138" s="75" t="s">
        <v>282</v>
      </c>
      <c r="D2138" s="81">
        <v>1466.4</v>
      </c>
      <c r="E2138" s="151">
        <v>44763</v>
      </c>
      <c r="F2138" s="81">
        <v>1466.4</v>
      </c>
      <c r="G2138" s="156">
        <f>Tabla18[[#This Row],[Importe]]-Tabla18[[#This Row],[Pagado]]</f>
        <v>0</v>
      </c>
      <c r="H2138" s="75" t="s">
        <v>10</v>
      </c>
    </row>
    <row r="2139" spans="1:8" x14ac:dyDescent="0.25">
      <c r="A2139" s="148">
        <v>44762</v>
      </c>
      <c r="B2139" s="149" t="s">
        <v>23478</v>
      </c>
      <c r="C2139" s="153" t="s">
        <v>1265</v>
      </c>
      <c r="D2139" s="154">
        <v>696.6</v>
      </c>
      <c r="E2139" s="155">
        <v>44762</v>
      </c>
      <c r="F2139" s="154">
        <v>696.6</v>
      </c>
      <c r="G2139" s="156">
        <f>Tabla18[[#This Row],[Importe]]-Tabla18[[#This Row],[Pagado]]</f>
        <v>0</v>
      </c>
      <c r="H2139" s="153" t="s">
        <v>10</v>
      </c>
    </row>
    <row r="2140" spans="1:8" x14ac:dyDescent="0.25">
      <c r="A2140" s="73">
        <v>44762</v>
      </c>
      <c r="B2140" s="74" t="s">
        <v>23479</v>
      </c>
      <c r="C2140" s="75" t="s">
        <v>14</v>
      </c>
      <c r="D2140" s="81">
        <v>11437</v>
      </c>
      <c r="E2140" s="151">
        <v>44762</v>
      </c>
      <c r="F2140" s="81">
        <v>11437</v>
      </c>
      <c r="G2140" s="156">
        <f>Tabla18[[#This Row],[Importe]]-Tabla18[[#This Row],[Pagado]]</f>
        <v>0</v>
      </c>
      <c r="H2140" s="75" t="s">
        <v>10</v>
      </c>
    </row>
    <row r="2141" spans="1:8" x14ac:dyDescent="0.25">
      <c r="A2141" s="148">
        <v>44762</v>
      </c>
      <c r="B2141" s="149" t="s">
        <v>23480</v>
      </c>
      <c r="C2141" s="153" t="s">
        <v>605</v>
      </c>
      <c r="D2141" s="154">
        <v>52786.400000000001</v>
      </c>
      <c r="E2141" s="155">
        <v>44763</v>
      </c>
      <c r="F2141" s="154">
        <v>52786.400000000001</v>
      </c>
      <c r="G2141" s="156">
        <f>Tabla18[[#This Row],[Importe]]-Tabla18[[#This Row],[Pagado]]</f>
        <v>0</v>
      </c>
      <c r="H2141" s="153" t="s">
        <v>10</v>
      </c>
    </row>
    <row r="2142" spans="1:8" x14ac:dyDescent="0.25">
      <c r="A2142" s="73">
        <v>44762</v>
      </c>
      <c r="B2142" s="74" t="s">
        <v>23481</v>
      </c>
      <c r="C2142" s="75" t="s">
        <v>1008</v>
      </c>
      <c r="D2142" s="81">
        <v>750</v>
      </c>
      <c r="E2142" s="151">
        <v>44762</v>
      </c>
      <c r="F2142" s="81">
        <v>750</v>
      </c>
      <c r="G2142" s="156">
        <f>Tabla18[[#This Row],[Importe]]-Tabla18[[#This Row],[Pagado]]</f>
        <v>0</v>
      </c>
      <c r="H2142" s="75" t="s">
        <v>10</v>
      </c>
    </row>
    <row r="2143" spans="1:8" x14ac:dyDescent="0.25">
      <c r="A2143" s="148">
        <v>44762</v>
      </c>
      <c r="B2143" s="149" t="s">
        <v>23482</v>
      </c>
      <c r="C2143" s="153" t="s">
        <v>463</v>
      </c>
      <c r="D2143" s="154">
        <v>67</v>
      </c>
      <c r="E2143" s="155">
        <v>44762</v>
      </c>
      <c r="F2143" s="154">
        <v>67</v>
      </c>
      <c r="G2143" s="156">
        <f>Tabla18[[#This Row],[Importe]]-Tabla18[[#This Row],[Pagado]]</f>
        <v>0</v>
      </c>
      <c r="H2143" s="153" t="s">
        <v>10</v>
      </c>
    </row>
    <row r="2144" spans="1:8" x14ac:dyDescent="0.25">
      <c r="A2144" s="73">
        <v>44762</v>
      </c>
      <c r="B2144" s="74" t="s">
        <v>23483</v>
      </c>
      <c r="C2144" s="75" t="s">
        <v>463</v>
      </c>
      <c r="D2144" s="81">
        <v>53</v>
      </c>
      <c r="E2144" s="151">
        <v>44762</v>
      </c>
      <c r="F2144" s="81">
        <v>53</v>
      </c>
      <c r="G2144" s="156">
        <f>Tabla18[[#This Row],[Importe]]-Tabla18[[#This Row],[Pagado]]</f>
        <v>0</v>
      </c>
      <c r="H2144" s="75" t="s">
        <v>10</v>
      </c>
    </row>
    <row r="2145" spans="1:8" x14ac:dyDescent="0.25">
      <c r="A2145" s="148">
        <v>44762</v>
      </c>
      <c r="B2145" s="149" t="s">
        <v>23484</v>
      </c>
      <c r="C2145" s="153" t="s">
        <v>450</v>
      </c>
      <c r="D2145" s="154">
        <v>542.79999999999995</v>
      </c>
      <c r="E2145" s="155">
        <v>44762</v>
      </c>
      <c r="F2145" s="154">
        <v>542.79999999999995</v>
      </c>
      <c r="G2145" s="156">
        <f>Tabla18[[#This Row],[Importe]]-Tabla18[[#This Row],[Pagado]]</f>
        <v>0</v>
      </c>
      <c r="H2145" s="153" t="s">
        <v>10</v>
      </c>
    </row>
    <row r="2146" spans="1:8" x14ac:dyDescent="0.25">
      <c r="A2146" s="73">
        <v>44762</v>
      </c>
      <c r="B2146" s="74" t="s">
        <v>23485</v>
      </c>
      <c r="C2146" s="75" t="s">
        <v>7313</v>
      </c>
      <c r="D2146" s="81">
        <v>58486.2</v>
      </c>
      <c r="E2146" s="151">
        <v>44762</v>
      </c>
      <c r="F2146" s="81">
        <v>58486.2</v>
      </c>
      <c r="G2146" s="156">
        <f>Tabla18[[#This Row],[Importe]]-Tabla18[[#This Row],[Pagado]]</f>
        <v>0</v>
      </c>
      <c r="H2146" s="75" t="s">
        <v>10</v>
      </c>
    </row>
    <row r="2147" spans="1:8" x14ac:dyDescent="0.25">
      <c r="A2147" s="148">
        <v>44762</v>
      </c>
      <c r="B2147" s="149" t="s">
        <v>23486</v>
      </c>
      <c r="C2147" s="153" t="s">
        <v>191</v>
      </c>
      <c r="D2147" s="154">
        <v>646.79999999999995</v>
      </c>
      <c r="E2147" s="155">
        <v>44762</v>
      </c>
      <c r="F2147" s="154">
        <v>646.79999999999995</v>
      </c>
      <c r="G2147" s="156">
        <f>Tabla18[[#This Row],[Importe]]-Tabla18[[#This Row],[Pagado]]</f>
        <v>0</v>
      </c>
      <c r="H2147" s="153" t="s">
        <v>10</v>
      </c>
    </row>
    <row r="2148" spans="1:8" x14ac:dyDescent="0.25">
      <c r="A2148" s="73">
        <v>44762</v>
      </c>
      <c r="B2148" s="74" t="s">
        <v>23487</v>
      </c>
      <c r="C2148" s="75" t="s">
        <v>31</v>
      </c>
      <c r="D2148" s="81">
        <v>91.3</v>
      </c>
      <c r="E2148" s="151">
        <v>44762</v>
      </c>
      <c r="F2148" s="81">
        <v>91.3</v>
      </c>
      <c r="G2148" s="156">
        <f>Tabla18[[#This Row],[Importe]]-Tabla18[[#This Row],[Pagado]]</f>
        <v>0</v>
      </c>
      <c r="H2148" s="75" t="s">
        <v>10</v>
      </c>
    </row>
    <row r="2149" spans="1:8" x14ac:dyDescent="0.25">
      <c r="A2149" s="148">
        <v>44762</v>
      </c>
      <c r="B2149" s="149" t="s">
        <v>23488</v>
      </c>
      <c r="C2149" s="153" t="s">
        <v>409</v>
      </c>
      <c r="D2149" s="154">
        <v>6465</v>
      </c>
      <c r="E2149" s="155">
        <v>44764</v>
      </c>
      <c r="F2149" s="154">
        <v>6465</v>
      </c>
      <c r="G2149" s="156">
        <f>Tabla18[[#This Row],[Importe]]-Tabla18[[#This Row],[Pagado]]</f>
        <v>0</v>
      </c>
      <c r="H2149" s="153" t="s">
        <v>10</v>
      </c>
    </row>
    <row r="2150" spans="1:8" x14ac:dyDescent="0.25">
      <c r="A2150" s="73">
        <v>44762</v>
      </c>
      <c r="B2150" s="74" t="s">
        <v>23489</v>
      </c>
      <c r="C2150" s="75" t="s">
        <v>127</v>
      </c>
      <c r="D2150" s="81">
        <v>4542.6000000000004</v>
      </c>
      <c r="E2150" s="151">
        <v>44762</v>
      </c>
      <c r="F2150" s="81">
        <v>4542.6000000000004</v>
      </c>
      <c r="G2150" s="156">
        <f>Tabla18[[#This Row],[Importe]]-Tabla18[[#This Row],[Pagado]]</f>
        <v>0</v>
      </c>
      <c r="H2150" s="75" t="s">
        <v>10</v>
      </c>
    </row>
    <row r="2151" spans="1:8" x14ac:dyDescent="0.25">
      <c r="A2151" s="148">
        <v>44762</v>
      </c>
      <c r="B2151" s="149" t="s">
        <v>23490</v>
      </c>
      <c r="C2151" s="153" t="s">
        <v>31</v>
      </c>
      <c r="D2151" s="154">
        <v>1808</v>
      </c>
      <c r="E2151" s="155">
        <v>44762</v>
      </c>
      <c r="F2151" s="154">
        <v>1808</v>
      </c>
      <c r="G2151" s="156">
        <f>Tabla18[[#This Row],[Importe]]-Tabla18[[#This Row],[Pagado]]</f>
        <v>0</v>
      </c>
      <c r="H2151" s="153" t="s">
        <v>10</v>
      </c>
    </row>
    <row r="2152" spans="1:8" x14ac:dyDescent="0.25">
      <c r="A2152" s="73">
        <v>44762</v>
      </c>
      <c r="B2152" s="74" t="s">
        <v>23491</v>
      </c>
      <c r="C2152" s="75" t="s">
        <v>610</v>
      </c>
      <c r="D2152" s="81">
        <v>24137.599999999999</v>
      </c>
      <c r="E2152" s="151">
        <v>44762</v>
      </c>
      <c r="F2152" s="81">
        <v>24137.599999999999</v>
      </c>
      <c r="G2152" s="156">
        <f>Tabla18[[#This Row],[Importe]]-Tabla18[[#This Row],[Pagado]]</f>
        <v>0</v>
      </c>
      <c r="H2152" s="75" t="s">
        <v>10</v>
      </c>
    </row>
    <row r="2153" spans="1:8" x14ac:dyDescent="0.25">
      <c r="A2153" s="148">
        <v>44762</v>
      </c>
      <c r="B2153" s="149" t="s">
        <v>23492</v>
      </c>
      <c r="C2153" s="153" t="s">
        <v>402</v>
      </c>
      <c r="D2153" s="154">
        <v>21194.6</v>
      </c>
      <c r="E2153" s="155">
        <v>44768</v>
      </c>
      <c r="F2153" s="154">
        <v>21194.6</v>
      </c>
      <c r="G2153" s="156">
        <f>Tabla18[[#This Row],[Importe]]-Tabla18[[#This Row],[Pagado]]</f>
        <v>0</v>
      </c>
      <c r="H2153" s="153" t="s">
        <v>10</v>
      </c>
    </row>
    <row r="2154" spans="1:8" x14ac:dyDescent="0.25">
      <c r="A2154" s="73">
        <v>44762</v>
      </c>
      <c r="B2154" s="74" t="s">
        <v>23493</v>
      </c>
      <c r="C2154" s="75" t="s">
        <v>291</v>
      </c>
      <c r="D2154" s="81">
        <v>2960</v>
      </c>
      <c r="E2154" s="151">
        <v>44763</v>
      </c>
      <c r="F2154" s="81">
        <v>2960</v>
      </c>
      <c r="G2154" s="156">
        <f>Tabla18[[#This Row],[Importe]]-Tabla18[[#This Row],[Pagado]]</f>
        <v>0</v>
      </c>
      <c r="H2154" s="75" t="s">
        <v>10</v>
      </c>
    </row>
    <row r="2155" spans="1:8" x14ac:dyDescent="0.25">
      <c r="A2155" s="148">
        <v>44762</v>
      </c>
      <c r="B2155" s="149" t="s">
        <v>23494</v>
      </c>
      <c r="C2155" s="153" t="s">
        <v>296</v>
      </c>
      <c r="D2155" s="154">
        <v>1263.5999999999999</v>
      </c>
      <c r="E2155" s="155">
        <v>44762</v>
      </c>
      <c r="F2155" s="154">
        <v>1263.5999999999999</v>
      </c>
      <c r="G2155" s="156">
        <f>Tabla18[[#This Row],[Importe]]-Tabla18[[#This Row],[Pagado]]</f>
        <v>0</v>
      </c>
      <c r="H2155" s="153" t="s">
        <v>10</v>
      </c>
    </row>
    <row r="2156" spans="1:8" x14ac:dyDescent="0.25">
      <c r="A2156" s="73">
        <v>44762</v>
      </c>
      <c r="B2156" s="74" t="s">
        <v>23495</v>
      </c>
      <c r="C2156" s="75" t="s">
        <v>9577</v>
      </c>
      <c r="D2156" s="81">
        <v>32444</v>
      </c>
      <c r="E2156" s="151">
        <v>44763</v>
      </c>
      <c r="F2156" s="81">
        <v>32444</v>
      </c>
      <c r="G2156" s="156">
        <f>Tabla18[[#This Row],[Importe]]-Tabla18[[#This Row],[Pagado]]</f>
        <v>0</v>
      </c>
      <c r="H2156" s="75" t="s">
        <v>10</v>
      </c>
    </row>
    <row r="2157" spans="1:8" x14ac:dyDescent="0.25">
      <c r="A2157" s="148">
        <v>44763</v>
      </c>
      <c r="B2157" s="149" t="s">
        <v>23496</v>
      </c>
      <c r="C2157" s="153" t="s">
        <v>20</v>
      </c>
      <c r="D2157" s="154">
        <v>3400</v>
      </c>
      <c r="E2157" s="155">
        <v>44763</v>
      </c>
      <c r="F2157" s="154">
        <v>3400</v>
      </c>
      <c r="G2157" s="156">
        <f>Tabla18[[#This Row],[Importe]]-Tabla18[[#This Row],[Pagado]]</f>
        <v>0</v>
      </c>
      <c r="H2157" s="153" t="s">
        <v>10</v>
      </c>
    </row>
    <row r="2158" spans="1:8" x14ac:dyDescent="0.25">
      <c r="A2158" s="73">
        <v>44763</v>
      </c>
      <c r="B2158" s="74" t="s">
        <v>23497</v>
      </c>
      <c r="C2158" s="75" t="s">
        <v>887</v>
      </c>
      <c r="D2158" s="81">
        <v>13827</v>
      </c>
      <c r="E2158" s="151">
        <v>44763</v>
      </c>
      <c r="F2158" s="81">
        <v>13827</v>
      </c>
      <c r="G2158" s="156">
        <f>Tabla18[[#This Row],[Importe]]-Tabla18[[#This Row],[Pagado]]</f>
        <v>0</v>
      </c>
      <c r="H2158" s="75" t="s">
        <v>10</v>
      </c>
    </row>
    <row r="2159" spans="1:8" x14ac:dyDescent="0.25">
      <c r="A2159" s="148">
        <v>44763</v>
      </c>
      <c r="B2159" s="149" t="s">
        <v>23498</v>
      </c>
      <c r="C2159" s="153" t="s">
        <v>475</v>
      </c>
      <c r="D2159" s="154">
        <v>71214.2</v>
      </c>
      <c r="E2159" s="155">
        <v>44764</v>
      </c>
      <c r="F2159" s="154">
        <v>71214.2</v>
      </c>
      <c r="G2159" s="156">
        <f>Tabla18[[#This Row],[Importe]]-Tabla18[[#This Row],[Pagado]]</f>
        <v>0</v>
      </c>
      <c r="H2159" s="153" t="s">
        <v>10</v>
      </c>
    </row>
    <row r="2160" spans="1:8" x14ac:dyDescent="0.25">
      <c r="A2160" s="73">
        <v>44763</v>
      </c>
      <c r="B2160" s="74" t="s">
        <v>23499</v>
      </c>
      <c r="C2160" s="75" t="s">
        <v>473</v>
      </c>
      <c r="D2160" s="81">
        <v>6220.5</v>
      </c>
      <c r="E2160" s="151">
        <v>44763</v>
      </c>
      <c r="F2160" s="81">
        <v>6220.5</v>
      </c>
      <c r="G2160" s="156">
        <f>Tabla18[[#This Row],[Importe]]-Tabla18[[#This Row],[Pagado]]</f>
        <v>0</v>
      </c>
      <c r="H2160" s="75" t="s">
        <v>10</v>
      </c>
    </row>
    <row r="2161" spans="1:8" x14ac:dyDescent="0.25">
      <c r="A2161" s="148">
        <v>44763</v>
      </c>
      <c r="B2161" s="149" t="s">
        <v>23500</v>
      </c>
      <c r="C2161" s="153" t="s">
        <v>618</v>
      </c>
      <c r="D2161" s="154">
        <v>10941.9</v>
      </c>
      <c r="E2161" s="155">
        <v>44763</v>
      </c>
      <c r="F2161" s="154">
        <v>10941.9</v>
      </c>
      <c r="G2161" s="156">
        <f>Tabla18[[#This Row],[Importe]]-Tabla18[[#This Row],[Pagado]]</f>
        <v>0</v>
      </c>
      <c r="H2161" s="153" t="s">
        <v>10</v>
      </c>
    </row>
    <row r="2162" spans="1:8" x14ac:dyDescent="0.25">
      <c r="A2162" s="73">
        <v>44763</v>
      </c>
      <c r="B2162" s="74" t="s">
        <v>23501</v>
      </c>
      <c r="C2162" s="75" t="s">
        <v>75</v>
      </c>
      <c r="D2162" s="81">
        <v>8576</v>
      </c>
      <c r="E2162" s="151">
        <v>44763</v>
      </c>
      <c r="F2162" s="81">
        <v>8576</v>
      </c>
      <c r="G2162" s="156">
        <f>Tabla18[[#This Row],[Importe]]-Tabla18[[#This Row],[Pagado]]</f>
        <v>0</v>
      </c>
      <c r="H2162" s="75" t="s">
        <v>10</v>
      </c>
    </row>
    <row r="2163" spans="1:8" x14ac:dyDescent="0.25">
      <c r="A2163" s="148">
        <v>44763</v>
      </c>
      <c r="B2163" s="149" t="s">
        <v>23502</v>
      </c>
      <c r="C2163" s="153" t="s">
        <v>85</v>
      </c>
      <c r="D2163" s="154">
        <v>1500</v>
      </c>
      <c r="E2163" s="155">
        <v>44763</v>
      </c>
      <c r="F2163" s="154">
        <v>1500</v>
      </c>
      <c r="G2163" s="156">
        <f>Tabla18[[#This Row],[Importe]]-Tabla18[[#This Row],[Pagado]]</f>
        <v>0</v>
      </c>
      <c r="H2163" s="153" t="s">
        <v>10</v>
      </c>
    </row>
    <row r="2164" spans="1:8" x14ac:dyDescent="0.25">
      <c r="A2164" s="73">
        <v>44763</v>
      </c>
      <c r="B2164" s="74" t="s">
        <v>23503</v>
      </c>
      <c r="C2164" s="75" t="s">
        <v>109</v>
      </c>
      <c r="D2164" s="81">
        <v>5299.2</v>
      </c>
      <c r="E2164" s="151">
        <v>44764</v>
      </c>
      <c r="F2164" s="81">
        <v>5299.2</v>
      </c>
      <c r="G2164" s="156">
        <f>Tabla18[[#This Row],[Importe]]-Tabla18[[#This Row],[Pagado]]</f>
        <v>0</v>
      </c>
      <c r="H2164" s="75" t="s">
        <v>10</v>
      </c>
    </row>
    <row r="2165" spans="1:8" x14ac:dyDescent="0.25">
      <c r="A2165" s="148">
        <v>44763</v>
      </c>
      <c r="B2165" s="149" t="s">
        <v>23504</v>
      </c>
      <c r="C2165" s="153" t="s">
        <v>97</v>
      </c>
      <c r="D2165" s="154">
        <v>5121.6000000000004</v>
      </c>
      <c r="E2165" s="155">
        <v>44764</v>
      </c>
      <c r="F2165" s="154">
        <v>5121.6000000000004</v>
      </c>
      <c r="G2165" s="156">
        <f>Tabla18[[#This Row],[Importe]]-Tabla18[[#This Row],[Pagado]]</f>
        <v>0</v>
      </c>
      <c r="H2165" s="153" t="s">
        <v>10</v>
      </c>
    </row>
    <row r="2166" spans="1:8" x14ac:dyDescent="0.25">
      <c r="A2166" s="73">
        <v>44763</v>
      </c>
      <c r="B2166" s="74" t="s">
        <v>23505</v>
      </c>
      <c r="C2166" s="75" t="s">
        <v>111</v>
      </c>
      <c r="D2166" s="81">
        <v>4883.2</v>
      </c>
      <c r="E2166" s="151">
        <v>44764</v>
      </c>
      <c r="F2166" s="81">
        <v>4883.2</v>
      </c>
      <c r="G2166" s="156">
        <f>Tabla18[[#This Row],[Importe]]-Tabla18[[#This Row],[Pagado]]</f>
        <v>0</v>
      </c>
      <c r="H2166" s="75" t="s">
        <v>10</v>
      </c>
    </row>
    <row r="2167" spans="1:8" x14ac:dyDescent="0.25">
      <c r="A2167" s="148">
        <v>44763</v>
      </c>
      <c r="B2167" s="149" t="s">
        <v>23506</v>
      </c>
      <c r="C2167" s="153" t="s">
        <v>64</v>
      </c>
      <c r="D2167" s="154">
        <v>5689.2</v>
      </c>
      <c r="E2167" s="155">
        <v>44764</v>
      </c>
      <c r="F2167" s="154">
        <v>5689.2</v>
      </c>
      <c r="G2167" s="156">
        <f>Tabla18[[#This Row],[Importe]]-Tabla18[[#This Row],[Pagado]]</f>
        <v>0</v>
      </c>
      <c r="H2167" s="153" t="s">
        <v>10</v>
      </c>
    </row>
    <row r="2168" spans="1:8" x14ac:dyDescent="0.25">
      <c r="A2168" s="73">
        <v>44763</v>
      </c>
      <c r="B2168" s="74" t="s">
        <v>23507</v>
      </c>
      <c r="C2168" s="75" t="s">
        <v>348</v>
      </c>
      <c r="D2168" s="81">
        <v>9645.6</v>
      </c>
      <c r="E2168" s="151">
        <v>44763</v>
      </c>
      <c r="F2168" s="81">
        <v>9645.6</v>
      </c>
      <c r="G2168" s="156">
        <f>Tabla18[[#This Row],[Importe]]-Tabla18[[#This Row],[Pagado]]</f>
        <v>0</v>
      </c>
      <c r="H2168" s="75" t="s">
        <v>10</v>
      </c>
    </row>
    <row r="2169" spans="1:8" x14ac:dyDescent="0.25">
      <c r="A2169" s="148">
        <v>44763</v>
      </c>
      <c r="B2169" s="149" t="s">
        <v>23508</v>
      </c>
      <c r="C2169" s="153" t="s">
        <v>93</v>
      </c>
      <c r="D2169" s="154">
        <v>8684.5</v>
      </c>
      <c r="E2169" s="155">
        <v>44765</v>
      </c>
      <c r="F2169" s="154">
        <v>8684.5</v>
      </c>
      <c r="G2169" s="156">
        <f>Tabla18[[#This Row],[Importe]]-Tabla18[[#This Row],[Pagado]]</f>
        <v>0</v>
      </c>
      <c r="H2169" s="153" t="s">
        <v>10</v>
      </c>
    </row>
    <row r="2170" spans="1:8" ht="31.5" x14ac:dyDescent="0.25">
      <c r="A2170" s="73">
        <v>44763</v>
      </c>
      <c r="B2170" s="74" t="s">
        <v>23509</v>
      </c>
      <c r="C2170" s="75" t="s">
        <v>99</v>
      </c>
      <c r="D2170" s="81">
        <v>7046</v>
      </c>
      <c r="E2170" s="147" t="s">
        <v>23510</v>
      </c>
      <c r="F2170" s="81">
        <f>5000+2046</f>
        <v>7046</v>
      </c>
      <c r="G2170" s="156">
        <f>Tabla18[[#This Row],[Importe]]-Tabla18[[#This Row],[Pagado]]</f>
        <v>0</v>
      </c>
      <c r="H2170" s="75" t="s">
        <v>10</v>
      </c>
    </row>
    <row r="2171" spans="1:8" x14ac:dyDescent="0.25">
      <c r="A2171" s="148">
        <v>44763</v>
      </c>
      <c r="B2171" s="149" t="s">
        <v>23511</v>
      </c>
      <c r="C2171" s="153" t="s">
        <v>105</v>
      </c>
      <c r="D2171" s="154">
        <v>7094.8</v>
      </c>
      <c r="E2171" s="155">
        <v>44764</v>
      </c>
      <c r="F2171" s="154">
        <v>7094.8</v>
      </c>
      <c r="G2171" s="156">
        <f>Tabla18[[#This Row],[Importe]]-Tabla18[[#This Row],[Pagado]]</f>
        <v>0</v>
      </c>
      <c r="H2171" s="153" t="s">
        <v>10</v>
      </c>
    </row>
    <row r="2172" spans="1:8" x14ac:dyDescent="0.25">
      <c r="A2172" s="73">
        <v>44763</v>
      </c>
      <c r="B2172" s="74" t="s">
        <v>23512</v>
      </c>
      <c r="C2172" s="75" t="s">
        <v>179</v>
      </c>
      <c r="D2172" s="81">
        <v>1464</v>
      </c>
      <c r="E2172" s="151">
        <v>44763</v>
      </c>
      <c r="F2172" s="81">
        <v>1464</v>
      </c>
      <c r="G2172" s="156">
        <f>Tabla18[[#This Row],[Importe]]-Tabla18[[#This Row],[Pagado]]</f>
        <v>0</v>
      </c>
      <c r="H2172" s="75" t="s">
        <v>10</v>
      </c>
    </row>
    <row r="2173" spans="1:8" x14ac:dyDescent="0.25">
      <c r="A2173" s="148">
        <v>44763</v>
      </c>
      <c r="B2173" s="149" t="s">
        <v>23513</v>
      </c>
      <c r="C2173" s="153" t="s">
        <v>326</v>
      </c>
      <c r="D2173" s="154">
        <v>6921</v>
      </c>
      <c r="E2173" s="155">
        <v>44764</v>
      </c>
      <c r="F2173" s="154">
        <v>6921</v>
      </c>
      <c r="G2173" s="156">
        <f>Tabla18[[#This Row],[Importe]]-Tabla18[[#This Row],[Pagado]]</f>
        <v>0</v>
      </c>
      <c r="H2173" s="153" t="s">
        <v>10</v>
      </c>
    </row>
    <row r="2174" spans="1:8" x14ac:dyDescent="0.25">
      <c r="A2174" s="73">
        <v>44763</v>
      </c>
      <c r="B2174" s="74" t="s">
        <v>23514</v>
      </c>
      <c r="C2174" s="75" t="s">
        <v>481</v>
      </c>
      <c r="D2174" s="81">
        <v>623.6</v>
      </c>
      <c r="E2174" s="151">
        <v>44763</v>
      </c>
      <c r="F2174" s="81">
        <v>623.6</v>
      </c>
      <c r="G2174" s="156">
        <f>Tabla18[[#This Row],[Importe]]-Tabla18[[#This Row],[Pagado]]</f>
        <v>0</v>
      </c>
      <c r="H2174" s="75" t="s">
        <v>10</v>
      </c>
    </row>
    <row r="2175" spans="1:8" x14ac:dyDescent="0.25">
      <c r="A2175" s="148">
        <v>44763</v>
      </c>
      <c r="B2175" s="149" t="s">
        <v>23515</v>
      </c>
      <c r="C2175" s="153" t="s">
        <v>89</v>
      </c>
      <c r="D2175" s="154">
        <v>8205.7000000000007</v>
      </c>
      <c r="E2175" s="155">
        <v>44764</v>
      </c>
      <c r="F2175" s="154">
        <v>8205.7000000000007</v>
      </c>
      <c r="G2175" s="156">
        <f>Tabla18[[#This Row],[Importe]]-Tabla18[[#This Row],[Pagado]]</f>
        <v>0</v>
      </c>
      <c r="H2175" s="153" t="s">
        <v>10</v>
      </c>
    </row>
    <row r="2176" spans="1:8" x14ac:dyDescent="0.25">
      <c r="A2176" s="73">
        <v>44763</v>
      </c>
      <c r="B2176" s="74" t="s">
        <v>23516</v>
      </c>
      <c r="C2176" s="75" t="s">
        <v>2151</v>
      </c>
      <c r="D2176" s="81">
        <v>20386.7</v>
      </c>
      <c r="E2176" s="151">
        <v>44763</v>
      </c>
      <c r="F2176" s="81">
        <v>20386.7</v>
      </c>
      <c r="G2176" s="156">
        <f>Tabla18[[#This Row],[Importe]]-Tabla18[[#This Row],[Pagado]]</f>
        <v>0</v>
      </c>
      <c r="H2176" s="75" t="s">
        <v>10</v>
      </c>
    </row>
    <row r="2177" spans="1:8" x14ac:dyDescent="0.25">
      <c r="A2177" s="148">
        <v>44763</v>
      </c>
      <c r="B2177" s="149" t="s">
        <v>23517</v>
      </c>
      <c r="C2177" s="153" t="s">
        <v>87</v>
      </c>
      <c r="D2177" s="154">
        <v>3072</v>
      </c>
      <c r="E2177" s="155">
        <v>44763</v>
      </c>
      <c r="F2177" s="154">
        <v>3072</v>
      </c>
      <c r="G2177" s="156">
        <f>Tabla18[[#This Row],[Importe]]-Tabla18[[#This Row],[Pagado]]</f>
        <v>0</v>
      </c>
      <c r="H2177" s="153" t="s">
        <v>10</v>
      </c>
    </row>
    <row r="2178" spans="1:8" x14ac:dyDescent="0.25">
      <c r="A2178" s="73">
        <v>44763</v>
      </c>
      <c r="B2178" s="74" t="s">
        <v>23518</v>
      </c>
      <c r="C2178" s="75" t="s">
        <v>9993</v>
      </c>
      <c r="D2178" s="81">
        <v>6367.4</v>
      </c>
      <c r="E2178" s="151">
        <v>44763</v>
      </c>
      <c r="F2178" s="81">
        <v>6367.4</v>
      </c>
      <c r="G2178" s="156">
        <f>Tabla18[[#This Row],[Importe]]-Tabla18[[#This Row],[Pagado]]</f>
        <v>0</v>
      </c>
      <c r="H2178" s="75" t="s">
        <v>10</v>
      </c>
    </row>
    <row r="2179" spans="1:8" x14ac:dyDescent="0.25">
      <c r="A2179" s="148">
        <v>44763</v>
      </c>
      <c r="B2179" s="149" t="s">
        <v>23519</v>
      </c>
      <c r="C2179" s="153" t="s">
        <v>135</v>
      </c>
      <c r="D2179" s="154">
        <v>2537.4</v>
      </c>
      <c r="E2179" s="155">
        <v>44763</v>
      </c>
      <c r="F2179" s="154">
        <v>2537.4</v>
      </c>
      <c r="G2179" s="156">
        <f>Tabla18[[#This Row],[Importe]]-Tabla18[[#This Row],[Pagado]]</f>
        <v>0</v>
      </c>
      <c r="H2179" s="153" t="s">
        <v>10</v>
      </c>
    </row>
    <row r="2180" spans="1:8" x14ac:dyDescent="0.25">
      <c r="A2180" s="73">
        <v>44763</v>
      </c>
      <c r="B2180" s="74" t="s">
        <v>23520</v>
      </c>
      <c r="C2180" s="75" t="s">
        <v>9</v>
      </c>
      <c r="D2180" s="81">
        <v>10815.6</v>
      </c>
      <c r="E2180" s="151">
        <v>44763</v>
      </c>
      <c r="F2180" s="81">
        <v>10815.6</v>
      </c>
      <c r="G2180" s="156">
        <f>Tabla18[[#This Row],[Importe]]-Tabla18[[#This Row],[Pagado]]</f>
        <v>0</v>
      </c>
      <c r="H2180" s="75" t="s">
        <v>10</v>
      </c>
    </row>
    <row r="2181" spans="1:8" x14ac:dyDescent="0.25">
      <c r="A2181" s="148">
        <v>44763</v>
      </c>
      <c r="B2181" s="149" t="s">
        <v>23521</v>
      </c>
      <c r="C2181" s="153" t="s">
        <v>1187</v>
      </c>
      <c r="D2181" s="154">
        <v>2666.6</v>
      </c>
      <c r="E2181" s="155">
        <v>44763</v>
      </c>
      <c r="F2181" s="154">
        <v>2666.6</v>
      </c>
      <c r="G2181" s="156">
        <f>Tabla18[[#This Row],[Importe]]-Tabla18[[#This Row],[Pagado]]</f>
        <v>0</v>
      </c>
      <c r="H2181" s="153" t="s">
        <v>10</v>
      </c>
    </row>
    <row r="2182" spans="1:8" x14ac:dyDescent="0.25">
      <c r="A2182" s="73">
        <v>44763</v>
      </c>
      <c r="B2182" s="74" t="s">
        <v>23522</v>
      </c>
      <c r="C2182" s="75" t="s">
        <v>91</v>
      </c>
      <c r="D2182" s="81">
        <v>9600</v>
      </c>
      <c r="E2182" s="151">
        <v>44765</v>
      </c>
      <c r="F2182" s="81">
        <v>9600</v>
      </c>
      <c r="G2182" s="156">
        <f>Tabla18[[#This Row],[Importe]]-Tabla18[[#This Row],[Pagado]]</f>
        <v>0</v>
      </c>
      <c r="H2182" s="75" t="s">
        <v>10</v>
      </c>
    </row>
    <row r="2183" spans="1:8" x14ac:dyDescent="0.25">
      <c r="A2183" s="148">
        <v>44763</v>
      </c>
      <c r="B2183" s="149" t="s">
        <v>23523</v>
      </c>
      <c r="C2183" s="153" t="s">
        <v>131</v>
      </c>
      <c r="D2183" s="154">
        <v>1353</v>
      </c>
      <c r="E2183" s="155">
        <v>44763</v>
      </c>
      <c r="F2183" s="154">
        <v>1353</v>
      </c>
      <c r="G2183" s="156">
        <f>Tabla18[[#This Row],[Importe]]-Tabla18[[#This Row],[Pagado]]</f>
        <v>0</v>
      </c>
      <c r="H2183" s="153" t="s">
        <v>10</v>
      </c>
    </row>
    <row r="2184" spans="1:8" ht="31.5" x14ac:dyDescent="0.25">
      <c r="A2184" s="73">
        <v>44763</v>
      </c>
      <c r="B2184" s="74" t="s">
        <v>23524</v>
      </c>
      <c r="C2184" s="75" t="s">
        <v>22</v>
      </c>
      <c r="D2184" s="81">
        <v>43634.6</v>
      </c>
      <c r="E2184" s="147" t="s">
        <v>23525</v>
      </c>
      <c r="F2184" s="81">
        <f>30000+13634.6</f>
        <v>43634.6</v>
      </c>
      <c r="G2184" s="156">
        <f>Tabla18[[#This Row],[Importe]]-Tabla18[[#This Row],[Pagado]]</f>
        <v>0</v>
      </c>
      <c r="H2184" s="75" t="s">
        <v>10</v>
      </c>
    </row>
    <row r="2185" spans="1:8" x14ac:dyDescent="0.25">
      <c r="A2185" s="148">
        <v>44763</v>
      </c>
      <c r="B2185" s="149" t="s">
        <v>23526</v>
      </c>
      <c r="C2185" s="153" t="s">
        <v>142</v>
      </c>
      <c r="D2185" s="154">
        <v>40894.36</v>
      </c>
      <c r="E2185" s="155">
        <v>44799</v>
      </c>
      <c r="F2185" s="154">
        <v>40894.36</v>
      </c>
      <c r="G2185" s="156">
        <f>Tabla18[[#This Row],[Importe]]-Tabla18[[#This Row],[Pagado]]</f>
        <v>0</v>
      </c>
      <c r="H2185" s="153" t="s">
        <v>10</v>
      </c>
    </row>
    <row r="2186" spans="1:8" x14ac:dyDescent="0.25">
      <c r="A2186" s="73">
        <v>44763</v>
      </c>
      <c r="B2186" s="74" t="s">
        <v>23527</v>
      </c>
      <c r="C2186" s="75" t="s">
        <v>11033</v>
      </c>
      <c r="D2186" s="81">
        <v>1892.4</v>
      </c>
      <c r="E2186" s="151">
        <v>44763</v>
      </c>
      <c r="F2186" s="81">
        <v>1892.4</v>
      </c>
      <c r="G2186" s="156">
        <f>Tabla18[[#This Row],[Importe]]-Tabla18[[#This Row],[Pagado]]</f>
        <v>0</v>
      </c>
      <c r="H2186" s="75" t="s">
        <v>10</v>
      </c>
    </row>
    <row r="2187" spans="1:8" x14ac:dyDescent="0.25">
      <c r="A2187" s="148">
        <v>44763</v>
      </c>
      <c r="B2187" s="149" t="s">
        <v>23528</v>
      </c>
      <c r="C2187" s="153" t="s">
        <v>11033</v>
      </c>
      <c r="D2187" s="154">
        <v>276</v>
      </c>
      <c r="E2187" s="155">
        <v>44763</v>
      </c>
      <c r="F2187" s="154">
        <v>276</v>
      </c>
      <c r="G2187" s="156">
        <f>Tabla18[[#This Row],[Importe]]-Tabla18[[#This Row],[Pagado]]</f>
        <v>0</v>
      </c>
      <c r="H2187" s="153" t="s">
        <v>10</v>
      </c>
    </row>
    <row r="2188" spans="1:8" x14ac:dyDescent="0.25">
      <c r="A2188" s="73">
        <v>44763</v>
      </c>
      <c r="B2188" s="74" t="s">
        <v>23529</v>
      </c>
      <c r="C2188" s="75" t="s">
        <v>56</v>
      </c>
      <c r="D2188" s="81">
        <v>8448.6</v>
      </c>
      <c r="E2188" s="151">
        <v>44763</v>
      </c>
      <c r="F2188" s="81">
        <v>8448.6</v>
      </c>
      <c r="G2188" s="156">
        <f>Tabla18[[#This Row],[Importe]]-Tabla18[[#This Row],[Pagado]]</f>
        <v>0</v>
      </c>
      <c r="H2188" s="75" t="s">
        <v>10</v>
      </c>
    </row>
    <row r="2189" spans="1:8" x14ac:dyDescent="0.25">
      <c r="A2189" s="148">
        <v>44763</v>
      </c>
      <c r="B2189" s="149" t="s">
        <v>23530</v>
      </c>
      <c r="C2189" s="153" t="s">
        <v>56</v>
      </c>
      <c r="D2189" s="154">
        <v>445.5</v>
      </c>
      <c r="E2189" s="155">
        <v>44763</v>
      </c>
      <c r="F2189" s="154">
        <v>445.5</v>
      </c>
      <c r="G2189" s="156">
        <f>Tabla18[[#This Row],[Importe]]-Tabla18[[#This Row],[Pagado]]</f>
        <v>0</v>
      </c>
      <c r="H2189" s="153" t="s">
        <v>10</v>
      </c>
    </row>
    <row r="2190" spans="1:8" x14ac:dyDescent="0.25">
      <c r="A2190" s="73">
        <v>44763</v>
      </c>
      <c r="B2190" s="74" t="s">
        <v>23531</v>
      </c>
      <c r="C2190" s="75" t="s">
        <v>196</v>
      </c>
      <c r="D2190" s="81">
        <v>144209.19</v>
      </c>
      <c r="E2190" s="151">
        <v>44765</v>
      </c>
      <c r="F2190" s="81">
        <v>144209.19</v>
      </c>
      <c r="G2190" s="156">
        <f>Tabla18[[#This Row],[Importe]]-Tabla18[[#This Row],[Pagado]]</f>
        <v>0</v>
      </c>
      <c r="H2190" s="75" t="s">
        <v>10</v>
      </c>
    </row>
    <row r="2191" spans="1:8" x14ac:dyDescent="0.25">
      <c r="A2191" s="148">
        <v>44763</v>
      </c>
      <c r="B2191" s="149" t="s">
        <v>23532</v>
      </c>
      <c r="C2191" s="153" t="s">
        <v>647</v>
      </c>
      <c r="D2191" s="154">
        <v>3751.9</v>
      </c>
      <c r="E2191" s="155">
        <v>44763</v>
      </c>
      <c r="F2191" s="154">
        <v>3751.9</v>
      </c>
      <c r="G2191" s="156">
        <f>Tabla18[[#This Row],[Importe]]-Tabla18[[#This Row],[Pagado]]</f>
        <v>0</v>
      </c>
      <c r="H2191" s="153" t="s">
        <v>10</v>
      </c>
    </row>
    <row r="2192" spans="1:8" x14ac:dyDescent="0.25">
      <c r="A2192" s="73">
        <v>44763</v>
      </c>
      <c r="B2192" s="74" t="s">
        <v>23533</v>
      </c>
      <c r="C2192" s="75" t="s">
        <v>45</v>
      </c>
      <c r="D2192" s="81">
        <v>14025.8</v>
      </c>
      <c r="E2192" s="151">
        <v>44763</v>
      </c>
      <c r="F2192" s="81">
        <v>14025.8</v>
      </c>
      <c r="G2192" s="156">
        <f>Tabla18[[#This Row],[Importe]]-Tabla18[[#This Row],[Pagado]]</f>
        <v>0</v>
      </c>
      <c r="H2192" s="75" t="s">
        <v>10</v>
      </c>
    </row>
    <row r="2193" spans="1:8" x14ac:dyDescent="0.25">
      <c r="A2193" s="148">
        <v>44763</v>
      </c>
      <c r="B2193" s="149" t="s">
        <v>23534</v>
      </c>
      <c r="C2193" s="153" t="s">
        <v>525</v>
      </c>
      <c r="D2193" s="154">
        <v>2624</v>
      </c>
      <c r="E2193" s="155">
        <v>44764</v>
      </c>
      <c r="F2193" s="154">
        <v>2624</v>
      </c>
      <c r="G2193" s="156">
        <f>Tabla18[[#This Row],[Importe]]-Tabla18[[#This Row],[Pagado]]</f>
        <v>0</v>
      </c>
      <c r="H2193" s="153" t="s">
        <v>10</v>
      </c>
    </row>
    <row r="2194" spans="1:8" x14ac:dyDescent="0.25">
      <c r="A2194" s="73">
        <v>44763</v>
      </c>
      <c r="B2194" s="74" t="s">
        <v>23535</v>
      </c>
      <c r="C2194" s="75" t="s">
        <v>49</v>
      </c>
      <c r="D2194" s="81">
        <v>3610.3</v>
      </c>
      <c r="E2194" s="151">
        <v>44763</v>
      </c>
      <c r="F2194" s="81">
        <v>3610.3</v>
      </c>
      <c r="G2194" s="156">
        <f>Tabla18[[#This Row],[Importe]]-Tabla18[[#This Row],[Pagado]]</f>
        <v>0</v>
      </c>
      <c r="H2194" s="75" t="s">
        <v>10</v>
      </c>
    </row>
    <row r="2195" spans="1:8" x14ac:dyDescent="0.25">
      <c r="A2195" s="148">
        <v>44763</v>
      </c>
      <c r="B2195" s="149" t="s">
        <v>23536</v>
      </c>
      <c r="C2195" s="153" t="s">
        <v>151</v>
      </c>
      <c r="D2195" s="154">
        <v>6956.4</v>
      </c>
      <c r="E2195" s="155">
        <v>44764</v>
      </c>
      <c r="F2195" s="154">
        <v>6956.4</v>
      </c>
      <c r="G2195" s="156">
        <f>Tabla18[[#This Row],[Importe]]-Tabla18[[#This Row],[Pagado]]</f>
        <v>0</v>
      </c>
      <c r="H2195" s="153" t="s">
        <v>10</v>
      </c>
    </row>
    <row r="2196" spans="1:8" x14ac:dyDescent="0.25">
      <c r="A2196" s="73">
        <v>44763</v>
      </c>
      <c r="B2196" s="74" t="s">
        <v>23537</v>
      </c>
      <c r="C2196" s="75" t="s">
        <v>966</v>
      </c>
      <c r="D2196" s="81">
        <v>3152.32</v>
      </c>
      <c r="E2196" s="151">
        <v>44764</v>
      </c>
      <c r="F2196" s="81">
        <v>3152.32</v>
      </c>
      <c r="G2196" s="156">
        <f>Tabla18[[#This Row],[Importe]]-Tabla18[[#This Row],[Pagado]]</f>
        <v>0</v>
      </c>
      <c r="H2196" s="75" t="s">
        <v>10</v>
      </c>
    </row>
    <row r="2197" spans="1:8" x14ac:dyDescent="0.25">
      <c r="A2197" s="148">
        <v>44763</v>
      </c>
      <c r="B2197" s="149" t="s">
        <v>23538</v>
      </c>
      <c r="C2197" s="153" t="s">
        <v>157</v>
      </c>
      <c r="D2197" s="154">
        <v>6436.9</v>
      </c>
      <c r="E2197" s="155">
        <v>44764</v>
      </c>
      <c r="F2197" s="154">
        <v>6436.9</v>
      </c>
      <c r="G2197" s="156">
        <f>Tabla18[[#This Row],[Importe]]-Tabla18[[#This Row],[Pagado]]</f>
        <v>0</v>
      </c>
      <c r="H2197" s="153" t="s">
        <v>10</v>
      </c>
    </row>
    <row r="2198" spans="1:8" x14ac:dyDescent="0.25">
      <c r="A2198" s="73">
        <v>44763</v>
      </c>
      <c r="B2198" s="74" t="s">
        <v>23539</v>
      </c>
      <c r="C2198" s="75" t="s">
        <v>22783</v>
      </c>
      <c r="D2198" s="81">
        <v>2041.8</v>
      </c>
      <c r="E2198" s="151">
        <v>44763</v>
      </c>
      <c r="F2198" s="81">
        <v>2041.8</v>
      </c>
      <c r="G2198" s="156">
        <f>Tabla18[[#This Row],[Importe]]-Tabla18[[#This Row],[Pagado]]</f>
        <v>0</v>
      </c>
      <c r="H2198" s="75" t="s">
        <v>10</v>
      </c>
    </row>
    <row r="2199" spans="1:8" x14ac:dyDescent="0.25">
      <c r="A2199" s="148">
        <v>44763</v>
      </c>
      <c r="B2199" s="149" t="s">
        <v>23540</v>
      </c>
      <c r="C2199" s="153" t="s">
        <v>79</v>
      </c>
      <c r="D2199" s="154">
        <v>21456</v>
      </c>
      <c r="E2199" s="155">
        <v>44764</v>
      </c>
      <c r="F2199" s="154">
        <v>21456</v>
      </c>
      <c r="G2199" s="156">
        <f>Tabla18[[#This Row],[Importe]]-Tabla18[[#This Row],[Pagado]]</f>
        <v>0</v>
      </c>
      <c r="H2199" s="153" t="s">
        <v>10</v>
      </c>
    </row>
    <row r="2200" spans="1:8" x14ac:dyDescent="0.25">
      <c r="A2200" s="73">
        <v>44763</v>
      </c>
      <c r="B2200" s="74" t="s">
        <v>23541</v>
      </c>
      <c r="C2200" s="75" t="s">
        <v>24</v>
      </c>
      <c r="D2200" s="81">
        <v>618</v>
      </c>
      <c r="E2200" s="151">
        <v>44763</v>
      </c>
      <c r="F2200" s="81">
        <v>618</v>
      </c>
      <c r="G2200" s="156">
        <f>Tabla18[[#This Row],[Importe]]-Tabla18[[#This Row],[Pagado]]</f>
        <v>0</v>
      </c>
      <c r="H2200" s="75" t="s">
        <v>10</v>
      </c>
    </row>
    <row r="2201" spans="1:8" x14ac:dyDescent="0.25">
      <c r="A2201" s="148">
        <v>44763</v>
      </c>
      <c r="B2201" s="149" t="s">
        <v>23542</v>
      </c>
      <c r="C2201" s="153" t="s">
        <v>520</v>
      </c>
      <c r="D2201" s="154">
        <v>12308</v>
      </c>
      <c r="E2201" s="155">
        <v>44763</v>
      </c>
      <c r="F2201" s="154">
        <v>12308</v>
      </c>
      <c r="G2201" s="156">
        <f>Tabla18[[#This Row],[Importe]]-Tabla18[[#This Row],[Pagado]]</f>
        <v>0</v>
      </c>
      <c r="H2201" s="153" t="s">
        <v>10</v>
      </c>
    </row>
    <row r="2202" spans="1:8" x14ac:dyDescent="0.25">
      <c r="A2202" s="73">
        <v>44763</v>
      </c>
      <c r="B2202" s="74" t="s">
        <v>23543</v>
      </c>
      <c r="C2202" s="75" t="s">
        <v>91</v>
      </c>
      <c r="D2202" s="81">
        <v>5600</v>
      </c>
      <c r="E2202" s="151">
        <v>44763</v>
      </c>
      <c r="F2202" s="81">
        <v>5600</v>
      </c>
      <c r="G2202" s="156">
        <f>Tabla18[[#This Row],[Importe]]-Tabla18[[#This Row],[Pagado]]</f>
        <v>0</v>
      </c>
      <c r="H2202" s="75" t="s">
        <v>10</v>
      </c>
    </row>
    <row r="2203" spans="1:8" x14ac:dyDescent="0.25">
      <c r="A2203" s="148">
        <v>44763</v>
      </c>
      <c r="B2203" s="149" t="s">
        <v>23544</v>
      </c>
      <c r="C2203" s="153" t="s">
        <v>319</v>
      </c>
      <c r="D2203" s="154">
        <v>10302.6</v>
      </c>
      <c r="E2203" s="155">
        <v>44764</v>
      </c>
      <c r="F2203" s="154">
        <v>10302.6</v>
      </c>
      <c r="G2203" s="156">
        <f>Tabla18[[#This Row],[Importe]]-Tabla18[[#This Row],[Pagado]]</f>
        <v>0</v>
      </c>
      <c r="H2203" s="153" t="s">
        <v>10</v>
      </c>
    </row>
    <row r="2204" spans="1:8" x14ac:dyDescent="0.25">
      <c r="A2204" s="73">
        <v>44763</v>
      </c>
      <c r="B2204" s="74" t="s">
        <v>23545</v>
      </c>
      <c r="C2204" s="75" t="s">
        <v>29</v>
      </c>
      <c r="D2204" s="81">
        <v>5544</v>
      </c>
      <c r="E2204" s="151">
        <v>44763</v>
      </c>
      <c r="F2204" s="81">
        <v>5544</v>
      </c>
      <c r="G2204" s="156">
        <f>Tabla18[[#This Row],[Importe]]-Tabla18[[#This Row],[Pagado]]</f>
        <v>0</v>
      </c>
      <c r="H2204" s="75" t="s">
        <v>10</v>
      </c>
    </row>
    <row r="2205" spans="1:8" x14ac:dyDescent="0.25">
      <c r="A2205" s="148">
        <v>44763</v>
      </c>
      <c r="B2205" s="149" t="s">
        <v>23546</v>
      </c>
      <c r="C2205" s="153" t="s">
        <v>224</v>
      </c>
      <c r="D2205" s="154">
        <v>561.6</v>
      </c>
      <c r="E2205" s="155">
        <v>44763</v>
      </c>
      <c r="F2205" s="154">
        <v>561.6</v>
      </c>
      <c r="G2205" s="156">
        <f>Tabla18[[#This Row],[Importe]]-Tabla18[[#This Row],[Pagado]]</f>
        <v>0</v>
      </c>
      <c r="H2205" s="153" t="s">
        <v>10</v>
      </c>
    </row>
    <row r="2206" spans="1:8" x14ac:dyDescent="0.25">
      <c r="A2206" s="73">
        <v>44763</v>
      </c>
      <c r="B2206" s="74" t="s">
        <v>23547</v>
      </c>
      <c r="C2206" s="75" t="s">
        <v>107</v>
      </c>
      <c r="D2206" s="81">
        <v>16807.400000000001</v>
      </c>
      <c r="E2206" s="151">
        <v>44763</v>
      </c>
      <c r="F2206" s="81">
        <v>16807.400000000001</v>
      </c>
      <c r="G2206" s="156">
        <f>Tabla18[[#This Row],[Importe]]-Tabla18[[#This Row],[Pagado]]</f>
        <v>0</v>
      </c>
      <c r="H2206" s="75" t="s">
        <v>10</v>
      </c>
    </row>
    <row r="2207" spans="1:8" x14ac:dyDescent="0.25">
      <c r="A2207" s="148">
        <v>44763</v>
      </c>
      <c r="B2207" s="149" t="s">
        <v>23548</v>
      </c>
      <c r="C2207" s="153" t="s">
        <v>214</v>
      </c>
      <c r="D2207" s="154">
        <v>5446.8</v>
      </c>
      <c r="E2207" s="155">
        <v>44764</v>
      </c>
      <c r="F2207" s="154">
        <v>5446.8</v>
      </c>
      <c r="G2207" s="156">
        <f>Tabla18[[#This Row],[Importe]]-Tabla18[[#This Row],[Pagado]]</f>
        <v>0</v>
      </c>
      <c r="H2207" s="153" t="s">
        <v>10</v>
      </c>
    </row>
    <row r="2208" spans="1:8" x14ac:dyDescent="0.25">
      <c r="A2208" s="73">
        <v>44763</v>
      </c>
      <c r="B2208" s="74" t="s">
        <v>23549</v>
      </c>
      <c r="C2208" s="75" t="s">
        <v>159</v>
      </c>
      <c r="D2208" s="81">
        <v>3564.6</v>
      </c>
      <c r="E2208" s="151">
        <v>44764</v>
      </c>
      <c r="F2208" s="81">
        <v>3564.6</v>
      </c>
      <c r="G2208" s="156">
        <f>Tabla18[[#This Row],[Importe]]-Tabla18[[#This Row],[Pagado]]</f>
        <v>0</v>
      </c>
      <c r="H2208" s="75" t="s">
        <v>10</v>
      </c>
    </row>
    <row r="2209" spans="1:8" x14ac:dyDescent="0.25">
      <c r="A2209" s="148">
        <v>44763</v>
      </c>
      <c r="B2209" s="149" t="s">
        <v>23550</v>
      </c>
      <c r="C2209" s="153" t="s">
        <v>228</v>
      </c>
      <c r="D2209" s="154">
        <v>6864</v>
      </c>
      <c r="E2209" s="155">
        <v>44763</v>
      </c>
      <c r="F2209" s="154">
        <v>6864</v>
      </c>
      <c r="G2209" s="156">
        <f>Tabla18[[#This Row],[Importe]]-Tabla18[[#This Row],[Pagado]]</f>
        <v>0</v>
      </c>
      <c r="H2209" s="153" t="s">
        <v>10</v>
      </c>
    </row>
    <row r="2210" spans="1:8" x14ac:dyDescent="0.25">
      <c r="A2210" s="73">
        <v>44763</v>
      </c>
      <c r="B2210" s="74" t="s">
        <v>23551</v>
      </c>
      <c r="C2210" s="75" t="s">
        <v>140</v>
      </c>
      <c r="D2210" s="81">
        <v>5039.6000000000004</v>
      </c>
      <c r="E2210" s="151">
        <v>44763</v>
      </c>
      <c r="F2210" s="81">
        <v>5039.6000000000004</v>
      </c>
      <c r="G2210" s="156">
        <f>Tabla18[[#This Row],[Importe]]-Tabla18[[#This Row],[Pagado]]</f>
        <v>0</v>
      </c>
      <c r="H2210" s="75" t="s">
        <v>10</v>
      </c>
    </row>
    <row r="2211" spans="1:8" x14ac:dyDescent="0.25">
      <c r="A2211" s="148">
        <v>44763</v>
      </c>
      <c r="B2211" s="149" t="s">
        <v>23552</v>
      </c>
      <c r="C2211" s="153" t="s">
        <v>129</v>
      </c>
      <c r="D2211" s="154">
        <v>1310.4000000000001</v>
      </c>
      <c r="E2211" s="155">
        <v>44763</v>
      </c>
      <c r="F2211" s="154">
        <v>1310.4000000000001</v>
      </c>
      <c r="G2211" s="156">
        <f>Tabla18[[#This Row],[Importe]]-Tabla18[[#This Row],[Pagado]]</f>
        <v>0</v>
      </c>
      <c r="H2211" s="153" t="s">
        <v>10</v>
      </c>
    </row>
    <row r="2212" spans="1:8" x14ac:dyDescent="0.25">
      <c r="A2212" s="73">
        <v>44763</v>
      </c>
      <c r="B2212" s="74" t="s">
        <v>23553</v>
      </c>
      <c r="C2212" s="75" t="s">
        <v>333</v>
      </c>
      <c r="D2212" s="81">
        <v>2007.6</v>
      </c>
      <c r="E2212" s="151">
        <v>44763</v>
      </c>
      <c r="F2212" s="81">
        <v>2007.6</v>
      </c>
      <c r="G2212" s="156">
        <f>Tabla18[[#This Row],[Importe]]-Tabla18[[#This Row],[Pagado]]</f>
        <v>0</v>
      </c>
      <c r="H2212" s="75" t="s">
        <v>10</v>
      </c>
    </row>
    <row r="2213" spans="1:8" x14ac:dyDescent="0.25">
      <c r="A2213" s="148">
        <v>44763</v>
      </c>
      <c r="B2213" s="149" t="s">
        <v>23554</v>
      </c>
      <c r="C2213" s="153" t="s">
        <v>146</v>
      </c>
      <c r="D2213" s="154">
        <v>3830.4</v>
      </c>
      <c r="E2213" s="155">
        <v>44763</v>
      </c>
      <c r="F2213" s="154">
        <v>3830.4</v>
      </c>
      <c r="G2213" s="156">
        <f>Tabla18[[#This Row],[Importe]]-Tabla18[[#This Row],[Pagado]]</f>
        <v>0</v>
      </c>
      <c r="H2213" s="153" t="s">
        <v>10</v>
      </c>
    </row>
    <row r="2214" spans="1:8" x14ac:dyDescent="0.25">
      <c r="A2214" s="73">
        <v>44763</v>
      </c>
      <c r="B2214" s="74" t="s">
        <v>23555</v>
      </c>
      <c r="C2214" s="75" t="s">
        <v>127</v>
      </c>
      <c r="D2214" s="81">
        <v>4648.8</v>
      </c>
      <c r="E2214" s="151">
        <v>44763</v>
      </c>
      <c r="F2214" s="81">
        <v>4648.8</v>
      </c>
      <c r="G2214" s="156">
        <f>Tabla18[[#This Row],[Importe]]-Tabla18[[#This Row],[Pagado]]</f>
        <v>0</v>
      </c>
      <c r="H2214" s="75" t="s">
        <v>10</v>
      </c>
    </row>
    <row r="2215" spans="1:8" x14ac:dyDescent="0.25">
      <c r="A2215" s="148">
        <v>44763</v>
      </c>
      <c r="B2215" s="149" t="s">
        <v>23556</v>
      </c>
      <c r="C2215" s="153" t="s">
        <v>396</v>
      </c>
      <c r="D2215" s="154">
        <v>18079.400000000001</v>
      </c>
      <c r="E2215" s="155">
        <v>44768</v>
      </c>
      <c r="F2215" s="154">
        <v>18079.400000000001</v>
      </c>
      <c r="G2215" s="156">
        <f>Tabla18[[#This Row],[Importe]]-Tabla18[[#This Row],[Pagado]]</f>
        <v>0</v>
      </c>
      <c r="H2215" s="153" t="s">
        <v>10</v>
      </c>
    </row>
    <row r="2216" spans="1:8" x14ac:dyDescent="0.25">
      <c r="A2216" s="73">
        <v>44763</v>
      </c>
      <c r="B2216" s="74" t="s">
        <v>23557</v>
      </c>
      <c r="C2216" s="75" t="s">
        <v>222</v>
      </c>
      <c r="D2216" s="81">
        <v>11714.4</v>
      </c>
      <c r="E2216" s="151">
        <v>44763</v>
      </c>
      <c r="F2216" s="81">
        <v>11714.4</v>
      </c>
      <c r="G2216" s="156">
        <f>Tabla18[[#This Row],[Importe]]-Tabla18[[#This Row],[Pagado]]</f>
        <v>0</v>
      </c>
      <c r="H2216" s="75" t="s">
        <v>10</v>
      </c>
    </row>
    <row r="2217" spans="1:8" x14ac:dyDescent="0.25">
      <c r="A2217" s="148">
        <v>44763</v>
      </c>
      <c r="B2217" s="149" t="s">
        <v>23558</v>
      </c>
      <c r="C2217" s="153" t="s">
        <v>382</v>
      </c>
      <c r="D2217" s="154">
        <v>6658.2</v>
      </c>
      <c r="E2217" s="155">
        <v>44763</v>
      </c>
      <c r="F2217" s="154">
        <v>6658.2</v>
      </c>
      <c r="G2217" s="156">
        <f>Tabla18[[#This Row],[Importe]]-Tabla18[[#This Row],[Pagado]]</f>
        <v>0</v>
      </c>
      <c r="H2217" s="153" t="s">
        <v>10</v>
      </c>
    </row>
    <row r="2218" spans="1:8" x14ac:dyDescent="0.25">
      <c r="A2218" s="73">
        <v>44763</v>
      </c>
      <c r="B2218" s="74" t="s">
        <v>23559</v>
      </c>
      <c r="C2218" s="75" t="s">
        <v>1505</v>
      </c>
      <c r="D2218" s="81">
        <v>5519.3</v>
      </c>
      <c r="E2218" s="151">
        <v>44763</v>
      </c>
      <c r="F2218" s="81">
        <v>5519.3</v>
      </c>
      <c r="G2218" s="156">
        <f>Tabla18[[#This Row],[Importe]]-Tabla18[[#This Row],[Pagado]]</f>
        <v>0</v>
      </c>
      <c r="H2218" s="75" t="s">
        <v>10</v>
      </c>
    </row>
    <row r="2219" spans="1:8" x14ac:dyDescent="0.25">
      <c r="A2219" s="148">
        <v>44763</v>
      </c>
      <c r="B2219" s="149" t="s">
        <v>23560</v>
      </c>
      <c r="C2219" s="153" t="s">
        <v>31</v>
      </c>
      <c r="D2219" s="154">
        <v>672</v>
      </c>
      <c r="E2219" s="155">
        <v>44763</v>
      </c>
      <c r="F2219" s="154">
        <v>672</v>
      </c>
      <c r="G2219" s="156">
        <f>Tabla18[[#This Row],[Importe]]-Tabla18[[#This Row],[Pagado]]</f>
        <v>0</v>
      </c>
      <c r="H2219" s="153" t="s">
        <v>10</v>
      </c>
    </row>
    <row r="2220" spans="1:8" x14ac:dyDescent="0.25">
      <c r="A2220" s="73">
        <v>44763</v>
      </c>
      <c r="B2220" s="74" t="s">
        <v>23561</v>
      </c>
      <c r="C2220" s="75" t="s">
        <v>698</v>
      </c>
      <c r="D2220" s="81">
        <v>6140.2</v>
      </c>
      <c r="E2220" s="151">
        <v>44763</v>
      </c>
      <c r="F2220" s="81">
        <v>6140.2</v>
      </c>
      <c r="G2220" s="156">
        <f>Tabla18[[#This Row],[Importe]]-Tabla18[[#This Row],[Pagado]]</f>
        <v>0</v>
      </c>
      <c r="H2220" s="75" t="s">
        <v>10</v>
      </c>
    </row>
    <row r="2221" spans="1:8" x14ac:dyDescent="0.25">
      <c r="A2221" s="148">
        <v>44763</v>
      </c>
      <c r="B2221" s="149" t="s">
        <v>23562</v>
      </c>
      <c r="C2221" s="153" t="s">
        <v>1239</v>
      </c>
      <c r="D2221" s="154">
        <v>8282.4</v>
      </c>
      <c r="E2221" s="155">
        <v>44763</v>
      </c>
      <c r="F2221" s="154">
        <v>8282.4</v>
      </c>
      <c r="G2221" s="156">
        <f>Tabla18[[#This Row],[Importe]]-Tabla18[[#This Row],[Pagado]]</f>
        <v>0</v>
      </c>
      <c r="H2221" s="153" t="s">
        <v>10</v>
      </c>
    </row>
    <row r="2222" spans="1:8" x14ac:dyDescent="0.25">
      <c r="A2222" s="73">
        <v>44763</v>
      </c>
      <c r="B2222" s="74" t="s">
        <v>23563</v>
      </c>
      <c r="C2222" s="75" t="s">
        <v>275</v>
      </c>
      <c r="D2222" s="81">
        <v>154160.07999999999</v>
      </c>
      <c r="E2222" s="151">
        <v>44778</v>
      </c>
      <c r="F2222" s="81">
        <v>154160.07999999999</v>
      </c>
      <c r="G2222" s="156">
        <f>Tabla18[[#This Row],[Importe]]-Tabla18[[#This Row],[Pagado]]</f>
        <v>0</v>
      </c>
      <c r="H2222" s="75" t="s">
        <v>10</v>
      </c>
    </row>
    <row r="2223" spans="1:8" x14ac:dyDescent="0.25">
      <c r="A2223" s="148">
        <v>44763</v>
      </c>
      <c r="B2223" s="149" t="s">
        <v>23564</v>
      </c>
      <c r="C2223" s="153" t="s">
        <v>407</v>
      </c>
      <c r="D2223" s="154">
        <v>23373</v>
      </c>
      <c r="E2223" s="155">
        <v>44763</v>
      </c>
      <c r="F2223" s="154">
        <v>23373</v>
      </c>
      <c r="G2223" s="156">
        <f>Tabla18[[#This Row],[Importe]]-Tabla18[[#This Row],[Pagado]]</f>
        <v>0</v>
      </c>
      <c r="H2223" s="153" t="s">
        <v>10</v>
      </c>
    </row>
    <row r="2224" spans="1:8" x14ac:dyDescent="0.25">
      <c r="A2224" s="73">
        <v>44763</v>
      </c>
      <c r="B2224" s="74" t="s">
        <v>23565</v>
      </c>
      <c r="C2224" s="75" t="s">
        <v>414</v>
      </c>
      <c r="D2224" s="81">
        <v>23488</v>
      </c>
      <c r="E2224" s="151">
        <v>44784</v>
      </c>
      <c r="F2224" s="81">
        <v>23488</v>
      </c>
      <c r="G2224" s="156">
        <f>Tabla18[[#This Row],[Importe]]-Tabla18[[#This Row],[Pagado]]</f>
        <v>0</v>
      </c>
      <c r="H2224" s="75" t="s">
        <v>10</v>
      </c>
    </row>
    <row r="2225" spans="1:8" x14ac:dyDescent="0.25">
      <c r="A2225" s="148">
        <v>44763</v>
      </c>
      <c r="B2225" s="149" t="s">
        <v>23566</v>
      </c>
      <c r="C2225" s="153" t="s">
        <v>58</v>
      </c>
      <c r="D2225" s="154">
        <v>2077</v>
      </c>
      <c r="E2225" s="155">
        <v>44763</v>
      </c>
      <c r="F2225" s="154">
        <v>2077</v>
      </c>
      <c r="G2225" s="156">
        <f>Tabla18[[#This Row],[Importe]]-Tabla18[[#This Row],[Pagado]]</f>
        <v>0</v>
      </c>
      <c r="H2225" s="153" t="s">
        <v>10</v>
      </c>
    </row>
    <row r="2226" spans="1:8" x14ac:dyDescent="0.25">
      <c r="A2226" s="73">
        <v>44763</v>
      </c>
      <c r="B2226" s="74" t="s">
        <v>23567</v>
      </c>
      <c r="C2226" s="75" t="s">
        <v>400</v>
      </c>
      <c r="D2226" s="81">
        <v>5570.2</v>
      </c>
      <c r="E2226" s="151">
        <v>44769</v>
      </c>
      <c r="F2226" s="81">
        <v>5570.2</v>
      </c>
      <c r="G2226" s="156">
        <f>Tabla18[[#This Row],[Importe]]-Tabla18[[#This Row],[Pagado]]</f>
        <v>0</v>
      </c>
      <c r="H2226" s="75" t="s">
        <v>10</v>
      </c>
    </row>
    <row r="2227" spans="1:8" x14ac:dyDescent="0.25">
      <c r="A2227" s="148">
        <v>44763</v>
      </c>
      <c r="B2227" s="149" t="s">
        <v>23568</v>
      </c>
      <c r="C2227" s="153" t="s">
        <v>840</v>
      </c>
      <c r="D2227" s="154">
        <v>5574.4</v>
      </c>
      <c r="E2227" s="155">
        <v>44763</v>
      </c>
      <c r="F2227" s="154">
        <v>5574.4</v>
      </c>
      <c r="G2227" s="156">
        <f>Tabla18[[#This Row],[Importe]]-Tabla18[[#This Row],[Pagado]]</f>
        <v>0</v>
      </c>
      <c r="H2227" s="153" t="s">
        <v>10</v>
      </c>
    </row>
    <row r="2228" spans="1:8" x14ac:dyDescent="0.25">
      <c r="A2228" s="73">
        <v>44763</v>
      </c>
      <c r="B2228" s="74" t="s">
        <v>23569</v>
      </c>
      <c r="C2228" s="75" t="s">
        <v>9827</v>
      </c>
      <c r="D2228" s="81">
        <v>4560.6000000000004</v>
      </c>
      <c r="E2228" s="151">
        <v>44763</v>
      </c>
      <c r="F2228" s="81">
        <v>4560.6000000000004</v>
      </c>
      <c r="G2228" s="156">
        <f>Tabla18[[#This Row],[Importe]]-Tabla18[[#This Row],[Pagado]]</f>
        <v>0</v>
      </c>
      <c r="H2228" s="75" t="s">
        <v>10</v>
      </c>
    </row>
    <row r="2229" spans="1:8" x14ac:dyDescent="0.25">
      <c r="A2229" s="148">
        <v>44763</v>
      </c>
      <c r="B2229" s="149" t="s">
        <v>23570</v>
      </c>
      <c r="C2229" s="153" t="s">
        <v>31</v>
      </c>
      <c r="D2229" s="154">
        <v>1391.5</v>
      </c>
      <c r="E2229" s="155">
        <v>44763</v>
      </c>
      <c r="F2229" s="154">
        <v>1391.5</v>
      </c>
      <c r="G2229" s="156">
        <f>Tabla18[[#This Row],[Importe]]-Tabla18[[#This Row],[Pagado]]</f>
        <v>0</v>
      </c>
      <c r="H2229" s="153" t="s">
        <v>10</v>
      </c>
    </row>
    <row r="2230" spans="1:8" x14ac:dyDescent="0.25">
      <c r="A2230" s="73">
        <v>44763</v>
      </c>
      <c r="B2230" s="74" t="s">
        <v>23571</v>
      </c>
      <c r="C2230" s="75" t="s">
        <v>16057</v>
      </c>
      <c r="D2230" s="81">
        <v>0</v>
      </c>
      <c r="E2230" s="157" t="s">
        <v>189</v>
      </c>
      <c r="F2230" s="81">
        <v>0</v>
      </c>
      <c r="G2230" s="156">
        <f>Tabla18[[#This Row],[Importe]]-Tabla18[[#This Row],[Pagado]]</f>
        <v>0</v>
      </c>
      <c r="H2230" s="161" t="s">
        <v>23572</v>
      </c>
    </row>
    <row r="2231" spans="1:8" x14ac:dyDescent="0.25">
      <c r="A2231" s="148">
        <v>44763</v>
      </c>
      <c r="B2231" s="149" t="s">
        <v>23573</v>
      </c>
      <c r="C2231" s="153" t="s">
        <v>19637</v>
      </c>
      <c r="D2231" s="154">
        <v>1938</v>
      </c>
      <c r="E2231" s="155">
        <v>44768</v>
      </c>
      <c r="F2231" s="154">
        <v>1938</v>
      </c>
      <c r="G2231" s="156">
        <f>Tabla18[[#This Row],[Importe]]-Tabla18[[#This Row],[Pagado]]</f>
        <v>0</v>
      </c>
      <c r="H2231" s="153" t="s">
        <v>10</v>
      </c>
    </row>
    <row r="2232" spans="1:8" x14ac:dyDescent="0.25">
      <c r="A2232" s="73">
        <v>44763</v>
      </c>
      <c r="B2232" s="74" t="s">
        <v>23574</v>
      </c>
      <c r="C2232" s="75" t="s">
        <v>459</v>
      </c>
      <c r="D2232" s="81">
        <v>377.2</v>
      </c>
      <c r="E2232" s="151">
        <v>44763</v>
      </c>
      <c r="F2232" s="81">
        <v>377.2</v>
      </c>
      <c r="G2232" s="156">
        <f>Tabla18[[#This Row],[Importe]]-Tabla18[[#This Row],[Pagado]]</f>
        <v>0</v>
      </c>
      <c r="H2232" s="75" t="s">
        <v>10</v>
      </c>
    </row>
    <row r="2233" spans="1:8" x14ac:dyDescent="0.25">
      <c r="A2233" s="148">
        <v>44763</v>
      </c>
      <c r="B2233" s="149" t="s">
        <v>23575</v>
      </c>
      <c r="C2233" s="153" t="s">
        <v>1676</v>
      </c>
      <c r="D2233" s="154">
        <v>3832</v>
      </c>
      <c r="E2233" s="155">
        <v>44763</v>
      </c>
      <c r="F2233" s="154">
        <v>3832</v>
      </c>
      <c r="G2233" s="156">
        <f>Tabla18[[#This Row],[Importe]]-Tabla18[[#This Row],[Pagado]]</f>
        <v>0</v>
      </c>
      <c r="H2233" s="153" t="s">
        <v>10</v>
      </c>
    </row>
    <row r="2234" spans="1:8" x14ac:dyDescent="0.25">
      <c r="A2234" s="73">
        <v>44763</v>
      </c>
      <c r="B2234" s="74" t="s">
        <v>23576</v>
      </c>
      <c r="C2234" s="75" t="s">
        <v>275</v>
      </c>
      <c r="D2234" s="81">
        <v>2425.5</v>
      </c>
      <c r="E2234" s="151">
        <v>44778</v>
      </c>
      <c r="F2234" s="81">
        <v>2425.5</v>
      </c>
      <c r="G2234" s="156">
        <f>Tabla18[[#This Row],[Importe]]-Tabla18[[#This Row],[Pagado]]</f>
        <v>0</v>
      </c>
      <c r="H2234" s="75" t="s">
        <v>10</v>
      </c>
    </row>
    <row r="2235" spans="1:8" x14ac:dyDescent="0.25">
      <c r="A2235" s="148">
        <v>44763</v>
      </c>
      <c r="B2235" s="149" t="s">
        <v>23577</v>
      </c>
      <c r="C2235" s="153" t="s">
        <v>426</v>
      </c>
      <c r="D2235" s="154">
        <v>6731.8</v>
      </c>
      <c r="E2235" s="155">
        <v>44763</v>
      </c>
      <c r="F2235" s="154">
        <v>6731.8</v>
      </c>
      <c r="G2235" s="156">
        <f>Tabla18[[#This Row],[Importe]]-Tabla18[[#This Row],[Pagado]]</f>
        <v>0</v>
      </c>
      <c r="H2235" s="153" t="s">
        <v>10</v>
      </c>
    </row>
    <row r="2236" spans="1:8" x14ac:dyDescent="0.25">
      <c r="A2236" s="73">
        <v>44763</v>
      </c>
      <c r="B2236" s="74" t="s">
        <v>23578</v>
      </c>
      <c r="C2236" s="75" t="s">
        <v>312</v>
      </c>
      <c r="D2236" s="81">
        <v>4528.6000000000004</v>
      </c>
      <c r="E2236" s="151">
        <v>44763</v>
      </c>
      <c r="F2236" s="81">
        <v>4528.6000000000004</v>
      </c>
      <c r="G2236" s="156">
        <f>Tabla18[[#This Row],[Importe]]-Tabla18[[#This Row],[Pagado]]</f>
        <v>0</v>
      </c>
      <c r="H2236" s="75" t="s">
        <v>10</v>
      </c>
    </row>
    <row r="2237" spans="1:8" x14ac:dyDescent="0.25">
      <c r="A2237" s="148">
        <v>44763</v>
      </c>
      <c r="B2237" s="149" t="s">
        <v>23579</v>
      </c>
      <c r="C2237" s="153" t="s">
        <v>198</v>
      </c>
      <c r="D2237" s="154">
        <v>4758</v>
      </c>
      <c r="E2237" s="155">
        <v>44763</v>
      </c>
      <c r="F2237" s="154">
        <v>4758</v>
      </c>
      <c r="G2237" s="156">
        <f>Tabla18[[#This Row],[Importe]]-Tabla18[[#This Row],[Pagado]]</f>
        <v>0</v>
      </c>
      <c r="H2237" s="153" t="s">
        <v>10</v>
      </c>
    </row>
    <row r="2238" spans="1:8" x14ac:dyDescent="0.25">
      <c r="A2238" s="73">
        <v>44763</v>
      </c>
      <c r="B2238" s="74" t="s">
        <v>23580</v>
      </c>
      <c r="C2238" s="75" t="s">
        <v>175</v>
      </c>
      <c r="D2238" s="81">
        <v>36751.800000000003</v>
      </c>
      <c r="E2238" s="151">
        <v>44763</v>
      </c>
      <c r="F2238" s="81">
        <v>36751.800000000003</v>
      </c>
      <c r="G2238" s="156">
        <f>Tabla18[[#This Row],[Importe]]-Tabla18[[#This Row],[Pagado]]</f>
        <v>0</v>
      </c>
      <c r="H2238" s="75" t="s">
        <v>10</v>
      </c>
    </row>
    <row r="2239" spans="1:8" x14ac:dyDescent="0.25">
      <c r="A2239" s="148">
        <v>44763</v>
      </c>
      <c r="B2239" s="149" t="s">
        <v>23581</v>
      </c>
      <c r="C2239" s="153" t="s">
        <v>463</v>
      </c>
      <c r="D2239" s="154">
        <v>31</v>
      </c>
      <c r="E2239" s="155">
        <v>44763</v>
      </c>
      <c r="F2239" s="154">
        <v>31</v>
      </c>
      <c r="G2239" s="156">
        <f>Tabla18[[#This Row],[Importe]]-Tabla18[[#This Row],[Pagado]]</f>
        <v>0</v>
      </c>
      <c r="H2239" s="153" t="s">
        <v>10</v>
      </c>
    </row>
    <row r="2240" spans="1:8" x14ac:dyDescent="0.25">
      <c r="A2240" s="73">
        <v>44763</v>
      </c>
      <c r="B2240" s="74" t="s">
        <v>23582</v>
      </c>
      <c r="C2240" s="75" t="s">
        <v>16</v>
      </c>
      <c r="D2240" s="81">
        <v>876</v>
      </c>
      <c r="E2240" s="151">
        <v>44763</v>
      </c>
      <c r="F2240" s="81">
        <v>876</v>
      </c>
      <c r="G2240" s="156">
        <f>Tabla18[[#This Row],[Importe]]-Tabla18[[#This Row],[Pagado]]</f>
        <v>0</v>
      </c>
      <c r="H2240" s="75" t="s">
        <v>10</v>
      </c>
    </row>
    <row r="2241" spans="1:8" x14ac:dyDescent="0.25">
      <c r="A2241" s="148">
        <v>44763</v>
      </c>
      <c r="B2241" s="149" t="s">
        <v>23583</v>
      </c>
      <c r="C2241" s="153" t="s">
        <v>16</v>
      </c>
      <c r="D2241" s="154">
        <v>1908</v>
      </c>
      <c r="E2241" s="155">
        <v>44763</v>
      </c>
      <c r="F2241" s="154">
        <v>1908</v>
      </c>
      <c r="G2241" s="156">
        <f>Tabla18[[#This Row],[Importe]]-Tabla18[[#This Row],[Pagado]]</f>
        <v>0</v>
      </c>
      <c r="H2241" s="153" t="s">
        <v>10</v>
      </c>
    </row>
    <row r="2242" spans="1:8" x14ac:dyDescent="0.25">
      <c r="A2242" s="73">
        <v>44763</v>
      </c>
      <c r="B2242" s="74" t="s">
        <v>23584</v>
      </c>
      <c r="C2242" s="75" t="s">
        <v>200</v>
      </c>
      <c r="D2242" s="81">
        <v>1632</v>
      </c>
      <c r="E2242" s="151">
        <v>44763</v>
      </c>
      <c r="F2242" s="81">
        <v>1632</v>
      </c>
      <c r="G2242" s="156">
        <f>Tabla18[[#This Row],[Importe]]-Tabla18[[#This Row],[Pagado]]</f>
        <v>0</v>
      </c>
      <c r="H2242" s="75" t="s">
        <v>10</v>
      </c>
    </row>
    <row r="2243" spans="1:8" x14ac:dyDescent="0.25">
      <c r="A2243" s="148">
        <v>44763</v>
      </c>
      <c r="B2243" s="149" t="s">
        <v>23585</v>
      </c>
      <c r="C2243" s="153" t="s">
        <v>62</v>
      </c>
      <c r="D2243" s="154">
        <v>3486.6</v>
      </c>
      <c r="E2243" s="155">
        <v>44763</v>
      </c>
      <c r="F2243" s="154">
        <v>3486.6</v>
      </c>
      <c r="G2243" s="156">
        <f>Tabla18[[#This Row],[Importe]]-Tabla18[[#This Row],[Pagado]]</f>
        <v>0</v>
      </c>
      <c r="H2243" s="153" t="s">
        <v>10</v>
      </c>
    </row>
    <row r="2244" spans="1:8" x14ac:dyDescent="0.25">
      <c r="A2244" s="73">
        <v>44763</v>
      </c>
      <c r="B2244" s="74" t="s">
        <v>23586</v>
      </c>
      <c r="C2244" s="75" t="s">
        <v>67</v>
      </c>
      <c r="D2244" s="81">
        <v>2525.6</v>
      </c>
      <c r="E2244" s="151">
        <v>44763</v>
      </c>
      <c r="F2244" s="81">
        <v>2525.6</v>
      </c>
      <c r="G2244" s="156">
        <f>Tabla18[[#This Row],[Importe]]-Tabla18[[#This Row],[Pagado]]</f>
        <v>0</v>
      </c>
      <c r="H2244" s="75" t="s">
        <v>10</v>
      </c>
    </row>
    <row r="2245" spans="1:8" x14ac:dyDescent="0.25">
      <c r="A2245" s="148">
        <v>44763</v>
      </c>
      <c r="B2245" s="149" t="s">
        <v>23587</v>
      </c>
      <c r="C2245" s="153" t="s">
        <v>9415</v>
      </c>
      <c r="D2245" s="154">
        <v>30027.8</v>
      </c>
      <c r="E2245" s="155">
        <v>44765</v>
      </c>
      <c r="F2245" s="154">
        <v>30027.8</v>
      </c>
      <c r="G2245" s="156">
        <f>Tabla18[[#This Row],[Importe]]-Tabla18[[#This Row],[Pagado]]</f>
        <v>0</v>
      </c>
      <c r="H2245" s="153" t="s">
        <v>10</v>
      </c>
    </row>
    <row r="2246" spans="1:8" x14ac:dyDescent="0.25">
      <c r="A2246" s="73">
        <v>44763</v>
      </c>
      <c r="B2246" s="74" t="s">
        <v>23588</v>
      </c>
      <c r="C2246" s="75" t="s">
        <v>191</v>
      </c>
      <c r="D2246" s="81">
        <v>21330</v>
      </c>
      <c r="E2246" s="151">
        <v>44763</v>
      </c>
      <c r="F2246" s="81">
        <v>21330</v>
      </c>
      <c r="G2246" s="156">
        <f>Tabla18[[#This Row],[Importe]]-Tabla18[[#This Row],[Pagado]]</f>
        <v>0</v>
      </c>
      <c r="H2246" s="75" t="s">
        <v>10</v>
      </c>
    </row>
    <row r="2247" spans="1:8" x14ac:dyDescent="0.25">
      <c r="A2247" s="148">
        <v>44763</v>
      </c>
      <c r="B2247" s="149" t="s">
        <v>23589</v>
      </c>
      <c r="C2247" s="153" t="s">
        <v>1265</v>
      </c>
      <c r="D2247" s="154">
        <v>637</v>
      </c>
      <c r="E2247" s="155">
        <v>44763</v>
      </c>
      <c r="F2247" s="154">
        <v>637</v>
      </c>
      <c r="G2247" s="156">
        <f>Tabla18[[#This Row],[Importe]]-Tabla18[[#This Row],[Pagado]]</f>
        <v>0</v>
      </c>
      <c r="H2247" s="153" t="s">
        <v>10</v>
      </c>
    </row>
    <row r="2248" spans="1:8" x14ac:dyDescent="0.25">
      <c r="A2248" s="73">
        <v>44763</v>
      </c>
      <c r="B2248" s="74" t="s">
        <v>23590</v>
      </c>
      <c r="C2248" s="75" t="s">
        <v>31</v>
      </c>
      <c r="D2248" s="81">
        <v>656</v>
      </c>
      <c r="E2248" s="151">
        <v>44763</v>
      </c>
      <c r="F2248" s="81">
        <v>656</v>
      </c>
      <c r="G2248" s="156">
        <f>Tabla18[[#This Row],[Importe]]-Tabla18[[#This Row],[Pagado]]</f>
        <v>0</v>
      </c>
      <c r="H2248" s="75" t="s">
        <v>10</v>
      </c>
    </row>
    <row r="2249" spans="1:8" x14ac:dyDescent="0.25">
      <c r="A2249" s="148">
        <v>44763</v>
      </c>
      <c r="B2249" s="149" t="s">
        <v>23591</v>
      </c>
      <c r="C2249" s="153" t="s">
        <v>31</v>
      </c>
      <c r="D2249" s="154">
        <v>2464.8000000000002</v>
      </c>
      <c r="E2249" s="155">
        <v>44763</v>
      </c>
      <c r="F2249" s="154">
        <v>2464.8000000000002</v>
      </c>
      <c r="G2249" s="156">
        <f>Tabla18[[#This Row],[Importe]]-Tabla18[[#This Row],[Pagado]]</f>
        <v>0</v>
      </c>
      <c r="H2249" s="153" t="s">
        <v>10</v>
      </c>
    </row>
    <row r="2250" spans="1:8" x14ac:dyDescent="0.25">
      <c r="A2250" s="73">
        <v>44763</v>
      </c>
      <c r="B2250" s="74" t="s">
        <v>23592</v>
      </c>
      <c r="C2250" s="75" t="s">
        <v>284</v>
      </c>
      <c r="D2250" s="81">
        <v>9864</v>
      </c>
      <c r="E2250" s="151">
        <v>44764</v>
      </c>
      <c r="F2250" s="81">
        <v>9864</v>
      </c>
      <c r="G2250" s="156">
        <f>Tabla18[[#This Row],[Importe]]-Tabla18[[#This Row],[Pagado]]</f>
        <v>0</v>
      </c>
      <c r="H2250" s="75" t="s">
        <v>10</v>
      </c>
    </row>
    <row r="2251" spans="1:8" x14ac:dyDescent="0.25">
      <c r="A2251" s="148">
        <v>44763</v>
      </c>
      <c r="B2251" s="149" t="s">
        <v>23593</v>
      </c>
      <c r="C2251" s="153" t="s">
        <v>282</v>
      </c>
      <c r="D2251" s="154">
        <v>2160</v>
      </c>
      <c r="E2251" s="155">
        <v>44764</v>
      </c>
      <c r="F2251" s="154">
        <v>2160</v>
      </c>
      <c r="G2251" s="156">
        <f>Tabla18[[#This Row],[Importe]]-Tabla18[[#This Row],[Pagado]]</f>
        <v>0</v>
      </c>
      <c r="H2251" s="153" t="s">
        <v>10</v>
      </c>
    </row>
    <row r="2252" spans="1:8" x14ac:dyDescent="0.25">
      <c r="A2252" s="73">
        <v>44763</v>
      </c>
      <c r="B2252" s="74" t="s">
        <v>23594</v>
      </c>
      <c r="C2252" s="75" t="s">
        <v>5345</v>
      </c>
      <c r="D2252" s="81">
        <v>3440</v>
      </c>
      <c r="E2252" s="151">
        <v>44764</v>
      </c>
      <c r="F2252" s="81">
        <v>3440</v>
      </c>
      <c r="G2252" s="156">
        <f>Tabla18[[#This Row],[Importe]]-Tabla18[[#This Row],[Pagado]]</f>
        <v>0</v>
      </c>
      <c r="H2252" s="75" t="s">
        <v>10</v>
      </c>
    </row>
    <row r="2253" spans="1:8" x14ac:dyDescent="0.25">
      <c r="A2253" s="148">
        <v>44763</v>
      </c>
      <c r="B2253" s="149" t="s">
        <v>23595</v>
      </c>
      <c r="C2253" s="153" t="s">
        <v>10819</v>
      </c>
      <c r="D2253" s="154">
        <v>1416</v>
      </c>
      <c r="E2253" s="155">
        <v>44764</v>
      </c>
      <c r="F2253" s="154">
        <v>1416</v>
      </c>
      <c r="G2253" s="156">
        <f>Tabla18[[#This Row],[Importe]]-Tabla18[[#This Row],[Pagado]]</f>
        <v>0</v>
      </c>
      <c r="H2253" s="153" t="s">
        <v>10</v>
      </c>
    </row>
    <row r="2254" spans="1:8" x14ac:dyDescent="0.25">
      <c r="A2254" s="73">
        <v>44763</v>
      </c>
      <c r="B2254" s="74" t="s">
        <v>23596</v>
      </c>
      <c r="C2254" s="75" t="s">
        <v>280</v>
      </c>
      <c r="D2254" s="81">
        <v>1408</v>
      </c>
      <c r="E2254" s="151">
        <v>44764</v>
      </c>
      <c r="F2254" s="81">
        <v>1408</v>
      </c>
      <c r="G2254" s="156">
        <f>Tabla18[[#This Row],[Importe]]-Tabla18[[#This Row],[Pagado]]</f>
        <v>0</v>
      </c>
      <c r="H2254" s="75" t="s">
        <v>10</v>
      </c>
    </row>
    <row r="2255" spans="1:8" x14ac:dyDescent="0.25">
      <c r="A2255" s="148">
        <v>44763</v>
      </c>
      <c r="B2255" s="149" t="s">
        <v>23597</v>
      </c>
      <c r="C2255" s="153" t="s">
        <v>647</v>
      </c>
      <c r="D2255" s="154">
        <v>1373.4</v>
      </c>
      <c r="E2255" s="155">
        <v>44763</v>
      </c>
      <c r="F2255" s="154">
        <v>1373.4</v>
      </c>
      <c r="G2255" s="156">
        <f>Tabla18[[#This Row],[Importe]]-Tabla18[[#This Row],[Pagado]]</f>
        <v>0</v>
      </c>
      <c r="H2255" s="153" t="s">
        <v>10</v>
      </c>
    </row>
    <row r="2256" spans="1:8" x14ac:dyDescent="0.25">
      <c r="A2256" s="73">
        <v>44763</v>
      </c>
      <c r="B2256" s="74" t="s">
        <v>23598</v>
      </c>
      <c r="C2256" s="75" t="s">
        <v>729</v>
      </c>
      <c r="D2256" s="81">
        <v>29831</v>
      </c>
      <c r="E2256" s="151">
        <v>44764</v>
      </c>
      <c r="F2256" s="81">
        <v>29831</v>
      </c>
      <c r="G2256" s="156">
        <f>Tabla18[[#This Row],[Importe]]-Tabla18[[#This Row],[Pagado]]</f>
        <v>0</v>
      </c>
      <c r="H2256" s="75" t="s">
        <v>10</v>
      </c>
    </row>
    <row r="2257" spans="1:8" x14ac:dyDescent="0.25">
      <c r="A2257" s="148">
        <v>44763</v>
      </c>
      <c r="B2257" s="149" t="s">
        <v>23599</v>
      </c>
      <c r="C2257" s="153" t="s">
        <v>9034</v>
      </c>
      <c r="D2257" s="154">
        <v>0</v>
      </c>
      <c r="E2257" s="158" t="s">
        <v>189</v>
      </c>
      <c r="F2257" s="154">
        <v>0</v>
      </c>
      <c r="G2257" s="156">
        <f>Tabla18[[#This Row],[Importe]]-Tabla18[[#This Row],[Pagado]]</f>
        <v>0</v>
      </c>
      <c r="H2257" s="159" t="s">
        <v>23600</v>
      </c>
    </row>
    <row r="2258" spans="1:8" x14ac:dyDescent="0.25">
      <c r="A2258" s="73">
        <v>44763</v>
      </c>
      <c r="B2258" s="74" t="s">
        <v>23601</v>
      </c>
      <c r="C2258" s="75" t="s">
        <v>10678</v>
      </c>
      <c r="D2258" s="81">
        <v>4579</v>
      </c>
      <c r="E2258" s="151">
        <v>44763</v>
      </c>
      <c r="F2258" s="81">
        <v>4579</v>
      </c>
      <c r="G2258" s="156">
        <f>Tabla18[[#This Row],[Importe]]-Tabla18[[#This Row],[Pagado]]</f>
        <v>0</v>
      </c>
      <c r="H2258" s="75" t="s">
        <v>10</v>
      </c>
    </row>
    <row r="2259" spans="1:8" x14ac:dyDescent="0.25">
      <c r="A2259" s="148">
        <v>44763</v>
      </c>
      <c r="B2259" s="149" t="s">
        <v>23602</v>
      </c>
      <c r="C2259" s="153" t="s">
        <v>246</v>
      </c>
      <c r="D2259" s="154">
        <v>13300</v>
      </c>
      <c r="E2259" s="155">
        <v>44763</v>
      </c>
      <c r="F2259" s="154">
        <v>13300</v>
      </c>
      <c r="G2259" s="156">
        <f>Tabla18[[#This Row],[Importe]]-Tabla18[[#This Row],[Pagado]]</f>
        <v>0</v>
      </c>
      <c r="H2259" s="153" t="s">
        <v>10</v>
      </c>
    </row>
    <row r="2260" spans="1:8" x14ac:dyDescent="0.25">
      <c r="A2260" s="73">
        <v>44763</v>
      </c>
      <c r="B2260" s="74" t="s">
        <v>23603</v>
      </c>
      <c r="C2260" s="75" t="s">
        <v>407</v>
      </c>
      <c r="D2260" s="81">
        <v>10200</v>
      </c>
      <c r="E2260" s="151">
        <v>44763</v>
      </c>
      <c r="F2260" s="81">
        <v>10200</v>
      </c>
      <c r="G2260" s="156">
        <f>Tabla18[[#This Row],[Importe]]-Tabla18[[#This Row],[Pagado]]</f>
        <v>0</v>
      </c>
      <c r="H2260" s="75" t="s">
        <v>10</v>
      </c>
    </row>
    <row r="2261" spans="1:8" x14ac:dyDescent="0.25">
      <c r="A2261" s="148">
        <v>44763</v>
      </c>
      <c r="B2261" s="149" t="s">
        <v>23604</v>
      </c>
      <c r="C2261" s="153" t="s">
        <v>698</v>
      </c>
      <c r="D2261" s="154">
        <v>3494.4</v>
      </c>
      <c r="E2261" s="155">
        <v>44763</v>
      </c>
      <c r="F2261" s="154">
        <v>3494.4</v>
      </c>
      <c r="G2261" s="156">
        <f>Tabla18[[#This Row],[Importe]]-Tabla18[[#This Row],[Pagado]]</f>
        <v>0</v>
      </c>
      <c r="H2261" s="153" t="s">
        <v>10</v>
      </c>
    </row>
    <row r="2262" spans="1:8" x14ac:dyDescent="0.25">
      <c r="A2262" s="73">
        <v>44763</v>
      </c>
      <c r="B2262" s="74" t="s">
        <v>23605</v>
      </c>
      <c r="C2262" s="75" t="s">
        <v>3177</v>
      </c>
      <c r="D2262" s="81">
        <v>6776</v>
      </c>
      <c r="E2262" s="151">
        <v>44763</v>
      </c>
      <c r="F2262" s="81">
        <v>6776</v>
      </c>
      <c r="G2262" s="156">
        <f>Tabla18[[#This Row],[Importe]]-Tabla18[[#This Row],[Pagado]]</f>
        <v>0</v>
      </c>
      <c r="H2262" s="75" t="s">
        <v>10</v>
      </c>
    </row>
    <row r="2263" spans="1:8" x14ac:dyDescent="0.25">
      <c r="A2263" s="148">
        <v>44763</v>
      </c>
      <c r="B2263" s="149" t="s">
        <v>23606</v>
      </c>
      <c r="C2263" s="153" t="s">
        <v>179</v>
      </c>
      <c r="D2263" s="154">
        <v>2080</v>
      </c>
      <c r="E2263" s="155">
        <v>44763</v>
      </c>
      <c r="F2263" s="154">
        <v>2080</v>
      </c>
      <c r="G2263" s="156">
        <f>Tabla18[[#This Row],[Importe]]-Tabla18[[#This Row],[Pagado]]</f>
        <v>0</v>
      </c>
      <c r="H2263" s="153" t="s">
        <v>10</v>
      </c>
    </row>
    <row r="2264" spans="1:8" x14ac:dyDescent="0.25">
      <c r="A2264" s="73">
        <v>44763</v>
      </c>
      <c r="B2264" s="74" t="s">
        <v>23607</v>
      </c>
      <c r="C2264" s="75" t="s">
        <v>296</v>
      </c>
      <c r="D2264" s="81">
        <v>2501</v>
      </c>
      <c r="E2264" s="151">
        <v>44763</v>
      </c>
      <c r="F2264" s="81">
        <v>2501</v>
      </c>
      <c r="G2264" s="156">
        <f>Tabla18[[#This Row],[Importe]]-Tabla18[[#This Row],[Pagado]]</f>
        <v>0</v>
      </c>
      <c r="H2264" s="75" t="s">
        <v>10</v>
      </c>
    </row>
    <row r="2265" spans="1:8" x14ac:dyDescent="0.25">
      <c r="A2265" s="148">
        <v>44764</v>
      </c>
      <c r="B2265" s="149" t="s">
        <v>23608</v>
      </c>
      <c r="C2265" s="153" t="s">
        <v>887</v>
      </c>
      <c r="D2265" s="154">
        <v>17061.7</v>
      </c>
      <c r="E2265" s="155">
        <v>44764</v>
      </c>
      <c r="F2265" s="154">
        <v>17061.7</v>
      </c>
      <c r="G2265" s="156">
        <f>Tabla18[[#This Row],[Importe]]-Tabla18[[#This Row],[Pagado]]</f>
        <v>0</v>
      </c>
      <c r="H2265" s="153" t="s">
        <v>10</v>
      </c>
    </row>
    <row r="2266" spans="1:8" x14ac:dyDescent="0.25">
      <c r="A2266" s="73">
        <v>44764</v>
      </c>
      <c r="B2266" s="74" t="s">
        <v>23609</v>
      </c>
      <c r="C2266" s="75" t="s">
        <v>20</v>
      </c>
      <c r="D2266" s="81">
        <v>2835.2</v>
      </c>
      <c r="E2266" s="151">
        <v>44764</v>
      </c>
      <c r="F2266" s="81">
        <v>2835.2</v>
      </c>
      <c r="G2266" s="156">
        <f>Tabla18[[#This Row],[Importe]]-Tabla18[[#This Row],[Pagado]]</f>
        <v>0</v>
      </c>
      <c r="H2266" s="75" t="s">
        <v>10</v>
      </c>
    </row>
    <row r="2267" spans="1:8" x14ac:dyDescent="0.25">
      <c r="A2267" s="148">
        <v>44764</v>
      </c>
      <c r="B2267" s="149" t="s">
        <v>23610</v>
      </c>
      <c r="C2267" s="153" t="s">
        <v>475</v>
      </c>
      <c r="D2267" s="154">
        <v>67814.100000000006</v>
      </c>
      <c r="E2267" s="155">
        <v>44765</v>
      </c>
      <c r="F2267" s="154">
        <v>67814.100000000006</v>
      </c>
      <c r="G2267" s="156">
        <f>Tabla18[[#This Row],[Importe]]-Tabla18[[#This Row],[Pagado]]</f>
        <v>0</v>
      </c>
      <c r="H2267" s="153" t="s">
        <v>10</v>
      </c>
    </row>
    <row r="2268" spans="1:8" x14ac:dyDescent="0.25">
      <c r="A2268" s="73">
        <v>44764</v>
      </c>
      <c r="B2268" s="74" t="s">
        <v>23611</v>
      </c>
      <c r="C2268" s="75" t="s">
        <v>75</v>
      </c>
      <c r="D2268" s="81">
        <v>9134.7999999999993</v>
      </c>
      <c r="E2268" s="151">
        <v>44764</v>
      </c>
      <c r="F2268" s="81">
        <v>9134.7999999999993</v>
      </c>
      <c r="G2268" s="156">
        <f>Tabla18[[#This Row],[Importe]]-Tabla18[[#This Row],[Pagado]]</f>
        <v>0</v>
      </c>
      <c r="H2268" s="75" t="s">
        <v>10</v>
      </c>
    </row>
    <row r="2269" spans="1:8" x14ac:dyDescent="0.25">
      <c r="A2269" s="148">
        <v>44764</v>
      </c>
      <c r="B2269" s="149" t="s">
        <v>23612</v>
      </c>
      <c r="C2269" s="153" t="s">
        <v>85</v>
      </c>
      <c r="D2269" s="154">
        <v>1513</v>
      </c>
      <c r="E2269" s="155">
        <v>44764</v>
      </c>
      <c r="F2269" s="154">
        <v>1513</v>
      </c>
      <c r="G2269" s="156">
        <f>Tabla18[[#This Row],[Importe]]-Tabla18[[#This Row],[Pagado]]</f>
        <v>0</v>
      </c>
      <c r="H2269" s="153" t="s">
        <v>10</v>
      </c>
    </row>
    <row r="2270" spans="1:8" x14ac:dyDescent="0.25">
      <c r="A2270" s="73">
        <v>44764</v>
      </c>
      <c r="B2270" s="74" t="s">
        <v>23613</v>
      </c>
      <c r="C2270" s="75" t="s">
        <v>135</v>
      </c>
      <c r="D2270" s="81">
        <v>3118.5</v>
      </c>
      <c r="E2270" s="151">
        <v>44764</v>
      </c>
      <c r="F2270" s="81">
        <v>3118.5</v>
      </c>
      <c r="G2270" s="156">
        <f>Tabla18[[#This Row],[Importe]]-Tabla18[[#This Row],[Pagado]]</f>
        <v>0</v>
      </c>
      <c r="H2270" s="75" t="s">
        <v>10</v>
      </c>
    </row>
    <row r="2271" spans="1:8" x14ac:dyDescent="0.25">
      <c r="A2271" s="148">
        <v>44764</v>
      </c>
      <c r="B2271" s="149" t="s">
        <v>23614</v>
      </c>
      <c r="C2271" s="153" t="s">
        <v>87</v>
      </c>
      <c r="D2271" s="154">
        <v>3767</v>
      </c>
      <c r="E2271" s="155">
        <v>44764</v>
      </c>
      <c r="F2271" s="154">
        <v>3767</v>
      </c>
      <c r="G2271" s="156">
        <f>Tabla18[[#This Row],[Importe]]-Tabla18[[#This Row],[Pagado]]</f>
        <v>0</v>
      </c>
      <c r="H2271" s="153" t="s">
        <v>10</v>
      </c>
    </row>
    <row r="2272" spans="1:8" x14ac:dyDescent="0.25">
      <c r="A2272" s="73">
        <v>44764</v>
      </c>
      <c r="B2272" s="74" t="s">
        <v>23615</v>
      </c>
      <c r="C2272" s="75" t="s">
        <v>314</v>
      </c>
      <c r="D2272" s="81">
        <v>4332.3999999999996</v>
      </c>
      <c r="E2272" s="151">
        <v>44764</v>
      </c>
      <c r="F2272" s="81">
        <v>4332.3999999999996</v>
      </c>
      <c r="G2272" s="156">
        <f>Tabla18[[#This Row],[Importe]]-Tabla18[[#This Row],[Pagado]]</f>
        <v>0</v>
      </c>
      <c r="H2272" s="75" t="s">
        <v>10</v>
      </c>
    </row>
    <row r="2273" spans="1:8" x14ac:dyDescent="0.25">
      <c r="A2273" s="148">
        <v>44764</v>
      </c>
      <c r="B2273" s="149" t="s">
        <v>23616</v>
      </c>
      <c r="C2273" s="153" t="s">
        <v>5043</v>
      </c>
      <c r="D2273" s="154">
        <v>5913.6</v>
      </c>
      <c r="E2273" s="155">
        <v>44768</v>
      </c>
      <c r="F2273" s="154">
        <v>5913.6</v>
      </c>
      <c r="G2273" s="156">
        <f>Tabla18[[#This Row],[Importe]]-Tabla18[[#This Row],[Pagado]]</f>
        <v>0</v>
      </c>
      <c r="H2273" s="153" t="s">
        <v>10</v>
      </c>
    </row>
    <row r="2274" spans="1:8" x14ac:dyDescent="0.25">
      <c r="A2274" s="73">
        <v>44764</v>
      </c>
      <c r="B2274" s="74" t="s">
        <v>23617</v>
      </c>
      <c r="C2274" s="75" t="s">
        <v>348</v>
      </c>
      <c r="D2274" s="81">
        <v>8182.2</v>
      </c>
      <c r="E2274" s="151">
        <v>44764</v>
      </c>
      <c r="F2274" s="81">
        <v>8182.2</v>
      </c>
      <c r="G2274" s="156">
        <f>Tabla18[[#This Row],[Importe]]-Tabla18[[#This Row],[Pagado]]</f>
        <v>0</v>
      </c>
      <c r="H2274" s="75" t="s">
        <v>10</v>
      </c>
    </row>
    <row r="2275" spans="1:8" x14ac:dyDescent="0.25">
      <c r="A2275" s="148">
        <v>44764</v>
      </c>
      <c r="B2275" s="149" t="s">
        <v>23618</v>
      </c>
      <c r="C2275" s="153" t="s">
        <v>93</v>
      </c>
      <c r="D2275" s="154">
        <v>9307.2999999999993</v>
      </c>
      <c r="E2275" s="155">
        <v>44767</v>
      </c>
      <c r="F2275" s="154">
        <v>9307.2999999999993</v>
      </c>
      <c r="G2275" s="156">
        <f>Tabla18[[#This Row],[Importe]]-Tabla18[[#This Row],[Pagado]]</f>
        <v>0</v>
      </c>
      <c r="H2275" s="153" t="s">
        <v>10</v>
      </c>
    </row>
    <row r="2276" spans="1:8" x14ac:dyDescent="0.25">
      <c r="A2276" s="73">
        <v>44764</v>
      </c>
      <c r="B2276" s="74" t="s">
        <v>23619</v>
      </c>
      <c r="C2276" s="75" t="s">
        <v>89</v>
      </c>
      <c r="D2276" s="81">
        <v>14519.9</v>
      </c>
      <c r="E2276" s="151">
        <v>44765</v>
      </c>
      <c r="F2276" s="81">
        <v>14519.9</v>
      </c>
      <c r="G2276" s="156">
        <f>Tabla18[[#This Row],[Importe]]-Tabla18[[#This Row],[Pagado]]</f>
        <v>0</v>
      </c>
      <c r="H2276" s="75" t="s">
        <v>10</v>
      </c>
    </row>
    <row r="2277" spans="1:8" ht="31.5" x14ac:dyDescent="0.25">
      <c r="A2277" s="148">
        <v>44764</v>
      </c>
      <c r="B2277" s="149" t="s">
        <v>23620</v>
      </c>
      <c r="C2277" s="153" t="s">
        <v>99</v>
      </c>
      <c r="D2277" s="154">
        <v>8376.7999999999993</v>
      </c>
      <c r="E2277" s="150" t="s">
        <v>23621</v>
      </c>
      <c r="F2277" s="154">
        <f>7000+1376.8</f>
        <v>8376.7999999999993</v>
      </c>
      <c r="G2277" s="156">
        <f>Tabla18[[#This Row],[Importe]]-Tabla18[[#This Row],[Pagado]]</f>
        <v>0</v>
      </c>
      <c r="H2277" s="153" t="s">
        <v>10</v>
      </c>
    </row>
    <row r="2278" spans="1:8" x14ac:dyDescent="0.25">
      <c r="A2278" s="73">
        <v>44764</v>
      </c>
      <c r="B2278" s="74" t="s">
        <v>23622</v>
      </c>
      <c r="C2278" s="75" t="s">
        <v>105</v>
      </c>
      <c r="D2278" s="81">
        <v>18807.8</v>
      </c>
      <c r="E2278" s="151">
        <v>44765</v>
      </c>
      <c r="F2278" s="81">
        <v>18807.8</v>
      </c>
      <c r="G2278" s="156">
        <f>Tabla18[[#This Row],[Importe]]-Tabla18[[#This Row],[Pagado]]</f>
        <v>0</v>
      </c>
      <c r="H2278" s="75" t="s">
        <v>10</v>
      </c>
    </row>
    <row r="2279" spans="1:8" x14ac:dyDescent="0.25">
      <c r="A2279" s="148">
        <v>44764</v>
      </c>
      <c r="B2279" s="149" t="s">
        <v>23623</v>
      </c>
      <c r="C2279" s="153" t="s">
        <v>111</v>
      </c>
      <c r="D2279" s="154">
        <v>5337.6</v>
      </c>
      <c r="E2279" s="155">
        <v>44765</v>
      </c>
      <c r="F2279" s="154">
        <v>5337.6</v>
      </c>
      <c r="G2279" s="156">
        <f>Tabla18[[#This Row],[Importe]]-Tabla18[[#This Row],[Pagado]]</f>
        <v>0</v>
      </c>
      <c r="H2279" s="153" t="s">
        <v>10</v>
      </c>
    </row>
    <row r="2280" spans="1:8" x14ac:dyDescent="0.25">
      <c r="A2280" s="73">
        <v>44764</v>
      </c>
      <c r="B2280" s="74" t="s">
        <v>23624</v>
      </c>
      <c r="C2280" s="75" t="s">
        <v>161</v>
      </c>
      <c r="D2280" s="81">
        <v>4581.5</v>
      </c>
      <c r="E2280" s="151">
        <v>44764</v>
      </c>
      <c r="F2280" s="81">
        <v>4581.5</v>
      </c>
      <c r="G2280" s="156">
        <f>Tabla18[[#This Row],[Importe]]-Tabla18[[#This Row],[Pagado]]</f>
        <v>0</v>
      </c>
      <c r="H2280" s="75" t="s">
        <v>10</v>
      </c>
    </row>
    <row r="2281" spans="1:8" x14ac:dyDescent="0.25">
      <c r="A2281" s="148">
        <v>44764</v>
      </c>
      <c r="B2281" s="149" t="s">
        <v>23625</v>
      </c>
      <c r="C2281" s="153" t="s">
        <v>97</v>
      </c>
      <c r="D2281" s="154">
        <v>6346.8</v>
      </c>
      <c r="E2281" s="155">
        <v>44765</v>
      </c>
      <c r="F2281" s="154">
        <v>6346.8</v>
      </c>
      <c r="G2281" s="156">
        <f>Tabla18[[#This Row],[Importe]]-Tabla18[[#This Row],[Pagado]]</f>
        <v>0</v>
      </c>
      <c r="H2281" s="153" t="s">
        <v>10</v>
      </c>
    </row>
    <row r="2282" spans="1:8" x14ac:dyDescent="0.25">
      <c r="A2282" s="73">
        <v>44764</v>
      </c>
      <c r="B2282" s="74" t="s">
        <v>23626</v>
      </c>
      <c r="C2282" s="75" t="s">
        <v>2151</v>
      </c>
      <c r="D2282" s="81">
        <v>25336.3</v>
      </c>
      <c r="E2282" s="151">
        <v>44764</v>
      </c>
      <c r="F2282" s="81">
        <v>25336.3</v>
      </c>
      <c r="G2282" s="156">
        <f>Tabla18[[#This Row],[Importe]]-Tabla18[[#This Row],[Pagado]]</f>
        <v>0</v>
      </c>
      <c r="H2282" s="75" t="s">
        <v>10</v>
      </c>
    </row>
    <row r="2283" spans="1:8" x14ac:dyDescent="0.25">
      <c r="A2283" s="148">
        <v>44764</v>
      </c>
      <c r="B2283" s="149" t="s">
        <v>23627</v>
      </c>
      <c r="C2283" s="153" t="s">
        <v>64</v>
      </c>
      <c r="D2283" s="154">
        <v>10630.7</v>
      </c>
      <c r="E2283" s="155">
        <v>44765</v>
      </c>
      <c r="F2283" s="154">
        <v>10630.7</v>
      </c>
      <c r="G2283" s="156">
        <f>Tabla18[[#This Row],[Importe]]-Tabla18[[#This Row],[Pagado]]</f>
        <v>0</v>
      </c>
      <c r="H2283" s="153" t="s">
        <v>10</v>
      </c>
    </row>
    <row r="2284" spans="1:8" x14ac:dyDescent="0.25">
      <c r="A2284" s="73">
        <v>44764</v>
      </c>
      <c r="B2284" s="74" t="s">
        <v>23628</v>
      </c>
      <c r="C2284" s="75" t="s">
        <v>83</v>
      </c>
      <c r="D2284" s="81">
        <v>6481.4</v>
      </c>
      <c r="E2284" s="151">
        <v>44764</v>
      </c>
      <c r="F2284" s="81">
        <v>6481.4</v>
      </c>
      <c r="G2284" s="156">
        <f>Tabla18[[#This Row],[Importe]]-Tabla18[[#This Row],[Pagado]]</f>
        <v>0</v>
      </c>
      <c r="H2284" s="75" t="s">
        <v>10</v>
      </c>
    </row>
    <row r="2285" spans="1:8" x14ac:dyDescent="0.25">
      <c r="A2285" s="148">
        <v>44764</v>
      </c>
      <c r="B2285" s="149" t="s">
        <v>23629</v>
      </c>
      <c r="C2285" s="153" t="s">
        <v>9</v>
      </c>
      <c r="D2285" s="154">
        <v>9923.6</v>
      </c>
      <c r="E2285" s="155">
        <v>44764</v>
      </c>
      <c r="F2285" s="154">
        <v>9923.6</v>
      </c>
      <c r="G2285" s="156">
        <f>Tabla18[[#This Row],[Importe]]-Tabla18[[#This Row],[Pagado]]</f>
        <v>0</v>
      </c>
      <c r="H2285" s="153" t="s">
        <v>10</v>
      </c>
    </row>
    <row r="2286" spans="1:8" x14ac:dyDescent="0.25">
      <c r="A2286" s="73">
        <v>44764</v>
      </c>
      <c r="B2286" s="74" t="s">
        <v>23630</v>
      </c>
      <c r="C2286" s="75" t="s">
        <v>114</v>
      </c>
      <c r="D2286" s="81">
        <v>11404.8</v>
      </c>
      <c r="E2286" s="151">
        <v>44765</v>
      </c>
      <c r="F2286" s="81">
        <v>11404.8</v>
      </c>
      <c r="G2286" s="156">
        <f>Tabla18[[#This Row],[Importe]]-Tabla18[[#This Row],[Pagado]]</f>
        <v>0</v>
      </c>
      <c r="H2286" s="75" t="s">
        <v>10</v>
      </c>
    </row>
    <row r="2287" spans="1:8" x14ac:dyDescent="0.25">
      <c r="A2287" s="148">
        <v>44764</v>
      </c>
      <c r="B2287" s="149" t="s">
        <v>23631</v>
      </c>
      <c r="C2287" s="153" t="s">
        <v>1187</v>
      </c>
      <c r="D2287" s="154">
        <v>1050.8</v>
      </c>
      <c r="E2287" s="155">
        <v>44764</v>
      </c>
      <c r="F2287" s="154">
        <v>1050.8</v>
      </c>
      <c r="G2287" s="156">
        <f>Tabla18[[#This Row],[Importe]]-Tabla18[[#This Row],[Pagado]]</f>
        <v>0</v>
      </c>
      <c r="H2287" s="153" t="s">
        <v>10</v>
      </c>
    </row>
    <row r="2288" spans="1:8" x14ac:dyDescent="0.25">
      <c r="A2288" s="73">
        <v>44764</v>
      </c>
      <c r="B2288" s="74" t="s">
        <v>23632</v>
      </c>
      <c r="C2288" s="75" t="s">
        <v>664</v>
      </c>
      <c r="D2288" s="81">
        <v>4384.8</v>
      </c>
      <c r="E2288" s="151">
        <v>44764</v>
      </c>
      <c r="F2288" s="81">
        <v>4384.8</v>
      </c>
      <c r="G2288" s="156">
        <f>Tabla18[[#This Row],[Importe]]-Tabla18[[#This Row],[Pagado]]</f>
        <v>0</v>
      </c>
      <c r="H2288" s="75" t="s">
        <v>10</v>
      </c>
    </row>
    <row r="2289" spans="1:8" x14ac:dyDescent="0.25">
      <c r="A2289" s="148">
        <v>44764</v>
      </c>
      <c r="B2289" s="149" t="s">
        <v>23633</v>
      </c>
      <c r="C2289" s="153" t="s">
        <v>140</v>
      </c>
      <c r="D2289" s="154">
        <v>1826</v>
      </c>
      <c r="E2289" s="155">
        <v>44764</v>
      </c>
      <c r="F2289" s="154">
        <v>1826</v>
      </c>
      <c r="G2289" s="156">
        <f>Tabla18[[#This Row],[Importe]]-Tabla18[[#This Row],[Pagado]]</f>
        <v>0</v>
      </c>
      <c r="H2289" s="153" t="s">
        <v>10</v>
      </c>
    </row>
    <row r="2290" spans="1:8" x14ac:dyDescent="0.25">
      <c r="A2290" s="73">
        <v>44764</v>
      </c>
      <c r="B2290" s="74" t="s">
        <v>23634</v>
      </c>
      <c r="C2290" s="75" t="s">
        <v>127</v>
      </c>
      <c r="D2290" s="81">
        <v>2497.3000000000002</v>
      </c>
      <c r="E2290" s="151">
        <v>44764</v>
      </c>
      <c r="F2290" s="81">
        <v>2497.3000000000002</v>
      </c>
      <c r="G2290" s="156">
        <f>Tabla18[[#This Row],[Importe]]-Tabla18[[#This Row],[Pagado]]</f>
        <v>0</v>
      </c>
      <c r="H2290" s="75" t="s">
        <v>10</v>
      </c>
    </row>
    <row r="2291" spans="1:8" x14ac:dyDescent="0.25">
      <c r="A2291" s="148">
        <v>44764</v>
      </c>
      <c r="B2291" s="149" t="s">
        <v>23635</v>
      </c>
      <c r="C2291" s="153" t="s">
        <v>129</v>
      </c>
      <c r="D2291" s="154">
        <v>5397.6</v>
      </c>
      <c r="E2291" s="155">
        <v>44764</v>
      </c>
      <c r="F2291" s="154">
        <v>5397.6</v>
      </c>
      <c r="G2291" s="156">
        <f>Tabla18[[#This Row],[Importe]]-Tabla18[[#This Row],[Pagado]]</f>
        <v>0</v>
      </c>
      <c r="H2291" s="153" t="s">
        <v>10</v>
      </c>
    </row>
    <row r="2292" spans="1:8" x14ac:dyDescent="0.25">
      <c r="A2292" s="73">
        <v>44764</v>
      </c>
      <c r="B2292" s="74" t="s">
        <v>23636</v>
      </c>
      <c r="C2292" s="75" t="s">
        <v>353</v>
      </c>
      <c r="D2292" s="81">
        <v>1528.8</v>
      </c>
      <c r="E2292" s="151">
        <v>44764</v>
      </c>
      <c r="F2292" s="81">
        <v>1528.8</v>
      </c>
      <c r="G2292" s="156">
        <f>Tabla18[[#This Row],[Importe]]-Tabla18[[#This Row],[Pagado]]</f>
        <v>0</v>
      </c>
      <c r="H2292" s="75" t="s">
        <v>10</v>
      </c>
    </row>
    <row r="2293" spans="1:8" x14ac:dyDescent="0.25">
      <c r="A2293" s="148">
        <v>44764</v>
      </c>
      <c r="B2293" s="149" t="s">
        <v>23637</v>
      </c>
      <c r="C2293" s="153" t="s">
        <v>142</v>
      </c>
      <c r="D2293" s="154">
        <v>69612.42</v>
      </c>
      <c r="E2293" s="155">
        <v>44799</v>
      </c>
      <c r="F2293" s="154">
        <v>69612.42</v>
      </c>
      <c r="G2293" s="156">
        <f>Tabla18[[#This Row],[Importe]]-Tabla18[[#This Row],[Pagado]]</f>
        <v>0</v>
      </c>
      <c r="H2293" s="153" t="s">
        <v>10</v>
      </c>
    </row>
    <row r="2294" spans="1:8" x14ac:dyDescent="0.25">
      <c r="A2294" s="73">
        <v>44764</v>
      </c>
      <c r="B2294" s="74" t="s">
        <v>23638</v>
      </c>
      <c r="C2294" s="75" t="s">
        <v>56</v>
      </c>
      <c r="D2294" s="81">
        <v>9305.4</v>
      </c>
      <c r="E2294" s="151">
        <v>44764</v>
      </c>
      <c r="F2294" s="81">
        <v>9305.4</v>
      </c>
      <c r="G2294" s="156">
        <f>Tabla18[[#This Row],[Importe]]-Tabla18[[#This Row],[Pagado]]</f>
        <v>0</v>
      </c>
      <c r="H2294" s="75" t="s">
        <v>10</v>
      </c>
    </row>
    <row r="2295" spans="1:8" x14ac:dyDescent="0.25">
      <c r="A2295" s="148">
        <v>44764</v>
      </c>
      <c r="B2295" s="149" t="s">
        <v>23639</v>
      </c>
      <c r="C2295" s="153" t="s">
        <v>31</v>
      </c>
      <c r="D2295" s="154">
        <v>5112.1000000000004</v>
      </c>
      <c r="E2295" s="155">
        <v>44764</v>
      </c>
      <c r="F2295" s="154">
        <v>5112.1000000000004</v>
      </c>
      <c r="G2295" s="156">
        <f>Tabla18[[#This Row],[Importe]]-Tabla18[[#This Row],[Pagado]]</f>
        <v>0</v>
      </c>
      <c r="H2295" s="153" t="s">
        <v>10</v>
      </c>
    </row>
    <row r="2296" spans="1:8" x14ac:dyDescent="0.25">
      <c r="A2296" s="73">
        <v>44764</v>
      </c>
      <c r="B2296" s="74" t="s">
        <v>23640</v>
      </c>
      <c r="C2296" s="75" t="s">
        <v>31</v>
      </c>
      <c r="D2296" s="81">
        <v>2182.4</v>
      </c>
      <c r="E2296" s="151">
        <v>44764</v>
      </c>
      <c r="F2296" s="81">
        <v>2182.4</v>
      </c>
      <c r="G2296" s="156">
        <f>Tabla18[[#This Row],[Importe]]-Tabla18[[#This Row],[Pagado]]</f>
        <v>0</v>
      </c>
      <c r="H2296" s="75" t="s">
        <v>10</v>
      </c>
    </row>
    <row r="2297" spans="1:8" ht="31.5" x14ac:dyDescent="0.25">
      <c r="A2297" s="148">
        <v>44764</v>
      </c>
      <c r="B2297" s="149" t="s">
        <v>23641</v>
      </c>
      <c r="C2297" s="153" t="s">
        <v>22</v>
      </c>
      <c r="D2297" s="154">
        <v>40157.699999999997</v>
      </c>
      <c r="E2297" s="150" t="s">
        <v>23642</v>
      </c>
      <c r="F2297" s="154">
        <f>32000+8157.7</f>
        <v>40157.699999999997</v>
      </c>
      <c r="G2297" s="156">
        <f>Tabla18[[#This Row],[Importe]]-Tabla18[[#This Row],[Pagado]]</f>
        <v>0</v>
      </c>
      <c r="H2297" s="153" t="s">
        <v>10</v>
      </c>
    </row>
    <row r="2298" spans="1:8" x14ac:dyDescent="0.25">
      <c r="A2298" s="73">
        <v>44764</v>
      </c>
      <c r="B2298" s="74" t="s">
        <v>23643</v>
      </c>
      <c r="C2298" s="75" t="s">
        <v>484</v>
      </c>
      <c r="D2298" s="81">
        <v>8108.1</v>
      </c>
      <c r="E2298" s="151">
        <v>44764</v>
      </c>
      <c r="F2298" s="81">
        <v>8108.1</v>
      </c>
      <c r="G2298" s="156">
        <f>Tabla18[[#This Row],[Importe]]-Tabla18[[#This Row],[Pagado]]</f>
        <v>0</v>
      </c>
      <c r="H2298" s="75" t="s">
        <v>10</v>
      </c>
    </row>
    <row r="2299" spans="1:8" x14ac:dyDescent="0.25">
      <c r="A2299" s="148">
        <v>44764</v>
      </c>
      <c r="B2299" s="149" t="s">
        <v>23644</v>
      </c>
      <c r="C2299" s="153" t="s">
        <v>275</v>
      </c>
      <c r="D2299" s="154">
        <v>167688.1</v>
      </c>
      <c r="E2299" s="155">
        <v>44778</v>
      </c>
      <c r="F2299" s="154">
        <v>167688.1</v>
      </c>
      <c r="G2299" s="156">
        <f>Tabla18[[#This Row],[Importe]]-Tabla18[[#This Row],[Pagado]]</f>
        <v>0</v>
      </c>
      <c r="H2299" s="153" t="s">
        <v>10</v>
      </c>
    </row>
    <row r="2300" spans="1:8" x14ac:dyDescent="0.25">
      <c r="A2300" s="73">
        <v>44764</v>
      </c>
      <c r="B2300" s="74" t="s">
        <v>23645</v>
      </c>
      <c r="C2300" s="75" t="s">
        <v>275</v>
      </c>
      <c r="D2300" s="81">
        <v>12595.2</v>
      </c>
      <c r="E2300" s="151">
        <v>44778</v>
      </c>
      <c r="F2300" s="81">
        <v>12595.2</v>
      </c>
      <c r="G2300" s="156">
        <f>Tabla18[[#This Row],[Importe]]-Tabla18[[#This Row],[Pagado]]</f>
        <v>0</v>
      </c>
      <c r="H2300" s="75" t="s">
        <v>10</v>
      </c>
    </row>
    <row r="2301" spans="1:8" x14ac:dyDescent="0.25">
      <c r="A2301" s="148">
        <v>44764</v>
      </c>
      <c r="B2301" s="149" t="s">
        <v>23646</v>
      </c>
      <c r="C2301" s="153" t="s">
        <v>1302</v>
      </c>
      <c r="D2301" s="154">
        <v>11174.4</v>
      </c>
      <c r="E2301" s="155">
        <v>44764</v>
      </c>
      <c r="F2301" s="154">
        <v>11174.4</v>
      </c>
      <c r="G2301" s="156">
        <f>Tabla18[[#This Row],[Importe]]-Tabla18[[#This Row],[Pagado]]</f>
        <v>0</v>
      </c>
      <c r="H2301" s="153" t="s">
        <v>10</v>
      </c>
    </row>
    <row r="2302" spans="1:8" x14ac:dyDescent="0.25">
      <c r="A2302" s="73">
        <v>44764</v>
      </c>
      <c r="B2302" s="74" t="s">
        <v>23647</v>
      </c>
      <c r="C2302" s="75" t="s">
        <v>647</v>
      </c>
      <c r="D2302" s="81">
        <v>1935.5</v>
      </c>
      <c r="E2302" s="151">
        <v>44764</v>
      </c>
      <c r="F2302" s="81">
        <v>1935.5</v>
      </c>
      <c r="G2302" s="156">
        <f>Tabla18[[#This Row],[Importe]]-Tabla18[[#This Row],[Pagado]]</f>
        <v>0</v>
      </c>
      <c r="H2302" s="75" t="s">
        <v>10</v>
      </c>
    </row>
    <row r="2303" spans="1:8" x14ac:dyDescent="0.25">
      <c r="A2303" s="148">
        <v>44764</v>
      </c>
      <c r="B2303" s="149" t="s">
        <v>23648</v>
      </c>
      <c r="C2303" s="153" t="s">
        <v>647</v>
      </c>
      <c r="D2303" s="154">
        <v>1919.2</v>
      </c>
      <c r="E2303" s="155">
        <v>44764</v>
      </c>
      <c r="F2303" s="154">
        <v>1919.2</v>
      </c>
      <c r="G2303" s="156">
        <f>Tabla18[[#This Row],[Importe]]-Tabla18[[#This Row],[Pagado]]</f>
        <v>0</v>
      </c>
      <c r="H2303" s="153" t="s">
        <v>10</v>
      </c>
    </row>
    <row r="2304" spans="1:8" x14ac:dyDescent="0.25">
      <c r="A2304" s="73">
        <v>44764</v>
      </c>
      <c r="B2304" s="74" t="s">
        <v>23649</v>
      </c>
      <c r="C2304" s="75" t="s">
        <v>107</v>
      </c>
      <c r="D2304" s="81">
        <v>11647.4</v>
      </c>
      <c r="E2304" s="151">
        <v>44767</v>
      </c>
      <c r="F2304" s="81">
        <v>11647.4</v>
      </c>
      <c r="G2304" s="156">
        <f>Tabla18[[#This Row],[Importe]]-Tabla18[[#This Row],[Pagado]]</f>
        <v>0</v>
      </c>
      <c r="H2304" s="75" t="s">
        <v>10</v>
      </c>
    </row>
    <row r="2305" spans="1:8" x14ac:dyDescent="0.25">
      <c r="A2305" s="148">
        <v>44764</v>
      </c>
      <c r="B2305" s="149" t="s">
        <v>23650</v>
      </c>
      <c r="C2305" s="153" t="s">
        <v>31</v>
      </c>
      <c r="D2305" s="154">
        <v>3616</v>
      </c>
      <c r="E2305" s="155">
        <v>44764</v>
      </c>
      <c r="F2305" s="154">
        <v>3616</v>
      </c>
      <c r="G2305" s="156">
        <f>Tabla18[[#This Row],[Importe]]-Tabla18[[#This Row],[Pagado]]</f>
        <v>0</v>
      </c>
      <c r="H2305" s="153" t="s">
        <v>10</v>
      </c>
    </row>
    <row r="2306" spans="1:8" x14ac:dyDescent="0.25">
      <c r="A2306" s="73">
        <v>44764</v>
      </c>
      <c r="B2306" s="74" t="s">
        <v>23651</v>
      </c>
      <c r="C2306" s="75" t="s">
        <v>196</v>
      </c>
      <c r="D2306" s="81">
        <v>120958.88</v>
      </c>
      <c r="E2306" s="151">
        <v>44765</v>
      </c>
      <c r="F2306" s="81">
        <v>120958.88</v>
      </c>
      <c r="G2306" s="156">
        <f>Tabla18[[#This Row],[Importe]]-Tabla18[[#This Row],[Pagado]]</f>
        <v>0</v>
      </c>
      <c r="H2306" s="75" t="s">
        <v>10</v>
      </c>
    </row>
    <row r="2307" spans="1:8" x14ac:dyDescent="0.25">
      <c r="A2307" s="148">
        <v>44764</v>
      </c>
      <c r="B2307" s="149" t="s">
        <v>23652</v>
      </c>
      <c r="C2307" s="153" t="s">
        <v>11033</v>
      </c>
      <c r="D2307" s="154">
        <v>2054</v>
      </c>
      <c r="E2307" s="155">
        <v>44764</v>
      </c>
      <c r="F2307" s="154">
        <v>2054</v>
      </c>
      <c r="G2307" s="156">
        <f>Tabla18[[#This Row],[Importe]]-Tabla18[[#This Row],[Pagado]]</f>
        <v>0</v>
      </c>
      <c r="H2307" s="153" t="s">
        <v>10</v>
      </c>
    </row>
    <row r="2308" spans="1:8" x14ac:dyDescent="0.25">
      <c r="A2308" s="73">
        <v>44764</v>
      </c>
      <c r="B2308" s="74" t="s">
        <v>23653</v>
      </c>
      <c r="C2308" s="75" t="s">
        <v>27</v>
      </c>
      <c r="D2308" s="81">
        <v>2595</v>
      </c>
      <c r="E2308" s="151">
        <v>44764</v>
      </c>
      <c r="F2308" s="81">
        <v>2595</v>
      </c>
      <c r="G2308" s="156">
        <f>Tabla18[[#This Row],[Importe]]-Tabla18[[#This Row],[Pagado]]</f>
        <v>0</v>
      </c>
      <c r="H2308" s="75" t="s">
        <v>10</v>
      </c>
    </row>
    <row r="2309" spans="1:8" x14ac:dyDescent="0.25">
      <c r="A2309" s="148">
        <v>44764</v>
      </c>
      <c r="B2309" s="149" t="s">
        <v>23654</v>
      </c>
      <c r="C2309" s="153" t="s">
        <v>1378</v>
      </c>
      <c r="D2309" s="154">
        <v>86093.2</v>
      </c>
      <c r="E2309" s="155">
        <v>44765</v>
      </c>
      <c r="F2309" s="154">
        <v>86093.2</v>
      </c>
      <c r="G2309" s="156">
        <f>Tabla18[[#This Row],[Importe]]-Tabla18[[#This Row],[Pagado]]</f>
        <v>0</v>
      </c>
      <c r="H2309" s="153" t="s">
        <v>10</v>
      </c>
    </row>
    <row r="2310" spans="1:8" x14ac:dyDescent="0.25">
      <c r="A2310" s="73">
        <v>44764</v>
      </c>
      <c r="B2310" s="74" t="s">
        <v>23655</v>
      </c>
      <c r="C2310" s="75" t="s">
        <v>133</v>
      </c>
      <c r="D2310" s="81">
        <v>11890</v>
      </c>
      <c r="E2310" s="151">
        <v>44765</v>
      </c>
      <c r="F2310" s="81">
        <v>11890</v>
      </c>
      <c r="G2310" s="156">
        <f>Tabla18[[#This Row],[Importe]]-Tabla18[[#This Row],[Pagado]]</f>
        <v>0</v>
      </c>
      <c r="H2310" s="75" t="s">
        <v>10</v>
      </c>
    </row>
    <row r="2311" spans="1:8" x14ac:dyDescent="0.25">
      <c r="A2311" s="148">
        <v>44764</v>
      </c>
      <c r="B2311" s="149" t="s">
        <v>23656</v>
      </c>
      <c r="C2311" s="153" t="s">
        <v>592</v>
      </c>
      <c r="D2311" s="154">
        <v>34360</v>
      </c>
      <c r="E2311" s="155">
        <v>44765</v>
      </c>
      <c r="F2311" s="154">
        <v>34360</v>
      </c>
      <c r="G2311" s="156">
        <f>Tabla18[[#This Row],[Importe]]-Tabla18[[#This Row],[Pagado]]</f>
        <v>0</v>
      </c>
      <c r="H2311" s="153" t="s">
        <v>10</v>
      </c>
    </row>
    <row r="2312" spans="1:8" x14ac:dyDescent="0.25">
      <c r="A2312" s="73">
        <v>44764</v>
      </c>
      <c r="B2312" s="74" t="s">
        <v>23657</v>
      </c>
      <c r="C2312" s="75" t="s">
        <v>23658</v>
      </c>
      <c r="D2312" s="81">
        <v>0</v>
      </c>
      <c r="E2312" s="157" t="s">
        <v>189</v>
      </c>
      <c r="F2312" s="81">
        <v>0</v>
      </c>
      <c r="G2312" s="156">
        <f>Tabla18[[#This Row],[Importe]]-Tabla18[[#This Row],[Pagado]]</f>
        <v>0</v>
      </c>
      <c r="H2312" s="75" t="s">
        <v>189</v>
      </c>
    </row>
    <row r="2313" spans="1:8" x14ac:dyDescent="0.25">
      <c r="A2313" s="148">
        <v>44764</v>
      </c>
      <c r="B2313" s="149" t="s">
        <v>23659</v>
      </c>
      <c r="C2313" s="153" t="s">
        <v>289</v>
      </c>
      <c r="D2313" s="154">
        <v>14556.8</v>
      </c>
      <c r="E2313" s="155">
        <v>44764</v>
      </c>
      <c r="F2313" s="154">
        <v>14556.8</v>
      </c>
      <c r="G2313" s="156">
        <f>Tabla18[[#This Row],[Importe]]-Tabla18[[#This Row],[Pagado]]</f>
        <v>0</v>
      </c>
      <c r="H2313" s="153" t="s">
        <v>10</v>
      </c>
    </row>
    <row r="2314" spans="1:8" x14ac:dyDescent="0.25">
      <c r="A2314" s="73">
        <v>44764</v>
      </c>
      <c r="B2314" s="74" t="s">
        <v>23660</v>
      </c>
      <c r="C2314" s="75" t="s">
        <v>31</v>
      </c>
      <c r="D2314" s="81">
        <v>713.4</v>
      </c>
      <c r="E2314" s="151">
        <v>44764</v>
      </c>
      <c r="F2314" s="81">
        <v>713.4</v>
      </c>
      <c r="G2314" s="156">
        <f>Tabla18[[#This Row],[Importe]]-Tabla18[[#This Row],[Pagado]]</f>
        <v>0</v>
      </c>
      <c r="H2314" s="75" t="s">
        <v>10</v>
      </c>
    </row>
    <row r="2315" spans="1:8" x14ac:dyDescent="0.25">
      <c r="A2315" s="148">
        <v>44764</v>
      </c>
      <c r="B2315" s="149" t="s">
        <v>23661</v>
      </c>
      <c r="C2315" s="153" t="s">
        <v>49</v>
      </c>
      <c r="D2315" s="154">
        <v>4202.3999999999996</v>
      </c>
      <c r="E2315" s="155">
        <v>44764</v>
      </c>
      <c r="F2315" s="154">
        <v>4202.3999999999996</v>
      </c>
      <c r="G2315" s="156">
        <f>Tabla18[[#This Row],[Importe]]-Tabla18[[#This Row],[Pagado]]</f>
        <v>0</v>
      </c>
      <c r="H2315" s="153" t="s">
        <v>10</v>
      </c>
    </row>
    <row r="2316" spans="1:8" x14ac:dyDescent="0.25">
      <c r="A2316" s="73">
        <v>44764</v>
      </c>
      <c r="B2316" s="74" t="s">
        <v>23662</v>
      </c>
      <c r="C2316" s="75" t="s">
        <v>67</v>
      </c>
      <c r="D2316" s="81">
        <v>6396</v>
      </c>
      <c r="E2316" s="151">
        <v>44764</v>
      </c>
      <c r="F2316" s="81">
        <v>6396</v>
      </c>
      <c r="G2316" s="156">
        <f>Tabla18[[#This Row],[Importe]]-Tabla18[[#This Row],[Pagado]]</f>
        <v>0</v>
      </c>
      <c r="H2316" s="75" t="s">
        <v>10</v>
      </c>
    </row>
    <row r="2317" spans="1:8" x14ac:dyDescent="0.25">
      <c r="A2317" s="148">
        <v>44764</v>
      </c>
      <c r="B2317" s="149" t="s">
        <v>23663</v>
      </c>
      <c r="C2317" s="153" t="s">
        <v>2114</v>
      </c>
      <c r="D2317" s="154">
        <v>1310.4000000000001</v>
      </c>
      <c r="E2317" s="155">
        <v>44764</v>
      </c>
      <c r="F2317" s="154">
        <v>1310.4000000000001</v>
      </c>
      <c r="G2317" s="156">
        <f>Tabla18[[#This Row],[Importe]]-Tabla18[[#This Row],[Pagado]]</f>
        <v>0</v>
      </c>
      <c r="H2317" s="153" t="s">
        <v>10</v>
      </c>
    </row>
    <row r="2318" spans="1:8" x14ac:dyDescent="0.25">
      <c r="A2318" s="73">
        <v>44764</v>
      </c>
      <c r="B2318" s="74" t="s">
        <v>23664</v>
      </c>
      <c r="C2318" s="75" t="s">
        <v>175</v>
      </c>
      <c r="D2318" s="81">
        <v>32098</v>
      </c>
      <c r="E2318" s="151">
        <v>44765</v>
      </c>
      <c r="F2318" s="81">
        <v>32098</v>
      </c>
      <c r="G2318" s="156">
        <f>Tabla18[[#This Row],[Importe]]-Tabla18[[#This Row],[Pagado]]</f>
        <v>0</v>
      </c>
      <c r="H2318" s="75" t="s">
        <v>10</v>
      </c>
    </row>
    <row r="2319" spans="1:8" x14ac:dyDescent="0.25">
      <c r="A2319" s="148">
        <v>44764</v>
      </c>
      <c r="B2319" s="149" t="s">
        <v>23665</v>
      </c>
      <c r="C2319" s="153" t="s">
        <v>181</v>
      </c>
      <c r="D2319" s="154">
        <v>15635.2</v>
      </c>
      <c r="E2319" s="155">
        <v>44765</v>
      </c>
      <c r="F2319" s="154">
        <v>15635.2</v>
      </c>
      <c r="G2319" s="156">
        <f>Tabla18[[#This Row],[Importe]]-Tabla18[[#This Row],[Pagado]]</f>
        <v>0</v>
      </c>
      <c r="H2319" s="153" t="s">
        <v>10</v>
      </c>
    </row>
    <row r="2320" spans="1:8" x14ac:dyDescent="0.25">
      <c r="A2320" s="73">
        <v>44764</v>
      </c>
      <c r="B2320" s="74" t="s">
        <v>23666</v>
      </c>
      <c r="C2320" s="75" t="s">
        <v>10190</v>
      </c>
      <c r="D2320" s="81">
        <v>28414.799999999999</v>
      </c>
      <c r="E2320" s="151">
        <v>44765</v>
      </c>
      <c r="F2320" s="81">
        <v>28414.799999999999</v>
      </c>
      <c r="G2320" s="156">
        <f>Tabla18[[#This Row],[Importe]]-Tabla18[[#This Row],[Pagado]]</f>
        <v>0</v>
      </c>
      <c r="H2320" s="75" t="s">
        <v>10</v>
      </c>
    </row>
    <row r="2321" spans="1:8" x14ac:dyDescent="0.25">
      <c r="A2321" s="148">
        <v>44764</v>
      </c>
      <c r="B2321" s="149" t="s">
        <v>23667</v>
      </c>
      <c r="C2321" s="153" t="s">
        <v>37</v>
      </c>
      <c r="D2321" s="154">
        <v>4202.1000000000004</v>
      </c>
      <c r="E2321" s="155">
        <v>44764</v>
      </c>
      <c r="F2321" s="154">
        <v>4202.1000000000004</v>
      </c>
      <c r="G2321" s="156">
        <f>Tabla18[[#This Row],[Importe]]-Tabla18[[#This Row],[Pagado]]</f>
        <v>0</v>
      </c>
      <c r="H2321" s="153" t="s">
        <v>10</v>
      </c>
    </row>
    <row r="2322" spans="1:8" x14ac:dyDescent="0.25">
      <c r="A2322" s="73">
        <v>44764</v>
      </c>
      <c r="B2322" s="74" t="s">
        <v>23668</v>
      </c>
      <c r="C2322" s="75" t="s">
        <v>849</v>
      </c>
      <c r="D2322" s="81">
        <v>5516</v>
      </c>
      <c r="E2322" s="151">
        <v>44764</v>
      </c>
      <c r="F2322" s="81">
        <v>5516</v>
      </c>
      <c r="G2322" s="156">
        <f>Tabla18[[#This Row],[Importe]]-Tabla18[[#This Row],[Pagado]]</f>
        <v>0</v>
      </c>
      <c r="H2322" s="75" t="s">
        <v>10</v>
      </c>
    </row>
    <row r="2323" spans="1:8" x14ac:dyDescent="0.25">
      <c r="A2323" s="148">
        <v>44764</v>
      </c>
      <c r="B2323" s="149" t="s">
        <v>23669</v>
      </c>
      <c r="C2323" s="153" t="s">
        <v>45</v>
      </c>
      <c r="D2323" s="154">
        <v>11995.2</v>
      </c>
      <c r="E2323" s="155">
        <v>44764</v>
      </c>
      <c r="F2323" s="154">
        <v>11995.2</v>
      </c>
      <c r="G2323" s="156">
        <f>Tabla18[[#This Row],[Importe]]-Tabla18[[#This Row],[Pagado]]</f>
        <v>0</v>
      </c>
      <c r="H2323" s="153" t="s">
        <v>10</v>
      </c>
    </row>
    <row r="2324" spans="1:8" x14ac:dyDescent="0.25">
      <c r="A2324" s="73">
        <v>44764</v>
      </c>
      <c r="B2324" s="74" t="s">
        <v>23670</v>
      </c>
      <c r="C2324" s="75" t="s">
        <v>555</v>
      </c>
      <c r="D2324" s="81">
        <v>23152</v>
      </c>
      <c r="E2324" s="151">
        <v>44765</v>
      </c>
      <c r="F2324" s="81">
        <v>23152</v>
      </c>
      <c r="G2324" s="156">
        <f>Tabla18[[#This Row],[Importe]]-Tabla18[[#This Row],[Pagado]]</f>
        <v>0</v>
      </c>
      <c r="H2324" s="75" t="s">
        <v>10</v>
      </c>
    </row>
    <row r="2325" spans="1:8" x14ac:dyDescent="0.25">
      <c r="A2325" s="148">
        <v>44764</v>
      </c>
      <c r="B2325" s="149" t="s">
        <v>23671</v>
      </c>
      <c r="C2325" s="153" t="s">
        <v>20182</v>
      </c>
      <c r="D2325" s="154">
        <v>0</v>
      </c>
      <c r="E2325" s="158" t="s">
        <v>189</v>
      </c>
      <c r="F2325" s="154">
        <v>0</v>
      </c>
      <c r="G2325" s="156">
        <f>Tabla18[[#This Row],[Importe]]-Tabla18[[#This Row],[Pagado]]</f>
        <v>0</v>
      </c>
      <c r="H2325" s="153" t="s">
        <v>189</v>
      </c>
    </row>
    <row r="2326" spans="1:8" x14ac:dyDescent="0.25">
      <c r="A2326" s="73">
        <v>44764</v>
      </c>
      <c r="B2326" s="74" t="s">
        <v>23672</v>
      </c>
      <c r="C2326" s="75" t="s">
        <v>23673</v>
      </c>
      <c r="D2326" s="81">
        <v>0</v>
      </c>
      <c r="E2326" s="157" t="s">
        <v>189</v>
      </c>
      <c r="F2326" s="81">
        <v>0</v>
      </c>
      <c r="G2326" s="156">
        <f>Tabla18[[#This Row],[Importe]]-Tabla18[[#This Row],[Pagado]]</f>
        <v>0</v>
      </c>
      <c r="H2326" s="161" t="s">
        <v>23674</v>
      </c>
    </row>
    <row r="2327" spans="1:8" x14ac:dyDescent="0.25">
      <c r="A2327" s="148">
        <v>44764</v>
      </c>
      <c r="B2327" s="149" t="s">
        <v>23675</v>
      </c>
      <c r="C2327" s="153" t="s">
        <v>275</v>
      </c>
      <c r="D2327" s="154">
        <v>5993.7</v>
      </c>
      <c r="E2327" s="155">
        <v>44778</v>
      </c>
      <c r="F2327" s="154">
        <v>5993.7</v>
      </c>
      <c r="G2327" s="156">
        <f>Tabla18[[#This Row],[Importe]]-Tabla18[[#This Row],[Pagado]]</f>
        <v>0</v>
      </c>
      <c r="H2327" s="153" t="s">
        <v>10</v>
      </c>
    </row>
    <row r="2328" spans="1:8" x14ac:dyDescent="0.25">
      <c r="A2328" s="73">
        <v>44764</v>
      </c>
      <c r="B2328" s="74" t="s">
        <v>23676</v>
      </c>
      <c r="C2328" s="75" t="s">
        <v>10157</v>
      </c>
      <c r="D2328" s="81">
        <v>43690.1</v>
      </c>
      <c r="E2328" s="151">
        <v>44772</v>
      </c>
      <c r="F2328" s="81">
        <v>43690.1</v>
      </c>
      <c r="G2328" s="156">
        <f>Tabla18[[#This Row],[Importe]]-Tabla18[[#This Row],[Pagado]]</f>
        <v>0</v>
      </c>
      <c r="H2328" s="75" t="s">
        <v>10</v>
      </c>
    </row>
    <row r="2329" spans="1:8" x14ac:dyDescent="0.25">
      <c r="A2329" s="148">
        <v>44764</v>
      </c>
      <c r="B2329" s="149" t="s">
        <v>23677</v>
      </c>
      <c r="C2329" s="153" t="s">
        <v>670</v>
      </c>
      <c r="D2329" s="154">
        <v>4766.3</v>
      </c>
      <c r="E2329" s="155">
        <v>44764</v>
      </c>
      <c r="F2329" s="154">
        <v>4766.3</v>
      </c>
      <c r="G2329" s="156">
        <f>Tabla18[[#This Row],[Importe]]-Tabla18[[#This Row],[Pagado]]</f>
        <v>0</v>
      </c>
      <c r="H2329" s="153" t="s">
        <v>10</v>
      </c>
    </row>
    <row r="2330" spans="1:8" x14ac:dyDescent="0.25">
      <c r="A2330" s="73">
        <v>44764</v>
      </c>
      <c r="B2330" s="74" t="s">
        <v>23678</v>
      </c>
      <c r="C2330" s="75" t="s">
        <v>31</v>
      </c>
      <c r="D2330" s="81">
        <v>1968</v>
      </c>
      <c r="E2330" s="151">
        <v>44764</v>
      </c>
      <c r="F2330" s="81">
        <v>1968</v>
      </c>
      <c r="G2330" s="156">
        <f>Tabla18[[#This Row],[Importe]]-Tabla18[[#This Row],[Pagado]]</f>
        <v>0</v>
      </c>
      <c r="H2330" s="75" t="s">
        <v>10</v>
      </c>
    </row>
    <row r="2331" spans="1:8" x14ac:dyDescent="0.25">
      <c r="A2331" s="148">
        <v>44764</v>
      </c>
      <c r="B2331" s="149" t="s">
        <v>23679</v>
      </c>
      <c r="C2331" s="153" t="s">
        <v>670</v>
      </c>
      <c r="D2331" s="154">
        <v>360</v>
      </c>
      <c r="E2331" s="155">
        <v>44764</v>
      </c>
      <c r="F2331" s="154">
        <v>360</v>
      </c>
      <c r="G2331" s="156">
        <f>Tabla18[[#This Row],[Importe]]-Tabla18[[#This Row],[Pagado]]</f>
        <v>0</v>
      </c>
      <c r="H2331" s="153" t="s">
        <v>10</v>
      </c>
    </row>
    <row r="2332" spans="1:8" x14ac:dyDescent="0.25">
      <c r="A2332" s="73">
        <v>44764</v>
      </c>
      <c r="B2332" s="74" t="s">
        <v>23680</v>
      </c>
      <c r="C2332" s="75" t="s">
        <v>470</v>
      </c>
      <c r="D2332" s="81">
        <v>32330.2</v>
      </c>
      <c r="E2332" s="151">
        <v>44765</v>
      </c>
      <c r="F2332" s="81">
        <v>32330.2</v>
      </c>
      <c r="G2332" s="156">
        <f>Tabla18[[#This Row],[Importe]]-Tabla18[[#This Row],[Pagado]]</f>
        <v>0</v>
      </c>
      <c r="H2332" s="75" t="s">
        <v>10</v>
      </c>
    </row>
    <row r="2333" spans="1:8" x14ac:dyDescent="0.25">
      <c r="A2333" s="148">
        <v>44764</v>
      </c>
      <c r="B2333" s="149" t="s">
        <v>23681</v>
      </c>
      <c r="C2333" s="153" t="s">
        <v>24</v>
      </c>
      <c r="D2333" s="154">
        <v>2593.6</v>
      </c>
      <c r="E2333" s="155">
        <v>44764</v>
      </c>
      <c r="F2333" s="154">
        <v>2593.6</v>
      </c>
      <c r="G2333" s="156">
        <f>Tabla18[[#This Row],[Importe]]-Tabla18[[#This Row],[Pagado]]</f>
        <v>0</v>
      </c>
      <c r="H2333" s="153" t="s">
        <v>10</v>
      </c>
    </row>
    <row r="2334" spans="1:8" x14ac:dyDescent="0.25">
      <c r="A2334" s="73">
        <v>44764</v>
      </c>
      <c r="B2334" s="74" t="s">
        <v>23682</v>
      </c>
      <c r="C2334" s="75" t="s">
        <v>15868</v>
      </c>
      <c r="D2334" s="81">
        <v>29946.400000000001</v>
      </c>
      <c r="E2334" s="151">
        <v>44765</v>
      </c>
      <c r="F2334" s="81">
        <v>29946.400000000001</v>
      </c>
      <c r="G2334" s="156">
        <f>Tabla18[[#This Row],[Importe]]-Tabla18[[#This Row],[Pagado]]</f>
        <v>0</v>
      </c>
      <c r="H2334" s="75" t="s">
        <v>10</v>
      </c>
    </row>
    <row r="2335" spans="1:8" x14ac:dyDescent="0.25">
      <c r="A2335" s="148">
        <v>44764</v>
      </c>
      <c r="B2335" s="149" t="s">
        <v>23683</v>
      </c>
      <c r="C2335" s="153" t="s">
        <v>1003</v>
      </c>
      <c r="D2335" s="154">
        <v>9477.2999999999993</v>
      </c>
      <c r="E2335" s="155">
        <v>44766</v>
      </c>
      <c r="F2335" s="154">
        <v>9477.2999999999993</v>
      </c>
      <c r="G2335" s="156">
        <f>Tabla18[[#This Row],[Importe]]-Tabla18[[#This Row],[Pagado]]</f>
        <v>0</v>
      </c>
      <c r="H2335" s="153" t="s">
        <v>10</v>
      </c>
    </row>
    <row r="2336" spans="1:8" x14ac:dyDescent="0.25">
      <c r="A2336" s="73">
        <v>44764</v>
      </c>
      <c r="B2336" s="74" t="s">
        <v>23684</v>
      </c>
      <c r="C2336" s="75" t="s">
        <v>296</v>
      </c>
      <c r="D2336" s="81">
        <v>8771.7000000000007</v>
      </c>
      <c r="E2336" s="151">
        <v>44764</v>
      </c>
      <c r="F2336" s="81">
        <v>8771.7000000000007</v>
      </c>
      <c r="G2336" s="156">
        <f>Tabla18[[#This Row],[Importe]]-Tabla18[[#This Row],[Pagado]]</f>
        <v>0</v>
      </c>
      <c r="H2336" s="75" t="s">
        <v>10</v>
      </c>
    </row>
    <row r="2337" spans="1:8" x14ac:dyDescent="0.25">
      <c r="A2337" s="148">
        <v>44764</v>
      </c>
      <c r="B2337" s="149" t="s">
        <v>23685</v>
      </c>
      <c r="C2337" s="153" t="s">
        <v>212</v>
      </c>
      <c r="D2337" s="154">
        <v>60275.9</v>
      </c>
      <c r="E2337" s="155">
        <v>44768</v>
      </c>
      <c r="F2337" s="154">
        <v>60275.9</v>
      </c>
      <c r="G2337" s="156">
        <f>Tabla18[[#This Row],[Importe]]-Tabla18[[#This Row],[Pagado]]</f>
        <v>0</v>
      </c>
      <c r="H2337" s="153" t="s">
        <v>10</v>
      </c>
    </row>
    <row r="2338" spans="1:8" x14ac:dyDescent="0.25">
      <c r="A2338" s="73">
        <v>44764</v>
      </c>
      <c r="B2338" s="74" t="s">
        <v>23686</v>
      </c>
      <c r="C2338" s="75" t="s">
        <v>173</v>
      </c>
      <c r="D2338" s="81">
        <v>35698.400000000001</v>
      </c>
      <c r="E2338" s="151">
        <v>44765</v>
      </c>
      <c r="F2338" s="81">
        <v>35698.400000000001</v>
      </c>
      <c r="G2338" s="156">
        <f>Tabla18[[#This Row],[Importe]]-Tabla18[[#This Row],[Pagado]]</f>
        <v>0</v>
      </c>
      <c r="H2338" s="75" t="s">
        <v>10</v>
      </c>
    </row>
    <row r="2339" spans="1:8" x14ac:dyDescent="0.25">
      <c r="A2339" s="148">
        <v>44764</v>
      </c>
      <c r="B2339" s="149" t="s">
        <v>23687</v>
      </c>
      <c r="C2339" s="153" t="s">
        <v>31</v>
      </c>
      <c r="D2339" s="154">
        <v>1410.4</v>
      </c>
      <c r="E2339" s="155">
        <v>44764</v>
      </c>
      <c r="F2339" s="154">
        <v>1410.4</v>
      </c>
      <c r="G2339" s="156">
        <f>Tabla18[[#This Row],[Importe]]-Tabla18[[#This Row],[Pagado]]</f>
        <v>0</v>
      </c>
      <c r="H2339" s="153" t="s">
        <v>10</v>
      </c>
    </row>
    <row r="2340" spans="1:8" x14ac:dyDescent="0.25">
      <c r="A2340" s="73">
        <v>44764</v>
      </c>
      <c r="B2340" s="74" t="s">
        <v>23688</v>
      </c>
      <c r="C2340" s="75" t="s">
        <v>154</v>
      </c>
      <c r="D2340" s="81">
        <v>67880</v>
      </c>
      <c r="E2340" s="151">
        <v>44768</v>
      </c>
      <c r="F2340" s="81">
        <v>67880</v>
      </c>
      <c r="G2340" s="156">
        <f>Tabla18[[#This Row],[Importe]]-Tabla18[[#This Row],[Pagado]]</f>
        <v>0</v>
      </c>
      <c r="H2340" s="75" t="s">
        <v>10</v>
      </c>
    </row>
    <row r="2341" spans="1:8" x14ac:dyDescent="0.25">
      <c r="A2341" s="148">
        <v>44764</v>
      </c>
      <c r="B2341" s="149" t="s">
        <v>23689</v>
      </c>
      <c r="C2341" s="153" t="s">
        <v>218</v>
      </c>
      <c r="D2341" s="154">
        <v>33456.5</v>
      </c>
      <c r="E2341" s="155">
        <v>44768</v>
      </c>
      <c r="F2341" s="154">
        <v>33456.5</v>
      </c>
      <c r="G2341" s="156">
        <f>Tabla18[[#This Row],[Importe]]-Tabla18[[#This Row],[Pagado]]</f>
        <v>0</v>
      </c>
      <c r="H2341" s="153" t="s">
        <v>10</v>
      </c>
    </row>
    <row r="2342" spans="1:8" x14ac:dyDescent="0.25">
      <c r="A2342" s="73">
        <v>44764</v>
      </c>
      <c r="B2342" s="74" t="s">
        <v>23690</v>
      </c>
      <c r="C2342" s="75" t="s">
        <v>11383</v>
      </c>
      <c r="D2342" s="81">
        <v>41990.400000000001</v>
      </c>
      <c r="E2342" s="151">
        <v>44764</v>
      </c>
      <c r="F2342" s="81">
        <v>41990.400000000001</v>
      </c>
      <c r="G2342" s="156">
        <f>Tabla18[[#This Row],[Importe]]-Tabla18[[#This Row],[Pagado]]</f>
        <v>0</v>
      </c>
      <c r="H2342" s="75" t="s">
        <v>10</v>
      </c>
    </row>
    <row r="2343" spans="1:8" x14ac:dyDescent="0.25">
      <c r="A2343" s="148">
        <v>44764</v>
      </c>
      <c r="B2343" s="149" t="s">
        <v>23691</v>
      </c>
      <c r="C2343" s="153" t="s">
        <v>206</v>
      </c>
      <c r="D2343" s="154">
        <v>37086.199999999997</v>
      </c>
      <c r="E2343" s="155">
        <v>44768</v>
      </c>
      <c r="F2343" s="154">
        <v>37086.199999999997</v>
      </c>
      <c r="G2343" s="156">
        <f>Tabla18[[#This Row],[Importe]]-Tabla18[[#This Row],[Pagado]]</f>
        <v>0</v>
      </c>
      <c r="H2343" s="153" t="s">
        <v>10</v>
      </c>
    </row>
    <row r="2344" spans="1:8" ht="31.5" x14ac:dyDescent="0.25">
      <c r="A2344" s="73">
        <v>44764</v>
      </c>
      <c r="B2344" s="74" t="s">
        <v>23692</v>
      </c>
      <c r="C2344" s="75" t="s">
        <v>392</v>
      </c>
      <c r="D2344" s="81">
        <v>20116.3</v>
      </c>
      <c r="E2344" s="147" t="s">
        <v>24617</v>
      </c>
      <c r="F2344" s="81">
        <f>17000+3116.3</f>
        <v>20116.3</v>
      </c>
      <c r="G2344" s="156">
        <f>Tabla18[[#This Row],[Importe]]-Tabla18[[#This Row],[Pagado]]</f>
        <v>0</v>
      </c>
      <c r="H2344" s="75" t="s">
        <v>10</v>
      </c>
    </row>
    <row r="2345" spans="1:8" x14ac:dyDescent="0.25">
      <c r="A2345" s="148">
        <v>44764</v>
      </c>
      <c r="B2345" s="149" t="s">
        <v>23693</v>
      </c>
      <c r="C2345" s="153" t="s">
        <v>365</v>
      </c>
      <c r="D2345" s="154">
        <v>1551</v>
      </c>
      <c r="E2345" s="155">
        <v>44764</v>
      </c>
      <c r="F2345" s="154">
        <v>1551</v>
      </c>
      <c r="G2345" s="156">
        <f>Tabla18[[#This Row],[Importe]]-Tabla18[[#This Row],[Pagado]]</f>
        <v>0</v>
      </c>
      <c r="H2345" s="153" t="s">
        <v>10</v>
      </c>
    </row>
    <row r="2346" spans="1:8" x14ac:dyDescent="0.25">
      <c r="A2346" s="73">
        <v>44764</v>
      </c>
      <c r="B2346" s="74" t="s">
        <v>23694</v>
      </c>
      <c r="C2346" s="75" t="s">
        <v>273</v>
      </c>
      <c r="D2346" s="81">
        <v>2847.8</v>
      </c>
      <c r="E2346" s="151">
        <v>44764</v>
      </c>
      <c r="F2346" s="81">
        <v>2847.8</v>
      </c>
      <c r="G2346" s="156">
        <f>Tabla18[[#This Row],[Importe]]-Tabla18[[#This Row],[Pagado]]</f>
        <v>0</v>
      </c>
      <c r="H2346" s="75" t="s">
        <v>10</v>
      </c>
    </row>
    <row r="2347" spans="1:8" ht="31.5" x14ac:dyDescent="0.25">
      <c r="A2347" s="148">
        <v>44764</v>
      </c>
      <c r="B2347" s="149" t="s">
        <v>23695</v>
      </c>
      <c r="C2347" s="153" t="s">
        <v>67</v>
      </c>
      <c r="D2347" s="154">
        <v>12254.1</v>
      </c>
      <c r="E2347" s="150" t="s">
        <v>23525</v>
      </c>
      <c r="F2347" s="154">
        <f>11504.1+750</f>
        <v>12254.1</v>
      </c>
      <c r="G2347" s="156">
        <f>Tabla18[[#This Row],[Importe]]-Tabla18[[#This Row],[Pagado]]</f>
        <v>0</v>
      </c>
      <c r="H2347" s="153" t="s">
        <v>10</v>
      </c>
    </row>
    <row r="2348" spans="1:8" x14ac:dyDescent="0.25">
      <c r="A2348" s="73">
        <v>44764</v>
      </c>
      <c r="B2348" s="74" t="s">
        <v>23696</v>
      </c>
      <c r="C2348" s="75" t="s">
        <v>58</v>
      </c>
      <c r="D2348" s="81">
        <v>2135.6999999999998</v>
      </c>
      <c r="E2348" s="151">
        <v>44764</v>
      </c>
      <c r="F2348" s="81">
        <v>2135.6999999999998</v>
      </c>
      <c r="G2348" s="156">
        <f>Tabla18[[#This Row],[Importe]]-Tabla18[[#This Row],[Pagado]]</f>
        <v>0</v>
      </c>
      <c r="H2348" s="75" t="s">
        <v>10</v>
      </c>
    </row>
    <row r="2349" spans="1:8" x14ac:dyDescent="0.25">
      <c r="A2349" s="148">
        <v>44764</v>
      </c>
      <c r="B2349" s="149" t="s">
        <v>23697</v>
      </c>
      <c r="C2349" s="153" t="s">
        <v>23698</v>
      </c>
      <c r="D2349" s="154">
        <v>0</v>
      </c>
      <c r="E2349" s="158" t="s">
        <v>189</v>
      </c>
      <c r="F2349" s="154">
        <v>0</v>
      </c>
      <c r="G2349" s="156">
        <f>Tabla18[[#This Row],[Importe]]-Tabla18[[#This Row],[Pagado]]</f>
        <v>0</v>
      </c>
      <c r="H2349" s="153" t="s">
        <v>189</v>
      </c>
    </row>
    <row r="2350" spans="1:8" x14ac:dyDescent="0.25">
      <c r="A2350" s="73">
        <v>44764</v>
      </c>
      <c r="B2350" s="74" t="s">
        <v>23699</v>
      </c>
      <c r="C2350" s="75" t="s">
        <v>11383</v>
      </c>
      <c r="D2350" s="81">
        <v>3489</v>
      </c>
      <c r="E2350" s="151">
        <v>44764</v>
      </c>
      <c r="F2350" s="81">
        <v>3489</v>
      </c>
      <c r="G2350" s="156">
        <f>Tabla18[[#This Row],[Importe]]-Tabla18[[#This Row],[Pagado]]</f>
        <v>0</v>
      </c>
      <c r="H2350" s="75" t="s">
        <v>10</v>
      </c>
    </row>
    <row r="2351" spans="1:8" x14ac:dyDescent="0.25">
      <c r="A2351" s="148">
        <v>44764</v>
      </c>
      <c r="B2351" s="149" t="s">
        <v>23700</v>
      </c>
      <c r="C2351" s="153" t="s">
        <v>419</v>
      </c>
      <c r="D2351" s="154">
        <v>8413.7999999999993</v>
      </c>
      <c r="E2351" s="155">
        <v>44764</v>
      </c>
      <c r="F2351" s="154">
        <v>8413.7999999999993</v>
      </c>
      <c r="G2351" s="156">
        <f>Tabla18[[#This Row],[Importe]]-Tabla18[[#This Row],[Pagado]]</f>
        <v>0</v>
      </c>
      <c r="H2351" s="153" t="s">
        <v>10</v>
      </c>
    </row>
    <row r="2352" spans="1:8" x14ac:dyDescent="0.25">
      <c r="A2352" s="73">
        <v>44764</v>
      </c>
      <c r="B2352" s="74" t="s">
        <v>23701</v>
      </c>
      <c r="C2352" s="75" t="s">
        <v>9827</v>
      </c>
      <c r="D2352" s="81">
        <v>4389.6000000000004</v>
      </c>
      <c r="E2352" s="151">
        <v>44764</v>
      </c>
      <c r="F2352" s="81">
        <v>4389.6000000000004</v>
      </c>
      <c r="G2352" s="156">
        <f>Tabla18[[#This Row],[Importe]]-Tabla18[[#This Row],[Pagado]]</f>
        <v>0</v>
      </c>
      <c r="H2352" s="75" t="s">
        <v>10</v>
      </c>
    </row>
    <row r="2353" spans="1:8" x14ac:dyDescent="0.25">
      <c r="A2353" s="148">
        <v>44764</v>
      </c>
      <c r="B2353" s="149" t="s">
        <v>23702</v>
      </c>
      <c r="C2353" s="153" t="s">
        <v>214</v>
      </c>
      <c r="D2353" s="154">
        <v>2009</v>
      </c>
      <c r="E2353" s="155">
        <v>44764</v>
      </c>
      <c r="F2353" s="154">
        <v>2009</v>
      </c>
      <c r="G2353" s="156">
        <f>Tabla18[[#This Row],[Importe]]-Tabla18[[#This Row],[Pagado]]</f>
        <v>0</v>
      </c>
      <c r="H2353" s="153" t="s">
        <v>10</v>
      </c>
    </row>
    <row r="2354" spans="1:8" x14ac:dyDescent="0.25">
      <c r="A2354" s="73">
        <v>44764</v>
      </c>
      <c r="B2354" s="74" t="s">
        <v>23703</v>
      </c>
      <c r="C2354" s="75" t="s">
        <v>51</v>
      </c>
      <c r="D2354" s="81">
        <v>3944</v>
      </c>
      <c r="E2354" s="151">
        <v>44764</v>
      </c>
      <c r="F2354" s="81">
        <v>3944</v>
      </c>
      <c r="G2354" s="156">
        <f>Tabla18[[#This Row],[Importe]]-Tabla18[[#This Row],[Pagado]]</f>
        <v>0</v>
      </c>
      <c r="H2354" s="75" t="s">
        <v>10</v>
      </c>
    </row>
    <row r="2355" spans="1:8" x14ac:dyDescent="0.25">
      <c r="A2355" s="148">
        <v>44764</v>
      </c>
      <c r="B2355" s="149" t="s">
        <v>23704</v>
      </c>
      <c r="C2355" s="153" t="s">
        <v>698</v>
      </c>
      <c r="D2355" s="154">
        <v>9901.6</v>
      </c>
      <c r="E2355" s="155">
        <v>44764</v>
      </c>
      <c r="F2355" s="154">
        <v>9901.6</v>
      </c>
      <c r="G2355" s="156">
        <f>Tabla18[[#This Row],[Importe]]-Tabla18[[#This Row],[Pagado]]</f>
        <v>0</v>
      </c>
      <c r="H2355" s="153" t="s">
        <v>10</v>
      </c>
    </row>
    <row r="2356" spans="1:8" x14ac:dyDescent="0.25">
      <c r="A2356" s="73">
        <v>44764</v>
      </c>
      <c r="B2356" s="74" t="s">
        <v>23705</v>
      </c>
      <c r="C2356" s="75" t="s">
        <v>10819</v>
      </c>
      <c r="D2356" s="81">
        <v>746.2</v>
      </c>
      <c r="E2356" s="151">
        <v>44765</v>
      </c>
      <c r="F2356" s="81">
        <v>746.2</v>
      </c>
      <c r="G2356" s="156">
        <f>Tabla18[[#This Row],[Importe]]-Tabla18[[#This Row],[Pagado]]</f>
        <v>0</v>
      </c>
      <c r="H2356" s="75" t="s">
        <v>10</v>
      </c>
    </row>
    <row r="2357" spans="1:8" x14ac:dyDescent="0.25">
      <c r="A2357" s="148">
        <v>44764</v>
      </c>
      <c r="B2357" s="149" t="s">
        <v>23706</v>
      </c>
      <c r="C2357" s="153" t="s">
        <v>282</v>
      </c>
      <c r="D2357" s="154">
        <v>8817.2000000000007</v>
      </c>
      <c r="E2357" s="155">
        <v>44765</v>
      </c>
      <c r="F2357" s="154">
        <v>8817.2000000000007</v>
      </c>
      <c r="G2357" s="156">
        <f>Tabla18[[#This Row],[Importe]]-Tabla18[[#This Row],[Pagado]]</f>
        <v>0</v>
      </c>
      <c r="H2357" s="153" t="s">
        <v>10</v>
      </c>
    </row>
    <row r="2358" spans="1:8" x14ac:dyDescent="0.25">
      <c r="A2358" s="73">
        <v>44764</v>
      </c>
      <c r="B2358" s="74" t="s">
        <v>23707</v>
      </c>
      <c r="C2358" s="75" t="s">
        <v>23708</v>
      </c>
      <c r="D2358" s="81">
        <v>0</v>
      </c>
      <c r="E2358" s="157" t="s">
        <v>189</v>
      </c>
      <c r="F2358" s="81">
        <v>0</v>
      </c>
      <c r="G2358" s="156">
        <f>Tabla18[[#This Row],[Importe]]-Tabla18[[#This Row],[Pagado]]</f>
        <v>0</v>
      </c>
      <c r="H2358" s="75" t="s">
        <v>189</v>
      </c>
    </row>
    <row r="2359" spans="1:8" x14ac:dyDescent="0.25">
      <c r="A2359" s="148">
        <v>44764</v>
      </c>
      <c r="B2359" s="149" t="s">
        <v>23709</v>
      </c>
      <c r="C2359" s="153" t="s">
        <v>280</v>
      </c>
      <c r="D2359" s="154">
        <v>738</v>
      </c>
      <c r="E2359" s="155">
        <v>44765</v>
      </c>
      <c r="F2359" s="154">
        <v>738</v>
      </c>
      <c r="G2359" s="156">
        <f>Tabla18[[#This Row],[Importe]]-Tabla18[[#This Row],[Pagado]]</f>
        <v>0</v>
      </c>
      <c r="H2359" s="153" t="s">
        <v>10</v>
      </c>
    </row>
    <row r="2360" spans="1:8" x14ac:dyDescent="0.25">
      <c r="A2360" s="73">
        <v>44764</v>
      </c>
      <c r="B2360" s="74" t="s">
        <v>23710</v>
      </c>
      <c r="C2360" s="75" t="s">
        <v>647</v>
      </c>
      <c r="D2360" s="81">
        <v>1516.8</v>
      </c>
      <c r="E2360" s="151">
        <v>44764</v>
      </c>
      <c r="F2360" s="81">
        <v>1516.8</v>
      </c>
      <c r="G2360" s="156">
        <f>Tabla18[[#This Row],[Importe]]-Tabla18[[#This Row],[Pagado]]</f>
        <v>0</v>
      </c>
      <c r="H2360" s="75" t="s">
        <v>10</v>
      </c>
    </row>
    <row r="2361" spans="1:8" x14ac:dyDescent="0.25">
      <c r="A2361" s="148">
        <v>44764</v>
      </c>
      <c r="B2361" s="149" t="s">
        <v>23711</v>
      </c>
      <c r="C2361" s="153" t="s">
        <v>5345</v>
      </c>
      <c r="D2361" s="154">
        <v>1968</v>
      </c>
      <c r="E2361" s="155">
        <v>44765</v>
      </c>
      <c r="F2361" s="154">
        <v>1968</v>
      </c>
      <c r="G2361" s="156">
        <f>Tabla18[[#This Row],[Importe]]-Tabla18[[#This Row],[Pagado]]</f>
        <v>0</v>
      </c>
      <c r="H2361" s="153" t="s">
        <v>10</v>
      </c>
    </row>
    <row r="2362" spans="1:8" x14ac:dyDescent="0.25">
      <c r="A2362" s="73">
        <v>44764</v>
      </c>
      <c r="B2362" s="74" t="s">
        <v>23712</v>
      </c>
      <c r="C2362" s="75" t="s">
        <v>284</v>
      </c>
      <c r="D2362" s="81">
        <v>13390.4</v>
      </c>
      <c r="E2362" s="151">
        <v>44765</v>
      </c>
      <c r="F2362" s="81">
        <v>13390.4</v>
      </c>
      <c r="G2362" s="156">
        <f>Tabla18[[#This Row],[Importe]]-Tabla18[[#This Row],[Pagado]]</f>
        <v>0</v>
      </c>
      <c r="H2362" s="75" t="s">
        <v>10</v>
      </c>
    </row>
    <row r="2363" spans="1:8" x14ac:dyDescent="0.25">
      <c r="A2363" s="148">
        <v>44764</v>
      </c>
      <c r="B2363" s="149" t="s">
        <v>23713</v>
      </c>
      <c r="C2363" s="153" t="s">
        <v>179</v>
      </c>
      <c r="D2363" s="154">
        <v>2788</v>
      </c>
      <c r="E2363" s="155">
        <v>44765</v>
      </c>
      <c r="F2363" s="154">
        <v>2788</v>
      </c>
      <c r="G2363" s="156">
        <f>Tabla18[[#This Row],[Importe]]-Tabla18[[#This Row],[Pagado]]</f>
        <v>0</v>
      </c>
      <c r="H2363" s="153" t="s">
        <v>10</v>
      </c>
    </row>
    <row r="2364" spans="1:8" x14ac:dyDescent="0.25">
      <c r="A2364" s="73">
        <v>44764</v>
      </c>
      <c r="B2364" s="74" t="s">
        <v>23714</v>
      </c>
      <c r="C2364" s="75" t="s">
        <v>994</v>
      </c>
      <c r="D2364" s="81">
        <v>2102.9</v>
      </c>
      <c r="E2364" s="151">
        <v>44764</v>
      </c>
      <c r="F2364" s="81">
        <v>2102.9</v>
      </c>
      <c r="G2364" s="156">
        <f>Tabla18[[#This Row],[Importe]]-Tabla18[[#This Row],[Pagado]]</f>
        <v>0</v>
      </c>
      <c r="H2364" s="75" t="s">
        <v>10</v>
      </c>
    </row>
    <row r="2365" spans="1:8" x14ac:dyDescent="0.25">
      <c r="A2365" s="148">
        <v>44764</v>
      </c>
      <c r="B2365" s="149" t="s">
        <v>23715</v>
      </c>
      <c r="C2365" s="153" t="s">
        <v>654</v>
      </c>
      <c r="D2365" s="154">
        <v>13734.5</v>
      </c>
      <c r="E2365" s="155">
        <v>44766</v>
      </c>
      <c r="F2365" s="154">
        <v>13734.5</v>
      </c>
      <c r="G2365" s="156">
        <f>Tabla18[[#This Row],[Importe]]-Tabla18[[#This Row],[Pagado]]</f>
        <v>0</v>
      </c>
      <c r="H2365" s="153" t="s">
        <v>10</v>
      </c>
    </row>
    <row r="2366" spans="1:8" x14ac:dyDescent="0.25">
      <c r="A2366" s="73">
        <v>44764</v>
      </c>
      <c r="B2366" s="74" t="s">
        <v>23716</v>
      </c>
      <c r="C2366" s="75" t="s">
        <v>280</v>
      </c>
      <c r="D2366" s="81">
        <v>688.8</v>
      </c>
      <c r="E2366" s="151">
        <v>44765</v>
      </c>
      <c r="F2366" s="81">
        <v>688.8</v>
      </c>
      <c r="G2366" s="156">
        <f>Tabla18[[#This Row],[Importe]]-Tabla18[[#This Row],[Pagado]]</f>
        <v>0</v>
      </c>
      <c r="H2366" s="75" t="s">
        <v>10</v>
      </c>
    </row>
    <row r="2367" spans="1:8" x14ac:dyDescent="0.25">
      <c r="A2367" s="148">
        <v>44764</v>
      </c>
      <c r="B2367" s="149" t="s">
        <v>23717</v>
      </c>
      <c r="C2367" s="153" t="s">
        <v>414</v>
      </c>
      <c r="D2367" s="154">
        <v>2080</v>
      </c>
      <c r="E2367" s="155">
        <v>44786</v>
      </c>
      <c r="F2367" s="154">
        <v>2080</v>
      </c>
      <c r="G2367" s="156">
        <f>Tabla18[[#This Row],[Importe]]-Tabla18[[#This Row],[Pagado]]</f>
        <v>0</v>
      </c>
      <c r="H2367" s="153" t="s">
        <v>10</v>
      </c>
    </row>
    <row r="2368" spans="1:8" x14ac:dyDescent="0.25">
      <c r="A2368" s="73">
        <v>44764</v>
      </c>
      <c r="B2368" s="74" t="s">
        <v>23718</v>
      </c>
      <c r="C2368" s="75" t="s">
        <v>9780</v>
      </c>
      <c r="D2368" s="81">
        <v>3885</v>
      </c>
      <c r="E2368" s="151" t="s">
        <v>4813</v>
      </c>
      <c r="F2368" s="81">
        <v>0</v>
      </c>
      <c r="G2368" s="156">
        <f>Tabla18[[#This Row],[Importe]]-Tabla18[[#This Row],[Pagado]]</f>
        <v>3885</v>
      </c>
      <c r="H2368" s="75" t="s">
        <v>4814</v>
      </c>
    </row>
    <row r="2369" spans="1:8" x14ac:dyDescent="0.25">
      <c r="A2369" s="148">
        <v>44764</v>
      </c>
      <c r="B2369" s="149" t="s">
        <v>23719</v>
      </c>
      <c r="C2369" s="153" t="s">
        <v>95</v>
      </c>
      <c r="D2369" s="154">
        <v>16200</v>
      </c>
      <c r="E2369" s="155">
        <v>44764</v>
      </c>
      <c r="F2369" s="154">
        <v>16200</v>
      </c>
      <c r="G2369" s="156">
        <f>Tabla18[[#This Row],[Importe]]-Tabla18[[#This Row],[Pagado]]</f>
        <v>0</v>
      </c>
      <c r="H2369" s="153" t="s">
        <v>10</v>
      </c>
    </row>
    <row r="2370" spans="1:8" x14ac:dyDescent="0.25">
      <c r="A2370" s="73">
        <v>44764</v>
      </c>
      <c r="B2370" s="74" t="s">
        <v>23720</v>
      </c>
      <c r="C2370" s="75" t="s">
        <v>1008</v>
      </c>
      <c r="D2370" s="81">
        <v>3268.2</v>
      </c>
      <c r="E2370" s="151">
        <v>44764</v>
      </c>
      <c r="F2370" s="81">
        <v>3268.2</v>
      </c>
      <c r="G2370" s="156">
        <f>Tabla18[[#This Row],[Importe]]-Tabla18[[#This Row],[Pagado]]</f>
        <v>0</v>
      </c>
      <c r="H2370" s="75" t="s">
        <v>10</v>
      </c>
    </row>
    <row r="2371" spans="1:8" x14ac:dyDescent="0.25">
      <c r="A2371" s="148">
        <v>44764</v>
      </c>
      <c r="B2371" s="149" t="s">
        <v>23721</v>
      </c>
      <c r="C2371" s="153" t="s">
        <v>10678</v>
      </c>
      <c r="D2371" s="154">
        <v>2307.4</v>
      </c>
      <c r="E2371" s="155">
        <v>44764</v>
      </c>
      <c r="F2371" s="154">
        <v>2307.4</v>
      </c>
      <c r="G2371" s="156">
        <f>Tabla18[[#This Row],[Importe]]-Tabla18[[#This Row],[Pagado]]</f>
        <v>0</v>
      </c>
      <c r="H2371" s="153" t="s">
        <v>10</v>
      </c>
    </row>
    <row r="2372" spans="1:8" x14ac:dyDescent="0.25">
      <c r="A2372" s="73">
        <v>44764</v>
      </c>
      <c r="B2372" s="74" t="s">
        <v>23722</v>
      </c>
      <c r="C2372" s="75" t="s">
        <v>69</v>
      </c>
      <c r="D2372" s="81">
        <v>2632.2</v>
      </c>
      <c r="E2372" s="151">
        <v>44764</v>
      </c>
      <c r="F2372" s="81">
        <v>2632.2</v>
      </c>
      <c r="G2372" s="156">
        <f>Tabla18[[#This Row],[Importe]]-Tabla18[[#This Row],[Pagado]]</f>
        <v>0</v>
      </c>
      <c r="H2372" s="75" t="s">
        <v>10</v>
      </c>
    </row>
    <row r="2373" spans="1:8" x14ac:dyDescent="0.25">
      <c r="A2373" s="148">
        <v>44764</v>
      </c>
      <c r="B2373" s="149" t="s">
        <v>23723</v>
      </c>
      <c r="C2373" s="153" t="s">
        <v>31</v>
      </c>
      <c r="D2373" s="154">
        <v>1958.8</v>
      </c>
      <c r="E2373" s="155">
        <v>44764</v>
      </c>
      <c r="F2373" s="154">
        <v>1958.8</v>
      </c>
      <c r="G2373" s="156">
        <f>Tabla18[[#This Row],[Importe]]-Tabla18[[#This Row],[Pagado]]</f>
        <v>0</v>
      </c>
      <c r="H2373" s="153" t="s">
        <v>10</v>
      </c>
    </row>
    <row r="2374" spans="1:8" x14ac:dyDescent="0.25">
      <c r="A2374" s="73">
        <v>44764</v>
      </c>
      <c r="B2374" s="74" t="s">
        <v>23724</v>
      </c>
      <c r="C2374" s="75" t="s">
        <v>27</v>
      </c>
      <c r="D2374" s="81">
        <v>1601.6</v>
      </c>
      <c r="E2374" s="151">
        <v>44764</v>
      </c>
      <c r="F2374" s="81">
        <v>1601.6</v>
      </c>
      <c r="G2374" s="156">
        <f>Tabla18[[#This Row],[Importe]]-Tabla18[[#This Row],[Pagado]]</f>
        <v>0</v>
      </c>
      <c r="H2374" s="75" t="s">
        <v>10</v>
      </c>
    </row>
    <row r="2375" spans="1:8" x14ac:dyDescent="0.25">
      <c r="A2375" s="148">
        <v>44764</v>
      </c>
      <c r="B2375" s="149" t="s">
        <v>23725</v>
      </c>
      <c r="C2375" s="153" t="s">
        <v>31</v>
      </c>
      <c r="D2375" s="154">
        <v>8211.5</v>
      </c>
      <c r="E2375" s="155">
        <v>44764</v>
      </c>
      <c r="F2375" s="154">
        <v>8211.5</v>
      </c>
      <c r="G2375" s="156">
        <f>Tabla18[[#This Row],[Importe]]-Tabla18[[#This Row],[Pagado]]</f>
        <v>0</v>
      </c>
      <c r="H2375" s="153" t="s">
        <v>10</v>
      </c>
    </row>
    <row r="2376" spans="1:8" x14ac:dyDescent="0.25">
      <c r="A2376" s="73">
        <v>44764</v>
      </c>
      <c r="B2376" s="74" t="s">
        <v>23726</v>
      </c>
      <c r="C2376" s="75" t="s">
        <v>857</v>
      </c>
      <c r="D2376" s="81">
        <v>1493.6</v>
      </c>
      <c r="E2376" s="151">
        <v>44764</v>
      </c>
      <c r="F2376" s="81">
        <v>1493.6</v>
      </c>
      <c r="G2376" s="156">
        <f>Tabla18[[#This Row],[Importe]]-Tabla18[[#This Row],[Pagado]]</f>
        <v>0</v>
      </c>
      <c r="H2376" s="75" t="s">
        <v>10</v>
      </c>
    </row>
    <row r="2377" spans="1:8" x14ac:dyDescent="0.25">
      <c r="A2377" s="148">
        <v>44764</v>
      </c>
      <c r="B2377" s="149" t="s">
        <v>23727</v>
      </c>
      <c r="C2377" s="153" t="s">
        <v>31</v>
      </c>
      <c r="D2377" s="154">
        <v>1576</v>
      </c>
      <c r="E2377" s="155">
        <v>44764</v>
      </c>
      <c r="F2377" s="154">
        <v>1576</v>
      </c>
      <c r="G2377" s="156">
        <f>Tabla18[[#This Row],[Importe]]-Tabla18[[#This Row],[Pagado]]</f>
        <v>0</v>
      </c>
      <c r="H2377" s="153" t="s">
        <v>10</v>
      </c>
    </row>
    <row r="2378" spans="1:8" x14ac:dyDescent="0.25">
      <c r="A2378" s="73">
        <v>44764</v>
      </c>
      <c r="B2378" s="74" t="s">
        <v>23728</v>
      </c>
      <c r="C2378" s="75" t="s">
        <v>31</v>
      </c>
      <c r="D2378" s="81">
        <v>618</v>
      </c>
      <c r="E2378" s="151">
        <v>44764</v>
      </c>
      <c r="F2378" s="81">
        <v>618</v>
      </c>
      <c r="G2378" s="156">
        <f>Tabla18[[#This Row],[Importe]]-Tabla18[[#This Row],[Pagado]]</f>
        <v>0</v>
      </c>
      <c r="H2378" s="75" t="s">
        <v>10</v>
      </c>
    </row>
    <row r="2379" spans="1:8" x14ac:dyDescent="0.25">
      <c r="A2379" s="148">
        <v>44764</v>
      </c>
      <c r="B2379" s="149" t="s">
        <v>23729</v>
      </c>
      <c r="C2379" s="153" t="s">
        <v>409</v>
      </c>
      <c r="D2379" s="154">
        <v>11930.7</v>
      </c>
      <c r="E2379" s="155">
        <v>44770</v>
      </c>
      <c r="F2379" s="154">
        <v>11930.7</v>
      </c>
      <c r="G2379" s="156">
        <f>Tabla18[[#This Row],[Importe]]-Tabla18[[#This Row],[Pagado]]</f>
        <v>0</v>
      </c>
      <c r="H2379" s="153" t="s">
        <v>10</v>
      </c>
    </row>
    <row r="2380" spans="1:8" x14ac:dyDescent="0.25">
      <c r="A2380" s="73">
        <v>44764</v>
      </c>
      <c r="B2380" s="74" t="s">
        <v>23730</v>
      </c>
      <c r="C2380" s="75" t="s">
        <v>470</v>
      </c>
      <c r="D2380" s="81">
        <v>5378</v>
      </c>
      <c r="E2380" s="151">
        <v>44765</v>
      </c>
      <c r="F2380" s="81">
        <v>5378</v>
      </c>
      <c r="G2380" s="156">
        <f>Tabla18[[#This Row],[Importe]]-Tabla18[[#This Row],[Pagado]]</f>
        <v>0</v>
      </c>
      <c r="H2380" s="75" t="s">
        <v>10</v>
      </c>
    </row>
    <row r="2381" spans="1:8" x14ac:dyDescent="0.25">
      <c r="A2381" s="148">
        <v>44765</v>
      </c>
      <c r="B2381" s="149" t="s">
        <v>23731</v>
      </c>
      <c r="C2381" s="153" t="s">
        <v>887</v>
      </c>
      <c r="D2381" s="154">
        <v>30154</v>
      </c>
      <c r="E2381" s="155">
        <v>44765</v>
      </c>
      <c r="F2381" s="154">
        <v>30154</v>
      </c>
      <c r="G2381" s="156">
        <f>Tabla18[[#This Row],[Importe]]-Tabla18[[#This Row],[Pagado]]</f>
        <v>0</v>
      </c>
      <c r="H2381" s="153" t="s">
        <v>10</v>
      </c>
    </row>
    <row r="2382" spans="1:8" x14ac:dyDescent="0.25">
      <c r="A2382" s="73">
        <v>44765</v>
      </c>
      <c r="B2382" s="74" t="s">
        <v>23732</v>
      </c>
      <c r="C2382" s="75" t="s">
        <v>296</v>
      </c>
      <c r="D2382" s="81">
        <v>5151.6000000000004</v>
      </c>
      <c r="E2382" s="151">
        <v>44765</v>
      </c>
      <c r="F2382" s="81">
        <v>5151.6000000000004</v>
      </c>
      <c r="G2382" s="156">
        <f>Tabla18[[#This Row],[Importe]]-Tabla18[[#This Row],[Pagado]]</f>
        <v>0</v>
      </c>
      <c r="H2382" s="75" t="s">
        <v>10</v>
      </c>
    </row>
    <row r="2383" spans="1:8" ht="31.5" x14ac:dyDescent="0.25">
      <c r="A2383" s="148">
        <v>44765</v>
      </c>
      <c r="B2383" s="149" t="s">
        <v>23733</v>
      </c>
      <c r="C2383" s="153" t="s">
        <v>475</v>
      </c>
      <c r="D2383" s="154">
        <v>83068.3</v>
      </c>
      <c r="E2383" s="150" t="s">
        <v>23734</v>
      </c>
      <c r="F2383" s="154">
        <f>70000+13068.3</f>
        <v>83068.3</v>
      </c>
      <c r="G2383" s="156">
        <f>Tabla18[[#This Row],[Importe]]-Tabla18[[#This Row],[Pagado]]</f>
        <v>0</v>
      </c>
      <c r="H2383" s="153" t="s">
        <v>10</v>
      </c>
    </row>
    <row r="2384" spans="1:8" x14ac:dyDescent="0.25">
      <c r="A2384" s="73">
        <v>44765</v>
      </c>
      <c r="B2384" s="74" t="s">
        <v>23735</v>
      </c>
      <c r="C2384" s="75" t="s">
        <v>501</v>
      </c>
      <c r="D2384" s="81">
        <v>5286.4</v>
      </c>
      <c r="E2384" s="151">
        <v>44765</v>
      </c>
      <c r="F2384" s="81">
        <v>5286.4</v>
      </c>
      <c r="G2384" s="156">
        <f>Tabla18[[#This Row],[Importe]]-Tabla18[[#This Row],[Pagado]]</f>
        <v>0</v>
      </c>
      <c r="H2384" s="75" t="s">
        <v>10</v>
      </c>
    </row>
    <row r="2385" spans="1:8" x14ac:dyDescent="0.25">
      <c r="A2385" s="148">
        <v>44765</v>
      </c>
      <c r="B2385" s="149" t="s">
        <v>23736</v>
      </c>
      <c r="C2385" s="153" t="s">
        <v>64</v>
      </c>
      <c r="D2385" s="154">
        <v>10368.6</v>
      </c>
      <c r="E2385" s="155">
        <v>44767</v>
      </c>
      <c r="F2385" s="154">
        <v>10368.6</v>
      </c>
      <c r="G2385" s="156">
        <f>Tabla18[[#This Row],[Importe]]-Tabla18[[#This Row],[Pagado]]</f>
        <v>0</v>
      </c>
      <c r="H2385" s="153" t="s">
        <v>10</v>
      </c>
    </row>
    <row r="2386" spans="1:8" x14ac:dyDescent="0.25">
      <c r="A2386" s="73">
        <v>44765</v>
      </c>
      <c r="B2386" s="74" t="s">
        <v>23737</v>
      </c>
      <c r="C2386" s="75" t="s">
        <v>60</v>
      </c>
      <c r="D2386" s="81">
        <v>4752</v>
      </c>
      <c r="E2386" s="151">
        <v>44770</v>
      </c>
      <c r="F2386" s="81">
        <v>4752</v>
      </c>
      <c r="G2386" s="156">
        <f>Tabla18[[#This Row],[Importe]]-Tabla18[[#This Row],[Pagado]]</f>
        <v>0</v>
      </c>
      <c r="H2386" s="75" t="s">
        <v>10</v>
      </c>
    </row>
    <row r="2387" spans="1:8" ht="47.25" x14ac:dyDescent="0.25">
      <c r="A2387" s="148">
        <v>44765</v>
      </c>
      <c r="B2387" s="149" t="s">
        <v>23738</v>
      </c>
      <c r="C2387" s="153" t="s">
        <v>93</v>
      </c>
      <c r="D2387" s="154">
        <v>19417.599999999999</v>
      </c>
      <c r="E2387" s="150" t="s">
        <v>23739</v>
      </c>
      <c r="F2387" s="154">
        <f>5000+9500+4917.6</f>
        <v>19417.599999999999</v>
      </c>
      <c r="G2387" s="156">
        <f>Tabla18[[#This Row],[Importe]]-Tabla18[[#This Row],[Pagado]]</f>
        <v>0</v>
      </c>
      <c r="H2387" s="153" t="s">
        <v>10</v>
      </c>
    </row>
    <row r="2388" spans="1:8" ht="47.25" x14ac:dyDescent="0.25">
      <c r="A2388" s="73">
        <v>44765</v>
      </c>
      <c r="B2388" s="74" t="s">
        <v>23740</v>
      </c>
      <c r="C2388" s="75" t="s">
        <v>99</v>
      </c>
      <c r="D2388" s="81">
        <v>10617.6</v>
      </c>
      <c r="E2388" s="147" t="s">
        <v>23741</v>
      </c>
      <c r="F2388" s="81">
        <f>4000+3900+2717.6</f>
        <v>10617.6</v>
      </c>
      <c r="G2388" s="156">
        <f>Tabla18[[#This Row],[Importe]]-Tabla18[[#This Row],[Pagado]]</f>
        <v>0</v>
      </c>
      <c r="H2388" s="75" t="s">
        <v>10</v>
      </c>
    </row>
    <row r="2389" spans="1:8" x14ac:dyDescent="0.25">
      <c r="A2389" s="148">
        <v>44765</v>
      </c>
      <c r="B2389" s="149" t="s">
        <v>23742</v>
      </c>
      <c r="C2389" s="153" t="s">
        <v>5043</v>
      </c>
      <c r="D2389" s="154">
        <v>5174.3999999999996</v>
      </c>
      <c r="E2389" s="155">
        <v>44768</v>
      </c>
      <c r="F2389" s="154">
        <v>5174.3999999999996</v>
      </c>
      <c r="G2389" s="156">
        <f>Tabla18[[#This Row],[Importe]]-Tabla18[[#This Row],[Pagado]]</f>
        <v>0</v>
      </c>
      <c r="H2389" s="153" t="s">
        <v>10</v>
      </c>
    </row>
    <row r="2390" spans="1:8" x14ac:dyDescent="0.25">
      <c r="A2390" s="73">
        <v>44765</v>
      </c>
      <c r="B2390" s="74" t="s">
        <v>23743</v>
      </c>
      <c r="C2390" s="75" t="s">
        <v>89</v>
      </c>
      <c r="D2390" s="81">
        <v>6997.2</v>
      </c>
      <c r="E2390" s="151">
        <v>44767</v>
      </c>
      <c r="F2390" s="81">
        <v>6997.2</v>
      </c>
      <c r="G2390" s="156">
        <f>Tabla18[[#This Row],[Importe]]-Tabla18[[#This Row],[Pagado]]</f>
        <v>0</v>
      </c>
      <c r="H2390" s="75" t="s">
        <v>10</v>
      </c>
    </row>
    <row r="2391" spans="1:8" x14ac:dyDescent="0.25">
      <c r="A2391" s="148">
        <v>44765</v>
      </c>
      <c r="B2391" s="149" t="s">
        <v>23744</v>
      </c>
      <c r="C2391" s="153" t="s">
        <v>89</v>
      </c>
      <c r="D2391" s="154">
        <v>15308.8</v>
      </c>
      <c r="E2391" s="155">
        <v>44767</v>
      </c>
      <c r="F2391" s="154">
        <v>15308.8</v>
      </c>
      <c r="G2391" s="156">
        <f>Tabla18[[#This Row],[Importe]]-Tabla18[[#This Row],[Pagado]]</f>
        <v>0</v>
      </c>
      <c r="H2391" s="153" t="s">
        <v>10</v>
      </c>
    </row>
    <row r="2392" spans="1:8" x14ac:dyDescent="0.25">
      <c r="A2392" s="73">
        <v>44765</v>
      </c>
      <c r="B2392" s="74" t="s">
        <v>23745</v>
      </c>
      <c r="C2392" s="75" t="s">
        <v>97</v>
      </c>
      <c r="D2392" s="81">
        <v>10955.2</v>
      </c>
      <c r="E2392" s="151">
        <v>44767</v>
      </c>
      <c r="F2392" s="81">
        <v>10955.2</v>
      </c>
      <c r="G2392" s="156">
        <f>Tabla18[[#This Row],[Importe]]-Tabla18[[#This Row],[Pagado]]</f>
        <v>0</v>
      </c>
      <c r="H2392" s="75" t="s">
        <v>10</v>
      </c>
    </row>
    <row r="2393" spans="1:8" x14ac:dyDescent="0.25">
      <c r="A2393" s="148">
        <v>44765</v>
      </c>
      <c r="B2393" s="149" t="s">
        <v>23746</v>
      </c>
      <c r="C2393" s="153" t="s">
        <v>473</v>
      </c>
      <c r="D2393" s="154">
        <v>2782</v>
      </c>
      <c r="E2393" s="155">
        <v>44765</v>
      </c>
      <c r="F2393" s="154">
        <v>2782</v>
      </c>
      <c r="G2393" s="156">
        <f>Tabla18[[#This Row],[Importe]]-Tabla18[[#This Row],[Pagado]]</f>
        <v>0</v>
      </c>
      <c r="H2393" s="153" t="s">
        <v>10</v>
      </c>
    </row>
    <row r="2394" spans="1:8" x14ac:dyDescent="0.25">
      <c r="A2394" s="73">
        <v>44765</v>
      </c>
      <c r="B2394" s="74" t="s">
        <v>23747</v>
      </c>
      <c r="C2394" s="75" t="s">
        <v>326</v>
      </c>
      <c r="D2394" s="81">
        <v>13709.6</v>
      </c>
      <c r="E2394" s="151">
        <v>44767</v>
      </c>
      <c r="F2394" s="81">
        <v>13709.6</v>
      </c>
      <c r="G2394" s="156">
        <f>Tabla18[[#This Row],[Importe]]-Tabla18[[#This Row],[Pagado]]</f>
        <v>0</v>
      </c>
      <c r="H2394" s="75" t="s">
        <v>10</v>
      </c>
    </row>
    <row r="2395" spans="1:8" x14ac:dyDescent="0.25">
      <c r="A2395" s="148">
        <v>44765</v>
      </c>
      <c r="B2395" s="149" t="s">
        <v>23748</v>
      </c>
      <c r="C2395" s="153" t="s">
        <v>918</v>
      </c>
      <c r="D2395" s="154">
        <v>423</v>
      </c>
      <c r="E2395" s="155">
        <v>44765</v>
      </c>
      <c r="F2395" s="154">
        <v>423</v>
      </c>
      <c r="G2395" s="156">
        <f>Tabla18[[#This Row],[Importe]]-Tabla18[[#This Row],[Pagado]]</f>
        <v>0</v>
      </c>
      <c r="H2395" s="153" t="s">
        <v>10</v>
      </c>
    </row>
    <row r="2396" spans="1:8" x14ac:dyDescent="0.25">
      <c r="A2396" s="73">
        <v>44765</v>
      </c>
      <c r="B2396" s="74" t="s">
        <v>23749</v>
      </c>
      <c r="C2396" s="75" t="s">
        <v>75</v>
      </c>
      <c r="D2396" s="81">
        <v>30626.400000000001</v>
      </c>
      <c r="E2396" s="151">
        <v>44765</v>
      </c>
      <c r="F2396" s="81">
        <v>30626.400000000001</v>
      </c>
      <c r="G2396" s="156">
        <f>Tabla18[[#This Row],[Importe]]-Tabla18[[#This Row],[Pagado]]</f>
        <v>0</v>
      </c>
      <c r="H2396" s="75" t="s">
        <v>10</v>
      </c>
    </row>
    <row r="2397" spans="1:8" ht="31.5" x14ac:dyDescent="0.25">
      <c r="A2397" s="148">
        <v>44765</v>
      </c>
      <c r="B2397" s="149" t="s">
        <v>23750</v>
      </c>
      <c r="C2397" s="153" t="s">
        <v>22</v>
      </c>
      <c r="D2397" s="154">
        <v>54098.8</v>
      </c>
      <c r="E2397" s="150" t="s">
        <v>23734</v>
      </c>
      <c r="F2397" s="154">
        <f>48000+6098.8</f>
        <v>54098.8</v>
      </c>
      <c r="G2397" s="156">
        <f>Tabla18[[#This Row],[Importe]]-Tabla18[[#This Row],[Pagado]]</f>
        <v>0</v>
      </c>
      <c r="H2397" s="153" t="s">
        <v>10</v>
      </c>
    </row>
    <row r="2398" spans="1:8" x14ac:dyDescent="0.25">
      <c r="A2398" s="73">
        <v>44765</v>
      </c>
      <c r="B2398" s="74" t="s">
        <v>23751</v>
      </c>
      <c r="C2398" s="75" t="s">
        <v>114</v>
      </c>
      <c r="D2398" s="81">
        <v>16998.400000000001</v>
      </c>
      <c r="E2398" s="151">
        <v>44768</v>
      </c>
      <c r="F2398" s="81">
        <v>16998.400000000001</v>
      </c>
      <c r="G2398" s="156">
        <f>Tabla18[[#This Row],[Importe]]-Tabla18[[#This Row],[Pagado]]</f>
        <v>0</v>
      </c>
      <c r="H2398" s="75" t="s">
        <v>10</v>
      </c>
    </row>
    <row r="2399" spans="1:8" x14ac:dyDescent="0.25">
      <c r="A2399" s="148">
        <v>44765</v>
      </c>
      <c r="B2399" s="149" t="s">
        <v>23752</v>
      </c>
      <c r="C2399" s="153" t="s">
        <v>450</v>
      </c>
      <c r="D2399" s="154">
        <v>9937.5</v>
      </c>
      <c r="E2399" s="155">
        <v>44765</v>
      </c>
      <c r="F2399" s="154">
        <v>9937.5</v>
      </c>
      <c r="G2399" s="156">
        <f>Tabla18[[#This Row],[Importe]]-Tabla18[[#This Row],[Pagado]]</f>
        <v>0</v>
      </c>
      <c r="H2399" s="153" t="s">
        <v>10</v>
      </c>
    </row>
    <row r="2400" spans="1:8" x14ac:dyDescent="0.25">
      <c r="A2400" s="73">
        <v>44765</v>
      </c>
      <c r="B2400" s="74" t="s">
        <v>23753</v>
      </c>
      <c r="C2400" s="75" t="s">
        <v>9</v>
      </c>
      <c r="D2400" s="81">
        <v>8928.6</v>
      </c>
      <c r="E2400" s="151">
        <v>44765</v>
      </c>
      <c r="F2400" s="81">
        <v>8928.6</v>
      </c>
      <c r="G2400" s="156">
        <f>Tabla18[[#This Row],[Importe]]-Tabla18[[#This Row],[Pagado]]</f>
        <v>0</v>
      </c>
      <c r="H2400" s="75" t="s">
        <v>10</v>
      </c>
    </row>
    <row r="2401" spans="1:8" x14ac:dyDescent="0.25">
      <c r="A2401" s="148">
        <v>44765</v>
      </c>
      <c r="B2401" s="149" t="s">
        <v>23754</v>
      </c>
      <c r="C2401" s="153" t="s">
        <v>31</v>
      </c>
      <c r="D2401" s="154">
        <v>4435.3999999999996</v>
      </c>
      <c r="E2401" s="155">
        <v>44765</v>
      </c>
      <c r="F2401" s="154">
        <v>4435.3999999999996</v>
      </c>
      <c r="G2401" s="156">
        <f>Tabla18[[#This Row],[Importe]]-Tabla18[[#This Row],[Pagado]]</f>
        <v>0</v>
      </c>
      <c r="H2401" s="153" t="s">
        <v>10</v>
      </c>
    </row>
    <row r="2402" spans="1:8" x14ac:dyDescent="0.25">
      <c r="A2402" s="73">
        <v>44765</v>
      </c>
      <c r="B2402" s="74" t="s">
        <v>23755</v>
      </c>
      <c r="C2402" s="75" t="s">
        <v>348</v>
      </c>
      <c r="D2402" s="81">
        <v>11859.2</v>
      </c>
      <c r="E2402" s="151">
        <v>44767</v>
      </c>
      <c r="F2402" s="81">
        <v>11859.2</v>
      </c>
      <c r="G2402" s="156">
        <f>Tabla18[[#This Row],[Importe]]-Tabla18[[#This Row],[Pagado]]</f>
        <v>0</v>
      </c>
      <c r="H2402" s="75" t="s">
        <v>10</v>
      </c>
    </row>
    <row r="2403" spans="1:8" x14ac:dyDescent="0.25">
      <c r="A2403" s="148">
        <v>44765</v>
      </c>
      <c r="B2403" s="149" t="s">
        <v>23756</v>
      </c>
      <c r="C2403" s="153" t="s">
        <v>111</v>
      </c>
      <c r="D2403" s="154">
        <v>10348.799999999999</v>
      </c>
      <c r="E2403" s="155">
        <v>44767</v>
      </c>
      <c r="F2403" s="154">
        <v>10348.799999999999</v>
      </c>
      <c r="G2403" s="156">
        <f>Tabla18[[#This Row],[Importe]]-Tabla18[[#This Row],[Pagado]]</f>
        <v>0</v>
      </c>
      <c r="H2403" s="153" t="s">
        <v>10</v>
      </c>
    </row>
    <row r="2404" spans="1:8" x14ac:dyDescent="0.25">
      <c r="A2404" s="73">
        <v>44765</v>
      </c>
      <c r="B2404" s="74" t="s">
        <v>23757</v>
      </c>
      <c r="C2404" s="75" t="s">
        <v>481</v>
      </c>
      <c r="D2404" s="81">
        <v>1718.4</v>
      </c>
      <c r="E2404" s="151">
        <v>44765</v>
      </c>
      <c r="F2404" s="81">
        <v>1718.4</v>
      </c>
      <c r="G2404" s="156">
        <f>Tabla18[[#This Row],[Importe]]-Tabla18[[#This Row],[Pagado]]</f>
        <v>0</v>
      </c>
      <c r="H2404" s="75" t="s">
        <v>10</v>
      </c>
    </row>
    <row r="2405" spans="1:8" x14ac:dyDescent="0.25">
      <c r="A2405" s="148">
        <v>44765</v>
      </c>
      <c r="B2405" s="149" t="s">
        <v>23758</v>
      </c>
      <c r="C2405" s="153" t="s">
        <v>2151</v>
      </c>
      <c r="D2405" s="154">
        <v>44843.6</v>
      </c>
      <c r="E2405" s="155">
        <v>44765</v>
      </c>
      <c r="F2405" s="154">
        <v>44843.6</v>
      </c>
      <c r="G2405" s="156">
        <f>Tabla18[[#This Row],[Importe]]-Tabla18[[#This Row],[Pagado]]</f>
        <v>0</v>
      </c>
      <c r="H2405" s="153" t="s">
        <v>10</v>
      </c>
    </row>
    <row r="2406" spans="1:8" x14ac:dyDescent="0.25">
      <c r="A2406" s="73">
        <v>44765</v>
      </c>
      <c r="B2406" s="74" t="s">
        <v>23759</v>
      </c>
      <c r="C2406" s="75" t="s">
        <v>105</v>
      </c>
      <c r="D2406" s="81">
        <v>11372.8</v>
      </c>
      <c r="E2406" s="151">
        <v>44767</v>
      </c>
      <c r="F2406" s="81">
        <v>11372.8</v>
      </c>
      <c r="G2406" s="156">
        <f>Tabla18[[#This Row],[Importe]]-Tabla18[[#This Row],[Pagado]]</f>
        <v>0</v>
      </c>
      <c r="H2406" s="75" t="s">
        <v>10</v>
      </c>
    </row>
    <row r="2407" spans="1:8" x14ac:dyDescent="0.25">
      <c r="A2407" s="148">
        <v>44765</v>
      </c>
      <c r="B2407" s="149" t="s">
        <v>23760</v>
      </c>
      <c r="C2407" s="153" t="s">
        <v>2563</v>
      </c>
      <c r="D2407" s="154">
        <v>4943.3999999999996</v>
      </c>
      <c r="E2407" s="155">
        <v>44767</v>
      </c>
      <c r="F2407" s="154">
        <v>4943.3999999999996</v>
      </c>
      <c r="G2407" s="156">
        <f>Tabla18[[#This Row],[Importe]]-Tabla18[[#This Row],[Pagado]]</f>
        <v>0</v>
      </c>
      <c r="H2407" s="153" t="s">
        <v>10</v>
      </c>
    </row>
    <row r="2408" spans="1:8" x14ac:dyDescent="0.25">
      <c r="A2408" s="73">
        <v>44765</v>
      </c>
      <c r="B2408" s="74" t="s">
        <v>23761</v>
      </c>
      <c r="C2408" s="75" t="s">
        <v>79</v>
      </c>
      <c r="D2408" s="81">
        <v>40305.599999999999</v>
      </c>
      <c r="E2408" s="151">
        <v>44765</v>
      </c>
      <c r="F2408" s="81">
        <v>40305.599999999999</v>
      </c>
      <c r="G2408" s="156">
        <f>Tabla18[[#This Row],[Importe]]-Tabla18[[#This Row],[Pagado]]</f>
        <v>0</v>
      </c>
      <c r="H2408" s="75" t="s">
        <v>10</v>
      </c>
    </row>
    <row r="2409" spans="1:8" x14ac:dyDescent="0.25">
      <c r="A2409" s="148">
        <v>44765</v>
      </c>
      <c r="B2409" s="149" t="s">
        <v>23762</v>
      </c>
      <c r="C2409" s="153" t="s">
        <v>95</v>
      </c>
      <c r="D2409" s="154">
        <v>1620</v>
      </c>
      <c r="E2409" s="155">
        <v>44765</v>
      </c>
      <c r="F2409" s="154">
        <v>1620</v>
      </c>
      <c r="G2409" s="156">
        <f>Tabla18[[#This Row],[Importe]]-Tabla18[[#This Row],[Pagado]]</f>
        <v>0</v>
      </c>
      <c r="H2409" s="153" t="s">
        <v>10</v>
      </c>
    </row>
    <row r="2410" spans="1:8" x14ac:dyDescent="0.25">
      <c r="A2410" s="73">
        <v>44765</v>
      </c>
      <c r="B2410" s="74" t="s">
        <v>23763</v>
      </c>
      <c r="C2410" s="75" t="s">
        <v>31</v>
      </c>
      <c r="D2410" s="81">
        <v>2519.1999999999998</v>
      </c>
      <c r="E2410" s="151">
        <v>44765</v>
      </c>
      <c r="F2410" s="81">
        <v>2519.1999999999998</v>
      </c>
      <c r="G2410" s="156">
        <f>Tabla18[[#This Row],[Importe]]-Tabla18[[#This Row],[Pagado]]</f>
        <v>0</v>
      </c>
      <c r="H2410" s="75" t="s">
        <v>10</v>
      </c>
    </row>
    <row r="2411" spans="1:8" x14ac:dyDescent="0.25">
      <c r="A2411" s="148">
        <v>44765</v>
      </c>
      <c r="B2411" s="149" t="s">
        <v>23764</v>
      </c>
      <c r="C2411" s="153" t="s">
        <v>62</v>
      </c>
      <c r="D2411" s="154">
        <v>4329</v>
      </c>
      <c r="E2411" s="155">
        <v>44765</v>
      </c>
      <c r="F2411" s="154">
        <v>4329</v>
      </c>
      <c r="G2411" s="156">
        <f>Tabla18[[#This Row],[Importe]]-Tabla18[[#This Row],[Pagado]]</f>
        <v>0</v>
      </c>
      <c r="H2411" s="153" t="s">
        <v>10</v>
      </c>
    </row>
    <row r="2412" spans="1:8" ht="31.5" x14ac:dyDescent="0.25">
      <c r="A2412" s="73">
        <v>44765</v>
      </c>
      <c r="B2412" s="74" t="s">
        <v>23765</v>
      </c>
      <c r="C2412" s="75" t="s">
        <v>275</v>
      </c>
      <c r="D2412" s="81">
        <v>200318.15</v>
      </c>
      <c r="E2412" s="147" t="s">
        <v>24626</v>
      </c>
      <c r="F2412" s="81">
        <f>55195.47+145122.68</f>
        <v>200318.15</v>
      </c>
      <c r="G2412" s="156">
        <f>Tabla18[[#This Row],[Importe]]-Tabla18[[#This Row],[Pagado]]</f>
        <v>0</v>
      </c>
      <c r="H2412" s="75" t="s">
        <v>10</v>
      </c>
    </row>
    <row r="2413" spans="1:8" x14ac:dyDescent="0.25">
      <c r="A2413" s="148">
        <v>44765</v>
      </c>
      <c r="B2413" s="149" t="s">
        <v>23766</v>
      </c>
      <c r="C2413" s="153" t="s">
        <v>230</v>
      </c>
      <c r="D2413" s="154">
        <v>6381.4</v>
      </c>
      <c r="E2413" s="155">
        <v>44765</v>
      </c>
      <c r="F2413" s="154">
        <v>6381.4</v>
      </c>
      <c r="G2413" s="156">
        <f>Tabla18[[#This Row],[Importe]]-Tabla18[[#This Row],[Pagado]]</f>
        <v>0</v>
      </c>
      <c r="H2413" s="153" t="s">
        <v>10</v>
      </c>
    </row>
    <row r="2414" spans="1:8" x14ac:dyDescent="0.25">
      <c r="A2414" s="73">
        <v>44765</v>
      </c>
      <c r="B2414" s="74" t="s">
        <v>23767</v>
      </c>
      <c r="C2414" s="75" t="s">
        <v>35</v>
      </c>
      <c r="D2414" s="81">
        <v>3176.9</v>
      </c>
      <c r="E2414" s="151">
        <v>44765</v>
      </c>
      <c r="F2414" s="81">
        <v>3176.9</v>
      </c>
      <c r="G2414" s="156">
        <f>Tabla18[[#This Row],[Importe]]-Tabla18[[#This Row],[Pagado]]</f>
        <v>0</v>
      </c>
      <c r="H2414" s="75" t="s">
        <v>10</v>
      </c>
    </row>
    <row r="2415" spans="1:8" ht="31.5" x14ac:dyDescent="0.25">
      <c r="A2415" s="148">
        <v>44765</v>
      </c>
      <c r="B2415" s="149" t="s">
        <v>23768</v>
      </c>
      <c r="C2415" s="160" t="s">
        <v>23769</v>
      </c>
      <c r="D2415" s="154">
        <v>0</v>
      </c>
      <c r="E2415" s="158" t="s">
        <v>189</v>
      </c>
      <c r="F2415" s="154">
        <v>0</v>
      </c>
      <c r="G2415" s="156">
        <f>Tabla18[[#This Row],[Importe]]-Tabla18[[#This Row],[Pagado]]</f>
        <v>0</v>
      </c>
      <c r="H2415" s="159" t="s">
        <v>23770</v>
      </c>
    </row>
    <row r="2416" spans="1:8" x14ac:dyDescent="0.25">
      <c r="A2416" s="73">
        <v>44765</v>
      </c>
      <c r="B2416" s="74" t="s">
        <v>23771</v>
      </c>
      <c r="C2416" s="75" t="s">
        <v>142</v>
      </c>
      <c r="D2416" s="81">
        <v>111046</v>
      </c>
      <c r="E2416" s="151">
        <v>44799</v>
      </c>
      <c r="F2416" s="81">
        <v>111046</v>
      </c>
      <c r="G2416" s="156">
        <f>Tabla18[[#This Row],[Importe]]-Tabla18[[#This Row],[Pagado]]</f>
        <v>0</v>
      </c>
      <c r="H2416" s="75" t="s">
        <v>10</v>
      </c>
    </row>
    <row r="2417" spans="1:8" x14ac:dyDescent="0.25">
      <c r="A2417" s="148">
        <v>44765</v>
      </c>
      <c r="B2417" s="149" t="s">
        <v>23772</v>
      </c>
      <c r="C2417" s="153" t="s">
        <v>56</v>
      </c>
      <c r="D2417" s="154">
        <v>5583.8</v>
      </c>
      <c r="E2417" s="155">
        <v>44765</v>
      </c>
      <c r="F2417" s="154">
        <v>5583.8</v>
      </c>
      <c r="G2417" s="156">
        <f>Tabla18[[#This Row],[Importe]]-Tabla18[[#This Row],[Pagado]]</f>
        <v>0</v>
      </c>
      <c r="H2417" s="153" t="s">
        <v>10</v>
      </c>
    </row>
    <row r="2418" spans="1:8" x14ac:dyDescent="0.25">
      <c r="A2418" s="73">
        <v>44765</v>
      </c>
      <c r="B2418" s="74" t="s">
        <v>23773</v>
      </c>
      <c r="C2418" s="75" t="s">
        <v>67</v>
      </c>
      <c r="D2418" s="81">
        <v>10105.200000000001</v>
      </c>
      <c r="E2418" s="151">
        <v>44765</v>
      </c>
      <c r="F2418" s="81">
        <v>10105.200000000001</v>
      </c>
      <c r="G2418" s="156">
        <f>Tabla18[[#This Row],[Importe]]-Tabla18[[#This Row],[Pagado]]</f>
        <v>0</v>
      </c>
      <c r="H2418" s="75" t="s">
        <v>10</v>
      </c>
    </row>
    <row r="2419" spans="1:8" x14ac:dyDescent="0.25">
      <c r="A2419" s="148">
        <v>44765</v>
      </c>
      <c r="B2419" s="149" t="s">
        <v>23774</v>
      </c>
      <c r="C2419" s="153" t="s">
        <v>924</v>
      </c>
      <c r="D2419" s="154">
        <v>8926.5</v>
      </c>
      <c r="E2419" s="155">
        <v>44765</v>
      </c>
      <c r="F2419" s="154">
        <v>8926.5</v>
      </c>
      <c r="G2419" s="156">
        <f>Tabla18[[#This Row],[Importe]]-Tabla18[[#This Row],[Pagado]]</f>
        <v>0</v>
      </c>
      <c r="H2419" s="153" t="s">
        <v>10</v>
      </c>
    </row>
    <row r="2420" spans="1:8" x14ac:dyDescent="0.25">
      <c r="A2420" s="73">
        <v>44765</v>
      </c>
      <c r="B2420" s="74" t="s">
        <v>23775</v>
      </c>
      <c r="C2420" s="75" t="s">
        <v>16</v>
      </c>
      <c r="D2420" s="81">
        <v>6909.3</v>
      </c>
      <c r="E2420" s="151">
        <v>44765</v>
      </c>
      <c r="F2420" s="81">
        <v>6909.3</v>
      </c>
      <c r="G2420" s="156">
        <f>Tabla18[[#This Row],[Importe]]-Tabla18[[#This Row],[Pagado]]</f>
        <v>0</v>
      </c>
      <c r="H2420" s="75" t="s">
        <v>10</v>
      </c>
    </row>
    <row r="2421" spans="1:8" x14ac:dyDescent="0.25">
      <c r="A2421" s="148">
        <v>44765</v>
      </c>
      <c r="B2421" s="149" t="s">
        <v>23776</v>
      </c>
      <c r="C2421" s="153" t="s">
        <v>11033</v>
      </c>
      <c r="D2421" s="154">
        <v>1943.4</v>
      </c>
      <c r="E2421" s="155">
        <v>44765</v>
      </c>
      <c r="F2421" s="154">
        <v>1943.4</v>
      </c>
      <c r="G2421" s="156">
        <f>Tabla18[[#This Row],[Importe]]-Tabla18[[#This Row],[Pagado]]</f>
        <v>0</v>
      </c>
      <c r="H2421" s="153" t="s">
        <v>10</v>
      </c>
    </row>
    <row r="2422" spans="1:8" x14ac:dyDescent="0.25">
      <c r="A2422" s="73">
        <v>44765</v>
      </c>
      <c r="B2422" s="74" t="s">
        <v>23777</v>
      </c>
      <c r="C2422" s="75" t="s">
        <v>51</v>
      </c>
      <c r="D2422" s="81">
        <v>6544</v>
      </c>
      <c r="E2422" s="151">
        <v>44765</v>
      </c>
      <c r="F2422" s="81">
        <v>6544</v>
      </c>
      <c r="G2422" s="156">
        <f>Tabla18[[#This Row],[Importe]]-Tabla18[[#This Row],[Pagado]]</f>
        <v>0</v>
      </c>
      <c r="H2422" s="75" t="s">
        <v>10</v>
      </c>
    </row>
    <row r="2423" spans="1:8" x14ac:dyDescent="0.25">
      <c r="A2423" s="148">
        <v>44765</v>
      </c>
      <c r="B2423" s="149" t="s">
        <v>23778</v>
      </c>
      <c r="C2423" s="153" t="s">
        <v>934</v>
      </c>
      <c r="D2423" s="154">
        <v>3704.64</v>
      </c>
      <c r="E2423" s="155">
        <v>44765</v>
      </c>
      <c r="F2423" s="154">
        <v>3704.64</v>
      </c>
      <c r="G2423" s="156">
        <f>Tabla18[[#This Row],[Importe]]-Tabla18[[#This Row],[Pagado]]</f>
        <v>0</v>
      </c>
      <c r="H2423" s="153" t="s">
        <v>10</v>
      </c>
    </row>
    <row r="2424" spans="1:8" x14ac:dyDescent="0.25">
      <c r="A2424" s="73">
        <v>44765</v>
      </c>
      <c r="B2424" s="74" t="s">
        <v>23779</v>
      </c>
      <c r="C2424" s="75" t="s">
        <v>196</v>
      </c>
      <c r="D2424" s="81">
        <v>135754.06</v>
      </c>
      <c r="E2424" s="151">
        <v>44771</v>
      </c>
      <c r="F2424" s="81">
        <v>135754.06</v>
      </c>
      <c r="G2424" s="156">
        <f>Tabla18[[#This Row],[Importe]]-Tabla18[[#This Row],[Pagado]]</f>
        <v>0</v>
      </c>
      <c r="H2424" s="75" t="s">
        <v>10</v>
      </c>
    </row>
    <row r="2425" spans="1:8" x14ac:dyDescent="0.25">
      <c r="A2425" s="148">
        <v>44765</v>
      </c>
      <c r="B2425" s="149" t="s">
        <v>23780</v>
      </c>
      <c r="C2425" s="153" t="s">
        <v>49</v>
      </c>
      <c r="D2425" s="154">
        <v>4623</v>
      </c>
      <c r="E2425" s="155">
        <v>44765</v>
      </c>
      <c r="F2425" s="154">
        <v>4623</v>
      </c>
      <c r="G2425" s="156">
        <f>Tabla18[[#This Row],[Importe]]-Tabla18[[#This Row],[Pagado]]</f>
        <v>0</v>
      </c>
      <c r="H2425" s="153" t="s">
        <v>10</v>
      </c>
    </row>
    <row r="2426" spans="1:8" x14ac:dyDescent="0.25">
      <c r="A2426" s="73">
        <v>44765</v>
      </c>
      <c r="B2426" s="74" t="s">
        <v>23781</v>
      </c>
      <c r="C2426" s="75" t="s">
        <v>518</v>
      </c>
      <c r="D2426" s="81">
        <v>1987.4</v>
      </c>
      <c r="E2426" s="151">
        <v>44765</v>
      </c>
      <c r="F2426" s="81">
        <v>1987.4</v>
      </c>
      <c r="G2426" s="156">
        <f>Tabla18[[#This Row],[Importe]]-Tabla18[[#This Row],[Pagado]]</f>
        <v>0</v>
      </c>
      <c r="H2426" s="75" t="s">
        <v>10</v>
      </c>
    </row>
    <row r="2427" spans="1:8" x14ac:dyDescent="0.25">
      <c r="A2427" s="148">
        <v>44765</v>
      </c>
      <c r="B2427" s="149" t="s">
        <v>23782</v>
      </c>
      <c r="C2427" s="153" t="s">
        <v>525</v>
      </c>
      <c r="D2427" s="154">
        <v>5498</v>
      </c>
      <c r="E2427" s="155">
        <v>44765</v>
      </c>
      <c r="F2427" s="154">
        <v>5498</v>
      </c>
      <c r="G2427" s="156">
        <f>Tabla18[[#This Row],[Importe]]-Tabla18[[#This Row],[Pagado]]</f>
        <v>0</v>
      </c>
      <c r="H2427" s="153" t="s">
        <v>10</v>
      </c>
    </row>
    <row r="2428" spans="1:8" x14ac:dyDescent="0.25">
      <c r="A2428" s="73">
        <v>44765</v>
      </c>
      <c r="B2428" s="74" t="s">
        <v>23783</v>
      </c>
      <c r="C2428" s="75" t="s">
        <v>157</v>
      </c>
      <c r="D2428" s="81">
        <v>7469</v>
      </c>
      <c r="E2428" s="151">
        <v>44765</v>
      </c>
      <c r="F2428" s="81">
        <v>7469</v>
      </c>
      <c r="G2428" s="156">
        <f>Tabla18[[#This Row],[Importe]]-Tabla18[[#This Row],[Pagado]]</f>
        <v>0</v>
      </c>
      <c r="H2428" s="75" t="s">
        <v>10</v>
      </c>
    </row>
    <row r="2429" spans="1:8" x14ac:dyDescent="0.25">
      <c r="A2429" s="148">
        <v>44765</v>
      </c>
      <c r="B2429" s="149" t="s">
        <v>23784</v>
      </c>
      <c r="C2429" s="153" t="s">
        <v>159</v>
      </c>
      <c r="D2429" s="154">
        <v>2776</v>
      </c>
      <c r="E2429" s="155">
        <v>44765</v>
      </c>
      <c r="F2429" s="154">
        <v>2776</v>
      </c>
      <c r="G2429" s="156">
        <f>Tabla18[[#This Row],[Importe]]-Tabla18[[#This Row],[Pagado]]</f>
        <v>0</v>
      </c>
      <c r="H2429" s="153" t="s">
        <v>10</v>
      </c>
    </row>
    <row r="2430" spans="1:8" x14ac:dyDescent="0.25">
      <c r="A2430" s="73">
        <v>44765</v>
      </c>
      <c r="B2430" s="74" t="s">
        <v>23785</v>
      </c>
      <c r="C2430" s="75" t="s">
        <v>520</v>
      </c>
      <c r="D2430" s="81">
        <v>18945.400000000001</v>
      </c>
      <c r="E2430" s="151">
        <v>44765</v>
      </c>
      <c r="F2430" s="81">
        <v>18945.400000000001</v>
      </c>
      <c r="G2430" s="156">
        <f>Tabla18[[#This Row],[Importe]]-Tabla18[[#This Row],[Pagado]]</f>
        <v>0</v>
      </c>
      <c r="H2430" s="75" t="s">
        <v>10</v>
      </c>
    </row>
    <row r="2431" spans="1:8" x14ac:dyDescent="0.25">
      <c r="A2431" s="148">
        <v>44765</v>
      </c>
      <c r="B2431" s="149" t="s">
        <v>23786</v>
      </c>
      <c r="C2431" s="153" t="s">
        <v>319</v>
      </c>
      <c r="D2431" s="154">
        <v>15228.16</v>
      </c>
      <c r="E2431" s="155">
        <v>44765</v>
      </c>
      <c r="F2431" s="154">
        <v>15228.16</v>
      </c>
      <c r="G2431" s="156">
        <f>Tabla18[[#This Row],[Importe]]-Tabla18[[#This Row],[Pagado]]</f>
        <v>0</v>
      </c>
      <c r="H2431" s="153" t="s">
        <v>10</v>
      </c>
    </row>
    <row r="2432" spans="1:8" x14ac:dyDescent="0.25">
      <c r="A2432" s="73">
        <v>44765</v>
      </c>
      <c r="B2432" s="74" t="s">
        <v>23787</v>
      </c>
      <c r="C2432" s="75" t="s">
        <v>224</v>
      </c>
      <c r="D2432" s="81">
        <v>676.2</v>
      </c>
      <c r="E2432" s="151">
        <v>44765</v>
      </c>
      <c r="F2432" s="81">
        <v>676.2</v>
      </c>
      <c r="G2432" s="156">
        <f>Tabla18[[#This Row],[Importe]]-Tabla18[[#This Row],[Pagado]]</f>
        <v>0</v>
      </c>
      <c r="H2432" s="75" t="s">
        <v>10</v>
      </c>
    </row>
    <row r="2433" spans="1:8" x14ac:dyDescent="0.25">
      <c r="A2433" s="148">
        <v>44765</v>
      </c>
      <c r="B2433" s="149" t="s">
        <v>23788</v>
      </c>
      <c r="C2433" s="153" t="s">
        <v>31</v>
      </c>
      <c r="D2433" s="154">
        <v>52864</v>
      </c>
      <c r="E2433" s="155">
        <v>44765</v>
      </c>
      <c r="F2433" s="154">
        <v>52864</v>
      </c>
      <c r="G2433" s="156">
        <f>Tabla18[[#This Row],[Importe]]-Tabla18[[#This Row],[Pagado]]</f>
        <v>0</v>
      </c>
      <c r="H2433" s="153" t="s">
        <v>10</v>
      </c>
    </row>
    <row r="2434" spans="1:8" x14ac:dyDescent="0.25">
      <c r="A2434" s="73">
        <v>44765</v>
      </c>
      <c r="B2434" s="74" t="s">
        <v>23789</v>
      </c>
      <c r="C2434" s="75" t="s">
        <v>442</v>
      </c>
      <c r="D2434" s="81">
        <v>10375</v>
      </c>
      <c r="E2434" s="151">
        <v>44765</v>
      </c>
      <c r="F2434" s="81">
        <v>10375</v>
      </c>
      <c r="G2434" s="156">
        <f>Tabla18[[#This Row],[Importe]]-Tabla18[[#This Row],[Pagado]]</f>
        <v>0</v>
      </c>
      <c r="H2434" s="75" t="s">
        <v>10</v>
      </c>
    </row>
    <row r="2435" spans="1:8" x14ac:dyDescent="0.25">
      <c r="A2435" s="148">
        <v>44765</v>
      </c>
      <c r="B2435" s="149" t="s">
        <v>23790</v>
      </c>
      <c r="C2435" s="153" t="s">
        <v>146</v>
      </c>
      <c r="D2435" s="154">
        <v>15566</v>
      </c>
      <c r="E2435" s="155">
        <v>44767</v>
      </c>
      <c r="F2435" s="154">
        <v>15566</v>
      </c>
      <c r="G2435" s="156">
        <f>Tabla18[[#This Row],[Importe]]-Tabla18[[#This Row],[Pagado]]</f>
        <v>0</v>
      </c>
      <c r="H2435" s="153" t="s">
        <v>10</v>
      </c>
    </row>
    <row r="2436" spans="1:8" x14ac:dyDescent="0.25">
      <c r="A2436" s="73">
        <v>44765</v>
      </c>
      <c r="B2436" s="74" t="s">
        <v>23791</v>
      </c>
      <c r="C2436" s="75" t="s">
        <v>87</v>
      </c>
      <c r="D2436" s="81">
        <v>7638.4</v>
      </c>
      <c r="E2436" s="151">
        <v>44767</v>
      </c>
      <c r="F2436" s="81">
        <v>7638.4</v>
      </c>
      <c r="G2436" s="156">
        <f>Tabla18[[#This Row],[Importe]]-Tabla18[[#This Row],[Pagado]]</f>
        <v>0</v>
      </c>
      <c r="H2436" s="75" t="s">
        <v>10</v>
      </c>
    </row>
    <row r="2437" spans="1:8" x14ac:dyDescent="0.25">
      <c r="A2437" s="148">
        <v>44765</v>
      </c>
      <c r="B2437" s="149" t="s">
        <v>23792</v>
      </c>
      <c r="C2437" s="153" t="s">
        <v>314</v>
      </c>
      <c r="D2437" s="154">
        <v>6249.6</v>
      </c>
      <c r="E2437" s="155">
        <v>44767</v>
      </c>
      <c r="F2437" s="154">
        <v>6249.6</v>
      </c>
      <c r="G2437" s="156">
        <f>Tabla18[[#This Row],[Importe]]-Tabla18[[#This Row],[Pagado]]</f>
        <v>0</v>
      </c>
      <c r="H2437" s="153" t="s">
        <v>10</v>
      </c>
    </row>
    <row r="2438" spans="1:8" x14ac:dyDescent="0.25">
      <c r="A2438" s="73">
        <v>44765</v>
      </c>
      <c r="B2438" s="74" t="s">
        <v>23793</v>
      </c>
      <c r="C2438" s="75" t="s">
        <v>144</v>
      </c>
      <c r="D2438" s="81">
        <v>5638.68</v>
      </c>
      <c r="E2438" s="151">
        <v>44767</v>
      </c>
      <c r="F2438" s="81">
        <v>5638.68</v>
      </c>
      <c r="G2438" s="156">
        <f>Tabla18[[#This Row],[Importe]]-Tabla18[[#This Row],[Pagado]]</f>
        <v>0</v>
      </c>
      <c r="H2438" s="75" t="s">
        <v>10</v>
      </c>
    </row>
    <row r="2439" spans="1:8" x14ac:dyDescent="0.25">
      <c r="A2439" s="148">
        <v>44765</v>
      </c>
      <c r="B2439" s="149" t="s">
        <v>23794</v>
      </c>
      <c r="C2439" s="153" t="s">
        <v>463</v>
      </c>
      <c r="D2439" s="154">
        <v>550</v>
      </c>
      <c r="E2439" s="155">
        <v>44765</v>
      </c>
      <c r="F2439" s="154">
        <v>550</v>
      </c>
      <c r="G2439" s="156">
        <f>Tabla18[[#This Row],[Importe]]-Tabla18[[#This Row],[Pagado]]</f>
        <v>0</v>
      </c>
      <c r="H2439" s="153" t="s">
        <v>10</v>
      </c>
    </row>
    <row r="2440" spans="1:8" x14ac:dyDescent="0.25">
      <c r="A2440" s="73">
        <v>44765</v>
      </c>
      <c r="B2440" s="74" t="s">
        <v>23795</v>
      </c>
      <c r="C2440" s="75" t="s">
        <v>461</v>
      </c>
      <c r="D2440" s="81">
        <v>394</v>
      </c>
      <c r="E2440" s="151">
        <v>44765</v>
      </c>
      <c r="F2440" s="81">
        <v>394</v>
      </c>
      <c r="G2440" s="156">
        <f>Tabla18[[#This Row],[Importe]]-Tabla18[[#This Row],[Pagado]]</f>
        <v>0</v>
      </c>
      <c r="H2440" s="75" t="s">
        <v>10</v>
      </c>
    </row>
    <row r="2441" spans="1:8" x14ac:dyDescent="0.25">
      <c r="A2441" s="148">
        <v>44765</v>
      </c>
      <c r="B2441" s="149" t="s">
        <v>23796</v>
      </c>
      <c r="C2441" s="153" t="s">
        <v>459</v>
      </c>
      <c r="D2441" s="154">
        <v>213</v>
      </c>
      <c r="E2441" s="155">
        <v>44765</v>
      </c>
      <c r="F2441" s="154">
        <v>213</v>
      </c>
      <c r="G2441" s="156">
        <f>Tabla18[[#This Row],[Importe]]-Tabla18[[#This Row],[Pagado]]</f>
        <v>0</v>
      </c>
      <c r="H2441" s="153" t="s">
        <v>10</v>
      </c>
    </row>
    <row r="2442" spans="1:8" x14ac:dyDescent="0.25">
      <c r="A2442" s="73">
        <v>44765</v>
      </c>
      <c r="B2442" s="74" t="s">
        <v>23797</v>
      </c>
      <c r="C2442" s="75" t="s">
        <v>457</v>
      </c>
      <c r="D2442" s="81">
        <v>198</v>
      </c>
      <c r="E2442" s="151">
        <v>44765</v>
      </c>
      <c r="F2442" s="81">
        <v>198</v>
      </c>
      <c r="G2442" s="156">
        <f>Tabla18[[#This Row],[Importe]]-Tabla18[[#This Row],[Pagado]]</f>
        <v>0</v>
      </c>
      <c r="H2442" s="75" t="s">
        <v>10</v>
      </c>
    </row>
    <row r="2443" spans="1:8" x14ac:dyDescent="0.25">
      <c r="A2443" s="148">
        <v>44765</v>
      </c>
      <c r="B2443" s="149" t="s">
        <v>23798</v>
      </c>
      <c r="C2443" s="153" t="s">
        <v>107</v>
      </c>
      <c r="D2443" s="154">
        <v>26513.7</v>
      </c>
      <c r="E2443" s="155">
        <v>44767</v>
      </c>
      <c r="F2443" s="154">
        <v>26513.7</v>
      </c>
      <c r="G2443" s="156">
        <f>Tabla18[[#This Row],[Importe]]-Tabla18[[#This Row],[Pagado]]</f>
        <v>0</v>
      </c>
      <c r="H2443" s="153" t="s">
        <v>10</v>
      </c>
    </row>
    <row r="2444" spans="1:8" x14ac:dyDescent="0.25">
      <c r="A2444" s="73">
        <v>44765</v>
      </c>
      <c r="B2444" s="74" t="s">
        <v>23799</v>
      </c>
      <c r="C2444" s="75" t="s">
        <v>191</v>
      </c>
      <c r="D2444" s="81">
        <v>1769.6</v>
      </c>
      <c r="E2444" s="151">
        <v>44765</v>
      </c>
      <c r="F2444" s="81">
        <v>1769.6</v>
      </c>
      <c r="G2444" s="156">
        <f>Tabla18[[#This Row],[Importe]]-Tabla18[[#This Row],[Pagado]]</f>
        <v>0</v>
      </c>
      <c r="H2444" s="75" t="s">
        <v>10</v>
      </c>
    </row>
    <row r="2445" spans="1:8" x14ac:dyDescent="0.25">
      <c r="A2445" s="148">
        <v>44765</v>
      </c>
      <c r="B2445" s="149" t="s">
        <v>23800</v>
      </c>
      <c r="C2445" s="153" t="s">
        <v>3971</v>
      </c>
      <c r="D2445" s="154">
        <v>981</v>
      </c>
      <c r="E2445" s="155">
        <v>44765</v>
      </c>
      <c r="F2445" s="154">
        <v>981</v>
      </c>
      <c r="G2445" s="156">
        <f>Tabla18[[#This Row],[Importe]]-Tabla18[[#This Row],[Pagado]]</f>
        <v>0</v>
      </c>
      <c r="H2445" s="153" t="s">
        <v>10</v>
      </c>
    </row>
    <row r="2446" spans="1:8" x14ac:dyDescent="0.25">
      <c r="A2446" s="73">
        <v>44765</v>
      </c>
      <c r="B2446" s="74" t="s">
        <v>23801</v>
      </c>
      <c r="C2446" s="75" t="s">
        <v>31</v>
      </c>
      <c r="D2446" s="81">
        <v>2400</v>
      </c>
      <c r="E2446" s="151">
        <v>44765</v>
      </c>
      <c r="F2446" s="81">
        <v>2400</v>
      </c>
      <c r="G2446" s="156">
        <f>Tabla18[[#This Row],[Importe]]-Tabla18[[#This Row],[Pagado]]</f>
        <v>0</v>
      </c>
      <c r="H2446" s="75" t="s">
        <v>10</v>
      </c>
    </row>
    <row r="2447" spans="1:8" x14ac:dyDescent="0.25">
      <c r="A2447" s="148">
        <v>44765</v>
      </c>
      <c r="B2447" s="149" t="s">
        <v>23802</v>
      </c>
      <c r="C2447" s="153" t="s">
        <v>31</v>
      </c>
      <c r="D2447" s="154">
        <v>7700</v>
      </c>
      <c r="E2447" s="155">
        <v>44765</v>
      </c>
      <c r="F2447" s="154">
        <v>7700</v>
      </c>
      <c r="G2447" s="156">
        <f>Tabla18[[#This Row],[Importe]]-Tabla18[[#This Row],[Pagado]]</f>
        <v>0</v>
      </c>
      <c r="H2447" s="153" t="s">
        <v>10</v>
      </c>
    </row>
    <row r="2448" spans="1:8" x14ac:dyDescent="0.25">
      <c r="A2448" s="73">
        <v>44765</v>
      </c>
      <c r="B2448" s="74" t="s">
        <v>23803</v>
      </c>
      <c r="C2448" s="75" t="s">
        <v>275</v>
      </c>
      <c r="D2448" s="81">
        <v>11964.8</v>
      </c>
      <c r="E2448" s="151">
        <v>44786</v>
      </c>
      <c r="F2448" s="81">
        <v>11964.8</v>
      </c>
      <c r="G2448" s="156">
        <f>Tabla18[[#This Row],[Importe]]-Tabla18[[#This Row],[Pagado]]</f>
        <v>0</v>
      </c>
      <c r="H2448" s="75" t="s">
        <v>10</v>
      </c>
    </row>
    <row r="2449" spans="1:8" x14ac:dyDescent="0.25">
      <c r="A2449" s="148">
        <v>44765</v>
      </c>
      <c r="B2449" s="149" t="s">
        <v>23804</v>
      </c>
      <c r="C2449" s="153" t="s">
        <v>146</v>
      </c>
      <c r="D2449" s="154">
        <v>4284</v>
      </c>
      <c r="E2449" s="155">
        <v>44767</v>
      </c>
      <c r="F2449" s="154">
        <v>4284</v>
      </c>
      <c r="G2449" s="156">
        <f>Tabla18[[#This Row],[Importe]]-Tabla18[[#This Row],[Pagado]]</f>
        <v>0</v>
      </c>
      <c r="H2449" s="153" t="s">
        <v>10</v>
      </c>
    </row>
    <row r="2450" spans="1:8" x14ac:dyDescent="0.25">
      <c r="A2450" s="73">
        <v>44765</v>
      </c>
      <c r="B2450" s="74" t="s">
        <v>23805</v>
      </c>
      <c r="C2450" s="75" t="s">
        <v>664</v>
      </c>
      <c r="D2450" s="81">
        <v>6551.2</v>
      </c>
      <c r="E2450" s="151">
        <v>44767</v>
      </c>
      <c r="F2450" s="81">
        <v>6551.2</v>
      </c>
      <c r="G2450" s="156">
        <f>Tabla18[[#This Row],[Importe]]-Tabla18[[#This Row],[Pagado]]</f>
        <v>0</v>
      </c>
      <c r="H2450" s="75" t="s">
        <v>10</v>
      </c>
    </row>
    <row r="2451" spans="1:8" x14ac:dyDescent="0.25">
      <c r="A2451" s="148">
        <v>44765</v>
      </c>
      <c r="B2451" s="149" t="s">
        <v>23806</v>
      </c>
      <c r="C2451" s="153" t="s">
        <v>10190</v>
      </c>
      <c r="D2451" s="154">
        <v>11696.4</v>
      </c>
      <c r="E2451" s="155">
        <v>44767</v>
      </c>
      <c r="F2451" s="154">
        <v>11696.4</v>
      </c>
      <c r="G2451" s="156">
        <f>Tabla18[[#This Row],[Importe]]-Tabla18[[#This Row],[Pagado]]</f>
        <v>0</v>
      </c>
      <c r="H2451" s="153" t="s">
        <v>10</v>
      </c>
    </row>
    <row r="2452" spans="1:8" x14ac:dyDescent="0.25">
      <c r="A2452" s="73">
        <v>44765</v>
      </c>
      <c r="B2452" s="74" t="s">
        <v>23807</v>
      </c>
      <c r="C2452" s="75" t="s">
        <v>31</v>
      </c>
      <c r="D2452" s="81">
        <v>2142</v>
      </c>
      <c r="E2452" s="151">
        <v>44765</v>
      </c>
      <c r="F2452" s="81">
        <v>2142</v>
      </c>
      <c r="G2452" s="156">
        <f>Tabla18[[#This Row],[Importe]]-Tabla18[[#This Row],[Pagado]]</f>
        <v>0</v>
      </c>
      <c r="H2452" s="75" t="s">
        <v>10</v>
      </c>
    </row>
    <row r="2453" spans="1:8" x14ac:dyDescent="0.25">
      <c r="A2453" s="148">
        <v>44765</v>
      </c>
      <c r="B2453" s="149" t="s">
        <v>23808</v>
      </c>
      <c r="C2453" s="153" t="s">
        <v>140</v>
      </c>
      <c r="D2453" s="154">
        <v>5970.2</v>
      </c>
      <c r="E2453" s="155">
        <v>44767</v>
      </c>
      <c r="F2453" s="154">
        <v>5970.2</v>
      </c>
      <c r="G2453" s="156">
        <f>Tabla18[[#This Row],[Importe]]-Tabla18[[#This Row],[Pagado]]</f>
        <v>0</v>
      </c>
      <c r="H2453" s="153" t="s">
        <v>10</v>
      </c>
    </row>
    <row r="2454" spans="1:8" x14ac:dyDescent="0.25">
      <c r="A2454" s="73">
        <v>44765</v>
      </c>
      <c r="B2454" s="74" t="s">
        <v>23809</v>
      </c>
      <c r="C2454" s="75" t="s">
        <v>45</v>
      </c>
      <c r="D2454" s="81">
        <v>12104</v>
      </c>
      <c r="E2454" s="151">
        <v>44765</v>
      </c>
      <c r="F2454" s="81">
        <v>12104</v>
      </c>
      <c r="G2454" s="156">
        <f>Tabla18[[#This Row],[Importe]]-Tabla18[[#This Row],[Pagado]]</f>
        <v>0</v>
      </c>
      <c r="H2454" s="75" t="s">
        <v>10</v>
      </c>
    </row>
    <row r="2455" spans="1:8" x14ac:dyDescent="0.25">
      <c r="A2455" s="148">
        <v>44765</v>
      </c>
      <c r="B2455" s="149" t="s">
        <v>23810</v>
      </c>
      <c r="C2455" s="153" t="s">
        <v>9415</v>
      </c>
      <c r="D2455" s="154">
        <v>18861.2</v>
      </c>
      <c r="E2455" s="155">
        <v>44768</v>
      </c>
      <c r="F2455" s="154">
        <v>18861.2</v>
      </c>
      <c r="G2455" s="156">
        <f>Tabla18[[#This Row],[Importe]]-Tabla18[[#This Row],[Pagado]]</f>
        <v>0</v>
      </c>
      <c r="H2455" s="153" t="s">
        <v>10</v>
      </c>
    </row>
    <row r="2456" spans="1:8" x14ac:dyDescent="0.25">
      <c r="A2456" s="73">
        <v>44765</v>
      </c>
      <c r="B2456" s="74" t="s">
        <v>23811</v>
      </c>
      <c r="C2456" s="75" t="s">
        <v>127</v>
      </c>
      <c r="D2456" s="81">
        <v>4789.2</v>
      </c>
      <c r="E2456" s="151">
        <v>44767</v>
      </c>
      <c r="F2456" s="81">
        <v>4789.2</v>
      </c>
      <c r="G2456" s="156">
        <f>Tabla18[[#This Row],[Importe]]-Tabla18[[#This Row],[Pagado]]</f>
        <v>0</v>
      </c>
      <c r="H2456" s="75" t="s">
        <v>10</v>
      </c>
    </row>
    <row r="2457" spans="1:8" x14ac:dyDescent="0.25">
      <c r="A2457" s="148">
        <v>44765</v>
      </c>
      <c r="B2457" s="149" t="s">
        <v>23812</v>
      </c>
      <c r="C2457" s="153" t="s">
        <v>339</v>
      </c>
      <c r="D2457" s="154">
        <v>722.4</v>
      </c>
      <c r="E2457" s="155">
        <v>44767</v>
      </c>
      <c r="F2457" s="154">
        <v>722.4</v>
      </c>
      <c r="G2457" s="156">
        <f>Tabla18[[#This Row],[Importe]]-Tabla18[[#This Row],[Pagado]]</f>
        <v>0</v>
      </c>
      <c r="H2457" s="153" t="s">
        <v>10</v>
      </c>
    </row>
    <row r="2458" spans="1:8" x14ac:dyDescent="0.25">
      <c r="A2458" s="73">
        <v>44765</v>
      </c>
      <c r="B2458" s="74" t="s">
        <v>23813</v>
      </c>
      <c r="C2458" s="75" t="s">
        <v>129</v>
      </c>
      <c r="D2458" s="81">
        <v>2855.2</v>
      </c>
      <c r="E2458" s="151">
        <v>44767</v>
      </c>
      <c r="F2458" s="81">
        <v>2855.2</v>
      </c>
      <c r="G2458" s="156">
        <f>Tabla18[[#This Row],[Importe]]-Tabla18[[#This Row],[Pagado]]</f>
        <v>0</v>
      </c>
      <c r="H2458" s="75" t="s">
        <v>10</v>
      </c>
    </row>
    <row r="2459" spans="1:8" x14ac:dyDescent="0.25">
      <c r="A2459" s="148">
        <v>44765</v>
      </c>
      <c r="B2459" s="149" t="s">
        <v>23814</v>
      </c>
      <c r="C2459" s="153" t="s">
        <v>357</v>
      </c>
      <c r="D2459" s="154">
        <v>739.6</v>
      </c>
      <c r="E2459" s="155">
        <v>44767</v>
      </c>
      <c r="F2459" s="154">
        <v>739.6</v>
      </c>
      <c r="G2459" s="156">
        <f>Tabla18[[#This Row],[Importe]]-Tabla18[[#This Row],[Pagado]]</f>
        <v>0</v>
      </c>
      <c r="H2459" s="153" t="s">
        <v>10</v>
      </c>
    </row>
    <row r="2460" spans="1:8" x14ac:dyDescent="0.25">
      <c r="A2460" s="73">
        <v>44765</v>
      </c>
      <c r="B2460" s="74" t="s">
        <v>23815</v>
      </c>
      <c r="C2460" s="75" t="s">
        <v>1239</v>
      </c>
      <c r="D2460" s="81">
        <v>11474.4</v>
      </c>
      <c r="E2460" s="151">
        <v>44765</v>
      </c>
      <c r="F2460" s="81">
        <v>11474.4</v>
      </c>
      <c r="G2460" s="156">
        <f>Tabla18[[#This Row],[Importe]]-Tabla18[[#This Row],[Pagado]]</f>
        <v>0</v>
      </c>
      <c r="H2460" s="75" t="s">
        <v>10</v>
      </c>
    </row>
    <row r="2461" spans="1:8" x14ac:dyDescent="0.25">
      <c r="A2461" s="148">
        <v>44765</v>
      </c>
      <c r="B2461" s="149" t="s">
        <v>23816</v>
      </c>
      <c r="C2461" s="153" t="s">
        <v>127</v>
      </c>
      <c r="D2461" s="154">
        <v>780.2</v>
      </c>
      <c r="E2461" s="155">
        <v>44767</v>
      </c>
      <c r="F2461" s="154">
        <v>780.2</v>
      </c>
      <c r="G2461" s="156">
        <f>Tabla18[[#This Row],[Importe]]-Tabla18[[#This Row],[Pagado]]</f>
        <v>0</v>
      </c>
      <c r="H2461" s="153" t="s">
        <v>10</v>
      </c>
    </row>
    <row r="2462" spans="1:8" x14ac:dyDescent="0.25">
      <c r="A2462" s="73">
        <v>44765</v>
      </c>
      <c r="B2462" s="74" t="s">
        <v>23817</v>
      </c>
      <c r="C2462" s="75" t="s">
        <v>263</v>
      </c>
      <c r="D2462" s="81">
        <v>172487.7</v>
      </c>
      <c r="E2462" s="151">
        <v>44765</v>
      </c>
      <c r="F2462" s="81">
        <v>172487.7</v>
      </c>
      <c r="G2462" s="156">
        <f>Tabla18[[#This Row],[Importe]]-Tabla18[[#This Row],[Pagado]]</f>
        <v>0</v>
      </c>
      <c r="H2462" s="75" t="s">
        <v>10</v>
      </c>
    </row>
    <row r="2463" spans="1:8" x14ac:dyDescent="0.25">
      <c r="A2463" s="148">
        <v>44765</v>
      </c>
      <c r="B2463" s="149" t="s">
        <v>23818</v>
      </c>
      <c r="C2463" s="153" t="s">
        <v>698</v>
      </c>
      <c r="D2463" s="154">
        <v>6672.4</v>
      </c>
      <c r="E2463" s="155">
        <v>44765</v>
      </c>
      <c r="F2463" s="154">
        <v>6672.4</v>
      </c>
      <c r="G2463" s="156">
        <f>Tabla18[[#This Row],[Importe]]-Tabla18[[#This Row],[Pagado]]</f>
        <v>0</v>
      </c>
      <c r="H2463" s="153" t="s">
        <v>10</v>
      </c>
    </row>
    <row r="2464" spans="1:8" x14ac:dyDescent="0.25">
      <c r="A2464" s="73">
        <v>44765</v>
      </c>
      <c r="B2464" s="74" t="s">
        <v>23819</v>
      </c>
      <c r="C2464" s="75" t="s">
        <v>23820</v>
      </c>
      <c r="D2464" s="81">
        <v>0</v>
      </c>
      <c r="E2464" s="157" t="s">
        <v>189</v>
      </c>
      <c r="F2464" s="81">
        <v>0</v>
      </c>
      <c r="G2464" s="156">
        <f>Tabla18[[#This Row],[Importe]]-Tabla18[[#This Row],[Pagado]]</f>
        <v>0</v>
      </c>
      <c r="H2464" s="161" t="s">
        <v>23821</v>
      </c>
    </row>
    <row r="2465" spans="1:8" x14ac:dyDescent="0.25">
      <c r="A2465" s="148">
        <v>44765</v>
      </c>
      <c r="B2465" s="149" t="s">
        <v>23822</v>
      </c>
      <c r="C2465" s="153" t="s">
        <v>181</v>
      </c>
      <c r="D2465" s="154">
        <v>11640</v>
      </c>
      <c r="E2465" s="155">
        <v>44765</v>
      </c>
      <c r="F2465" s="154">
        <v>11640</v>
      </c>
      <c r="G2465" s="156">
        <f>Tabla18[[#This Row],[Importe]]-Tabla18[[#This Row],[Pagado]]</f>
        <v>0</v>
      </c>
      <c r="H2465" s="153" t="s">
        <v>10</v>
      </c>
    </row>
    <row r="2466" spans="1:8" x14ac:dyDescent="0.25">
      <c r="A2466" s="73">
        <v>44765</v>
      </c>
      <c r="B2466" s="74" t="s">
        <v>23823</v>
      </c>
      <c r="C2466" s="75" t="s">
        <v>681</v>
      </c>
      <c r="D2466" s="81">
        <v>2.12</v>
      </c>
      <c r="E2466" s="151">
        <v>44769</v>
      </c>
      <c r="F2466" s="81">
        <v>2.12</v>
      </c>
      <c r="G2466" s="156">
        <f>Tabla18[[#This Row],[Importe]]-Tabla18[[#This Row],[Pagado]]</f>
        <v>0</v>
      </c>
      <c r="H2466" s="75" t="s">
        <v>10</v>
      </c>
    </row>
    <row r="2467" spans="1:8" x14ac:dyDescent="0.25">
      <c r="A2467" s="148">
        <v>44765</v>
      </c>
      <c r="B2467" s="149" t="s">
        <v>23824</v>
      </c>
      <c r="C2467" s="153" t="s">
        <v>6405</v>
      </c>
      <c r="D2467" s="154">
        <v>1.94</v>
      </c>
      <c r="E2467" s="155">
        <v>44782</v>
      </c>
      <c r="F2467" s="154">
        <v>1.94</v>
      </c>
      <c r="G2467" s="156">
        <f>Tabla18[[#This Row],[Importe]]-Tabla18[[#This Row],[Pagado]]</f>
        <v>0</v>
      </c>
      <c r="H2467" s="153" t="s">
        <v>10</v>
      </c>
    </row>
    <row r="2468" spans="1:8" x14ac:dyDescent="0.25">
      <c r="A2468" s="73">
        <v>44765</v>
      </c>
      <c r="B2468" s="74" t="s">
        <v>23825</v>
      </c>
      <c r="C2468" s="75" t="s">
        <v>200</v>
      </c>
      <c r="D2468" s="81">
        <v>2209.1999999999998</v>
      </c>
      <c r="E2468" s="151">
        <v>44765</v>
      </c>
      <c r="F2468" s="81">
        <v>2209.1999999999998</v>
      </c>
      <c r="G2468" s="156">
        <f>Tabla18[[#This Row],[Importe]]-Tabla18[[#This Row],[Pagado]]</f>
        <v>0</v>
      </c>
      <c r="H2468" s="75" t="s">
        <v>10</v>
      </c>
    </row>
    <row r="2469" spans="1:8" x14ac:dyDescent="0.25">
      <c r="A2469" s="148">
        <v>44765</v>
      </c>
      <c r="B2469" s="149" t="s">
        <v>23826</v>
      </c>
      <c r="C2469" s="153" t="s">
        <v>233</v>
      </c>
      <c r="D2469" s="154">
        <v>5460</v>
      </c>
      <c r="E2469" s="155">
        <v>44765</v>
      </c>
      <c r="F2469" s="154">
        <v>5460</v>
      </c>
      <c r="G2469" s="156">
        <f>Tabla18[[#This Row],[Importe]]-Tabla18[[#This Row],[Pagado]]</f>
        <v>0</v>
      </c>
      <c r="H2469" s="153" t="s">
        <v>10</v>
      </c>
    </row>
    <row r="2470" spans="1:8" x14ac:dyDescent="0.25">
      <c r="A2470" s="73">
        <v>44765</v>
      </c>
      <c r="B2470" s="74" t="s">
        <v>23827</v>
      </c>
      <c r="C2470" s="75" t="s">
        <v>175</v>
      </c>
      <c r="D2470" s="81">
        <v>5544</v>
      </c>
      <c r="E2470" s="151">
        <v>44765</v>
      </c>
      <c r="F2470" s="81">
        <v>5544</v>
      </c>
      <c r="G2470" s="156">
        <f>Tabla18[[#This Row],[Importe]]-Tabla18[[#This Row],[Pagado]]</f>
        <v>0</v>
      </c>
      <c r="H2470" s="75" t="s">
        <v>10</v>
      </c>
    </row>
    <row r="2471" spans="1:8" x14ac:dyDescent="0.25">
      <c r="A2471" s="148">
        <v>44765</v>
      </c>
      <c r="B2471" s="149" t="s">
        <v>23828</v>
      </c>
      <c r="C2471" s="153" t="s">
        <v>1481</v>
      </c>
      <c r="D2471" s="154">
        <v>1176</v>
      </c>
      <c r="E2471" s="155">
        <v>44765</v>
      </c>
      <c r="F2471" s="154">
        <v>1176</v>
      </c>
      <c r="G2471" s="156">
        <f>Tabla18[[#This Row],[Importe]]-Tabla18[[#This Row],[Pagado]]</f>
        <v>0</v>
      </c>
      <c r="H2471" s="153" t="s">
        <v>10</v>
      </c>
    </row>
    <row r="2472" spans="1:8" x14ac:dyDescent="0.25">
      <c r="A2472" s="73">
        <v>44765</v>
      </c>
      <c r="B2472" s="74" t="s">
        <v>23829</v>
      </c>
      <c r="C2472" s="75" t="s">
        <v>31</v>
      </c>
      <c r="D2472" s="81">
        <v>1201.7</v>
      </c>
      <c r="E2472" s="151">
        <v>44765</v>
      </c>
      <c r="F2472" s="81">
        <v>1201.7</v>
      </c>
      <c r="G2472" s="156">
        <f>Tabla18[[#This Row],[Importe]]-Tabla18[[#This Row],[Pagado]]</f>
        <v>0</v>
      </c>
      <c r="H2472" s="75" t="s">
        <v>10</v>
      </c>
    </row>
    <row r="2473" spans="1:8" x14ac:dyDescent="0.25">
      <c r="A2473" s="148">
        <v>44765</v>
      </c>
      <c r="B2473" s="149" t="s">
        <v>23830</v>
      </c>
      <c r="C2473" s="153" t="s">
        <v>359</v>
      </c>
      <c r="D2473" s="154">
        <v>1513.5</v>
      </c>
      <c r="E2473" s="155">
        <v>44765</v>
      </c>
      <c r="F2473" s="154">
        <v>1513.5</v>
      </c>
      <c r="G2473" s="156">
        <f>Tabla18[[#This Row],[Importe]]-Tabla18[[#This Row],[Pagado]]</f>
        <v>0</v>
      </c>
      <c r="H2473" s="153" t="s">
        <v>10</v>
      </c>
    </row>
    <row r="2474" spans="1:8" x14ac:dyDescent="0.25">
      <c r="A2474" s="73">
        <v>44765</v>
      </c>
      <c r="B2474" s="74" t="s">
        <v>23831</v>
      </c>
      <c r="C2474" s="75" t="s">
        <v>31</v>
      </c>
      <c r="D2474" s="81">
        <v>151.80000000000001</v>
      </c>
      <c r="E2474" s="151">
        <v>44765</v>
      </c>
      <c r="F2474" s="81">
        <v>151.80000000000001</v>
      </c>
      <c r="G2474" s="156">
        <f>Tabla18[[#This Row],[Importe]]-Tabla18[[#This Row],[Pagado]]</f>
        <v>0</v>
      </c>
      <c r="H2474" s="75" t="s">
        <v>10</v>
      </c>
    </row>
    <row r="2475" spans="1:8" x14ac:dyDescent="0.25">
      <c r="A2475" s="148">
        <v>44765</v>
      </c>
      <c r="B2475" s="149" t="s">
        <v>23832</v>
      </c>
      <c r="C2475" s="153" t="s">
        <v>484</v>
      </c>
      <c r="D2475" s="154">
        <v>3806.4</v>
      </c>
      <c r="E2475" s="155">
        <v>44765</v>
      </c>
      <c r="F2475" s="154">
        <v>3806.4</v>
      </c>
      <c r="G2475" s="156">
        <f>Tabla18[[#This Row],[Importe]]-Tabla18[[#This Row],[Pagado]]</f>
        <v>0</v>
      </c>
      <c r="H2475" s="153" t="s">
        <v>10</v>
      </c>
    </row>
    <row r="2476" spans="1:8" x14ac:dyDescent="0.25">
      <c r="A2476" s="73">
        <v>44765</v>
      </c>
      <c r="B2476" s="74" t="s">
        <v>23833</v>
      </c>
      <c r="C2476" s="75" t="s">
        <v>4136</v>
      </c>
      <c r="D2476" s="81">
        <v>3072.5</v>
      </c>
      <c r="E2476" s="151">
        <v>44765</v>
      </c>
      <c r="F2476" s="81">
        <v>3072.5</v>
      </c>
      <c r="G2476" s="156">
        <f>Tabla18[[#This Row],[Importe]]-Tabla18[[#This Row],[Pagado]]</f>
        <v>0</v>
      </c>
      <c r="H2476" s="75" t="s">
        <v>10</v>
      </c>
    </row>
    <row r="2477" spans="1:8" x14ac:dyDescent="0.25">
      <c r="A2477" s="148">
        <v>44765</v>
      </c>
      <c r="B2477" s="149" t="s">
        <v>23834</v>
      </c>
      <c r="C2477" s="153" t="s">
        <v>587</v>
      </c>
      <c r="D2477" s="154">
        <v>3759.12</v>
      </c>
      <c r="E2477" s="155">
        <v>44765</v>
      </c>
      <c r="F2477" s="154">
        <v>3759.12</v>
      </c>
      <c r="G2477" s="156">
        <f>Tabla18[[#This Row],[Importe]]-Tabla18[[#This Row],[Pagado]]</f>
        <v>0</v>
      </c>
      <c r="H2477" s="153" t="s">
        <v>10</v>
      </c>
    </row>
    <row r="2478" spans="1:8" x14ac:dyDescent="0.25">
      <c r="A2478" s="73">
        <v>44765</v>
      </c>
      <c r="B2478" s="74" t="s">
        <v>23835</v>
      </c>
      <c r="C2478" s="75" t="s">
        <v>31</v>
      </c>
      <c r="D2478" s="81">
        <v>1224</v>
      </c>
      <c r="E2478" s="151">
        <v>44765</v>
      </c>
      <c r="F2478" s="81">
        <v>1224</v>
      </c>
      <c r="G2478" s="156">
        <f>Tabla18[[#This Row],[Importe]]-Tabla18[[#This Row],[Pagado]]</f>
        <v>0</v>
      </c>
      <c r="H2478" s="75" t="s">
        <v>10</v>
      </c>
    </row>
    <row r="2479" spans="1:8" x14ac:dyDescent="0.25">
      <c r="A2479" s="148">
        <v>44765</v>
      </c>
      <c r="B2479" s="149" t="s">
        <v>23836</v>
      </c>
      <c r="C2479" s="153" t="s">
        <v>31</v>
      </c>
      <c r="D2479" s="154">
        <v>2024.4</v>
      </c>
      <c r="E2479" s="155">
        <v>44765</v>
      </c>
      <c r="F2479" s="154">
        <v>2024.4</v>
      </c>
      <c r="G2479" s="156">
        <f>Tabla18[[#This Row],[Importe]]-Tabla18[[#This Row],[Pagado]]</f>
        <v>0</v>
      </c>
      <c r="H2479" s="153" t="s">
        <v>10</v>
      </c>
    </row>
    <row r="2480" spans="1:8" x14ac:dyDescent="0.25">
      <c r="A2480" s="73">
        <v>44765</v>
      </c>
      <c r="B2480" s="74" t="s">
        <v>23837</v>
      </c>
      <c r="C2480" s="75" t="s">
        <v>555</v>
      </c>
      <c r="D2480" s="81">
        <v>26100</v>
      </c>
      <c r="E2480" s="151">
        <v>44765</v>
      </c>
      <c r="F2480" s="81">
        <v>26100</v>
      </c>
      <c r="G2480" s="156">
        <f>Tabla18[[#This Row],[Importe]]-Tabla18[[#This Row],[Pagado]]</f>
        <v>0</v>
      </c>
      <c r="H2480" s="75" t="s">
        <v>10</v>
      </c>
    </row>
    <row r="2481" spans="1:8" x14ac:dyDescent="0.25">
      <c r="A2481" s="148">
        <v>44765</v>
      </c>
      <c r="B2481" s="149" t="s">
        <v>23838</v>
      </c>
      <c r="C2481" s="153" t="s">
        <v>24</v>
      </c>
      <c r="D2481" s="154">
        <v>4476.3999999999996</v>
      </c>
      <c r="E2481" s="155">
        <v>44765</v>
      </c>
      <c r="F2481" s="154">
        <v>4476.3999999999996</v>
      </c>
      <c r="G2481" s="156">
        <f>Tabla18[[#This Row],[Importe]]-Tabla18[[#This Row],[Pagado]]</f>
        <v>0</v>
      </c>
      <c r="H2481" s="153" t="s">
        <v>10</v>
      </c>
    </row>
    <row r="2482" spans="1:8" x14ac:dyDescent="0.25">
      <c r="A2482" s="73">
        <v>44765</v>
      </c>
      <c r="B2482" s="74" t="s">
        <v>23839</v>
      </c>
      <c r="C2482" s="75" t="s">
        <v>9827</v>
      </c>
      <c r="D2482" s="81">
        <v>9487.7999999999993</v>
      </c>
      <c r="E2482" s="151">
        <v>44765</v>
      </c>
      <c r="F2482" s="81">
        <v>9487.7999999999993</v>
      </c>
      <c r="G2482" s="156">
        <f>Tabla18[[#This Row],[Importe]]-Tabla18[[#This Row],[Pagado]]</f>
        <v>0</v>
      </c>
      <c r="H2482" s="75" t="s">
        <v>10</v>
      </c>
    </row>
    <row r="2483" spans="1:8" x14ac:dyDescent="0.25">
      <c r="A2483" s="148">
        <v>44765</v>
      </c>
      <c r="B2483" s="149" t="s">
        <v>23840</v>
      </c>
      <c r="C2483" s="153" t="s">
        <v>67</v>
      </c>
      <c r="D2483" s="154">
        <v>2454.6</v>
      </c>
      <c r="E2483" s="155">
        <v>44765</v>
      </c>
      <c r="F2483" s="154">
        <v>2454.6</v>
      </c>
      <c r="G2483" s="156">
        <f>Tabla18[[#This Row],[Importe]]-Tabla18[[#This Row],[Pagado]]</f>
        <v>0</v>
      </c>
      <c r="H2483" s="153" t="s">
        <v>10</v>
      </c>
    </row>
    <row r="2484" spans="1:8" x14ac:dyDescent="0.25">
      <c r="A2484" s="73">
        <v>44765</v>
      </c>
      <c r="B2484" s="74" t="s">
        <v>23841</v>
      </c>
      <c r="C2484" s="75" t="s">
        <v>214</v>
      </c>
      <c r="D2484" s="81">
        <v>1512</v>
      </c>
      <c r="E2484" s="151">
        <v>44765</v>
      </c>
      <c r="F2484" s="81">
        <v>1512</v>
      </c>
      <c r="G2484" s="156">
        <f>Tabla18[[#This Row],[Importe]]-Tabla18[[#This Row],[Pagado]]</f>
        <v>0</v>
      </c>
      <c r="H2484" s="75" t="s">
        <v>10</v>
      </c>
    </row>
    <row r="2485" spans="1:8" x14ac:dyDescent="0.25">
      <c r="A2485" s="148">
        <v>44765</v>
      </c>
      <c r="B2485" s="149" t="s">
        <v>23842</v>
      </c>
      <c r="C2485" s="153" t="s">
        <v>244</v>
      </c>
      <c r="D2485" s="154">
        <v>620.5</v>
      </c>
      <c r="E2485" s="155">
        <v>44765</v>
      </c>
      <c r="F2485" s="154">
        <v>620.5</v>
      </c>
      <c r="G2485" s="156">
        <f>Tabla18[[#This Row],[Importe]]-Tabla18[[#This Row],[Pagado]]</f>
        <v>0</v>
      </c>
      <c r="H2485" s="153" t="s">
        <v>10</v>
      </c>
    </row>
    <row r="2486" spans="1:8" x14ac:dyDescent="0.25">
      <c r="A2486" s="73">
        <v>44765</v>
      </c>
      <c r="B2486" s="74" t="s">
        <v>23843</v>
      </c>
      <c r="C2486" s="75" t="s">
        <v>840</v>
      </c>
      <c r="D2486" s="81">
        <v>128378.9</v>
      </c>
      <c r="E2486" s="151">
        <v>44765</v>
      </c>
      <c r="F2486" s="81">
        <v>128378.9</v>
      </c>
      <c r="G2486" s="156">
        <f>Tabla18[[#This Row],[Importe]]-Tabla18[[#This Row],[Pagado]]</f>
        <v>0</v>
      </c>
      <c r="H2486" s="75" t="s">
        <v>10</v>
      </c>
    </row>
    <row r="2487" spans="1:8" x14ac:dyDescent="0.25">
      <c r="A2487" s="148">
        <v>44765</v>
      </c>
      <c r="B2487" s="149" t="s">
        <v>23844</v>
      </c>
      <c r="C2487" s="153" t="s">
        <v>647</v>
      </c>
      <c r="D2487" s="154">
        <v>1553.5</v>
      </c>
      <c r="E2487" s="155">
        <v>44765</v>
      </c>
      <c r="F2487" s="154">
        <v>1553.5</v>
      </c>
      <c r="G2487" s="156">
        <f>Tabla18[[#This Row],[Importe]]-Tabla18[[#This Row],[Pagado]]</f>
        <v>0</v>
      </c>
      <c r="H2487" s="153" t="s">
        <v>10</v>
      </c>
    </row>
    <row r="2488" spans="1:8" x14ac:dyDescent="0.25">
      <c r="A2488" s="73">
        <v>44765</v>
      </c>
      <c r="B2488" s="74" t="s">
        <v>23845</v>
      </c>
      <c r="C2488" s="75" t="s">
        <v>647</v>
      </c>
      <c r="D2488" s="81">
        <v>708.5</v>
      </c>
      <c r="E2488" s="151" t="s">
        <v>23846</v>
      </c>
      <c r="F2488" s="81">
        <v>708.5</v>
      </c>
      <c r="G2488" s="156">
        <f>Tabla18[[#This Row],[Importe]]-Tabla18[[#This Row],[Pagado]]</f>
        <v>0</v>
      </c>
      <c r="H2488" s="75" t="s">
        <v>10</v>
      </c>
    </row>
    <row r="2489" spans="1:8" x14ac:dyDescent="0.25">
      <c r="A2489" s="148">
        <v>44765</v>
      </c>
      <c r="B2489" s="149" t="s">
        <v>23847</v>
      </c>
      <c r="C2489" s="153" t="s">
        <v>2139</v>
      </c>
      <c r="D2489" s="154">
        <v>1560</v>
      </c>
      <c r="E2489" s="155" t="s">
        <v>23846</v>
      </c>
      <c r="F2489" s="154">
        <v>1560</v>
      </c>
      <c r="G2489" s="156">
        <f>Tabla18[[#This Row],[Importe]]-Tabla18[[#This Row],[Pagado]]</f>
        <v>0</v>
      </c>
      <c r="H2489" s="153" t="s">
        <v>10</v>
      </c>
    </row>
    <row r="2490" spans="1:8" x14ac:dyDescent="0.25">
      <c r="A2490" s="73">
        <v>44765</v>
      </c>
      <c r="B2490" s="74" t="s">
        <v>23848</v>
      </c>
      <c r="C2490" s="75" t="s">
        <v>14743</v>
      </c>
      <c r="D2490" s="81">
        <v>0</v>
      </c>
      <c r="E2490" s="157" t="s">
        <v>189</v>
      </c>
      <c r="F2490" s="81">
        <v>0</v>
      </c>
      <c r="G2490" s="156">
        <f>Tabla18[[#This Row],[Importe]]-Tabla18[[#This Row],[Pagado]]</f>
        <v>0</v>
      </c>
      <c r="H2490" s="161" t="s">
        <v>23849</v>
      </c>
    </row>
    <row r="2491" spans="1:8" x14ac:dyDescent="0.25">
      <c r="A2491" s="148">
        <v>44765</v>
      </c>
      <c r="B2491" s="149" t="s">
        <v>23850</v>
      </c>
      <c r="C2491" s="153" t="s">
        <v>296</v>
      </c>
      <c r="D2491" s="154">
        <v>1745.8</v>
      </c>
      <c r="E2491" s="155">
        <v>44765</v>
      </c>
      <c r="F2491" s="154">
        <v>1745.8</v>
      </c>
      <c r="G2491" s="156">
        <f>Tabla18[[#This Row],[Importe]]-Tabla18[[#This Row],[Pagado]]</f>
        <v>0</v>
      </c>
      <c r="H2491" s="153" t="s">
        <v>10</v>
      </c>
    </row>
    <row r="2492" spans="1:8" x14ac:dyDescent="0.25">
      <c r="A2492" s="73">
        <v>44765</v>
      </c>
      <c r="B2492" s="74" t="s">
        <v>23851</v>
      </c>
      <c r="C2492" s="75" t="s">
        <v>284</v>
      </c>
      <c r="D2492" s="81">
        <v>17136</v>
      </c>
      <c r="E2492" s="151">
        <v>44766</v>
      </c>
      <c r="F2492" s="81">
        <v>17136</v>
      </c>
      <c r="G2492" s="156">
        <f>Tabla18[[#This Row],[Importe]]-Tabla18[[#This Row],[Pagado]]</f>
        <v>0</v>
      </c>
      <c r="H2492" s="75" t="s">
        <v>10</v>
      </c>
    </row>
    <row r="2493" spans="1:8" x14ac:dyDescent="0.25">
      <c r="A2493" s="148">
        <v>44765</v>
      </c>
      <c r="B2493" s="149" t="s">
        <v>23852</v>
      </c>
      <c r="C2493" s="153" t="s">
        <v>5345</v>
      </c>
      <c r="D2493" s="154">
        <v>8769.6</v>
      </c>
      <c r="E2493" s="155">
        <v>44766</v>
      </c>
      <c r="F2493" s="154">
        <v>8769.6</v>
      </c>
      <c r="G2493" s="156">
        <f>Tabla18[[#This Row],[Importe]]-Tabla18[[#This Row],[Pagado]]</f>
        <v>0</v>
      </c>
      <c r="H2493" s="153" t="s">
        <v>10</v>
      </c>
    </row>
    <row r="2494" spans="1:8" x14ac:dyDescent="0.25">
      <c r="A2494" s="73">
        <v>44765</v>
      </c>
      <c r="B2494" s="74" t="s">
        <v>23853</v>
      </c>
      <c r="C2494" s="75" t="s">
        <v>10819</v>
      </c>
      <c r="D2494" s="81">
        <v>2422.8000000000002</v>
      </c>
      <c r="E2494" s="151">
        <v>44766</v>
      </c>
      <c r="F2494" s="81">
        <v>2422.8000000000002</v>
      </c>
      <c r="G2494" s="156">
        <f>Tabla18[[#This Row],[Importe]]-Tabla18[[#This Row],[Pagado]]</f>
        <v>0</v>
      </c>
      <c r="H2494" s="75" t="s">
        <v>10</v>
      </c>
    </row>
    <row r="2495" spans="1:8" x14ac:dyDescent="0.25">
      <c r="A2495" s="148">
        <v>44765</v>
      </c>
      <c r="B2495" s="149" t="s">
        <v>23854</v>
      </c>
      <c r="C2495" s="153" t="s">
        <v>282</v>
      </c>
      <c r="D2495" s="154">
        <v>3393.6</v>
      </c>
      <c r="E2495" s="155">
        <v>44766</v>
      </c>
      <c r="F2495" s="154">
        <v>3393.6</v>
      </c>
      <c r="G2495" s="156">
        <f>Tabla18[[#This Row],[Importe]]-Tabla18[[#This Row],[Pagado]]</f>
        <v>0</v>
      </c>
      <c r="H2495" s="153" t="s">
        <v>10</v>
      </c>
    </row>
    <row r="2496" spans="1:8" x14ac:dyDescent="0.25">
      <c r="A2496" s="73">
        <v>44765</v>
      </c>
      <c r="B2496" s="74" t="s">
        <v>23855</v>
      </c>
      <c r="C2496" s="75" t="s">
        <v>280</v>
      </c>
      <c r="D2496" s="81">
        <v>1360.8</v>
      </c>
      <c r="E2496" s="151">
        <v>44766</v>
      </c>
      <c r="F2496" s="81">
        <v>1360.8</v>
      </c>
      <c r="G2496" s="156">
        <f>Tabla18[[#This Row],[Importe]]-Tabla18[[#This Row],[Pagado]]</f>
        <v>0</v>
      </c>
      <c r="H2496" s="75" t="s">
        <v>10</v>
      </c>
    </row>
    <row r="2497" spans="1:8" x14ac:dyDescent="0.25">
      <c r="A2497" s="148">
        <v>44765</v>
      </c>
      <c r="B2497" s="149" t="s">
        <v>23856</v>
      </c>
      <c r="C2497" s="153" t="s">
        <v>142</v>
      </c>
      <c r="D2497" s="154">
        <v>3984</v>
      </c>
      <c r="E2497" s="155">
        <v>44802</v>
      </c>
      <c r="F2497" s="154">
        <v>3984</v>
      </c>
      <c r="G2497" s="156">
        <f>Tabla18[[#This Row],[Importe]]-Tabla18[[#This Row],[Pagado]]</f>
        <v>0</v>
      </c>
      <c r="H2497" s="153" t="s">
        <v>10</v>
      </c>
    </row>
    <row r="2498" spans="1:8" x14ac:dyDescent="0.25">
      <c r="A2498" s="73">
        <v>44765</v>
      </c>
      <c r="B2498" s="74" t="s">
        <v>23857</v>
      </c>
      <c r="C2498" s="75" t="s">
        <v>9</v>
      </c>
      <c r="D2498" s="81">
        <v>4603</v>
      </c>
      <c r="E2498" s="151">
        <v>44765</v>
      </c>
      <c r="F2498" s="81">
        <v>4603</v>
      </c>
      <c r="G2498" s="156">
        <f>Tabla18[[#This Row],[Importe]]-Tabla18[[#This Row],[Pagado]]</f>
        <v>0</v>
      </c>
      <c r="H2498" s="75" t="s">
        <v>10</v>
      </c>
    </row>
    <row r="2499" spans="1:8" x14ac:dyDescent="0.25">
      <c r="A2499" s="148">
        <v>44765</v>
      </c>
      <c r="B2499" s="149" t="s">
        <v>23858</v>
      </c>
      <c r="C2499" s="153" t="s">
        <v>31</v>
      </c>
      <c r="D2499" s="154">
        <v>6272</v>
      </c>
      <c r="E2499" s="155">
        <v>44765</v>
      </c>
      <c r="F2499" s="154">
        <v>6272</v>
      </c>
      <c r="G2499" s="156">
        <f>Tabla18[[#This Row],[Importe]]-Tabla18[[#This Row],[Pagado]]</f>
        <v>0</v>
      </c>
      <c r="H2499" s="153" t="s">
        <v>10</v>
      </c>
    </row>
    <row r="2500" spans="1:8" x14ac:dyDescent="0.25">
      <c r="A2500" s="73">
        <v>44765</v>
      </c>
      <c r="B2500" s="74" t="s">
        <v>23859</v>
      </c>
      <c r="C2500" s="75" t="s">
        <v>31</v>
      </c>
      <c r="D2500" s="81">
        <v>2292</v>
      </c>
      <c r="E2500" s="151">
        <v>44765</v>
      </c>
      <c r="F2500" s="81">
        <v>2292</v>
      </c>
      <c r="G2500" s="156">
        <f>Tabla18[[#This Row],[Importe]]-Tabla18[[#This Row],[Pagado]]</f>
        <v>0</v>
      </c>
      <c r="H2500" s="75" t="s">
        <v>10</v>
      </c>
    </row>
    <row r="2501" spans="1:8" ht="31.5" x14ac:dyDescent="0.25">
      <c r="A2501" s="148">
        <v>44765</v>
      </c>
      <c r="B2501" s="149" t="s">
        <v>23860</v>
      </c>
      <c r="C2501" s="160" t="s">
        <v>15500</v>
      </c>
      <c r="D2501" s="154">
        <v>0</v>
      </c>
      <c r="E2501" s="158" t="s">
        <v>189</v>
      </c>
      <c r="F2501" s="154">
        <v>0</v>
      </c>
      <c r="G2501" s="156">
        <f>Tabla18[[#This Row],[Importe]]-Tabla18[[#This Row],[Pagado]]</f>
        <v>0</v>
      </c>
      <c r="H2501" s="159" t="s">
        <v>23861</v>
      </c>
    </row>
    <row r="2502" spans="1:8" x14ac:dyDescent="0.25">
      <c r="A2502" s="73">
        <v>44765</v>
      </c>
      <c r="B2502" s="74" t="s">
        <v>23862</v>
      </c>
      <c r="C2502" s="75" t="s">
        <v>518</v>
      </c>
      <c r="D2502" s="81">
        <v>6136.2</v>
      </c>
      <c r="E2502" s="151">
        <v>44765</v>
      </c>
      <c r="F2502" s="81">
        <v>6136.2</v>
      </c>
      <c r="G2502" s="156">
        <f>Tabla18[[#This Row],[Importe]]-Tabla18[[#This Row],[Pagado]]</f>
        <v>0</v>
      </c>
      <c r="H2502" s="75" t="s">
        <v>10</v>
      </c>
    </row>
    <row r="2503" spans="1:8" x14ac:dyDescent="0.25">
      <c r="A2503" s="148">
        <v>44765</v>
      </c>
      <c r="B2503" s="149" t="s">
        <v>23863</v>
      </c>
      <c r="C2503" s="153" t="s">
        <v>191</v>
      </c>
      <c r="D2503" s="154">
        <v>768</v>
      </c>
      <c r="E2503" s="155">
        <v>44765</v>
      </c>
      <c r="F2503" s="154">
        <v>768</v>
      </c>
      <c r="G2503" s="156">
        <f>Tabla18[[#This Row],[Importe]]-Tabla18[[#This Row],[Pagado]]</f>
        <v>0</v>
      </c>
      <c r="H2503" s="153" t="s">
        <v>10</v>
      </c>
    </row>
    <row r="2504" spans="1:8" x14ac:dyDescent="0.25">
      <c r="A2504" s="73">
        <v>44765</v>
      </c>
      <c r="B2504" s="74" t="s">
        <v>23864</v>
      </c>
      <c r="C2504" s="75" t="s">
        <v>1421</v>
      </c>
      <c r="D2504" s="81">
        <v>28000</v>
      </c>
      <c r="E2504" s="151">
        <v>44765</v>
      </c>
      <c r="F2504" s="81">
        <v>28000</v>
      </c>
      <c r="G2504" s="156">
        <f>Tabla18[[#This Row],[Importe]]-Tabla18[[#This Row],[Pagado]]</f>
        <v>0</v>
      </c>
      <c r="H2504" s="75" t="s">
        <v>10</v>
      </c>
    </row>
    <row r="2505" spans="1:8" x14ac:dyDescent="0.25">
      <c r="A2505" s="148">
        <v>44765</v>
      </c>
      <c r="B2505" s="149" t="s">
        <v>23865</v>
      </c>
      <c r="C2505" s="153" t="s">
        <v>10840</v>
      </c>
      <c r="D2505" s="154">
        <v>235.2</v>
      </c>
      <c r="E2505" s="155">
        <v>44765</v>
      </c>
      <c r="F2505" s="154">
        <v>235.2</v>
      </c>
      <c r="G2505" s="156">
        <f>Tabla18[[#This Row],[Importe]]-Tabla18[[#This Row],[Pagado]]</f>
        <v>0</v>
      </c>
      <c r="H2505" s="153" t="s">
        <v>10</v>
      </c>
    </row>
    <row r="2506" spans="1:8" x14ac:dyDescent="0.25">
      <c r="A2506" s="73">
        <v>44765</v>
      </c>
      <c r="B2506" s="74" t="s">
        <v>23866</v>
      </c>
      <c r="C2506" s="75" t="s">
        <v>67</v>
      </c>
      <c r="D2506" s="81">
        <v>333</v>
      </c>
      <c r="E2506" s="151">
        <v>44765</v>
      </c>
      <c r="F2506" s="81">
        <v>333</v>
      </c>
      <c r="G2506" s="156">
        <f>Tabla18[[#This Row],[Importe]]-Tabla18[[#This Row],[Pagado]]</f>
        <v>0</v>
      </c>
      <c r="H2506" s="75" t="s">
        <v>10</v>
      </c>
    </row>
    <row r="2507" spans="1:8" x14ac:dyDescent="0.25">
      <c r="A2507" s="148">
        <v>44765</v>
      </c>
      <c r="B2507" s="149" t="s">
        <v>23867</v>
      </c>
      <c r="C2507" s="153" t="s">
        <v>89</v>
      </c>
      <c r="D2507" s="154">
        <v>126</v>
      </c>
      <c r="E2507" s="155">
        <v>44765</v>
      </c>
      <c r="F2507" s="154">
        <v>126</v>
      </c>
      <c r="G2507" s="156">
        <f>Tabla18[[#This Row],[Importe]]-Tabla18[[#This Row],[Pagado]]</f>
        <v>0</v>
      </c>
      <c r="H2507" s="153" t="s">
        <v>10</v>
      </c>
    </row>
    <row r="2508" spans="1:8" x14ac:dyDescent="0.25">
      <c r="A2508" s="73">
        <v>44765</v>
      </c>
      <c r="B2508" s="74" t="s">
        <v>23868</v>
      </c>
      <c r="C2508" s="75" t="s">
        <v>857</v>
      </c>
      <c r="D2508" s="81">
        <v>2084</v>
      </c>
      <c r="E2508" s="151">
        <v>44765</v>
      </c>
      <c r="F2508" s="81">
        <v>2084</v>
      </c>
      <c r="G2508" s="156">
        <f>Tabla18[[#This Row],[Importe]]-Tabla18[[#This Row],[Pagado]]</f>
        <v>0</v>
      </c>
      <c r="H2508" s="75" t="s">
        <v>10</v>
      </c>
    </row>
    <row r="2509" spans="1:8" x14ac:dyDescent="0.25">
      <c r="A2509" s="148">
        <v>44765</v>
      </c>
      <c r="B2509" s="149" t="s">
        <v>23869</v>
      </c>
      <c r="C2509" s="153" t="s">
        <v>31</v>
      </c>
      <c r="D2509" s="154">
        <v>218.4</v>
      </c>
      <c r="E2509" s="155">
        <v>44765</v>
      </c>
      <c r="F2509" s="154">
        <v>218.4</v>
      </c>
      <c r="G2509" s="156">
        <f>Tabla18[[#This Row],[Importe]]-Tabla18[[#This Row],[Pagado]]</f>
        <v>0</v>
      </c>
      <c r="H2509" s="153" t="s">
        <v>10</v>
      </c>
    </row>
    <row r="2510" spans="1:8" x14ac:dyDescent="0.25">
      <c r="A2510" s="73">
        <v>44765</v>
      </c>
      <c r="B2510" s="74" t="s">
        <v>23870</v>
      </c>
      <c r="C2510" s="75" t="s">
        <v>275</v>
      </c>
      <c r="D2510" s="81">
        <v>51373.75</v>
      </c>
      <c r="E2510" s="151">
        <v>44786</v>
      </c>
      <c r="F2510" s="81">
        <v>51373.75</v>
      </c>
      <c r="G2510" s="156">
        <f>Tabla18[[#This Row],[Importe]]-Tabla18[[#This Row],[Pagado]]</f>
        <v>0</v>
      </c>
      <c r="H2510" s="75" t="s">
        <v>10</v>
      </c>
    </row>
    <row r="2511" spans="1:8" x14ac:dyDescent="0.25">
      <c r="A2511" s="148">
        <v>44765</v>
      </c>
      <c r="B2511" s="149" t="s">
        <v>23871</v>
      </c>
      <c r="C2511" s="153" t="s">
        <v>196</v>
      </c>
      <c r="D2511" s="154">
        <v>4200</v>
      </c>
      <c r="E2511" s="155">
        <v>44771</v>
      </c>
      <c r="F2511" s="154">
        <v>4200</v>
      </c>
      <c r="G2511" s="156">
        <f>Tabla18[[#This Row],[Importe]]-Tabla18[[#This Row],[Pagado]]</f>
        <v>0</v>
      </c>
      <c r="H2511" s="153" t="s">
        <v>10</v>
      </c>
    </row>
    <row r="2512" spans="1:8" x14ac:dyDescent="0.25">
      <c r="A2512" s="73">
        <v>44765</v>
      </c>
      <c r="B2512" s="74" t="s">
        <v>23872</v>
      </c>
      <c r="C2512" s="75" t="s">
        <v>407</v>
      </c>
      <c r="D2512" s="81">
        <v>10400</v>
      </c>
      <c r="E2512" s="151">
        <v>44778</v>
      </c>
      <c r="F2512" s="81">
        <v>10400</v>
      </c>
      <c r="G2512" s="156">
        <f>Tabla18[[#This Row],[Importe]]-Tabla18[[#This Row],[Pagado]]</f>
        <v>0</v>
      </c>
      <c r="H2512" s="75" t="s">
        <v>10</v>
      </c>
    </row>
    <row r="2513" spans="1:8" x14ac:dyDescent="0.25">
      <c r="A2513" s="148">
        <v>44765</v>
      </c>
      <c r="B2513" s="149" t="s">
        <v>23873</v>
      </c>
      <c r="C2513" s="153" t="s">
        <v>35</v>
      </c>
      <c r="D2513" s="154">
        <v>3247.2</v>
      </c>
      <c r="E2513" s="155">
        <v>44765</v>
      </c>
      <c r="F2513" s="154">
        <v>3247.2</v>
      </c>
      <c r="G2513" s="156">
        <f>Tabla18[[#This Row],[Importe]]-Tabla18[[#This Row],[Pagado]]</f>
        <v>0</v>
      </c>
      <c r="H2513" s="153" t="s">
        <v>10</v>
      </c>
    </row>
    <row r="2514" spans="1:8" x14ac:dyDescent="0.25">
      <c r="A2514" s="73">
        <v>44765</v>
      </c>
      <c r="B2514" s="74" t="s">
        <v>23874</v>
      </c>
      <c r="C2514" s="75" t="s">
        <v>69</v>
      </c>
      <c r="D2514" s="81">
        <v>225.5</v>
      </c>
      <c r="E2514" s="151">
        <v>44765</v>
      </c>
      <c r="F2514" s="81">
        <v>225.5</v>
      </c>
      <c r="G2514" s="156">
        <f>Tabla18[[#This Row],[Importe]]-Tabla18[[#This Row],[Pagado]]</f>
        <v>0</v>
      </c>
      <c r="H2514" s="75" t="s">
        <v>10</v>
      </c>
    </row>
    <row r="2515" spans="1:8" x14ac:dyDescent="0.25">
      <c r="A2515" s="148">
        <v>44766</v>
      </c>
      <c r="B2515" s="149" t="s">
        <v>23875</v>
      </c>
      <c r="C2515" s="153" t="s">
        <v>9</v>
      </c>
      <c r="D2515" s="154">
        <v>8660.1</v>
      </c>
      <c r="E2515" s="155">
        <v>44766</v>
      </c>
      <c r="F2515" s="154">
        <v>8660.1</v>
      </c>
      <c r="G2515" s="156">
        <f>Tabla18[[#This Row],[Importe]]-Tabla18[[#This Row],[Pagado]]</f>
        <v>0</v>
      </c>
      <c r="H2515" s="153" t="s">
        <v>10</v>
      </c>
    </row>
    <row r="2516" spans="1:8" x14ac:dyDescent="0.25">
      <c r="A2516" s="73">
        <v>44766</v>
      </c>
      <c r="B2516" s="74" t="s">
        <v>23876</v>
      </c>
      <c r="C2516" s="75" t="s">
        <v>20</v>
      </c>
      <c r="D2516" s="81">
        <v>12100</v>
      </c>
      <c r="E2516" s="151">
        <v>44766</v>
      </c>
      <c r="F2516" s="81">
        <v>12100</v>
      </c>
      <c r="G2516" s="156">
        <f>Tabla18[[#This Row],[Importe]]-Tabla18[[#This Row],[Pagado]]</f>
        <v>0</v>
      </c>
      <c r="H2516" s="75" t="s">
        <v>10</v>
      </c>
    </row>
    <row r="2517" spans="1:8" x14ac:dyDescent="0.25">
      <c r="A2517" s="148">
        <v>44766</v>
      </c>
      <c r="B2517" s="149" t="s">
        <v>23877</v>
      </c>
      <c r="C2517" s="153" t="s">
        <v>1187</v>
      </c>
      <c r="D2517" s="154">
        <v>1036.8</v>
      </c>
      <c r="E2517" s="155">
        <v>44766</v>
      </c>
      <c r="F2517" s="154">
        <v>1036.8</v>
      </c>
      <c r="G2517" s="156">
        <f>Tabla18[[#This Row],[Importe]]-Tabla18[[#This Row],[Pagado]]</f>
        <v>0</v>
      </c>
      <c r="H2517" s="153" t="s">
        <v>10</v>
      </c>
    </row>
    <row r="2518" spans="1:8" ht="31.5" x14ac:dyDescent="0.25">
      <c r="A2518" s="73">
        <v>44766</v>
      </c>
      <c r="B2518" s="74" t="s">
        <v>23878</v>
      </c>
      <c r="C2518" s="75" t="s">
        <v>475</v>
      </c>
      <c r="D2518" s="81">
        <v>76743.600000000006</v>
      </c>
      <c r="E2518" s="147" t="s">
        <v>23879</v>
      </c>
      <c r="F2518" s="81">
        <f>68300+8443.6</f>
        <v>76743.600000000006</v>
      </c>
      <c r="G2518" s="156">
        <f>Tabla18[[#This Row],[Importe]]-Tabla18[[#This Row],[Pagado]]</f>
        <v>0</v>
      </c>
      <c r="H2518" s="75" t="s">
        <v>10</v>
      </c>
    </row>
    <row r="2519" spans="1:8" x14ac:dyDescent="0.25">
      <c r="A2519" s="148">
        <v>44766</v>
      </c>
      <c r="B2519" s="149" t="s">
        <v>23880</v>
      </c>
      <c r="C2519" s="153" t="s">
        <v>12</v>
      </c>
      <c r="D2519" s="154">
        <v>8150.4</v>
      </c>
      <c r="E2519" s="155">
        <v>44766</v>
      </c>
      <c r="F2519" s="154">
        <v>8150.4</v>
      </c>
      <c r="G2519" s="156">
        <f>Tabla18[[#This Row],[Importe]]-Tabla18[[#This Row],[Pagado]]</f>
        <v>0</v>
      </c>
      <c r="H2519" s="153" t="s">
        <v>10</v>
      </c>
    </row>
    <row r="2520" spans="1:8" x14ac:dyDescent="0.25">
      <c r="A2520" s="73">
        <v>44766</v>
      </c>
      <c r="B2520" s="74" t="s">
        <v>23881</v>
      </c>
      <c r="C2520" s="75" t="s">
        <v>16</v>
      </c>
      <c r="D2520" s="81">
        <v>10450.200000000001</v>
      </c>
      <c r="E2520" s="151">
        <v>44766</v>
      </c>
      <c r="F2520" s="81">
        <v>10450.200000000001</v>
      </c>
      <c r="G2520" s="156">
        <f>Tabla18[[#This Row],[Importe]]-Tabla18[[#This Row],[Pagado]]</f>
        <v>0</v>
      </c>
      <c r="H2520" s="75" t="s">
        <v>10</v>
      </c>
    </row>
    <row r="2521" spans="1:8" x14ac:dyDescent="0.25">
      <c r="A2521" s="148">
        <v>44766</v>
      </c>
      <c r="B2521" s="149" t="s">
        <v>23882</v>
      </c>
      <c r="C2521" s="153" t="s">
        <v>29</v>
      </c>
      <c r="D2521" s="154">
        <v>15120</v>
      </c>
      <c r="E2521" s="155">
        <v>44766</v>
      </c>
      <c r="F2521" s="154">
        <v>15120</v>
      </c>
      <c r="G2521" s="156">
        <f>Tabla18[[#This Row],[Importe]]-Tabla18[[#This Row],[Pagado]]</f>
        <v>0</v>
      </c>
      <c r="H2521" s="153" t="s">
        <v>10</v>
      </c>
    </row>
    <row r="2522" spans="1:8" x14ac:dyDescent="0.25">
      <c r="A2522" s="73">
        <v>44766</v>
      </c>
      <c r="B2522" s="74" t="s">
        <v>23883</v>
      </c>
      <c r="C2522" s="75" t="s">
        <v>16</v>
      </c>
      <c r="D2522" s="81">
        <v>131.19999999999999</v>
      </c>
      <c r="E2522" s="151">
        <v>44766</v>
      </c>
      <c r="F2522" s="81">
        <v>131.19999999999999</v>
      </c>
      <c r="G2522" s="156">
        <f>Tabla18[[#This Row],[Importe]]-Tabla18[[#This Row],[Pagado]]</f>
        <v>0</v>
      </c>
      <c r="H2522" s="75" t="s">
        <v>10</v>
      </c>
    </row>
    <row r="2523" spans="1:8" x14ac:dyDescent="0.25">
      <c r="A2523" s="148">
        <v>44766</v>
      </c>
      <c r="B2523" s="149" t="s">
        <v>23884</v>
      </c>
      <c r="C2523" s="153" t="s">
        <v>31</v>
      </c>
      <c r="D2523" s="154">
        <v>789.6</v>
      </c>
      <c r="E2523" s="155">
        <v>44766</v>
      </c>
      <c r="F2523" s="154">
        <v>789.6</v>
      </c>
      <c r="G2523" s="156">
        <f>Tabla18[[#This Row],[Importe]]-Tabla18[[#This Row],[Pagado]]</f>
        <v>0</v>
      </c>
      <c r="H2523" s="153" t="s">
        <v>10</v>
      </c>
    </row>
    <row r="2524" spans="1:8" x14ac:dyDescent="0.25">
      <c r="A2524" s="73">
        <v>44766</v>
      </c>
      <c r="B2524" s="74" t="s">
        <v>23885</v>
      </c>
      <c r="C2524" s="75" t="s">
        <v>51</v>
      </c>
      <c r="D2524" s="81">
        <v>756.5</v>
      </c>
      <c r="E2524" s="151">
        <v>44766</v>
      </c>
      <c r="F2524" s="81">
        <v>756.5</v>
      </c>
      <c r="G2524" s="156">
        <f>Tabla18[[#This Row],[Importe]]-Tabla18[[#This Row],[Pagado]]</f>
        <v>0</v>
      </c>
      <c r="H2524" s="75" t="s">
        <v>10</v>
      </c>
    </row>
    <row r="2525" spans="1:8" x14ac:dyDescent="0.25">
      <c r="A2525" s="148">
        <v>44766</v>
      </c>
      <c r="B2525" s="149" t="s">
        <v>23886</v>
      </c>
      <c r="C2525" s="153" t="s">
        <v>27</v>
      </c>
      <c r="D2525" s="154">
        <v>627.79999999999995</v>
      </c>
      <c r="E2525" s="155">
        <v>44766</v>
      </c>
      <c r="F2525" s="154">
        <v>627.79999999999995</v>
      </c>
      <c r="G2525" s="156">
        <f>Tabla18[[#This Row],[Importe]]-Tabla18[[#This Row],[Pagado]]</f>
        <v>0</v>
      </c>
      <c r="H2525" s="153" t="s">
        <v>10</v>
      </c>
    </row>
    <row r="2526" spans="1:8" ht="31.5" x14ac:dyDescent="0.25">
      <c r="A2526" s="73">
        <v>44766</v>
      </c>
      <c r="B2526" s="74" t="s">
        <v>23887</v>
      </c>
      <c r="C2526" s="75" t="s">
        <v>22</v>
      </c>
      <c r="D2526" s="81">
        <v>65367.4</v>
      </c>
      <c r="E2526" s="147" t="s">
        <v>23621</v>
      </c>
      <c r="F2526" s="81">
        <f>59000+6367.4</f>
        <v>65367.4</v>
      </c>
      <c r="G2526" s="156">
        <f>Tabla18[[#This Row],[Importe]]-Tabla18[[#This Row],[Pagado]]</f>
        <v>0</v>
      </c>
      <c r="H2526" s="75" t="s">
        <v>10</v>
      </c>
    </row>
    <row r="2527" spans="1:8" x14ac:dyDescent="0.25">
      <c r="A2527" s="148">
        <v>44766</v>
      </c>
      <c r="B2527" s="149" t="s">
        <v>23888</v>
      </c>
      <c r="C2527" s="153" t="s">
        <v>22</v>
      </c>
      <c r="D2527" s="154">
        <v>1968</v>
      </c>
      <c r="E2527" s="155">
        <v>44767</v>
      </c>
      <c r="F2527" s="154">
        <v>1968</v>
      </c>
      <c r="G2527" s="156">
        <f>Tabla18[[#This Row],[Importe]]-Tabla18[[#This Row],[Pagado]]</f>
        <v>0</v>
      </c>
      <c r="H2527" s="153" t="s">
        <v>10</v>
      </c>
    </row>
    <row r="2528" spans="1:8" x14ac:dyDescent="0.25">
      <c r="A2528" s="73">
        <v>44766</v>
      </c>
      <c r="B2528" s="74" t="s">
        <v>23889</v>
      </c>
      <c r="C2528" s="75" t="s">
        <v>56</v>
      </c>
      <c r="D2528" s="81">
        <v>11839.8</v>
      </c>
      <c r="E2528" s="151">
        <v>44766</v>
      </c>
      <c r="F2528" s="81">
        <v>11839.8</v>
      </c>
      <c r="G2528" s="156">
        <f>Tabla18[[#This Row],[Importe]]-Tabla18[[#This Row],[Pagado]]</f>
        <v>0</v>
      </c>
      <c r="H2528" s="75" t="s">
        <v>10</v>
      </c>
    </row>
    <row r="2529" spans="1:8" x14ac:dyDescent="0.25">
      <c r="A2529" s="148">
        <v>44766</v>
      </c>
      <c r="B2529" s="149" t="s">
        <v>23890</v>
      </c>
      <c r="C2529" s="153" t="s">
        <v>2151</v>
      </c>
      <c r="D2529" s="154">
        <v>6605.6</v>
      </c>
      <c r="E2529" s="155">
        <v>44766</v>
      </c>
      <c r="F2529" s="154">
        <v>6605.6</v>
      </c>
      <c r="G2529" s="156">
        <f>Tabla18[[#This Row],[Importe]]-Tabla18[[#This Row],[Pagado]]</f>
        <v>0</v>
      </c>
      <c r="H2529" s="153" t="s">
        <v>10</v>
      </c>
    </row>
    <row r="2530" spans="1:8" x14ac:dyDescent="0.25">
      <c r="A2530" s="73">
        <v>44766</v>
      </c>
      <c r="B2530" s="74" t="s">
        <v>23891</v>
      </c>
      <c r="C2530" s="75" t="s">
        <v>49</v>
      </c>
      <c r="D2530" s="81">
        <v>5768.5</v>
      </c>
      <c r="E2530" s="151">
        <v>44766</v>
      </c>
      <c r="F2530" s="81">
        <v>5768.5</v>
      </c>
      <c r="G2530" s="156">
        <f>Tabla18[[#This Row],[Importe]]-Tabla18[[#This Row],[Pagado]]</f>
        <v>0</v>
      </c>
      <c r="H2530" s="75" t="s">
        <v>10</v>
      </c>
    </row>
    <row r="2531" spans="1:8" x14ac:dyDescent="0.25">
      <c r="A2531" s="148">
        <v>44766</v>
      </c>
      <c r="B2531" s="149" t="s">
        <v>23892</v>
      </c>
      <c r="C2531" s="153" t="s">
        <v>24</v>
      </c>
      <c r="D2531" s="154">
        <v>3128.9</v>
      </c>
      <c r="E2531" s="155">
        <v>44766</v>
      </c>
      <c r="F2531" s="154">
        <v>3128.9</v>
      </c>
      <c r="G2531" s="156">
        <f>Tabla18[[#This Row],[Importe]]-Tabla18[[#This Row],[Pagado]]</f>
        <v>0</v>
      </c>
      <c r="H2531" s="153" t="s">
        <v>10</v>
      </c>
    </row>
    <row r="2532" spans="1:8" x14ac:dyDescent="0.25">
      <c r="A2532" s="73">
        <v>44766</v>
      </c>
      <c r="B2532" s="74" t="s">
        <v>23893</v>
      </c>
      <c r="C2532" s="75" t="s">
        <v>216</v>
      </c>
      <c r="D2532" s="81">
        <v>3326.4</v>
      </c>
      <c r="E2532" s="151">
        <v>44766</v>
      </c>
      <c r="F2532" s="81">
        <v>3326.4</v>
      </c>
      <c r="G2532" s="156">
        <f>Tabla18[[#This Row],[Importe]]-Tabla18[[#This Row],[Pagado]]</f>
        <v>0</v>
      </c>
      <c r="H2532" s="75" t="s">
        <v>10</v>
      </c>
    </row>
    <row r="2533" spans="1:8" x14ac:dyDescent="0.25">
      <c r="A2533" s="148">
        <v>44766</v>
      </c>
      <c r="B2533" s="149" t="s">
        <v>23894</v>
      </c>
      <c r="C2533" s="153" t="s">
        <v>10678</v>
      </c>
      <c r="D2533" s="154">
        <v>1031.3</v>
      </c>
      <c r="E2533" s="155">
        <v>44766</v>
      </c>
      <c r="F2533" s="154">
        <v>1031.3</v>
      </c>
      <c r="G2533" s="156">
        <f>Tabla18[[#This Row],[Importe]]-Tabla18[[#This Row],[Pagado]]</f>
        <v>0</v>
      </c>
      <c r="H2533" s="153" t="s">
        <v>10</v>
      </c>
    </row>
    <row r="2534" spans="1:8" x14ac:dyDescent="0.25">
      <c r="A2534" s="73">
        <v>44766</v>
      </c>
      <c r="B2534" s="74" t="s">
        <v>23895</v>
      </c>
      <c r="C2534" s="75" t="s">
        <v>31</v>
      </c>
      <c r="D2534" s="81">
        <v>8550.2000000000007</v>
      </c>
      <c r="E2534" s="151">
        <v>44766</v>
      </c>
      <c r="F2534" s="81">
        <v>8550.2000000000007</v>
      </c>
      <c r="G2534" s="156">
        <f>Tabla18[[#This Row],[Importe]]-Tabla18[[#This Row],[Pagado]]</f>
        <v>0</v>
      </c>
      <c r="H2534" s="75" t="s">
        <v>10</v>
      </c>
    </row>
    <row r="2535" spans="1:8" x14ac:dyDescent="0.25">
      <c r="A2535" s="148">
        <v>44766</v>
      </c>
      <c r="B2535" s="149" t="s">
        <v>23896</v>
      </c>
      <c r="C2535" s="153" t="s">
        <v>45</v>
      </c>
      <c r="D2535" s="154">
        <v>7160.9</v>
      </c>
      <c r="E2535" s="155">
        <v>44766</v>
      </c>
      <c r="F2535" s="154">
        <v>7160.9</v>
      </c>
      <c r="G2535" s="156">
        <f>Tabla18[[#This Row],[Importe]]-Tabla18[[#This Row],[Pagado]]</f>
        <v>0</v>
      </c>
      <c r="H2535" s="153" t="s">
        <v>10</v>
      </c>
    </row>
    <row r="2536" spans="1:8" x14ac:dyDescent="0.25">
      <c r="A2536" s="73">
        <v>44766</v>
      </c>
      <c r="B2536" s="74" t="s">
        <v>23897</v>
      </c>
      <c r="C2536" s="75" t="s">
        <v>1003</v>
      </c>
      <c r="D2536" s="81">
        <v>10946</v>
      </c>
      <c r="E2536" s="151">
        <v>44767</v>
      </c>
      <c r="F2536" s="81">
        <v>10946</v>
      </c>
      <c r="G2536" s="156">
        <f>Tabla18[[#This Row],[Importe]]-Tabla18[[#This Row],[Pagado]]</f>
        <v>0</v>
      </c>
      <c r="H2536" s="75" t="s">
        <v>10</v>
      </c>
    </row>
    <row r="2537" spans="1:8" x14ac:dyDescent="0.25">
      <c r="A2537" s="148">
        <v>44766</v>
      </c>
      <c r="B2537" s="149" t="s">
        <v>23898</v>
      </c>
      <c r="C2537" s="153" t="s">
        <v>654</v>
      </c>
      <c r="D2537" s="154">
        <v>10848.2</v>
      </c>
      <c r="E2537" s="155">
        <v>44771</v>
      </c>
      <c r="F2537" s="154">
        <v>10848.2</v>
      </c>
      <c r="G2537" s="156">
        <f>Tabla18[[#This Row],[Importe]]-Tabla18[[#This Row],[Pagado]]</f>
        <v>0</v>
      </c>
      <c r="H2537" s="153" t="s">
        <v>10</v>
      </c>
    </row>
    <row r="2538" spans="1:8" x14ac:dyDescent="0.25">
      <c r="A2538" s="73">
        <v>44766</v>
      </c>
      <c r="B2538" s="74" t="s">
        <v>23899</v>
      </c>
      <c r="C2538" s="75" t="s">
        <v>31</v>
      </c>
      <c r="D2538" s="81">
        <v>3979</v>
      </c>
      <c r="E2538" s="151">
        <v>44766</v>
      </c>
      <c r="F2538" s="81">
        <v>3979</v>
      </c>
      <c r="G2538" s="156">
        <f>Tabla18[[#This Row],[Importe]]-Tabla18[[#This Row],[Pagado]]</f>
        <v>0</v>
      </c>
      <c r="H2538" s="75" t="s">
        <v>10</v>
      </c>
    </row>
    <row r="2539" spans="1:8" x14ac:dyDescent="0.25">
      <c r="A2539" s="148">
        <v>44766</v>
      </c>
      <c r="B2539" s="149" t="s">
        <v>23900</v>
      </c>
      <c r="C2539" s="153" t="s">
        <v>31</v>
      </c>
      <c r="D2539" s="154">
        <v>2276.4</v>
      </c>
      <c r="E2539" s="155">
        <v>44766</v>
      </c>
      <c r="F2539" s="154">
        <v>2276.4</v>
      </c>
      <c r="G2539" s="156">
        <f>Tabla18[[#This Row],[Importe]]-Tabla18[[#This Row],[Pagado]]</f>
        <v>0</v>
      </c>
      <c r="H2539" s="153" t="s">
        <v>10</v>
      </c>
    </row>
    <row r="2540" spans="1:8" x14ac:dyDescent="0.25">
      <c r="A2540" s="73">
        <v>44766</v>
      </c>
      <c r="B2540" s="74" t="s">
        <v>23901</v>
      </c>
      <c r="C2540" s="75" t="s">
        <v>15039</v>
      </c>
      <c r="D2540" s="81">
        <v>4076.4</v>
      </c>
      <c r="E2540" s="151">
        <v>44766</v>
      </c>
      <c r="F2540" s="81">
        <v>4076.4</v>
      </c>
      <c r="G2540" s="156">
        <f>Tabla18[[#This Row],[Importe]]-Tabla18[[#This Row],[Pagado]]</f>
        <v>0</v>
      </c>
      <c r="H2540" s="75" t="s">
        <v>10</v>
      </c>
    </row>
    <row r="2541" spans="1:8" x14ac:dyDescent="0.25">
      <c r="A2541" s="148">
        <v>44766</v>
      </c>
      <c r="B2541" s="149" t="s">
        <v>23902</v>
      </c>
      <c r="C2541" s="153" t="s">
        <v>214</v>
      </c>
      <c r="D2541" s="154">
        <v>1612.8</v>
      </c>
      <c r="E2541" s="155">
        <v>44766</v>
      </c>
      <c r="F2541" s="154">
        <v>1612.8</v>
      </c>
      <c r="G2541" s="156">
        <f>Tabla18[[#This Row],[Importe]]-Tabla18[[#This Row],[Pagado]]</f>
        <v>0</v>
      </c>
      <c r="H2541" s="153" t="s">
        <v>10</v>
      </c>
    </row>
    <row r="2542" spans="1:8" x14ac:dyDescent="0.25">
      <c r="A2542" s="73">
        <v>44766</v>
      </c>
      <c r="B2542" s="74" t="s">
        <v>23903</v>
      </c>
      <c r="C2542" s="75" t="s">
        <v>69</v>
      </c>
      <c r="D2542" s="81">
        <v>3440</v>
      </c>
      <c r="E2542" s="151">
        <v>44766</v>
      </c>
      <c r="F2542" s="81">
        <v>3440</v>
      </c>
      <c r="G2542" s="156">
        <f>Tabla18[[#This Row],[Importe]]-Tabla18[[#This Row],[Pagado]]</f>
        <v>0</v>
      </c>
      <c r="H2542" s="75" t="s">
        <v>10</v>
      </c>
    </row>
    <row r="2543" spans="1:8" x14ac:dyDescent="0.25">
      <c r="A2543" s="148">
        <v>44766</v>
      </c>
      <c r="B2543" s="149" t="s">
        <v>23904</v>
      </c>
      <c r="C2543" s="153" t="s">
        <v>58</v>
      </c>
      <c r="D2543" s="154">
        <v>3820.8</v>
      </c>
      <c r="E2543" s="155">
        <v>44766</v>
      </c>
      <c r="F2543" s="154">
        <v>3820.8</v>
      </c>
      <c r="G2543" s="156">
        <f>Tabla18[[#This Row],[Importe]]-Tabla18[[#This Row],[Pagado]]</f>
        <v>0</v>
      </c>
      <c r="H2543" s="153" t="s">
        <v>10</v>
      </c>
    </row>
    <row r="2544" spans="1:8" x14ac:dyDescent="0.25">
      <c r="A2544" s="73">
        <v>44766</v>
      </c>
      <c r="B2544" s="74" t="s">
        <v>23905</v>
      </c>
      <c r="C2544" s="75" t="s">
        <v>67</v>
      </c>
      <c r="D2544" s="81">
        <v>2749.8</v>
      </c>
      <c r="E2544" s="151">
        <v>44766</v>
      </c>
      <c r="F2544" s="81">
        <v>2749.8</v>
      </c>
      <c r="G2544" s="156">
        <f>Tabla18[[#This Row],[Importe]]-Tabla18[[#This Row],[Pagado]]</f>
        <v>0</v>
      </c>
      <c r="H2544" s="75" t="s">
        <v>10</v>
      </c>
    </row>
    <row r="2545" spans="1:8" x14ac:dyDescent="0.25">
      <c r="A2545" s="148">
        <v>44766</v>
      </c>
      <c r="B2545" s="149" t="s">
        <v>23906</v>
      </c>
      <c r="C2545" s="153" t="s">
        <v>16</v>
      </c>
      <c r="D2545" s="154">
        <v>3704.3</v>
      </c>
      <c r="E2545" s="155">
        <v>44766</v>
      </c>
      <c r="F2545" s="154">
        <v>3704.3</v>
      </c>
      <c r="G2545" s="156">
        <f>Tabla18[[#This Row],[Importe]]-Tabla18[[#This Row],[Pagado]]</f>
        <v>0</v>
      </c>
      <c r="H2545" s="153" t="s">
        <v>10</v>
      </c>
    </row>
    <row r="2546" spans="1:8" x14ac:dyDescent="0.25">
      <c r="A2546" s="73">
        <v>44766</v>
      </c>
      <c r="B2546" s="74" t="s">
        <v>23907</v>
      </c>
      <c r="C2546" s="75" t="s">
        <v>244</v>
      </c>
      <c r="D2546" s="81">
        <v>671.5</v>
      </c>
      <c r="E2546" s="151">
        <v>44766</v>
      </c>
      <c r="F2546" s="81">
        <v>671.5</v>
      </c>
      <c r="G2546" s="156">
        <f>Tabla18[[#This Row],[Importe]]-Tabla18[[#This Row],[Pagado]]</f>
        <v>0</v>
      </c>
      <c r="H2546" s="75" t="s">
        <v>10</v>
      </c>
    </row>
    <row r="2547" spans="1:8" x14ac:dyDescent="0.25">
      <c r="A2547" s="148">
        <v>44766</v>
      </c>
      <c r="B2547" s="149" t="s">
        <v>23908</v>
      </c>
      <c r="C2547" s="153" t="s">
        <v>14716</v>
      </c>
      <c r="D2547" s="154">
        <v>4496.5</v>
      </c>
      <c r="E2547" s="155">
        <v>44766</v>
      </c>
      <c r="F2547" s="154">
        <v>4496.5</v>
      </c>
      <c r="G2547" s="156">
        <f>Tabla18[[#This Row],[Importe]]-Tabla18[[#This Row],[Pagado]]</f>
        <v>0</v>
      </c>
      <c r="H2547" s="153" t="s">
        <v>10</v>
      </c>
    </row>
    <row r="2548" spans="1:8" x14ac:dyDescent="0.25">
      <c r="A2548" s="73">
        <v>44766</v>
      </c>
      <c r="B2548" s="74" t="s">
        <v>23909</v>
      </c>
      <c r="C2548" s="75" t="s">
        <v>296</v>
      </c>
      <c r="D2548" s="81">
        <v>4131</v>
      </c>
      <c r="E2548" s="151">
        <v>44766</v>
      </c>
      <c r="F2548" s="81">
        <v>4131</v>
      </c>
      <c r="G2548" s="156">
        <f>Tabla18[[#This Row],[Importe]]-Tabla18[[#This Row],[Pagado]]</f>
        <v>0</v>
      </c>
      <c r="H2548" s="75" t="s">
        <v>10</v>
      </c>
    </row>
    <row r="2549" spans="1:8" x14ac:dyDescent="0.25">
      <c r="A2549" s="148">
        <v>44766</v>
      </c>
      <c r="B2549" s="149" t="s">
        <v>23910</v>
      </c>
      <c r="C2549" s="153" t="s">
        <v>56</v>
      </c>
      <c r="D2549" s="154">
        <v>5764.5</v>
      </c>
      <c r="E2549" s="155">
        <v>44766</v>
      </c>
      <c r="F2549" s="154">
        <v>5764.5</v>
      </c>
      <c r="G2549" s="156">
        <f>Tabla18[[#This Row],[Importe]]-Tabla18[[#This Row],[Pagado]]</f>
        <v>0</v>
      </c>
      <c r="H2549" s="153" t="s">
        <v>10</v>
      </c>
    </row>
    <row r="2550" spans="1:8" x14ac:dyDescent="0.25">
      <c r="A2550" s="73">
        <v>44766</v>
      </c>
      <c r="B2550" s="74" t="s">
        <v>23911</v>
      </c>
      <c r="C2550" s="75" t="s">
        <v>226</v>
      </c>
      <c r="D2550" s="81">
        <v>26073.599999999999</v>
      </c>
      <c r="E2550" s="151">
        <v>44766</v>
      </c>
      <c r="F2550" s="81">
        <v>26073.599999999999</v>
      </c>
      <c r="G2550" s="156">
        <f>Tabla18[[#This Row],[Importe]]-Tabla18[[#This Row],[Pagado]]</f>
        <v>0</v>
      </c>
      <c r="H2550" s="75" t="s">
        <v>10</v>
      </c>
    </row>
    <row r="2551" spans="1:8" x14ac:dyDescent="0.25">
      <c r="A2551" s="148">
        <v>44766</v>
      </c>
      <c r="B2551" s="149" t="s">
        <v>23912</v>
      </c>
      <c r="C2551" s="153" t="s">
        <v>275</v>
      </c>
      <c r="D2551" s="154">
        <v>58100.2</v>
      </c>
      <c r="E2551" s="155">
        <v>44786</v>
      </c>
      <c r="F2551" s="154">
        <v>58100.2</v>
      </c>
      <c r="G2551" s="156">
        <f>Tabla18[[#This Row],[Importe]]-Tabla18[[#This Row],[Pagado]]</f>
        <v>0</v>
      </c>
      <c r="H2551" s="153" t="s">
        <v>10</v>
      </c>
    </row>
    <row r="2552" spans="1:8" x14ac:dyDescent="0.25">
      <c r="A2552" s="73">
        <v>44766</v>
      </c>
      <c r="B2552" s="74" t="s">
        <v>23913</v>
      </c>
      <c r="C2552" s="75" t="s">
        <v>67</v>
      </c>
      <c r="D2552" s="81">
        <v>1705.6</v>
      </c>
      <c r="E2552" s="151">
        <v>44766</v>
      </c>
      <c r="F2552" s="81">
        <v>1705.6</v>
      </c>
      <c r="G2552" s="156">
        <f>Tabla18[[#This Row],[Importe]]-Tabla18[[#This Row],[Pagado]]</f>
        <v>0</v>
      </c>
      <c r="H2552" s="75" t="s">
        <v>10</v>
      </c>
    </row>
    <row r="2553" spans="1:8" x14ac:dyDescent="0.25">
      <c r="A2553" s="148">
        <v>44766</v>
      </c>
      <c r="B2553" s="149" t="s">
        <v>23914</v>
      </c>
      <c r="C2553" s="153" t="s">
        <v>450</v>
      </c>
      <c r="D2553" s="154">
        <v>8200</v>
      </c>
      <c r="E2553" s="155">
        <v>44766</v>
      </c>
      <c r="F2553" s="154">
        <v>8200</v>
      </c>
      <c r="G2553" s="156">
        <f>Tabla18[[#This Row],[Importe]]-Tabla18[[#This Row],[Pagado]]</f>
        <v>0</v>
      </c>
      <c r="H2553" s="153" t="s">
        <v>10</v>
      </c>
    </row>
    <row r="2554" spans="1:8" x14ac:dyDescent="0.25">
      <c r="A2554" s="73">
        <v>44766</v>
      </c>
      <c r="B2554" s="74" t="s">
        <v>23915</v>
      </c>
      <c r="C2554" s="75" t="s">
        <v>12</v>
      </c>
      <c r="D2554" s="81">
        <v>811.8</v>
      </c>
      <c r="E2554" s="151">
        <v>44767</v>
      </c>
      <c r="F2554" s="81">
        <v>811.8</v>
      </c>
      <c r="G2554" s="156">
        <f>Tabla18[[#This Row],[Importe]]-Tabla18[[#This Row],[Pagado]]</f>
        <v>0</v>
      </c>
      <c r="H2554" s="75" t="s">
        <v>10</v>
      </c>
    </row>
    <row r="2555" spans="1:8" x14ac:dyDescent="0.25">
      <c r="A2555" s="148">
        <v>44767</v>
      </c>
      <c r="B2555" s="149" t="s">
        <v>23916</v>
      </c>
      <c r="C2555" s="153" t="s">
        <v>887</v>
      </c>
      <c r="D2555" s="154">
        <v>17466.3</v>
      </c>
      <c r="E2555" s="155">
        <v>44767</v>
      </c>
      <c r="F2555" s="154">
        <v>17466.3</v>
      </c>
      <c r="G2555" s="156">
        <f>Tabla18[[#This Row],[Importe]]-Tabla18[[#This Row],[Pagado]]</f>
        <v>0</v>
      </c>
      <c r="H2555" s="153" t="s">
        <v>10</v>
      </c>
    </row>
    <row r="2556" spans="1:8" x14ac:dyDescent="0.25">
      <c r="A2556" s="73">
        <v>44767</v>
      </c>
      <c r="B2556" s="74" t="s">
        <v>23917</v>
      </c>
      <c r="C2556" s="75" t="s">
        <v>16640</v>
      </c>
      <c r="D2556" s="81">
        <v>0</v>
      </c>
      <c r="E2556" s="157" t="s">
        <v>189</v>
      </c>
      <c r="F2556" s="81">
        <v>0</v>
      </c>
      <c r="G2556" s="156">
        <f>Tabla18[[#This Row],[Importe]]-Tabla18[[#This Row],[Pagado]]</f>
        <v>0</v>
      </c>
      <c r="H2556" s="161" t="s">
        <v>23918</v>
      </c>
    </row>
    <row r="2557" spans="1:8" x14ac:dyDescent="0.25">
      <c r="A2557" s="148">
        <v>44767</v>
      </c>
      <c r="B2557" s="149" t="s">
        <v>23919</v>
      </c>
      <c r="C2557" s="153" t="s">
        <v>16640</v>
      </c>
      <c r="D2557" s="154">
        <v>0</v>
      </c>
      <c r="E2557" s="158" t="s">
        <v>189</v>
      </c>
      <c r="F2557" s="154">
        <v>0</v>
      </c>
      <c r="G2557" s="156">
        <f>Tabla18[[#This Row],[Importe]]-Tabla18[[#This Row],[Pagado]]</f>
        <v>0</v>
      </c>
      <c r="H2557" s="159" t="s">
        <v>23918</v>
      </c>
    </row>
    <row r="2558" spans="1:8" ht="31.5" x14ac:dyDescent="0.25">
      <c r="A2558" s="73">
        <v>44767</v>
      </c>
      <c r="B2558" s="74" t="s">
        <v>23920</v>
      </c>
      <c r="C2558" s="75" t="s">
        <v>475</v>
      </c>
      <c r="D2558" s="81">
        <v>165831.79999999999</v>
      </c>
      <c r="E2558" s="147" t="s">
        <v>23921</v>
      </c>
      <c r="F2558" s="81">
        <f>109000+56831.8</f>
        <v>165831.79999999999</v>
      </c>
      <c r="G2558" s="156">
        <f>Tabla18[[#This Row],[Importe]]-Tabla18[[#This Row],[Pagado]]</f>
        <v>0</v>
      </c>
      <c r="H2558" s="75" t="s">
        <v>10</v>
      </c>
    </row>
    <row r="2559" spans="1:8" x14ac:dyDescent="0.25">
      <c r="A2559" s="148">
        <v>44767</v>
      </c>
      <c r="B2559" s="149" t="s">
        <v>23922</v>
      </c>
      <c r="C2559" s="153" t="s">
        <v>83</v>
      </c>
      <c r="D2559" s="154">
        <v>12552.6</v>
      </c>
      <c r="E2559" s="155">
        <v>44767</v>
      </c>
      <c r="F2559" s="154">
        <v>12552.6</v>
      </c>
      <c r="G2559" s="156">
        <f>Tabla18[[#This Row],[Importe]]-Tabla18[[#This Row],[Pagado]]</f>
        <v>0</v>
      </c>
      <c r="H2559" s="153" t="s">
        <v>10</v>
      </c>
    </row>
    <row r="2560" spans="1:8" x14ac:dyDescent="0.25">
      <c r="A2560" s="73">
        <v>44767</v>
      </c>
      <c r="B2560" s="74" t="s">
        <v>23923</v>
      </c>
      <c r="C2560" s="75" t="s">
        <v>109</v>
      </c>
      <c r="D2560" s="81">
        <v>5683.2</v>
      </c>
      <c r="E2560" s="151">
        <v>44768</v>
      </c>
      <c r="F2560" s="81">
        <v>5683.2</v>
      </c>
      <c r="G2560" s="156">
        <f>Tabla18[[#This Row],[Importe]]-Tabla18[[#This Row],[Pagado]]</f>
        <v>0</v>
      </c>
      <c r="H2560" s="75" t="s">
        <v>10</v>
      </c>
    </row>
    <row r="2561" spans="1:8" x14ac:dyDescent="0.25">
      <c r="A2561" s="148">
        <v>44767</v>
      </c>
      <c r="B2561" s="149" t="s">
        <v>23924</v>
      </c>
      <c r="C2561" s="153" t="s">
        <v>97</v>
      </c>
      <c r="D2561" s="154">
        <v>10949.4</v>
      </c>
      <c r="E2561" s="155">
        <v>44769</v>
      </c>
      <c r="F2561" s="154">
        <v>10949.4</v>
      </c>
      <c r="G2561" s="156">
        <f>Tabla18[[#This Row],[Importe]]-Tabla18[[#This Row],[Pagado]]</f>
        <v>0</v>
      </c>
      <c r="H2561" s="153" t="s">
        <v>10</v>
      </c>
    </row>
    <row r="2562" spans="1:8" x14ac:dyDescent="0.25">
      <c r="A2562" s="73">
        <v>44767</v>
      </c>
      <c r="B2562" s="74" t="s">
        <v>23925</v>
      </c>
      <c r="C2562" s="75" t="s">
        <v>114</v>
      </c>
      <c r="D2562" s="81">
        <v>10726.4</v>
      </c>
      <c r="E2562" s="151">
        <v>44768</v>
      </c>
      <c r="F2562" s="81">
        <v>10726.4</v>
      </c>
      <c r="G2562" s="156">
        <f>Tabla18[[#This Row],[Importe]]-Tabla18[[#This Row],[Pagado]]</f>
        <v>0</v>
      </c>
      <c r="H2562" s="75" t="s">
        <v>10</v>
      </c>
    </row>
    <row r="2563" spans="1:8" x14ac:dyDescent="0.25">
      <c r="A2563" s="148">
        <v>44767</v>
      </c>
      <c r="B2563" s="149" t="s">
        <v>23926</v>
      </c>
      <c r="C2563" s="153" t="s">
        <v>60</v>
      </c>
      <c r="D2563" s="154">
        <v>5022.6000000000004</v>
      </c>
      <c r="E2563" s="155">
        <v>44772</v>
      </c>
      <c r="F2563" s="154">
        <v>5022.6000000000004</v>
      </c>
      <c r="G2563" s="156">
        <f>Tabla18[[#This Row],[Importe]]-Tabla18[[#This Row],[Pagado]]</f>
        <v>0</v>
      </c>
      <c r="H2563" s="153" t="s">
        <v>10</v>
      </c>
    </row>
    <row r="2564" spans="1:8" x14ac:dyDescent="0.25">
      <c r="A2564" s="73">
        <v>44767</v>
      </c>
      <c r="B2564" s="74" t="s">
        <v>23927</v>
      </c>
      <c r="C2564" s="75" t="s">
        <v>111</v>
      </c>
      <c r="D2564" s="81">
        <v>5766.4</v>
      </c>
      <c r="E2564" s="151">
        <v>44768</v>
      </c>
      <c r="F2564" s="81">
        <v>5766.4</v>
      </c>
      <c r="G2564" s="156">
        <f>Tabla18[[#This Row],[Importe]]-Tabla18[[#This Row],[Pagado]]</f>
        <v>0</v>
      </c>
      <c r="H2564" s="75" t="s">
        <v>10</v>
      </c>
    </row>
    <row r="2565" spans="1:8" x14ac:dyDescent="0.25">
      <c r="A2565" s="148">
        <v>44767</v>
      </c>
      <c r="B2565" s="149" t="s">
        <v>23928</v>
      </c>
      <c r="C2565" s="153" t="s">
        <v>64</v>
      </c>
      <c r="D2565" s="154">
        <v>5471.4</v>
      </c>
      <c r="E2565" s="155">
        <v>44768</v>
      </c>
      <c r="F2565" s="154">
        <v>5471.4</v>
      </c>
      <c r="G2565" s="156">
        <f>Tabla18[[#This Row],[Importe]]-Tabla18[[#This Row],[Pagado]]</f>
        <v>0</v>
      </c>
      <c r="H2565" s="153" t="s">
        <v>10</v>
      </c>
    </row>
    <row r="2566" spans="1:8" x14ac:dyDescent="0.25">
      <c r="A2566" s="73">
        <v>44767</v>
      </c>
      <c r="B2566" s="74" t="s">
        <v>23929</v>
      </c>
      <c r="C2566" s="75" t="s">
        <v>99</v>
      </c>
      <c r="D2566" s="81">
        <v>8448</v>
      </c>
      <c r="E2566" s="151">
        <v>44774</v>
      </c>
      <c r="F2566" s="81">
        <v>8448</v>
      </c>
      <c r="G2566" s="156">
        <f>Tabla18[[#This Row],[Importe]]-Tabla18[[#This Row],[Pagado]]</f>
        <v>0</v>
      </c>
      <c r="H2566" s="75" t="s">
        <v>10</v>
      </c>
    </row>
    <row r="2567" spans="1:8" x14ac:dyDescent="0.25">
      <c r="A2567" s="148">
        <v>44767</v>
      </c>
      <c r="B2567" s="149" t="s">
        <v>23930</v>
      </c>
      <c r="C2567" s="153" t="s">
        <v>87</v>
      </c>
      <c r="D2567" s="154">
        <v>2276.4</v>
      </c>
      <c r="E2567" s="155">
        <v>44767</v>
      </c>
      <c r="F2567" s="154">
        <v>2276.4</v>
      </c>
      <c r="G2567" s="156">
        <f>Tabla18[[#This Row],[Importe]]-Tabla18[[#This Row],[Pagado]]</f>
        <v>0</v>
      </c>
      <c r="H2567" s="153" t="s">
        <v>10</v>
      </c>
    </row>
    <row r="2568" spans="1:8" x14ac:dyDescent="0.25">
      <c r="A2568" s="73">
        <v>44767</v>
      </c>
      <c r="B2568" s="74" t="s">
        <v>23931</v>
      </c>
      <c r="C2568" s="75" t="s">
        <v>87</v>
      </c>
      <c r="D2568" s="81">
        <v>200</v>
      </c>
      <c r="E2568" s="151">
        <v>44767</v>
      </c>
      <c r="F2568" s="81">
        <v>200</v>
      </c>
      <c r="G2568" s="156">
        <f>Tabla18[[#This Row],[Importe]]-Tabla18[[#This Row],[Pagado]]</f>
        <v>0</v>
      </c>
      <c r="H2568" s="75" t="s">
        <v>10</v>
      </c>
    </row>
    <row r="2569" spans="1:8" x14ac:dyDescent="0.25">
      <c r="A2569" s="148">
        <v>44767</v>
      </c>
      <c r="B2569" s="149" t="s">
        <v>23932</v>
      </c>
      <c r="C2569" s="153" t="s">
        <v>75</v>
      </c>
      <c r="D2569" s="154">
        <v>9718.7999999999993</v>
      </c>
      <c r="E2569" s="155">
        <v>44767</v>
      </c>
      <c r="F2569" s="154">
        <v>9718.7999999999993</v>
      </c>
      <c r="G2569" s="156">
        <f>Tabla18[[#This Row],[Importe]]-Tabla18[[#This Row],[Pagado]]</f>
        <v>0</v>
      </c>
      <c r="H2569" s="153" t="s">
        <v>10</v>
      </c>
    </row>
    <row r="2570" spans="1:8" x14ac:dyDescent="0.25">
      <c r="A2570" s="73">
        <v>44767</v>
      </c>
      <c r="B2570" s="74" t="s">
        <v>23933</v>
      </c>
      <c r="C2570" s="75" t="s">
        <v>93</v>
      </c>
      <c r="D2570" s="81">
        <v>5537.6</v>
      </c>
      <c r="E2570" s="151">
        <v>44769</v>
      </c>
      <c r="F2570" s="81">
        <v>5537.6</v>
      </c>
      <c r="G2570" s="156">
        <f>Tabla18[[#This Row],[Importe]]-Tabla18[[#This Row],[Pagado]]</f>
        <v>0</v>
      </c>
      <c r="H2570" s="75" t="s">
        <v>10</v>
      </c>
    </row>
    <row r="2571" spans="1:8" x14ac:dyDescent="0.25">
      <c r="A2571" s="148">
        <v>44767</v>
      </c>
      <c r="B2571" s="149" t="s">
        <v>23934</v>
      </c>
      <c r="C2571" s="153" t="s">
        <v>473</v>
      </c>
      <c r="D2571" s="154">
        <v>4197.7</v>
      </c>
      <c r="E2571" s="155">
        <v>44767</v>
      </c>
      <c r="F2571" s="154">
        <v>4197.7</v>
      </c>
      <c r="G2571" s="156">
        <f>Tabla18[[#This Row],[Importe]]-Tabla18[[#This Row],[Pagado]]</f>
        <v>0</v>
      </c>
      <c r="H2571" s="153" t="s">
        <v>10</v>
      </c>
    </row>
    <row r="2572" spans="1:8" x14ac:dyDescent="0.25">
      <c r="A2572" s="73">
        <v>44767</v>
      </c>
      <c r="B2572" s="74" t="s">
        <v>23935</v>
      </c>
      <c r="C2572" s="75" t="s">
        <v>105</v>
      </c>
      <c r="D2572" s="81">
        <v>7737.6</v>
      </c>
      <c r="E2572" s="151">
        <v>44768</v>
      </c>
      <c r="F2572" s="81">
        <v>7737.6</v>
      </c>
      <c r="G2572" s="156">
        <f>Tabla18[[#This Row],[Importe]]-Tabla18[[#This Row],[Pagado]]</f>
        <v>0</v>
      </c>
      <c r="H2572" s="75" t="s">
        <v>10</v>
      </c>
    </row>
    <row r="2573" spans="1:8" x14ac:dyDescent="0.25">
      <c r="A2573" s="148">
        <v>44767</v>
      </c>
      <c r="B2573" s="149" t="s">
        <v>23936</v>
      </c>
      <c r="C2573" s="153" t="s">
        <v>348</v>
      </c>
      <c r="D2573" s="154">
        <v>3776</v>
      </c>
      <c r="E2573" s="155">
        <v>44768</v>
      </c>
      <c r="F2573" s="154">
        <v>3776</v>
      </c>
      <c r="G2573" s="156">
        <f>Tabla18[[#This Row],[Importe]]-Tabla18[[#This Row],[Pagado]]</f>
        <v>0</v>
      </c>
      <c r="H2573" s="153" t="s">
        <v>10</v>
      </c>
    </row>
    <row r="2574" spans="1:8" x14ac:dyDescent="0.25">
      <c r="A2574" s="73">
        <v>44767</v>
      </c>
      <c r="B2574" s="74" t="s">
        <v>23937</v>
      </c>
      <c r="C2574" s="75" t="s">
        <v>2151</v>
      </c>
      <c r="D2574" s="81">
        <v>14808.1</v>
      </c>
      <c r="E2574" s="151">
        <v>44767</v>
      </c>
      <c r="F2574" s="81">
        <v>14808.1</v>
      </c>
      <c r="G2574" s="156">
        <f>Tabla18[[#This Row],[Importe]]-Tabla18[[#This Row],[Pagado]]</f>
        <v>0</v>
      </c>
      <c r="H2574" s="75" t="s">
        <v>10</v>
      </c>
    </row>
    <row r="2575" spans="1:8" x14ac:dyDescent="0.25">
      <c r="A2575" s="148">
        <v>44767</v>
      </c>
      <c r="B2575" s="149" t="s">
        <v>23938</v>
      </c>
      <c r="C2575" s="153" t="s">
        <v>481</v>
      </c>
      <c r="D2575" s="154">
        <v>167.2</v>
      </c>
      <c r="E2575" s="155">
        <v>44767</v>
      </c>
      <c r="F2575" s="154">
        <v>167.2</v>
      </c>
      <c r="G2575" s="156">
        <f>Tabla18[[#This Row],[Importe]]-Tabla18[[#This Row],[Pagado]]</f>
        <v>0</v>
      </c>
      <c r="H2575" s="153" t="s">
        <v>10</v>
      </c>
    </row>
    <row r="2576" spans="1:8" x14ac:dyDescent="0.25">
      <c r="A2576" s="73">
        <v>44767</v>
      </c>
      <c r="B2576" s="74" t="s">
        <v>23939</v>
      </c>
      <c r="C2576" s="75" t="s">
        <v>18</v>
      </c>
      <c r="D2576" s="81">
        <v>2028</v>
      </c>
      <c r="E2576" s="151">
        <v>44767</v>
      </c>
      <c r="F2576" s="81">
        <v>2028</v>
      </c>
      <c r="G2576" s="156">
        <f>Tabla18[[#This Row],[Importe]]-Tabla18[[#This Row],[Pagado]]</f>
        <v>0</v>
      </c>
      <c r="H2576" s="75" t="s">
        <v>10</v>
      </c>
    </row>
    <row r="2577" spans="1:8" x14ac:dyDescent="0.25">
      <c r="A2577" s="148">
        <v>44767</v>
      </c>
      <c r="B2577" s="149" t="s">
        <v>23940</v>
      </c>
      <c r="C2577" s="153" t="s">
        <v>89</v>
      </c>
      <c r="D2577" s="154">
        <v>7227.2</v>
      </c>
      <c r="E2577" s="155">
        <v>44768</v>
      </c>
      <c r="F2577" s="154">
        <v>7227.2</v>
      </c>
      <c r="G2577" s="156">
        <f>Tabla18[[#This Row],[Importe]]-Tabla18[[#This Row],[Pagado]]</f>
        <v>0</v>
      </c>
      <c r="H2577" s="153" t="s">
        <v>10</v>
      </c>
    </row>
    <row r="2578" spans="1:8" x14ac:dyDescent="0.25">
      <c r="A2578" s="73">
        <v>44767</v>
      </c>
      <c r="B2578" s="74" t="s">
        <v>23941</v>
      </c>
      <c r="C2578" s="75" t="s">
        <v>357</v>
      </c>
      <c r="D2578" s="81">
        <v>1004</v>
      </c>
      <c r="E2578" s="151">
        <v>44767</v>
      </c>
      <c r="F2578" s="81">
        <v>1004</v>
      </c>
      <c r="G2578" s="156">
        <f>Tabla18[[#This Row],[Importe]]-Tabla18[[#This Row],[Pagado]]</f>
        <v>0</v>
      </c>
      <c r="H2578" s="75" t="s">
        <v>10</v>
      </c>
    </row>
    <row r="2579" spans="1:8" x14ac:dyDescent="0.25">
      <c r="A2579" s="148">
        <v>44767</v>
      </c>
      <c r="B2579" s="149" t="s">
        <v>23942</v>
      </c>
      <c r="C2579" s="153" t="s">
        <v>129</v>
      </c>
      <c r="D2579" s="154">
        <v>4953</v>
      </c>
      <c r="E2579" s="155">
        <v>44767</v>
      </c>
      <c r="F2579" s="154">
        <v>4953</v>
      </c>
      <c r="G2579" s="156">
        <f>Tabla18[[#This Row],[Importe]]-Tabla18[[#This Row],[Pagado]]</f>
        <v>0</v>
      </c>
      <c r="H2579" s="153" t="s">
        <v>10</v>
      </c>
    </row>
    <row r="2580" spans="1:8" x14ac:dyDescent="0.25">
      <c r="A2580" s="73">
        <v>44767</v>
      </c>
      <c r="B2580" s="74" t="s">
        <v>23943</v>
      </c>
      <c r="C2580" s="75" t="s">
        <v>140</v>
      </c>
      <c r="D2580" s="81">
        <v>2565.5</v>
      </c>
      <c r="E2580" s="151">
        <v>44767</v>
      </c>
      <c r="F2580" s="81">
        <v>2565.5</v>
      </c>
      <c r="G2580" s="156">
        <f>Tabla18[[#This Row],[Importe]]-Tabla18[[#This Row],[Pagado]]</f>
        <v>0</v>
      </c>
      <c r="H2580" s="75" t="s">
        <v>10</v>
      </c>
    </row>
    <row r="2581" spans="1:8" x14ac:dyDescent="0.25">
      <c r="A2581" s="148">
        <v>44767</v>
      </c>
      <c r="B2581" s="149" t="s">
        <v>23944</v>
      </c>
      <c r="C2581" s="153" t="s">
        <v>1187</v>
      </c>
      <c r="D2581" s="154">
        <v>3696.3</v>
      </c>
      <c r="E2581" s="155">
        <v>44767</v>
      </c>
      <c r="F2581" s="154">
        <v>3696.3</v>
      </c>
      <c r="G2581" s="156">
        <f>Tabla18[[#This Row],[Importe]]-Tabla18[[#This Row],[Pagado]]</f>
        <v>0</v>
      </c>
      <c r="H2581" s="153" t="s">
        <v>10</v>
      </c>
    </row>
    <row r="2582" spans="1:8" x14ac:dyDescent="0.25">
      <c r="A2582" s="73">
        <v>44767</v>
      </c>
      <c r="B2582" s="74" t="s">
        <v>23945</v>
      </c>
      <c r="C2582" s="75" t="s">
        <v>127</v>
      </c>
      <c r="D2582" s="81">
        <v>2345.5</v>
      </c>
      <c r="E2582" s="151">
        <v>44767</v>
      </c>
      <c r="F2582" s="81">
        <v>2345.5</v>
      </c>
      <c r="G2582" s="156">
        <f>Tabla18[[#This Row],[Importe]]-Tabla18[[#This Row],[Pagado]]</f>
        <v>0</v>
      </c>
      <c r="H2582" s="75" t="s">
        <v>10</v>
      </c>
    </row>
    <row r="2583" spans="1:8" x14ac:dyDescent="0.25">
      <c r="A2583" s="148">
        <v>44767</v>
      </c>
      <c r="B2583" s="149" t="s">
        <v>23946</v>
      </c>
      <c r="C2583" s="153" t="s">
        <v>339</v>
      </c>
      <c r="D2583" s="154">
        <v>722.5</v>
      </c>
      <c r="E2583" s="155">
        <v>44767</v>
      </c>
      <c r="F2583" s="154">
        <v>722.5</v>
      </c>
      <c r="G2583" s="156">
        <f>Tabla18[[#This Row],[Importe]]-Tabla18[[#This Row],[Pagado]]</f>
        <v>0</v>
      </c>
      <c r="H2583" s="153" t="s">
        <v>10</v>
      </c>
    </row>
    <row r="2584" spans="1:8" x14ac:dyDescent="0.25">
      <c r="A2584" s="73">
        <v>44767</v>
      </c>
      <c r="B2584" s="74" t="s">
        <v>23947</v>
      </c>
      <c r="C2584" s="75" t="s">
        <v>333</v>
      </c>
      <c r="D2584" s="81">
        <v>1334.5</v>
      </c>
      <c r="E2584" s="151">
        <v>44767</v>
      </c>
      <c r="F2584" s="81">
        <v>1334.5</v>
      </c>
      <c r="G2584" s="156">
        <f>Tabla18[[#This Row],[Importe]]-Tabla18[[#This Row],[Pagado]]</f>
        <v>0</v>
      </c>
      <c r="H2584" s="75" t="s">
        <v>10</v>
      </c>
    </row>
    <row r="2585" spans="1:8" x14ac:dyDescent="0.25">
      <c r="A2585" s="148">
        <v>44767</v>
      </c>
      <c r="B2585" s="149" t="s">
        <v>23948</v>
      </c>
      <c r="C2585" s="153" t="s">
        <v>9</v>
      </c>
      <c r="D2585" s="154">
        <v>7067.6</v>
      </c>
      <c r="E2585" s="155">
        <v>44767</v>
      </c>
      <c r="F2585" s="154">
        <v>7067.6</v>
      </c>
      <c r="G2585" s="156">
        <f>Tabla18[[#This Row],[Importe]]-Tabla18[[#This Row],[Pagado]]</f>
        <v>0</v>
      </c>
      <c r="H2585" s="153" t="s">
        <v>10</v>
      </c>
    </row>
    <row r="2586" spans="1:8" x14ac:dyDescent="0.25">
      <c r="A2586" s="73">
        <v>44767</v>
      </c>
      <c r="B2586" s="74" t="s">
        <v>23949</v>
      </c>
      <c r="C2586" s="75" t="s">
        <v>218</v>
      </c>
      <c r="D2586" s="81">
        <v>16933</v>
      </c>
      <c r="E2586" s="151">
        <v>44770</v>
      </c>
      <c r="F2586" s="81">
        <v>16933</v>
      </c>
      <c r="G2586" s="156">
        <f>Tabla18[[#This Row],[Importe]]-Tabla18[[#This Row],[Pagado]]</f>
        <v>0</v>
      </c>
      <c r="H2586" s="75" t="s">
        <v>10</v>
      </c>
    </row>
    <row r="2587" spans="1:8" x14ac:dyDescent="0.25">
      <c r="A2587" s="148">
        <v>44767</v>
      </c>
      <c r="B2587" s="149" t="s">
        <v>23950</v>
      </c>
      <c r="C2587" s="153" t="s">
        <v>4707</v>
      </c>
      <c r="D2587" s="154">
        <v>0</v>
      </c>
      <c r="E2587" s="158" t="s">
        <v>189</v>
      </c>
      <c r="F2587" s="154">
        <v>0</v>
      </c>
      <c r="G2587" s="156">
        <f>Tabla18[[#This Row],[Importe]]-Tabla18[[#This Row],[Pagado]]</f>
        <v>0</v>
      </c>
      <c r="H2587" s="153" t="s">
        <v>189</v>
      </c>
    </row>
    <row r="2588" spans="1:8" x14ac:dyDescent="0.25">
      <c r="A2588" s="73">
        <v>44767</v>
      </c>
      <c r="B2588" s="74" t="s">
        <v>23951</v>
      </c>
      <c r="C2588" s="75" t="s">
        <v>27</v>
      </c>
      <c r="D2588" s="81">
        <v>2511.6</v>
      </c>
      <c r="E2588" s="157">
        <v>44767</v>
      </c>
      <c r="F2588" s="81">
        <v>2511.6</v>
      </c>
      <c r="G2588" s="156">
        <f>Tabla18[[#This Row],[Importe]]-Tabla18[[#This Row],[Pagado]]</f>
        <v>0</v>
      </c>
      <c r="H2588" s="75" t="s">
        <v>10</v>
      </c>
    </row>
    <row r="2589" spans="1:8" x14ac:dyDescent="0.25">
      <c r="A2589" s="148">
        <v>44767</v>
      </c>
      <c r="B2589" s="149" t="s">
        <v>23952</v>
      </c>
      <c r="C2589" s="153" t="s">
        <v>23953</v>
      </c>
      <c r="D2589" s="154">
        <v>0</v>
      </c>
      <c r="E2589" s="158" t="s">
        <v>189</v>
      </c>
      <c r="F2589" s="154">
        <v>0</v>
      </c>
      <c r="G2589" s="156">
        <f>Tabla18[[#This Row],[Importe]]-Tabla18[[#This Row],[Pagado]]</f>
        <v>0</v>
      </c>
      <c r="H2589" s="159" t="s">
        <v>23954</v>
      </c>
    </row>
    <row r="2590" spans="1:8" x14ac:dyDescent="0.25">
      <c r="A2590" s="73">
        <v>44767</v>
      </c>
      <c r="B2590" s="74" t="s">
        <v>23955</v>
      </c>
      <c r="C2590" s="75" t="s">
        <v>154</v>
      </c>
      <c r="D2590" s="81">
        <v>25997.3</v>
      </c>
      <c r="E2590" s="151">
        <v>44770</v>
      </c>
      <c r="F2590" s="81">
        <v>25997.3</v>
      </c>
      <c r="G2590" s="156">
        <f>Tabla18[[#This Row],[Importe]]-Tabla18[[#This Row],[Pagado]]</f>
        <v>0</v>
      </c>
      <c r="H2590" s="75" t="s">
        <v>10</v>
      </c>
    </row>
    <row r="2591" spans="1:8" x14ac:dyDescent="0.25">
      <c r="A2591" s="148">
        <v>44767</v>
      </c>
      <c r="B2591" s="149" t="s">
        <v>23956</v>
      </c>
      <c r="C2591" s="153" t="s">
        <v>196</v>
      </c>
      <c r="D2591" s="154">
        <v>100782.12</v>
      </c>
      <c r="E2591" s="155">
        <v>44771</v>
      </c>
      <c r="F2591" s="154">
        <v>100782.12</v>
      </c>
      <c r="G2591" s="156">
        <f>Tabla18[[#This Row],[Importe]]-Tabla18[[#This Row],[Pagado]]</f>
        <v>0</v>
      </c>
      <c r="H2591" s="153" t="s">
        <v>10</v>
      </c>
    </row>
    <row r="2592" spans="1:8" ht="31.5" x14ac:dyDescent="0.25">
      <c r="A2592" s="73">
        <v>44767</v>
      </c>
      <c r="B2592" s="74" t="s">
        <v>23957</v>
      </c>
      <c r="C2592" s="75" t="s">
        <v>22</v>
      </c>
      <c r="D2592" s="81">
        <v>52491.199999999997</v>
      </c>
      <c r="E2592" s="147" t="s">
        <v>23958</v>
      </c>
      <c r="F2592" s="81">
        <f>50000+2491.2</f>
        <v>52491.199999999997</v>
      </c>
      <c r="G2592" s="156">
        <f>Tabla18[[#This Row],[Importe]]-Tabla18[[#This Row],[Pagado]]</f>
        <v>0</v>
      </c>
      <c r="H2592" s="75" t="s">
        <v>10</v>
      </c>
    </row>
    <row r="2593" spans="1:8" x14ac:dyDescent="0.25">
      <c r="A2593" s="148">
        <v>44767</v>
      </c>
      <c r="B2593" s="149" t="s">
        <v>23959</v>
      </c>
      <c r="C2593" s="153" t="s">
        <v>133</v>
      </c>
      <c r="D2593" s="154">
        <v>15620.6</v>
      </c>
      <c r="E2593" s="155">
        <v>44768</v>
      </c>
      <c r="F2593" s="154">
        <v>15620.6</v>
      </c>
      <c r="G2593" s="156">
        <f>Tabla18[[#This Row],[Importe]]-Tabla18[[#This Row],[Pagado]]</f>
        <v>0</v>
      </c>
      <c r="H2593" s="153" t="s">
        <v>10</v>
      </c>
    </row>
    <row r="2594" spans="1:8" x14ac:dyDescent="0.25">
      <c r="A2594" s="73">
        <v>44767</v>
      </c>
      <c r="B2594" s="74" t="s">
        <v>23960</v>
      </c>
      <c r="C2594" s="75" t="s">
        <v>206</v>
      </c>
      <c r="D2594" s="81">
        <v>31530.799999999999</v>
      </c>
      <c r="E2594" s="151">
        <v>44770</v>
      </c>
      <c r="F2594" s="81">
        <v>31530.799999999999</v>
      </c>
      <c r="G2594" s="156">
        <f>Tabla18[[#This Row],[Importe]]-Tabla18[[#This Row],[Pagado]]</f>
        <v>0</v>
      </c>
      <c r="H2594" s="75" t="s">
        <v>10</v>
      </c>
    </row>
    <row r="2595" spans="1:8" x14ac:dyDescent="0.25">
      <c r="A2595" s="148">
        <v>44767</v>
      </c>
      <c r="B2595" s="149" t="s">
        <v>23961</v>
      </c>
      <c r="C2595" s="153" t="s">
        <v>208</v>
      </c>
      <c r="D2595" s="154">
        <v>34397</v>
      </c>
      <c r="E2595" s="155">
        <v>44775</v>
      </c>
      <c r="F2595" s="154">
        <v>34397</v>
      </c>
      <c r="G2595" s="156">
        <f>Tabla18[[#This Row],[Importe]]-Tabla18[[#This Row],[Pagado]]</f>
        <v>0</v>
      </c>
      <c r="H2595" s="153" t="s">
        <v>10</v>
      </c>
    </row>
    <row r="2596" spans="1:8" x14ac:dyDescent="0.25">
      <c r="A2596" s="73">
        <v>44767</v>
      </c>
      <c r="B2596" s="74" t="s">
        <v>23962</v>
      </c>
      <c r="C2596" s="75" t="s">
        <v>137</v>
      </c>
      <c r="D2596" s="81">
        <v>2560</v>
      </c>
      <c r="E2596" s="151">
        <v>44767</v>
      </c>
      <c r="F2596" s="81">
        <v>2560</v>
      </c>
      <c r="G2596" s="156">
        <f>Tabla18[[#This Row],[Importe]]-Tabla18[[#This Row],[Pagado]]</f>
        <v>0</v>
      </c>
      <c r="H2596" s="75" t="s">
        <v>10</v>
      </c>
    </row>
    <row r="2597" spans="1:8" x14ac:dyDescent="0.25">
      <c r="A2597" s="148">
        <v>44767</v>
      </c>
      <c r="B2597" s="149" t="s">
        <v>23963</v>
      </c>
      <c r="C2597" s="153" t="s">
        <v>11033</v>
      </c>
      <c r="D2597" s="154">
        <v>1880.2</v>
      </c>
      <c r="E2597" s="155">
        <v>44767</v>
      </c>
      <c r="F2597" s="154">
        <v>1880.2</v>
      </c>
      <c r="G2597" s="156">
        <f>Tabla18[[#This Row],[Importe]]-Tabla18[[#This Row],[Pagado]]</f>
        <v>0</v>
      </c>
      <c r="H2597" s="153" t="s">
        <v>10</v>
      </c>
    </row>
    <row r="2598" spans="1:8" x14ac:dyDescent="0.25">
      <c r="A2598" s="73">
        <v>44767</v>
      </c>
      <c r="B2598" s="74" t="s">
        <v>23964</v>
      </c>
      <c r="C2598" s="75" t="s">
        <v>16</v>
      </c>
      <c r="D2598" s="81">
        <v>6928.5</v>
      </c>
      <c r="E2598" s="151">
        <v>44767</v>
      </c>
      <c r="F2598" s="81">
        <v>6928.5</v>
      </c>
      <c r="G2598" s="156">
        <f>Tabla18[[#This Row],[Importe]]-Tabla18[[#This Row],[Pagado]]</f>
        <v>0</v>
      </c>
      <c r="H2598" s="75" t="s">
        <v>10</v>
      </c>
    </row>
    <row r="2599" spans="1:8" x14ac:dyDescent="0.25">
      <c r="A2599" s="148">
        <v>44767</v>
      </c>
      <c r="B2599" s="149" t="s">
        <v>23965</v>
      </c>
      <c r="C2599" s="153" t="s">
        <v>56</v>
      </c>
      <c r="D2599" s="154">
        <v>7936.2</v>
      </c>
      <c r="E2599" s="155">
        <v>44767</v>
      </c>
      <c r="F2599" s="154">
        <v>7936.2</v>
      </c>
      <c r="G2599" s="156">
        <f>Tabla18[[#This Row],[Importe]]-Tabla18[[#This Row],[Pagado]]</f>
        <v>0</v>
      </c>
      <c r="H2599" s="153" t="s">
        <v>10</v>
      </c>
    </row>
    <row r="2600" spans="1:8" x14ac:dyDescent="0.25">
      <c r="A2600" s="73">
        <v>44767</v>
      </c>
      <c r="B2600" s="74" t="s">
        <v>23966</v>
      </c>
      <c r="C2600" s="75" t="s">
        <v>212</v>
      </c>
      <c r="D2600" s="81">
        <v>49467.6</v>
      </c>
      <c r="E2600" s="151">
        <v>44770</v>
      </c>
      <c r="F2600" s="81">
        <v>49467.6</v>
      </c>
      <c r="G2600" s="156">
        <f>Tabla18[[#This Row],[Importe]]-Tabla18[[#This Row],[Pagado]]</f>
        <v>0</v>
      </c>
      <c r="H2600" s="75" t="s">
        <v>10</v>
      </c>
    </row>
    <row r="2601" spans="1:8" x14ac:dyDescent="0.25">
      <c r="A2601" s="148">
        <v>44767</v>
      </c>
      <c r="B2601" s="149" t="s">
        <v>23967</v>
      </c>
      <c r="C2601" s="153" t="s">
        <v>49</v>
      </c>
      <c r="D2601" s="154">
        <v>4176</v>
      </c>
      <c r="E2601" s="155">
        <v>44767</v>
      </c>
      <c r="F2601" s="154">
        <v>4176</v>
      </c>
      <c r="G2601" s="156">
        <f>Tabla18[[#This Row],[Importe]]-Tabla18[[#This Row],[Pagado]]</f>
        <v>0</v>
      </c>
      <c r="H2601" s="153" t="s">
        <v>10</v>
      </c>
    </row>
    <row r="2602" spans="1:8" x14ac:dyDescent="0.25">
      <c r="A2602" s="73">
        <v>44767</v>
      </c>
      <c r="B2602" s="74" t="s">
        <v>23968</v>
      </c>
      <c r="C2602" s="75" t="s">
        <v>275</v>
      </c>
      <c r="D2602" s="81">
        <v>105255.69</v>
      </c>
      <c r="E2602" s="151">
        <v>44786</v>
      </c>
      <c r="F2602" s="81">
        <v>105255.69</v>
      </c>
      <c r="G2602" s="156">
        <f>Tabla18[[#This Row],[Importe]]-Tabla18[[#This Row],[Pagado]]</f>
        <v>0</v>
      </c>
      <c r="H2602" s="75" t="s">
        <v>10</v>
      </c>
    </row>
    <row r="2603" spans="1:8" x14ac:dyDescent="0.25">
      <c r="A2603" s="148">
        <v>44767</v>
      </c>
      <c r="B2603" s="149" t="s">
        <v>23969</v>
      </c>
      <c r="C2603" s="153" t="s">
        <v>240</v>
      </c>
      <c r="D2603" s="154">
        <v>11553</v>
      </c>
      <c r="E2603" s="155">
        <v>44767</v>
      </c>
      <c r="F2603" s="154">
        <v>11553</v>
      </c>
      <c r="G2603" s="156">
        <f>Tabla18[[#This Row],[Importe]]-Tabla18[[#This Row],[Pagado]]</f>
        <v>0</v>
      </c>
      <c r="H2603" s="153" t="s">
        <v>10</v>
      </c>
    </row>
    <row r="2604" spans="1:8" x14ac:dyDescent="0.25">
      <c r="A2604" s="73">
        <v>44767</v>
      </c>
      <c r="B2604" s="74" t="s">
        <v>23970</v>
      </c>
      <c r="C2604" s="75" t="s">
        <v>289</v>
      </c>
      <c r="D2604" s="81">
        <v>17008</v>
      </c>
      <c r="E2604" s="151">
        <v>44767</v>
      </c>
      <c r="F2604" s="81">
        <v>17008</v>
      </c>
      <c r="G2604" s="156">
        <f>Tabla18[[#This Row],[Importe]]-Tabla18[[#This Row],[Pagado]]</f>
        <v>0</v>
      </c>
      <c r="H2604" s="75" t="s">
        <v>10</v>
      </c>
    </row>
    <row r="2605" spans="1:8" x14ac:dyDescent="0.25">
      <c r="A2605" s="148">
        <v>44767</v>
      </c>
      <c r="B2605" s="149" t="s">
        <v>23971</v>
      </c>
      <c r="C2605" s="153" t="s">
        <v>16</v>
      </c>
      <c r="D2605" s="154">
        <v>1428.8</v>
      </c>
      <c r="E2605" s="155">
        <v>44767</v>
      </c>
      <c r="F2605" s="154">
        <v>1428.8</v>
      </c>
      <c r="G2605" s="156">
        <f>Tabla18[[#This Row],[Importe]]-Tabla18[[#This Row],[Pagado]]</f>
        <v>0</v>
      </c>
      <c r="H2605" s="153" t="s">
        <v>10</v>
      </c>
    </row>
    <row r="2606" spans="1:8" x14ac:dyDescent="0.25">
      <c r="A2606" s="73">
        <v>44767</v>
      </c>
      <c r="B2606" s="74" t="s">
        <v>23972</v>
      </c>
      <c r="C2606" s="75" t="s">
        <v>31</v>
      </c>
      <c r="D2606" s="81">
        <v>2210</v>
      </c>
      <c r="E2606" s="151">
        <v>44767</v>
      </c>
      <c r="F2606" s="81">
        <v>2210</v>
      </c>
      <c r="G2606" s="156">
        <f>Tabla18[[#This Row],[Importe]]-Tabla18[[#This Row],[Pagado]]</f>
        <v>0</v>
      </c>
      <c r="H2606" s="75" t="s">
        <v>10</v>
      </c>
    </row>
    <row r="2607" spans="1:8" x14ac:dyDescent="0.25">
      <c r="A2607" s="148">
        <v>44767</v>
      </c>
      <c r="B2607" s="149" t="s">
        <v>23973</v>
      </c>
      <c r="C2607" s="153" t="s">
        <v>7745</v>
      </c>
      <c r="D2607" s="154">
        <v>21999.599999999999</v>
      </c>
      <c r="E2607" s="155">
        <v>44767</v>
      </c>
      <c r="F2607" s="154">
        <v>21999.599999999999</v>
      </c>
      <c r="G2607" s="156">
        <f>Tabla18[[#This Row],[Importe]]-Tabla18[[#This Row],[Pagado]]</f>
        <v>0</v>
      </c>
      <c r="H2607" s="153" t="s">
        <v>10</v>
      </c>
    </row>
    <row r="2608" spans="1:8" x14ac:dyDescent="0.25">
      <c r="A2608" s="73">
        <v>44767</v>
      </c>
      <c r="B2608" s="74" t="s">
        <v>23974</v>
      </c>
      <c r="C2608" s="75" t="s">
        <v>24</v>
      </c>
      <c r="D2608" s="81">
        <v>4744.3</v>
      </c>
      <c r="E2608" s="151">
        <v>44767</v>
      </c>
      <c r="F2608" s="81">
        <v>4744.3</v>
      </c>
      <c r="G2608" s="156">
        <f>Tabla18[[#This Row],[Importe]]-Tabla18[[#This Row],[Pagado]]</f>
        <v>0</v>
      </c>
      <c r="H2608" s="75" t="s">
        <v>10</v>
      </c>
    </row>
    <row r="2609" spans="1:8" x14ac:dyDescent="0.25">
      <c r="A2609" s="148">
        <v>44767</v>
      </c>
      <c r="B2609" s="149" t="s">
        <v>23975</v>
      </c>
      <c r="C2609" s="153" t="s">
        <v>1378</v>
      </c>
      <c r="D2609" s="154">
        <v>81450.399999999994</v>
      </c>
      <c r="E2609" s="155">
        <v>44767</v>
      </c>
      <c r="F2609" s="154">
        <v>81450.399999999994</v>
      </c>
      <c r="G2609" s="156">
        <f>Tabla18[[#This Row],[Importe]]-Tabla18[[#This Row],[Pagado]]</f>
        <v>0</v>
      </c>
      <c r="H2609" s="153" t="s">
        <v>10</v>
      </c>
    </row>
    <row r="2610" spans="1:8" x14ac:dyDescent="0.25">
      <c r="A2610" s="73">
        <v>44767</v>
      </c>
      <c r="B2610" s="74" t="s">
        <v>23976</v>
      </c>
      <c r="C2610" s="75" t="s">
        <v>15868</v>
      </c>
      <c r="D2610" s="81">
        <v>17000</v>
      </c>
      <c r="E2610" s="151">
        <v>44767</v>
      </c>
      <c r="F2610" s="81">
        <v>17000</v>
      </c>
      <c r="G2610" s="156">
        <f>Tabla18[[#This Row],[Importe]]-Tabla18[[#This Row],[Pagado]]</f>
        <v>0</v>
      </c>
      <c r="H2610" s="75" t="s">
        <v>10</v>
      </c>
    </row>
    <row r="2611" spans="1:8" x14ac:dyDescent="0.25">
      <c r="A2611" s="148">
        <v>44767</v>
      </c>
      <c r="B2611" s="149" t="s">
        <v>23977</v>
      </c>
      <c r="C2611" s="153" t="s">
        <v>31</v>
      </c>
      <c r="D2611" s="154">
        <v>3068.9</v>
      </c>
      <c r="E2611" s="155">
        <v>44767</v>
      </c>
      <c r="F2611" s="154">
        <v>3068.9</v>
      </c>
      <c r="G2611" s="156">
        <f>Tabla18[[#This Row],[Importe]]-Tabla18[[#This Row],[Pagado]]</f>
        <v>0</v>
      </c>
      <c r="H2611" s="153" t="s">
        <v>10</v>
      </c>
    </row>
    <row r="2612" spans="1:8" x14ac:dyDescent="0.25">
      <c r="A2612" s="73">
        <v>44767</v>
      </c>
      <c r="B2612" s="74" t="s">
        <v>23978</v>
      </c>
      <c r="C2612" s="75" t="s">
        <v>371</v>
      </c>
      <c r="D2612" s="81">
        <v>17100.8</v>
      </c>
      <c r="E2612" s="151">
        <v>44767</v>
      </c>
      <c r="F2612" s="81">
        <v>17100.8</v>
      </c>
      <c r="G2612" s="156">
        <f>Tabla18[[#This Row],[Importe]]-Tabla18[[#This Row],[Pagado]]</f>
        <v>0</v>
      </c>
      <c r="H2612" s="75" t="s">
        <v>10</v>
      </c>
    </row>
    <row r="2613" spans="1:8" x14ac:dyDescent="0.25">
      <c r="A2613" s="148">
        <v>44767</v>
      </c>
      <c r="B2613" s="149" t="s">
        <v>23979</v>
      </c>
      <c r="C2613" s="153" t="s">
        <v>382</v>
      </c>
      <c r="D2613" s="154">
        <v>5980.8</v>
      </c>
      <c r="E2613" s="155">
        <v>44767</v>
      </c>
      <c r="F2613" s="154">
        <v>5980.8</v>
      </c>
      <c r="G2613" s="156">
        <f>Tabla18[[#This Row],[Importe]]-Tabla18[[#This Row],[Pagado]]</f>
        <v>0</v>
      </c>
      <c r="H2613" s="153" t="s">
        <v>10</v>
      </c>
    </row>
    <row r="2614" spans="1:8" x14ac:dyDescent="0.25">
      <c r="A2614" s="73">
        <v>44767</v>
      </c>
      <c r="B2614" s="74" t="s">
        <v>23980</v>
      </c>
      <c r="C2614" s="75" t="s">
        <v>222</v>
      </c>
      <c r="D2614" s="81">
        <v>12597.6</v>
      </c>
      <c r="E2614" s="151">
        <v>44767</v>
      </c>
      <c r="F2614" s="81">
        <v>12597.6</v>
      </c>
      <c r="G2614" s="156">
        <f>Tabla18[[#This Row],[Importe]]-Tabla18[[#This Row],[Pagado]]</f>
        <v>0</v>
      </c>
      <c r="H2614" s="75" t="s">
        <v>10</v>
      </c>
    </row>
    <row r="2615" spans="1:8" x14ac:dyDescent="0.25">
      <c r="A2615" s="148">
        <v>44767</v>
      </c>
      <c r="B2615" s="149" t="s">
        <v>23981</v>
      </c>
      <c r="C2615" s="153" t="s">
        <v>12</v>
      </c>
      <c r="D2615" s="154">
        <v>1754.8</v>
      </c>
      <c r="E2615" s="155">
        <v>44767</v>
      </c>
      <c r="F2615" s="154">
        <v>1754.8</v>
      </c>
      <c r="G2615" s="156">
        <f>Tabla18[[#This Row],[Importe]]-Tabla18[[#This Row],[Pagado]]</f>
        <v>0</v>
      </c>
      <c r="H2615" s="153" t="s">
        <v>10</v>
      </c>
    </row>
    <row r="2616" spans="1:8" x14ac:dyDescent="0.25">
      <c r="A2616" s="73">
        <v>44767</v>
      </c>
      <c r="B2616" s="74" t="s">
        <v>23982</v>
      </c>
      <c r="C2616" s="75" t="s">
        <v>1003</v>
      </c>
      <c r="D2616" s="81">
        <v>8351.5</v>
      </c>
      <c r="E2616" s="151">
        <v>44771</v>
      </c>
      <c r="F2616" s="81">
        <v>8351.5</v>
      </c>
      <c r="G2616" s="156">
        <f>Tabla18[[#This Row],[Importe]]-Tabla18[[#This Row],[Pagado]]</f>
        <v>0</v>
      </c>
      <c r="H2616" s="75" t="s">
        <v>10</v>
      </c>
    </row>
    <row r="2617" spans="1:8" x14ac:dyDescent="0.25">
      <c r="A2617" s="148">
        <v>44767</v>
      </c>
      <c r="B2617" s="149" t="s">
        <v>23983</v>
      </c>
      <c r="C2617" s="153" t="s">
        <v>426</v>
      </c>
      <c r="D2617" s="154">
        <v>12784</v>
      </c>
      <c r="E2617" s="155">
        <v>44767</v>
      </c>
      <c r="F2617" s="154">
        <v>12784</v>
      </c>
      <c r="G2617" s="156">
        <f>Tabla18[[#This Row],[Importe]]-Tabla18[[#This Row],[Pagado]]</f>
        <v>0</v>
      </c>
      <c r="H2617" s="153" t="s">
        <v>10</v>
      </c>
    </row>
    <row r="2618" spans="1:8" x14ac:dyDescent="0.25">
      <c r="A2618" s="73">
        <v>44767</v>
      </c>
      <c r="B2618" s="74" t="s">
        <v>23984</v>
      </c>
      <c r="C2618" s="75" t="s">
        <v>175</v>
      </c>
      <c r="D2618" s="81">
        <v>12531.2</v>
      </c>
      <c r="E2618" s="151">
        <v>44767</v>
      </c>
      <c r="F2618" s="81">
        <v>12531.2</v>
      </c>
      <c r="G2618" s="156">
        <f>Tabla18[[#This Row],[Importe]]-Tabla18[[#This Row],[Pagado]]</f>
        <v>0</v>
      </c>
      <c r="H2618" s="75" t="s">
        <v>10</v>
      </c>
    </row>
    <row r="2619" spans="1:8" x14ac:dyDescent="0.25">
      <c r="A2619" s="148">
        <v>44767</v>
      </c>
      <c r="B2619" s="149" t="s">
        <v>23985</v>
      </c>
      <c r="C2619" s="153" t="s">
        <v>181</v>
      </c>
      <c r="D2619" s="154">
        <v>14239.8</v>
      </c>
      <c r="E2619" s="155">
        <v>44767</v>
      </c>
      <c r="F2619" s="154">
        <v>14239.8</v>
      </c>
      <c r="G2619" s="156">
        <f>Tabla18[[#This Row],[Importe]]-Tabla18[[#This Row],[Pagado]]</f>
        <v>0</v>
      </c>
      <c r="H2619" s="153" t="s">
        <v>10</v>
      </c>
    </row>
    <row r="2620" spans="1:8" x14ac:dyDescent="0.25">
      <c r="A2620" s="73">
        <v>44767</v>
      </c>
      <c r="B2620" s="74" t="s">
        <v>23986</v>
      </c>
      <c r="C2620" s="75" t="s">
        <v>179</v>
      </c>
      <c r="D2620" s="81">
        <v>1646.4</v>
      </c>
      <c r="E2620" s="151">
        <v>44767</v>
      </c>
      <c r="F2620" s="81">
        <v>1646.4</v>
      </c>
      <c r="G2620" s="156">
        <f>Tabla18[[#This Row],[Importe]]-Tabla18[[#This Row],[Pagado]]</f>
        <v>0</v>
      </c>
      <c r="H2620" s="75" t="s">
        <v>10</v>
      </c>
    </row>
    <row r="2621" spans="1:8" x14ac:dyDescent="0.25">
      <c r="A2621" s="148">
        <v>44767</v>
      </c>
      <c r="B2621" s="149" t="s">
        <v>23987</v>
      </c>
      <c r="C2621" s="153" t="s">
        <v>142</v>
      </c>
      <c r="D2621" s="154">
        <v>26094.639999999999</v>
      </c>
      <c r="E2621" s="155" t="s">
        <v>4813</v>
      </c>
      <c r="F2621" s="154">
        <v>0</v>
      </c>
      <c r="G2621" s="156">
        <f>Tabla18[[#This Row],[Importe]]-Tabla18[[#This Row],[Pagado]]</f>
        <v>26094.639999999999</v>
      </c>
      <c r="H2621" s="153" t="s">
        <v>4814</v>
      </c>
    </row>
    <row r="2622" spans="1:8" x14ac:dyDescent="0.25">
      <c r="A2622" s="73">
        <v>44767</v>
      </c>
      <c r="B2622" s="74" t="s">
        <v>23988</v>
      </c>
      <c r="C2622" s="75" t="s">
        <v>414</v>
      </c>
      <c r="D2622" s="81">
        <v>25620</v>
      </c>
      <c r="E2622" s="151">
        <v>44786</v>
      </c>
      <c r="F2622" s="81">
        <v>25620</v>
      </c>
      <c r="G2622" s="156">
        <f>Tabla18[[#This Row],[Importe]]-Tabla18[[#This Row],[Pagado]]</f>
        <v>0</v>
      </c>
      <c r="H2622" s="75" t="s">
        <v>10</v>
      </c>
    </row>
    <row r="2623" spans="1:8" x14ac:dyDescent="0.25">
      <c r="A2623" s="148">
        <v>44767</v>
      </c>
      <c r="B2623" s="149" t="s">
        <v>23989</v>
      </c>
      <c r="C2623" s="153" t="s">
        <v>840</v>
      </c>
      <c r="D2623" s="154">
        <v>25973.4</v>
      </c>
      <c r="E2623" s="155">
        <v>44767</v>
      </c>
      <c r="F2623" s="154">
        <v>25973.4</v>
      </c>
      <c r="G2623" s="156">
        <f>Tabla18[[#This Row],[Importe]]-Tabla18[[#This Row],[Pagado]]</f>
        <v>0</v>
      </c>
      <c r="H2623" s="153" t="s">
        <v>10</v>
      </c>
    </row>
    <row r="2624" spans="1:8" x14ac:dyDescent="0.25">
      <c r="A2624" s="73">
        <v>44767</v>
      </c>
      <c r="B2624" s="74" t="s">
        <v>23990</v>
      </c>
      <c r="C2624" s="75" t="s">
        <v>200</v>
      </c>
      <c r="D2624" s="81">
        <v>1461.6</v>
      </c>
      <c r="E2624" s="151">
        <v>44767</v>
      </c>
      <c r="F2624" s="81">
        <v>1461.6</v>
      </c>
      <c r="G2624" s="156">
        <f>Tabla18[[#This Row],[Importe]]-Tabla18[[#This Row],[Pagado]]</f>
        <v>0</v>
      </c>
      <c r="H2624" s="75" t="s">
        <v>10</v>
      </c>
    </row>
    <row r="2625" spans="1:8" x14ac:dyDescent="0.25">
      <c r="A2625" s="148">
        <v>44767</v>
      </c>
      <c r="B2625" s="149" t="s">
        <v>23991</v>
      </c>
      <c r="C2625" s="153" t="s">
        <v>541</v>
      </c>
      <c r="D2625" s="154">
        <v>101094.8</v>
      </c>
      <c r="E2625" s="155">
        <v>44768</v>
      </c>
      <c r="F2625" s="154">
        <v>101094.8</v>
      </c>
      <c r="G2625" s="156">
        <f>Tabla18[[#This Row],[Importe]]-Tabla18[[#This Row],[Pagado]]</f>
        <v>0</v>
      </c>
      <c r="H2625" s="153" t="s">
        <v>10</v>
      </c>
    </row>
    <row r="2626" spans="1:8" x14ac:dyDescent="0.25">
      <c r="A2626" s="73">
        <v>44767</v>
      </c>
      <c r="B2626" s="74" t="s">
        <v>23992</v>
      </c>
      <c r="C2626" s="75" t="s">
        <v>45</v>
      </c>
      <c r="D2626" s="81">
        <v>11383</v>
      </c>
      <c r="E2626" s="151">
        <v>44767</v>
      </c>
      <c r="F2626" s="81">
        <v>11383</v>
      </c>
      <c r="G2626" s="156">
        <f>Tabla18[[#This Row],[Importe]]-Tabla18[[#This Row],[Pagado]]</f>
        <v>0</v>
      </c>
      <c r="H2626" s="75" t="s">
        <v>10</v>
      </c>
    </row>
    <row r="2627" spans="1:8" x14ac:dyDescent="0.25">
      <c r="A2627" s="148">
        <v>44767</v>
      </c>
      <c r="B2627" s="149" t="s">
        <v>23993</v>
      </c>
      <c r="C2627" s="153" t="s">
        <v>173</v>
      </c>
      <c r="D2627" s="154">
        <v>21151.200000000001</v>
      </c>
      <c r="E2627" s="155">
        <v>44768</v>
      </c>
      <c r="F2627" s="154">
        <v>21151.200000000001</v>
      </c>
      <c r="G2627" s="156">
        <f>Tabla18[[#This Row],[Importe]]-Tabla18[[#This Row],[Pagado]]</f>
        <v>0</v>
      </c>
      <c r="H2627" s="153" t="s">
        <v>10</v>
      </c>
    </row>
    <row r="2628" spans="1:8" x14ac:dyDescent="0.25">
      <c r="A2628" s="73">
        <v>44767</v>
      </c>
      <c r="B2628" s="74" t="s">
        <v>23994</v>
      </c>
      <c r="C2628" s="75" t="s">
        <v>5816</v>
      </c>
      <c r="D2628" s="81">
        <v>2515.8000000000002</v>
      </c>
      <c r="E2628" s="151">
        <v>44768</v>
      </c>
      <c r="F2628" s="81">
        <v>2515.8000000000002</v>
      </c>
      <c r="G2628" s="156">
        <f>Tabla18[[#This Row],[Importe]]-Tabla18[[#This Row],[Pagado]]</f>
        <v>0</v>
      </c>
      <c r="H2628" s="75" t="s">
        <v>10</v>
      </c>
    </row>
    <row r="2629" spans="1:8" x14ac:dyDescent="0.25">
      <c r="A2629" s="148">
        <v>44767</v>
      </c>
      <c r="B2629" s="149" t="s">
        <v>23995</v>
      </c>
      <c r="C2629" s="153" t="s">
        <v>9415</v>
      </c>
      <c r="D2629" s="154">
        <v>17852.5</v>
      </c>
      <c r="E2629" s="155">
        <v>44768</v>
      </c>
      <c r="F2629" s="154">
        <v>17852.5</v>
      </c>
      <c r="G2629" s="156">
        <f>Tabla18[[#This Row],[Importe]]-Tabla18[[#This Row],[Pagado]]</f>
        <v>0</v>
      </c>
      <c r="H2629" s="153" t="s">
        <v>10</v>
      </c>
    </row>
    <row r="2630" spans="1:8" x14ac:dyDescent="0.25">
      <c r="A2630" s="73">
        <v>44767</v>
      </c>
      <c r="B2630" s="74" t="s">
        <v>23996</v>
      </c>
      <c r="C2630" s="75" t="s">
        <v>1676</v>
      </c>
      <c r="D2630" s="81">
        <v>1486.8</v>
      </c>
      <c r="E2630" s="151">
        <v>44767</v>
      </c>
      <c r="F2630" s="81">
        <v>1486.8</v>
      </c>
      <c r="G2630" s="156">
        <f>Tabla18[[#This Row],[Importe]]-Tabla18[[#This Row],[Pagado]]</f>
        <v>0</v>
      </c>
      <c r="H2630" s="75" t="s">
        <v>10</v>
      </c>
    </row>
    <row r="2631" spans="1:8" x14ac:dyDescent="0.25">
      <c r="A2631" s="148">
        <v>44767</v>
      </c>
      <c r="B2631" s="149" t="s">
        <v>23997</v>
      </c>
      <c r="C2631" s="153" t="s">
        <v>31</v>
      </c>
      <c r="D2631" s="154">
        <v>688.5</v>
      </c>
      <c r="E2631" s="155">
        <v>44767</v>
      </c>
      <c r="F2631" s="154">
        <v>688.5</v>
      </c>
      <c r="G2631" s="156">
        <f>Tabla18[[#This Row],[Importe]]-Tabla18[[#This Row],[Pagado]]</f>
        <v>0</v>
      </c>
      <c r="H2631" s="153" t="s">
        <v>10</v>
      </c>
    </row>
    <row r="2632" spans="1:8" x14ac:dyDescent="0.25">
      <c r="A2632" s="73">
        <v>44767</v>
      </c>
      <c r="B2632" s="74" t="s">
        <v>23998</v>
      </c>
      <c r="C2632" s="75" t="s">
        <v>670</v>
      </c>
      <c r="D2632" s="81">
        <v>5468.3</v>
      </c>
      <c r="E2632" s="151">
        <v>44767</v>
      </c>
      <c r="F2632" s="81">
        <v>5468.3</v>
      </c>
      <c r="G2632" s="156">
        <f>Tabla18[[#This Row],[Importe]]-Tabla18[[#This Row],[Pagado]]</f>
        <v>0</v>
      </c>
      <c r="H2632" s="75" t="s">
        <v>10</v>
      </c>
    </row>
    <row r="2633" spans="1:8" ht="31.5" x14ac:dyDescent="0.25">
      <c r="A2633" s="148">
        <v>44767</v>
      </c>
      <c r="B2633" s="149" t="s">
        <v>23999</v>
      </c>
      <c r="C2633" s="160" t="s">
        <v>11102</v>
      </c>
      <c r="D2633" s="154">
        <v>0</v>
      </c>
      <c r="E2633" s="158" t="s">
        <v>189</v>
      </c>
      <c r="F2633" s="154">
        <v>0</v>
      </c>
      <c r="G2633" s="156">
        <f>Tabla18[[#This Row],[Importe]]-Tabla18[[#This Row],[Pagado]]</f>
        <v>0</v>
      </c>
      <c r="H2633" s="159" t="s">
        <v>24000</v>
      </c>
    </row>
    <row r="2634" spans="1:8" x14ac:dyDescent="0.25">
      <c r="A2634" s="73">
        <v>44767</v>
      </c>
      <c r="B2634" s="74" t="s">
        <v>24001</v>
      </c>
      <c r="C2634" s="75" t="s">
        <v>91</v>
      </c>
      <c r="D2634" s="81">
        <v>4620</v>
      </c>
      <c r="E2634" s="151">
        <v>44768</v>
      </c>
      <c r="F2634" s="81">
        <v>4620</v>
      </c>
      <c r="G2634" s="156">
        <f>Tabla18[[#This Row],[Importe]]-Tabla18[[#This Row],[Pagado]]</f>
        <v>0</v>
      </c>
      <c r="H2634" s="75" t="s">
        <v>10</v>
      </c>
    </row>
    <row r="2635" spans="1:8" x14ac:dyDescent="0.25">
      <c r="A2635" s="148">
        <v>44767</v>
      </c>
      <c r="B2635" s="149" t="s">
        <v>24002</v>
      </c>
      <c r="C2635" s="153" t="s">
        <v>107</v>
      </c>
      <c r="D2635" s="154">
        <v>15831.8</v>
      </c>
      <c r="E2635" s="155">
        <v>44767</v>
      </c>
      <c r="F2635" s="154">
        <v>15831.8</v>
      </c>
      <c r="G2635" s="156">
        <f>Tabla18[[#This Row],[Importe]]-Tabla18[[#This Row],[Pagado]]</f>
        <v>0</v>
      </c>
      <c r="H2635" s="153" t="s">
        <v>10</v>
      </c>
    </row>
    <row r="2636" spans="1:8" x14ac:dyDescent="0.25">
      <c r="A2636" s="73">
        <v>44767</v>
      </c>
      <c r="B2636" s="74" t="s">
        <v>24003</v>
      </c>
      <c r="C2636" s="75" t="s">
        <v>142</v>
      </c>
      <c r="D2636" s="81">
        <v>6990.16</v>
      </c>
      <c r="E2636" s="151" t="s">
        <v>4813</v>
      </c>
      <c r="F2636" s="81">
        <v>0</v>
      </c>
      <c r="G2636" s="156">
        <f>Tabla18[[#This Row],[Importe]]-Tabla18[[#This Row],[Pagado]]</f>
        <v>6990.16</v>
      </c>
      <c r="H2636" s="75" t="s">
        <v>4814</v>
      </c>
    </row>
    <row r="2637" spans="1:8" x14ac:dyDescent="0.25">
      <c r="A2637" s="148">
        <v>44767</v>
      </c>
      <c r="B2637" s="149" t="s">
        <v>24004</v>
      </c>
      <c r="C2637" s="153" t="s">
        <v>146</v>
      </c>
      <c r="D2637" s="154">
        <v>3001.4</v>
      </c>
      <c r="E2637" s="155">
        <v>44767</v>
      </c>
      <c r="F2637" s="154">
        <v>3001.4</v>
      </c>
      <c r="G2637" s="156">
        <f>Tabla18[[#This Row],[Importe]]-Tabla18[[#This Row],[Pagado]]</f>
        <v>0</v>
      </c>
      <c r="H2637" s="153" t="s">
        <v>10</v>
      </c>
    </row>
    <row r="2638" spans="1:8" x14ac:dyDescent="0.25">
      <c r="A2638" s="73">
        <v>44767</v>
      </c>
      <c r="B2638" s="74" t="s">
        <v>24005</v>
      </c>
      <c r="C2638" s="75" t="s">
        <v>214</v>
      </c>
      <c r="D2638" s="81">
        <v>10333.5</v>
      </c>
      <c r="E2638" s="151">
        <v>44767</v>
      </c>
      <c r="F2638" s="81">
        <v>10333.5</v>
      </c>
      <c r="G2638" s="156">
        <f>Tabla18[[#This Row],[Importe]]-Tabla18[[#This Row],[Pagado]]</f>
        <v>0</v>
      </c>
      <c r="H2638" s="75" t="s">
        <v>10</v>
      </c>
    </row>
    <row r="2639" spans="1:8" x14ac:dyDescent="0.25">
      <c r="A2639" s="148">
        <v>44767</v>
      </c>
      <c r="B2639" s="149" t="s">
        <v>24006</v>
      </c>
      <c r="C2639" s="153" t="s">
        <v>9827</v>
      </c>
      <c r="D2639" s="154">
        <v>9416.4</v>
      </c>
      <c r="E2639" s="155">
        <v>44767</v>
      </c>
      <c r="F2639" s="154">
        <v>9416.4</v>
      </c>
      <c r="G2639" s="156">
        <f>Tabla18[[#This Row],[Importe]]-Tabla18[[#This Row],[Pagado]]</f>
        <v>0</v>
      </c>
      <c r="H2639" s="153" t="s">
        <v>10</v>
      </c>
    </row>
    <row r="2640" spans="1:8" x14ac:dyDescent="0.25">
      <c r="A2640" s="73">
        <v>44767</v>
      </c>
      <c r="B2640" s="74" t="s">
        <v>24007</v>
      </c>
      <c r="C2640" s="75" t="s">
        <v>421</v>
      </c>
      <c r="D2640" s="81">
        <v>8564.5</v>
      </c>
      <c r="E2640" s="151">
        <v>44767</v>
      </c>
      <c r="F2640" s="81">
        <v>8564.5</v>
      </c>
      <c r="G2640" s="156">
        <f>Tabla18[[#This Row],[Importe]]-Tabla18[[#This Row],[Pagado]]</f>
        <v>0</v>
      </c>
      <c r="H2640" s="75" t="s">
        <v>10</v>
      </c>
    </row>
    <row r="2641" spans="1:8" x14ac:dyDescent="0.25">
      <c r="A2641" s="148">
        <v>44767</v>
      </c>
      <c r="B2641" s="149" t="s">
        <v>24008</v>
      </c>
      <c r="C2641" s="153" t="s">
        <v>618</v>
      </c>
      <c r="D2641" s="154">
        <v>1992</v>
      </c>
      <c r="E2641" s="155">
        <v>44767</v>
      </c>
      <c r="F2641" s="154">
        <v>1992</v>
      </c>
      <c r="G2641" s="156">
        <f>Tabla18[[#This Row],[Importe]]-Tabla18[[#This Row],[Pagado]]</f>
        <v>0</v>
      </c>
      <c r="H2641" s="153" t="s">
        <v>10</v>
      </c>
    </row>
    <row r="2642" spans="1:8" x14ac:dyDescent="0.25">
      <c r="A2642" s="73">
        <v>44767</v>
      </c>
      <c r="B2642" s="74" t="s">
        <v>24009</v>
      </c>
      <c r="C2642" s="75" t="s">
        <v>698</v>
      </c>
      <c r="D2642" s="81">
        <v>7418.4</v>
      </c>
      <c r="E2642" s="151">
        <v>44767</v>
      </c>
      <c r="F2642" s="81">
        <v>7418.4</v>
      </c>
      <c r="G2642" s="156">
        <f>Tabla18[[#This Row],[Importe]]-Tabla18[[#This Row],[Pagado]]</f>
        <v>0</v>
      </c>
      <c r="H2642" s="75" t="s">
        <v>10</v>
      </c>
    </row>
    <row r="2643" spans="1:8" x14ac:dyDescent="0.25">
      <c r="A2643" s="148">
        <v>44767</v>
      </c>
      <c r="B2643" s="149" t="s">
        <v>24010</v>
      </c>
      <c r="C2643" s="153" t="s">
        <v>58</v>
      </c>
      <c r="D2643" s="154">
        <v>3581.6</v>
      </c>
      <c r="E2643" s="155">
        <v>44767</v>
      </c>
      <c r="F2643" s="154">
        <v>3581.6</v>
      </c>
      <c r="G2643" s="156">
        <f>Tabla18[[#This Row],[Importe]]-Tabla18[[#This Row],[Pagado]]</f>
        <v>0</v>
      </c>
      <c r="H2643" s="153" t="s">
        <v>10</v>
      </c>
    </row>
    <row r="2644" spans="1:8" x14ac:dyDescent="0.25">
      <c r="A2644" s="73">
        <v>44767</v>
      </c>
      <c r="B2644" s="74" t="s">
        <v>24011</v>
      </c>
      <c r="C2644" s="75" t="s">
        <v>16</v>
      </c>
      <c r="D2644" s="81">
        <v>377.6</v>
      </c>
      <c r="E2644" s="151">
        <v>44767</v>
      </c>
      <c r="F2644" s="81">
        <v>377.6</v>
      </c>
      <c r="G2644" s="156">
        <f>Tabla18[[#This Row],[Importe]]-Tabla18[[#This Row],[Pagado]]</f>
        <v>0</v>
      </c>
      <c r="H2644" s="75" t="s">
        <v>10</v>
      </c>
    </row>
    <row r="2645" spans="1:8" x14ac:dyDescent="0.25">
      <c r="A2645" s="148">
        <v>44767</v>
      </c>
      <c r="B2645" s="149" t="s">
        <v>24012</v>
      </c>
      <c r="C2645" s="153" t="s">
        <v>67</v>
      </c>
      <c r="D2645" s="154">
        <v>2520</v>
      </c>
      <c r="E2645" s="155">
        <v>44767</v>
      </c>
      <c r="F2645" s="154">
        <v>2520</v>
      </c>
      <c r="G2645" s="156">
        <f>Tabla18[[#This Row],[Importe]]-Tabla18[[#This Row],[Pagado]]</f>
        <v>0</v>
      </c>
      <c r="H2645" s="153" t="s">
        <v>10</v>
      </c>
    </row>
    <row r="2646" spans="1:8" x14ac:dyDescent="0.25">
      <c r="A2646" s="73">
        <v>44767</v>
      </c>
      <c r="B2646" s="74" t="s">
        <v>24013</v>
      </c>
      <c r="C2646" s="75" t="s">
        <v>31</v>
      </c>
      <c r="D2646" s="81">
        <v>741</v>
      </c>
      <c r="E2646" s="151">
        <v>44767</v>
      </c>
      <c r="F2646" s="81">
        <v>741</v>
      </c>
      <c r="G2646" s="156">
        <f>Tabla18[[#This Row],[Importe]]-Tabla18[[#This Row],[Pagado]]</f>
        <v>0</v>
      </c>
      <c r="H2646" s="75" t="s">
        <v>10</v>
      </c>
    </row>
    <row r="2647" spans="1:8" x14ac:dyDescent="0.25">
      <c r="A2647" s="148">
        <v>44767</v>
      </c>
      <c r="B2647" s="149" t="s">
        <v>24014</v>
      </c>
      <c r="C2647" s="153" t="s">
        <v>244</v>
      </c>
      <c r="D2647" s="154">
        <v>1156</v>
      </c>
      <c r="E2647" s="155">
        <v>44767</v>
      </c>
      <c r="F2647" s="154">
        <v>1156</v>
      </c>
      <c r="G2647" s="156">
        <f>Tabla18[[#This Row],[Importe]]-Tabla18[[#This Row],[Pagado]]</f>
        <v>0</v>
      </c>
      <c r="H2647" s="153" t="s">
        <v>10</v>
      </c>
    </row>
    <row r="2648" spans="1:8" x14ac:dyDescent="0.25">
      <c r="A2648" s="73">
        <v>44767</v>
      </c>
      <c r="B2648" s="74" t="s">
        <v>24015</v>
      </c>
      <c r="C2648" s="75" t="s">
        <v>214</v>
      </c>
      <c r="D2648" s="81">
        <v>1453.2</v>
      </c>
      <c r="E2648" s="151">
        <v>44767</v>
      </c>
      <c r="F2648" s="81">
        <v>1453.2</v>
      </c>
      <c r="G2648" s="156">
        <f>Tabla18[[#This Row],[Importe]]-Tabla18[[#This Row],[Pagado]]</f>
        <v>0</v>
      </c>
      <c r="H2648" s="75" t="s">
        <v>10</v>
      </c>
    </row>
    <row r="2649" spans="1:8" x14ac:dyDescent="0.25">
      <c r="A2649" s="148">
        <v>44767</v>
      </c>
      <c r="B2649" s="149" t="s">
        <v>24016</v>
      </c>
      <c r="C2649" s="153" t="s">
        <v>10819</v>
      </c>
      <c r="D2649" s="154">
        <v>870.4</v>
      </c>
      <c r="E2649" s="155">
        <v>44768</v>
      </c>
      <c r="F2649" s="154">
        <v>870.4</v>
      </c>
      <c r="G2649" s="156">
        <f>Tabla18[[#This Row],[Importe]]-Tabla18[[#This Row],[Pagado]]</f>
        <v>0</v>
      </c>
      <c r="H2649" s="153" t="s">
        <v>10</v>
      </c>
    </row>
    <row r="2650" spans="1:8" x14ac:dyDescent="0.25">
      <c r="A2650" s="73">
        <v>44767</v>
      </c>
      <c r="B2650" s="74" t="s">
        <v>24017</v>
      </c>
      <c r="C2650" s="75" t="s">
        <v>282</v>
      </c>
      <c r="D2650" s="81">
        <v>2562</v>
      </c>
      <c r="E2650" s="151">
        <v>44768</v>
      </c>
      <c r="F2650" s="81">
        <v>2562</v>
      </c>
      <c r="G2650" s="156">
        <f>Tabla18[[#This Row],[Importe]]-Tabla18[[#This Row],[Pagado]]</f>
        <v>0</v>
      </c>
      <c r="H2650" s="75" t="s">
        <v>10</v>
      </c>
    </row>
    <row r="2651" spans="1:8" x14ac:dyDescent="0.25">
      <c r="A2651" s="148">
        <v>44767</v>
      </c>
      <c r="B2651" s="149" t="s">
        <v>24018</v>
      </c>
      <c r="C2651" s="153" t="s">
        <v>284</v>
      </c>
      <c r="D2651" s="154">
        <v>4309.2</v>
      </c>
      <c r="E2651" s="155">
        <v>44768</v>
      </c>
      <c r="F2651" s="154">
        <v>4309.2</v>
      </c>
      <c r="G2651" s="156">
        <f>Tabla18[[#This Row],[Importe]]-Tabla18[[#This Row],[Pagado]]</f>
        <v>0</v>
      </c>
      <c r="H2651" s="153" t="s">
        <v>10</v>
      </c>
    </row>
    <row r="2652" spans="1:8" x14ac:dyDescent="0.25">
      <c r="A2652" s="73">
        <v>44767</v>
      </c>
      <c r="B2652" s="74" t="s">
        <v>24019</v>
      </c>
      <c r="C2652" s="75" t="s">
        <v>280</v>
      </c>
      <c r="D2652" s="81">
        <v>806.4</v>
      </c>
      <c r="E2652" s="151">
        <v>44768</v>
      </c>
      <c r="F2652" s="81">
        <v>806.4</v>
      </c>
      <c r="G2652" s="156">
        <f>Tabla18[[#This Row],[Importe]]-Tabla18[[#This Row],[Pagado]]</f>
        <v>0</v>
      </c>
      <c r="H2652" s="75" t="s">
        <v>10</v>
      </c>
    </row>
    <row r="2653" spans="1:8" x14ac:dyDescent="0.25">
      <c r="A2653" s="148">
        <v>44767</v>
      </c>
      <c r="B2653" s="149" t="s">
        <v>24020</v>
      </c>
      <c r="C2653" s="153" t="s">
        <v>22</v>
      </c>
      <c r="D2653" s="154">
        <v>5379</v>
      </c>
      <c r="E2653" s="155">
        <v>44768</v>
      </c>
      <c r="F2653" s="154">
        <v>5379</v>
      </c>
      <c r="G2653" s="156">
        <f>Tabla18[[#This Row],[Importe]]-Tabla18[[#This Row],[Pagado]]</f>
        <v>0</v>
      </c>
      <c r="H2653" s="153" t="s">
        <v>10</v>
      </c>
    </row>
    <row r="2654" spans="1:8" x14ac:dyDescent="0.25">
      <c r="A2654" s="73">
        <v>44767</v>
      </c>
      <c r="B2654" s="74" t="s">
        <v>24021</v>
      </c>
      <c r="C2654" s="75" t="s">
        <v>440</v>
      </c>
      <c r="D2654" s="81">
        <v>5524.44</v>
      </c>
      <c r="E2654" s="151">
        <v>44791</v>
      </c>
      <c r="F2654" s="81">
        <v>5524.44</v>
      </c>
      <c r="G2654" s="156">
        <f>Tabla18[[#This Row],[Importe]]-Tabla18[[#This Row],[Pagado]]</f>
        <v>0</v>
      </c>
      <c r="H2654" s="75" t="s">
        <v>10</v>
      </c>
    </row>
    <row r="2655" spans="1:8" x14ac:dyDescent="0.25">
      <c r="A2655" s="148">
        <v>44767</v>
      </c>
      <c r="B2655" s="149" t="s">
        <v>24022</v>
      </c>
      <c r="C2655" s="153" t="s">
        <v>301</v>
      </c>
      <c r="D2655" s="154">
        <v>24846</v>
      </c>
      <c r="E2655" s="155">
        <v>44767</v>
      </c>
      <c r="F2655" s="154">
        <v>24846</v>
      </c>
      <c r="G2655" s="156">
        <f>Tabla18[[#This Row],[Importe]]-Tabla18[[#This Row],[Pagado]]</f>
        <v>0</v>
      </c>
      <c r="H2655" s="153" t="s">
        <v>10</v>
      </c>
    </row>
    <row r="2656" spans="1:8" x14ac:dyDescent="0.25">
      <c r="A2656" s="73">
        <v>44767</v>
      </c>
      <c r="B2656" s="74" t="s">
        <v>24023</v>
      </c>
      <c r="C2656" s="75" t="s">
        <v>301</v>
      </c>
      <c r="D2656" s="81">
        <v>304</v>
      </c>
      <c r="E2656" s="151">
        <v>44767</v>
      </c>
      <c r="F2656" s="81">
        <v>304</v>
      </c>
      <c r="G2656" s="156">
        <f>Tabla18[[#This Row],[Importe]]-Tabla18[[#This Row],[Pagado]]</f>
        <v>0</v>
      </c>
      <c r="H2656" s="75" t="s">
        <v>10</v>
      </c>
    </row>
    <row r="2657" spans="1:8" x14ac:dyDescent="0.25">
      <c r="A2657" s="148">
        <v>44767</v>
      </c>
      <c r="B2657" s="149" t="s">
        <v>24024</v>
      </c>
      <c r="C2657" s="153" t="s">
        <v>53</v>
      </c>
      <c r="D2657" s="154">
        <v>2271.9</v>
      </c>
      <c r="E2657" s="155">
        <v>44767</v>
      </c>
      <c r="F2657" s="154">
        <v>2271.9</v>
      </c>
      <c r="G2657" s="156">
        <f>Tabla18[[#This Row],[Importe]]-Tabla18[[#This Row],[Pagado]]</f>
        <v>0</v>
      </c>
      <c r="H2657" s="153" t="s">
        <v>10</v>
      </c>
    </row>
    <row r="2658" spans="1:8" x14ac:dyDescent="0.25">
      <c r="A2658" s="73">
        <v>44767</v>
      </c>
      <c r="B2658" s="74" t="s">
        <v>24025</v>
      </c>
      <c r="C2658" s="75" t="s">
        <v>51</v>
      </c>
      <c r="D2658" s="81">
        <v>646</v>
      </c>
      <c r="E2658" s="151">
        <v>44767</v>
      </c>
      <c r="F2658" s="81">
        <v>646</v>
      </c>
      <c r="G2658" s="156">
        <f>Tabla18[[#This Row],[Importe]]-Tabla18[[#This Row],[Pagado]]</f>
        <v>0</v>
      </c>
      <c r="H2658" s="75" t="s">
        <v>10</v>
      </c>
    </row>
    <row r="2659" spans="1:8" x14ac:dyDescent="0.25">
      <c r="A2659" s="148">
        <v>44767</v>
      </c>
      <c r="B2659" s="149" t="s">
        <v>24026</v>
      </c>
      <c r="C2659" s="153" t="s">
        <v>10678</v>
      </c>
      <c r="D2659" s="154">
        <v>2747</v>
      </c>
      <c r="E2659" s="155">
        <v>44767</v>
      </c>
      <c r="F2659" s="154">
        <v>2747</v>
      </c>
      <c r="G2659" s="156">
        <f>Tabla18[[#This Row],[Importe]]-Tabla18[[#This Row],[Pagado]]</f>
        <v>0</v>
      </c>
      <c r="H2659" s="153" t="s">
        <v>10</v>
      </c>
    </row>
    <row r="2660" spans="1:8" x14ac:dyDescent="0.25">
      <c r="A2660" s="73">
        <v>44767</v>
      </c>
      <c r="B2660" s="74" t="s">
        <v>24027</v>
      </c>
      <c r="C2660" s="75" t="s">
        <v>1339</v>
      </c>
      <c r="D2660" s="81">
        <v>5053.5</v>
      </c>
      <c r="E2660" s="151">
        <v>44782</v>
      </c>
      <c r="F2660" s="81">
        <v>5053.5</v>
      </c>
      <c r="G2660" s="156">
        <f>Tabla18[[#This Row],[Importe]]-Tabla18[[#This Row],[Pagado]]</f>
        <v>0</v>
      </c>
      <c r="H2660" s="75" t="s">
        <v>10</v>
      </c>
    </row>
    <row r="2661" spans="1:8" x14ac:dyDescent="0.25">
      <c r="A2661" s="148">
        <v>44767</v>
      </c>
      <c r="B2661" s="149" t="s">
        <v>24028</v>
      </c>
      <c r="C2661" s="153" t="s">
        <v>296</v>
      </c>
      <c r="D2661" s="154">
        <v>2307.6</v>
      </c>
      <c r="E2661" s="155">
        <v>44767</v>
      </c>
      <c r="F2661" s="154">
        <v>2307.6</v>
      </c>
      <c r="G2661" s="156">
        <f>Tabla18[[#This Row],[Importe]]-Tabla18[[#This Row],[Pagado]]</f>
        <v>0</v>
      </c>
      <c r="H2661" s="153" t="s">
        <v>10</v>
      </c>
    </row>
    <row r="2662" spans="1:8" x14ac:dyDescent="0.25">
      <c r="A2662" s="73">
        <v>44767</v>
      </c>
      <c r="B2662" s="74" t="s">
        <v>24029</v>
      </c>
      <c r="C2662" s="75" t="s">
        <v>371</v>
      </c>
      <c r="D2662" s="81">
        <v>16512</v>
      </c>
      <c r="E2662" s="151">
        <v>44767</v>
      </c>
      <c r="F2662" s="81">
        <v>16512</v>
      </c>
      <c r="G2662" s="156">
        <f>Tabla18[[#This Row],[Importe]]-Tabla18[[#This Row],[Pagado]]</f>
        <v>0</v>
      </c>
      <c r="H2662" s="75" t="s">
        <v>10</v>
      </c>
    </row>
    <row r="2663" spans="1:8" x14ac:dyDescent="0.25">
      <c r="A2663" s="148">
        <v>44767</v>
      </c>
      <c r="B2663" s="149" t="s">
        <v>24030</v>
      </c>
      <c r="C2663" s="153" t="s">
        <v>994</v>
      </c>
      <c r="D2663" s="154">
        <v>1276.8</v>
      </c>
      <c r="E2663" s="155">
        <v>44767</v>
      </c>
      <c r="F2663" s="154">
        <v>1276.8</v>
      </c>
      <c r="G2663" s="156">
        <f>Tabla18[[#This Row],[Importe]]-Tabla18[[#This Row],[Pagado]]</f>
        <v>0</v>
      </c>
      <c r="H2663" s="153" t="s">
        <v>10</v>
      </c>
    </row>
    <row r="2664" spans="1:8" x14ac:dyDescent="0.25">
      <c r="A2664" s="73">
        <v>44767</v>
      </c>
      <c r="B2664" s="74" t="s">
        <v>24031</v>
      </c>
      <c r="C2664" s="75" t="s">
        <v>10840</v>
      </c>
      <c r="D2664" s="81">
        <v>33167.199999999997</v>
      </c>
      <c r="E2664" s="151">
        <v>44774</v>
      </c>
      <c r="F2664" s="81">
        <v>33167.199999999997</v>
      </c>
      <c r="G2664" s="156">
        <f>Tabla18[[#This Row],[Importe]]-Tabla18[[#This Row],[Pagado]]</f>
        <v>0</v>
      </c>
      <c r="H2664" s="75" t="s">
        <v>10</v>
      </c>
    </row>
    <row r="2665" spans="1:8" x14ac:dyDescent="0.25">
      <c r="A2665" s="148">
        <v>44767</v>
      </c>
      <c r="B2665" s="149" t="s">
        <v>24032</v>
      </c>
      <c r="C2665" s="153" t="s">
        <v>179</v>
      </c>
      <c r="D2665" s="154">
        <v>1520.4</v>
      </c>
      <c r="E2665" s="155">
        <v>44768</v>
      </c>
      <c r="F2665" s="154">
        <v>1520.4</v>
      </c>
      <c r="G2665" s="156">
        <f>Tabla18[[#This Row],[Importe]]-Tabla18[[#This Row],[Pagado]]</f>
        <v>0</v>
      </c>
      <c r="H2665" s="153" t="s">
        <v>10</v>
      </c>
    </row>
    <row r="2666" spans="1:8" x14ac:dyDescent="0.25">
      <c r="A2666" s="73">
        <v>44767</v>
      </c>
      <c r="B2666" s="74" t="s">
        <v>24033</v>
      </c>
      <c r="C2666" s="75" t="s">
        <v>31</v>
      </c>
      <c r="D2666" s="81">
        <v>273</v>
      </c>
      <c r="E2666" s="151">
        <v>44767</v>
      </c>
      <c r="F2666" s="81">
        <v>273</v>
      </c>
      <c r="G2666" s="156">
        <f>Tabla18[[#This Row],[Importe]]-Tabla18[[#This Row],[Pagado]]</f>
        <v>0</v>
      </c>
      <c r="H2666" s="75" t="s">
        <v>10</v>
      </c>
    </row>
    <row r="2667" spans="1:8" x14ac:dyDescent="0.25">
      <c r="A2667" s="148">
        <v>44767</v>
      </c>
      <c r="B2667" s="149" t="s">
        <v>24034</v>
      </c>
      <c r="C2667" s="153" t="s">
        <v>6273</v>
      </c>
      <c r="D2667" s="154">
        <v>3120</v>
      </c>
      <c r="E2667" s="155">
        <v>44791</v>
      </c>
      <c r="F2667" s="154">
        <v>3120</v>
      </c>
      <c r="G2667" s="156">
        <f>Tabla18[[#This Row],[Importe]]-Tabla18[[#This Row],[Pagado]]</f>
        <v>0</v>
      </c>
      <c r="H2667" s="153" t="s">
        <v>10</v>
      </c>
    </row>
    <row r="2668" spans="1:8" x14ac:dyDescent="0.25">
      <c r="A2668" s="73">
        <v>44767</v>
      </c>
      <c r="B2668" s="74" t="s">
        <v>24035</v>
      </c>
      <c r="C2668" s="75" t="s">
        <v>31</v>
      </c>
      <c r="D2668" s="81">
        <v>270</v>
      </c>
      <c r="E2668" s="151">
        <v>44767</v>
      </c>
      <c r="F2668" s="81">
        <v>270</v>
      </c>
      <c r="G2668" s="156">
        <f>Tabla18[[#This Row],[Importe]]-Tabla18[[#This Row],[Pagado]]</f>
        <v>0</v>
      </c>
      <c r="H2668" s="75" t="s">
        <v>10</v>
      </c>
    </row>
    <row r="2669" spans="1:8" x14ac:dyDescent="0.25">
      <c r="A2669" s="148">
        <v>44768</v>
      </c>
      <c r="B2669" s="149" t="s">
        <v>24036</v>
      </c>
      <c r="C2669" s="153" t="s">
        <v>473</v>
      </c>
      <c r="D2669" s="154">
        <v>3470.6</v>
      </c>
      <c r="E2669" s="155">
        <v>44768</v>
      </c>
      <c r="F2669" s="154">
        <v>3470.6</v>
      </c>
      <c r="G2669" s="156">
        <f>Tabla18[[#This Row],[Importe]]-Tabla18[[#This Row],[Pagado]]</f>
        <v>0</v>
      </c>
      <c r="H2669" s="153" t="s">
        <v>10</v>
      </c>
    </row>
    <row r="2670" spans="1:8" x14ac:dyDescent="0.25">
      <c r="A2670" s="73">
        <v>44768</v>
      </c>
      <c r="B2670" s="74" t="s">
        <v>24037</v>
      </c>
      <c r="C2670" s="75" t="s">
        <v>75</v>
      </c>
      <c r="D2670" s="81">
        <v>7774.4</v>
      </c>
      <c r="E2670" s="151">
        <v>44768</v>
      </c>
      <c r="F2670" s="81">
        <v>7774.4</v>
      </c>
      <c r="G2670" s="156">
        <f>Tabla18[[#This Row],[Importe]]-Tabla18[[#This Row],[Pagado]]</f>
        <v>0</v>
      </c>
      <c r="H2670" s="75" t="s">
        <v>10</v>
      </c>
    </row>
    <row r="2671" spans="1:8" x14ac:dyDescent="0.25">
      <c r="A2671" s="148">
        <v>44768</v>
      </c>
      <c r="B2671" s="149" t="s">
        <v>24038</v>
      </c>
      <c r="C2671" s="153" t="s">
        <v>326</v>
      </c>
      <c r="D2671" s="154">
        <v>5471.4</v>
      </c>
      <c r="E2671" s="155">
        <v>44769</v>
      </c>
      <c r="F2671" s="154">
        <v>5471.4</v>
      </c>
      <c r="G2671" s="156">
        <f>Tabla18[[#This Row],[Importe]]-Tabla18[[#This Row],[Pagado]]</f>
        <v>0</v>
      </c>
      <c r="H2671" s="153" t="s">
        <v>10</v>
      </c>
    </row>
    <row r="2672" spans="1:8" x14ac:dyDescent="0.25">
      <c r="A2672" s="73">
        <v>44768</v>
      </c>
      <c r="B2672" s="74" t="s">
        <v>24039</v>
      </c>
      <c r="C2672" s="75" t="s">
        <v>89</v>
      </c>
      <c r="D2672" s="81">
        <v>5572.8</v>
      </c>
      <c r="E2672" s="151">
        <v>44769</v>
      </c>
      <c r="F2672" s="81">
        <v>5572.8</v>
      </c>
      <c r="G2672" s="156">
        <f>Tabla18[[#This Row],[Importe]]-Tabla18[[#This Row],[Pagado]]</f>
        <v>0</v>
      </c>
      <c r="H2672" s="75" t="s">
        <v>10</v>
      </c>
    </row>
    <row r="2673" spans="1:8" x14ac:dyDescent="0.25">
      <c r="A2673" s="148">
        <v>44768</v>
      </c>
      <c r="B2673" s="149" t="s">
        <v>24040</v>
      </c>
      <c r="C2673" s="153" t="s">
        <v>99</v>
      </c>
      <c r="D2673" s="154">
        <v>3801.6</v>
      </c>
      <c r="E2673" s="155">
        <v>44769</v>
      </c>
      <c r="F2673" s="154">
        <v>3801.6</v>
      </c>
      <c r="G2673" s="156">
        <f>Tabla18[[#This Row],[Importe]]-Tabla18[[#This Row],[Pagado]]</f>
        <v>0</v>
      </c>
      <c r="H2673" s="153" t="s">
        <v>10</v>
      </c>
    </row>
    <row r="2674" spans="1:8" x14ac:dyDescent="0.25">
      <c r="A2674" s="73">
        <v>44768</v>
      </c>
      <c r="B2674" s="74" t="s">
        <v>24041</v>
      </c>
      <c r="C2674" s="75" t="s">
        <v>64</v>
      </c>
      <c r="D2674" s="81">
        <v>5365.8</v>
      </c>
      <c r="E2674" s="151">
        <v>44769</v>
      </c>
      <c r="F2674" s="81">
        <v>5365.8</v>
      </c>
      <c r="G2674" s="156">
        <f>Tabla18[[#This Row],[Importe]]-Tabla18[[#This Row],[Pagado]]</f>
        <v>0</v>
      </c>
      <c r="H2674" s="75" t="s">
        <v>10</v>
      </c>
    </row>
    <row r="2675" spans="1:8" x14ac:dyDescent="0.25">
      <c r="A2675" s="148">
        <v>44768</v>
      </c>
      <c r="B2675" s="149" t="s">
        <v>24042</v>
      </c>
      <c r="C2675" s="153" t="s">
        <v>114</v>
      </c>
      <c r="D2675" s="154">
        <v>5497.6</v>
      </c>
      <c r="E2675" s="155">
        <v>44770</v>
      </c>
      <c r="F2675" s="154">
        <v>5497.6</v>
      </c>
      <c r="G2675" s="156">
        <f>Tabla18[[#This Row],[Importe]]-Tabla18[[#This Row],[Pagado]]</f>
        <v>0</v>
      </c>
      <c r="H2675" s="153" t="s">
        <v>10</v>
      </c>
    </row>
    <row r="2676" spans="1:8" x14ac:dyDescent="0.25">
      <c r="A2676" s="73">
        <v>44768</v>
      </c>
      <c r="B2676" s="74" t="s">
        <v>24043</v>
      </c>
      <c r="C2676" s="75" t="s">
        <v>348</v>
      </c>
      <c r="D2676" s="81">
        <v>2323.1999999999998</v>
      </c>
      <c r="E2676" s="151">
        <v>44768</v>
      </c>
      <c r="F2676" s="81">
        <v>2323.1999999999998</v>
      </c>
      <c r="G2676" s="156">
        <f>Tabla18[[#This Row],[Importe]]-Tabla18[[#This Row],[Pagado]]</f>
        <v>0</v>
      </c>
      <c r="H2676" s="75" t="s">
        <v>10</v>
      </c>
    </row>
    <row r="2677" spans="1:8" x14ac:dyDescent="0.25">
      <c r="A2677" s="148">
        <v>44768</v>
      </c>
      <c r="B2677" s="149" t="s">
        <v>24044</v>
      </c>
      <c r="C2677" s="153" t="s">
        <v>2563</v>
      </c>
      <c r="D2677" s="154">
        <v>5299.8</v>
      </c>
      <c r="E2677" s="155">
        <v>44769</v>
      </c>
      <c r="F2677" s="154">
        <v>5299.8</v>
      </c>
      <c r="G2677" s="156">
        <f>Tabla18[[#This Row],[Importe]]-Tabla18[[#This Row],[Pagado]]</f>
        <v>0</v>
      </c>
      <c r="H2677" s="153" t="s">
        <v>10</v>
      </c>
    </row>
    <row r="2678" spans="1:8" x14ac:dyDescent="0.25">
      <c r="A2678" s="73">
        <v>44768</v>
      </c>
      <c r="B2678" s="74" t="s">
        <v>24045</v>
      </c>
      <c r="C2678" s="75" t="s">
        <v>2151</v>
      </c>
      <c r="D2678" s="81">
        <v>16222.8</v>
      </c>
      <c r="E2678" s="151">
        <v>44768</v>
      </c>
      <c r="F2678" s="81">
        <v>16222.8</v>
      </c>
      <c r="G2678" s="156">
        <f>Tabla18[[#This Row],[Importe]]-Tabla18[[#This Row],[Pagado]]</f>
        <v>0</v>
      </c>
      <c r="H2678" s="75" t="s">
        <v>10</v>
      </c>
    </row>
    <row r="2679" spans="1:8" x14ac:dyDescent="0.25">
      <c r="A2679" s="148">
        <v>44768</v>
      </c>
      <c r="B2679" s="149" t="s">
        <v>24046</v>
      </c>
      <c r="C2679" s="153" t="s">
        <v>105</v>
      </c>
      <c r="D2679" s="154">
        <v>6441.4</v>
      </c>
      <c r="E2679" s="155">
        <v>44769</v>
      </c>
      <c r="F2679" s="154">
        <v>6441.4</v>
      </c>
      <c r="G2679" s="156">
        <f>Tabla18[[#This Row],[Importe]]-Tabla18[[#This Row],[Pagado]]</f>
        <v>0</v>
      </c>
      <c r="H2679" s="153" t="s">
        <v>10</v>
      </c>
    </row>
    <row r="2680" spans="1:8" x14ac:dyDescent="0.25">
      <c r="A2680" s="73">
        <v>44768</v>
      </c>
      <c r="B2680" s="74" t="s">
        <v>24047</v>
      </c>
      <c r="C2680" s="75" t="s">
        <v>111</v>
      </c>
      <c r="D2680" s="81">
        <v>5798.4</v>
      </c>
      <c r="E2680" s="151">
        <v>44770</v>
      </c>
      <c r="F2680" s="81">
        <v>5798.4</v>
      </c>
      <c r="G2680" s="156">
        <f>Tabla18[[#This Row],[Importe]]-Tabla18[[#This Row],[Pagado]]</f>
        <v>0</v>
      </c>
      <c r="H2680" s="75" t="s">
        <v>10</v>
      </c>
    </row>
    <row r="2681" spans="1:8" x14ac:dyDescent="0.25">
      <c r="A2681" s="148">
        <v>44768</v>
      </c>
      <c r="B2681" s="149" t="s">
        <v>24048</v>
      </c>
      <c r="C2681" s="153" t="s">
        <v>353</v>
      </c>
      <c r="D2681" s="154">
        <v>704.7</v>
      </c>
      <c r="E2681" s="155">
        <v>44768</v>
      </c>
      <c r="F2681" s="154">
        <v>704.7</v>
      </c>
      <c r="G2681" s="156">
        <f>Tabla18[[#This Row],[Importe]]-Tabla18[[#This Row],[Pagado]]</f>
        <v>0</v>
      </c>
      <c r="H2681" s="153" t="s">
        <v>10</v>
      </c>
    </row>
    <row r="2682" spans="1:8" x14ac:dyDescent="0.25">
      <c r="A2682" s="73">
        <v>44768</v>
      </c>
      <c r="B2682" s="74" t="s">
        <v>24049</v>
      </c>
      <c r="C2682" s="75" t="s">
        <v>314</v>
      </c>
      <c r="D2682" s="81">
        <v>3766.8</v>
      </c>
      <c r="E2682" s="151">
        <v>44768</v>
      </c>
      <c r="F2682" s="81">
        <v>3766.8</v>
      </c>
      <c r="G2682" s="156">
        <f>Tabla18[[#This Row],[Importe]]-Tabla18[[#This Row],[Pagado]]</f>
        <v>0</v>
      </c>
      <c r="H2682" s="75" t="s">
        <v>10</v>
      </c>
    </row>
    <row r="2683" spans="1:8" x14ac:dyDescent="0.25">
      <c r="A2683" s="148">
        <v>44768</v>
      </c>
      <c r="B2683" s="149" t="s">
        <v>24050</v>
      </c>
      <c r="C2683" s="153" t="s">
        <v>83</v>
      </c>
      <c r="D2683" s="154">
        <v>6023.8</v>
      </c>
      <c r="E2683" s="155">
        <v>44768</v>
      </c>
      <c r="F2683" s="154">
        <v>6023.8</v>
      </c>
      <c r="G2683" s="156">
        <f>Tabla18[[#This Row],[Importe]]-Tabla18[[#This Row],[Pagado]]</f>
        <v>0</v>
      </c>
      <c r="H2683" s="153" t="s">
        <v>10</v>
      </c>
    </row>
    <row r="2684" spans="1:8" x14ac:dyDescent="0.25">
      <c r="A2684" s="73">
        <v>44768</v>
      </c>
      <c r="B2684" s="74" t="s">
        <v>24051</v>
      </c>
      <c r="C2684" s="75" t="s">
        <v>31</v>
      </c>
      <c r="D2684" s="81">
        <v>4951.3</v>
      </c>
      <c r="E2684" s="151">
        <v>44768</v>
      </c>
      <c r="F2684" s="81">
        <v>4951.3</v>
      </c>
      <c r="G2684" s="156">
        <f>Tabla18[[#This Row],[Importe]]-Tabla18[[#This Row],[Pagado]]</f>
        <v>0</v>
      </c>
      <c r="H2684" s="75" t="s">
        <v>10</v>
      </c>
    </row>
    <row r="2685" spans="1:8" x14ac:dyDescent="0.25">
      <c r="A2685" s="148">
        <v>44768</v>
      </c>
      <c r="B2685" s="149" t="s">
        <v>24052</v>
      </c>
      <c r="C2685" s="153" t="s">
        <v>93</v>
      </c>
      <c r="D2685" s="154">
        <v>8721.4</v>
      </c>
      <c r="E2685" s="155">
        <v>44770</v>
      </c>
      <c r="F2685" s="154">
        <v>8721.4</v>
      </c>
      <c r="G2685" s="156">
        <f>Tabla18[[#This Row],[Importe]]-Tabla18[[#This Row],[Pagado]]</f>
        <v>0</v>
      </c>
      <c r="H2685" s="153" t="s">
        <v>10</v>
      </c>
    </row>
    <row r="2686" spans="1:8" x14ac:dyDescent="0.25">
      <c r="A2686" s="73">
        <v>44768</v>
      </c>
      <c r="B2686" s="74" t="s">
        <v>24053</v>
      </c>
      <c r="C2686" s="75" t="s">
        <v>135</v>
      </c>
      <c r="D2686" s="81">
        <v>2886.9</v>
      </c>
      <c r="E2686" s="151">
        <v>44768</v>
      </c>
      <c r="F2686" s="81">
        <v>2886.9</v>
      </c>
      <c r="G2686" s="156">
        <f>Tabla18[[#This Row],[Importe]]-Tabla18[[#This Row],[Pagado]]</f>
        <v>0</v>
      </c>
      <c r="H2686" s="75" t="s">
        <v>10</v>
      </c>
    </row>
    <row r="2687" spans="1:8" x14ac:dyDescent="0.25">
      <c r="A2687" s="148">
        <v>44768</v>
      </c>
      <c r="B2687" s="149" t="s">
        <v>24054</v>
      </c>
      <c r="C2687" s="153" t="s">
        <v>9</v>
      </c>
      <c r="D2687" s="154">
        <v>6777.9</v>
      </c>
      <c r="E2687" s="155">
        <v>44768</v>
      </c>
      <c r="F2687" s="154">
        <v>6777.9</v>
      </c>
      <c r="G2687" s="156">
        <f>Tabla18[[#This Row],[Importe]]-Tabla18[[#This Row],[Pagado]]</f>
        <v>0</v>
      </c>
      <c r="H2687" s="153" t="s">
        <v>10</v>
      </c>
    </row>
    <row r="2688" spans="1:8" ht="31.5" x14ac:dyDescent="0.25">
      <c r="A2688" s="73">
        <v>44768</v>
      </c>
      <c r="B2688" s="74" t="s">
        <v>24055</v>
      </c>
      <c r="C2688" s="75" t="s">
        <v>22</v>
      </c>
      <c r="D2688" s="81">
        <v>37290</v>
      </c>
      <c r="E2688" s="147" t="s">
        <v>24056</v>
      </c>
      <c r="F2688" s="81">
        <f>24000+13290</f>
        <v>37290</v>
      </c>
      <c r="G2688" s="156">
        <f>Tabla18[[#This Row],[Importe]]-Tabla18[[#This Row],[Pagado]]</f>
        <v>0</v>
      </c>
      <c r="H2688" s="75" t="s">
        <v>10</v>
      </c>
    </row>
    <row r="2689" spans="1:8" x14ac:dyDescent="0.25">
      <c r="A2689" s="148">
        <v>44768</v>
      </c>
      <c r="B2689" s="149" t="s">
        <v>24057</v>
      </c>
      <c r="C2689" s="153" t="s">
        <v>16</v>
      </c>
      <c r="D2689" s="154">
        <v>6769.1</v>
      </c>
      <c r="E2689" s="155">
        <v>44768</v>
      </c>
      <c r="F2689" s="154">
        <v>6769.1</v>
      </c>
      <c r="G2689" s="156">
        <f>Tabla18[[#This Row],[Importe]]-Tabla18[[#This Row],[Pagado]]</f>
        <v>0</v>
      </c>
      <c r="H2689" s="153" t="s">
        <v>10</v>
      </c>
    </row>
    <row r="2690" spans="1:8" x14ac:dyDescent="0.25">
      <c r="A2690" s="73">
        <v>44768</v>
      </c>
      <c r="B2690" s="74" t="s">
        <v>24058</v>
      </c>
      <c r="C2690" s="75" t="s">
        <v>11033</v>
      </c>
      <c r="D2690" s="81">
        <v>1730.1</v>
      </c>
      <c r="E2690" s="151">
        <v>44768</v>
      </c>
      <c r="F2690" s="81">
        <v>1730.1</v>
      </c>
      <c r="G2690" s="156">
        <f>Tabla18[[#This Row],[Importe]]-Tabla18[[#This Row],[Pagado]]</f>
        <v>0</v>
      </c>
      <c r="H2690" s="75" t="s">
        <v>10</v>
      </c>
    </row>
    <row r="2691" spans="1:8" x14ac:dyDescent="0.25">
      <c r="A2691" s="148">
        <v>44768</v>
      </c>
      <c r="B2691" s="149" t="s">
        <v>24059</v>
      </c>
      <c r="C2691" s="153" t="s">
        <v>466</v>
      </c>
      <c r="D2691" s="154">
        <v>9360</v>
      </c>
      <c r="E2691" s="155">
        <v>44768</v>
      </c>
      <c r="F2691" s="154">
        <v>9360</v>
      </c>
      <c r="G2691" s="156">
        <f>Tabla18[[#This Row],[Importe]]-Tabla18[[#This Row],[Pagado]]</f>
        <v>0</v>
      </c>
      <c r="H2691" s="153" t="s">
        <v>10</v>
      </c>
    </row>
    <row r="2692" spans="1:8" x14ac:dyDescent="0.25">
      <c r="A2692" s="73">
        <v>44768</v>
      </c>
      <c r="B2692" s="74" t="s">
        <v>24060</v>
      </c>
      <c r="C2692" s="75" t="s">
        <v>1239</v>
      </c>
      <c r="D2692" s="81">
        <v>27725.599999999999</v>
      </c>
      <c r="E2692" s="151">
        <v>44768</v>
      </c>
      <c r="F2692" s="81">
        <v>27725.599999999999</v>
      </c>
      <c r="G2692" s="156">
        <f>Tabla18[[#This Row],[Importe]]-Tabla18[[#This Row],[Pagado]]</f>
        <v>0</v>
      </c>
      <c r="H2692" s="75" t="s">
        <v>10</v>
      </c>
    </row>
    <row r="2693" spans="1:8" x14ac:dyDescent="0.25">
      <c r="A2693" s="148">
        <v>44768</v>
      </c>
      <c r="B2693" s="149" t="s">
        <v>24061</v>
      </c>
      <c r="C2693" s="153" t="s">
        <v>62</v>
      </c>
      <c r="D2693" s="154">
        <v>3939</v>
      </c>
      <c r="E2693" s="155">
        <v>44768</v>
      </c>
      <c r="F2693" s="154">
        <v>3939</v>
      </c>
      <c r="G2693" s="156">
        <f>Tabla18[[#This Row],[Importe]]-Tabla18[[#This Row],[Pagado]]</f>
        <v>0</v>
      </c>
      <c r="H2693" s="153" t="s">
        <v>10</v>
      </c>
    </row>
    <row r="2694" spans="1:8" x14ac:dyDescent="0.25">
      <c r="A2694" s="73">
        <v>44768</v>
      </c>
      <c r="B2694" s="74" t="s">
        <v>24062</v>
      </c>
      <c r="C2694" s="75" t="s">
        <v>24</v>
      </c>
      <c r="D2694" s="81">
        <v>4296.3999999999996</v>
      </c>
      <c r="E2694" s="151">
        <v>44768</v>
      </c>
      <c r="F2694" s="81">
        <v>4296.3999999999996</v>
      </c>
      <c r="G2694" s="156">
        <f>Tabla18[[#This Row],[Importe]]-Tabla18[[#This Row],[Pagado]]</f>
        <v>0</v>
      </c>
      <c r="H2694" s="75" t="s">
        <v>10</v>
      </c>
    </row>
    <row r="2695" spans="1:8" x14ac:dyDescent="0.25">
      <c r="A2695" s="148">
        <v>44768</v>
      </c>
      <c r="B2695" s="149" t="s">
        <v>24063</v>
      </c>
      <c r="C2695" s="153" t="s">
        <v>45</v>
      </c>
      <c r="D2695" s="154">
        <v>9857.7999999999993</v>
      </c>
      <c r="E2695" s="155">
        <v>44768</v>
      </c>
      <c r="F2695" s="154">
        <v>9857.7999999999993</v>
      </c>
      <c r="G2695" s="156">
        <f>Tabla18[[#This Row],[Importe]]-Tabla18[[#This Row],[Pagado]]</f>
        <v>0</v>
      </c>
      <c r="H2695" s="153" t="s">
        <v>10</v>
      </c>
    </row>
    <row r="2696" spans="1:8" x14ac:dyDescent="0.25">
      <c r="A2696" s="73">
        <v>44768</v>
      </c>
      <c r="B2696" s="74" t="s">
        <v>24064</v>
      </c>
      <c r="C2696" s="75" t="s">
        <v>698</v>
      </c>
      <c r="D2696" s="81">
        <v>5773.2</v>
      </c>
      <c r="E2696" s="151">
        <v>44768</v>
      </c>
      <c r="F2696" s="81">
        <v>5773.2</v>
      </c>
      <c r="G2696" s="156">
        <f>Tabla18[[#This Row],[Importe]]-Tabla18[[#This Row],[Pagado]]</f>
        <v>0</v>
      </c>
      <c r="H2696" s="75" t="s">
        <v>10</v>
      </c>
    </row>
    <row r="2697" spans="1:8" x14ac:dyDescent="0.25">
      <c r="A2697" s="148">
        <v>44768</v>
      </c>
      <c r="B2697" s="149" t="s">
        <v>24065</v>
      </c>
      <c r="C2697" s="153" t="s">
        <v>22783</v>
      </c>
      <c r="D2697" s="154">
        <v>1976.7</v>
      </c>
      <c r="E2697" s="155">
        <v>44768</v>
      </c>
      <c r="F2697" s="154">
        <v>1976.7</v>
      </c>
      <c r="G2697" s="156">
        <f>Tabla18[[#This Row],[Importe]]-Tabla18[[#This Row],[Pagado]]</f>
        <v>0</v>
      </c>
      <c r="H2697" s="153" t="s">
        <v>10</v>
      </c>
    </row>
    <row r="2698" spans="1:8" x14ac:dyDescent="0.25">
      <c r="A2698" s="73">
        <v>44768</v>
      </c>
      <c r="B2698" s="74" t="s">
        <v>24066</v>
      </c>
      <c r="C2698" s="75" t="s">
        <v>31</v>
      </c>
      <c r="D2698" s="81">
        <v>2107</v>
      </c>
      <c r="E2698" s="151">
        <v>44768</v>
      </c>
      <c r="F2698" s="81">
        <v>2107</v>
      </c>
      <c r="G2698" s="156">
        <f>Tabla18[[#This Row],[Importe]]-Tabla18[[#This Row],[Pagado]]</f>
        <v>0</v>
      </c>
      <c r="H2698" s="75" t="s">
        <v>10</v>
      </c>
    </row>
    <row r="2699" spans="1:8" x14ac:dyDescent="0.25">
      <c r="A2699" s="148">
        <v>44768</v>
      </c>
      <c r="B2699" s="149" t="s">
        <v>24067</v>
      </c>
      <c r="C2699" s="153" t="s">
        <v>79</v>
      </c>
      <c r="D2699" s="154">
        <v>26512.2</v>
      </c>
      <c r="E2699" s="155">
        <v>44768</v>
      </c>
      <c r="F2699" s="154">
        <v>26512.2</v>
      </c>
      <c r="G2699" s="156">
        <f>Tabla18[[#This Row],[Importe]]-Tabla18[[#This Row],[Pagado]]</f>
        <v>0</v>
      </c>
      <c r="H2699" s="153" t="s">
        <v>10</v>
      </c>
    </row>
    <row r="2700" spans="1:8" x14ac:dyDescent="0.25">
      <c r="A2700" s="73">
        <v>44768</v>
      </c>
      <c r="B2700" s="74" t="s">
        <v>24068</v>
      </c>
      <c r="C2700" s="75" t="s">
        <v>312</v>
      </c>
      <c r="D2700" s="81">
        <v>5398.9</v>
      </c>
      <c r="E2700" s="151">
        <v>44768</v>
      </c>
      <c r="F2700" s="81">
        <v>5398.9</v>
      </c>
      <c r="G2700" s="156">
        <f>Tabla18[[#This Row],[Importe]]-Tabla18[[#This Row],[Pagado]]</f>
        <v>0</v>
      </c>
      <c r="H2700" s="75" t="s">
        <v>10</v>
      </c>
    </row>
    <row r="2701" spans="1:8" x14ac:dyDescent="0.25">
      <c r="A2701" s="148">
        <v>44768</v>
      </c>
      <c r="B2701" s="149" t="s">
        <v>24069</v>
      </c>
      <c r="C2701" s="153" t="s">
        <v>1350</v>
      </c>
      <c r="D2701" s="154">
        <v>1005.4</v>
      </c>
      <c r="E2701" s="155">
        <v>44768</v>
      </c>
      <c r="F2701" s="154">
        <v>1005.4</v>
      </c>
      <c r="G2701" s="156">
        <f>Tabla18[[#This Row],[Importe]]-Tabla18[[#This Row],[Pagado]]</f>
        <v>0</v>
      </c>
      <c r="H2701" s="153" t="s">
        <v>10</v>
      </c>
    </row>
    <row r="2702" spans="1:8" x14ac:dyDescent="0.25">
      <c r="A2702" s="73">
        <v>44768</v>
      </c>
      <c r="B2702" s="74" t="s">
        <v>24070</v>
      </c>
      <c r="C2702" s="75" t="s">
        <v>198</v>
      </c>
      <c r="D2702" s="81">
        <v>5226</v>
      </c>
      <c r="E2702" s="151">
        <v>44768</v>
      </c>
      <c r="F2702" s="81">
        <v>5226</v>
      </c>
      <c r="G2702" s="156">
        <f>Tabla18[[#This Row],[Importe]]-Tabla18[[#This Row],[Pagado]]</f>
        <v>0</v>
      </c>
      <c r="H2702" s="75" t="s">
        <v>10</v>
      </c>
    </row>
    <row r="2703" spans="1:8" x14ac:dyDescent="0.25">
      <c r="A2703" s="148">
        <v>44768</v>
      </c>
      <c r="B2703" s="149" t="s">
        <v>24071</v>
      </c>
      <c r="C2703" s="153" t="s">
        <v>359</v>
      </c>
      <c r="D2703" s="154">
        <v>1750.8</v>
      </c>
      <c r="E2703" s="155">
        <v>44768</v>
      </c>
      <c r="F2703" s="154">
        <v>1750.8</v>
      </c>
      <c r="G2703" s="156">
        <f>Tabla18[[#This Row],[Importe]]-Tabla18[[#This Row],[Pagado]]</f>
        <v>0</v>
      </c>
      <c r="H2703" s="153" t="s">
        <v>10</v>
      </c>
    </row>
    <row r="2704" spans="1:8" x14ac:dyDescent="0.25">
      <c r="A2704" s="73">
        <v>44768</v>
      </c>
      <c r="B2704" s="74" t="s">
        <v>24072</v>
      </c>
      <c r="C2704" s="75" t="s">
        <v>426</v>
      </c>
      <c r="D2704" s="81">
        <v>12837.3</v>
      </c>
      <c r="E2704" s="151">
        <v>44768</v>
      </c>
      <c r="F2704" s="81">
        <v>12837.3</v>
      </c>
      <c r="G2704" s="156">
        <f>Tabla18[[#This Row],[Importe]]-Tabla18[[#This Row],[Pagado]]</f>
        <v>0</v>
      </c>
      <c r="H2704" s="75" t="s">
        <v>10</v>
      </c>
    </row>
    <row r="2705" spans="1:8" x14ac:dyDescent="0.25">
      <c r="A2705" s="148">
        <v>44768</v>
      </c>
      <c r="B2705" s="149" t="s">
        <v>24073</v>
      </c>
      <c r="C2705" s="153" t="s">
        <v>1558</v>
      </c>
      <c r="D2705" s="154">
        <v>2074.6</v>
      </c>
      <c r="E2705" s="155">
        <v>44768</v>
      </c>
      <c r="F2705" s="154">
        <v>2074.6</v>
      </c>
      <c r="G2705" s="156">
        <f>Tabla18[[#This Row],[Importe]]-Tabla18[[#This Row],[Pagado]]</f>
        <v>0</v>
      </c>
      <c r="H2705" s="153" t="s">
        <v>10</v>
      </c>
    </row>
    <row r="2706" spans="1:8" x14ac:dyDescent="0.25">
      <c r="A2706" s="73">
        <v>44768</v>
      </c>
      <c r="B2706" s="74" t="s">
        <v>24074</v>
      </c>
      <c r="C2706" s="75" t="s">
        <v>91</v>
      </c>
      <c r="D2706" s="81">
        <v>4300</v>
      </c>
      <c r="E2706" s="151">
        <v>44770</v>
      </c>
      <c r="F2706" s="81">
        <v>4300</v>
      </c>
      <c r="G2706" s="156">
        <f>Tabla18[[#This Row],[Importe]]-Tabla18[[#This Row],[Pagado]]</f>
        <v>0</v>
      </c>
      <c r="H2706" s="75" t="s">
        <v>10</v>
      </c>
    </row>
    <row r="2707" spans="1:8" x14ac:dyDescent="0.25">
      <c r="A2707" s="148">
        <v>44768</v>
      </c>
      <c r="B2707" s="149" t="s">
        <v>24075</v>
      </c>
      <c r="C2707" s="153" t="s">
        <v>670</v>
      </c>
      <c r="D2707" s="154">
        <v>4496.8</v>
      </c>
      <c r="E2707" s="155">
        <v>44768</v>
      </c>
      <c r="F2707" s="154">
        <v>4496.8</v>
      </c>
      <c r="G2707" s="156">
        <f>Tabla18[[#This Row],[Importe]]-Tabla18[[#This Row],[Pagado]]</f>
        <v>0</v>
      </c>
      <c r="H2707" s="153" t="s">
        <v>10</v>
      </c>
    </row>
    <row r="2708" spans="1:8" x14ac:dyDescent="0.25">
      <c r="A2708" s="73">
        <v>44768</v>
      </c>
      <c r="B2708" s="74" t="s">
        <v>24076</v>
      </c>
      <c r="C2708" s="75" t="s">
        <v>31</v>
      </c>
      <c r="D2708" s="81">
        <v>841.4</v>
      </c>
      <c r="E2708" s="151">
        <v>44768</v>
      </c>
      <c r="F2708" s="81">
        <v>841.4</v>
      </c>
      <c r="G2708" s="156">
        <f>Tabla18[[#This Row],[Importe]]-Tabla18[[#This Row],[Pagado]]</f>
        <v>0</v>
      </c>
      <c r="H2708" s="75" t="s">
        <v>10</v>
      </c>
    </row>
    <row r="2709" spans="1:8" x14ac:dyDescent="0.25">
      <c r="A2709" s="148">
        <v>44768</v>
      </c>
      <c r="B2709" s="149" t="s">
        <v>24077</v>
      </c>
      <c r="C2709" s="153" t="s">
        <v>233</v>
      </c>
      <c r="D2709" s="154">
        <v>6209.2</v>
      </c>
      <c r="E2709" s="155">
        <v>44768</v>
      </c>
      <c r="F2709" s="154">
        <v>6209.2</v>
      </c>
      <c r="G2709" s="156">
        <f>Tabla18[[#This Row],[Importe]]-Tabla18[[#This Row],[Pagado]]</f>
        <v>0</v>
      </c>
      <c r="H2709" s="153" t="s">
        <v>10</v>
      </c>
    </row>
    <row r="2710" spans="1:8" x14ac:dyDescent="0.25">
      <c r="A2710" s="73">
        <v>44768</v>
      </c>
      <c r="B2710" s="74" t="s">
        <v>24078</v>
      </c>
      <c r="C2710" s="75" t="s">
        <v>31</v>
      </c>
      <c r="D2710" s="81">
        <v>131.94999999999999</v>
      </c>
      <c r="E2710" s="151">
        <v>44768</v>
      </c>
      <c r="F2710" s="81">
        <v>131.94999999999999</v>
      </c>
      <c r="G2710" s="156">
        <f>Tabla18[[#This Row],[Importe]]-Tabla18[[#This Row],[Pagado]]</f>
        <v>0</v>
      </c>
      <c r="H2710" s="75" t="s">
        <v>10</v>
      </c>
    </row>
    <row r="2711" spans="1:8" x14ac:dyDescent="0.25">
      <c r="A2711" s="148">
        <v>44768</v>
      </c>
      <c r="B2711" s="149" t="s">
        <v>24079</v>
      </c>
      <c r="C2711" s="153" t="s">
        <v>681</v>
      </c>
      <c r="D2711" s="154">
        <v>10.42</v>
      </c>
      <c r="E2711" s="155">
        <v>44779</v>
      </c>
      <c r="F2711" s="154">
        <v>10.42</v>
      </c>
      <c r="G2711" s="156">
        <f>Tabla18[[#This Row],[Importe]]-Tabla18[[#This Row],[Pagado]]</f>
        <v>0</v>
      </c>
      <c r="H2711" s="153" t="s">
        <v>10</v>
      </c>
    </row>
    <row r="2712" spans="1:8" x14ac:dyDescent="0.25">
      <c r="A2712" s="73">
        <v>44768</v>
      </c>
      <c r="B2712" s="74" t="s">
        <v>24080</v>
      </c>
      <c r="C2712" s="75" t="s">
        <v>414</v>
      </c>
      <c r="D2712" s="81">
        <v>151149.6</v>
      </c>
      <c r="E2712" s="147">
        <v>44784</v>
      </c>
      <c r="F2712" s="81">
        <f>151149.6</f>
        <v>151149.6</v>
      </c>
      <c r="G2712" s="156">
        <f>Tabla18[[#This Row],[Importe]]-Tabla18[[#This Row],[Pagado]]</f>
        <v>0</v>
      </c>
      <c r="H2712" s="75" t="s">
        <v>10</v>
      </c>
    </row>
    <row r="2713" spans="1:8" x14ac:dyDescent="0.25">
      <c r="A2713" s="148">
        <v>44768</v>
      </c>
      <c r="B2713" s="149" t="s">
        <v>24081</v>
      </c>
      <c r="C2713" s="153" t="s">
        <v>146</v>
      </c>
      <c r="D2713" s="154">
        <v>2485.4</v>
      </c>
      <c r="E2713" s="155">
        <v>44768</v>
      </c>
      <c r="F2713" s="154">
        <v>2485.4</v>
      </c>
      <c r="G2713" s="156">
        <f>Tabla18[[#This Row],[Importe]]-Tabla18[[#This Row],[Pagado]]</f>
        <v>0</v>
      </c>
      <c r="H2713" s="153" t="s">
        <v>10</v>
      </c>
    </row>
    <row r="2714" spans="1:8" x14ac:dyDescent="0.25">
      <c r="A2714" s="73">
        <v>44768</v>
      </c>
      <c r="B2714" s="74" t="s">
        <v>24082</v>
      </c>
      <c r="C2714" s="75" t="s">
        <v>107</v>
      </c>
      <c r="D2714" s="81">
        <v>15503.1</v>
      </c>
      <c r="E2714" s="151">
        <v>44768</v>
      </c>
      <c r="F2714" s="81">
        <v>15503.1</v>
      </c>
      <c r="G2714" s="156">
        <f>Tabla18[[#This Row],[Importe]]-Tabla18[[#This Row],[Pagado]]</f>
        <v>0</v>
      </c>
      <c r="H2714" s="75" t="s">
        <v>10</v>
      </c>
    </row>
    <row r="2715" spans="1:8" x14ac:dyDescent="0.25">
      <c r="A2715" s="148">
        <v>44768</v>
      </c>
      <c r="B2715" s="149" t="s">
        <v>24083</v>
      </c>
      <c r="C2715" s="153" t="s">
        <v>664</v>
      </c>
      <c r="D2715" s="154">
        <v>10651.2</v>
      </c>
      <c r="E2715" s="155">
        <v>44768</v>
      </c>
      <c r="F2715" s="154">
        <v>10651.2</v>
      </c>
      <c r="G2715" s="156">
        <f>Tabla18[[#This Row],[Importe]]-Tabla18[[#This Row],[Pagado]]</f>
        <v>0</v>
      </c>
      <c r="H2715" s="153" t="s">
        <v>10</v>
      </c>
    </row>
    <row r="2716" spans="1:8" x14ac:dyDescent="0.25">
      <c r="A2716" s="73">
        <v>44768</v>
      </c>
      <c r="B2716" s="74" t="s">
        <v>24084</v>
      </c>
      <c r="C2716" s="75" t="s">
        <v>214</v>
      </c>
      <c r="D2716" s="81">
        <v>1001</v>
      </c>
      <c r="E2716" s="151">
        <v>44768</v>
      </c>
      <c r="F2716" s="81">
        <v>1001</v>
      </c>
      <c r="G2716" s="156">
        <f>Tabla18[[#This Row],[Importe]]-Tabla18[[#This Row],[Pagado]]</f>
        <v>0</v>
      </c>
      <c r="H2716" s="75" t="s">
        <v>10</v>
      </c>
    </row>
    <row r="2717" spans="1:8" x14ac:dyDescent="0.25">
      <c r="A2717" s="148">
        <v>44768</v>
      </c>
      <c r="B2717" s="149" t="s">
        <v>24085</v>
      </c>
      <c r="C2717" s="153" t="s">
        <v>357</v>
      </c>
      <c r="D2717" s="154">
        <v>1479</v>
      </c>
      <c r="E2717" s="155">
        <v>44768</v>
      </c>
      <c r="F2717" s="154">
        <v>1479</v>
      </c>
      <c r="G2717" s="156">
        <f>Tabla18[[#This Row],[Importe]]-Tabla18[[#This Row],[Pagado]]</f>
        <v>0</v>
      </c>
      <c r="H2717" s="153" t="s">
        <v>10</v>
      </c>
    </row>
    <row r="2718" spans="1:8" x14ac:dyDescent="0.25">
      <c r="A2718" s="73">
        <v>44768</v>
      </c>
      <c r="B2718" s="74" t="s">
        <v>24086</v>
      </c>
      <c r="C2718" s="75" t="s">
        <v>129</v>
      </c>
      <c r="D2718" s="81">
        <v>1722.6</v>
      </c>
      <c r="E2718" s="151">
        <v>44768</v>
      </c>
      <c r="F2718" s="81">
        <v>1722.6</v>
      </c>
      <c r="G2718" s="156">
        <f>Tabla18[[#This Row],[Importe]]-Tabla18[[#This Row],[Pagado]]</f>
        <v>0</v>
      </c>
      <c r="H2718" s="75" t="s">
        <v>10</v>
      </c>
    </row>
    <row r="2719" spans="1:8" x14ac:dyDescent="0.25">
      <c r="A2719" s="148">
        <v>44768</v>
      </c>
      <c r="B2719" s="149" t="s">
        <v>24087</v>
      </c>
      <c r="C2719" s="153" t="s">
        <v>127</v>
      </c>
      <c r="D2719" s="154">
        <v>6128.4</v>
      </c>
      <c r="E2719" s="155">
        <v>44768</v>
      </c>
      <c r="F2719" s="154">
        <v>6128.4</v>
      </c>
      <c r="G2719" s="156">
        <f>Tabla18[[#This Row],[Importe]]-Tabla18[[#This Row],[Pagado]]</f>
        <v>0</v>
      </c>
      <c r="H2719" s="153" t="s">
        <v>10</v>
      </c>
    </row>
    <row r="2720" spans="1:8" x14ac:dyDescent="0.25">
      <c r="A2720" s="73">
        <v>44768</v>
      </c>
      <c r="B2720" s="74" t="s">
        <v>24088</v>
      </c>
      <c r="C2720" s="75" t="s">
        <v>140</v>
      </c>
      <c r="D2720" s="81">
        <v>4773.6000000000004</v>
      </c>
      <c r="E2720" s="151">
        <v>44768</v>
      </c>
      <c r="F2720" s="81">
        <v>4773.6000000000004</v>
      </c>
      <c r="G2720" s="156">
        <f>Tabla18[[#This Row],[Importe]]-Tabla18[[#This Row],[Pagado]]</f>
        <v>0</v>
      </c>
      <c r="H2720" s="75" t="s">
        <v>10</v>
      </c>
    </row>
    <row r="2721" spans="1:8" x14ac:dyDescent="0.25">
      <c r="A2721" s="148">
        <v>44768</v>
      </c>
      <c r="B2721" s="149" t="s">
        <v>24089</v>
      </c>
      <c r="C2721" s="153" t="s">
        <v>365</v>
      </c>
      <c r="D2721" s="154">
        <v>509.6</v>
      </c>
      <c r="E2721" s="155">
        <v>44768</v>
      </c>
      <c r="F2721" s="154">
        <v>509.6</v>
      </c>
      <c r="G2721" s="156">
        <f>Tabla18[[#This Row],[Importe]]-Tabla18[[#This Row],[Pagado]]</f>
        <v>0</v>
      </c>
      <c r="H2721" s="153" t="s">
        <v>10</v>
      </c>
    </row>
    <row r="2722" spans="1:8" x14ac:dyDescent="0.25">
      <c r="A2722" s="73">
        <v>44768</v>
      </c>
      <c r="B2722" s="74" t="s">
        <v>24090</v>
      </c>
      <c r="C2722" s="75" t="s">
        <v>140</v>
      </c>
      <c r="D2722" s="81">
        <v>1548.6</v>
      </c>
      <c r="E2722" s="151">
        <v>44768</v>
      </c>
      <c r="F2722" s="81">
        <v>1548.6</v>
      </c>
      <c r="G2722" s="156">
        <f>Tabla18[[#This Row],[Importe]]-Tabla18[[#This Row],[Pagado]]</f>
        <v>0</v>
      </c>
      <c r="H2722" s="75" t="s">
        <v>10</v>
      </c>
    </row>
    <row r="2723" spans="1:8" x14ac:dyDescent="0.25">
      <c r="A2723" s="148">
        <v>44768</v>
      </c>
      <c r="B2723" s="149" t="s">
        <v>24091</v>
      </c>
      <c r="C2723" s="153" t="s">
        <v>67</v>
      </c>
      <c r="D2723" s="154">
        <v>2516.1</v>
      </c>
      <c r="E2723" s="155">
        <v>44768</v>
      </c>
      <c r="F2723" s="154">
        <v>2516.1</v>
      </c>
      <c r="G2723" s="156">
        <f>Tabla18[[#This Row],[Importe]]-Tabla18[[#This Row],[Pagado]]</f>
        <v>0</v>
      </c>
      <c r="H2723" s="153" t="s">
        <v>10</v>
      </c>
    </row>
    <row r="2724" spans="1:8" x14ac:dyDescent="0.25">
      <c r="A2724" s="73">
        <v>44768</v>
      </c>
      <c r="B2724" s="74" t="s">
        <v>24092</v>
      </c>
      <c r="C2724" s="75" t="s">
        <v>214</v>
      </c>
      <c r="D2724" s="81">
        <v>1462</v>
      </c>
      <c r="E2724" s="151">
        <v>44768</v>
      </c>
      <c r="F2724" s="81">
        <v>1462</v>
      </c>
      <c r="G2724" s="156">
        <f>Tabla18[[#This Row],[Importe]]-Tabla18[[#This Row],[Pagado]]</f>
        <v>0</v>
      </c>
      <c r="H2724" s="75" t="s">
        <v>10</v>
      </c>
    </row>
    <row r="2725" spans="1:8" x14ac:dyDescent="0.25">
      <c r="A2725" s="148">
        <v>44768</v>
      </c>
      <c r="B2725" s="149" t="s">
        <v>24093</v>
      </c>
      <c r="C2725" s="153" t="s">
        <v>249</v>
      </c>
      <c r="D2725" s="154">
        <v>4639.8999999999996</v>
      </c>
      <c r="E2725" s="155">
        <v>44768</v>
      </c>
      <c r="F2725" s="154">
        <v>4639.8999999999996</v>
      </c>
      <c r="G2725" s="156">
        <f>Tabla18[[#This Row],[Importe]]-Tabla18[[#This Row],[Pagado]]</f>
        <v>0</v>
      </c>
      <c r="H2725" s="153" t="s">
        <v>10</v>
      </c>
    </row>
    <row r="2726" spans="1:8" x14ac:dyDescent="0.25">
      <c r="A2726" s="73">
        <v>44768</v>
      </c>
      <c r="B2726" s="74" t="s">
        <v>24094</v>
      </c>
      <c r="C2726" s="75" t="s">
        <v>419</v>
      </c>
      <c r="D2726" s="81">
        <v>8068.4</v>
      </c>
      <c r="E2726" s="151">
        <v>44768</v>
      </c>
      <c r="F2726" s="81">
        <v>8068.4</v>
      </c>
      <c r="G2726" s="156">
        <f>Tabla18[[#This Row],[Importe]]-Tabla18[[#This Row],[Pagado]]</f>
        <v>0</v>
      </c>
      <c r="H2726" s="75" t="s">
        <v>10</v>
      </c>
    </row>
    <row r="2727" spans="1:8" x14ac:dyDescent="0.25">
      <c r="A2727" s="148">
        <v>44768</v>
      </c>
      <c r="B2727" s="149" t="s">
        <v>24095</v>
      </c>
      <c r="C2727" s="153" t="s">
        <v>1265</v>
      </c>
      <c r="D2727" s="154">
        <v>1134.9000000000001</v>
      </c>
      <c r="E2727" s="155">
        <v>44768</v>
      </c>
      <c r="F2727" s="154">
        <v>1134.9000000000001</v>
      </c>
      <c r="G2727" s="156">
        <f>Tabla18[[#This Row],[Importe]]-Tabla18[[#This Row],[Pagado]]</f>
        <v>0</v>
      </c>
      <c r="H2727" s="153" t="s">
        <v>10</v>
      </c>
    </row>
    <row r="2728" spans="1:8" x14ac:dyDescent="0.25">
      <c r="A2728" s="73">
        <v>44768</v>
      </c>
      <c r="B2728" s="74" t="s">
        <v>24096</v>
      </c>
      <c r="C2728" s="75" t="s">
        <v>21812</v>
      </c>
      <c r="D2728" s="81">
        <v>13077.8</v>
      </c>
      <c r="E2728" s="151">
        <v>44768</v>
      </c>
      <c r="F2728" s="81">
        <v>13077.8</v>
      </c>
      <c r="G2728" s="156">
        <f>Tabla18[[#This Row],[Importe]]-Tabla18[[#This Row],[Pagado]]</f>
        <v>0</v>
      </c>
      <c r="H2728" s="75" t="s">
        <v>10</v>
      </c>
    </row>
    <row r="2729" spans="1:8" x14ac:dyDescent="0.25">
      <c r="A2729" s="148">
        <v>44768</v>
      </c>
      <c r="B2729" s="149" t="s">
        <v>24097</v>
      </c>
      <c r="C2729" s="153" t="s">
        <v>994</v>
      </c>
      <c r="D2729" s="154">
        <v>2210.1999999999998</v>
      </c>
      <c r="E2729" s="155">
        <v>44768</v>
      </c>
      <c r="F2729" s="154">
        <v>2210.1999999999998</v>
      </c>
      <c r="G2729" s="156">
        <f>Tabla18[[#This Row],[Importe]]-Tabla18[[#This Row],[Pagado]]</f>
        <v>0</v>
      </c>
      <c r="H2729" s="153" t="s">
        <v>10</v>
      </c>
    </row>
    <row r="2730" spans="1:8" x14ac:dyDescent="0.25">
      <c r="A2730" s="73">
        <v>44768</v>
      </c>
      <c r="B2730" s="74" t="s">
        <v>24098</v>
      </c>
      <c r="C2730" s="75" t="s">
        <v>31</v>
      </c>
      <c r="D2730" s="81">
        <v>13200</v>
      </c>
      <c r="E2730" s="151">
        <v>44768</v>
      </c>
      <c r="F2730" s="81">
        <v>13200</v>
      </c>
      <c r="G2730" s="156">
        <f>Tabla18[[#This Row],[Importe]]-Tabla18[[#This Row],[Pagado]]</f>
        <v>0</v>
      </c>
      <c r="H2730" s="75" t="s">
        <v>10</v>
      </c>
    </row>
    <row r="2731" spans="1:8" x14ac:dyDescent="0.25">
      <c r="A2731" s="148">
        <v>44768</v>
      </c>
      <c r="B2731" s="149" t="s">
        <v>24099</v>
      </c>
      <c r="C2731" s="153" t="s">
        <v>296</v>
      </c>
      <c r="D2731" s="154">
        <v>3744.6</v>
      </c>
      <c r="E2731" s="155">
        <v>44768</v>
      </c>
      <c r="F2731" s="154">
        <v>3744.6</v>
      </c>
      <c r="G2731" s="156">
        <f>Tabla18[[#This Row],[Importe]]-Tabla18[[#This Row],[Pagado]]</f>
        <v>0</v>
      </c>
      <c r="H2731" s="153" t="s">
        <v>10</v>
      </c>
    </row>
    <row r="2732" spans="1:8" x14ac:dyDescent="0.25">
      <c r="A2732" s="73">
        <v>44768</v>
      </c>
      <c r="B2732" s="74" t="s">
        <v>24100</v>
      </c>
      <c r="C2732" s="75" t="s">
        <v>31</v>
      </c>
      <c r="D2732" s="81">
        <v>2701.6</v>
      </c>
      <c r="E2732" s="151">
        <v>44768</v>
      </c>
      <c r="F2732" s="81">
        <v>2701.6</v>
      </c>
      <c r="G2732" s="156">
        <f>Tabla18[[#This Row],[Importe]]-Tabla18[[#This Row],[Pagado]]</f>
        <v>0</v>
      </c>
      <c r="H2732" s="75" t="s">
        <v>10</v>
      </c>
    </row>
    <row r="2733" spans="1:8" ht="31.5" x14ac:dyDescent="0.25">
      <c r="A2733" s="148">
        <v>44768</v>
      </c>
      <c r="B2733" s="149" t="s">
        <v>24101</v>
      </c>
      <c r="C2733" s="160" t="s">
        <v>24102</v>
      </c>
      <c r="D2733" s="154">
        <v>0</v>
      </c>
      <c r="E2733" s="158" t="s">
        <v>189</v>
      </c>
      <c r="F2733" s="154">
        <v>0</v>
      </c>
      <c r="G2733" s="156">
        <f>Tabla18[[#This Row],[Importe]]-Tabla18[[#This Row],[Pagado]]</f>
        <v>0</v>
      </c>
      <c r="H2733" s="159" t="s">
        <v>24103</v>
      </c>
    </row>
    <row r="2734" spans="1:8" x14ac:dyDescent="0.25">
      <c r="A2734" s="73">
        <v>44768</v>
      </c>
      <c r="B2734" s="74" t="s">
        <v>24104</v>
      </c>
      <c r="C2734" s="75" t="s">
        <v>142</v>
      </c>
      <c r="D2734" s="81">
        <v>97965.58</v>
      </c>
      <c r="E2734" s="151" t="s">
        <v>4813</v>
      </c>
      <c r="F2734" s="81">
        <v>0</v>
      </c>
      <c r="G2734" s="156">
        <f>Tabla18[[#This Row],[Importe]]-Tabla18[[#This Row],[Pagado]]</f>
        <v>97965.58</v>
      </c>
      <c r="H2734" s="75" t="s">
        <v>4814</v>
      </c>
    </row>
    <row r="2735" spans="1:8" x14ac:dyDescent="0.25">
      <c r="A2735" s="148">
        <v>44768</v>
      </c>
      <c r="B2735" s="149" t="s">
        <v>24105</v>
      </c>
      <c r="C2735" s="153" t="s">
        <v>520</v>
      </c>
      <c r="D2735" s="154">
        <v>15112.6</v>
      </c>
      <c r="E2735" s="155">
        <v>44769</v>
      </c>
      <c r="F2735" s="154">
        <v>15112.6</v>
      </c>
      <c r="G2735" s="156">
        <f>Tabla18[[#This Row],[Importe]]-Tabla18[[#This Row],[Pagado]]</f>
        <v>0</v>
      </c>
      <c r="H2735" s="153" t="s">
        <v>10</v>
      </c>
    </row>
    <row r="2736" spans="1:8" x14ac:dyDescent="0.25">
      <c r="A2736" s="73">
        <v>44768</v>
      </c>
      <c r="B2736" s="74" t="s">
        <v>24106</v>
      </c>
      <c r="C2736" s="75" t="s">
        <v>518</v>
      </c>
      <c r="D2736" s="81">
        <v>1436.2</v>
      </c>
      <c r="E2736" s="151">
        <v>44769</v>
      </c>
      <c r="F2736" s="81">
        <v>1436.2</v>
      </c>
      <c r="G2736" s="156">
        <f>Tabla18[[#This Row],[Importe]]-Tabla18[[#This Row],[Pagado]]</f>
        <v>0</v>
      </c>
      <c r="H2736" s="75" t="s">
        <v>10</v>
      </c>
    </row>
    <row r="2737" spans="1:8" x14ac:dyDescent="0.25">
      <c r="A2737" s="148">
        <v>44768</v>
      </c>
      <c r="B2737" s="149" t="s">
        <v>24107</v>
      </c>
      <c r="C2737" s="153" t="s">
        <v>159</v>
      </c>
      <c r="D2737" s="154">
        <v>1313.2</v>
      </c>
      <c r="E2737" s="155">
        <v>44769</v>
      </c>
      <c r="F2737" s="154">
        <v>1313.2</v>
      </c>
      <c r="G2737" s="156">
        <f>Tabla18[[#This Row],[Importe]]-Tabla18[[#This Row],[Pagado]]</f>
        <v>0</v>
      </c>
      <c r="H2737" s="153" t="s">
        <v>10</v>
      </c>
    </row>
    <row r="2738" spans="1:8" x14ac:dyDescent="0.25">
      <c r="A2738" s="73">
        <v>44768</v>
      </c>
      <c r="B2738" s="74" t="s">
        <v>24108</v>
      </c>
      <c r="C2738" s="75" t="s">
        <v>151</v>
      </c>
      <c r="D2738" s="81">
        <v>36284.6</v>
      </c>
      <c r="E2738" s="151">
        <v>44769</v>
      </c>
      <c r="F2738" s="81">
        <v>36284.6</v>
      </c>
      <c r="G2738" s="156">
        <f>Tabla18[[#This Row],[Importe]]-Tabla18[[#This Row],[Pagado]]</f>
        <v>0</v>
      </c>
      <c r="H2738" s="75" t="s">
        <v>10</v>
      </c>
    </row>
    <row r="2739" spans="1:8" x14ac:dyDescent="0.25">
      <c r="A2739" s="148">
        <v>44768</v>
      </c>
      <c r="B2739" s="149" t="s">
        <v>24109</v>
      </c>
      <c r="C2739" s="153" t="s">
        <v>157</v>
      </c>
      <c r="D2739" s="154">
        <v>8243.1</v>
      </c>
      <c r="E2739" s="155">
        <v>44769</v>
      </c>
      <c r="F2739" s="154">
        <v>8243.1</v>
      </c>
      <c r="G2739" s="156">
        <f>Tabla18[[#This Row],[Importe]]-Tabla18[[#This Row],[Pagado]]</f>
        <v>0</v>
      </c>
      <c r="H2739" s="153" t="s">
        <v>10</v>
      </c>
    </row>
    <row r="2740" spans="1:8" x14ac:dyDescent="0.25">
      <c r="A2740" s="73">
        <v>44768</v>
      </c>
      <c r="B2740" s="74" t="s">
        <v>24110</v>
      </c>
      <c r="C2740" s="75" t="s">
        <v>319</v>
      </c>
      <c r="D2740" s="81">
        <v>10632.7</v>
      </c>
      <c r="E2740" s="151">
        <v>44769</v>
      </c>
      <c r="F2740" s="81">
        <v>10632.7</v>
      </c>
      <c r="G2740" s="156">
        <f>Tabla18[[#This Row],[Importe]]-Tabla18[[#This Row],[Pagado]]</f>
        <v>0</v>
      </c>
      <c r="H2740" s="75" t="s">
        <v>10</v>
      </c>
    </row>
    <row r="2741" spans="1:8" x14ac:dyDescent="0.25">
      <c r="A2741" s="148">
        <v>44768</v>
      </c>
      <c r="B2741" s="149" t="s">
        <v>24111</v>
      </c>
      <c r="C2741" s="153" t="s">
        <v>69</v>
      </c>
      <c r="D2741" s="154">
        <v>2425.1999999999998</v>
      </c>
      <c r="E2741" s="155">
        <v>44768</v>
      </c>
      <c r="F2741" s="154">
        <v>2425.1999999999998</v>
      </c>
      <c r="G2741" s="156">
        <f>Tabla18[[#This Row],[Importe]]-Tabla18[[#This Row],[Pagado]]</f>
        <v>0</v>
      </c>
      <c r="H2741" s="153" t="s">
        <v>10</v>
      </c>
    </row>
    <row r="2742" spans="1:8" x14ac:dyDescent="0.25">
      <c r="A2742" s="73">
        <v>44768</v>
      </c>
      <c r="B2742" s="74" t="s">
        <v>24112</v>
      </c>
      <c r="C2742" s="75" t="s">
        <v>1008</v>
      </c>
      <c r="D2742" s="81">
        <v>585</v>
      </c>
      <c r="E2742" s="151">
        <v>44768</v>
      </c>
      <c r="F2742" s="81">
        <v>585</v>
      </c>
      <c r="G2742" s="156">
        <f>Tabla18[[#This Row],[Importe]]-Tabla18[[#This Row],[Pagado]]</f>
        <v>0</v>
      </c>
      <c r="H2742" s="75" t="s">
        <v>10</v>
      </c>
    </row>
    <row r="2743" spans="1:8" x14ac:dyDescent="0.25">
      <c r="A2743" s="148">
        <v>44768</v>
      </c>
      <c r="B2743" s="149" t="s">
        <v>24113</v>
      </c>
      <c r="C2743" s="153" t="s">
        <v>1008</v>
      </c>
      <c r="D2743" s="154">
        <v>669.6</v>
      </c>
      <c r="E2743" s="155">
        <v>44768</v>
      </c>
      <c r="F2743" s="154">
        <v>669.6</v>
      </c>
      <c r="G2743" s="156">
        <f>Tabla18[[#This Row],[Importe]]-Tabla18[[#This Row],[Pagado]]</f>
        <v>0</v>
      </c>
      <c r="H2743" s="153" t="s">
        <v>10</v>
      </c>
    </row>
    <row r="2744" spans="1:8" x14ac:dyDescent="0.25">
      <c r="A2744" s="73">
        <v>44768</v>
      </c>
      <c r="B2744" s="74" t="s">
        <v>24114</v>
      </c>
      <c r="C2744" s="75" t="s">
        <v>4027</v>
      </c>
      <c r="D2744" s="81">
        <v>536.79999999999995</v>
      </c>
      <c r="E2744" s="151">
        <v>44768</v>
      </c>
      <c r="F2744" s="81">
        <v>536.79999999999995</v>
      </c>
      <c r="G2744" s="156">
        <f>Tabla18[[#This Row],[Importe]]-Tabla18[[#This Row],[Pagado]]</f>
        <v>0</v>
      </c>
      <c r="H2744" s="75" t="s">
        <v>10</v>
      </c>
    </row>
    <row r="2745" spans="1:8" x14ac:dyDescent="0.25">
      <c r="A2745" s="148">
        <v>44768</v>
      </c>
      <c r="B2745" s="149" t="s">
        <v>24115</v>
      </c>
      <c r="C2745" s="153" t="s">
        <v>5694</v>
      </c>
      <c r="D2745" s="154">
        <v>5366.4</v>
      </c>
      <c r="E2745" s="155">
        <v>44768</v>
      </c>
      <c r="F2745" s="154">
        <v>5366.4</v>
      </c>
      <c r="G2745" s="156">
        <f>Tabla18[[#This Row],[Importe]]-Tabla18[[#This Row],[Pagado]]</f>
        <v>0</v>
      </c>
      <c r="H2745" s="153" t="s">
        <v>10</v>
      </c>
    </row>
    <row r="2746" spans="1:8" x14ac:dyDescent="0.25">
      <c r="A2746" s="73">
        <v>44768</v>
      </c>
      <c r="B2746" s="74" t="s">
        <v>24116</v>
      </c>
      <c r="C2746" s="75" t="s">
        <v>10678</v>
      </c>
      <c r="D2746" s="81">
        <v>2437.5</v>
      </c>
      <c r="E2746" s="151">
        <v>44768</v>
      </c>
      <c r="F2746" s="81">
        <v>2437.5</v>
      </c>
      <c r="G2746" s="156">
        <f>Tabla18[[#This Row],[Importe]]-Tabla18[[#This Row],[Pagado]]</f>
        <v>0</v>
      </c>
      <c r="H2746" s="75" t="s">
        <v>10</v>
      </c>
    </row>
    <row r="2747" spans="1:8" x14ac:dyDescent="0.25">
      <c r="A2747" s="148">
        <v>44768</v>
      </c>
      <c r="B2747" s="149" t="s">
        <v>24117</v>
      </c>
      <c r="C2747" s="153" t="s">
        <v>10678</v>
      </c>
      <c r="D2747" s="154">
        <v>1229.5</v>
      </c>
      <c r="E2747" s="155">
        <v>44768</v>
      </c>
      <c r="F2747" s="154">
        <v>1229.5</v>
      </c>
      <c r="G2747" s="156">
        <f>Tabla18[[#This Row],[Importe]]-Tabla18[[#This Row],[Pagado]]</f>
        <v>0</v>
      </c>
      <c r="H2747" s="153" t="s">
        <v>10</v>
      </c>
    </row>
    <row r="2748" spans="1:8" x14ac:dyDescent="0.25">
      <c r="A2748" s="73">
        <v>44768</v>
      </c>
      <c r="B2748" s="74" t="s">
        <v>24118</v>
      </c>
      <c r="C2748" s="75" t="s">
        <v>296</v>
      </c>
      <c r="D2748" s="81">
        <v>1734.6</v>
      </c>
      <c r="E2748" s="151">
        <v>44768</v>
      </c>
      <c r="F2748" s="81">
        <v>1734.6</v>
      </c>
      <c r="G2748" s="156">
        <f>Tabla18[[#This Row],[Importe]]-Tabla18[[#This Row],[Pagado]]</f>
        <v>0</v>
      </c>
      <c r="H2748" s="75" t="s">
        <v>10</v>
      </c>
    </row>
    <row r="2749" spans="1:8" x14ac:dyDescent="0.25">
      <c r="A2749" s="148">
        <v>44768</v>
      </c>
      <c r="B2749" s="149" t="s">
        <v>24119</v>
      </c>
      <c r="C2749" s="153" t="s">
        <v>22</v>
      </c>
      <c r="D2749" s="154">
        <v>6003.2</v>
      </c>
      <c r="E2749" s="155">
        <v>44769</v>
      </c>
      <c r="F2749" s="154">
        <v>6003.2</v>
      </c>
      <c r="G2749" s="156">
        <f>Tabla18[[#This Row],[Importe]]-Tabla18[[#This Row],[Pagado]]</f>
        <v>0</v>
      </c>
      <c r="H2749" s="153" t="s">
        <v>10</v>
      </c>
    </row>
    <row r="2750" spans="1:8" x14ac:dyDescent="0.25">
      <c r="A2750" s="73">
        <v>44768</v>
      </c>
      <c r="B2750" s="74" t="s">
        <v>24120</v>
      </c>
      <c r="C2750" s="75" t="s">
        <v>275</v>
      </c>
      <c r="D2750" s="81">
        <v>142567.1</v>
      </c>
      <c r="E2750" s="151">
        <v>44786</v>
      </c>
      <c r="F2750" s="81">
        <v>142567.1</v>
      </c>
      <c r="G2750" s="156">
        <f>Tabla18[[#This Row],[Importe]]-Tabla18[[#This Row],[Pagado]]</f>
        <v>0</v>
      </c>
      <c r="H2750" s="75" t="s">
        <v>10</v>
      </c>
    </row>
    <row r="2751" spans="1:8" x14ac:dyDescent="0.25">
      <c r="A2751" s="148">
        <v>44768</v>
      </c>
      <c r="B2751" s="149" t="s">
        <v>24121</v>
      </c>
      <c r="C2751" s="153" t="s">
        <v>280</v>
      </c>
      <c r="D2751" s="154">
        <v>885.8</v>
      </c>
      <c r="E2751" s="155">
        <v>44769</v>
      </c>
      <c r="F2751" s="154">
        <v>885.8</v>
      </c>
      <c r="G2751" s="156">
        <f>Tabla18[[#This Row],[Importe]]-Tabla18[[#This Row],[Pagado]]</f>
        <v>0</v>
      </c>
      <c r="H2751" s="153" t="s">
        <v>10</v>
      </c>
    </row>
    <row r="2752" spans="1:8" x14ac:dyDescent="0.25">
      <c r="A2752" s="73">
        <v>44768</v>
      </c>
      <c r="B2752" s="74" t="s">
        <v>24122</v>
      </c>
      <c r="C2752" s="75" t="s">
        <v>284</v>
      </c>
      <c r="D2752" s="81">
        <v>8703.2000000000007</v>
      </c>
      <c r="E2752" s="151">
        <v>44769</v>
      </c>
      <c r="F2752" s="81">
        <v>8703.2000000000007</v>
      </c>
      <c r="G2752" s="156">
        <f>Tabla18[[#This Row],[Importe]]-Tabla18[[#This Row],[Pagado]]</f>
        <v>0</v>
      </c>
      <c r="H2752" s="75" t="s">
        <v>10</v>
      </c>
    </row>
    <row r="2753" spans="1:8" x14ac:dyDescent="0.25">
      <c r="A2753" s="148">
        <v>44768</v>
      </c>
      <c r="B2753" s="149" t="s">
        <v>24123</v>
      </c>
      <c r="C2753" s="153" t="s">
        <v>5345</v>
      </c>
      <c r="D2753" s="154">
        <v>1591</v>
      </c>
      <c r="E2753" s="155">
        <v>44769</v>
      </c>
      <c r="F2753" s="154">
        <v>1591</v>
      </c>
      <c r="G2753" s="156">
        <f>Tabla18[[#This Row],[Importe]]-Tabla18[[#This Row],[Pagado]]</f>
        <v>0</v>
      </c>
      <c r="H2753" s="153" t="s">
        <v>10</v>
      </c>
    </row>
    <row r="2754" spans="1:8" x14ac:dyDescent="0.25">
      <c r="A2754" s="73">
        <v>44768</v>
      </c>
      <c r="B2754" s="74" t="s">
        <v>24124</v>
      </c>
      <c r="C2754" s="75" t="s">
        <v>282</v>
      </c>
      <c r="D2754" s="81">
        <v>3577.6</v>
      </c>
      <c r="E2754" s="151">
        <v>44769</v>
      </c>
      <c r="F2754" s="81">
        <v>3577.6</v>
      </c>
      <c r="G2754" s="156">
        <f>Tabla18[[#This Row],[Importe]]-Tabla18[[#This Row],[Pagado]]</f>
        <v>0</v>
      </c>
      <c r="H2754" s="75" t="s">
        <v>10</v>
      </c>
    </row>
    <row r="2755" spans="1:8" x14ac:dyDescent="0.25">
      <c r="A2755" s="148">
        <v>44768</v>
      </c>
      <c r="B2755" s="149" t="s">
        <v>24125</v>
      </c>
      <c r="C2755" s="153" t="s">
        <v>10819</v>
      </c>
      <c r="D2755" s="154">
        <v>1935.8</v>
      </c>
      <c r="E2755" s="155">
        <v>44769</v>
      </c>
      <c r="F2755" s="154">
        <v>1935.8</v>
      </c>
      <c r="G2755" s="156">
        <f>Tabla18[[#This Row],[Importe]]-Tabla18[[#This Row],[Pagado]]</f>
        <v>0</v>
      </c>
      <c r="H2755" s="153" t="s">
        <v>10</v>
      </c>
    </row>
    <row r="2756" spans="1:8" x14ac:dyDescent="0.25">
      <c r="A2756" s="73">
        <v>44768</v>
      </c>
      <c r="B2756" s="74" t="s">
        <v>24126</v>
      </c>
      <c r="C2756" s="75" t="s">
        <v>1706</v>
      </c>
      <c r="D2756" s="81">
        <v>10348</v>
      </c>
      <c r="E2756" s="151">
        <v>44768</v>
      </c>
      <c r="F2756" s="81">
        <v>10348</v>
      </c>
      <c r="G2756" s="156">
        <f>Tabla18[[#This Row],[Importe]]-Tabla18[[#This Row],[Pagado]]</f>
        <v>0</v>
      </c>
      <c r="H2756" s="75" t="s">
        <v>10</v>
      </c>
    </row>
    <row r="2757" spans="1:8" x14ac:dyDescent="0.25">
      <c r="A2757" s="148">
        <v>44768</v>
      </c>
      <c r="B2757" s="149" t="s">
        <v>24127</v>
      </c>
      <c r="C2757" s="153" t="s">
        <v>31</v>
      </c>
      <c r="D2757" s="154">
        <v>461.5</v>
      </c>
      <c r="E2757" s="155">
        <v>44768</v>
      </c>
      <c r="F2757" s="154">
        <v>461.5</v>
      </c>
      <c r="G2757" s="156">
        <f>Tabla18[[#This Row],[Importe]]-Tabla18[[#This Row],[Pagado]]</f>
        <v>0</v>
      </c>
      <c r="H2757" s="153" t="s">
        <v>10</v>
      </c>
    </row>
    <row r="2758" spans="1:8" x14ac:dyDescent="0.25">
      <c r="A2758" s="73">
        <v>44768</v>
      </c>
      <c r="B2758" s="74" t="s">
        <v>24128</v>
      </c>
      <c r="C2758" s="75" t="s">
        <v>31</v>
      </c>
      <c r="D2758" s="81">
        <v>5453.8</v>
      </c>
      <c r="E2758" s="151">
        <v>44768</v>
      </c>
      <c r="F2758" s="81">
        <v>5453.8</v>
      </c>
      <c r="G2758" s="156">
        <f>Tabla18[[#This Row],[Importe]]-Tabla18[[#This Row],[Pagado]]</f>
        <v>0</v>
      </c>
      <c r="H2758" s="75" t="s">
        <v>10</v>
      </c>
    </row>
    <row r="2759" spans="1:8" x14ac:dyDescent="0.25">
      <c r="A2759" s="148">
        <v>44768</v>
      </c>
      <c r="B2759" s="149" t="s">
        <v>24129</v>
      </c>
      <c r="C2759" s="153" t="s">
        <v>461</v>
      </c>
      <c r="D2759" s="154">
        <v>240</v>
      </c>
      <c r="E2759" s="155">
        <v>44768</v>
      </c>
      <c r="F2759" s="154">
        <v>240</v>
      </c>
      <c r="G2759" s="156">
        <f>Tabla18[[#This Row],[Importe]]-Tabla18[[#This Row],[Pagado]]</f>
        <v>0</v>
      </c>
      <c r="H2759" s="153" t="s">
        <v>10</v>
      </c>
    </row>
    <row r="2760" spans="1:8" x14ac:dyDescent="0.25">
      <c r="A2760" s="73">
        <v>44769</v>
      </c>
      <c r="B2760" s="74" t="s">
        <v>24130</v>
      </c>
      <c r="C2760" s="75" t="s">
        <v>887</v>
      </c>
      <c r="D2760" s="81">
        <v>12578</v>
      </c>
      <c r="E2760" s="151">
        <v>44769</v>
      </c>
      <c r="F2760" s="81">
        <v>12578</v>
      </c>
      <c r="G2760" s="156">
        <f>Tabla18[[#This Row],[Importe]]-Tabla18[[#This Row],[Pagado]]</f>
        <v>0</v>
      </c>
      <c r="H2760" s="75" t="s">
        <v>10</v>
      </c>
    </row>
    <row r="2761" spans="1:8" ht="31.5" x14ac:dyDescent="0.25">
      <c r="A2761" s="148">
        <v>44769</v>
      </c>
      <c r="B2761" s="149" t="s">
        <v>24131</v>
      </c>
      <c r="C2761" s="153" t="s">
        <v>475</v>
      </c>
      <c r="D2761" s="154">
        <v>59453</v>
      </c>
      <c r="E2761" s="150" t="s">
        <v>24132</v>
      </c>
      <c r="F2761" s="154">
        <f>22000+37453</f>
        <v>59453</v>
      </c>
      <c r="G2761" s="156">
        <f>Tabla18[[#This Row],[Importe]]-Tabla18[[#This Row],[Pagado]]</f>
        <v>0</v>
      </c>
      <c r="H2761" s="153" t="s">
        <v>10</v>
      </c>
    </row>
    <row r="2762" spans="1:8" x14ac:dyDescent="0.25">
      <c r="A2762" s="73">
        <v>44769</v>
      </c>
      <c r="B2762" s="74" t="s">
        <v>24133</v>
      </c>
      <c r="C2762" s="75" t="s">
        <v>93</v>
      </c>
      <c r="D2762" s="81">
        <v>3148.2</v>
      </c>
      <c r="E2762" s="151">
        <v>44771</v>
      </c>
      <c r="F2762" s="81">
        <v>3148.2</v>
      </c>
      <c r="G2762" s="156">
        <f>Tabla18[[#This Row],[Importe]]-Tabla18[[#This Row],[Pagado]]</f>
        <v>0</v>
      </c>
      <c r="H2762" s="75" t="s">
        <v>10</v>
      </c>
    </row>
    <row r="2763" spans="1:8" x14ac:dyDescent="0.25">
      <c r="A2763" s="148">
        <v>44769</v>
      </c>
      <c r="B2763" s="149" t="s">
        <v>24134</v>
      </c>
      <c r="C2763" s="153" t="s">
        <v>99</v>
      </c>
      <c r="D2763" s="154">
        <v>4725.6000000000004</v>
      </c>
      <c r="E2763" s="155">
        <v>44771</v>
      </c>
      <c r="F2763" s="154">
        <v>4725.6000000000004</v>
      </c>
      <c r="G2763" s="156">
        <f>Tabla18[[#This Row],[Importe]]-Tabla18[[#This Row],[Pagado]]</f>
        <v>0</v>
      </c>
      <c r="H2763" s="153" t="s">
        <v>10</v>
      </c>
    </row>
    <row r="2764" spans="1:8" x14ac:dyDescent="0.25">
      <c r="A2764" s="73">
        <v>44769</v>
      </c>
      <c r="B2764" s="74" t="s">
        <v>24135</v>
      </c>
      <c r="C2764" s="75" t="s">
        <v>64</v>
      </c>
      <c r="D2764" s="81">
        <v>4956.6000000000004</v>
      </c>
      <c r="E2764" s="151">
        <v>44770</v>
      </c>
      <c r="F2764" s="81">
        <v>4956.6000000000004</v>
      </c>
      <c r="G2764" s="156">
        <f>Tabla18[[#This Row],[Importe]]-Tabla18[[#This Row],[Pagado]]</f>
        <v>0</v>
      </c>
      <c r="H2764" s="75" t="s">
        <v>10</v>
      </c>
    </row>
    <row r="2765" spans="1:8" x14ac:dyDescent="0.25">
      <c r="A2765" s="148">
        <v>44769</v>
      </c>
      <c r="B2765" s="149" t="s">
        <v>24136</v>
      </c>
      <c r="C2765" s="153" t="s">
        <v>326</v>
      </c>
      <c r="D2765" s="154">
        <v>5596.8</v>
      </c>
      <c r="E2765" s="155">
        <v>44771</v>
      </c>
      <c r="F2765" s="154">
        <v>5596.8</v>
      </c>
      <c r="G2765" s="156">
        <f>Tabla18[[#This Row],[Importe]]-Tabla18[[#This Row],[Pagado]]</f>
        <v>0</v>
      </c>
      <c r="H2765" s="153" t="s">
        <v>10</v>
      </c>
    </row>
    <row r="2766" spans="1:8" x14ac:dyDescent="0.25">
      <c r="A2766" s="73">
        <v>44769</v>
      </c>
      <c r="B2766" s="74" t="s">
        <v>24137</v>
      </c>
      <c r="C2766" s="75" t="s">
        <v>348</v>
      </c>
      <c r="D2766" s="81">
        <v>4554</v>
      </c>
      <c r="E2766" s="151">
        <v>44769</v>
      </c>
      <c r="F2766" s="81">
        <v>4554</v>
      </c>
      <c r="G2766" s="156">
        <f>Tabla18[[#This Row],[Importe]]-Tabla18[[#This Row],[Pagado]]</f>
        <v>0</v>
      </c>
      <c r="H2766" s="75" t="s">
        <v>10</v>
      </c>
    </row>
    <row r="2767" spans="1:8" x14ac:dyDescent="0.25">
      <c r="A2767" s="148">
        <v>44769</v>
      </c>
      <c r="B2767" s="149" t="s">
        <v>24138</v>
      </c>
      <c r="C2767" s="153" t="s">
        <v>105</v>
      </c>
      <c r="D2767" s="154">
        <v>14611.6</v>
      </c>
      <c r="E2767" s="155">
        <v>44770</v>
      </c>
      <c r="F2767" s="154">
        <v>14611.6</v>
      </c>
      <c r="G2767" s="156">
        <f>Tabla18[[#This Row],[Importe]]-Tabla18[[#This Row],[Pagado]]</f>
        <v>0</v>
      </c>
      <c r="H2767" s="153" t="s">
        <v>10</v>
      </c>
    </row>
    <row r="2768" spans="1:8" x14ac:dyDescent="0.25">
      <c r="A2768" s="73">
        <v>44769</v>
      </c>
      <c r="B2768" s="74" t="s">
        <v>24139</v>
      </c>
      <c r="C2768" s="75" t="s">
        <v>89</v>
      </c>
      <c r="D2768" s="81">
        <v>10577.4</v>
      </c>
      <c r="E2768" s="151">
        <v>44770</v>
      </c>
      <c r="F2768" s="81">
        <v>10577.4</v>
      </c>
      <c r="G2768" s="156">
        <f>Tabla18[[#This Row],[Importe]]-Tabla18[[#This Row],[Pagado]]</f>
        <v>0</v>
      </c>
      <c r="H2768" s="75" t="s">
        <v>10</v>
      </c>
    </row>
    <row r="2769" spans="1:8" x14ac:dyDescent="0.25">
      <c r="A2769" s="148">
        <v>44769</v>
      </c>
      <c r="B2769" s="149" t="s">
        <v>24140</v>
      </c>
      <c r="C2769" s="153" t="s">
        <v>97</v>
      </c>
      <c r="D2769" s="154">
        <v>5418.6</v>
      </c>
      <c r="E2769" s="155">
        <v>44770</v>
      </c>
      <c r="F2769" s="154">
        <v>5418.6</v>
      </c>
      <c r="G2769" s="156">
        <f>Tabla18[[#This Row],[Importe]]-Tabla18[[#This Row],[Pagado]]</f>
        <v>0</v>
      </c>
      <c r="H2769" s="153" t="s">
        <v>10</v>
      </c>
    </row>
    <row r="2770" spans="1:8" x14ac:dyDescent="0.25">
      <c r="A2770" s="73">
        <v>44769</v>
      </c>
      <c r="B2770" s="74" t="s">
        <v>24141</v>
      </c>
      <c r="C2770" s="75" t="s">
        <v>2151</v>
      </c>
      <c r="D2770" s="81">
        <v>14265.6</v>
      </c>
      <c r="E2770" s="151">
        <v>44769</v>
      </c>
      <c r="F2770" s="81">
        <v>14265.6</v>
      </c>
      <c r="G2770" s="156">
        <f>Tabla18[[#This Row],[Importe]]-Tabla18[[#This Row],[Pagado]]</f>
        <v>0</v>
      </c>
      <c r="H2770" s="75" t="s">
        <v>10</v>
      </c>
    </row>
    <row r="2771" spans="1:8" x14ac:dyDescent="0.25">
      <c r="A2771" s="148">
        <v>44769</v>
      </c>
      <c r="B2771" s="149" t="s">
        <v>24142</v>
      </c>
      <c r="C2771" s="153" t="s">
        <v>135</v>
      </c>
      <c r="D2771" s="154">
        <v>2044.5</v>
      </c>
      <c r="E2771" s="155">
        <v>44769</v>
      </c>
      <c r="F2771" s="154">
        <v>2044.5</v>
      </c>
      <c r="G2771" s="156">
        <f>Tabla18[[#This Row],[Importe]]-Tabla18[[#This Row],[Pagado]]</f>
        <v>0</v>
      </c>
      <c r="H2771" s="153" t="s">
        <v>10</v>
      </c>
    </row>
    <row r="2772" spans="1:8" x14ac:dyDescent="0.25">
      <c r="A2772" s="73">
        <v>44769</v>
      </c>
      <c r="B2772" s="74" t="s">
        <v>24143</v>
      </c>
      <c r="C2772" s="75" t="s">
        <v>83</v>
      </c>
      <c r="D2772" s="81">
        <v>12367.8</v>
      </c>
      <c r="E2772" s="151">
        <v>44769</v>
      </c>
      <c r="F2772" s="81">
        <v>12367.8</v>
      </c>
      <c r="G2772" s="156">
        <f>Tabla18[[#This Row],[Importe]]-Tabla18[[#This Row],[Pagado]]</f>
        <v>0</v>
      </c>
      <c r="H2772" s="75" t="s">
        <v>10</v>
      </c>
    </row>
    <row r="2773" spans="1:8" x14ac:dyDescent="0.25">
      <c r="A2773" s="148">
        <v>44769</v>
      </c>
      <c r="B2773" s="149" t="s">
        <v>24144</v>
      </c>
      <c r="C2773" s="153" t="s">
        <v>179</v>
      </c>
      <c r="D2773" s="154">
        <v>1642.6</v>
      </c>
      <c r="E2773" s="155">
        <v>44769</v>
      </c>
      <c r="F2773" s="154">
        <v>1642.6</v>
      </c>
      <c r="G2773" s="156">
        <f>Tabla18[[#This Row],[Importe]]-Tabla18[[#This Row],[Pagado]]</f>
        <v>0</v>
      </c>
      <c r="H2773" s="153" t="s">
        <v>10</v>
      </c>
    </row>
    <row r="2774" spans="1:8" x14ac:dyDescent="0.25">
      <c r="A2774" s="73">
        <v>44769</v>
      </c>
      <c r="B2774" s="74" t="s">
        <v>24145</v>
      </c>
      <c r="C2774" s="75" t="s">
        <v>481</v>
      </c>
      <c r="D2774" s="81">
        <v>614.20000000000005</v>
      </c>
      <c r="E2774" s="151">
        <v>44769</v>
      </c>
      <c r="F2774" s="81">
        <v>614.20000000000005</v>
      </c>
      <c r="G2774" s="156">
        <f>Tabla18[[#This Row],[Importe]]-Tabla18[[#This Row],[Pagado]]</f>
        <v>0</v>
      </c>
      <c r="H2774" s="75" t="s">
        <v>10</v>
      </c>
    </row>
    <row r="2775" spans="1:8" x14ac:dyDescent="0.25">
      <c r="A2775" s="148">
        <v>44769</v>
      </c>
      <c r="B2775" s="149" t="s">
        <v>24146</v>
      </c>
      <c r="C2775" s="153" t="s">
        <v>87</v>
      </c>
      <c r="D2775" s="154">
        <v>3124</v>
      </c>
      <c r="E2775" s="155">
        <v>44769</v>
      </c>
      <c r="F2775" s="154">
        <v>3124</v>
      </c>
      <c r="G2775" s="156">
        <f>Tabla18[[#This Row],[Importe]]-Tabla18[[#This Row],[Pagado]]</f>
        <v>0</v>
      </c>
      <c r="H2775" s="153" t="s">
        <v>10</v>
      </c>
    </row>
    <row r="2776" spans="1:8" x14ac:dyDescent="0.25">
      <c r="A2776" s="73">
        <v>44769</v>
      </c>
      <c r="B2776" s="74" t="s">
        <v>24147</v>
      </c>
      <c r="C2776" s="75" t="s">
        <v>9</v>
      </c>
      <c r="D2776" s="81">
        <v>7903.5</v>
      </c>
      <c r="E2776" s="151">
        <v>44769</v>
      </c>
      <c r="F2776" s="81">
        <v>7903.5</v>
      </c>
      <c r="G2776" s="156">
        <f>Tabla18[[#This Row],[Importe]]-Tabla18[[#This Row],[Pagado]]</f>
        <v>0</v>
      </c>
      <c r="H2776" s="75" t="s">
        <v>10</v>
      </c>
    </row>
    <row r="2777" spans="1:8" x14ac:dyDescent="0.25">
      <c r="A2777" s="148">
        <v>44769</v>
      </c>
      <c r="B2777" s="149" t="s">
        <v>24148</v>
      </c>
      <c r="C2777" s="153" t="s">
        <v>365</v>
      </c>
      <c r="D2777" s="154">
        <v>1185</v>
      </c>
      <c r="E2777" s="155">
        <v>44769</v>
      </c>
      <c r="F2777" s="154">
        <v>1185</v>
      </c>
      <c r="G2777" s="156">
        <f>Tabla18[[#This Row],[Importe]]-Tabla18[[#This Row],[Pagado]]</f>
        <v>0</v>
      </c>
      <c r="H2777" s="153" t="s">
        <v>10</v>
      </c>
    </row>
    <row r="2778" spans="1:8" x14ac:dyDescent="0.25">
      <c r="A2778" s="73">
        <v>44769</v>
      </c>
      <c r="B2778" s="74" t="s">
        <v>24149</v>
      </c>
      <c r="C2778" s="75" t="s">
        <v>21626</v>
      </c>
      <c r="D2778" s="81">
        <v>0</v>
      </c>
      <c r="E2778" s="157" t="s">
        <v>189</v>
      </c>
      <c r="F2778" s="81">
        <v>0</v>
      </c>
      <c r="G2778" s="156">
        <f>Tabla18[[#This Row],[Importe]]-Tabla18[[#This Row],[Pagado]]</f>
        <v>0</v>
      </c>
      <c r="H2778" s="75" t="s">
        <v>189</v>
      </c>
    </row>
    <row r="2779" spans="1:8" x14ac:dyDescent="0.25">
      <c r="A2779" s="148">
        <v>44769</v>
      </c>
      <c r="B2779" s="149" t="s">
        <v>24150</v>
      </c>
      <c r="C2779" s="153" t="s">
        <v>146</v>
      </c>
      <c r="D2779" s="154">
        <v>2261.8000000000002</v>
      </c>
      <c r="E2779" s="155">
        <v>44769</v>
      </c>
      <c r="F2779" s="154">
        <v>2261.8000000000002</v>
      </c>
      <c r="G2779" s="156">
        <f>Tabla18[[#This Row],[Importe]]-Tabla18[[#This Row],[Pagado]]</f>
        <v>0</v>
      </c>
      <c r="H2779" s="153" t="s">
        <v>10</v>
      </c>
    </row>
    <row r="2780" spans="1:8" x14ac:dyDescent="0.25">
      <c r="A2780" s="73">
        <v>44769</v>
      </c>
      <c r="B2780" s="74" t="s">
        <v>24151</v>
      </c>
      <c r="C2780" s="75" t="s">
        <v>214</v>
      </c>
      <c r="D2780" s="81">
        <v>11136</v>
      </c>
      <c r="E2780" s="151">
        <v>44769</v>
      </c>
      <c r="F2780" s="81">
        <v>11136</v>
      </c>
      <c r="G2780" s="156">
        <f>Tabla18[[#This Row],[Importe]]-Tabla18[[#This Row],[Pagado]]</f>
        <v>0</v>
      </c>
      <c r="H2780" s="75" t="s">
        <v>10</v>
      </c>
    </row>
    <row r="2781" spans="1:8" x14ac:dyDescent="0.25">
      <c r="A2781" s="148">
        <v>44769</v>
      </c>
      <c r="B2781" s="149" t="s">
        <v>24152</v>
      </c>
      <c r="C2781" s="153" t="s">
        <v>146</v>
      </c>
      <c r="D2781" s="154">
        <v>808.4</v>
      </c>
      <c r="E2781" s="155">
        <v>44769</v>
      </c>
      <c r="F2781" s="154">
        <v>808.4</v>
      </c>
      <c r="G2781" s="156">
        <f>Tabla18[[#This Row],[Importe]]-Tabla18[[#This Row],[Pagado]]</f>
        <v>0</v>
      </c>
      <c r="H2781" s="153" t="s">
        <v>10</v>
      </c>
    </row>
    <row r="2782" spans="1:8" x14ac:dyDescent="0.25">
      <c r="A2782" s="73">
        <v>44769</v>
      </c>
      <c r="B2782" s="74" t="s">
        <v>24153</v>
      </c>
      <c r="C2782" s="75" t="s">
        <v>357</v>
      </c>
      <c r="D2782" s="81">
        <v>1548.6</v>
      </c>
      <c r="E2782" s="151">
        <v>44769</v>
      </c>
      <c r="F2782" s="81">
        <v>1548.6</v>
      </c>
      <c r="G2782" s="156">
        <f>Tabla18[[#This Row],[Importe]]-Tabla18[[#This Row],[Pagado]]</f>
        <v>0</v>
      </c>
      <c r="H2782" s="75" t="s">
        <v>10</v>
      </c>
    </row>
    <row r="2783" spans="1:8" x14ac:dyDescent="0.25">
      <c r="A2783" s="148">
        <v>44769</v>
      </c>
      <c r="B2783" s="149" t="s">
        <v>24154</v>
      </c>
      <c r="C2783" s="153" t="s">
        <v>140</v>
      </c>
      <c r="D2783" s="154">
        <v>1003.6</v>
      </c>
      <c r="E2783" s="155">
        <v>44769</v>
      </c>
      <c r="F2783" s="154">
        <v>1003.6</v>
      </c>
      <c r="G2783" s="156">
        <f>Tabla18[[#This Row],[Importe]]-Tabla18[[#This Row],[Pagado]]</f>
        <v>0</v>
      </c>
      <c r="H2783" s="153" t="s">
        <v>10</v>
      </c>
    </row>
    <row r="2784" spans="1:8" x14ac:dyDescent="0.25">
      <c r="A2784" s="73">
        <v>44769</v>
      </c>
      <c r="B2784" s="74" t="s">
        <v>24155</v>
      </c>
      <c r="C2784" s="75" t="s">
        <v>339</v>
      </c>
      <c r="D2784" s="81">
        <v>800.4</v>
      </c>
      <c r="E2784" s="151">
        <v>44769</v>
      </c>
      <c r="F2784" s="81">
        <v>800.4</v>
      </c>
      <c r="G2784" s="156">
        <f>Tabla18[[#This Row],[Importe]]-Tabla18[[#This Row],[Pagado]]</f>
        <v>0</v>
      </c>
      <c r="H2784" s="75" t="s">
        <v>10</v>
      </c>
    </row>
    <row r="2785" spans="1:8" x14ac:dyDescent="0.25">
      <c r="A2785" s="148">
        <v>44769</v>
      </c>
      <c r="B2785" s="149" t="s">
        <v>24156</v>
      </c>
      <c r="C2785" s="153" t="s">
        <v>127</v>
      </c>
      <c r="D2785" s="154">
        <v>2488.1999999999998</v>
      </c>
      <c r="E2785" s="155">
        <v>44769</v>
      </c>
      <c r="F2785" s="154">
        <v>2488.1999999999998</v>
      </c>
      <c r="G2785" s="156">
        <f>Tabla18[[#This Row],[Importe]]-Tabla18[[#This Row],[Pagado]]</f>
        <v>0</v>
      </c>
      <c r="H2785" s="153" t="s">
        <v>10</v>
      </c>
    </row>
    <row r="2786" spans="1:8" x14ac:dyDescent="0.25">
      <c r="A2786" s="73">
        <v>44769</v>
      </c>
      <c r="B2786" s="74" t="s">
        <v>24157</v>
      </c>
      <c r="C2786" s="75" t="s">
        <v>129</v>
      </c>
      <c r="D2786" s="81">
        <v>4909.2</v>
      </c>
      <c r="E2786" s="151">
        <v>44769</v>
      </c>
      <c r="F2786" s="81">
        <v>4909.2</v>
      </c>
      <c r="G2786" s="156">
        <f>Tabla18[[#This Row],[Importe]]-Tabla18[[#This Row],[Pagado]]</f>
        <v>0</v>
      </c>
      <c r="H2786" s="75" t="s">
        <v>10</v>
      </c>
    </row>
    <row r="2787" spans="1:8" x14ac:dyDescent="0.25">
      <c r="A2787" s="148">
        <v>44769</v>
      </c>
      <c r="B2787" s="149" t="s">
        <v>24158</v>
      </c>
      <c r="C2787" s="153" t="s">
        <v>154</v>
      </c>
      <c r="D2787" s="154">
        <v>34623.9</v>
      </c>
      <c r="E2787" s="155">
        <v>44773</v>
      </c>
      <c r="F2787" s="154">
        <v>34623.9</v>
      </c>
      <c r="G2787" s="156">
        <f>Tabla18[[#This Row],[Importe]]-Tabla18[[#This Row],[Pagado]]</f>
        <v>0</v>
      </c>
      <c r="H2787" s="153" t="s">
        <v>10</v>
      </c>
    </row>
    <row r="2788" spans="1:8" x14ac:dyDescent="0.25">
      <c r="A2788" s="73">
        <v>44769</v>
      </c>
      <c r="B2788" s="74" t="s">
        <v>24159</v>
      </c>
      <c r="C2788" s="75" t="s">
        <v>275</v>
      </c>
      <c r="D2788" s="81">
        <v>98325</v>
      </c>
      <c r="E2788" s="151">
        <v>44786</v>
      </c>
      <c r="F2788" s="81">
        <v>98325</v>
      </c>
      <c r="G2788" s="156">
        <f>Tabla18[[#This Row],[Importe]]-Tabla18[[#This Row],[Pagado]]</f>
        <v>0</v>
      </c>
      <c r="H2788" s="75" t="s">
        <v>10</v>
      </c>
    </row>
    <row r="2789" spans="1:8" x14ac:dyDescent="0.25">
      <c r="A2789" s="148">
        <v>44769</v>
      </c>
      <c r="B2789" s="149" t="s">
        <v>24160</v>
      </c>
      <c r="C2789" s="153" t="s">
        <v>11033</v>
      </c>
      <c r="D2789" s="154">
        <v>1722.2</v>
      </c>
      <c r="E2789" s="155">
        <v>44769</v>
      </c>
      <c r="F2789" s="154">
        <v>1722.2</v>
      </c>
      <c r="G2789" s="156">
        <f>Tabla18[[#This Row],[Importe]]-Tabla18[[#This Row],[Pagado]]</f>
        <v>0</v>
      </c>
      <c r="H2789" s="153" t="s">
        <v>10</v>
      </c>
    </row>
    <row r="2790" spans="1:8" x14ac:dyDescent="0.25">
      <c r="A2790" s="73">
        <v>44769</v>
      </c>
      <c r="B2790" s="74" t="s">
        <v>24161</v>
      </c>
      <c r="C2790" s="75" t="s">
        <v>22</v>
      </c>
      <c r="D2790" s="81">
        <v>29838.6</v>
      </c>
      <c r="E2790" s="151">
        <v>44771</v>
      </c>
      <c r="F2790" s="81">
        <v>29838.6</v>
      </c>
      <c r="G2790" s="156">
        <f>Tabla18[[#This Row],[Importe]]-Tabla18[[#This Row],[Pagado]]</f>
        <v>0</v>
      </c>
      <c r="H2790" s="75" t="s">
        <v>10</v>
      </c>
    </row>
    <row r="2791" spans="1:8" x14ac:dyDescent="0.25">
      <c r="A2791" s="148">
        <v>44769</v>
      </c>
      <c r="B2791" s="149" t="s">
        <v>24162</v>
      </c>
      <c r="C2791" s="153" t="s">
        <v>16</v>
      </c>
      <c r="D2791" s="154">
        <v>6694.4</v>
      </c>
      <c r="E2791" s="155">
        <v>44769</v>
      </c>
      <c r="F2791" s="154">
        <v>6694.4</v>
      </c>
      <c r="G2791" s="156">
        <f>Tabla18[[#This Row],[Importe]]-Tabla18[[#This Row],[Pagado]]</f>
        <v>0</v>
      </c>
      <c r="H2791" s="153" t="s">
        <v>10</v>
      </c>
    </row>
    <row r="2792" spans="1:8" x14ac:dyDescent="0.25">
      <c r="A2792" s="73">
        <v>44769</v>
      </c>
      <c r="B2792" s="74" t="s">
        <v>24163</v>
      </c>
      <c r="C2792" s="75" t="s">
        <v>212</v>
      </c>
      <c r="D2792" s="81">
        <v>38138.699999999997</v>
      </c>
      <c r="E2792" s="151">
        <v>44773</v>
      </c>
      <c r="F2792" s="81">
        <v>38138.699999999997</v>
      </c>
      <c r="G2792" s="156">
        <f>Tabla18[[#This Row],[Importe]]-Tabla18[[#This Row],[Pagado]]</f>
        <v>0</v>
      </c>
      <c r="H2792" s="75" t="s">
        <v>10</v>
      </c>
    </row>
    <row r="2793" spans="1:8" x14ac:dyDescent="0.25">
      <c r="A2793" s="148">
        <v>44769</v>
      </c>
      <c r="B2793" s="149" t="s">
        <v>24164</v>
      </c>
      <c r="C2793" s="153" t="s">
        <v>161</v>
      </c>
      <c r="D2793" s="154">
        <v>4566.1000000000004</v>
      </c>
      <c r="E2793" s="155">
        <v>44769</v>
      </c>
      <c r="F2793" s="154">
        <v>4566.1000000000004</v>
      </c>
      <c r="G2793" s="156">
        <f>Tabla18[[#This Row],[Importe]]-Tabla18[[#This Row],[Pagado]]</f>
        <v>0</v>
      </c>
      <c r="H2793" s="153" t="s">
        <v>10</v>
      </c>
    </row>
    <row r="2794" spans="1:8" x14ac:dyDescent="0.25">
      <c r="A2794" s="73">
        <v>44769</v>
      </c>
      <c r="B2794" s="74" t="s">
        <v>24165</v>
      </c>
      <c r="C2794" s="75" t="s">
        <v>206</v>
      </c>
      <c r="D2794" s="81">
        <v>33027.4</v>
      </c>
      <c r="E2794" s="151">
        <v>44772</v>
      </c>
      <c r="F2794" s="81">
        <v>33027.4</v>
      </c>
      <c r="G2794" s="156">
        <f>Tabla18[[#This Row],[Importe]]-Tabla18[[#This Row],[Pagado]]</f>
        <v>0</v>
      </c>
      <c r="H2794" s="75" t="s">
        <v>10</v>
      </c>
    </row>
    <row r="2795" spans="1:8" ht="63" x14ac:dyDescent="0.25">
      <c r="A2795" s="148">
        <v>44769</v>
      </c>
      <c r="B2795" s="149" t="s">
        <v>24166</v>
      </c>
      <c r="C2795" s="153" t="s">
        <v>133</v>
      </c>
      <c r="D2795" s="154">
        <v>30375.200000000001</v>
      </c>
      <c r="E2795" s="150" t="s">
        <v>28005</v>
      </c>
      <c r="F2795" s="154">
        <f>1000+1500+1000+26875.2</f>
        <v>30375.200000000001</v>
      </c>
      <c r="G2795" s="156">
        <f>Tabla18[[#This Row],[Importe]]-Tabla18[[#This Row],[Pagado]]</f>
        <v>0</v>
      </c>
      <c r="H2795" s="153" t="s">
        <v>1695</v>
      </c>
    </row>
    <row r="2796" spans="1:8" x14ac:dyDescent="0.25">
      <c r="A2796" s="73">
        <v>44769</v>
      </c>
      <c r="B2796" s="74" t="s">
        <v>24167</v>
      </c>
      <c r="C2796" s="75" t="s">
        <v>31</v>
      </c>
      <c r="D2796" s="81">
        <v>1176</v>
      </c>
      <c r="E2796" s="151">
        <v>44769</v>
      </c>
      <c r="F2796" s="81">
        <v>1176</v>
      </c>
      <c r="G2796" s="156">
        <f>Tabla18[[#This Row],[Importe]]-Tabla18[[#This Row],[Pagado]]</f>
        <v>0</v>
      </c>
      <c r="H2796" s="75" t="s">
        <v>10</v>
      </c>
    </row>
    <row r="2797" spans="1:8" x14ac:dyDescent="0.25">
      <c r="A2797" s="148">
        <v>44769</v>
      </c>
      <c r="B2797" s="149" t="s">
        <v>24168</v>
      </c>
      <c r="C2797" s="153" t="s">
        <v>5816</v>
      </c>
      <c r="D2797" s="154">
        <v>8630.4</v>
      </c>
      <c r="E2797" s="155">
        <v>44770</v>
      </c>
      <c r="F2797" s="154">
        <v>8630.4</v>
      </c>
      <c r="G2797" s="156">
        <f>Tabla18[[#This Row],[Importe]]-Tabla18[[#This Row],[Pagado]]</f>
        <v>0</v>
      </c>
      <c r="H2797" s="153" t="s">
        <v>10</v>
      </c>
    </row>
    <row r="2798" spans="1:8" x14ac:dyDescent="0.25">
      <c r="A2798" s="73">
        <v>44769</v>
      </c>
      <c r="B2798" s="74" t="s">
        <v>24169</v>
      </c>
      <c r="C2798" s="75" t="s">
        <v>218</v>
      </c>
      <c r="D2798" s="81">
        <v>20621.3</v>
      </c>
      <c r="E2798" s="151">
        <v>44772</v>
      </c>
      <c r="F2798" s="81">
        <v>20621.3</v>
      </c>
      <c r="G2798" s="156">
        <f>Tabla18[[#This Row],[Importe]]-Tabla18[[#This Row],[Pagado]]</f>
        <v>0</v>
      </c>
      <c r="H2798" s="75" t="s">
        <v>10</v>
      </c>
    </row>
    <row r="2799" spans="1:8" x14ac:dyDescent="0.25">
      <c r="A2799" s="148">
        <v>44769</v>
      </c>
      <c r="B2799" s="149" t="s">
        <v>24170</v>
      </c>
      <c r="C2799" s="153" t="s">
        <v>541</v>
      </c>
      <c r="D2799" s="154">
        <v>9629.2000000000007</v>
      </c>
      <c r="E2799" s="155">
        <v>44770</v>
      </c>
      <c r="F2799" s="154">
        <v>9629.2000000000007</v>
      </c>
      <c r="G2799" s="156">
        <f>Tabla18[[#This Row],[Importe]]-Tabla18[[#This Row],[Pagado]]</f>
        <v>0</v>
      </c>
      <c r="H2799" s="153" t="s">
        <v>10</v>
      </c>
    </row>
    <row r="2800" spans="1:8" x14ac:dyDescent="0.25">
      <c r="A2800" s="73">
        <v>44769</v>
      </c>
      <c r="B2800" s="74" t="s">
        <v>24171</v>
      </c>
      <c r="C2800" s="75" t="s">
        <v>173</v>
      </c>
      <c r="D2800" s="81">
        <v>13028.4</v>
      </c>
      <c r="E2800" s="151">
        <v>44770</v>
      </c>
      <c r="F2800" s="81">
        <v>13028.4</v>
      </c>
      <c r="G2800" s="156">
        <f>Tabla18[[#This Row],[Importe]]-Tabla18[[#This Row],[Pagado]]</f>
        <v>0</v>
      </c>
      <c r="H2800" s="75" t="s">
        <v>10</v>
      </c>
    </row>
    <row r="2801" spans="1:8" x14ac:dyDescent="0.25">
      <c r="A2801" s="148">
        <v>44769</v>
      </c>
      <c r="B2801" s="149" t="s">
        <v>24172</v>
      </c>
      <c r="C2801" s="153" t="s">
        <v>45</v>
      </c>
      <c r="D2801" s="154">
        <v>12384.6</v>
      </c>
      <c r="E2801" s="155">
        <v>44769</v>
      </c>
      <c r="F2801" s="154">
        <v>12384.6</v>
      </c>
      <c r="G2801" s="156">
        <f>Tabla18[[#This Row],[Importe]]-Tabla18[[#This Row],[Pagado]]</f>
        <v>0</v>
      </c>
      <c r="H2801" s="153" t="s">
        <v>10</v>
      </c>
    </row>
    <row r="2802" spans="1:8" x14ac:dyDescent="0.25">
      <c r="A2802" s="73">
        <v>44769</v>
      </c>
      <c r="B2802" s="74" t="s">
        <v>24173</v>
      </c>
      <c r="C2802" s="75" t="s">
        <v>348</v>
      </c>
      <c r="D2802" s="81">
        <v>5218.3</v>
      </c>
      <c r="E2802" s="151">
        <v>44769</v>
      </c>
      <c r="F2802" s="81">
        <v>5218.3</v>
      </c>
      <c r="G2802" s="156">
        <f>Tabla18[[#This Row],[Importe]]-Tabla18[[#This Row],[Pagado]]</f>
        <v>0</v>
      </c>
      <c r="H2802" s="75" t="s">
        <v>10</v>
      </c>
    </row>
    <row r="2803" spans="1:8" x14ac:dyDescent="0.25">
      <c r="A2803" s="148">
        <v>44769</v>
      </c>
      <c r="B2803" s="149" t="s">
        <v>24174</v>
      </c>
      <c r="C2803" s="153" t="s">
        <v>1421</v>
      </c>
      <c r="D2803" s="154">
        <v>41972</v>
      </c>
      <c r="E2803" s="155">
        <v>44769</v>
      </c>
      <c r="F2803" s="154">
        <v>41972</v>
      </c>
      <c r="G2803" s="156">
        <f>Tabla18[[#This Row],[Importe]]-Tabla18[[#This Row],[Pagado]]</f>
        <v>0</v>
      </c>
      <c r="H2803" s="153" t="s">
        <v>10</v>
      </c>
    </row>
    <row r="2804" spans="1:8" x14ac:dyDescent="0.25">
      <c r="A2804" s="73">
        <v>44769</v>
      </c>
      <c r="B2804" s="74" t="s">
        <v>24175</v>
      </c>
      <c r="C2804" s="75" t="s">
        <v>24</v>
      </c>
      <c r="D2804" s="81">
        <v>552</v>
      </c>
      <c r="E2804" s="151">
        <v>44769</v>
      </c>
      <c r="F2804" s="81">
        <v>552</v>
      </c>
      <c r="G2804" s="156">
        <f>Tabla18[[#This Row],[Importe]]-Tabla18[[#This Row],[Pagado]]</f>
        <v>0</v>
      </c>
      <c r="H2804" s="75" t="s">
        <v>10</v>
      </c>
    </row>
    <row r="2805" spans="1:8" x14ac:dyDescent="0.25">
      <c r="A2805" s="148">
        <v>44769</v>
      </c>
      <c r="B2805" s="149" t="s">
        <v>24176</v>
      </c>
      <c r="C2805" s="153" t="s">
        <v>24</v>
      </c>
      <c r="D2805" s="154">
        <v>3594.5</v>
      </c>
      <c r="E2805" s="155">
        <v>44769</v>
      </c>
      <c r="F2805" s="154">
        <v>3594.5</v>
      </c>
      <c r="G2805" s="156">
        <f>Tabla18[[#This Row],[Importe]]-Tabla18[[#This Row],[Pagado]]</f>
        <v>0</v>
      </c>
      <c r="H2805" s="153" t="s">
        <v>10</v>
      </c>
    </row>
    <row r="2806" spans="1:8" x14ac:dyDescent="0.25">
      <c r="A2806" s="73">
        <v>44769</v>
      </c>
      <c r="B2806" s="74" t="s">
        <v>24177</v>
      </c>
      <c r="C2806" s="75" t="s">
        <v>31</v>
      </c>
      <c r="D2806" s="81">
        <v>1996</v>
      </c>
      <c r="E2806" s="151">
        <v>44769</v>
      </c>
      <c r="F2806" s="81">
        <v>1996</v>
      </c>
      <c r="G2806" s="156">
        <f>Tabla18[[#This Row],[Importe]]-Tabla18[[#This Row],[Pagado]]</f>
        <v>0</v>
      </c>
      <c r="H2806" s="75" t="s">
        <v>10</v>
      </c>
    </row>
    <row r="2807" spans="1:8" x14ac:dyDescent="0.25">
      <c r="A2807" s="148">
        <v>44769</v>
      </c>
      <c r="B2807" s="149" t="s">
        <v>24178</v>
      </c>
      <c r="C2807" s="153" t="s">
        <v>31</v>
      </c>
      <c r="D2807" s="154">
        <v>730.8</v>
      </c>
      <c r="E2807" s="155">
        <v>44769</v>
      </c>
      <c r="F2807" s="154">
        <v>730.8</v>
      </c>
      <c r="G2807" s="156">
        <f>Tabla18[[#This Row],[Importe]]-Tabla18[[#This Row],[Pagado]]</f>
        <v>0</v>
      </c>
      <c r="H2807" s="153" t="s">
        <v>10</v>
      </c>
    </row>
    <row r="2808" spans="1:8" x14ac:dyDescent="0.25">
      <c r="A2808" s="73">
        <v>44769</v>
      </c>
      <c r="B2808" s="74" t="s">
        <v>24179</v>
      </c>
      <c r="C2808" s="75" t="s">
        <v>555</v>
      </c>
      <c r="D2808" s="81">
        <v>30561.279999999999</v>
      </c>
      <c r="E2808" s="151">
        <v>44769</v>
      </c>
      <c r="F2808" s="81">
        <v>30561.279999999999</v>
      </c>
      <c r="G2808" s="156">
        <f>Tabla18[[#This Row],[Importe]]-Tabla18[[#This Row],[Pagado]]</f>
        <v>0</v>
      </c>
      <c r="H2808" s="75" t="s">
        <v>10</v>
      </c>
    </row>
    <row r="2809" spans="1:8" x14ac:dyDescent="0.25">
      <c r="A2809" s="148">
        <v>44769</v>
      </c>
      <c r="B2809" s="149" t="s">
        <v>24180</v>
      </c>
      <c r="C2809" s="153" t="s">
        <v>1505</v>
      </c>
      <c r="D2809" s="154">
        <v>7789.2</v>
      </c>
      <c r="E2809" s="155">
        <v>44769</v>
      </c>
      <c r="F2809" s="154">
        <v>7789.2</v>
      </c>
      <c r="G2809" s="156">
        <f>Tabla18[[#This Row],[Importe]]-Tabla18[[#This Row],[Pagado]]</f>
        <v>0</v>
      </c>
      <c r="H2809" s="153" t="s">
        <v>10</v>
      </c>
    </row>
    <row r="2810" spans="1:8" x14ac:dyDescent="0.25">
      <c r="A2810" s="73">
        <v>44769</v>
      </c>
      <c r="B2810" s="74" t="s">
        <v>24181</v>
      </c>
      <c r="C2810" s="75" t="s">
        <v>2240</v>
      </c>
      <c r="D2810" s="81">
        <v>5146.5600000000004</v>
      </c>
      <c r="E2810" s="151">
        <v>44769</v>
      </c>
      <c r="F2810" s="81">
        <v>5146.5600000000004</v>
      </c>
      <c r="G2810" s="156">
        <f>Tabla18[[#This Row],[Importe]]-Tabla18[[#This Row],[Pagado]]</f>
        <v>0</v>
      </c>
      <c r="H2810" s="75" t="s">
        <v>10</v>
      </c>
    </row>
    <row r="2811" spans="1:8" x14ac:dyDescent="0.25">
      <c r="A2811" s="148">
        <v>44769</v>
      </c>
      <c r="B2811" s="149" t="s">
        <v>24182</v>
      </c>
      <c r="C2811" s="153" t="s">
        <v>562</v>
      </c>
      <c r="D2811" s="154">
        <v>4500</v>
      </c>
      <c r="E2811" s="155">
        <v>44769</v>
      </c>
      <c r="F2811" s="154">
        <v>4500</v>
      </c>
      <c r="G2811" s="156">
        <f>Tabla18[[#This Row],[Importe]]-Tabla18[[#This Row],[Pagado]]</f>
        <v>0</v>
      </c>
      <c r="H2811" s="153" t="s">
        <v>10</v>
      </c>
    </row>
    <row r="2812" spans="1:8" x14ac:dyDescent="0.25">
      <c r="A2812" s="73">
        <v>44769</v>
      </c>
      <c r="B2812" s="74" t="s">
        <v>24183</v>
      </c>
      <c r="C2812" s="75" t="s">
        <v>107</v>
      </c>
      <c r="D2812" s="81">
        <v>11750.2</v>
      </c>
      <c r="E2812" s="151">
        <v>44769</v>
      </c>
      <c r="F2812" s="81">
        <v>11750.2</v>
      </c>
      <c r="G2812" s="156">
        <f>Tabla18[[#This Row],[Importe]]-Tabla18[[#This Row],[Pagado]]</f>
        <v>0</v>
      </c>
      <c r="H2812" s="75" t="s">
        <v>10</v>
      </c>
    </row>
    <row r="2813" spans="1:8" x14ac:dyDescent="0.25">
      <c r="A2813" s="148">
        <v>44769</v>
      </c>
      <c r="B2813" s="149" t="s">
        <v>24184</v>
      </c>
      <c r="C2813" s="153" t="s">
        <v>91</v>
      </c>
      <c r="D2813" s="154">
        <v>5160</v>
      </c>
      <c r="E2813" s="155">
        <v>44770</v>
      </c>
      <c r="F2813" s="154">
        <v>5160</v>
      </c>
      <c r="G2813" s="156">
        <f>Tabla18[[#This Row],[Importe]]-Tabla18[[#This Row],[Pagado]]</f>
        <v>0</v>
      </c>
      <c r="H2813" s="153" t="s">
        <v>10</v>
      </c>
    </row>
    <row r="2814" spans="1:8" x14ac:dyDescent="0.25">
      <c r="A2814" s="73">
        <v>44769</v>
      </c>
      <c r="B2814" s="74" t="s">
        <v>24185</v>
      </c>
      <c r="C2814" s="75" t="s">
        <v>10190</v>
      </c>
      <c r="D2814" s="81">
        <v>20298.599999999999</v>
      </c>
      <c r="E2814" s="151">
        <v>44769</v>
      </c>
      <c r="F2814" s="81">
        <v>20298.599999999999</v>
      </c>
      <c r="G2814" s="156">
        <f>Tabla18[[#This Row],[Importe]]-Tabla18[[#This Row],[Pagado]]</f>
        <v>0</v>
      </c>
      <c r="H2814" s="75" t="s">
        <v>10</v>
      </c>
    </row>
    <row r="2815" spans="1:8" x14ac:dyDescent="0.25">
      <c r="A2815" s="148">
        <v>44769</v>
      </c>
      <c r="B2815" s="149" t="s">
        <v>24186</v>
      </c>
      <c r="C2815" s="153" t="s">
        <v>4136</v>
      </c>
      <c r="D2815" s="154">
        <v>2901.1</v>
      </c>
      <c r="E2815" s="155">
        <v>44769</v>
      </c>
      <c r="F2815" s="154">
        <v>2901.1</v>
      </c>
      <c r="G2815" s="156">
        <f>Tabla18[[#This Row],[Importe]]-Tabla18[[#This Row],[Pagado]]</f>
        <v>0</v>
      </c>
      <c r="H2815" s="153" t="s">
        <v>10</v>
      </c>
    </row>
    <row r="2816" spans="1:8" x14ac:dyDescent="0.25">
      <c r="A2816" s="73">
        <v>44769</v>
      </c>
      <c r="B2816" s="74" t="s">
        <v>24187</v>
      </c>
      <c r="C2816" s="75" t="s">
        <v>414</v>
      </c>
      <c r="D2816" s="81">
        <v>26918</v>
      </c>
      <c r="E2816" s="151">
        <v>44786</v>
      </c>
      <c r="F2816" s="81">
        <v>26918</v>
      </c>
      <c r="G2816" s="156">
        <f>Tabla18[[#This Row],[Importe]]-Tabla18[[#This Row],[Pagado]]</f>
        <v>0</v>
      </c>
      <c r="H2816" s="75" t="s">
        <v>10</v>
      </c>
    </row>
    <row r="2817" spans="1:8" x14ac:dyDescent="0.25">
      <c r="A2817" s="148">
        <v>44769</v>
      </c>
      <c r="B2817" s="149" t="s">
        <v>24188</v>
      </c>
      <c r="C2817" s="153" t="s">
        <v>400</v>
      </c>
      <c r="D2817" s="154">
        <v>9953.2000000000007</v>
      </c>
      <c r="E2817" s="155">
        <v>44777</v>
      </c>
      <c r="F2817" s="154">
        <v>9953.2000000000007</v>
      </c>
      <c r="G2817" s="156">
        <f>Tabla18[[#This Row],[Importe]]-Tabla18[[#This Row],[Pagado]]</f>
        <v>0</v>
      </c>
      <c r="H2817" s="153" t="s">
        <v>10</v>
      </c>
    </row>
    <row r="2818" spans="1:8" x14ac:dyDescent="0.25">
      <c r="A2818" s="73">
        <v>44769</v>
      </c>
      <c r="B2818" s="74" t="s">
        <v>24189</v>
      </c>
      <c r="C2818" s="75" t="s">
        <v>402</v>
      </c>
      <c r="D2818" s="81">
        <v>30867.8</v>
      </c>
      <c r="E2818" s="151">
        <v>44777</v>
      </c>
      <c r="F2818" s="81">
        <v>30867.8</v>
      </c>
      <c r="G2818" s="156">
        <f>Tabla18[[#This Row],[Importe]]-Tabla18[[#This Row],[Pagado]]</f>
        <v>0</v>
      </c>
      <c r="H2818" s="75" t="s">
        <v>10</v>
      </c>
    </row>
    <row r="2819" spans="1:8" x14ac:dyDescent="0.25">
      <c r="A2819" s="148">
        <v>44769</v>
      </c>
      <c r="B2819" s="149" t="s">
        <v>24190</v>
      </c>
      <c r="C2819" s="153" t="s">
        <v>698</v>
      </c>
      <c r="D2819" s="154">
        <v>5880</v>
      </c>
      <c r="E2819" s="155">
        <v>44769</v>
      </c>
      <c r="F2819" s="154">
        <v>5880</v>
      </c>
      <c r="G2819" s="156">
        <f>Tabla18[[#This Row],[Importe]]-Tabla18[[#This Row],[Pagado]]</f>
        <v>0</v>
      </c>
      <c r="H2819" s="153" t="s">
        <v>10</v>
      </c>
    </row>
    <row r="2820" spans="1:8" x14ac:dyDescent="0.25">
      <c r="A2820" s="73">
        <v>44769</v>
      </c>
      <c r="B2820" s="74" t="s">
        <v>24191</v>
      </c>
      <c r="C2820" s="75" t="s">
        <v>419</v>
      </c>
      <c r="D2820" s="81">
        <v>4381.2</v>
      </c>
      <c r="E2820" s="151">
        <v>44769</v>
      </c>
      <c r="F2820" s="81">
        <v>4381.2</v>
      </c>
      <c r="G2820" s="156">
        <f>Tabla18[[#This Row],[Importe]]-Tabla18[[#This Row],[Pagado]]</f>
        <v>0</v>
      </c>
      <c r="H2820" s="75" t="s">
        <v>10</v>
      </c>
    </row>
    <row r="2821" spans="1:8" x14ac:dyDescent="0.25">
      <c r="A2821" s="148">
        <v>44769</v>
      </c>
      <c r="B2821" s="149" t="s">
        <v>24192</v>
      </c>
      <c r="C2821" s="153" t="s">
        <v>450</v>
      </c>
      <c r="D2821" s="154">
        <v>6090.4</v>
      </c>
      <c r="E2821" s="155">
        <v>44769</v>
      </c>
      <c r="F2821" s="154">
        <v>6090.4</v>
      </c>
      <c r="G2821" s="156">
        <f>Tabla18[[#This Row],[Importe]]-Tabla18[[#This Row],[Pagado]]</f>
        <v>0</v>
      </c>
      <c r="H2821" s="153" t="s">
        <v>10</v>
      </c>
    </row>
    <row r="2822" spans="1:8" x14ac:dyDescent="0.25">
      <c r="A2822" s="73">
        <v>44769</v>
      </c>
      <c r="B2822" s="74" t="s">
        <v>24193</v>
      </c>
      <c r="C2822" s="75" t="s">
        <v>450</v>
      </c>
      <c r="D2822" s="81">
        <v>617.4</v>
      </c>
      <c r="E2822" s="151">
        <v>44769</v>
      </c>
      <c r="F2822" s="81">
        <v>617.4</v>
      </c>
      <c r="G2822" s="156">
        <f>Tabla18[[#This Row],[Importe]]-Tabla18[[#This Row],[Pagado]]</f>
        <v>0</v>
      </c>
      <c r="H2822" s="75" t="s">
        <v>10</v>
      </c>
    </row>
    <row r="2823" spans="1:8" x14ac:dyDescent="0.25">
      <c r="A2823" s="148">
        <v>44769</v>
      </c>
      <c r="B2823" s="149" t="s">
        <v>24194</v>
      </c>
      <c r="C2823" s="153" t="s">
        <v>1174</v>
      </c>
      <c r="D2823" s="154">
        <v>18894.400000000001</v>
      </c>
      <c r="E2823" s="155">
        <v>44769</v>
      </c>
      <c r="F2823" s="154">
        <v>18894.400000000001</v>
      </c>
      <c r="G2823" s="156">
        <f>Tabla18[[#This Row],[Importe]]-Tabla18[[#This Row],[Pagado]]</f>
        <v>0</v>
      </c>
      <c r="H2823" s="153" t="s">
        <v>10</v>
      </c>
    </row>
    <row r="2824" spans="1:8" x14ac:dyDescent="0.25">
      <c r="A2824" s="73">
        <v>44769</v>
      </c>
      <c r="B2824" s="74" t="s">
        <v>24195</v>
      </c>
      <c r="C2824" s="75" t="s">
        <v>181</v>
      </c>
      <c r="D2824" s="81">
        <v>8421</v>
      </c>
      <c r="E2824" s="151">
        <v>44770</v>
      </c>
      <c r="F2824" s="81">
        <v>8421</v>
      </c>
      <c r="G2824" s="156">
        <f>Tabla18[[#This Row],[Importe]]-Tabla18[[#This Row],[Pagado]]</f>
        <v>0</v>
      </c>
      <c r="H2824" s="75" t="s">
        <v>10</v>
      </c>
    </row>
    <row r="2825" spans="1:8" x14ac:dyDescent="0.25">
      <c r="A2825" s="148">
        <v>44769</v>
      </c>
      <c r="B2825" s="149" t="s">
        <v>24196</v>
      </c>
      <c r="C2825" s="153" t="s">
        <v>263</v>
      </c>
      <c r="D2825" s="154">
        <v>242884.2</v>
      </c>
      <c r="E2825" s="155">
        <v>44770</v>
      </c>
      <c r="F2825" s="154">
        <v>242884.2</v>
      </c>
      <c r="G2825" s="156">
        <f>Tabla18[[#This Row],[Importe]]-Tabla18[[#This Row],[Pagado]]</f>
        <v>0</v>
      </c>
      <c r="H2825" s="153" t="s">
        <v>10</v>
      </c>
    </row>
    <row r="2826" spans="1:8" x14ac:dyDescent="0.25">
      <c r="A2826" s="73">
        <v>44769</v>
      </c>
      <c r="B2826" s="74" t="s">
        <v>24197</v>
      </c>
      <c r="C2826" s="75" t="s">
        <v>284</v>
      </c>
      <c r="D2826" s="81">
        <v>9030</v>
      </c>
      <c r="E2826" s="151">
        <v>44770</v>
      </c>
      <c r="F2826" s="81">
        <v>9030</v>
      </c>
      <c r="G2826" s="156">
        <f>Tabla18[[#This Row],[Importe]]-Tabla18[[#This Row],[Pagado]]</f>
        <v>0</v>
      </c>
      <c r="H2826" s="75" t="s">
        <v>10</v>
      </c>
    </row>
    <row r="2827" spans="1:8" x14ac:dyDescent="0.25">
      <c r="A2827" s="148">
        <v>44769</v>
      </c>
      <c r="B2827" s="149" t="s">
        <v>24198</v>
      </c>
      <c r="C2827" s="153" t="s">
        <v>1378</v>
      </c>
      <c r="D2827" s="154">
        <v>74460</v>
      </c>
      <c r="E2827" s="155">
        <v>44770</v>
      </c>
      <c r="F2827" s="154">
        <v>74460</v>
      </c>
      <c r="G2827" s="156">
        <f>Tabla18[[#This Row],[Importe]]-Tabla18[[#This Row],[Pagado]]</f>
        <v>0</v>
      </c>
      <c r="H2827" s="153" t="s">
        <v>10</v>
      </c>
    </row>
    <row r="2828" spans="1:8" x14ac:dyDescent="0.25">
      <c r="A2828" s="73">
        <v>44769</v>
      </c>
      <c r="B2828" s="74" t="s">
        <v>24199</v>
      </c>
      <c r="C2828" s="75" t="s">
        <v>282</v>
      </c>
      <c r="D2828" s="81">
        <v>1806</v>
      </c>
      <c r="E2828" s="151">
        <v>44770</v>
      </c>
      <c r="F2828" s="81">
        <v>1806</v>
      </c>
      <c r="G2828" s="156">
        <f>Tabla18[[#This Row],[Importe]]-Tabla18[[#This Row],[Pagado]]</f>
        <v>0</v>
      </c>
      <c r="H2828" s="75" t="s">
        <v>10</v>
      </c>
    </row>
    <row r="2829" spans="1:8" x14ac:dyDescent="0.25">
      <c r="A2829" s="148">
        <v>44769</v>
      </c>
      <c r="B2829" s="149" t="s">
        <v>24200</v>
      </c>
      <c r="C2829" s="153" t="s">
        <v>280</v>
      </c>
      <c r="D2829" s="154">
        <v>1367.4</v>
      </c>
      <c r="E2829" s="155">
        <v>44770</v>
      </c>
      <c r="F2829" s="154">
        <v>1367.4</v>
      </c>
      <c r="G2829" s="156">
        <f>Tabla18[[#This Row],[Importe]]-Tabla18[[#This Row],[Pagado]]</f>
        <v>0</v>
      </c>
      <c r="H2829" s="153" t="s">
        <v>10</v>
      </c>
    </row>
    <row r="2830" spans="1:8" x14ac:dyDescent="0.25">
      <c r="A2830" s="73">
        <v>44769</v>
      </c>
      <c r="B2830" s="74" t="s">
        <v>24201</v>
      </c>
      <c r="C2830" s="75" t="s">
        <v>10819</v>
      </c>
      <c r="D2830" s="81">
        <v>900</v>
      </c>
      <c r="E2830" s="151">
        <v>44770</v>
      </c>
      <c r="F2830" s="81">
        <v>900</v>
      </c>
      <c r="G2830" s="156">
        <f>Tabla18[[#This Row],[Importe]]-Tabla18[[#This Row],[Pagado]]</f>
        <v>0</v>
      </c>
      <c r="H2830" s="75" t="s">
        <v>10</v>
      </c>
    </row>
    <row r="2831" spans="1:8" x14ac:dyDescent="0.25">
      <c r="A2831" s="148">
        <v>44769</v>
      </c>
      <c r="B2831" s="149" t="s">
        <v>24202</v>
      </c>
      <c r="C2831" s="153" t="s">
        <v>1481</v>
      </c>
      <c r="D2831" s="154">
        <v>811.8</v>
      </c>
      <c r="E2831" s="155">
        <v>44770</v>
      </c>
      <c r="F2831" s="154">
        <v>811.8</v>
      </c>
      <c r="G2831" s="156">
        <f>Tabla18[[#This Row],[Importe]]-Tabla18[[#This Row],[Pagado]]</f>
        <v>0</v>
      </c>
      <c r="H2831" s="153" t="s">
        <v>10</v>
      </c>
    </row>
    <row r="2832" spans="1:8" x14ac:dyDescent="0.25">
      <c r="A2832" s="73">
        <v>44769</v>
      </c>
      <c r="B2832" s="74" t="s">
        <v>24203</v>
      </c>
      <c r="C2832" s="75" t="s">
        <v>200</v>
      </c>
      <c r="D2832" s="81">
        <v>1539.4</v>
      </c>
      <c r="E2832" s="151">
        <v>44770</v>
      </c>
      <c r="F2832" s="81">
        <v>1539.4</v>
      </c>
      <c r="G2832" s="156">
        <f>Tabla18[[#This Row],[Importe]]-Tabla18[[#This Row],[Pagado]]</f>
        <v>0</v>
      </c>
      <c r="H2832" s="75" t="s">
        <v>10</v>
      </c>
    </row>
    <row r="2833" spans="1:8" x14ac:dyDescent="0.25">
      <c r="A2833" s="148">
        <v>44769</v>
      </c>
      <c r="B2833" s="149" t="s">
        <v>24204</v>
      </c>
      <c r="C2833" s="153" t="s">
        <v>291</v>
      </c>
      <c r="D2833" s="154">
        <v>3456.5</v>
      </c>
      <c r="E2833" s="155">
        <v>44770</v>
      </c>
      <c r="F2833" s="154">
        <v>3456.5</v>
      </c>
      <c r="G2833" s="156">
        <f>Tabla18[[#This Row],[Importe]]-Tabla18[[#This Row],[Pagado]]</f>
        <v>0</v>
      </c>
      <c r="H2833" s="153" t="s">
        <v>10</v>
      </c>
    </row>
    <row r="2834" spans="1:8" x14ac:dyDescent="0.25">
      <c r="A2834" s="73">
        <v>44769</v>
      </c>
      <c r="B2834" s="74" t="s">
        <v>24205</v>
      </c>
      <c r="C2834" s="75" t="s">
        <v>31</v>
      </c>
      <c r="D2834" s="81">
        <v>1762.1</v>
      </c>
      <c r="E2834" s="151">
        <v>44769</v>
      </c>
      <c r="F2834" s="81">
        <v>1762.1</v>
      </c>
      <c r="G2834" s="156">
        <f>Tabla18[[#This Row],[Importe]]-Tabla18[[#This Row],[Pagado]]</f>
        <v>0</v>
      </c>
      <c r="H2834" s="75" t="s">
        <v>10</v>
      </c>
    </row>
    <row r="2835" spans="1:8" x14ac:dyDescent="0.25">
      <c r="A2835" s="148">
        <v>44769</v>
      </c>
      <c r="B2835" s="149" t="s">
        <v>24206</v>
      </c>
      <c r="C2835" s="153" t="s">
        <v>11383</v>
      </c>
      <c r="D2835" s="154">
        <v>29971.200000000001</v>
      </c>
      <c r="E2835" s="155">
        <v>44769</v>
      </c>
      <c r="F2835" s="154">
        <v>29971.200000000001</v>
      </c>
      <c r="G2835" s="156">
        <f>Tabla18[[#This Row],[Importe]]-Tabla18[[#This Row],[Pagado]]</f>
        <v>0</v>
      </c>
      <c r="H2835" s="153" t="s">
        <v>10</v>
      </c>
    </row>
    <row r="2836" spans="1:8" x14ac:dyDescent="0.25">
      <c r="A2836" s="73">
        <v>44769</v>
      </c>
      <c r="B2836" s="74" t="s">
        <v>24207</v>
      </c>
      <c r="C2836" s="75" t="s">
        <v>7862</v>
      </c>
      <c r="D2836" s="81">
        <v>13655.4</v>
      </c>
      <c r="E2836" s="151">
        <v>44769</v>
      </c>
      <c r="F2836" s="81">
        <v>13655.4</v>
      </c>
      <c r="G2836" s="156">
        <f>Tabla18[[#This Row],[Importe]]-Tabla18[[#This Row],[Pagado]]</f>
        <v>0</v>
      </c>
      <c r="H2836" s="75" t="s">
        <v>10</v>
      </c>
    </row>
    <row r="2837" spans="1:8" x14ac:dyDescent="0.25">
      <c r="A2837" s="148">
        <v>44769</v>
      </c>
      <c r="B2837" s="149" t="s">
        <v>24208</v>
      </c>
      <c r="C2837" s="153" t="s">
        <v>2377</v>
      </c>
      <c r="D2837" s="154">
        <v>35971.199999999997</v>
      </c>
      <c r="E2837" s="155">
        <v>44769</v>
      </c>
      <c r="F2837" s="154">
        <v>35971.199999999997</v>
      </c>
      <c r="G2837" s="156">
        <f>Tabla18[[#This Row],[Importe]]-Tabla18[[#This Row],[Pagado]]</f>
        <v>0</v>
      </c>
      <c r="H2837" s="153" t="s">
        <v>10</v>
      </c>
    </row>
    <row r="2838" spans="1:8" x14ac:dyDescent="0.25">
      <c r="A2838" s="73">
        <v>44769</v>
      </c>
      <c r="B2838" s="74" t="s">
        <v>24209</v>
      </c>
      <c r="C2838" s="75" t="s">
        <v>142</v>
      </c>
      <c r="D2838" s="81">
        <v>10947.2</v>
      </c>
      <c r="E2838" s="151" t="s">
        <v>4813</v>
      </c>
      <c r="F2838" s="81">
        <v>0</v>
      </c>
      <c r="G2838" s="156">
        <f>Tabla18[[#This Row],[Importe]]-Tabla18[[#This Row],[Pagado]]</f>
        <v>10947.2</v>
      </c>
      <c r="H2838" s="75" t="s">
        <v>4814</v>
      </c>
    </row>
    <row r="2839" spans="1:8" x14ac:dyDescent="0.25">
      <c r="A2839" s="148">
        <v>44769</v>
      </c>
      <c r="B2839" s="149" t="s">
        <v>24210</v>
      </c>
      <c r="C2839" s="153" t="s">
        <v>214</v>
      </c>
      <c r="D2839" s="154">
        <v>1616.8</v>
      </c>
      <c r="E2839" s="155">
        <v>44769</v>
      </c>
      <c r="F2839" s="154">
        <v>1616.8</v>
      </c>
      <c r="G2839" s="156">
        <f>Tabla18[[#This Row],[Importe]]-Tabla18[[#This Row],[Pagado]]</f>
        <v>0</v>
      </c>
      <c r="H2839" s="153" t="s">
        <v>10</v>
      </c>
    </row>
    <row r="2840" spans="1:8" x14ac:dyDescent="0.25">
      <c r="A2840" s="73">
        <v>44769</v>
      </c>
      <c r="B2840" s="74" t="s">
        <v>24211</v>
      </c>
      <c r="C2840" s="75" t="s">
        <v>31</v>
      </c>
      <c r="D2840" s="81">
        <v>791.2</v>
      </c>
      <c r="E2840" s="151">
        <v>44769</v>
      </c>
      <c r="F2840" s="81">
        <v>791.2</v>
      </c>
      <c r="G2840" s="156">
        <f>Tabla18[[#This Row],[Importe]]-Tabla18[[#This Row],[Pagado]]</f>
        <v>0</v>
      </c>
      <c r="H2840" s="75" t="s">
        <v>10</v>
      </c>
    </row>
    <row r="2841" spans="1:8" x14ac:dyDescent="0.25">
      <c r="A2841" s="148">
        <v>44769</v>
      </c>
      <c r="B2841" s="149" t="s">
        <v>24212</v>
      </c>
      <c r="C2841" s="153" t="s">
        <v>9577</v>
      </c>
      <c r="D2841" s="154">
        <v>36984.800000000003</v>
      </c>
      <c r="E2841" s="155">
        <v>44770</v>
      </c>
      <c r="F2841" s="154">
        <v>36984.800000000003</v>
      </c>
      <c r="G2841" s="156">
        <f>Tabla18[[#This Row],[Importe]]-Tabla18[[#This Row],[Pagado]]</f>
        <v>0</v>
      </c>
      <c r="H2841" s="153" t="s">
        <v>10</v>
      </c>
    </row>
    <row r="2842" spans="1:8" x14ac:dyDescent="0.25">
      <c r="A2842" s="73">
        <v>44769</v>
      </c>
      <c r="B2842" s="74" t="s">
        <v>24213</v>
      </c>
      <c r="C2842" s="75" t="s">
        <v>16</v>
      </c>
      <c r="D2842" s="81">
        <v>869.66</v>
      </c>
      <c r="E2842" s="151">
        <v>44769</v>
      </c>
      <c r="F2842" s="81">
        <v>869.66</v>
      </c>
      <c r="G2842" s="156">
        <f>Tabla18[[#This Row],[Importe]]-Tabla18[[#This Row],[Pagado]]</f>
        <v>0</v>
      </c>
      <c r="H2842" s="75" t="s">
        <v>10</v>
      </c>
    </row>
    <row r="2843" spans="1:8" x14ac:dyDescent="0.25">
      <c r="A2843" s="148">
        <v>44769</v>
      </c>
      <c r="B2843" s="149" t="s">
        <v>24214</v>
      </c>
      <c r="C2843" s="153" t="s">
        <v>1421</v>
      </c>
      <c r="D2843" s="154">
        <v>27219</v>
      </c>
      <c r="E2843" s="155">
        <v>44769</v>
      </c>
      <c r="F2843" s="154">
        <v>27219</v>
      </c>
      <c r="G2843" s="156">
        <f>Tabla18[[#This Row],[Importe]]-Tabla18[[#This Row],[Pagado]]</f>
        <v>0</v>
      </c>
      <c r="H2843" s="153" t="s">
        <v>10</v>
      </c>
    </row>
    <row r="2844" spans="1:8" x14ac:dyDescent="0.25">
      <c r="A2844" s="73">
        <v>44769</v>
      </c>
      <c r="B2844" s="74" t="s">
        <v>24215</v>
      </c>
      <c r="C2844" s="75" t="s">
        <v>31</v>
      </c>
      <c r="D2844" s="81">
        <v>2083.6999999999998</v>
      </c>
      <c r="E2844" s="151">
        <v>44769</v>
      </c>
      <c r="F2844" s="81">
        <v>2083.6999999999998</v>
      </c>
      <c r="G2844" s="156">
        <f>Tabla18[[#This Row],[Importe]]-Tabla18[[#This Row],[Pagado]]</f>
        <v>0</v>
      </c>
      <c r="H2844" s="75" t="s">
        <v>10</v>
      </c>
    </row>
    <row r="2845" spans="1:8" x14ac:dyDescent="0.25">
      <c r="A2845" s="148">
        <v>44769</v>
      </c>
      <c r="B2845" s="149" t="s">
        <v>24216</v>
      </c>
      <c r="C2845" s="153" t="s">
        <v>31</v>
      </c>
      <c r="D2845" s="154">
        <v>311</v>
      </c>
      <c r="E2845" s="155">
        <v>44769</v>
      </c>
      <c r="F2845" s="154">
        <v>311</v>
      </c>
      <c r="G2845" s="156">
        <f>Tabla18[[#This Row],[Importe]]-Tabla18[[#This Row],[Pagado]]</f>
        <v>0</v>
      </c>
      <c r="H2845" s="153" t="s">
        <v>10</v>
      </c>
    </row>
    <row r="2846" spans="1:8" x14ac:dyDescent="0.25">
      <c r="A2846" s="73">
        <v>44769</v>
      </c>
      <c r="B2846" s="74" t="s">
        <v>24217</v>
      </c>
      <c r="C2846" s="75" t="s">
        <v>196</v>
      </c>
      <c r="D2846" s="81">
        <v>159228.38</v>
      </c>
      <c r="E2846" s="151">
        <v>44771</v>
      </c>
      <c r="F2846" s="81">
        <v>159228.38</v>
      </c>
      <c r="G2846" s="156">
        <f>Tabla18[[#This Row],[Importe]]-Tabla18[[#This Row],[Pagado]]</f>
        <v>0</v>
      </c>
      <c r="H2846" s="75" t="s">
        <v>10</v>
      </c>
    </row>
    <row r="2847" spans="1:8" x14ac:dyDescent="0.25">
      <c r="A2847" s="148">
        <v>44769</v>
      </c>
      <c r="B2847" s="149" t="s">
        <v>24218</v>
      </c>
      <c r="C2847" s="153" t="s">
        <v>2139</v>
      </c>
      <c r="D2847" s="154">
        <v>1107</v>
      </c>
      <c r="E2847" s="155">
        <v>44769</v>
      </c>
      <c r="F2847" s="154">
        <v>1107</v>
      </c>
      <c r="G2847" s="156">
        <f>Tabla18[[#This Row],[Importe]]-Tabla18[[#This Row],[Pagado]]</f>
        <v>0</v>
      </c>
      <c r="H2847" s="153" t="s">
        <v>10</v>
      </c>
    </row>
    <row r="2848" spans="1:8" x14ac:dyDescent="0.25">
      <c r="A2848" s="73">
        <v>44769</v>
      </c>
      <c r="B2848" s="74" t="s">
        <v>24219</v>
      </c>
      <c r="C2848" s="75" t="s">
        <v>9415</v>
      </c>
      <c r="D2848" s="81">
        <v>28900.6</v>
      </c>
      <c r="E2848" s="151">
        <v>44770</v>
      </c>
      <c r="F2848" s="81">
        <v>28900.6</v>
      </c>
      <c r="G2848" s="156">
        <f>Tabla18[[#This Row],[Importe]]-Tabla18[[#This Row],[Pagado]]</f>
        <v>0</v>
      </c>
      <c r="H2848" s="75" t="s">
        <v>10</v>
      </c>
    </row>
    <row r="2849" spans="1:8" x14ac:dyDescent="0.25">
      <c r="A2849" s="148">
        <v>44769</v>
      </c>
      <c r="B2849" s="149" t="s">
        <v>24220</v>
      </c>
      <c r="C2849" s="153" t="s">
        <v>31</v>
      </c>
      <c r="D2849" s="154">
        <v>3997.4</v>
      </c>
      <c r="E2849" s="155">
        <v>44769</v>
      </c>
      <c r="F2849" s="154">
        <v>3997.4</v>
      </c>
      <c r="G2849" s="156">
        <f>Tabla18[[#This Row],[Importe]]-Tabla18[[#This Row],[Pagado]]</f>
        <v>0</v>
      </c>
      <c r="H2849" s="153" t="s">
        <v>10</v>
      </c>
    </row>
    <row r="2850" spans="1:8" x14ac:dyDescent="0.25">
      <c r="A2850" s="73">
        <v>44769</v>
      </c>
      <c r="B2850" s="74" t="s">
        <v>24221</v>
      </c>
      <c r="C2850" s="75" t="s">
        <v>31</v>
      </c>
      <c r="D2850" s="81">
        <v>1957.2</v>
      </c>
      <c r="E2850" s="151">
        <v>44769</v>
      </c>
      <c r="F2850" s="81">
        <v>1957.2</v>
      </c>
      <c r="G2850" s="156">
        <f>Tabla18[[#This Row],[Importe]]-Tabla18[[#This Row],[Pagado]]</f>
        <v>0</v>
      </c>
      <c r="H2850" s="75" t="s">
        <v>10</v>
      </c>
    </row>
    <row r="2851" spans="1:8" x14ac:dyDescent="0.25">
      <c r="A2851" s="148">
        <v>44769</v>
      </c>
      <c r="B2851" s="149" t="s">
        <v>24222</v>
      </c>
      <c r="C2851" s="153" t="s">
        <v>69</v>
      </c>
      <c r="D2851" s="154">
        <v>1599.6</v>
      </c>
      <c r="E2851" s="155">
        <v>44769</v>
      </c>
      <c r="F2851" s="154">
        <v>1599.6</v>
      </c>
      <c r="G2851" s="156">
        <f>Tabla18[[#This Row],[Importe]]-Tabla18[[#This Row],[Pagado]]</f>
        <v>0</v>
      </c>
      <c r="H2851" s="153" t="s">
        <v>10</v>
      </c>
    </row>
    <row r="2852" spans="1:8" x14ac:dyDescent="0.25">
      <c r="A2852" s="73">
        <v>44769</v>
      </c>
      <c r="B2852" s="74" t="s">
        <v>24223</v>
      </c>
      <c r="C2852" s="75" t="s">
        <v>151</v>
      </c>
      <c r="D2852" s="81">
        <v>37589.760000000002</v>
      </c>
      <c r="E2852" s="151">
        <v>44770</v>
      </c>
      <c r="F2852" s="81">
        <v>37589.760000000002</v>
      </c>
      <c r="G2852" s="156">
        <f>Tabla18[[#This Row],[Importe]]-Tabla18[[#This Row],[Pagado]]</f>
        <v>0</v>
      </c>
      <c r="H2852" s="75" t="s">
        <v>10</v>
      </c>
    </row>
    <row r="2853" spans="1:8" x14ac:dyDescent="0.25">
      <c r="A2853" s="148">
        <v>44769</v>
      </c>
      <c r="B2853" s="149" t="s">
        <v>24224</v>
      </c>
      <c r="C2853" s="153" t="s">
        <v>296</v>
      </c>
      <c r="D2853" s="154">
        <v>1522.5</v>
      </c>
      <c r="E2853" s="155">
        <v>44769</v>
      </c>
      <c r="F2853" s="154">
        <v>1522.5</v>
      </c>
      <c r="G2853" s="156">
        <f>Tabla18[[#This Row],[Importe]]-Tabla18[[#This Row],[Pagado]]</f>
        <v>0</v>
      </c>
      <c r="H2853" s="153" t="s">
        <v>10</v>
      </c>
    </row>
    <row r="2854" spans="1:8" x14ac:dyDescent="0.25">
      <c r="A2854" s="73">
        <v>44769</v>
      </c>
      <c r="B2854" s="74" t="s">
        <v>24225</v>
      </c>
      <c r="C2854" s="75" t="s">
        <v>175</v>
      </c>
      <c r="D2854" s="81">
        <v>13003.5</v>
      </c>
      <c r="E2854" s="151">
        <v>44770</v>
      </c>
      <c r="F2854" s="81">
        <v>13003.5</v>
      </c>
      <c r="G2854" s="156">
        <f>Tabla18[[#This Row],[Importe]]-Tabla18[[#This Row],[Pagado]]</f>
        <v>0</v>
      </c>
      <c r="H2854" s="75" t="s">
        <v>10</v>
      </c>
    </row>
    <row r="2855" spans="1:8" x14ac:dyDescent="0.25">
      <c r="A2855" s="148">
        <v>44770</v>
      </c>
      <c r="B2855" s="149" t="s">
        <v>24226</v>
      </c>
      <c r="C2855" s="153" t="s">
        <v>887</v>
      </c>
      <c r="D2855" s="154">
        <v>16136.3</v>
      </c>
      <c r="E2855" s="155">
        <v>44770</v>
      </c>
      <c r="F2855" s="154">
        <v>16136.3</v>
      </c>
      <c r="G2855" s="156">
        <f>Tabla18[[#This Row],[Importe]]-Tabla18[[#This Row],[Pagado]]</f>
        <v>0</v>
      </c>
      <c r="H2855" s="153" t="s">
        <v>10</v>
      </c>
    </row>
    <row r="2856" spans="1:8" ht="31.5" x14ac:dyDescent="0.25">
      <c r="A2856" s="73">
        <v>44770</v>
      </c>
      <c r="B2856" s="74" t="s">
        <v>24227</v>
      </c>
      <c r="C2856" s="75" t="s">
        <v>475</v>
      </c>
      <c r="D2856" s="81">
        <v>90888.1</v>
      </c>
      <c r="E2856" s="147" t="s">
        <v>24228</v>
      </c>
      <c r="F2856" s="81">
        <f>51500+39388.1</f>
        <v>90888.1</v>
      </c>
      <c r="G2856" s="156">
        <f>Tabla18[[#This Row],[Importe]]-Tabla18[[#This Row],[Pagado]]</f>
        <v>0</v>
      </c>
      <c r="H2856" s="75" t="s">
        <v>10</v>
      </c>
    </row>
    <row r="2857" spans="1:8" x14ac:dyDescent="0.25">
      <c r="A2857" s="148">
        <v>44770</v>
      </c>
      <c r="B2857" s="149" t="s">
        <v>24229</v>
      </c>
      <c r="C2857" s="153" t="s">
        <v>618</v>
      </c>
      <c r="D2857" s="154">
        <v>11065.6</v>
      </c>
      <c r="E2857" s="155">
        <v>44770</v>
      </c>
      <c r="F2857" s="154">
        <v>11065.6</v>
      </c>
      <c r="G2857" s="156">
        <f>Tabla18[[#This Row],[Importe]]-Tabla18[[#This Row],[Pagado]]</f>
        <v>0</v>
      </c>
      <c r="H2857" s="153" t="s">
        <v>10</v>
      </c>
    </row>
    <row r="2858" spans="1:8" x14ac:dyDescent="0.25">
      <c r="A2858" s="73">
        <v>44770</v>
      </c>
      <c r="B2858" s="74" t="s">
        <v>24230</v>
      </c>
      <c r="C2858" s="75" t="s">
        <v>473</v>
      </c>
      <c r="D2858" s="81">
        <v>7798.8</v>
      </c>
      <c r="E2858" s="151">
        <v>44770</v>
      </c>
      <c r="F2858" s="81">
        <v>7798.8</v>
      </c>
      <c r="G2858" s="156">
        <f>Tabla18[[#This Row],[Importe]]-Tabla18[[#This Row],[Pagado]]</f>
        <v>0</v>
      </c>
      <c r="H2858" s="75" t="s">
        <v>10</v>
      </c>
    </row>
    <row r="2859" spans="1:8" x14ac:dyDescent="0.25">
      <c r="A2859" s="148">
        <v>44770</v>
      </c>
      <c r="B2859" s="149" t="s">
        <v>24231</v>
      </c>
      <c r="C2859" s="153" t="s">
        <v>75</v>
      </c>
      <c r="D2859" s="154">
        <v>8961.2000000000007</v>
      </c>
      <c r="E2859" s="155">
        <v>44770</v>
      </c>
      <c r="F2859" s="154">
        <v>8961.2000000000007</v>
      </c>
      <c r="G2859" s="156">
        <f>Tabla18[[#This Row],[Importe]]-Tabla18[[#This Row],[Pagado]]</f>
        <v>0</v>
      </c>
      <c r="H2859" s="153" t="s">
        <v>10</v>
      </c>
    </row>
    <row r="2860" spans="1:8" x14ac:dyDescent="0.25">
      <c r="A2860" s="73">
        <v>44770</v>
      </c>
      <c r="B2860" s="74" t="s">
        <v>24232</v>
      </c>
      <c r="C2860" s="75" t="s">
        <v>18</v>
      </c>
      <c r="D2860" s="81">
        <v>1871.2</v>
      </c>
      <c r="E2860" s="151">
        <v>44770</v>
      </c>
      <c r="F2860" s="81">
        <v>1871.2</v>
      </c>
      <c r="G2860" s="156">
        <f>Tabla18[[#This Row],[Importe]]-Tabla18[[#This Row],[Pagado]]</f>
        <v>0</v>
      </c>
      <c r="H2860" s="75" t="s">
        <v>10</v>
      </c>
    </row>
    <row r="2861" spans="1:8" x14ac:dyDescent="0.25">
      <c r="A2861" s="148">
        <v>44770</v>
      </c>
      <c r="B2861" s="149" t="s">
        <v>24233</v>
      </c>
      <c r="C2861" s="153" t="s">
        <v>114</v>
      </c>
      <c r="D2861" s="154">
        <v>5542.4</v>
      </c>
      <c r="E2861" s="155">
        <v>44771</v>
      </c>
      <c r="F2861" s="154">
        <v>5542.4</v>
      </c>
      <c r="G2861" s="156">
        <f>Tabla18[[#This Row],[Importe]]-Tabla18[[#This Row],[Pagado]]</f>
        <v>0</v>
      </c>
      <c r="H2861" s="153" t="s">
        <v>10</v>
      </c>
    </row>
    <row r="2862" spans="1:8" x14ac:dyDescent="0.25">
      <c r="A2862" s="73">
        <v>44770</v>
      </c>
      <c r="B2862" s="74" t="s">
        <v>24234</v>
      </c>
      <c r="C2862" s="75" t="s">
        <v>60</v>
      </c>
      <c r="D2862" s="81">
        <v>5299.8</v>
      </c>
      <c r="E2862" s="151">
        <v>44773</v>
      </c>
      <c r="F2862" s="81">
        <v>5299.8</v>
      </c>
      <c r="G2862" s="156">
        <f>Tabla18[[#This Row],[Importe]]-Tabla18[[#This Row],[Pagado]]</f>
        <v>0</v>
      </c>
      <c r="H2862" s="75" t="s">
        <v>10</v>
      </c>
    </row>
    <row r="2863" spans="1:8" x14ac:dyDescent="0.25">
      <c r="A2863" s="148">
        <v>44770</v>
      </c>
      <c r="B2863" s="149" t="s">
        <v>24235</v>
      </c>
      <c r="C2863" s="153" t="s">
        <v>5043</v>
      </c>
      <c r="D2863" s="154">
        <v>5022.6000000000004</v>
      </c>
      <c r="E2863" s="155">
        <v>44772</v>
      </c>
      <c r="F2863" s="154">
        <v>5022.6000000000004</v>
      </c>
      <c r="G2863" s="156">
        <f>Tabla18[[#This Row],[Importe]]-Tabla18[[#This Row],[Pagado]]</f>
        <v>0</v>
      </c>
      <c r="H2863" s="153" t="s">
        <v>10</v>
      </c>
    </row>
    <row r="2864" spans="1:8" x14ac:dyDescent="0.25">
      <c r="A2864" s="73">
        <v>44770</v>
      </c>
      <c r="B2864" s="74" t="s">
        <v>24236</v>
      </c>
      <c r="C2864" s="75" t="s">
        <v>64</v>
      </c>
      <c r="D2864" s="81">
        <v>6157.8</v>
      </c>
      <c r="E2864" s="151">
        <v>44772</v>
      </c>
      <c r="F2864" s="81">
        <v>6157.8</v>
      </c>
      <c r="G2864" s="156">
        <f>Tabla18[[#This Row],[Importe]]-Tabla18[[#This Row],[Pagado]]</f>
        <v>0</v>
      </c>
      <c r="H2864" s="75" t="s">
        <v>10</v>
      </c>
    </row>
    <row r="2865" spans="1:8" x14ac:dyDescent="0.25">
      <c r="A2865" s="148">
        <v>44770</v>
      </c>
      <c r="B2865" s="149" t="s">
        <v>24237</v>
      </c>
      <c r="C2865" s="153" t="s">
        <v>111</v>
      </c>
      <c r="D2865" s="154">
        <v>5644.8</v>
      </c>
      <c r="E2865" s="155">
        <v>44771</v>
      </c>
      <c r="F2865" s="154">
        <v>5644.8</v>
      </c>
      <c r="G2865" s="156">
        <f>Tabla18[[#This Row],[Importe]]-Tabla18[[#This Row],[Pagado]]</f>
        <v>0</v>
      </c>
      <c r="H2865" s="153" t="s">
        <v>10</v>
      </c>
    </row>
    <row r="2866" spans="1:8" x14ac:dyDescent="0.25">
      <c r="A2866" s="73">
        <v>44770</v>
      </c>
      <c r="B2866" s="74" t="s">
        <v>24238</v>
      </c>
      <c r="C2866" s="75" t="s">
        <v>97</v>
      </c>
      <c r="D2866" s="81">
        <v>5200.8</v>
      </c>
      <c r="E2866" s="151">
        <v>44771</v>
      </c>
      <c r="F2866" s="81">
        <v>5200.8</v>
      </c>
      <c r="G2866" s="156">
        <f>Tabla18[[#This Row],[Importe]]-Tabla18[[#This Row],[Pagado]]</f>
        <v>0</v>
      </c>
      <c r="H2866" s="75" t="s">
        <v>10</v>
      </c>
    </row>
    <row r="2867" spans="1:8" x14ac:dyDescent="0.25">
      <c r="A2867" s="148">
        <v>44770</v>
      </c>
      <c r="B2867" s="149" t="s">
        <v>24239</v>
      </c>
      <c r="C2867" s="153" t="s">
        <v>89</v>
      </c>
      <c r="D2867" s="154">
        <v>10362</v>
      </c>
      <c r="E2867" s="155">
        <v>44771</v>
      </c>
      <c r="F2867" s="154">
        <v>10362</v>
      </c>
      <c r="G2867" s="156">
        <f>Tabla18[[#This Row],[Importe]]-Tabla18[[#This Row],[Pagado]]</f>
        <v>0</v>
      </c>
      <c r="H2867" s="153" t="s">
        <v>10</v>
      </c>
    </row>
    <row r="2868" spans="1:8" x14ac:dyDescent="0.25">
      <c r="A2868" s="73">
        <v>44770</v>
      </c>
      <c r="B2868" s="74" t="s">
        <v>24240</v>
      </c>
      <c r="C2868" s="75" t="s">
        <v>481</v>
      </c>
      <c r="D2868" s="81">
        <v>2234.6</v>
      </c>
      <c r="E2868" s="151">
        <v>44770</v>
      </c>
      <c r="F2868" s="81">
        <v>2234.6</v>
      </c>
      <c r="G2868" s="156">
        <f>Tabla18[[#This Row],[Importe]]-Tabla18[[#This Row],[Pagado]]</f>
        <v>0</v>
      </c>
      <c r="H2868" s="75" t="s">
        <v>10</v>
      </c>
    </row>
    <row r="2869" spans="1:8" x14ac:dyDescent="0.25">
      <c r="A2869" s="148">
        <v>44770</v>
      </c>
      <c r="B2869" s="149" t="s">
        <v>24241</v>
      </c>
      <c r="C2869" s="153" t="s">
        <v>99</v>
      </c>
      <c r="D2869" s="154">
        <v>4039.2</v>
      </c>
      <c r="E2869" s="155">
        <v>44772</v>
      </c>
      <c r="F2869" s="154">
        <v>4039.2</v>
      </c>
      <c r="G2869" s="156">
        <f>Tabla18[[#This Row],[Importe]]-Tabla18[[#This Row],[Pagado]]</f>
        <v>0</v>
      </c>
      <c r="H2869" s="153" t="s">
        <v>10</v>
      </c>
    </row>
    <row r="2870" spans="1:8" x14ac:dyDescent="0.25">
      <c r="A2870" s="73">
        <v>44770</v>
      </c>
      <c r="B2870" s="74" t="s">
        <v>24242</v>
      </c>
      <c r="C2870" s="75" t="s">
        <v>2151</v>
      </c>
      <c r="D2870" s="81">
        <v>19939.8</v>
      </c>
      <c r="E2870" s="151">
        <v>44770</v>
      </c>
      <c r="F2870" s="81">
        <v>19939.8</v>
      </c>
      <c r="G2870" s="156">
        <f>Tabla18[[#This Row],[Importe]]-Tabla18[[#This Row],[Pagado]]</f>
        <v>0</v>
      </c>
      <c r="H2870" s="75" t="s">
        <v>10</v>
      </c>
    </row>
    <row r="2871" spans="1:8" x14ac:dyDescent="0.25">
      <c r="A2871" s="148">
        <v>44770</v>
      </c>
      <c r="B2871" s="149" t="s">
        <v>24243</v>
      </c>
      <c r="C2871" s="153" t="s">
        <v>105</v>
      </c>
      <c r="D2871" s="154">
        <v>7609.2</v>
      </c>
      <c r="E2871" s="155">
        <v>44771</v>
      </c>
      <c r="F2871" s="154">
        <v>7609.2</v>
      </c>
      <c r="G2871" s="156">
        <f>Tabla18[[#This Row],[Importe]]-Tabla18[[#This Row],[Pagado]]</f>
        <v>0</v>
      </c>
      <c r="H2871" s="153" t="s">
        <v>10</v>
      </c>
    </row>
    <row r="2872" spans="1:8" x14ac:dyDescent="0.25">
      <c r="A2872" s="73">
        <v>44770</v>
      </c>
      <c r="B2872" s="74" t="s">
        <v>24244</v>
      </c>
      <c r="C2872" s="75" t="s">
        <v>326</v>
      </c>
      <c r="D2872" s="81">
        <v>2968.8</v>
      </c>
      <c r="E2872" s="151">
        <v>44770</v>
      </c>
      <c r="F2872" s="81">
        <v>2968.8</v>
      </c>
      <c r="G2872" s="156">
        <f>Tabla18[[#This Row],[Importe]]-Tabla18[[#This Row],[Pagado]]</f>
        <v>0</v>
      </c>
      <c r="H2872" s="75" t="s">
        <v>10</v>
      </c>
    </row>
    <row r="2873" spans="1:8" ht="31.5" x14ac:dyDescent="0.25">
      <c r="A2873" s="148">
        <v>44770</v>
      </c>
      <c r="B2873" s="149" t="s">
        <v>24245</v>
      </c>
      <c r="C2873" s="153" t="s">
        <v>93</v>
      </c>
      <c r="D2873" s="154">
        <v>10468.799999999999</v>
      </c>
      <c r="E2873" s="150" t="s">
        <v>24228</v>
      </c>
      <c r="F2873" s="154">
        <f>5000+5468.8</f>
        <v>10468.799999999999</v>
      </c>
      <c r="G2873" s="156">
        <f>Tabla18[[#This Row],[Importe]]-Tabla18[[#This Row],[Pagado]]</f>
        <v>0</v>
      </c>
      <c r="H2873" s="153" t="s">
        <v>10</v>
      </c>
    </row>
    <row r="2874" spans="1:8" x14ac:dyDescent="0.25">
      <c r="A2874" s="73">
        <v>44770</v>
      </c>
      <c r="B2874" s="74" t="s">
        <v>24246</v>
      </c>
      <c r="C2874" s="75" t="s">
        <v>95</v>
      </c>
      <c r="D2874" s="81">
        <v>29060</v>
      </c>
      <c r="E2874" s="151">
        <v>44770</v>
      </c>
      <c r="F2874" s="81">
        <v>29060</v>
      </c>
      <c r="G2874" s="156">
        <f>Tabla18[[#This Row],[Importe]]-Tabla18[[#This Row],[Pagado]]</f>
        <v>0</v>
      </c>
      <c r="H2874" s="75" t="s">
        <v>10</v>
      </c>
    </row>
    <row r="2875" spans="1:8" x14ac:dyDescent="0.25">
      <c r="A2875" s="148">
        <v>44770</v>
      </c>
      <c r="B2875" s="149" t="s">
        <v>24247</v>
      </c>
      <c r="C2875" s="153" t="s">
        <v>348</v>
      </c>
      <c r="D2875" s="154">
        <v>7127.2</v>
      </c>
      <c r="E2875" s="155">
        <v>44770</v>
      </c>
      <c r="F2875" s="154">
        <v>7127.2</v>
      </c>
      <c r="G2875" s="156">
        <f>Tabla18[[#This Row],[Importe]]-Tabla18[[#This Row],[Pagado]]</f>
        <v>0</v>
      </c>
      <c r="H2875" s="153" t="s">
        <v>10</v>
      </c>
    </row>
    <row r="2876" spans="1:8" x14ac:dyDescent="0.25">
      <c r="A2876" s="73">
        <v>44770</v>
      </c>
      <c r="B2876" s="74" t="s">
        <v>24248</v>
      </c>
      <c r="C2876" s="75" t="s">
        <v>9</v>
      </c>
      <c r="D2876" s="81">
        <v>8046.4</v>
      </c>
      <c r="E2876" s="151">
        <v>44770</v>
      </c>
      <c r="F2876" s="81">
        <v>8046.4</v>
      </c>
      <c r="G2876" s="156">
        <f>Tabla18[[#This Row],[Importe]]-Tabla18[[#This Row],[Pagado]]</f>
        <v>0</v>
      </c>
      <c r="H2876" s="75" t="s">
        <v>10</v>
      </c>
    </row>
    <row r="2877" spans="1:8" x14ac:dyDescent="0.25">
      <c r="A2877" s="148">
        <v>44770</v>
      </c>
      <c r="B2877" s="149" t="s">
        <v>24249</v>
      </c>
      <c r="C2877" s="153" t="s">
        <v>1187</v>
      </c>
      <c r="D2877" s="154">
        <v>2800.6</v>
      </c>
      <c r="E2877" s="155">
        <v>44770</v>
      </c>
      <c r="F2877" s="154">
        <v>2800.6</v>
      </c>
      <c r="G2877" s="156">
        <f>Tabla18[[#This Row],[Importe]]-Tabla18[[#This Row],[Pagado]]</f>
        <v>0</v>
      </c>
      <c r="H2877" s="153" t="s">
        <v>10</v>
      </c>
    </row>
    <row r="2878" spans="1:8" x14ac:dyDescent="0.25">
      <c r="A2878" s="73">
        <v>44770</v>
      </c>
      <c r="B2878" s="74" t="s">
        <v>24250</v>
      </c>
      <c r="C2878" s="75" t="s">
        <v>924</v>
      </c>
      <c r="D2878" s="81">
        <v>12036.3</v>
      </c>
      <c r="E2878" s="151">
        <v>44770</v>
      </c>
      <c r="F2878" s="81">
        <v>12036.3</v>
      </c>
      <c r="G2878" s="156">
        <f>Tabla18[[#This Row],[Importe]]-Tabla18[[#This Row],[Pagado]]</f>
        <v>0</v>
      </c>
      <c r="H2878" s="75" t="s">
        <v>10</v>
      </c>
    </row>
    <row r="2879" spans="1:8" x14ac:dyDescent="0.25">
      <c r="A2879" s="148">
        <v>44770</v>
      </c>
      <c r="B2879" s="149" t="s">
        <v>24251</v>
      </c>
      <c r="C2879" s="153" t="s">
        <v>222</v>
      </c>
      <c r="D2879" s="154">
        <v>14119.4</v>
      </c>
      <c r="E2879" s="155">
        <v>44770</v>
      </c>
      <c r="F2879" s="154">
        <v>14119.4</v>
      </c>
      <c r="G2879" s="156">
        <f>Tabla18[[#This Row],[Importe]]-Tabla18[[#This Row],[Pagado]]</f>
        <v>0</v>
      </c>
      <c r="H2879" s="153" t="s">
        <v>10</v>
      </c>
    </row>
    <row r="2880" spans="1:8" x14ac:dyDescent="0.25">
      <c r="A2880" s="73">
        <v>44770</v>
      </c>
      <c r="B2880" s="74" t="s">
        <v>24252</v>
      </c>
      <c r="C2880" s="75" t="s">
        <v>79</v>
      </c>
      <c r="D2880" s="81">
        <v>18584.8</v>
      </c>
      <c r="E2880" s="151">
        <v>44770</v>
      </c>
      <c r="F2880" s="81">
        <v>18584.8</v>
      </c>
      <c r="G2880" s="156">
        <f>Tabla18[[#This Row],[Importe]]-Tabla18[[#This Row],[Pagado]]</f>
        <v>0</v>
      </c>
      <c r="H2880" s="75" t="s">
        <v>10</v>
      </c>
    </row>
    <row r="2881" spans="1:8" x14ac:dyDescent="0.25">
      <c r="A2881" s="148">
        <v>44770</v>
      </c>
      <c r="B2881" s="149" t="s">
        <v>24253</v>
      </c>
      <c r="C2881" s="153" t="s">
        <v>45</v>
      </c>
      <c r="D2881" s="154">
        <v>16756.2</v>
      </c>
      <c r="E2881" s="155">
        <v>44770</v>
      </c>
      <c r="F2881" s="154">
        <v>16756.2</v>
      </c>
      <c r="G2881" s="156">
        <f>Tabla18[[#This Row],[Importe]]-Tabla18[[#This Row],[Pagado]]</f>
        <v>0</v>
      </c>
      <c r="H2881" s="153" t="s">
        <v>10</v>
      </c>
    </row>
    <row r="2882" spans="1:8" x14ac:dyDescent="0.25">
      <c r="A2882" s="73">
        <v>44770</v>
      </c>
      <c r="B2882" s="74" t="s">
        <v>24254</v>
      </c>
      <c r="C2882" s="75" t="s">
        <v>196</v>
      </c>
      <c r="D2882" s="81">
        <v>77241.66</v>
      </c>
      <c r="E2882" s="151">
        <v>44771</v>
      </c>
      <c r="F2882" s="81">
        <v>77241.66</v>
      </c>
      <c r="G2882" s="156">
        <f>Tabla18[[#This Row],[Importe]]-Tabla18[[#This Row],[Pagado]]</f>
        <v>0</v>
      </c>
      <c r="H2882" s="75" t="s">
        <v>10</v>
      </c>
    </row>
    <row r="2883" spans="1:8" x14ac:dyDescent="0.25">
      <c r="A2883" s="148">
        <v>44770</v>
      </c>
      <c r="B2883" s="149" t="s">
        <v>24255</v>
      </c>
      <c r="C2883" s="153" t="s">
        <v>83</v>
      </c>
      <c r="D2883" s="154">
        <v>6340</v>
      </c>
      <c r="E2883" s="155">
        <v>44770</v>
      </c>
      <c r="F2883" s="154">
        <v>6340</v>
      </c>
      <c r="G2883" s="156">
        <f>Tabla18[[#This Row],[Importe]]-Tabla18[[#This Row],[Pagado]]</f>
        <v>0</v>
      </c>
      <c r="H2883" s="153" t="s">
        <v>10</v>
      </c>
    </row>
    <row r="2884" spans="1:8" x14ac:dyDescent="0.25">
      <c r="A2884" s="73">
        <v>44770</v>
      </c>
      <c r="B2884" s="74" t="s">
        <v>24256</v>
      </c>
      <c r="C2884" s="75" t="s">
        <v>647</v>
      </c>
      <c r="D2884" s="81">
        <v>4455.6000000000004</v>
      </c>
      <c r="E2884" s="151">
        <v>44770</v>
      </c>
      <c r="F2884" s="81">
        <v>4455.6000000000004</v>
      </c>
      <c r="G2884" s="156">
        <f>Tabla18[[#This Row],[Importe]]-Tabla18[[#This Row],[Pagado]]</f>
        <v>0</v>
      </c>
      <c r="H2884" s="75" t="s">
        <v>10</v>
      </c>
    </row>
    <row r="2885" spans="1:8" x14ac:dyDescent="0.25">
      <c r="A2885" s="148">
        <v>44770</v>
      </c>
      <c r="B2885" s="149" t="s">
        <v>24257</v>
      </c>
      <c r="C2885" s="153" t="s">
        <v>647</v>
      </c>
      <c r="D2885" s="154">
        <v>3277.6</v>
      </c>
      <c r="E2885" s="155">
        <v>44770</v>
      </c>
      <c r="F2885" s="154">
        <v>3277.6</v>
      </c>
      <c r="G2885" s="156">
        <f>Tabla18[[#This Row],[Importe]]-Tabla18[[#This Row],[Pagado]]</f>
        <v>0</v>
      </c>
      <c r="H2885" s="153" t="s">
        <v>10</v>
      </c>
    </row>
    <row r="2886" spans="1:8" x14ac:dyDescent="0.25">
      <c r="A2886" s="73">
        <v>44770</v>
      </c>
      <c r="B2886" s="74" t="s">
        <v>24258</v>
      </c>
      <c r="C2886" s="75" t="s">
        <v>348</v>
      </c>
      <c r="D2886" s="81">
        <v>5583.6</v>
      </c>
      <c r="E2886" s="151">
        <v>44770</v>
      </c>
      <c r="F2886" s="81">
        <v>5583.6</v>
      </c>
      <c r="G2886" s="156">
        <f>Tabla18[[#This Row],[Importe]]-Tabla18[[#This Row],[Pagado]]</f>
        <v>0</v>
      </c>
      <c r="H2886" s="75" t="s">
        <v>10</v>
      </c>
    </row>
    <row r="2887" spans="1:8" x14ac:dyDescent="0.25">
      <c r="A2887" s="148">
        <v>44770</v>
      </c>
      <c r="B2887" s="149" t="s">
        <v>24259</v>
      </c>
      <c r="C2887" s="153" t="s">
        <v>56</v>
      </c>
      <c r="D2887" s="154">
        <v>6508.6</v>
      </c>
      <c r="E2887" s="155">
        <v>44770</v>
      </c>
      <c r="F2887" s="154">
        <v>6508.6</v>
      </c>
      <c r="G2887" s="156">
        <f>Tabla18[[#This Row],[Importe]]-Tabla18[[#This Row],[Pagado]]</f>
        <v>0</v>
      </c>
      <c r="H2887" s="153" t="s">
        <v>10</v>
      </c>
    </row>
    <row r="2888" spans="1:8" x14ac:dyDescent="0.25">
      <c r="A2888" s="73">
        <v>44770</v>
      </c>
      <c r="B2888" s="74" t="s">
        <v>24260</v>
      </c>
      <c r="C2888" s="75" t="s">
        <v>348</v>
      </c>
      <c r="D2888" s="81">
        <v>1280.5</v>
      </c>
      <c r="E2888" s="151">
        <v>44770</v>
      </c>
      <c r="F2888" s="81">
        <v>1280.5</v>
      </c>
      <c r="G2888" s="156">
        <f>Tabla18[[#This Row],[Importe]]-Tabla18[[#This Row],[Pagado]]</f>
        <v>0</v>
      </c>
      <c r="H2888" s="75" t="s">
        <v>10</v>
      </c>
    </row>
    <row r="2889" spans="1:8" x14ac:dyDescent="0.25">
      <c r="A2889" s="148">
        <v>44770</v>
      </c>
      <c r="B2889" s="149" t="s">
        <v>24261</v>
      </c>
      <c r="C2889" s="153" t="s">
        <v>140</v>
      </c>
      <c r="D2889" s="154">
        <v>6850.2</v>
      </c>
      <c r="E2889" s="155">
        <v>44770</v>
      </c>
      <c r="F2889" s="154">
        <v>6850.2</v>
      </c>
      <c r="G2889" s="156">
        <f>Tabla18[[#This Row],[Importe]]-Tabla18[[#This Row],[Pagado]]</f>
        <v>0</v>
      </c>
      <c r="H2889" s="153" t="s">
        <v>10</v>
      </c>
    </row>
    <row r="2890" spans="1:8" x14ac:dyDescent="0.25">
      <c r="A2890" s="73">
        <v>44770</v>
      </c>
      <c r="B2890" s="74" t="s">
        <v>24262</v>
      </c>
      <c r="C2890" s="75" t="s">
        <v>140</v>
      </c>
      <c r="D2890" s="81">
        <v>325</v>
      </c>
      <c r="E2890" s="151">
        <v>44770</v>
      </c>
      <c r="F2890" s="81">
        <v>325</v>
      </c>
      <c r="G2890" s="156">
        <f>Tabla18[[#This Row],[Importe]]-Tabla18[[#This Row],[Pagado]]</f>
        <v>0</v>
      </c>
      <c r="H2890" s="75" t="s">
        <v>10</v>
      </c>
    </row>
    <row r="2891" spans="1:8" x14ac:dyDescent="0.25">
      <c r="A2891" s="148">
        <v>44770</v>
      </c>
      <c r="B2891" s="149" t="s">
        <v>24263</v>
      </c>
      <c r="C2891" s="153" t="s">
        <v>127</v>
      </c>
      <c r="D2891" s="154">
        <v>4976.3999999999996</v>
      </c>
      <c r="E2891" s="155">
        <v>44770</v>
      </c>
      <c r="F2891" s="154">
        <v>4976.3999999999996</v>
      </c>
      <c r="G2891" s="156">
        <f>Tabla18[[#This Row],[Importe]]-Tabla18[[#This Row],[Pagado]]</f>
        <v>0</v>
      </c>
      <c r="H2891" s="153" t="s">
        <v>10</v>
      </c>
    </row>
    <row r="2892" spans="1:8" x14ac:dyDescent="0.25">
      <c r="A2892" s="73">
        <v>44770</v>
      </c>
      <c r="B2892" s="74" t="s">
        <v>24264</v>
      </c>
      <c r="C2892" s="75" t="s">
        <v>87</v>
      </c>
      <c r="D2892" s="81">
        <v>4500</v>
      </c>
      <c r="E2892" s="151">
        <v>44770</v>
      </c>
      <c r="F2892" s="81">
        <v>4500</v>
      </c>
      <c r="G2892" s="156">
        <f>Tabla18[[#This Row],[Importe]]-Tabla18[[#This Row],[Pagado]]</f>
        <v>0</v>
      </c>
      <c r="H2892" s="75" t="s">
        <v>10</v>
      </c>
    </row>
    <row r="2893" spans="1:8" x14ac:dyDescent="0.25">
      <c r="A2893" s="148">
        <v>44770</v>
      </c>
      <c r="B2893" s="149" t="s">
        <v>24265</v>
      </c>
      <c r="C2893" s="153" t="s">
        <v>62</v>
      </c>
      <c r="D2893" s="154">
        <v>4219.6000000000004</v>
      </c>
      <c r="E2893" s="155">
        <v>44770</v>
      </c>
      <c r="F2893" s="154">
        <v>4219.6000000000004</v>
      </c>
      <c r="G2893" s="156">
        <f>Tabla18[[#This Row],[Importe]]-Tabla18[[#This Row],[Pagado]]</f>
        <v>0</v>
      </c>
      <c r="H2893" s="153" t="s">
        <v>10</v>
      </c>
    </row>
    <row r="2894" spans="1:8" x14ac:dyDescent="0.25">
      <c r="A2894" s="73">
        <v>44770</v>
      </c>
      <c r="B2894" s="74" t="s">
        <v>24266</v>
      </c>
      <c r="C2894" s="75" t="s">
        <v>31</v>
      </c>
      <c r="D2894" s="81">
        <v>1525.98</v>
      </c>
      <c r="E2894" s="151">
        <v>44770</v>
      </c>
      <c r="F2894" s="81">
        <v>1525.98</v>
      </c>
      <c r="G2894" s="156">
        <f>Tabla18[[#This Row],[Importe]]-Tabla18[[#This Row],[Pagado]]</f>
        <v>0</v>
      </c>
      <c r="H2894" s="75" t="s">
        <v>10</v>
      </c>
    </row>
    <row r="2895" spans="1:8" x14ac:dyDescent="0.25">
      <c r="A2895" s="148">
        <v>44770</v>
      </c>
      <c r="B2895" s="149" t="s">
        <v>24267</v>
      </c>
      <c r="C2895" s="153" t="s">
        <v>333</v>
      </c>
      <c r="D2895" s="154">
        <v>2523.06</v>
      </c>
      <c r="E2895" s="155">
        <v>44770</v>
      </c>
      <c r="F2895" s="154">
        <v>2523.06</v>
      </c>
      <c r="G2895" s="156">
        <f>Tabla18[[#This Row],[Importe]]-Tabla18[[#This Row],[Pagado]]</f>
        <v>0</v>
      </c>
      <c r="H2895" s="153" t="s">
        <v>10</v>
      </c>
    </row>
    <row r="2896" spans="1:8" x14ac:dyDescent="0.25">
      <c r="A2896" s="73">
        <v>44770</v>
      </c>
      <c r="B2896" s="74" t="s">
        <v>24268</v>
      </c>
      <c r="C2896" s="75" t="s">
        <v>146</v>
      </c>
      <c r="D2896" s="81">
        <v>2958.4</v>
      </c>
      <c r="E2896" s="151">
        <v>44770</v>
      </c>
      <c r="F2896" s="81">
        <v>2958.4</v>
      </c>
      <c r="G2896" s="156">
        <f>Tabla18[[#This Row],[Importe]]-Tabla18[[#This Row],[Pagado]]</f>
        <v>0</v>
      </c>
      <c r="H2896" s="75" t="s">
        <v>10</v>
      </c>
    </row>
    <row r="2897" spans="1:8" x14ac:dyDescent="0.25">
      <c r="A2897" s="148">
        <v>44770</v>
      </c>
      <c r="B2897" s="149" t="s">
        <v>24269</v>
      </c>
      <c r="C2897" s="153" t="s">
        <v>131</v>
      </c>
      <c r="D2897" s="154">
        <v>1750</v>
      </c>
      <c r="E2897" s="155">
        <v>44770</v>
      </c>
      <c r="F2897" s="154">
        <v>1750</v>
      </c>
      <c r="G2897" s="156">
        <f>Tabla18[[#This Row],[Importe]]-Tabla18[[#This Row],[Pagado]]</f>
        <v>0</v>
      </c>
      <c r="H2897" s="153" t="s">
        <v>10</v>
      </c>
    </row>
    <row r="2898" spans="1:8" x14ac:dyDescent="0.25">
      <c r="A2898" s="73">
        <v>44770</v>
      </c>
      <c r="B2898" s="74" t="s">
        <v>24270</v>
      </c>
      <c r="C2898" s="75" t="s">
        <v>31</v>
      </c>
      <c r="D2898" s="81">
        <v>1530.7</v>
      </c>
      <c r="E2898" s="151">
        <v>44770</v>
      </c>
      <c r="F2898" s="81">
        <v>1530.7</v>
      </c>
      <c r="G2898" s="156">
        <f>Tabla18[[#This Row],[Importe]]-Tabla18[[#This Row],[Pagado]]</f>
        <v>0</v>
      </c>
      <c r="H2898" s="75" t="s">
        <v>10</v>
      </c>
    </row>
    <row r="2899" spans="1:8" ht="31.5" x14ac:dyDescent="0.25">
      <c r="A2899" s="148">
        <v>44770</v>
      </c>
      <c r="B2899" s="149" t="s">
        <v>24271</v>
      </c>
      <c r="C2899" s="153" t="s">
        <v>275</v>
      </c>
      <c r="D2899" s="154">
        <v>222178.99</v>
      </c>
      <c r="E2899" s="150" t="s">
        <v>24627</v>
      </c>
      <c r="F2899" s="154">
        <f>161132.78+61046.21</f>
        <v>222178.99</v>
      </c>
      <c r="G2899" s="156">
        <f>Tabla18[[#This Row],[Importe]]-Tabla18[[#This Row],[Pagado]]</f>
        <v>0</v>
      </c>
      <c r="H2899" s="153" t="s">
        <v>10</v>
      </c>
    </row>
    <row r="2900" spans="1:8" x14ac:dyDescent="0.25">
      <c r="A2900" s="73">
        <v>44770</v>
      </c>
      <c r="B2900" s="74" t="s">
        <v>24272</v>
      </c>
      <c r="C2900" s="75" t="s">
        <v>175</v>
      </c>
      <c r="D2900" s="81">
        <v>18666.400000000001</v>
      </c>
      <c r="E2900" s="151">
        <v>44770</v>
      </c>
      <c r="F2900" s="81">
        <v>18666.400000000001</v>
      </c>
      <c r="G2900" s="156">
        <f>Tabla18[[#This Row],[Importe]]-Tabla18[[#This Row],[Pagado]]</f>
        <v>0</v>
      </c>
      <c r="H2900" s="75" t="s">
        <v>10</v>
      </c>
    </row>
    <row r="2901" spans="1:8" x14ac:dyDescent="0.25">
      <c r="A2901" s="148">
        <v>44770</v>
      </c>
      <c r="B2901" s="149" t="s">
        <v>24273</v>
      </c>
      <c r="C2901" s="153" t="s">
        <v>31</v>
      </c>
      <c r="D2901" s="154">
        <v>2887.7</v>
      </c>
      <c r="E2901" s="155">
        <v>44770</v>
      </c>
      <c r="F2901" s="154">
        <v>2887.7</v>
      </c>
      <c r="G2901" s="156">
        <f>Tabla18[[#This Row],[Importe]]-Tabla18[[#This Row],[Pagado]]</f>
        <v>0</v>
      </c>
      <c r="H2901" s="153" t="s">
        <v>10</v>
      </c>
    </row>
    <row r="2902" spans="1:8" x14ac:dyDescent="0.25">
      <c r="A2902" s="73">
        <v>44770</v>
      </c>
      <c r="B2902" s="74" t="s">
        <v>24274</v>
      </c>
      <c r="C2902" s="75" t="s">
        <v>426</v>
      </c>
      <c r="D2902" s="81">
        <v>4186.8</v>
      </c>
      <c r="E2902" s="151">
        <v>44770</v>
      </c>
      <c r="F2902" s="81">
        <v>4186.8</v>
      </c>
      <c r="G2902" s="156">
        <f>Tabla18[[#This Row],[Importe]]-Tabla18[[#This Row],[Pagado]]</f>
        <v>0</v>
      </c>
      <c r="H2902" s="75" t="s">
        <v>10</v>
      </c>
    </row>
    <row r="2903" spans="1:8" x14ac:dyDescent="0.25">
      <c r="A2903" s="148">
        <v>44770</v>
      </c>
      <c r="B2903" s="149" t="s">
        <v>24275</v>
      </c>
      <c r="C2903" s="153" t="s">
        <v>1064</v>
      </c>
      <c r="D2903" s="154">
        <v>4936.3999999999996</v>
      </c>
      <c r="E2903" s="155">
        <v>44770</v>
      </c>
      <c r="F2903" s="154">
        <v>4936.3999999999996</v>
      </c>
      <c r="G2903" s="156">
        <f>Tabla18[[#This Row],[Importe]]-Tabla18[[#This Row],[Pagado]]</f>
        <v>0</v>
      </c>
      <c r="H2903" s="153" t="s">
        <v>10</v>
      </c>
    </row>
    <row r="2904" spans="1:8" x14ac:dyDescent="0.25">
      <c r="A2904" s="73">
        <v>44770</v>
      </c>
      <c r="B2904" s="74" t="s">
        <v>24276</v>
      </c>
      <c r="C2904" s="75" t="s">
        <v>24</v>
      </c>
      <c r="D2904" s="81">
        <v>3449.3</v>
      </c>
      <c r="E2904" s="151">
        <v>44770</v>
      </c>
      <c r="F2904" s="81">
        <v>3449.3</v>
      </c>
      <c r="G2904" s="156">
        <f>Tabla18[[#This Row],[Importe]]-Tabla18[[#This Row],[Pagado]]</f>
        <v>0</v>
      </c>
      <c r="H2904" s="75" t="s">
        <v>10</v>
      </c>
    </row>
    <row r="2905" spans="1:8" x14ac:dyDescent="0.25">
      <c r="A2905" s="148">
        <v>44770</v>
      </c>
      <c r="B2905" s="149" t="s">
        <v>24277</v>
      </c>
      <c r="C2905" s="153" t="s">
        <v>181</v>
      </c>
      <c r="D2905" s="154">
        <v>11650.5</v>
      </c>
      <c r="E2905" s="155">
        <v>44770</v>
      </c>
      <c r="F2905" s="154">
        <v>11650.5</v>
      </c>
      <c r="G2905" s="156">
        <f>Tabla18[[#This Row],[Importe]]-Tabla18[[#This Row],[Pagado]]</f>
        <v>0</v>
      </c>
      <c r="H2905" s="153" t="s">
        <v>10</v>
      </c>
    </row>
    <row r="2906" spans="1:8" x14ac:dyDescent="0.25">
      <c r="A2906" s="73">
        <v>44770</v>
      </c>
      <c r="B2906" s="74" t="s">
        <v>24278</v>
      </c>
      <c r="C2906" s="75" t="s">
        <v>142</v>
      </c>
      <c r="D2906" s="81">
        <v>29495.85</v>
      </c>
      <c r="E2906" s="151" t="s">
        <v>4813</v>
      </c>
      <c r="F2906" s="81">
        <v>0</v>
      </c>
      <c r="G2906" s="156">
        <f>Tabla18[[#This Row],[Importe]]-Tabla18[[#This Row],[Pagado]]</f>
        <v>29495.85</v>
      </c>
      <c r="H2906" s="75" t="s">
        <v>4814</v>
      </c>
    </row>
    <row r="2907" spans="1:8" ht="31.5" x14ac:dyDescent="0.25">
      <c r="A2907" s="148">
        <v>44770</v>
      </c>
      <c r="B2907" s="149" t="s">
        <v>24279</v>
      </c>
      <c r="C2907" s="153" t="s">
        <v>670</v>
      </c>
      <c r="D2907" s="154">
        <v>4920.3</v>
      </c>
      <c r="E2907" s="150" t="s">
        <v>24280</v>
      </c>
      <c r="F2907" s="154">
        <f>2000+2920.3</f>
        <v>4920.3</v>
      </c>
      <c r="G2907" s="156">
        <f>Tabla18[[#This Row],[Importe]]-Tabla18[[#This Row],[Pagado]]</f>
        <v>0</v>
      </c>
      <c r="H2907" s="153" t="s">
        <v>10</v>
      </c>
    </row>
    <row r="2908" spans="1:8" x14ac:dyDescent="0.25">
      <c r="A2908" s="73">
        <v>44770</v>
      </c>
      <c r="B2908" s="74" t="s">
        <v>24281</v>
      </c>
      <c r="C2908" s="75" t="s">
        <v>15039</v>
      </c>
      <c r="D2908" s="81">
        <v>2163.6999999999998</v>
      </c>
      <c r="E2908" s="151">
        <v>44770</v>
      </c>
      <c r="F2908" s="81">
        <v>2163.6999999999998</v>
      </c>
      <c r="G2908" s="156">
        <f>Tabla18[[#This Row],[Importe]]-Tabla18[[#This Row],[Pagado]]</f>
        <v>0</v>
      </c>
      <c r="H2908" s="75" t="s">
        <v>10</v>
      </c>
    </row>
    <row r="2909" spans="1:8" x14ac:dyDescent="0.25">
      <c r="A2909" s="148">
        <v>44770</v>
      </c>
      <c r="B2909" s="149" t="s">
        <v>24282</v>
      </c>
      <c r="C2909" s="153" t="s">
        <v>228</v>
      </c>
      <c r="D2909" s="154">
        <v>9409.5</v>
      </c>
      <c r="E2909" s="155">
        <v>44770</v>
      </c>
      <c r="F2909" s="154">
        <v>9409.5</v>
      </c>
      <c r="G2909" s="156">
        <f>Tabla18[[#This Row],[Importe]]-Tabla18[[#This Row],[Pagado]]</f>
        <v>0</v>
      </c>
      <c r="H2909" s="153" t="s">
        <v>10</v>
      </c>
    </row>
    <row r="2910" spans="1:8" x14ac:dyDescent="0.25">
      <c r="A2910" s="73">
        <v>44770</v>
      </c>
      <c r="B2910" s="74" t="s">
        <v>24283</v>
      </c>
      <c r="C2910" s="75" t="s">
        <v>24284</v>
      </c>
      <c r="D2910" s="81">
        <v>731</v>
      </c>
      <c r="E2910" s="151">
        <v>44770</v>
      </c>
      <c r="F2910" s="81">
        <v>731</v>
      </c>
      <c r="G2910" s="156">
        <f>Tabla18[[#This Row],[Importe]]-Tabla18[[#This Row],[Pagado]]</f>
        <v>0</v>
      </c>
      <c r="H2910" s="75" t="s">
        <v>10</v>
      </c>
    </row>
    <row r="2911" spans="1:8" x14ac:dyDescent="0.25">
      <c r="A2911" s="148">
        <v>44770</v>
      </c>
      <c r="B2911" s="149" t="s">
        <v>24285</v>
      </c>
      <c r="C2911" s="153" t="s">
        <v>407</v>
      </c>
      <c r="D2911" s="154">
        <v>10800</v>
      </c>
      <c r="E2911" s="155">
        <v>44778</v>
      </c>
      <c r="F2911" s="154">
        <v>10800</v>
      </c>
      <c r="G2911" s="156">
        <f>Tabla18[[#This Row],[Importe]]-Tabla18[[#This Row],[Pagado]]</f>
        <v>0</v>
      </c>
      <c r="H2911" s="153" t="s">
        <v>10</v>
      </c>
    </row>
    <row r="2912" spans="1:8" x14ac:dyDescent="0.25">
      <c r="A2912" s="73">
        <v>44770</v>
      </c>
      <c r="B2912" s="74" t="s">
        <v>24286</v>
      </c>
      <c r="C2912" s="75" t="s">
        <v>179</v>
      </c>
      <c r="D2912" s="81">
        <v>1642.6</v>
      </c>
      <c r="E2912" s="151">
        <v>44770</v>
      </c>
      <c r="F2912" s="81">
        <v>1642.6</v>
      </c>
      <c r="G2912" s="156">
        <f>Tabla18[[#This Row],[Importe]]-Tabla18[[#This Row],[Pagado]]</f>
        <v>0</v>
      </c>
      <c r="H2912" s="75" t="s">
        <v>10</v>
      </c>
    </row>
    <row r="2913" spans="1:8" x14ac:dyDescent="0.25">
      <c r="A2913" s="148">
        <v>44770</v>
      </c>
      <c r="B2913" s="149" t="s">
        <v>24287</v>
      </c>
      <c r="C2913" s="153" t="s">
        <v>484</v>
      </c>
      <c r="D2913" s="154">
        <v>3806.4</v>
      </c>
      <c r="E2913" s="155">
        <v>44770</v>
      </c>
      <c r="F2913" s="154">
        <v>3806.4</v>
      </c>
      <c r="G2913" s="156">
        <f>Tabla18[[#This Row],[Importe]]-Tabla18[[#This Row],[Pagado]]</f>
        <v>0</v>
      </c>
      <c r="H2913" s="153" t="s">
        <v>10</v>
      </c>
    </row>
    <row r="2914" spans="1:8" x14ac:dyDescent="0.25">
      <c r="A2914" s="73">
        <v>44770</v>
      </c>
      <c r="B2914" s="74" t="s">
        <v>24288</v>
      </c>
      <c r="C2914" s="75" t="s">
        <v>2139</v>
      </c>
      <c r="D2914" s="81">
        <v>5756.4</v>
      </c>
      <c r="E2914" s="151">
        <v>44770</v>
      </c>
      <c r="F2914" s="81">
        <v>5756.4</v>
      </c>
      <c r="G2914" s="156">
        <f>Tabla18[[#This Row],[Importe]]-Tabla18[[#This Row],[Pagado]]</f>
        <v>0</v>
      </c>
      <c r="H2914" s="75" t="s">
        <v>10</v>
      </c>
    </row>
    <row r="2915" spans="1:8" x14ac:dyDescent="0.25">
      <c r="A2915" s="148">
        <v>44770</v>
      </c>
      <c r="B2915" s="149" t="s">
        <v>24289</v>
      </c>
      <c r="C2915" s="153" t="s">
        <v>157</v>
      </c>
      <c r="D2915" s="154">
        <v>4063</v>
      </c>
      <c r="E2915" s="155">
        <v>44770</v>
      </c>
      <c r="F2915" s="154">
        <v>4063</v>
      </c>
      <c r="G2915" s="156">
        <f>Tabla18[[#This Row],[Importe]]-Tabla18[[#This Row],[Pagado]]</f>
        <v>0</v>
      </c>
      <c r="H2915" s="153" t="s">
        <v>10</v>
      </c>
    </row>
    <row r="2916" spans="1:8" x14ac:dyDescent="0.25">
      <c r="A2916" s="73">
        <v>44770</v>
      </c>
      <c r="B2916" s="74" t="s">
        <v>24290</v>
      </c>
      <c r="C2916" s="75" t="s">
        <v>319</v>
      </c>
      <c r="D2916" s="81">
        <v>6777.6</v>
      </c>
      <c r="E2916" s="151">
        <v>44770</v>
      </c>
      <c r="F2916" s="81">
        <v>6777.6</v>
      </c>
      <c r="G2916" s="156">
        <f>Tabla18[[#This Row],[Importe]]-Tabla18[[#This Row],[Pagado]]</f>
        <v>0</v>
      </c>
      <c r="H2916" s="75" t="s">
        <v>10</v>
      </c>
    </row>
    <row r="2917" spans="1:8" x14ac:dyDescent="0.25">
      <c r="A2917" s="148">
        <v>44770</v>
      </c>
      <c r="B2917" s="149" t="s">
        <v>24291</v>
      </c>
      <c r="C2917" s="153" t="s">
        <v>3402</v>
      </c>
      <c r="D2917" s="154">
        <v>820.8</v>
      </c>
      <c r="E2917" s="155">
        <v>44770</v>
      </c>
      <c r="F2917" s="154">
        <v>820.8</v>
      </c>
      <c r="G2917" s="156">
        <f>Tabla18[[#This Row],[Importe]]-Tabla18[[#This Row],[Pagado]]</f>
        <v>0</v>
      </c>
      <c r="H2917" s="153" t="s">
        <v>10</v>
      </c>
    </row>
    <row r="2918" spans="1:8" x14ac:dyDescent="0.25">
      <c r="A2918" s="73">
        <v>44770</v>
      </c>
      <c r="B2918" s="74" t="s">
        <v>24292</v>
      </c>
      <c r="C2918" s="75" t="s">
        <v>380</v>
      </c>
      <c r="D2918" s="81">
        <v>2897.4</v>
      </c>
      <c r="E2918" s="151">
        <v>44770</v>
      </c>
      <c r="F2918" s="81">
        <v>2897.4</v>
      </c>
      <c r="G2918" s="156">
        <f>Tabla18[[#This Row],[Importe]]-Tabla18[[#This Row],[Pagado]]</f>
        <v>0</v>
      </c>
      <c r="H2918" s="75" t="s">
        <v>10</v>
      </c>
    </row>
    <row r="2919" spans="1:8" x14ac:dyDescent="0.25">
      <c r="A2919" s="148">
        <v>44770</v>
      </c>
      <c r="B2919" s="149" t="s">
        <v>24293</v>
      </c>
      <c r="C2919" s="153" t="s">
        <v>157</v>
      </c>
      <c r="D2919" s="154">
        <v>8162.8</v>
      </c>
      <c r="E2919" s="155">
        <v>44770</v>
      </c>
      <c r="F2919" s="154">
        <v>8162.8</v>
      </c>
      <c r="G2919" s="156">
        <f>Tabla18[[#This Row],[Importe]]-Tabla18[[#This Row],[Pagado]]</f>
        <v>0</v>
      </c>
      <c r="H2919" s="153" t="s">
        <v>10</v>
      </c>
    </row>
    <row r="2920" spans="1:8" x14ac:dyDescent="0.25">
      <c r="A2920" s="73">
        <v>44770</v>
      </c>
      <c r="B2920" s="74" t="s">
        <v>24294</v>
      </c>
      <c r="C2920" s="75" t="s">
        <v>698</v>
      </c>
      <c r="D2920" s="81">
        <v>10974.2</v>
      </c>
      <c r="E2920" s="151">
        <v>44770</v>
      </c>
      <c r="F2920" s="81">
        <v>10974.2</v>
      </c>
      <c r="G2920" s="156">
        <f>Tabla18[[#This Row],[Importe]]-Tabla18[[#This Row],[Pagado]]</f>
        <v>0</v>
      </c>
      <c r="H2920" s="75" t="s">
        <v>10</v>
      </c>
    </row>
    <row r="2921" spans="1:8" x14ac:dyDescent="0.25">
      <c r="A2921" s="148">
        <v>44770</v>
      </c>
      <c r="B2921" s="149" t="s">
        <v>24295</v>
      </c>
      <c r="C2921" s="153" t="s">
        <v>129</v>
      </c>
      <c r="D2921" s="154">
        <v>1374.6</v>
      </c>
      <c r="E2921" s="155">
        <v>44770</v>
      </c>
      <c r="F2921" s="154">
        <v>1374.6</v>
      </c>
      <c r="G2921" s="156">
        <f>Tabla18[[#This Row],[Importe]]-Tabla18[[#This Row],[Pagado]]</f>
        <v>0</v>
      </c>
      <c r="H2921" s="153" t="s">
        <v>10</v>
      </c>
    </row>
    <row r="2922" spans="1:8" x14ac:dyDescent="0.25">
      <c r="A2922" s="73">
        <v>44770</v>
      </c>
      <c r="B2922" s="74" t="s">
        <v>24296</v>
      </c>
      <c r="C2922" s="75" t="s">
        <v>191</v>
      </c>
      <c r="D2922" s="81">
        <v>866.3</v>
      </c>
      <c r="E2922" s="151">
        <v>44770</v>
      </c>
      <c r="F2922" s="81">
        <v>866.3</v>
      </c>
      <c r="G2922" s="156">
        <f>Tabla18[[#This Row],[Importe]]-Tabla18[[#This Row],[Pagado]]</f>
        <v>0</v>
      </c>
      <c r="H2922" s="75" t="s">
        <v>10</v>
      </c>
    </row>
    <row r="2923" spans="1:8" x14ac:dyDescent="0.25">
      <c r="A2923" s="148">
        <v>44770</v>
      </c>
      <c r="B2923" s="149" t="s">
        <v>24297</v>
      </c>
      <c r="C2923" s="153" t="s">
        <v>31</v>
      </c>
      <c r="D2923" s="154">
        <v>14749.4</v>
      </c>
      <c r="E2923" s="155">
        <v>44770</v>
      </c>
      <c r="F2923" s="154">
        <v>14749.4</v>
      </c>
      <c r="G2923" s="156">
        <f>Tabla18[[#This Row],[Importe]]-Tabla18[[#This Row],[Pagado]]</f>
        <v>0</v>
      </c>
      <c r="H2923" s="153" t="s">
        <v>10</v>
      </c>
    </row>
    <row r="2924" spans="1:8" x14ac:dyDescent="0.25">
      <c r="A2924" s="73">
        <v>44770</v>
      </c>
      <c r="B2924" s="74" t="s">
        <v>24298</v>
      </c>
      <c r="C2924" s="75" t="s">
        <v>396</v>
      </c>
      <c r="D2924" s="81">
        <v>22045.9</v>
      </c>
      <c r="E2924" s="151">
        <v>44777</v>
      </c>
      <c r="F2924" s="81">
        <v>22045.9</v>
      </c>
      <c r="G2924" s="156">
        <f>Tabla18[[#This Row],[Importe]]-Tabla18[[#This Row],[Pagado]]</f>
        <v>0</v>
      </c>
      <c r="H2924" s="75" t="s">
        <v>10</v>
      </c>
    </row>
    <row r="2925" spans="1:8" x14ac:dyDescent="0.25">
      <c r="A2925" s="148">
        <v>44770</v>
      </c>
      <c r="B2925" s="149" t="s">
        <v>24299</v>
      </c>
      <c r="C2925" s="153" t="s">
        <v>1239</v>
      </c>
      <c r="D2925" s="154">
        <v>15148</v>
      </c>
      <c r="E2925" s="155">
        <v>44770</v>
      </c>
      <c r="F2925" s="154">
        <v>15148</v>
      </c>
      <c r="G2925" s="156">
        <f>Tabla18[[#This Row],[Importe]]-Tabla18[[#This Row],[Pagado]]</f>
        <v>0</v>
      </c>
      <c r="H2925" s="153" t="s">
        <v>10</v>
      </c>
    </row>
    <row r="2926" spans="1:8" x14ac:dyDescent="0.25">
      <c r="A2926" s="73">
        <v>44770</v>
      </c>
      <c r="B2926" s="74" t="s">
        <v>24300</v>
      </c>
      <c r="C2926" s="75" t="s">
        <v>67</v>
      </c>
      <c r="D2926" s="81">
        <v>2883.6</v>
      </c>
      <c r="E2926" s="151">
        <v>44770</v>
      </c>
      <c r="F2926" s="81">
        <v>2883.6</v>
      </c>
      <c r="G2926" s="156">
        <f>Tabla18[[#This Row],[Importe]]-Tabla18[[#This Row],[Pagado]]</f>
        <v>0</v>
      </c>
      <c r="H2926" s="75" t="s">
        <v>10</v>
      </c>
    </row>
    <row r="2927" spans="1:8" x14ac:dyDescent="0.25">
      <c r="A2927" s="148">
        <v>44770</v>
      </c>
      <c r="B2927" s="149" t="s">
        <v>24301</v>
      </c>
      <c r="C2927" s="153" t="s">
        <v>16</v>
      </c>
      <c r="D2927" s="154">
        <v>2482</v>
      </c>
      <c r="E2927" s="155">
        <v>44770</v>
      </c>
      <c r="F2927" s="154">
        <v>2482</v>
      </c>
      <c r="G2927" s="156">
        <f>Tabla18[[#This Row],[Importe]]-Tabla18[[#This Row],[Pagado]]</f>
        <v>0</v>
      </c>
      <c r="H2927" s="153" t="s">
        <v>10</v>
      </c>
    </row>
    <row r="2928" spans="1:8" x14ac:dyDescent="0.25">
      <c r="A2928" s="73">
        <v>44770</v>
      </c>
      <c r="B2928" s="74" t="s">
        <v>24302</v>
      </c>
      <c r="C2928" s="75" t="s">
        <v>9827</v>
      </c>
      <c r="D2928" s="81">
        <v>3474.4</v>
      </c>
      <c r="E2928" s="151">
        <v>44770</v>
      </c>
      <c r="F2928" s="81">
        <v>3474.4</v>
      </c>
      <c r="G2928" s="156">
        <f>Tabla18[[#This Row],[Importe]]-Tabla18[[#This Row],[Pagado]]</f>
        <v>0</v>
      </c>
      <c r="H2928" s="75" t="s">
        <v>10</v>
      </c>
    </row>
    <row r="2929" spans="1:8" x14ac:dyDescent="0.25">
      <c r="A2929" s="148">
        <v>44770</v>
      </c>
      <c r="B2929" s="149" t="s">
        <v>24303</v>
      </c>
      <c r="C2929" s="153" t="s">
        <v>31</v>
      </c>
      <c r="D2929" s="154">
        <v>765.4</v>
      </c>
      <c r="E2929" s="155">
        <v>44770</v>
      </c>
      <c r="F2929" s="154">
        <v>765.4</v>
      </c>
      <c r="G2929" s="156">
        <f>Tabla18[[#This Row],[Importe]]-Tabla18[[#This Row],[Pagado]]</f>
        <v>0</v>
      </c>
      <c r="H2929" s="153" t="s">
        <v>10</v>
      </c>
    </row>
    <row r="2930" spans="1:8" x14ac:dyDescent="0.25">
      <c r="A2930" s="73">
        <v>44770</v>
      </c>
      <c r="B2930" s="74" t="s">
        <v>24304</v>
      </c>
      <c r="C2930" s="75" t="s">
        <v>107</v>
      </c>
      <c r="D2930" s="81">
        <v>11395.7</v>
      </c>
      <c r="E2930" s="151">
        <v>44770</v>
      </c>
      <c r="F2930" s="81">
        <v>11395.7</v>
      </c>
      <c r="G2930" s="156">
        <f>Tabla18[[#This Row],[Importe]]-Tabla18[[#This Row],[Pagado]]</f>
        <v>0</v>
      </c>
      <c r="H2930" s="75" t="s">
        <v>10</v>
      </c>
    </row>
    <row r="2931" spans="1:8" ht="31.5" x14ac:dyDescent="0.25">
      <c r="A2931" s="148">
        <v>44770</v>
      </c>
      <c r="B2931" s="149" t="s">
        <v>24305</v>
      </c>
      <c r="C2931" s="153" t="s">
        <v>392</v>
      </c>
      <c r="D2931" s="154">
        <v>21790.2</v>
      </c>
      <c r="E2931" s="150" t="s">
        <v>24624</v>
      </c>
      <c r="F2931" s="154">
        <f>20000+1790.2</f>
        <v>21790.2</v>
      </c>
      <c r="G2931" s="156">
        <f>Tabla18[[#This Row],[Importe]]-Tabla18[[#This Row],[Pagado]]</f>
        <v>0</v>
      </c>
      <c r="H2931" s="153" t="s">
        <v>10</v>
      </c>
    </row>
    <row r="2932" spans="1:8" x14ac:dyDescent="0.25">
      <c r="A2932" s="73">
        <v>44770</v>
      </c>
      <c r="B2932" s="74" t="s">
        <v>24306</v>
      </c>
      <c r="C2932" s="75" t="s">
        <v>470</v>
      </c>
      <c r="D2932" s="81">
        <v>33868.800000000003</v>
      </c>
      <c r="E2932" s="151">
        <v>44770</v>
      </c>
      <c r="F2932" s="81">
        <v>33868.800000000003</v>
      </c>
      <c r="G2932" s="156">
        <f>Tabla18[[#This Row],[Importe]]-Tabla18[[#This Row],[Pagado]]</f>
        <v>0</v>
      </c>
      <c r="H2932" s="75" t="s">
        <v>10</v>
      </c>
    </row>
    <row r="2933" spans="1:8" x14ac:dyDescent="0.25">
      <c r="A2933" s="148">
        <v>44770</v>
      </c>
      <c r="B2933" s="149" t="s">
        <v>24307</v>
      </c>
      <c r="C2933" s="153" t="s">
        <v>214</v>
      </c>
      <c r="D2933" s="154">
        <v>1720</v>
      </c>
      <c r="E2933" s="155">
        <v>44770</v>
      </c>
      <c r="F2933" s="154">
        <v>1720</v>
      </c>
      <c r="G2933" s="156">
        <f>Tabla18[[#This Row],[Importe]]-Tabla18[[#This Row],[Pagado]]</f>
        <v>0</v>
      </c>
      <c r="H2933" s="153" t="s">
        <v>10</v>
      </c>
    </row>
    <row r="2934" spans="1:8" x14ac:dyDescent="0.25">
      <c r="A2934" s="73">
        <v>44770</v>
      </c>
      <c r="B2934" s="74" t="s">
        <v>24308</v>
      </c>
      <c r="C2934" s="75" t="s">
        <v>246</v>
      </c>
      <c r="D2934" s="81">
        <v>2400</v>
      </c>
      <c r="E2934" s="151">
        <v>44770</v>
      </c>
      <c r="F2934" s="81">
        <v>2400</v>
      </c>
      <c r="G2934" s="156">
        <f>Tabla18[[#This Row],[Importe]]-Tabla18[[#This Row],[Pagado]]</f>
        <v>0</v>
      </c>
      <c r="H2934" s="75" t="s">
        <v>10</v>
      </c>
    </row>
    <row r="2935" spans="1:8" x14ac:dyDescent="0.25">
      <c r="A2935" s="148">
        <v>44770</v>
      </c>
      <c r="B2935" s="149" t="s">
        <v>24309</v>
      </c>
      <c r="C2935" s="153" t="s">
        <v>1008</v>
      </c>
      <c r="D2935" s="154">
        <v>585</v>
      </c>
      <c r="E2935" s="155">
        <v>44770</v>
      </c>
      <c r="F2935" s="154">
        <v>585</v>
      </c>
      <c r="G2935" s="156">
        <f>Tabla18[[#This Row],[Importe]]-Tabla18[[#This Row],[Pagado]]</f>
        <v>0</v>
      </c>
      <c r="H2935" s="153" t="s">
        <v>10</v>
      </c>
    </row>
    <row r="2936" spans="1:8" x14ac:dyDescent="0.25">
      <c r="A2936" s="73">
        <v>44770</v>
      </c>
      <c r="B2936" s="74" t="s">
        <v>24310</v>
      </c>
      <c r="C2936" s="75" t="s">
        <v>409</v>
      </c>
      <c r="D2936" s="81">
        <v>9994.2000000000007</v>
      </c>
      <c r="E2936" s="151">
        <v>44771</v>
      </c>
      <c r="F2936" s="81">
        <v>9994.2000000000007</v>
      </c>
      <c r="G2936" s="156">
        <f>Tabla18[[#This Row],[Importe]]-Tabla18[[#This Row],[Pagado]]</f>
        <v>0</v>
      </c>
      <c r="H2936" s="75" t="s">
        <v>10</v>
      </c>
    </row>
    <row r="2937" spans="1:8" x14ac:dyDescent="0.25">
      <c r="A2937" s="148">
        <v>44770</v>
      </c>
      <c r="B2937" s="149" t="s">
        <v>24311</v>
      </c>
      <c r="C2937" s="153" t="s">
        <v>729</v>
      </c>
      <c r="D2937" s="154">
        <v>33164.1</v>
      </c>
      <c r="E2937" s="155">
        <v>44771</v>
      </c>
      <c r="F2937" s="154">
        <v>33164.1</v>
      </c>
      <c r="G2937" s="156">
        <f>Tabla18[[#This Row],[Importe]]-Tabla18[[#This Row],[Pagado]]</f>
        <v>0</v>
      </c>
      <c r="H2937" s="153" t="s">
        <v>10</v>
      </c>
    </row>
    <row r="2938" spans="1:8" x14ac:dyDescent="0.25">
      <c r="A2938" s="73">
        <v>44770</v>
      </c>
      <c r="B2938" s="74" t="s">
        <v>24312</v>
      </c>
      <c r="C2938" s="75" t="s">
        <v>280</v>
      </c>
      <c r="D2938" s="81">
        <v>1453.4</v>
      </c>
      <c r="E2938" s="151">
        <v>44771</v>
      </c>
      <c r="F2938" s="81">
        <v>1453.4</v>
      </c>
      <c r="G2938" s="156">
        <f>Tabla18[[#This Row],[Importe]]-Tabla18[[#This Row],[Pagado]]</f>
        <v>0</v>
      </c>
      <c r="H2938" s="75" t="s">
        <v>10</v>
      </c>
    </row>
    <row r="2939" spans="1:8" x14ac:dyDescent="0.25">
      <c r="A2939" s="148">
        <v>44770</v>
      </c>
      <c r="B2939" s="149" t="s">
        <v>24313</v>
      </c>
      <c r="C2939" s="153" t="s">
        <v>10819</v>
      </c>
      <c r="D2939" s="154">
        <v>891.4</v>
      </c>
      <c r="E2939" s="155">
        <v>44771</v>
      </c>
      <c r="F2939" s="154">
        <v>891.4</v>
      </c>
      <c r="G2939" s="156">
        <f>Tabla18[[#This Row],[Importe]]-Tabla18[[#This Row],[Pagado]]</f>
        <v>0</v>
      </c>
      <c r="H2939" s="153" t="s">
        <v>10</v>
      </c>
    </row>
    <row r="2940" spans="1:8" x14ac:dyDescent="0.25">
      <c r="A2940" s="73">
        <v>44770</v>
      </c>
      <c r="B2940" s="74" t="s">
        <v>24314</v>
      </c>
      <c r="C2940" s="75" t="s">
        <v>5345</v>
      </c>
      <c r="D2940" s="81">
        <v>5031</v>
      </c>
      <c r="E2940" s="151">
        <v>44771</v>
      </c>
      <c r="F2940" s="81">
        <v>5031</v>
      </c>
      <c r="G2940" s="156">
        <f>Tabla18[[#This Row],[Importe]]-Tabla18[[#This Row],[Pagado]]</f>
        <v>0</v>
      </c>
      <c r="H2940" s="75" t="s">
        <v>10</v>
      </c>
    </row>
    <row r="2941" spans="1:8" x14ac:dyDescent="0.25">
      <c r="A2941" s="148">
        <v>44770</v>
      </c>
      <c r="B2941" s="149" t="s">
        <v>24315</v>
      </c>
      <c r="C2941" s="153" t="s">
        <v>282</v>
      </c>
      <c r="D2941" s="154">
        <v>2752</v>
      </c>
      <c r="E2941" s="155">
        <v>44771</v>
      </c>
      <c r="F2941" s="154">
        <v>2752</v>
      </c>
      <c r="G2941" s="156">
        <f>Tabla18[[#This Row],[Importe]]-Tabla18[[#This Row],[Pagado]]</f>
        <v>0</v>
      </c>
      <c r="H2941" s="153" t="s">
        <v>10</v>
      </c>
    </row>
    <row r="2942" spans="1:8" x14ac:dyDescent="0.25">
      <c r="A2942" s="73">
        <v>44770</v>
      </c>
      <c r="B2942" s="74" t="s">
        <v>24316</v>
      </c>
      <c r="C2942" s="75" t="s">
        <v>442</v>
      </c>
      <c r="D2942" s="81">
        <v>7736.16</v>
      </c>
      <c r="E2942" s="151">
        <v>44770</v>
      </c>
      <c r="F2942" s="81">
        <v>7736.16</v>
      </c>
      <c r="G2942" s="156">
        <f>Tabla18[[#This Row],[Importe]]-Tabla18[[#This Row],[Pagado]]</f>
        <v>0</v>
      </c>
      <c r="H2942" s="75" t="s">
        <v>10</v>
      </c>
    </row>
    <row r="2943" spans="1:8" x14ac:dyDescent="0.25">
      <c r="A2943" s="148">
        <v>44770</v>
      </c>
      <c r="B2943" s="149" t="s">
        <v>24317</v>
      </c>
      <c r="C2943" s="153" t="s">
        <v>31</v>
      </c>
      <c r="D2943" s="154">
        <v>2592</v>
      </c>
      <c r="E2943" s="155">
        <v>44770</v>
      </c>
      <c r="F2943" s="154">
        <v>2592</v>
      </c>
      <c r="G2943" s="156">
        <f>Tabla18[[#This Row],[Importe]]-Tabla18[[#This Row],[Pagado]]</f>
        <v>0</v>
      </c>
      <c r="H2943" s="153" t="s">
        <v>10</v>
      </c>
    </row>
    <row r="2944" spans="1:8" x14ac:dyDescent="0.25">
      <c r="A2944" s="73">
        <v>44770</v>
      </c>
      <c r="B2944" s="74" t="s">
        <v>24318</v>
      </c>
      <c r="C2944" s="75" t="s">
        <v>31</v>
      </c>
      <c r="D2944" s="81">
        <v>134.4</v>
      </c>
      <c r="E2944" s="151">
        <v>44770</v>
      </c>
      <c r="F2944" s="81">
        <v>134.4</v>
      </c>
      <c r="G2944" s="156">
        <f>Tabla18[[#This Row],[Importe]]-Tabla18[[#This Row],[Pagado]]</f>
        <v>0</v>
      </c>
      <c r="H2944" s="75" t="s">
        <v>10</v>
      </c>
    </row>
    <row r="2945" spans="1:8" x14ac:dyDescent="0.25">
      <c r="A2945" s="148">
        <v>44770</v>
      </c>
      <c r="B2945" s="149" t="s">
        <v>24319</v>
      </c>
      <c r="C2945" s="153" t="s">
        <v>1558</v>
      </c>
      <c r="D2945" s="154">
        <v>806.4</v>
      </c>
      <c r="E2945" s="155">
        <v>44770</v>
      </c>
      <c r="F2945" s="154">
        <v>806.4</v>
      </c>
      <c r="G2945" s="156">
        <f>Tabla18[[#This Row],[Importe]]-Tabla18[[#This Row],[Pagado]]</f>
        <v>0</v>
      </c>
      <c r="H2945" s="153" t="s">
        <v>10</v>
      </c>
    </row>
    <row r="2946" spans="1:8" x14ac:dyDescent="0.25">
      <c r="A2946" s="73">
        <v>44770</v>
      </c>
      <c r="B2946" s="74" t="s">
        <v>24320</v>
      </c>
      <c r="C2946" s="75" t="s">
        <v>10840</v>
      </c>
      <c r="D2946" s="81">
        <v>470.2</v>
      </c>
      <c r="E2946" s="151">
        <v>44770</v>
      </c>
      <c r="F2946" s="81">
        <v>470.2</v>
      </c>
      <c r="G2946" s="156">
        <f>Tabla18[[#This Row],[Importe]]-Tabla18[[#This Row],[Pagado]]</f>
        <v>0</v>
      </c>
      <c r="H2946" s="75" t="s">
        <v>10</v>
      </c>
    </row>
    <row r="2947" spans="1:8" x14ac:dyDescent="0.25">
      <c r="A2947" s="148">
        <v>44770</v>
      </c>
      <c r="B2947" s="149" t="s">
        <v>24321</v>
      </c>
      <c r="C2947" s="153" t="s">
        <v>647</v>
      </c>
      <c r="D2947" s="154">
        <v>977.2</v>
      </c>
      <c r="E2947" s="155">
        <v>44770</v>
      </c>
      <c r="F2947" s="154">
        <v>977.2</v>
      </c>
      <c r="G2947" s="156">
        <f>Tabla18[[#This Row],[Importe]]-Tabla18[[#This Row],[Pagado]]</f>
        <v>0</v>
      </c>
      <c r="H2947" s="153" t="s">
        <v>10</v>
      </c>
    </row>
    <row r="2948" spans="1:8" x14ac:dyDescent="0.25">
      <c r="A2948" s="73">
        <v>44770</v>
      </c>
      <c r="B2948" s="74" t="s">
        <v>24322</v>
      </c>
      <c r="C2948" s="75" t="s">
        <v>31</v>
      </c>
      <c r="D2948" s="81">
        <v>585</v>
      </c>
      <c r="E2948" s="151">
        <v>44770</v>
      </c>
      <c r="F2948" s="81">
        <v>585</v>
      </c>
      <c r="G2948" s="156">
        <f>Tabla18[[#This Row],[Importe]]-Tabla18[[#This Row],[Pagado]]</f>
        <v>0</v>
      </c>
      <c r="H2948" s="75" t="s">
        <v>10</v>
      </c>
    </row>
    <row r="2949" spans="1:8" x14ac:dyDescent="0.25">
      <c r="A2949" s="148">
        <v>44770</v>
      </c>
      <c r="B2949" s="149" t="s">
        <v>24323</v>
      </c>
      <c r="C2949" s="153" t="s">
        <v>450</v>
      </c>
      <c r="D2949" s="154">
        <v>2014.5</v>
      </c>
      <c r="E2949" s="155">
        <v>44770</v>
      </c>
      <c r="F2949" s="154">
        <v>2014.5</v>
      </c>
      <c r="G2949" s="156">
        <f>Tabla18[[#This Row],[Importe]]-Tabla18[[#This Row],[Pagado]]</f>
        <v>0</v>
      </c>
      <c r="H2949" s="153" t="s">
        <v>10</v>
      </c>
    </row>
    <row r="2950" spans="1:8" x14ac:dyDescent="0.25">
      <c r="A2950" s="73">
        <v>44770</v>
      </c>
      <c r="B2950" s="74" t="s">
        <v>24324</v>
      </c>
      <c r="C2950" s="75" t="s">
        <v>5694</v>
      </c>
      <c r="D2950" s="81">
        <v>3880.2</v>
      </c>
      <c r="E2950" s="151">
        <v>44770</v>
      </c>
      <c r="F2950" s="81">
        <v>3880.2</v>
      </c>
      <c r="G2950" s="156">
        <f>Tabla18[[#This Row],[Importe]]-Tabla18[[#This Row],[Pagado]]</f>
        <v>0</v>
      </c>
      <c r="H2950" s="75" t="s">
        <v>10</v>
      </c>
    </row>
    <row r="2951" spans="1:8" x14ac:dyDescent="0.25">
      <c r="A2951" s="148">
        <v>44770</v>
      </c>
      <c r="B2951" s="149" t="s">
        <v>24325</v>
      </c>
      <c r="C2951" s="153" t="s">
        <v>24</v>
      </c>
      <c r="D2951" s="154">
        <v>861.4</v>
      </c>
      <c r="E2951" s="155">
        <v>44770</v>
      </c>
      <c r="F2951" s="154">
        <v>861.4</v>
      </c>
      <c r="G2951" s="156">
        <f>Tabla18[[#This Row],[Importe]]-Tabla18[[#This Row],[Pagado]]</f>
        <v>0</v>
      </c>
      <c r="H2951" s="153" t="s">
        <v>10</v>
      </c>
    </row>
    <row r="2952" spans="1:8" x14ac:dyDescent="0.25">
      <c r="A2952" s="73">
        <v>44770</v>
      </c>
      <c r="B2952" s="74" t="s">
        <v>24326</v>
      </c>
      <c r="C2952" s="75" t="s">
        <v>10678</v>
      </c>
      <c r="D2952" s="81">
        <v>3898.5</v>
      </c>
      <c r="E2952" s="151">
        <v>44770</v>
      </c>
      <c r="F2952" s="81">
        <v>3898.5</v>
      </c>
      <c r="G2952" s="156">
        <f>Tabla18[[#This Row],[Importe]]-Tabla18[[#This Row],[Pagado]]</f>
        <v>0</v>
      </c>
      <c r="H2952" s="75" t="s">
        <v>10</v>
      </c>
    </row>
    <row r="2953" spans="1:8" x14ac:dyDescent="0.25">
      <c r="A2953" s="148">
        <v>44770</v>
      </c>
      <c r="B2953" s="149" t="s">
        <v>24327</v>
      </c>
      <c r="C2953" s="153" t="s">
        <v>654</v>
      </c>
      <c r="D2953" s="154">
        <v>2062.6</v>
      </c>
      <c r="E2953" s="155">
        <v>44770</v>
      </c>
      <c r="F2953" s="154">
        <v>2062.6</v>
      </c>
      <c r="G2953" s="156">
        <f>Tabla18[[#This Row],[Importe]]-Tabla18[[#This Row],[Pagado]]</f>
        <v>0</v>
      </c>
      <c r="H2953" s="153" t="s">
        <v>10</v>
      </c>
    </row>
    <row r="2954" spans="1:8" x14ac:dyDescent="0.25">
      <c r="A2954" s="73">
        <v>44770</v>
      </c>
      <c r="B2954" s="74" t="s">
        <v>24328</v>
      </c>
      <c r="C2954" s="75" t="s">
        <v>296</v>
      </c>
      <c r="D2954" s="81">
        <v>486</v>
      </c>
      <c r="E2954" s="151">
        <v>44771</v>
      </c>
      <c r="F2954" s="81">
        <v>486</v>
      </c>
      <c r="G2954" s="156">
        <f>Tabla18[[#This Row],[Importe]]-Tabla18[[#This Row],[Pagado]]</f>
        <v>0</v>
      </c>
      <c r="H2954" s="75" t="s">
        <v>10</v>
      </c>
    </row>
    <row r="2955" spans="1:8" x14ac:dyDescent="0.25">
      <c r="A2955" s="148">
        <v>44770</v>
      </c>
      <c r="B2955" s="149" t="s">
        <v>24329</v>
      </c>
      <c r="C2955" s="153" t="s">
        <v>6273</v>
      </c>
      <c r="D2955" s="154">
        <v>2325.6</v>
      </c>
      <c r="E2955" s="155">
        <v>44770</v>
      </c>
      <c r="F2955" s="154">
        <v>2325.6</v>
      </c>
      <c r="G2955" s="156">
        <f>Tabla18[[#This Row],[Importe]]-Tabla18[[#This Row],[Pagado]]</f>
        <v>0</v>
      </c>
      <c r="H2955" s="153" t="s">
        <v>10</v>
      </c>
    </row>
    <row r="2956" spans="1:8" x14ac:dyDescent="0.25">
      <c r="A2956" s="73">
        <v>44771</v>
      </c>
      <c r="B2956" s="74" t="s">
        <v>24330</v>
      </c>
      <c r="C2956" s="75" t="s">
        <v>887</v>
      </c>
      <c r="D2956" s="81">
        <v>16468.099999999999</v>
      </c>
      <c r="E2956" s="151">
        <v>44771</v>
      </c>
      <c r="F2956" s="81">
        <v>16468.099999999999</v>
      </c>
      <c r="G2956" s="156">
        <f>Tabla18[[#This Row],[Importe]]-Tabla18[[#This Row],[Pagado]]</f>
        <v>0</v>
      </c>
      <c r="H2956" s="75" t="s">
        <v>10</v>
      </c>
    </row>
    <row r="2957" spans="1:8" ht="31.5" x14ac:dyDescent="0.25">
      <c r="A2957" s="148">
        <v>44771</v>
      </c>
      <c r="B2957" s="149" t="s">
        <v>24331</v>
      </c>
      <c r="C2957" s="153" t="s">
        <v>475</v>
      </c>
      <c r="D2957" s="154">
        <v>31224.6</v>
      </c>
      <c r="E2957" s="150" t="s">
        <v>24332</v>
      </c>
      <c r="F2957" s="154">
        <f>12000+19224.6</f>
        <v>31224.6</v>
      </c>
      <c r="G2957" s="156">
        <f>Tabla18[[#This Row],[Importe]]-Tabla18[[#This Row],[Pagado]]</f>
        <v>0</v>
      </c>
      <c r="H2957" s="153" t="s">
        <v>10</v>
      </c>
    </row>
    <row r="2958" spans="1:8" x14ac:dyDescent="0.25">
      <c r="A2958" s="73">
        <v>44771</v>
      </c>
      <c r="B2958" s="74" t="s">
        <v>24333</v>
      </c>
      <c r="C2958" s="75" t="s">
        <v>475</v>
      </c>
      <c r="D2958" s="81">
        <v>2111.5</v>
      </c>
      <c r="E2958" s="151">
        <v>44772</v>
      </c>
      <c r="F2958" s="81">
        <v>2111.5</v>
      </c>
      <c r="G2958" s="156">
        <f>Tabla18[[#This Row],[Importe]]-Tabla18[[#This Row],[Pagado]]</f>
        <v>0</v>
      </c>
      <c r="H2958" s="75" t="s">
        <v>10</v>
      </c>
    </row>
    <row r="2959" spans="1:8" x14ac:dyDescent="0.25">
      <c r="A2959" s="148">
        <v>44771</v>
      </c>
      <c r="B2959" s="149" t="s">
        <v>24334</v>
      </c>
      <c r="C2959" s="153" t="s">
        <v>473</v>
      </c>
      <c r="D2959" s="154">
        <v>6786</v>
      </c>
      <c r="E2959" s="155">
        <v>44771</v>
      </c>
      <c r="F2959" s="154">
        <v>6786</v>
      </c>
      <c r="G2959" s="156">
        <f>Tabla18[[#This Row],[Importe]]-Tabla18[[#This Row],[Pagado]]</f>
        <v>0</v>
      </c>
      <c r="H2959" s="153" t="s">
        <v>10</v>
      </c>
    </row>
    <row r="2960" spans="1:8" x14ac:dyDescent="0.25">
      <c r="A2960" s="73">
        <v>44771</v>
      </c>
      <c r="B2960" s="74" t="s">
        <v>24335</v>
      </c>
      <c r="C2960" s="75" t="s">
        <v>75</v>
      </c>
      <c r="D2960" s="81">
        <v>9770.1</v>
      </c>
      <c r="E2960" s="151">
        <v>44771</v>
      </c>
      <c r="F2960" s="81">
        <v>9770.1</v>
      </c>
      <c r="G2960" s="156">
        <f>Tabla18[[#This Row],[Importe]]-Tabla18[[#This Row],[Pagado]]</f>
        <v>0</v>
      </c>
      <c r="H2960" s="75" t="s">
        <v>10</v>
      </c>
    </row>
    <row r="2961" spans="1:8" x14ac:dyDescent="0.25">
      <c r="A2961" s="148">
        <v>44771</v>
      </c>
      <c r="B2961" s="149" t="s">
        <v>24336</v>
      </c>
      <c r="C2961" s="153" t="s">
        <v>31</v>
      </c>
      <c r="D2961" s="154">
        <v>5105.3999999999996</v>
      </c>
      <c r="E2961" s="155">
        <v>44771</v>
      </c>
      <c r="F2961" s="154">
        <v>5105.3999999999996</v>
      </c>
      <c r="G2961" s="156">
        <f>Tabla18[[#This Row],[Importe]]-Tabla18[[#This Row],[Pagado]]</f>
        <v>0</v>
      </c>
      <c r="H2961" s="153" t="s">
        <v>10</v>
      </c>
    </row>
    <row r="2962" spans="1:8" x14ac:dyDescent="0.25">
      <c r="A2962" s="73">
        <v>44771</v>
      </c>
      <c r="B2962" s="74" t="s">
        <v>24337</v>
      </c>
      <c r="C2962" s="75" t="s">
        <v>97</v>
      </c>
      <c r="D2962" s="81">
        <v>4620</v>
      </c>
      <c r="E2962" s="151">
        <v>44772</v>
      </c>
      <c r="F2962" s="81">
        <v>4620</v>
      </c>
      <c r="G2962" s="156">
        <f>Tabla18[[#This Row],[Importe]]-Tabla18[[#This Row],[Pagado]]</f>
        <v>0</v>
      </c>
      <c r="H2962" s="75" t="s">
        <v>10</v>
      </c>
    </row>
    <row r="2963" spans="1:8" x14ac:dyDescent="0.25">
      <c r="A2963" s="148">
        <v>44771</v>
      </c>
      <c r="B2963" s="149" t="s">
        <v>24338</v>
      </c>
      <c r="C2963" s="153" t="s">
        <v>326</v>
      </c>
      <c r="D2963" s="154">
        <v>5181</v>
      </c>
      <c r="E2963" s="155">
        <v>44772</v>
      </c>
      <c r="F2963" s="154">
        <v>5181</v>
      </c>
      <c r="G2963" s="156">
        <f>Tabla18[[#This Row],[Importe]]-Tabla18[[#This Row],[Pagado]]</f>
        <v>0</v>
      </c>
      <c r="H2963" s="153" t="s">
        <v>10</v>
      </c>
    </row>
    <row r="2964" spans="1:8" x14ac:dyDescent="0.25">
      <c r="A2964" s="73">
        <v>44771</v>
      </c>
      <c r="B2964" s="74" t="s">
        <v>24339</v>
      </c>
      <c r="C2964" s="75" t="s">
        <v>105</v>
      </c>
      <c r="D2964" s="81">
        <v>9216.2999999999993</v>
      </c>
      <c r="E2964" s="151">
        <v>44772</v>
      </c>
      <c r="F2964" s="81">
        <v>9216.2999999999993</v>
      </c>
      <c r="G2964" s="156">
        <f>Tabla18[[#This Row],[Importe]]-Tabla18[[#This Row],[Pagado]]</f>
        <v>0</v>
      </c>
      <c r="H2964" s="75" t="s">
        <v>10</v>
      </c>
    </row>
    <row r="2965" spans="1:8" x14ac:dyDescent="0.25">
      <c r="A2965" s="148">
        <v>44771</v>
      </c>
      <c r="B2965" s="149" t="s">
        <v>24340</v>
      </c>
      <c r="C2965" s="153" t="s">
        <v>348</v>
      </c>
      <c r="D2965" s="154">
        <v>2954.7</v>
      </c>
      <c r="E2965" s="155">
        <v>44771</v>
      </c>
      <c r="F2965" s="154">
        <v>2954.7</v>
      </c>
      <c r="G2965" s="156">
        <f>Tabla18[[#This Row],[Importe]]-Tabla18[[#This Row],[Pagado]]</f>
        <v>0</v>
      </c>
      <c r="H2965" s="153" t="s">
        <v>10</v>
      </c>
    </row>
    <row r="2966" spans="1:8" x14ac:dyDescent="0.25">
      <c r="A2966" s="73">
        <v>44771</v>
      </c>
      <c r="B2966" s="74" t="s">
        <v>24341</v>
      </c>
      <c r="C2966" s="75" t="s">
        <v>114</v>
      </c>
      <c r="D2966" s="81">
        <v>6894.8</v>
      </c>
      <c r="E2966" s="151">
        <v>44772</v>
      </c>
      <c r="F2966" s="81">
        <v>6894.8</v>
      </c>
      <c r="G2966" s="156">
        <f>Tabla18[[#This Row],[Importe]]-Tabla18[[#This Row],[Pagado]]</f>
        <v>0</v>
      </c>
      <c r="H2966" s="75" t="s">
        <v>10</v>
      </c>
    </row>
    <row r="2967" spans="1:8" x14ac:dyDescent="0.25">
      <c r="A2967" s="148">
        <v>44771</v>
      </c>
      <c r="B2967" s="149" t="s">
        <v>24342</v>
      </c>
      <c r="C2967" s="153" t="s">
        <v>111</v>
      </c>
      <c r="D2967" s="154">
        <v>11257.6</v>
      </c>
      <c r="E2967" s="155">
        <v>44773</v>
      </c>
      <c r="F2967" s="154">
        <v>11257.6</v>
      </c>
      <c r="G2967" s="156">
        <f>Tabla18[[#This Row],[Importe]]-Tabla18[[#This Row],[Pagado]]</f>
        <v>0</v>
      </c>
      <c r="H2967" s="153" t="s">
        <v>10</v>
      </c>
    </row>
    <row r="2968" spans="1:8" x14ac:dyDescent="0.25">
      <c r="A2968" s="73">
        <v>44771</v>
      </c>
      <c r="B2968" s="74" t="s">
        <v>24343</v>
      </c>
      <c r="C2968" s="75" t="s">
        <v>89</v>
      </c>
      <c r="D2968" s="81">
        <v>14954.4</v>
      </c>
      <c r="E2968" s="151">
        <v>44772</v>
      </c>
      <c r="F2968" s="81">
        <v>14954.4</v>
      </c>
      <c r="G2968" s="156">
        <f>Tabla18[[#This Row],[Importe]]-Tabla18[[#This Row],[Pagado]]</f>
        <v>0</v>
      </c>
      <c r="H2968" s="75" t="s">
        <v>10</v>
      </c>
    </row>
    <row r="2969" spans="1:8" x14ac:dyDescent="0.25">
      <c r="A2969" s="148">
        <v>44771</v>
      </c>
      <c r="B2969" s="149" t="s">
        <v>24344</v>
      </c>
      <c r="C2969" s="153" t="s">
        <v>345</v>
      </c>
      <c r="D2969" s="154">
        <v>687.3</v>
      </c>
      <c r="E2969" s="155">
        <v>44771</v>
      </c>
      <c r="F2969" s="154">
        <v>687.3</v>
      </c>
      <c r="G2969" s="156">
        <f>Tabla18[[#This Row],[Importe]]-Tabla18[[#This Row],[Pagado]]</f>
        <v>0</v>
      </c>
      <c r="H2969" s="153" t="s">
        <v>10</v>
      </c>
    </row>
    <row r="2970" spans="1:8" ht="31.5" x14ac:dyDescent="0.25">
      <c r="A2970" s="73">
        <v>44771</v>
      </c>
      <c r="B2970" s="74" t="s">
        <v>24345</v>
      </c>
      <c r="C2970" s="75" t="s">
        <v>93</v>
      </c>
      <c r="D2970" s="81">
        <v>10155.9</v>
      </c>
      <c r="E2970" s="147" t="s">
        <v>24614</v>
      </c>
      <c r="F2970" s="81">
        <f>5000+5155.9</f>
        <v>10155.9</v>
      </c>
      <c r="G2970" s="156">
        <f>Tabla18[[#This Row],[Importe]]-Tabla18[[#This Row],[Pagado]]</f>
        <v>0</v>
      </c>
      <c r="H2970" s="75" t="s">
        <v>10</v>
      </c>
    </row>
    <row r="2971" spans="1:8" x14ac:dyDescent="0.25">
      <c r="A2971" s="148">
        <v>44771</v>
      </c>
      <c r="B2971" s="149" t="s">
        <v>24346</v>
      </c>
      <c r="C2971" s="153" t="s">
        <v>20</v>
      </c>
      <c r="D2971" s="154">
        <v>2804.8</v>
      </c>
      <c r="E2971" s="155">
        <v>44771</v>
      </c>
      <c r="F2971" s="154">
        <v>2804.8</v>
      </c>
      <c r="G2971" s="156">
        <f>Tabla18[[#This Row],[Importe]]-Tabla18[[#This Row],[Pagado]]</f>
        <v>0</v>
      </c>
      <c r="H2971" s="153" t="s">
        <v>10</v>
      </c>
    </row>
    <row r="2972" spans="1:8" x14ac:dyDescent="0.25">
      <c r="A2972" s="73">
        <v>44771</v>
      </c>
      <c r="B2972" s="74" t="s">
        <v>24347</v>
      </c>
      <c r="C2972" s="75" t="s">
        <v>135</v>
      </c>
      <c r="D2972" s="81">
        <v>2006.4</v>
      </c>
      <c r="E2972" s="151">
        <v>44771</v>
      </c>
      <c r="F2972" s="81">
        <v>2006.4</v>
      </c>
      <c r="G2972" s="156">
        <f>Tabla18[[#This Row],[Importe]]-Tabla18[[#This Row],[Pagado]]</f>
        <v>0</v>
      </c>
      <c r="H2972" s="75" t="s">
        <v>10</v>
      </c>
    </row>
    <row r="2973" spans="1:8" x14ac:dyDescent="0.25">
      <c r="A2973" s="148">
        <v>44771</v>
      </c>
      <c r="B2973" s="149" t="s">
        <v>24348</v>
      </c>
      <c r="C2973" s="153" t="s">
        <v>64</v>
      </c>
      <c r="D2973" s="154">
        <v>5146.6000000000004</v>
      </c>
      <c r="E2973" s="155">
        <v>44772</v>
      </c>
      <c r="F2973" s="154">
        <v>5146.6000000000004</v>
      </c>
      <c r="G2973" s="156">
        <f>Tabla18[[#This Row],[Importe]]-Tabla18[[#This Row],[Pagado]]</f>
        <v>0</v>
      </c>
      <c r="H2973" s="153" t="s">
        <v>10</v>
      </c>
    </row>
    <row r="2974" spans="1:8" x14ac:dyDescent="0.25">
      <c r="A2974" s="73">
        <v>44771</v>
      </c>
      <c r="B2974" s="74" t="s">
        <v>24349</v>
      </c>
      <c r="C2974" s="75" t="s">
        <v>2151</v>
      </c>
      <c r="D2974" s="81">
        <v>24440.400000000001</v>
      </c>
      <c r="E2974" s="151">
        <v>44771</v>
      </c>
      <c r="F2974" s="81">
        <v>24440.400000000001</v>
      </c>
      <c r="G2974" s="156">
        <f>Tabla18[[#This Row],[Importe]]-Tabla18[[#This Row],[Pagado]]</f>
        <v>0</v>
      </c>
      <c r="H2974" s="75" t="s">
        <v>10</v>
      </c>
    </row>
    <row r="2975" spans="1:8" x14ac:dyDescent="0.25">
      <c r="A2975" s="148">
        <v>44771</v>
      </c>
      <c r="B2975" s="149" t="s">
        <v>24350</v>
      </c>
      <c r="C2975" s="153" t="s">
        <v>481</v>
      </c>
      <c r="D2975" s="154">
        <v>1738</v>
      </c>
      <c r="E2975" s="155">
        <v>44771</v>
      </c>
      <c r="F2975" s="154">
        <v>1738</v>
      </c>
      <c r="G2975" s="156">
        <f>Tabla18[[#This Row],[Importe]]-Tabla18[[#This Row],[Pagado]]</f>
        <v>0</v>
      </c>
      <c r="H2975" s="153" t="s">
        <v>10</v>
      </c>
    </row>
    <row r="2976" spans="1:8" x14ac:dyDescent="0.25">
      <c r="A2976" s="73">
        <v>44771</v>
      </c>
      <c r="B2976" s="74" t="s">
        <v>24351</v>
      </c>
      <c r="C2976" s="75" t="s">
        <v>353</v>
      </c>
      <c r="D2976" s="81">
        <v>1358.8</v>
      </c>
      <c r="E2976" s="151">
        <v>44771</v>
      </c>
      <c r="F2976" s="81">
        <v>1358.8</v>
      </c>
      <c r="G2976" s="156">
        <f>Tabla18[[#This Row],[Importe]]-Tabla18[[#This Row],[Pagado]]</f>
        <v>0</v>
      </c>
      <c r="H2976" s="75" t="s">
        <v>10</v>
      </c>
    </row>
    <row r="2977" spans="1:8" x14ac:dyDescent="0.25">
      <c r="A2977" s="148">
        <v>44771</v>
      </c>
      <c r="B2977" s="149" t="s">
        <v>24352</v>
      </c>
      <c r="C2977" s="153" t="s">
        <v>31</v>
      </c>
      <c r="D2977" s="154">
        <v>4817.6000000000004</v>
      </c>
      <c r="E2977" s="155">
        <v>44771</v>
      </c>
      <c r="F2977" s="154">
        <v>4817.6000000000004</v>
      </c>
      <c r="G2977" s="156">
        <f>Tabla18[[#This Row],[Importe]]-Tabla18[[#This Row],[Pagado]]</f>
        <v>0</v>
      </c>
      <c r="H2977" s="153" t="s">
        <v>10</v>
      </c>
    </row>
    <row r="2978" spans="1:8" x14ac:dyDescent="0.25">
      <c r="A2978" s="73">
        <v>44771</v>
      </c>
      <c r="B2978" s="74" t="s">
        <v>24353</v>
      </c>
      <c r="C2978" s="75" t="s">
        <v>314</v>
      </c>
      <c r="D2978" s="81">
        <v>3332.1</v>
      </c>
      <c r="E2978" s="151">
        <v>44771</v>
      </c>
      <c r="F2978" s="81">
        <v>3332.1</v>
      </c>
      <c r="G2978" s="156">
        <f>Tabla18[[#This Row],[Importe]]-Tabla18[[#This Row],[Pagado]]</f>
        <v>0</v>
      </c>
      <c r="H2978" s="75" t="s">
        <v>10</v>
      </c>
    </row>
    <row r="2979" spans="1:8" x14ac:dyDescent="0.25">
      <c r="A2979" s="148">
        <v>44771</v>
      </c>
      <c r="B2979" s="149" t="s">
        <v>24354</v>
      </c>
      <c r="C2979" s="153" t="s">
        <v>24355</v>
      </c>
      <c r="D2979" s="154">
        <v>2927.9</v>
      </c>
      <c r="E2979" s="155">
        <v>44771</v>
      </c>
      <c r="F2979" s="154">
        <v>2927.9</v>
      </c>
      <c r="G2979" s="156">
        <f>Tabla18[[#This Row],[Importe]]-Tabla18[[#This Row],[Pagado]]</f>
        <v>0</v>
      </c>
      <c r="H2979" s="153" t="s">
        <v>10</v>
      </c>
    </row>
    <row r="2980" spans="1:8" x14ac:dyDescent="0.25">
      <c r="A2980" s="73">
        <v>44771</v>
      </c>
      <c r="B2980" s="74" t="s">
        <v>24356</v>
      </c>
      <c r="C2980" s="75" t="s">
        <v>135</v>
      </c>
      <c r="D2980" s="81">
        <v>2067.4</v>
      </c>
      <c r="E2980" s="151">
        <v>44771</v>
      </c>
      <c r="F2980" s="81">
        <v>2067.4</v>
      </c>
      <c r="G2980" s="156">
        <f>Tabla18[[#This Row],[Importe]]-Tabla18[[#This Row],[Pagado]]</f>
        <v>0</v>
      </c>
      <c r="H2980" s="75" t="s">
        <v>10</v>
      </c>
    </row>
    <row r="2981" spans="1:8" x14ac:dyDescent="0.25">
      <c r="A2981" s="148">
        <v>44771</v>
      </c>
      <c r="B2981" s="149" t="s">
        <v>24357</v>
      </c>
      <c r="C2981" s="153" t="s">
        <v>179</v>
      </c>
      <c r="D2981" s="154">
        <v>2340.3000000000002</v>
      </c>
      <c r="E2981" s="155">
        <v>44771</v>
      </c>
      <c r="F2981" s="154">
        <v>2340.3000000000002</v>
      </c>
      <c r="G2981" s="156">
        <f>Tabla18[[#This Row],[Importe]]-Tabla18[[#This Row],[Pagado]]</f>
        <v>0</v>
      </c>
      <c r="H2981" s="153" t="s">
        <v>10</v>
      </c>
    </row>
    <row r="2982" spans="1:8" x14ac:dyDescent="0.25">
      <c r="A2982" s="73">
        <v>44771</v>
      </c>
      <c r="B2982" s="74" t="s">
        <v>24358</v>
      </c>
      <c r="C2982" s="75" t="s">
        <v>9</v>
      </c>
      <c r="D2982" s="81">
        <v>8850.2999999999993</v>
      </c>
      <c r="E2982" s="151">
        <v>44771</v>
      </c>
      <c r="F2982" s="81">
        <v>8850.2999999999993</v>
      </c>
      <c r="G2982" s="156">
        <f>Tabla18[[#This Row],[Importe]]-Tabla18[[#This Row],[Pagado]]</f>
        <v>0</v>
      </c>
      <c r="H2982" s="75" t="s">
        <v>10</v>
      </c>
    </row>
    <row r="2983" spans="1:8" x14ac:dyDescent="0.25">
      <c r="A2983" s="148">
        <v>44771</v>
      </c>
      <c r="B2983" s="149" t="s">
        <v>24359</v>
      </c>
      <c r="C2983" s="153" t="s">
        <v>146</v>
      </c>
      <c r="D2983" s="154">
        <v>4644</v>
      </c>
      <c r="E2983" s="155">
        <v>44771</v>
      </c>
      <c r="F2983" s="154">
        <v>4644</v>
      </c>
      <c r="G2983" s="156">
        <f>Tabla18[[#This Row],[Importe]]-Tabla18[[#This Row],[Pagado]]</f>
        <v>0</v>
      </c>
      <c r="H2983" s="153" t="s">
        <v>10</v>
      </c>
    </row>
    <row r="2984" spans="1:8" x14ac:dyDescent="0.25">
      <c r="A2984" s="73">
        <v>44771</v>
      </c>
      <c r="B2984" s="74" t="s">
        <v>24360</v>
      </c>
      <c r="C2984" s="75" t="s">
        <v>1187</v>
      </c>
      <c r="D2984" s="81">
        <v>1132.4000000000001</v>
      </c>
      <c r="E2984" s="151">
        <v>44771</v>
      </c>
      <c r="F2984" s="81">
        <v>1132.4000000000001</v>
      </c>
      <c r="G2984" s="156">
        <f>Tabla18[[#This Row],[Importe]]-Tabla18[[#This Row],[Pagado]]</f>
        <v>0</v>
      </c>
      <c r="H2984" s="75" t="s">
        <v>10</v>
      </c>
    </row>
    <row r="2985" spans="1:8" x14ac:dyDescent="0.25">
      <c r="A2985" s="148">
        <v>44771</v>
      </c>
      <c r="B2985" s="149" t="s">
        <v>24361</v>
      </c>
      <c r="C2985" s="153" t="s">
        <v>314</v>
      </c>
      <c r="D2985" s="154">
        <v>160</v>
      </c>
      <c r="E2985" s="155">
        <v>44771</v>
      </c>
      <c r="F2985" s="154">
        <v>160</v>
      </c>
      <c r="G2985" s="156">
        <f>Tabla18[[#This Row],[Importe]]-Tabla18[[#This Row],[Pagado]]</f>
        <v>0</v>
      </c>
      <c r="H2985" s="153" t="s">
        <v>10</v>
      </c>
    </row>
    <row r="2986" spans="1:8" x14ac:dyDescent="0.25">
      <c r="A2986" s="73">
        <v>44771</v>
      </c>
      <c r="B2986" s="74" t="s">
        <v>24362</v>
      </c>
      <c r="C2986" s="75" t="s">
        <v>484</v>
      </c>
      <c r="D2986" s="81">
        <v>5967</v>
      </c>
      <c r="E2986" s="151">
        <v>44771</v>
      </c>
      <c r="F2986" s="81">
        <v>5967</v>
      </c>
      <c r="G2986" s="156">
        <f>Tabla18[[#This Row],[Importe]]-Tabla18[[#This Row],[Pagado]]</f>
        <v>0</v>
      </c>
      <c r="H2986" s="75" t="s">
        <v>10</v>
      </c>
    </row>
    <row r="2987" spans="1:8" x14ac:dyDescent="0.25">
      <c r="A2987" s="148">
        <v>44771</v>
      </c>
      <c r="B2987" s="149" t="s">
        <v>24363</v>
      </c>
      <c r="C2987" s="153" t="s">
        <v>212</v>
      </c>
      <c r="D2987" s="154">
        <v>80769.600000000006</v>
      </c>
      <c r="E2987" s="155">
        <v>44775</v>
      </c>
      <c r="F2987" s="154">
        <v>80769.600000000006</v>
      </c>
      <c r="G2987" s="156">
        <f>Tabla18[[#This Row],[Importe]]-Tabla18[[#This Row],[Pagado]]</f>
        <v>0</v>
      </c>
      <c r="H2987" s="153" t="s">
        <v>10</v>
      </c>
    </row>
    <row r="2988" spans="1:8" x14ac:dyDescent="0.25">
      <c r="A2988" s="73">
        <v>44771</v>
      </c>
      <c r="B2988" s="74" t="s">
        <v>24364</v>
      </c>
      <c r="C2988" s="75" t="s">
        <v>154</v>
      </c>
      <c r="D2988" s="81">
        <v>53247.4</v>
      </c>
      <c r="E2988" s="151">
        <v>44775</v>
      </c>
      <c r="F2988" s="81">
        <v>53247.4</v>
      </c>
      <c r="G2988" s="156">
        <f>Tabla18[[#This Row],[Importe]]-Tabla18[[#This Row],[Pagado]]</f>
        <v>0</v>
      </c>
      <c r="H2988" s="75" t="s">
        <v>10</v>
      </c>
    </row>
    <row r="2989" spans="1:8" x14ac:dyDescent="0.25">
      <c r="A2989" s="148">
        <v>44771</v>
      </c>
      <c r="B2989" s="149" t="s">
        <v>24365</v>
      </c>
      <c r="C2989" s="153" t="s">
        <v>133</v>
      </c>
      <c r="D2989" s="154">
        <v>12789</v>
      </c>
      <c r="E2989" s="155">
        <v>44772</v>
      </c>
      <c r="F2989" s="154">
        <v>12789</v>
      </c>
      <c r="G2989" s="156">
        <f>Tabla18[[#This Row],[Importe]]-Tabla18[[#This Row],[Pagado]]</f>
        <v>0</v>
      </c>
      <c r="H2989" s="153" t="s">
        <v>10</v>
      </c>
    </row>
    <row r="2990" spans="1:8" x14ac:dyDescent="0.25">
      <c r="A2990" s="73">
        <v>44771</v>
      </c>
      <c r="B2990" s="74" t="s">
        <v>24366</v>
      </c>
      <c r="C2990" s="75" t="s">
        <v>1378</v>
      </c>
      <c r="D2990" s="81">
        <v>89021.8</v>
      </c>
      <c r="E2990" s="151">
        <v>44771</v>
      </c>
      <c r="F2990" s="81">
        <v>89021.8</v>
      </c>
      <c r="G2990" s="156">
        <f>Tabla18[[#This Row],[Importe]]-Tabla18[[#This Row],[Pagado]]</f>
        <v>0</v>
      </c>
      <c r="H2990" s="75" t="s">
        <v>10</v>
      </c>
    </row>
    <row r="2991" spans="1:8" x14ac:dyDescent="0.25">
      <c r="A2991" s="148">
        <v>44771</v>
      </c>
      <c r="B2991" s="149" t="s">
        <v>24367</v>
      </c>
      <c r="C2991" s="153" t="s">
        <v>218</v>
      </c>
      <c r="D2991" s="154">
        <v>33310.1</v>
      </c>
      <c r="E2991" s="155">
        <v>44776</v>
      </c>
      <c r="F2991" s="154">
        <v>33310.1</v>
      </c>
      <c r="G2991" s="156">
        <f>Tabla18[[#This Row],[Importe]]-Tabla18[[#This Row],[Pagado]]</f>
        <v>0</v>
      </c>
      <c r="H2991" s="153" t="s">
        <v>10</v>
      </c>
    </row>
    <row r="2992" spans="1:8" x14ac:dyDescent="0.25">
      <c r="A2992" s="73">
        <v>44771</v>
      </c>
      <c r="B2992" s="74" t="s">
        <v>24368</v>
      </c>
      <c r="C2992" s="75" t="s">
        <v>10157</v>
      </c>
      <c r="D2992" s="81">
        <v>21795.3</v>
      </c>
      <c r="E2992" s="151">
        <v>44781</v>
      </c>
      <c r="F2992" s="81">
        <v>21795.3</v>
      </c>
      <c r="G2992" s="156">
        <f>Tabla18[[#This Row],[Importe]]-Tabla18[[#This Row],[Pagado]]</f>
        <v>0</v>
      </c>
      <c r="H2992" s="75" t="s">
        <v>10</v>
      </c>
    </row>
    <row r="2993" spans="1:8" ht="31.5" x14ac:dyDescent="0.25">
      <c r="A2993" s="148">
        <v>44771</v>
      </c>
      <c r="B2993" s="149" t="s">
        <v>24369</v>
      </c>
      <c r="C2993" s="153" t="s">
        <v>22</v>
      </c>
      <c r="D2993" s="154">
        <v>46038</v>
      </c>
      <c r="E2993" s="150" t="s">
        <v>24332</v>
      </c>
      <c r="F2993" s="154">
        <f>35000+11038</f>
        <v>46038</v>
      </c>
      <c r="G2993" s="156">
        <f>Tabla18[[#This Row],[Importe]]-Tabla18[[#This Row],[Pagado]]</f>
        <v>0</v>
      </c>
      <c r="H2993" s="153" t="s">
        <v>10</v>
      </c>
    </row>
    <row r="2994" spans="1:8" x14ac:dyDescent="0.25">
      <c r="A2994" s="73">
        <v>44771</v>
      </c>
      <c r="B2994" s="74" t="s">
        <v>24370</v>
      </c>
      <c r="C2994" s="75" t="s">
        <v>206</v>
      </c>
      <c r="D2994" s="81">
        <v>37140.800000000003</v>
      </c>
      <c r="E2994" s="151">
        <v>44776</v>
      </c>
      <c r="F2994" s="81">
        <v>37140.800000000003</v>
      </c>
      <c r="G2994" s="156">
        <f>Tabla18[[#This Row],[Importe]]-Tabla18[[#This Row],[Pagado]]</f>
        <v>0</v>
      </c>
      <c r="H2994" s="75" t="s">
        <v>10</v>
      </c>
    </row>
    <row r="2995" spans="1:8" x14ac:dyDescent="0.25">
      <c r="A2995" s="148">
        <v>44771</v>
      </c>
      <c r="B2995" s="149" t="s">
        <v>24371</v>
      </c>
      <c r="C2995" s="153" t="s">
        <v>27</v>
      </c>
      <c r="D2995" s="154">
        <v>852.6</v>
      </c>
      <c r="E2995" s="155">
        <v>44771</v>
      </c>
      <c r="F2995" s="154">
        <v>852.6</v>
      </c>
      <c r="G2995" s="156">
        <f>Tabla18[[#This Row],[Importe]]-Tabla18[[#This Row],[Pagado]]</f>
        <v>0</v>
      </c>
      <c r="H2995" s="153" t="s">
        <v>10</v>
      </c>
    </row>
    <row r="2996" spans="1:8" x14ac:dyDescent="0.25">
      <c r="A2996" s="73">
        <v>44771</v>
      </c>
      <c r="B2996" s="74" t="s">
        <v>24372</v>
      </c>
      <c r="C2996" s="75" t="s">
        <v>27</v>
      </c>
      <c r="D2996" s="81">
        <v>392</v>
      </c>
      <c r="E2996" s="151">
        <v>44771</v>
      </c>
      <c r="F2996" s="81">
        <v>392</v>
      </c>
      <c r="G2996" s="156">
        <f>Tabla18[[#This Row],[Importe]]-Tabla18[[#This Row],[Pagado]]</f>
        <v>0</v>
      </c>
      <c r="H2996" s="75" t="s">
        <v>10</v>
      </c>
    </row>
    <row r="2997" spans="1:8" x14ac:dyDescent="0.25">
      <c r="A2997" s="148">
        <v>44771</v>
      </c>
      <c r="B2997" s="149" t="s">
        <v>24373</v>
      </c>
      <c r="C2997" s="153" t="s">
        <v>11033</v>
      </c>
      <c r="D2997" s="154">
        <v>1817</v>
      </c>
      <c r="E2997" s="155">
        <v>44771</v>
      </c>
      <c r="F2997" s="154">
        <v>1817</v>
      </c>
      <c r="G2997" s="156">
        <f>Tabla18[[#This Row],[Importe]]-Tabla18[[#This Row],[Pagado]]</f>
        <v>0</v>
      </c>
      <c r="H2997" s="153" t="s">
        <v>10</v>
      </c>
    </row>
    <row r="2998" spans="1:8" x14ac:dyDescent="0.25">
      <c r="A2998" s="73">
        <v>44771</v>
      </c>
      <c r="B2998" s="74" t="s">
        <v>24374</v>
      </c>
      <c r="C2998" s="75" t="s">
        <v>24375</v>
      </c>
      <c r="D2998" s="81">
        <v>0</v>
      </c>
      <c r="E2998" s="157" t="s">
        <v>189</v>
      </c>
      <c r="F2998" s="81">
        <v>0</v>
      </c>
      <c r="G2998" s="156">
        <f>Tabla18[[#This Row],[Importe]]-Tabla18[[#This Row],[Pagado]]</f>
        <v>0</v>
      </c>
      <c r="H2998" s="75" t="s">
        <v>189</v>
      </c>
    </row>
    <row r="2999" spans="1:8" x14ac:dyDescent="0.25">
      <c r="A2999" s="148">
        <v>44771</v>
      </c>
      <c r="B2999" s="149" t="s">
        <v>24376</v>
      </c>
      <c r="C2999" s="153" t="s">
        <v>592</v>
      </c>
      <c r="D2999" s="154">
        <v>29854.799999999999</v>
      </c>
      <c r="E2999" s="155">
        <v>44772</v>
      </c>
      <c r="F2999" s="154">
        <v>29854.799999999999</v>
      </c>
      <c r="G2999" s="156">
        <f>Tabla18[[#This Row],[Importe]]-Tabla18[[#This Row],[Pagado]]</f>
        <v>0</v>
      </c>
      <c r="H2999" s="153" t="s">
        <v>10</v>
      </c>
    </row>
    <row r="3000" spans="1:8" x14ac:dyDescent="0.25">
      <c r="A3000" s="73">
        <v>44771</v>
      </c>
      <c r="B3000" s="74" t="s">
        <v>24377</v>
      </c>
      <c r="C3000" s="75" t="s">
        <v>1505</v>
      </c>
      <c r="D3000" s="81">
        <v>4713</v>
      </c>
      <c r="E3000" s="151">
        <v>44771</v>
      </c>
      <c r="F3000" s="81">
        <v>4713</v>
      </c>
      <c r="G3000" s="156">
        <f>Tabla18[[#This Row],[Importe]]-Tabla18[[#This Row],[Pagado]]</f>
        <v>0</v>
      </c>
      <c r="H3000" s="75" t="s">
        <v>10</v>
      </c>
    </row>
    <row r="3001" spans="1:8" x14ac:dyDescent="0.25">
      <c r="A3001" s="148">
        <v>44771</v>
      </c>
      <c r="B3001" s="149" t="s">
        <v>24378</v>
      </c>
      <c r="C3001" s="153" t="s">
        <v>45</v>
      </c>
      <c r="D3001" s="154">
        <v>12998</v>
      </c>
      <c r="E3001" s="155">
        <v>44771</v>
      </c>
      <c r="F3001" s="154">
        <v>12998</v>
      </c>
      <c r="G3001" s="156">
        <f>Tabla18[[#This Row],[Importe]]-Tabla18[[#This Row],[Pagado]]</f>
        <v>0</v>
      </c>
      <c r="H3001" s="153" t="s">
        <v>10</v>
      </c>
    </row>
    <row r="3002" spans="1:8" x14ac:dyDescent="0.25">
      <c r="A3002" s="73">
        <v>44771</v>
      </c>
      <c r="B3002" s="74" t="s">
        <v>24379</v>
      </c>
      <c r="C3002" s="75" t="s">
        <v>56</v>
      </c>
      <c r="D3002" s="81">
        <v>8786</v>
      </c>
      <c r="E3002" s="151">
        <v>44771</v>
      </c>
      <c r="F3002" s="81">
        <v>8786</v>
      </c>
      <c r="G3002" s="156">
        <f>Tabla18[[#This Row],[Importe]]-Tabla18[[#This Row],[Pagado]]</f>
        <v>0</v>
      </c>
      <c r="H3002" s="75" t="s">
        <v>10</v>
      </c>
    </row>
    <row r="3003" spans="1:8" x14ac:dyDescent="0.25">
      <c r="A3003" s="148">
        <v>44771</v>
      </c>
      <c r="B3003" s="149" t="s">
        <v>24380</v>
      </c>
      <c r="C3003" s="153" t="s">
        <v>541</v>
      </c>
      <c r="D3003" s="154">
        <v>16249.7</v>
      </c>
      <c r="E3003" s="155">
        <v>44772</v>
      </c>
      <c r="F3003" s="154">
        <v>16249.7</v>
      </c>
      <c r="G3003" s="156">
        <f>Tabla18[[#This Row],[Importe]]-Tabla18[[#This Row],[Pagado]]</f>
        <v>0</v>
      </c>
      <c r="H3003" s="153" t="s">
        <v>10</v>
      </c>
    </row>
    <row r="3004" spans="1:8" x14ac:dyDescent="0.25">
      <c r="A3004" s="73">
        <v>44771</v>
      </c>
      <c r="B3004" s="74" t="s">
        <v>24381</v>
      </c>
      <c r="C3004" s="75" t="s">
        <v>67</v>
      </c>
      <c r="D3004" s="81">
        <v>6446.7</v>
      </c>
      <c r="E3004" s="151">
        <v>44771</v>
      </c>
      <c r="F3004" s="81">
        <v>6446.7</v>
      </c>
      <c r="G3004" s="156">
        <f>Tabla18[[#This Row],[Importe]]-Tabla18[[#This Row],[Pagado]]</f>
        <v>0</v>
      </c>
      <c r="H3004" s="75" t="s">
        <v>10</v>
      </c>
    </row>
    <row r="3005" spans="1:8" x14ac:dyDescent="0.25">
      <c r="A3005" s="148">
        <v>44771</v>
      </c>
      <c r="B3005" s="149" t="s">
        <v>24382</v>
      </c>
      <c r="C3005" s="153" t="s">
        <v>647</v>
      </c>
      <c r="D3005" s="154">
        <v>6172.3</v>
      </c>
      <c r="E3005" s="155">
        <v>44771</v>
      </c>
      <c r="F3005" s="154">
        <f>2200+3972.3</f>
        <v>6172.3</v>
      </c>
      <c r="G3005" s="156">
        <f>Tabla18[[#This Row],[Importe]]-Tabla18[[#This Row],[Pagado]]</f>
        <v>0</v>
      </c>
      <c r="H3005" s="153" t="s">
        <v>10</v>
      </c>
    </row>
    <row r="3006" spans="1:8" x14ac:dyDescent="0.25">
      <c r="A3006" s="73">
        <v>44771</v>
      </c>
      <c r="B3006" s="74" t="s">
        <v>24383</v>
      </c>
      <c r="C3006" s="75" t="s">
        <v>49</v>
      </c>
      <c r="D3006" s="81">
        <v>5725.7</v>
      </c>
      <c r="E3006" s="151">
        <v>44771</v>
      </c>
      <c r="F3006" s="81">
        <v>5725.7</v>
      </c>
      <c r="G3006" s="156">
        <f>Tabla18[[#This Row],[Importe]]-Tabla18[[#This Row],[Pagado]]</f>
        <v>0</v>
      </c>
      <c r="H3006" s="75" t="s">
        <v>10</v>
      </c>
    </row>
    <row r="3007" spans="1:8" x14ac:dyDescent="0.25">
      <c r="A3007" s="148">
        <v>44771</v>
      </c>
      <c r="B3007" s="149" t="s">
        <v>24384</v>
      </c>
      <c r="C3007" s="153" t="s">
        <v>35</v>
      </c>
      <c r="D3007" s="154">
        <v>6258.8</v>
      </c>
      <c r="E3007" s="155">
        <v>44771</v>
      </c>
      <c r="F3007" s="154">
        <v>6258.8</v>
      </c>
      <c r="G3007" s="156">
        <f>Tabla18[[#This Row],[Importe]]-Tabla18[[#This Row],[Pagado]]</f>
        <v>0</v>
      </c>
      <c r="H3007" s="153" t="s">
        <v>10</v>
      </c>
    </row>
    <row r="3008" spans="1:8" x14ac:dyDescent="0.25">
      <c r="A3008" s="73">
        <v>44771</v>
      </c>
      <c r="B3008" s="74" t="s">
        <v>24385</v>
      </c>
      <c r="C3008" s="75" t="s">
        <v>11383</v>
      </c>
      <c r="D3008" s="81">
        <v>31315.200000000001</v>
      </c>
      <c r="E3008" s="151">
        <v>44771</v>
      </c>
      <c r="F3008" s="81">
        <v>31315.200000000001</v>
      </c>
      <c r="G3008" s="156">
        <f>Tabla18[[#This Row],[Importe]]-Tabla18[[#This Row],[Pagado]]</f>
        <v>0</v>
      </c>
      <c r="H3008" s="75" t="s">
        <v>10</v>
      </c>
    </row>
    <row r="3009" spans="1:8" x14ac:dyDescent="0.25">
      <c r="A3009" s="148">
        <v>44771</v>
      </c>
      <c r="B3009" s="149" t="s">
        <v>24386</v>
      </c>
      <c r="C3009" s="153" t="s">
        <v>849</v>
      </c>
      <c r="D3009" s="154">
        <v>5448</v>
      </c>
      <c r="E3009" s="155">
        <v>44771</v>
      </c>
      <c r="F3009" s="154">
        <v>5448</v>
      </c>
      <c r="G3009" s="156">
        <f>Tabla18[[#This Row],[Importe]]-Tabla18[[#This Row],[Pagado]]</f>
        <v>0</v>
      </c>
      <c r="H3009" s="153" t="s">
        <v>10</v>
      </c>
    </row>
    <row r="3010" spans="1:8" x14ac:dyDescent="0.25">
      <c r="A3010" s="73">
        <v>44771</v>
      </c>
      <c r="B3010" s="74" t="s">
        <v>24387</v>
      </c>
      <c r="C3010" s="75" t="s">
        <v>382</v>
      </c>
      <c r="D3010" s="81">
        <v>5341.8</v>
      </c>
      <c r="E3010" s="151">
        <v>44771</v>
      </c>
      <c r="F3010" s="81">
        <v>5341.8</v>
      </c>
      <c r="G3010" s="156">
        <f>Tabla18[[#This Row],[Importe]]-Tabla18[[#This Row],[Pagado]]</f>
        <v>0</v>
      </c>
      <c r="H3010" s="75" t="s">
        <v>10</v>
      </c>
    </row>
    <row r="3011" spans="1:8" x14ac:dyDescent="0.25">
      <c r="A3011" s="148">
        <v>44771</v>
      </c>
      <c r="B3011" s="149" t="s">
        <v>24388</v>
      </c>
      <c r="C3011" s="153" t="s">
        <v>107</v>
      </c>
      <c r="D3011" s="154">
        <v>17709.099999999999</v>
      </c>
      <c r="E3011" s="155">
        <v>44771</v>
      </c>
      <c r="F3011" s="154">
        <v>17709.099999999999</v>
      </c>
      <c r="G3011" s="156">
        <f>Tabla18[[#This Row],[Importe]]-Tabla18[[#This Row],[Pagado]]</f>
        <v>0</v>
      </c>
      <c r="H3011" s="153" t="s">
        <v>10</v>
      </c>
    </row>
    <row r="3012" spans="1:8" x14ac:dyDescent="0.25">
      <c r="A3012" s="73">
        <v>44771</v>
      </c>
      <c r="B3012" s="74" t="s">
        <v>24389</v>
      </c>
      <c r="C3012" s="75" t="s">
        <v>127</v>
      </c>
      <c r="D3012" s="81">
        <v>5930.6</v>
      </c>
      <c r="E3012" s="151">
        <v>44771</v>
      </c>
      <c r="F3012" s="81">
        <v>5930.6</v>
      </c>
      <c r="G3012" s="156">
        <f>Tabla18[[#This Row],[Importe]]-Tabla18[[#This Row],[Pagado]]</f>
        <v>0</v>
      </c>
      <c r="H3012" s="75" t="s">
        <v>10</v>
      </c>
    </row>
    <row r="3013" spans="1:8" x14ac:dyDescent="0.25">
      <c r="A3013" s="148">
        <v>44771</v>
      </c>
      <c r="B3013" s="149" t="s">
        <v>24390</v>
      </c>
      <c r="C3013" s="153" t="s">
        <v>357</v>
      </c>
      <c r="D3013" s="154">
        <v>624.79999999999995</v>
      </c>
      <c r="E3013" s="155">
        <v>44771</v>
      </c>
      <c r="F3013" s="154">
        <v>624.79999999999995</v>
      </c>
      <c r="G3013" s="156">
        <f>Tabla18[[#This Row],[Importe]]-Tabla18[[#This Row],[Pagado]]</f>
        <v>0</v>
      </c>
      <c r="H3013" s="153" t="s">
        <v>10</v>
      </c>
    </row>
    <row r="3014" spans="1:8" x14ac:dyDescent="0.25">
      <c r="A3014" s="73">
        <v>44771</v>
      </c>
      <c r="B3014" s="74" t="s">
        <v>24391</v>
      </c>
      <c r="C3014" s="75" t="s">
        <v>129</v>
      </c>
      <c r="D3014" s="81">
        <v>1249.5999999999999</v>
      </c>
      <c r="E3014" s="151">
        <v>44771</v>
      </c>
      <c r="F3014" s="81">
        <v>1249.5999999999999</v>
      </c>
      <c r="G3014" s="156">
        <f>Tabla18[[#This Row],[Importe]]-Tabla18[[#This Row],[Pagado]]</f>
        <v>0</v>
      </c>
      <c r="H3014" s="75" t="s">
        <v>10</v>
      </c>
    </row>
    <row r="3015" spans="1:8" x14ac:dyDescent="0.25">
      <c r="A3015" s="148">
        <v>44771</v>
      </c>
      <c r="B3015" s="149" t="s">
        <v>24392</v>
      </c>
      <c r="C3015" s="153" t="s">
        <v>339</v>
      </c>
      <c r="D3015" s="154">
        <v>677.6</v>
      </c>
      <c r="E3015" s="155">
        <v>44771</v>
      </c>
      <c r="F3015" s="154">
        <v>677.6</v>
      </c>
      <c r="G3015" s="156">
        <f>Tabla18[[#This Row],[Importe]]-Tabla18[[#This Row],[Pagado]]</f>
        <v>0</v>
      </c>
      <c r="H3015" s="153" t="s">
        <v>10</v>
      </c>
    </row>
    <row r="3016" spans="1:8" x14ac:dyDescent="0.25">
      <c r="A3016" s="73">
        <v>44771</v>
      </c>
      <c r="B3016" s="74" t="s">
        <v>24393</v>
      </c>
      <c r="C3016" s="75" t="s">
        <v>181</v>
      </c>
      <c r="D3016" s="81">
        <v>8213.4</v>
      </c>
      <c r="E3016" s="151">
        <v>44771</v>
      </c>
      <c r="F3016" s="81">
        <v>8213.4</v>
      </c>
      <c r="G3016" s="156">
        <f>Tabla18[[#This Row],[Importe]]-Tabla18[[#This Row],[Pagado]]</f>
        <v>0</v>
      </c>
      <c r="H3016" s="75" t="s">
        <v>10</v>
      </c>
    </row>
    <row r="3017" spans="1:8" x14ac:dyDescent="0.25">
      <c r="A3017" s="148">
        <v>44771</v>
      </c>
      <c r="B3017" s="149" t="s">
        <v>24394</v>
      </c>
      <c r="C3017" s="153" t="s">
        <v>275</v>
      </c>
      <c r="D3017" s="154">
        <v>19624.400000000001</v>
      </c>
      <c r="E3017" s="155">
        <v>44789</v>
      </c>
      <c r="F3017" s="154">
        <v>19624.400000000001</v>
      </c>
      <c r="G3017" s="156">
        <f>Tabla18[[#This Row],[Importe]]-Tabla18[[#This Row],[Pagado]]</f>
        <v>0</v>
      </c>
      <c r="H3017" s="153" t="s">
        <v>10</v>
      </c>
    </row>
    <row r="3018" spans="1:8" x14ac:dyDescent="0.25">
      <c r="A3018" s="73">
        <v>44771</v>
      </c>
      <c r="B3018" s="74" t="s">
        <v>24395</v>
      </c>
      <c r="C3018" s="75" t="s">
        <v>24</v>
      </c>
      <c r="D3018" s="81">
        <v>5091.5</v>
      </c>
      <c r="E3018" s="151">
        <v>44771</v>
      </c>
      <c r="F3018" s="81">
        <v>5091.5</v>
      </c>
      <c r="G3018" s="156">
        <f>Tabla18[[#This Row],[Importe]]-Tabla18[[#This Row],[Pagado]]</f>
        <v>0</v>
      </c>
      <c r="H3018" s="75" t="s">
        <v>10</v>
      </c>
    </row>
    <row r="3019" spans="1:8" x14ac:dyDescent="0.25">
      <c r="A3019" s="148">
        <v>44771</v>
      </c>
      <c r="B3019" s="149" t="s">
        <v>24396</v>
      </c>
      <c r="C3019" s="153" t="s">
        <v>1003</v>
      </c>
      <c r="D3019" s="154">
        <v>8080.8</v>
      </c>
      <c r="E3019" s="155">
        <v>44773</v>
      </c>
      <c r="F3019" s="154">
        <v>8080.8</v>
      </c>
      <c r="G3019" s="156">
        <f>Tabla18[[#This Row],[Importe]]-Tabla18[[#This Row],[Pagado]]</f>
        <v>0</v>
      </c>
      <c r="H3019" s="153" t="s">
        <v>10</v>
      </c>
    </row>
    <row r="3020" spans="1:8" x14ac:dyDescent="0.25">
      <c r="A3020" s="73">
        <v>44771</v>
      </c>
      <c r="B3020" s="74" t="s">
        <v>24397</v>
      </c>
      <c r="C3020" s="75" t="s">
        <v>654</v>
      </c>
      <c r="D3020" s="81">
        <v>9907.2000000000007</v>
      </c>
      <c r="E3020" s="151">
        <v>44772</v>
      </c>
      <c r="F3020" s="81">
        <v>9907.2000000000007</v>
      </c>
      <c r="G3020" s="156">
        <f>Tabla18[[#This Row],[Importe]]-Tabla18[[#This Row],[Pagado]]</f>
        <v>0</v>
      </c>
      <c r="H3020" s="75" t="s">
        <v>10</v>
      </c>
    </row>
    <row r="3021" spans="1:8" x14ac:dyDescent="0.25">
      <c r="A3021" s="148">
        <v>44771</v>
      </c>
      <c r="B3021" s="149" t="s">
        <v>24398</v>
      </c>
      <c r="C3021" s="153" t="s">
        <v>175</v>
      </c>
      <c r="D3021" s="154">
        <v>32395.9</v>
      </c>
      <c r="E3021" s="155">
        <v>44771</v>
      </c>
      <c r="F3021" s="154">
        <v>32395.9</v>
      </c>
      <c r="G3021" s="156">
        <f>Tabla18[[#This Row],[Importe]]-Tabla18[[#This Row],[Pagado]]</f>
        <v>0</v>
      </c>
      <c r="H3021" s="153" t="s">
        <v>10</v>
      </c>
    </row>
    <row r="3022" spans="1:8" x14ac:dyDescent="0.25">
      <c r="A3022" s="73">
        <v>44771</v>
      </c>
      <c r="B3022" s="74" t="s">
        <v>24399</v>
      </c>
      <c r="C3022" s="75" t="s">
        <v>289</v>
      </c>
      <c r="D3022" s="81">
        <v>15990.7</v>
      </c>
      <c r="E3022" s="151">
        <v>44771</v>
      </c>
      <c r="F3022" s="81">
        <v>15990.7</v>
      </c>
      <c r="G3022" s="156">
        <f>Tabla18[[#This Row],[Importe]]-Tabla18[[#This Row],[Pagado]]</f>
        <v>0</v>
      </c>
      <c r="H3022" s="75" t="s">
        <v>10</v>
      </c>
    </row>
    <row r="3023" spans="1:8" x14ac:dyDescent="0.25">
      <c r="A3023" s="148">
        <v>44771</v>
      </c>
      <c r="B3023" s="149" t="s">
        <v>24400</v>
      </c>
      <c r="C3023" s="153" t="s">
        <v>31</v>
      </c>
      <c r="D3023" s="154">
        <v>5920</v>
      </c>
      <c r="E3023" s="155">
        <v>44771</v>
      </c>
      <c r="F3023" s="154">
        <v>5920</v>
      </c>
      <c r="G3023" s="156">
        <f>Tabla18[[#This Row],[Importe]]-Tabla18[[#This Row],[Pagado]]</f>
        <v>0</v>
      </c>
      <c r="H3023" s="153" t="s">
        <v>10</v>
      </c>
    </row>
    <row r="3024" spans="1:8" x14ac:dyDescent="0.25">
      <c r="A3024" s="73">
        <v>44771</v>
      </c>
      <c r="B3024" s="74" t="s">
        <v>24401</v>
      </c>
      <c r="C3024" s="75" t="s">
        <v>175</v>
      </c>
      <c r="D3024" s="81">
        <v>4889.5</v>
      </c>
      <c r="E3024" s="151">
        <v>44771</v>
      </c>
      <c r="F3024" s="81">
        <v>4889.5</v>
      </c>
      <c r="G3024" s="156">
        <f>Tabla18[[#This Row],[Importe]]-Tabla18[[#This Row],[Pagado]]</f>
        <v>0</v>
      </c>
      <c r="H3024" s="75" t="s">
        <v>10</v>
      </c>
    </row>
    <row r="3025" spans="1:8" x14ac:dyDescent="0.25">
      <c r="A3025" s="148">
        <v>44771</v>
      </c>
      <c r="B3025" s="149" t="s">
        <v>24402</v>
      </c>
      <c r="C3025" s="153" t="s">
        <v>200</v>
      </c>
      <c r="D3025" s="154">
        <v>1496.4</v>
      </c>
      <c r="E3025" s="155">
        <v>44771</v>
      </c>
      <c r="F3025" s="154">
        <v>1496.4</v>
      </c>
      <c r="G3025" s="156">
        <f>Tabla18[[#This Row],[Importe]]-Tabla18[[#This Row],[Pagado]]</f>
        <v>0</v>
      </c>
      <c r="H3025" s="153" t="s">
        <v>10</v>
      </c>
    </row>
    <row r="3026" spans="1:8" x14ac:dyDescent="0.25">
      <c r="A3026" s="73">
        <v>44771</v>
      </c>
      <c r="B3026" s="74" t="s">
        <v>24403</v>
      </c>
      <c r="C3026" s="75" t="s">
        <v>142</v>
      </c>
      <c r="D3026" s="81">
        <v>9222</v>
      </c>
      <c r="E3026" s="151" t="s">
        <v>4813</v>
      </c>
      <c r="F3026" s="81">
        <v>0</v>
      </c>
      <c r="G3026" s="156">
        <f>Tabla18[[#This Row],[Importe]]-Tabla18[[#This Row],[Pagado]]</f>
        <v>9222</v>
      </c>
      <c r="H3026" s="75" t="s">
        <v>4814</v>
      </c>
    </row>
    <row r="3027" spans="1:8" x14ac:dyDescent="0.25">
      <c r="A3027" s="148">
        <v>44771</v>
      </c>
      <c r="B3027" s="149" t="s">
        <v>24404</v>
      </c>
      <c r="C3027" s="153" t="s">
        <v>19637</v>
      </c>
      <c r="D3027" s="154">
        <v>2658.2</v>
      </c>
      <c r="E3027" s="155">
        <v>44786</v>
      </c>
      <c r="F3027" s="154">
        <v>2658.2</v>
      </c>
      <c r="G3027" s="156">
        <f>Tabla18[[#This Row],[Importe]]-Tabla18[[#This Row],[Pagado]]</f>
        <v>0</v>
      </c>
      <c r="H3027" s="153" t="s">
        <v>4814</v>
      </c>
    </row>
    <row r="3028" spans="1:8" x14ac:dyDescent="0.25">
      <c r="A3028" s="73">
        <v>44771</v>
      </c>
      <c r="B3028" s="74" t="s">
        <v>24405</v>
      </c>
      <c r="C3028" s="75" t="s">
        <v>51</v>
      </c>
      <c r="D3028" s="81">
        <v>3652</v>
      </c>
      <c r="E3028" s="151">
        <v>44771</v>
      </c>
      <c r="F3028" s="81">
        <v>3652</v>
      </c>
      <c r="G3028" s="156">
        <f>Tabla18[[#This Row],[Importe]]-Tabla18[[#This Row],[Pagado]]</f>
        <v>0</v>
      </c>
      <c r="H3028" s="75" t="s">
        <v>10</v>
      </c>
    </row>
    <row r="3029" spans="1:8" x14ac:dyDescent="0.25">
      <c r="A3029" s="148">
        <v>44771</v>
      </c>
      <c r="B3029" s="149" t="s">
        <v>24406</v>
      </c>
      <c r="C3029" s="153" t="s">
        <v>31</v>
      </c>
      <c r="D3029" s="154">
        <v>913.5</v>
      </c>
      <c r="E3029" s="155">
        <v>44771</v>
      </c>
      <c r="F3029" s="154">
        <v>913.5</v>
      </c>
      <c r="G3029" s="156">
        <f>Tabla18[[#This Row],[Importe]]-Tabla18[[#This Row],[Pagado]]</f>
        <v>0</v>
      </c>
      <c r="H3029" s="153" t="s">
        <v>10</v>
      </c>
    </row>
    <row r="3030" spans="1:8" x14ac:dyDescent="0.25">
      <c r="A3030" s="73">
        <v>44771</v>
      </c>
      <c r="B3030" s="74" t="s">
        <v>24407</v>
      </c>
      <c r="C3030" s="75" t="s">
        <v>1481</v>
      </c>
      <c r="D3030" s="81">
        <v>1344.4</v>
      </c>
      <c r="E3030" s="151">
        <v>44771</v>
      </c>
      <c r="F3030" s="81">
        <v>1344.4</v>
      </c>
      <c r="G3030" s="156">
        <f>Tabla18[[#This Row],[Importe]]-Tabla18[[#This Row],[Pagado]]</f>
        <v>0</v>
      </c>
      <c r="H3030" s="75" t="s">
        <v>10</v>
      </c>
    </row>
    <row r="3031" spans="1:8" x14ac:dyDescent="0.25">
      <c r="A3031" s="148">
        <v>44771</v>
      </c>
      <c r="B3031" s="149" t="s">
        <v>24408</v>
      </c>
      <c r="C3031" s="153" t="s">
        <v>647</v>
      </c>
      <c r="D3031" s="154">
        <v>879.6</v>
      </c>
      <c r="E3031" s="155">
        <v>44771</v>
      </c>
      <c r="F3031" s="154">
        <v>879.6</v>
      </c>
      <c r="G3031" s="156">
        <f>Tabla18[[#This Row],[Importe]]-Tabla18[[#This Row],[Pagado]]</f>
        <v>0</v>
      </c>
      <c r="H3031" s="153" t="s">
        <v>10</v>
      </c>
    </row>
    <row r="3032" spans="1:8" x14ac:dyDescent="0.25">
      <c r="A3032" s="73">
        <v>44771</v>
      </c>
      <c r="B3032" s="74" t="s">
        <v>24409</v>
      </c>
      <c r="C3032" s="75" t="s">
        <v>191</v>
      </c>
      <c r="D3032" s="81">
        <v>524.70000000000005</v>
      </c>
      <c r="E3032" s="151">
        <v>44771</v>
      </c>
      <c r="F3032" s="81">
        <v>524.70000000000005</v>
      </c>
      <c r="G3032" s="156">
        <f>Tabla18[[#This Row],[Importe]]-Tabla18[[#This Row],[Pagado]]</f>
        <v>0</v>
      </c>
      <c r="H3032" s="75" t="s">
        <v>10</v>
      </c>
    </row>
    <row r="3033" spans="1:8" x14ac:dyDescent="0.25">
      <c r="A3033" s="148">
        <v>44771</v>
      </c>
      <c r="B3033" s="149" t="s">
        <v>24410</v>
      </c>
      <c r="C3033" s="153" t="s">
        <v>244</v>
      </c>
      <c r="D3033" s="154">
        <v>1210</v>
      </c>
      <c r="E3033" s="155">
        <v>44771</v>
      </c>
      <c r="F3033" s="154">
        <v>1210</v>
      </c>
      <c r="G3033" s="156">
        <f>Tabla18[[#This Row],[Importe]]-Tabla18[[#This Row],[Pagado]]</f>
        <v>0</v>
      </c>
      <c r="H3033" s="153" t="s">
        <v>10</v>
      </c>
    </row>
    <row r="3034" spans="1:8" x14ac:dyDescent="0.25">
      <c r="A3034" s="73">
        <v>44771</v>
      </c>
      <c r="B3034" s="74" t="s">
        <v>24411</v>
      </c>
      <c r="C3034" s="75" t="s">
        <v>9827</v>
      </c>
      <c r="D3034" s="81">
        <v>5289.6</v>
      </c>
      <c r="E3034" s="151">
        <v>44771</v>
      </c>
      <c r="F3034" s="81">
        <v>5289.6</v>
      </c>
      <c r="G3034" s="156">
        <f>Tabla18[[#This Row],[Importe]]-Tabla18[[#This Row],[Pagado]]</f>
        <v>0</v>
      </c>
      <c r="H3034" s="75" t="s">
        <v>10</v>
      </c>
    </row>
    <row r="3035" spans="1:8" x14ac:dyDescent="0.25">
      <c r="A3035" s="148">
        <v>44771</v>
      </c>
      <c r="B3035" s="149" t="s">
        <v>24412</v>
      </c>
      <c r="C3035" s="153" t="s">
        <v>67</v>
      </c>
      <c r="D3035" s="154">
        <v>13011.7</v>
      </c>
      <c r="E3035" s="155">
        <v>44771</v>
      </c>
      <c r="F3035" s="154">
        <v>13011.7</v>
      </c>
      <c r="G3035" s="156">
        <f>Tabla18[[#This Row],[Importe]]-Tabla18[[#This Row],[Pagado]]</f>
        <v>0</v>
      </c>
      <c r="H3035" s="153" t="s">
        <v>10</v>
      </c>
    </row>
    <row r="3036" spans="1:8" x14ac:dyDescent="0.25">
      <c r="A3036" s="73">
        <v>44771</v>
      </c>
      <c r="B3036" s="74" t="s">
        <v>24413</v>
      </c>
      <c r="C3036" s="75" t="s">
        <v>97</v>
      </c>
      <c r="D3036" s="81">
        <v>2224.4</v>
      </c>
      <c r="E3036" s="151">
        <v>44771</v>
      </c>
      <c r="F3036" s="81">
        <v>2224.4</v>
      </c>
      <c r="G3036" s="156">
        <f>Tabla18[[#This Row],[Importe]]-Tabla18[[#This Row],[Pagado]]</f>
        <v>0</v>
      </c>
      <c r="H3036" s="75" t="s">
        <v>10</v>
      </c>
    </row>
    <row r="3037" spans="1:8" x14ac:dyDescent="0.25">
      <c r="A3037" s="148">
        <v>44771</v>
      </c>
      <c r="B3037" s="149" t="s">
        <v>24414</v>
      </c>
      <c r="C3037" s="153" t="s">
        <v>31</v>
      </c>
      <c r="D3037" s="154">
        <v>722.1</v>
      </c>
      <c r="E3037" s="155">
        <v>44771</v>
      </c>
      <c r="F3037" s="154">
        <v>722.1</v>
      </c>
      <c r="G3037" s="156">
        <f>Tabla18[[#This Row],[Importe]]-Tabla18[[#This Row],[Pagado]]</f>
        <v>0</v>
      </c>
      <c r="H3037" s="153" t="s">
        <v>10</v>
      </c>
    </row>
    <row r="3038" spans="1:8" x14ac:dyDescent="0.25">
      <c r="A3038" s="73">
        <v>44771</v>
      </c>
      <c r="B3038" s="74" t="s">
        <v>24415</v>
      </c>
      <c r="C3038" s="75" t="s">
        <v>2377</v>
      </c>
      <c r="D3038" s="81">
        <v>18000</v>
      </c>
      <c r="E3038" s="151">
        <v>44771</v>
      </c>
      <c r="F3038" s="81">
        <v>18000</v>
      </c>
      <c r="G3038" s="156">
        <f>Tabla18[[#This Row],[Importe]]-Tabla18[[#This Row],[Pagado]]</f>
        <v>0</v>
      </c>
      <c r="H3038" s="75" t="s">
        <v>10</v>
      </c>
    </row>
    <row r="3039" spans="1:8" x14ac:dyDescent="0.25">
      <c r="A3039" s="148">
        <v>44771</v>
      </c>
      <c r="B3039" s="149" t="s">
        <v>24416</v>
      </c>
      <c r="C3039" s="153" t="s">
        <v>275</v>
      </c>
      <c r="D3039" s="154">
        <v>175487</v>
      </c>
      <c r="E3039" s="155">
        <v>44789</v>
      </c>
      <c r="F3039" s="154">
        <v>175487</v>
      </c>
      <c r="G3039" s="156">
        <f>Tabla18[[#This Row],[Importe]]-Tabla18[[#This Row],[Pagado]]</f>
        <v>0</v>
      </c>
      <c r="H3039" s="153" t="s">
        <v>10</v>
      </c>
    </row>
    <row r="3040" spans="1:8" x14ac:dyDescent="0.25">
      <c r="A3040" s="73">
        <v>44771</v>
      </c>
      <c r="B3040" s="74" t="s">
        <v>24417</v>
      </c>
      <c r="C3040" s="75" t="s">
        <v>555</v>
      </c>
      <c r="D3040" s="81">
        <v>27585.599999999999</v>
      </c>
      <c r="E3040" s="151">
        <v>44771</v>
      </c>
      <c r="F3040" s="81">
        <v>27585.599999999999</v>
      </c>
      <c r="G3040" s="156">
        <f>Tabla18[[#This Row],[Importe]]-Tabla18[[#This Row],[Pagado]]</f>
        <v>0</v>
      </c>
      <c r="H3040" s="75" t="s">
        <v>10</v>
      </c>
    </row>
    <row r="3041" spans="1:8" x14ac:dyDescent="0.25">
      <c r="A3041" s="148">
        <v>44771</v>
      </c>
      <c r="B3041" s="149" t="s">
        <v>24418</v>
      </c>
      <c r="C3041" s="153" t="s">
        <v>27</v>
      </c>
      <c r="D3041" s="154">
        <v>2560</v>
      </c>
      <c r="E3041" s="155">
        <v>44771</v>
      </c>
      <c r="F3041" s="154">
        <v>2560</v>
      </c>
      <c r="G3041" s="156">
        <f>Tabla18[[#This Row],[Importe]]-Tabla18[[#This Row],[Pagado]]</f>
        <v>0</v>
      </c>
      <c r="H3041" s="153" t="s">
        <v>10</v>
      </c>
    </row>
    <row r="3042" spans="1:8" x14ac:dyDescent="0.25">
      <c r="A3042" s="73">
        <v>44771</v>
      </c>
      <c r="B3042" s="74" t="s">
        <v>24419</v>
      </c>
      <c r="C3042" s="75" t="s">
        <v>19879</v>
      </c>
      <c r="D3042" s="81">
        <v>0</v>
      </c>
      <c r="E3042" s="157" t="s">
        <v>189</v>
      </c>
      <c r="F3042" s="81">
        <v>0</v>
      </c>
      <c r="G3042" s="156">
        <f>Tabla18[[#This Row],[Importe]]-Tabla18[[#This Row],[Pagado]]</f>
        <v>0</v>
      </c>
      <c r="H3042" s="161" t="s">
        <v>24420</v>
      </c>
    </row>
    <row r="3043" spans="1:8" x14ac:dyDescent="0.25">
      <c r="A3043" s="148">
        <v>44771</v>
      </c>
      <c r="B3043" s="149" t="s">
        <v>24421</v>
      </c>
      <c r="C3043" s="153" t="s">
        <v>698</v>
      </c>
      <c r="D3043" s="154">
        <v>6975.9</v>
      </c>
      <c r="E3043" s="155">
        <v>44771</v>
      </c>
      <c r="F3043" s="154">
        <v>6975.9</v>
      </c>
      <c r="G3043" s="156">
        <f>Tabla18[[#This Row],[Importe]]-Tabla18[[#This Row],[Pagado]]</f>
        <v>0</v>
      </c>
      <c r="H3043" s="153" t="s">
        <v>10</v>
      </c>
    </row>
    <row r="3044" spans="1:8" x14ac:dyDescent="0.25">
      <c r="A3044" s="73">
        <v>44771</v>
      </c>
      <c r="B3044" s="74" t="s">
        <v>24422</v>
      </c>
      <c r="C3044" s="75" t="s">
        <v>214</v>
      </c>
      <c r="D3044" s="81">
        <v>1653</v>
      </c>
      <c r="E3044" s="151">
        <v>44771</v>
      </c>
      <c r="F3044" s="81">
        <v>1653</v>
      </c>
      <c r="G3044" s="156">
        <f>Tabla18[[#This Row],[Importe]]-Tabla18[[#This Row],[Pagado]]</f>
        <v>0</v>
      </c>
      <c r="H3044" s="75" t="s">
        <v>10</v>
      </c>
    </row>
    <row r="3045" spans="1:8" x14ac:dyDescent="0.25">
      <c r="A3045" s="148">
        <v>44771</v>
      </c>
      <c r="B3045" s="149" t="s">
        <v>24423</v>
      </c>
      <c r="C3045" s="153" t="s">
        <v>409</v>
      </c>
      <c r="D3045" s="154">
        <v>10200.6</v>
      </c>
      <c r="E3045" s="155">
        <v>44776</v>
      </c>
      <c r="F3045" s="154">
        <v>10200.6</v>
      </c>
      <c r="G3045" s="156">
        <f>Tabla18[[#This Row],[Importe]]-Tabla18[[#This Row],[Pagado]]</f>
        <v>0</v>
      </c>
      <c r="H3045" s="153" t="s">
        <v>10</v>
      </c>
    </row>
    <row r="3046" spans="1:8" x14ac:dyDescent="0.25">
      <c r="A3046" s="73">
        <v>44771</v>
      </c>
      <c r="B3046" s="74" t="s">
        <v>24424</v>
      </c>
      <c r="C3046" s="75" t="s">
        <v>31</v>
      </c>
      <c r="D3046" s="81">
        <v>252.4</v>
      </c>
      <c r="E3046" s="151">
        <v>44771</v>
      </c>
      <c r="F3046" s="81">
        <v>252.4</v>
      </c>
      <c r="G3046" s="156">
        <f>Tabla18[[#This Row],[Importe]]-Tabla18[[#This Row],[Pagado]]</f>
        <v>0</v>
      </c>
      <c r="H3046" s="75" t="s">
        <v>10</v>
      </c>
    </row>
    <row r="3047" spans="1:8" x14ac:dyDescent="0.25">
      <c r="A3047" s="148">
        <v>44771</v>
      </c>
      <c r="B3047" s="149" t="s">
        <v>24425</v>
      </c>
      <c r="C3047" s="153" t="s">
        <v>296</v>
      </c>
      <c r="D3047" s="154">
        <v>2479.1999999999998</v>
      </c>
      <c r="E3047" s="155">
        <v>44771</v>
      </c>
      <c r="F3047" s="154">
        <v>2479.1999999999998</v>
      </c>
      <c r="G3047" s="156">
        <f>Tabla18[[#This Row],[Importe]]-Tabla18[[#This Row],[Pagado]]</f>
        <v>0</v>
      </c>
      <c r="H3047" s="153" t="s">
        <v>10</v>
      </c>
    </row>
    <row r="3048" spans="1:8" x14ac:dyDescent="0.25">
      <c r="A3048" s="73">
        <v>44771</v>
      </c>
      <c r="B3048" s="74" t="s">
        <v>24426</v>
      </c>
      <c r="C3048" s="75" t="s">
        <v>191</v>
      </c>
      <c r="D3048" s="81">
        <v>876.9</v>
      </c>
      <c r="E3048" s="151">
        <v>44771</v>
      </c>
      <c r="F3048" s="81">
        <v>876.9</v>
      </c>
      <c r="G3048" s="156">
        <f>Tabla18[[#This Row],[Importe]]-Tabla18[[#This Row],[Pagado]]</f>
        <v>0</v>
      </c>
      <c r="H3048" s="75" t="s">
        <v>10</v>
      </c>
    </row>
    <row r="3049" spans="1:8" x14ac:dyDescent="0.25">
      <c r="A3049" s="148">
        <v>44771</v>
      </c>
      <c r="B3049" s="149" t="s">
        <v>24427</v>
      </c>
      <c r="C3049" s="153" t="s">
        <v>31</v>
      </c>
      <c r="D3049" s="154">
        <v>650</v>
      </c>
      <c r="E3049" s="155">
        <v>44771</v>
      </c>
      <c r="F3049" s="154">
        <v>650</v>
      </c>
      <c r="G3049" s="156">
        <f>Tabla18[[#This Row],[Importe]]-Tabla18[[#This Row],[Pagado]]</f>
        <v>0</v>
      </c>
      <c r="H3049" s="153" t="s">
        <v>10</v>
      </c>
    </row>
    <row r="3050" spans="1:8" x14ac:dyDescent="0.25">
      <c r="A3050" s="73">
        <v>44771</v>
      </c>
      <c r="B3050" s="74" t="s">
        <v>24428</v>
      </c>
      <c r="C3050" s="75" t="s">
        <v>421</v>
      </c>
      <c r="D3050" s="81">
        <v>11546</v>
      </c>
      <c r="E3050" s="151">
        <v>44781</v>
      </c>
      <c r="F3050" s="81">
        <v>11546</v>
      </c>
      <c r="G3050" s="156">
        <f>Tabla18[[#This Row],[Importe]]-Tabla18[[#This Row],[Pagado]]</f>
        <v>0</v>
      </c>
      <c r="H3050" s="75" t="s">
        <v>10</v>
      </c>
    </row>
    <row r="3051" spans="1:8" x14ac:dyDescent="0.25">
      <c r="A3051" s="148">
        <v>44771</v>
      </c>
      <c r="B3051" s="149" t="s">
        <v>24429</v>
      </c>
      <c r="C3051" s="153" t="s">
        <v>31</v>
      </c>
      <c r="D3051" s="154">
        <v>1411</v>
      </c>
      <c r="E3051" s="155">
        <v>44771</v>
      </c>
      <c r="F3051" s="154">
        <v>1411</v>
      </c>
      <c r="G3051" s="156">
        <f>Tabla18[[#This Row],[Importe]]-Tabla18[[#This Row],[Pagado]]</f>
        <v>0</v>
      </c>
      <c r="H3051" s="153" t="s">
        <v>10</v>
      </c>
    </row>
    <row r="3052" spans="1:8" x14ac:dyDescent="0.25">
      <c r="A3052" s="73">
        <v>44771</v>
      </c>
      <c r="B3052" s="74" t="s">
        <v>24430</v>
      </c>
      <c r="C3052" s="75" t="s">
        <v>10678</v>
      </c>
      <c r="D3052" s="81">
        <v>5223.6000000000004</v>
      </c>
      <c r="E3052" s="151">
        <v>44771</v>
      </c>
      <c r="F3052" s="81">
        <v>5223.6000000000004</v>
      </c>
      <c r="G3052" s="156">
        <f>Tabla18[[#This Row],[Importe]]-Tabla18[[#This Row],[Pagado]]</f>
        <v>0</v>
      </c>
      <c r="H3052" s="75" t="s">
        <v>10</v>
      </c>
    </row>
    <row r="3053" spans="1:8" x14ac:dyDescent="0.25">
      <c r="A3053" s="148">
        <v>44771</v>
      </c>
      <c r="B3053" s="149" t="s">
        <v>24431</v>
      </c>
      <c r="C3053" s="153" t="s">
        <v>5345</v>
      </c>
      <c r="D3053" s="154">
        <v>8649.2999999999993</v>
      </c>
      <c r="E3053" s="155">
        <v>44772</v>
      </c>
      <c r="F3053" s="154">
        <v>8649.2999999999993</v>
      </c>
      <c r="G3053" s="156">
        <f>Tabla18[[#This Row],[Importe]]-Tabla18[[#This Row],[Pagado]]</f>
        <v>0</v>
      </c>
      <c r="H3053" s="153" t="s">
        <v>10</v>
      </c>
    </row>
    <row r="3054" spans="1:8" x14ac:dyDescent="0.25">
      <c r="A3054" s="73">
        <v>44771</v>
      </c>
      <c r="B3054" s="74" t="s">
        <v>24432</v>
      </c>
      <c r="C3054" s="75" t="s">
        <v>280</v>
      </c>
      <c r="D3054" s="81">
        <v>2418.6</v>
      </c>
      <c r="E3054" s="151">
        <v>44772</v>
      </c>
      <c r="F3054" s="81">
        <v>2418.6</v>
      </c>
      <c r="G3054" s="156">
        <f>Tabla18[[#This Row],[Importe]]-Tabla18[[#This Row],[Pagado]]</f>
        <v>0</v>
      </c>
      <c r="H3054" s="75" t="s">
        <v>10</v>
      </c>
    </row>
    <row r="3055" spans="1:8" x14ac:dyDescent="0.25">
      <c r="A3055" s="148">
        <v>44771</v>
      </c>
      <c r="B3055" s="149" t="s">
        <v>24433</v>
      </c>
      <c r="C3055" s="153" t="s">
        <v>69</v>
      </c>
      <c r="D3055" s="154">
        <v>2612.4</v>
      </c>
      <c r="E3055" s="155">
        <v>44771</v>
      </c>
      <c r="F3055" s="154">
        <v>2612.4</v>
      </c>
      <c r="G3055" s="156">
        <f>Tabla18[[#This Row],[Importe]]-Tabla18[[#This Row],[Pagado]]</f>
        <v>0</v>
      </c>
      <c r="H3055" s="153" t="s">
        <v>10</v>
      </c>
    </row>
    <row r="3056" spans="1:8" x14ac:dyDescent="0.25">
      <c r="A3056" s="73">
        <v>44771</v>
      </c>
      <c r="B3056" s="74" t="s">
        <v>24434</v>
      </c>
      <c r="C3056" s="75" t="s">
        <v>282</v>
      </c>
      <c r="D3056" s="81">
        <v>2566.5</v>
      </c>
      <c r="E3056" s="151">
        <v>44772</v>
      </c>
      <c r="F3056" s="81">
        <v>2566.5</v>
      </c>
      <c r="G3056" s="156">
        <f>Tabla18[[#This Row],[Importe]]-Tabla18[[#This Row],[Pagado]]</f>
        <v>0</v>
      </c>
      <c r="H3056" s="75" t="s">
        <v>10</v>
      </c>
    </row>
    <row r="3057" spans="1:8" x14ac:dyDescent="0.25">
      <c r="A3057" s="148">
        <v>44771</v>
      </c>
      <c r="B3057" s="149" t="s">
        <v>24435</v>
      </c>
      <c r="C3057" s="153" t="s">
        <v>10819</v>
      </c>
      <c r="D3057" s="154">
        <v>1475.5</v>
      </c>
      <c r="E3057" s="155">
        <v>44772</v>
      </c>
      <c r="F3057" s="154">
        <v>1475.5</v>
      </c>
      <c r="G3057" s="156">
        <f>Tabla18[[#This Row],[Importe]]-Tabla18[[#This Row],[Pagado]]</f>
        <v>0</v>
      </c>
      <c r="H3057" s="153" t="s">
        <v>10</v>
      </c>
    </row>
    <row r="3058" spans="1:8" x14ac:dyDescent="0.25">
      <c r="A3058" s="73">
        <v>44771</v>
      </c>
      <c r="B3058" s="74" t="s">
        <v>24436</v>
      </c>
      <c r="C3058" s="75" t="s">
        <v>31</v>
      </c>
      <c r="D3058" s="81">
        <v>533</v>
      </c>
      <c r="E3058" s="151">
        <v>44771</v>
      </c>
      <c r="F3058" s="81">
        <v>533</v>
      </c>
      <c r="G3058" s="156">
        <f>Tabla18[[#This Row],[Importe]]-Tabla18[[#This Row],[Pagado]]</f>
        <v>0</v>
      </c>
      <c r="H3058" s="75" t="s">
        <v>10</v>
      </c>
    </row>
    <row r="3059" spans="1:8" x14ac:dyDescent="0.25">
      <c r="A3059" s="148">
        <v>44771</v>
      </c>
      <c r="B3059" s="149" t="s">
        <v>24437</v>
      </c>
      <c r="C3059" s="153" t="s">
        <v>179</v>
      </c>
      <c r="D3059" s="154">
        <v>2610</v>
      </c>
      <c r="E3059" s="155">
        <v>44772</v>
      </c>
      <c r="F3059" s="154">
        <v>2610</v>
      </c>
      <c r="G3059" s="156">
        <f>Tabla18[[#This Row],[Importe]]-Tabla18[[#This Row],[Pagado]]</f>
        <v>0</v>
      </c>
      <c r="H3059" s="153" t="s">
        <v>10</v>
      </c>
    </row>
    <row r="3060" spans="1:8" x14ac:dyDescent="0.25">
      <c r="A3060" s="73">
        <v>44771</v>
      </c>
      <c r="B3060" s="74" t="s">
        <v>24438</v>
      </c>
      <c r="C3060" s="75" t="s">
        <v>365</v>
      </c>
      <c r="D3060" s="81">
        <v>1829.2</v>
      </c>
      <c r="E3060" s="151">
        <v>44771</v>
      </c>
      <c r="F3060" s="81">
        <v>1829.2</v>
      </c>
      <c r="G3060" s="156">
        <f>Tabla18[[#This Row],[Importe]]-Tabla18[[#This Row],[Pagado]]</f>
        <v>0</v>
      </c>
      <c r="H3060" s="75" t="s">
        <v>10</v>
      </c>
    </row>
    <row r="3061" spans="1:8" x14ac:dyDescent="0.25">
      <c r="A3061" s="148">
        <v>44771</v>
      </c>
      <c r="B3061" s="149" t="s">
        <v>24439</v>
      </c>
      <c r="C3061" s="153" t="s">
        <v>450</v>
      </c>
      <c r="D3061" s="154">
        <v>8123.9</v>
      </c>
      <c r="E3061" s="155">
        <v>44768</v>
      </c>
      <c r="F3061" s="154">
        <v>8123.9</v>
      </c>
      <c r="G3061" s="156">
        <f>Tabla18[[#This Row],[Importe]]-Tabla18[[#This Row],[Pagado]]</f>
        <v>0</v>
      </c>
      <c r="H3061" s="153" t="s">
        <v>10</v>
      </c>
    </row>
    <row r="3062" spans="1:8" x14ac:dyDescent="0.25">
      <c r="A3062" s="73">
        <v>44771</v>
      </c>
      <c r="B3062" s="74" t="s">
        <v>24440</v>
      </c>
      <c r="C3062" s="75" t="s">
        <v>857</v>
      </c>
      <c r="D3062" s="81">
        <v>1315.2</v>
      </c>
      <c r="E3062" s="151">
        <v>44768</v>
      </c>
      <c r="F3062" s="81">
        <v>1315.2</v>
      </c>
      <c r="G3062" s="156">
        <f>Tabla18[[#This Row],[Importe]]-Tabla18[[#This Row],[Pagado]]</f>
        <v>0</v>
      </c>
      <c r="H3062" s="75" t="s">
        <v>10</v>
      </c>
    </row>
    <row r="3063" spans="1:8" x14ac:dyDescent="0.25">
      <c r="A3063" s="148">
        <v>44771</v>
      </c>
      <c r="B3063" s="149" t="s">
        <v>24441</v>
      </c>
      <c r="C3063" s="153" t="s">
        <v>142</v>
      </c>
      <c r="D3063" s="154">
        <v>73071.5</v>
      </c>
      <c r="E3063" s="155" t="s">
        <v>4813</v>
      </c>
      <c r="F3063" s="154">
        <v>0</v>
      </c>
      <c r="G3063" s="156">
        <f>Tabla18[[#This Row],[Importe]]-Tabla18[[#This Row],[Pagado]]</f>
        <v>73071.5</v>
      </c>
      <c r="H3063" s="153" t="s">
        <v>4814</v>
      </c>
    </row>
    <row r="3064" spans="1:8" x14ac:dyDescent="0.25">
      <c r="A3064" s="73">
        <v>44771</v>
      </c>
      <c r="B3064" s="74" t="s">
        <v>24442</v>
      </c>
      <c r="C3064" s="75" t="s">
        <v>31</v>
      </c>
      <c r="D3064" s="81">
        <v>1232</v>
      </c>
      <c r="E3064" s="151">
        <v>44771</v>
      </c>
      <c r="F3064" s="81">
        <v>1232</v>
      </c>
      <c r="G3064" s="156">
        <f>Tabla18[[#This Row],[Importe]]-Tabla18[[#This Row],[Pagado]]</f>
        <v>0</v>
      </c>
      <c r="H3064" s="75" t="s">
        <v>10</v>
      </c>
    </row>
    <row r="3065" spans="1:8" x14ac:dyDescent="0.25">
      <c r="A3065" s="148">
        <v>44771</v>
      </c>
      <c r="B3065" s="149" t="s">
        <v>24443</v>
      </c>
      <c r="C3065" s="153" t="s">
        <v>196</v>
      </c>
      <c r="D3065" s="154">
        <v>126836.5</v>
      </c>
      <c r="E3065" s="155">
        <v>44778</v>
      </c>
      <c r="F3065" s="154">
        <v>126836.5</v>
      </c>
      <c r="G3065" s="156">
        <f>Tabla18[[#This Row],[Importe]]-Tabla18[[#This Row],[Pagado]]</f>
        <v>0</v>
      </c>
      <c r="H3065" s="153" t="s">
        <v>10</v>
      </c>
    </row>
    <row r="3066" spans="1:8" x14ac:dyDescent="0.25">
      <c r="A3066" s="73">
        <v>44771</v>
      </c>
      <c r="B3066" s="74" t="s">
        <v>24444</v>
      </c>
      <c r="C3066" s="75" t="s">
        <v>75</v>
      </c>
      <c r="D3066" s="81">
        <v>1235.4000000000001</v>
      </c>
      <c r="E3066" s="151">
        <v>44771</v>
      </c>
      <c r="F3066" s="81">
        <v>1235.4000000000001</v>
      </c>
      <c r="G3066" s="156">
        <f>Tabla18[[#This Row],[Importe]]-Tabla18[[#This Row],[Pagado]]</f>
        <v>0</v>
      </c>
      <c r="H3066" s="75" t="s">
        <v>10</v>
      </c>
    </row>
    <row r="3067" spans="1:8" x14ac:dyDescent="0.25">
      <c r="A3067" s="148">
        <v>44771</v>
      </c>
      <c r="B3067" s="149" t="s">
        <v>24445</v>
      </c>
      <c r="C3067" s="153" t="s">
        <v>7313</v>
      </c>
      <c r="D3067" s="154">
        <v>3308.2</v>
      </c>
      <c r="E3067" s="155">
        <v>44771</v>
      </c>
      <c r="F3067" s="154">
        <v>3308.2</v>
      </c>
      <c r="G3067" s="156">
        <f>Tabla18[[#This Row],[Importe]]-Tabla18[[#This Row],[Pagado]]</f>
        <v>0</v>
      </c>
      <c r="H3067" s="153" t="s">
        <v>10</v>
      </c>
    </row>
    <row r="3068" spans="1:8" x14ac:dyDescent="0.25">
      <c r="A3068" s="73">
        <v>44771</v>
      </c>
      <c r="B3068" s="74" t="s">
        <v>24446</v>
      </c>
      <c r="C3068" s="75" t="s">
        <v>196</v>
      </c>
      <c r="D3068" s="81">
        <v>49636.2</v>
      </c>
      <c r="E3068" s="151">
        <v>44778</v>
      </c>
      <c r="F3068" s="81">
        <v>49636.2</v>
      </c>
      <c r="G3068" s="156">
        <f>Tabla18[[#This Row],[Importe]]-Tabla18[[#This Row],[Pagado]]</f>
        <v>0</v>
      </c>
      <c r="H3068" s="75" t="s">
        <v>10</v>
      </c>
    </row>
    <row r="3069" spans="1:8" x14ac:dyDescent="0.25">
      <c r="A3069" s="148">
        <v>44771</v>
      </c>
      <c r="B3069" s="149" t="s">
        <v>24447</v>
      </c>
      <c r="C3069" s="153" t="s">
        <v>461</v>
      </c>
      <c r="D3069" s="154">
        <v>548.1</v>
      </c>
      <c r="E3069" s="155">
        <v>44771</v>
      </c>
      <c r="F3069" s="154">
        <v>548.1</v>
      </c>
      <c r="G3069" s="156">
        <f>Tabla18[[#This Row],[Importe]]-Tabla18[[#This Row],[Pagado]]</f>
        <v>0</v>
      </c>
      <c r="H3069" s="153" t="s">
        <v>10</v>
      </c>
    </row>
    <row r="3070" spans="1:8" x14ac:dyDescent="0.25">
      <c r="A3070" s="73">
        <v>44771</v>
      </c>
      <c r="B3070" s="74" t="s">
        <v>24448</v>
      </c>
      <c r="C3070" s="75" t="s">
        <v>10190</v>
      </c>
      <c r="D3070" s="81">
        <v>38334</v>
      </c>
      <c r="E3070" s="151">
        <v>44772</v>
      </c>
      <c r="F3070" s="81">
        <v>38334</v>
      </c>
      <c r="G3070" s="156">
        <f>Tabla18[[#This Row],[Importe]]-Tabla18[[#This Row],[Pagado]]</f>
        <v>0</v>
      </c>
      <c r="H3070" s="75" t="s">
        <v>10</v>
      </c>
    </row>
    <row r="3071" spans="1:8" ht="31.5" x14ac:dyDescent="0.25">
      <c r="A3071" s="148">
        <v>44771</v>
      </c>
      <c r="B3071" s="149" t="s">
        <v>24449</v>
      </c>
      <c r="C3071" s="160" t="s">
        <v>9180</v>
      </c>
      <c r="D3071" s="154">
        <v>0</v>
      </c>
      <c r="E3071" s="158" t="s">
        <v>189</v>
      </c>
      <c r="F3071" s="154">
        <v>0</v>
      </c>
      <c r="G3071" s="156">
        <f>Tabla18[[#This Row],[Importe]]-Tabla18[[#This Row],[Pagado]]</f>
        <v>0</v>
      </c>
      <c r="H3071" s="153" t="s">
        <v>189</v>
      </c>
    </row>
    <row r="3072" spans="1:8" x14ac:dyDescent="0.25">
      <c r="A3072" s="73">
        <v>44771</v>
      </c>
      <c r="B3072" s="74" t="s">
        <v>24450</v>
      </c>
      <c r="C3072" s="75" t="s">
        <v>31</v>
      </c>
      <c r="D3072" s="81">
        <v>325</v>
      </c>
      <c r="E3072" s="151">
        <v>44772</v>
      </c>
      <c r="F3072" s="81">
        <v>325</v>
      </c>
      <c r="G3072" s="156">
        <f>Tabla18[[#This Row],[Importe]]-Tabla18[[#This Row],[Pagado]]</f>
        <v>0</v>
      </c>
      <c r="H3072" s="75" t="s">
        <v>10</v>
      </c>
    </row>
    <row r="3073" spans="1:8" x14ac:dyDescent="0.25">
      <c r="A3073" s="148">
        <v>44772</v>
      </c>
      <c r="B3073" s="149" t="s">
        <v>24451</v>
      </c>
      <c r="C3073" s="153" t="s">
        <v>475</v>
      </c>
      <c r="D3073" s="154">
        <v>74546</v>
      </c>
      <c r="E3073" s="155">
        <v>44773</v>
      </c>
      <c r="F3073" s="154">
        <v>74546</v>
      </c>
      <c r="G3073" s="156">
        <f>Tabla18[[#This Row],[Importe]]-Tabla18[[#This Row],[Pagado]]</f>
        <v>0</v>
      </c>
      <c r="H3073" s="153" t="s">
        <v>10</v>
      </c>
    </row>
    <row r="3074" spans="1:8" x14ac:dyDescent="0.25">
      <c r="A3074" s="73">
        <v>44772</v>
      </c>
      <c r="B3074" s="74" t="s">
        <v>24452</v>
      </c>
      <c r="C3074" s="75" t="s">
        <v>887</v>
      </c>
      <c r="D3074" s="81">
        <v>31954.9</v>
      </c>
      <c r="E3074" s="151">
        <v>44772</v>
      </c>
      <c r="F3074" s="81">
        <v>31954.9</v>
      </c>
      <c r="G3074" s="156">
        <f>Tabla18[[#This Row],[Importe]]-Tabla18[[#This Row],[Pagado]]</f>
        <v>0</v>
      </c>
      <c r="H3074" s="75" t="s">
        <v>10</v>
      </c>
    </row>
    <row r="3075" spans="1:8" x14ac:dyDescent="0.25">
      <c r="A3075" s="148">
        <v>44772</v>
      </c>
      <c r="B3075" s="149" t="s">
        <v>24453</v>
      </c>
      <c r="C3075" s="153" t="s">
        <v>75</v>
      </c>
      <c r="D3075" s="154">
        <v>25464.9</v>
      </c>
      <c r="E3075" s="155">
        <v>44772</v>
      </c>
      <c r="F3075" s="154">
        <v>25464.9</v>
      </c>
      <c r="G3075" s="156">
        <f>Tabla18[[#This Row],[Importe]]-Tabla18[[#This Row],[Pagado]]</f>
        <v>0</v>
      </c>
      <c r="H3075" s="153" t="s">
        <v>10</v>
      </c>
    </row>
    <row r="3076" spans="1:8" x14ac:dyDescent="0.25">
      <c r="A3076" s="73">
        <v>44772</v>
      </c>
      <c r="B3076" s="74" t="s">
        <v>24454</v>
      </c>
      <c r="C3076" s="75" t="s">
        <v>18</v>
      </c>
      <c r="D3076" s="81">
        <v>1777.5</v>
      </c>
      <c r="E3076" s="151">
        <v>44772</v>
      </c>
      <c r="F3076" s="81">
        <v>1777.5</v>
      </c>
      <c r="G3076" s="156">
        <f>Tabla18[[#This Row],[Importe]]-Tabla18[[#This Row],[Pagado]]</f>
        <v>0</v>
      </c>
      <c r="H3076" s="75" t="s">
        <v>10</v>
      </c>
    </row>
    <row r="3077" spans="1:8" x14ac:dyDescent="0.25">
      <c r="A3077" s="148">
        <v>44772</v>
      </c>
      <c r="B3077" s="149" t="s">
        <v>24455</v>
      </c>
      <c r="C3077" s="153" t="s">
        <v>481</v>
      </c>
      <c r="D3077" s="154">
        <v>2396.9</v>
      </c>
      <c r="E3077" s="155">
        <v>44772</v>
      </c>
      <c r="F3077" s="154">
        <v>2396.9</v>
      </c>
      <c r="G3077" s="156">
        <f>Tabla18[[#This Row],[Importe]]-Tabla18[[#This Row],[Pagado]]</f>
        <v>0</v>
      </c>
      <c r="H3077" s="153" t="s">
        <v>10</v>
      </c>
    </row>
    <row r="3078" spans="1:8" x14ac:dyDescent="0.25">
      <c r="A3078" s="73">
        <v>44772</v>
      </c>
      <c r="B3078" s="74" t="s">
        <v>24456</v>
      </c>
      <c r="C3078" s="75" t="s">
        <v>111</v>
      </c>
      <c r="D3078" s="81">
        <v>10745.6</v>
      </c>
      <c r="E3078" s="151">
        <v>44773</v>
      </c>
      <c r="F3078" s="81">
        <v>10745.6</v>
      </c>
      <c r="G3078" s="156">
        <f>Tabla18[[#This Row],[Importe]]-Tabla18[[#This Row],[Pagado]]</f>
        <v>0</v>
      </c>
      <c r="H3078" s="75" t="s">
        <v>10</v>
      </c>
    </row>
    <row r="3079" spans="1:8" x14ac:dyDescent="0.25">
      <c r="A3079" s="148">
        <v>44772</v>
      </c>
      <c r="B3079" s="149" t="s">
        <v>24457</v>
      </c>
      <c r="C3079" s="153" t="s">
        <v>105</v>
      </c>
      <c r="D3079" s="154">
        <v>11900.8</v>
      </c>
      <c r="E3079" s="155">
        <v>44774</v>
      </c>
      <c r="F3079" s="154">
        <v>11900.8</v>
      </c>
      <c r="G3079" s="156">
        <f>Tabla18[[#This Row],[Importe]]-Tabla18[[#This Row],[Pagado]]</f>
        <v>0</v>
      </c>
      <c r="H3079" s="153" t="s">
        <v>10</v>
      </c>
    </row>
    <row r="3080" spans="1:8" ht="47.25" x14ac:dyDescent="0.25">
      <c r="A3080" s="73">
        <v>44772</v>
      </c>
      <c r="B3080" s="74" t="s">
        <v>24458</v>
      </c>
      <c r="C3080" s="75" t="s">
        <v>93</v>
      </c>
      <c r="D3080" s="81">
        <v>24533.4</v>
      </c>
      <c r="E3080" s="147" t="s">
        <v>24618</v>
      </c>
      <c r="F3080" s="81">
        <f>10000+6000+8533.4</f>
        <v>24533.4</v>
      </c>
      <c r="G3080" s="156">
        <f>Tabla18[[#This Row],[Importe]]-Tabla18[[#This Row],[Pagado]]</f>
        <v>0</v>
      </c>
      <c r="H3080" s="75" t="s">
        <v>10</v>
      </c>
    </row>
    <row r="3081" spans="1:8" x14ac:dyDescent="0.25">
      <c r="A3081" s="148">
        <v>44772</v>
      </c>
      <c r="B3081" s="149" t="s">
        <v>24459</v>
      </c>
      <c r="C3081" s="153" t="s">
        <v>114</v>
      </c>
      <c r="D3081" s="154">
        <v>9894.4</v>
      </c>
      <c r="E3081" s="155">
        <v>44774</v>
      </c>
      <c r="F3081" s="154">
        <v>9894.4</v>
      </c>
      <c r="G3081" s="156">
        <f>Tabla18[[#This Row],[Importe]]-Tabla18[[#This Row],[Pagado]]</f>
        <v>0</v>
      </c>
      <c r="H3081" s="153" t="s">
        <v>10</v>
      </c>
    </row>
    <row r="3082" spans="1:8" ht="31.5" x14ac:dyDescent="0.25">
      <c r="A3082" s="73">
        <v>44772</v>
      </c>
      <c r="B3082" s="74" t="s">
        <v>24460</v>
      </c>
      <c r="C3082" s="75" t="s">
        <v>99</v>
      </c>
      <c r="D3082" s="81">
        <v>9036.7999999999993</v>
      </c>
      <c r="E3082" s="147" t="s">
        <v>24619</v>
      </c>
      <c r="F3082" s="81">
        <f>6600+2436.8</f>
        <v>9036.7999999999993</v>
      </c>
      <c r="G3082" s="156">
        <f>Tabla18[[#This Row],[Importe]]-Tabla18[[#This Row],[Pagado]]</f>
        <v>0</v>
      </c>
      <c r="H3082" s="75" t="s">
        <v>10</v>
      </c>
    </row>
    <row r="3083" spans="1:8" x14ac:dyDescent="0.25">
      <c r="A3083" s="148">
        <v>44772</v>
      </c>
      <c r="B3083" s="149" t="s">
        <v>24461</v>
      </c>
      <c r="C3083" s="153" t="s">
        <v>2563</v>
      </c>
      <c r="D3083" s="154">
        <v>4903.8</v>
      </c>
      <c r="E3083" s="155">
        <v>44774</v>
      </c>
      <c r="F3083" s="154">
        <v>4903.8</v>
      </c>
      <c r="G3083" s="156">
        <f>Tabla18[[#This Row],[Importe]]-Tabla18[[#This Row],[Pagado]]</f>
        <v>0</v>
      </c>
      <c r="H3083" s="153" t="s">
        <v>10</v>
      </c>
    </row>
    <row r="3084" spans="1:8" x14ac:dyDescent="0.25">
      <c r="A3084" s="73">
        <v>44772</v>
      </c>
      <c r="B3084" s="74" t="s">
        <v>24462</v>
      </c>
      <c r="C3084" s="75" t="s">
        <v>5043</v>
      </c>
      <c r="D3084" s="81">
        <v>4963.2</v>
      </c>
      <c r="E3084" s="151">
        <v>44774</v>
      </c>
      <c r="F3084" s="81">
        <v>4963.2</v>
      </c>
      <c r="G3084" s="156">
        <f>Tabla18[[#This Row],[Importe]]-Tabla18[[#This Row],[Pagado]]</f>
        <v>0</v>
      </c>
      <c r="H3084" s="75" t="s">
        <v>10</v>
      </c>
    </row>
    <row r="3085" spans="1:8" x14ac:dyDescent="0.25">
      <c r="A3085" s="148">
        <v>44772</v>
      </c>
      <c r="B3085" s="149" t="s">
        <v>24463</v>
      </c>
      <c r="C3085" s="153" t="s">
        <v>2151</v>
      </c>
      <c r="D3085" s="154">
        <v>36095.4</v>
      </c>
      <c r="E3085" s="155">
        <v>44772</v>
      </c>
      <c r="F3085" s="154">
        <v>36095.4</v>
      </c>
      <c r="G3085" s="156">
        <f>Tabla18[[#This Row],[Importe]]-Tabla18[[#This Row],[Pagado]]</f>
        <v>0</v>
      </c>
      <c r="H3085" s="153" t="s">
        <v>10</v>
      </c>
    </row>
    <row r="3086" spans="1:8" x14ac:dyDescent="0.25">
      <c r="A3086" s="73">
        <v>44772</v>
      </c>
      <c r="B3086" s="74" t="s">
        <v>24464</v>
      </c>
      <c r="C3086" s="75" t="s">
        <v>348</v>
      </c>
      <c r="D3086" s="81">
        <v>7940.5</v>
      </c>
      <c r="E3086" s="151">
        <v>44772</v>
      </c>
      <c r="F3086" s="81">
        <v>7940.5</v>
      </c>
      <c r="G3086" s="156">
        <f>Tabla18[[#This Row],[Importe]]-Tabla18[[#This Row],[Pagado]]</f>
        <v>0</v>
      </c>
      <c r="H3086" s="75" t="s">
        <v>10</v>
      </c>
    </row>
    <row r="3087" spans="1:8" x14ac:dyDescent="0.25">
      <c r="A3087" s="148">
        <v>44772</v>
      </c>
      <c r="B3087" s="149" t="s">
        <v>24465</v>
      </c>
      <c r="C3087" s="153" t="s">
        <v>60</v>
      </c>
      <c r="D3087" s="154">
        <v>4778.3999999999996</v>
      </c>
      <c r="E3087" s="155">
        <v>44777</v>
      </c>
      <c r="F3087" s="154">
        <v>4778.3999999999996</v>
      </c>
      <c r="G3087" s="156">
        <f>Tabla18[[#This Row],[Importe]]-Tabla18[[#This Row],[Pagado]]</f>
        <v>0</v>
      </c>
      <c r="H3087" s="153" t="s">
        <v>10</v>
      </c>
    </row>
    <row r="3088" spans="1:8" x14ac:dyDescent="0.25">
      <c r="A3088" s="73">
        <v>44772</v>
      </c>
      <c r="B3088" s="74" t="s">
        <v>24466</v>
      </c>
      <c r="C3088" s="75" t="s">
        <v>64</v>
      </c>
      <c r="D3088" s="81">
        <v>11434.3</v>
      </c>
      <c r="E3088" s="151">
        <v>44775</v>
      </c>
      <c r="F3088" s="81">
        <v>11434.3</v>
      </c>
      <c r="G3088" s="156">
        <f>Tabla18[[#This Row],[Importe]]-Tabla18[[#This Row],[Pagado]]</f>
        <v>0</v>
      </c>
      <c r="H3088" s="75" t="s">
        <v>10</v>
      </c>
    </row>
    <row r="3089" spans="1:8" x14ac:dyDescent="0.25">
      <c r="A3089" s="148">
        <v>44772</v>
      </c>
      <c r="B3089" s="149" t="s">
        <v>24467</v>
      </c>
      <c r="C3089" s="153" t="s">
        <v>326</v>
      </c>
      <c r="D3089" s="154">
        <v>15206.4</v>
      </c>
      <c r="E3089" s="155">
        <v>44774</v>
      </c>
      <c r="F3089" s="154">
        <v>15206.4</v>
      </c>
      <c r="G3089" s="156">
        <f>Tabla18[[#This Row],[Importe]]-Tabla18[[#This Row],[Pagado]]</f>
        <v>0</v>
      </c>
      <c r="H3089" s="153" t="s">
        <v>10</v>
      </c>
    </row>
    <row r="3090" spans="1:8" x14ac:dyDescent="0.25">
      <c r="A3090" s="73">
        <v>44772</v>
      </c>
      <c r="B3090" s="74" t="s">
        <v>24468</v>
      </c>
      <c r="C3090" s="75" t="s">
        <v>89</v>
      </c>
      <c r="D3090" s="81">
        <v>19664.5</v>
      </c>
      <c r="E3090" s="151">
        <v>44774</v>
      </c>
      <c r="F3090" s="81">
        <v>19664.5</v>
      </c>
      <c r="G3090" s="156">
        <f>Tabla18[[#This Row],[Importe]]-Tabla18[[#This Row],[Pagado]]</f>
        <v>0</v>
      </c>
      <c r="H3090" s="75" t="s">
        <v>10</v>
      </c>
    </row>
    <row r="3091" spans="1:8" x14ac:dyDescent="0.25">
      <c r="A3091" s="148">
        <v>44772</v>
      </c>
      <c r="B3091" s="149" t="s">
        <v>24469</v>
      </c>
      <c r="C3091" s="153" t="s">
        <v>97</v>
      </c>
      <c r="D3091" s="154">
        <v>17190.099999999999</v>
      </c>
      <c r="E3091" s="155">
        <v>44774</v>
      </c>
      <c r="F3091" s="154">
        <v>17190.099999999999</v>
      </c>
      <c r="G3091" s="156">
        <f>Tabla18[[#This Row],[Importe]]-Tabla18[[#This Row],[Pagado]]</f>
        <v>0</v>
      </c>
      <c r="H3091" s="153" t="s">
        <v>10</v>
      </c>
    </row>
    <row r="3092" spans="1:8" x14ac:dyDescent="0.25">
      <c r="A3092" s="73">
        <v>44772</v>
      </c>
      <c r="B3092" s="74" t="s">
        <v>24470</v>
      </c>
      <c r="C3092" s="75" t="s">
        <v>93</v>
      </c>
      <c r="D3092" s="81">
        <v>544</v>
      </c>
      <c r="E3092" s="151">
        <v>44774</v>
      </c>
      <c r="F3092" s="81">
        <v>544</v>
      </c>
      <c r="G3092" s="156">
        <f>Tabla18[[#This Row],[Importe]]-Tabla18[[#This Row],[Pagado]]</f>
        <v>0</v>
      </c>
      <c r="H3092" s="75" t="s">
        <v>10</v>
      </c>
    </row>
    <row r="3093" spans="1:8" x14ac:dyDescent="0.25">
      <c r="A3093" s="148">
        <v>44772</v>
      </c>
      <c r="B3093" s="149" t="s">
        <v>24471</v>
      </c>
      <c r="C3093" s="153" t="s">
        <v>114</v>
      </c>
      <c r="D3093" s="154">
        <v>432</v>
      </c>
      <c r="E3093" s="155">
        <v>44774</v>
      </c>
      <c r="F3093" s="154">
        <v>432</v>
      </c>
      <c r="G3093" s="156">
        <f>Tabla18[[#This Row],[Importe]]-Tabla18[[#This Row],[Pagado]]</f>
        <v>0</v>
      </c>
      <c r="H3093" s="153" t="s">
        <v>10</v>
      </c>
    </row>
    <row r="3094" spans="1:8" x14ac:dyDescent="0.25">
      <c r="A3094" s="73">
        <v>44772</v>
      </c>
      <c r="B3094" s="74" t="s">
        <v>24472</v>
      </c>
      <c r="C3094" s="75" t="s">
        <v>9</v>
      </c>
      <c r="D3094" s="81">
        <v>10294.9</v>
      </c>
      <c r="E3094" s="151">
        <v>44772</v>
      </c>
      <c r="F3094" s="81">
        <v>10294.9</v>
      </c>
      <c r="G3094" s="156">
        <f>Tabla18[[#This Row],[Importe]]-Tabla18[[#This Row],[Pagado]]</f>
        <v>0</v>
      </c>
      <c r="H3094" s="75" t="s">
        <v>10</v>
      </c>
    </row>
    <row r="3095" spans="1:8" ht="31.5" x14ac:dyDescent="0.25">
      <c r="A3095" s="148">
        <v>44772</v>
      </c>
      <c r="B3095" s="149" t="s">
        <v>24473</v>
      </c>
      <c r="C3095" s="153" t="s">
        <v>22</v>
      </c>
      <c r="D3095" s="154">
        <v>70838.5</v>
      </c>
      <c r="E3095" s="150" t="s">
        <v>24615</v>
      </c>
      <c r="F3095" s="154">
        <f>60000+10838.5</f>
        <v>70838.5</v>
      </c>
      <c r="G3095" s="156">
        <f>Tabla18[[#This Row],[Importe]]-Tabla18[[#This Row],[Pagado]]</f>
        <v>0</v>
      </c>
      <c r="H3095" s="153" t="s">
        <v>10</v>
      </c>
    </row>
    <row r="3096" spans="1:8" x14ac:dyDescent="0.25">
      <c r="A3096" s="73">
        <v>44772</v>
      </c>
      <c r="B3096" s="74" t="s">
        <v>24474</v>
      </c>
      <c r="C3096" s="75" t="s">
        <v>146</v>
      </c>
      <c r="D3096" s="81">
        <v>12590.4</v>
      </c>
      <c r="E3096" s="151">
        <v>44772</v>
      </c>
      <c r="F3096" s="81">
        <v>12590.4</v>
      </c>
      <c r="G3096" s="156">
        <f>Tabla18[[#This Row],[Importe]]-Tabla18[[#This Row],[Pagado]]</f>
        <v>0</v>
      </c>
      <c r="H3096" s="75" t="s">
        <v>10</v>
      </c>
    </row>
    <row r="3097" spans="1:8" x14ac:dyDescent="0.25">
      <c r="A3097" s="148">
        <v>44772</v>
      </c>
      <c r="B3097" s="149" t="s">
        <v>24475</v>
      </c>
      <c r="C3097" s="153" t="s">
        <v>314</v>
      </c>
      <c r="D3097" s="154">
        <v>5289.7</v>
      </c>
      <c r="E3097" s="155">
        <v>44772</v>
      </c>
      <c r="F3097" s="154">
        <v>5289.7</v>
      </c>
      <c r="G3097" s="156">
        <f>Tabla18[[#This Row],[Importe]]-Tabla18[[#This Row],[Pagado]]</f>
        <v>0</v>
      </c>
      <c r="H3097" s="153" t="s">
        <v>10</v>
      </c>
    </row>
    <row r="3098" spans="1:8" x14ac:dyDescent="0.25">
      <c r="A3098" s="73">
        <v>44772</v>
      </c>
      <c r="B3098" s="74" t="s">
        <v>24476</v>
      </c>
      <c r="C3098" s="75" t="s">
        <v>24477</v>
      </c>
      <c r="D3098" s="81">
        <v>0</v>
      </c>
      <c r="E3098" s="157" t="s">
        <v>189</v>
      </c>
      <c r="F3098" s="81">
        <v>0</v>
      </c>
      <c r="G3098" s="156">
        <f>Tabla18[[#This Row],[Importe]]-Tabla18[[#This Row],[Pagado]]</f>
        <v>0</v>
      </c>
      <c r="H3098" s="161" t="s">
        <v>24478</v>
      </c>
    </row>
    <row r="3099" spans="1:8" x14ac:dyDescent="0.25">
      <c r="A3099" s="148">
        <v>44772</v>
      </c>
      <c r="B3099" s="149" t="s">
        <v>24479</v>
      </c>
      <c r="C3099" s="153" t="s">
        <v>49</v>
      </c>
      <c r="D3099" s="154">
        <v>4562.8</v>
      </c>
      <c r="E3099" s="155">
        <v>44772</v>
      </c>
      <c r="F3099" s="154">
        <v>4562.8</v>
      </c>
      <c r="G3099" s="156">
        <f>Tabla18[[#This Row],[Importe]]-Tabla18[[#This Row],[Pagado]]</f>
        <v>0</v>
      </c>
      <c r="H3099" s="153" t="s">
        <v>10</v>
      </c>
    </row>
    <row r="3100" spans="1:8" x14ac:dyDescent="0.25">
      <c r="A3100" s="73">
        <v>44772</v>
      </c>
      <c r="B3100" s="74" t="s">
        <v>24480</v>
      </c>
      <c r="C3100" s="75" t="s">
        <v>87</v>
      </c>
      <c r="D3100" s="81">
        <v>6734.7</v>
      </c>
      <c r="E3100" s="151">
        <v>44772</v>
      </c>
      <c r="F3100" s="81">
        <v>6734.7</v>
      </c>
      <c r="G3100" s="156">
        <f>Tabla18[[#This Row],[Importe]]-Tabla18[[#This Row],[Pagado]]</f>
        <v>0</v>
      </c>
      <c r="H3100" s="75" t="s">
        <v>10</v>
      </c>
    </row>
    <row r="3101" spans="1:8" x14ac:dyDescent="0.25">
      <c r="A3101" s="148">
        <v>44772</v>
      </c>
      <c r="B3101" s="149" t="s">
        <v>24481</v>
      </c>
      <c r="C3101" s="153" t="s">
        <v>161</v>
      </c>
      <c r="D3101" s="154">
        <v>4381.3</v>
      </c>
      <c r="E3101" s="155">
        <v>44772</v>
      </c>
      <c r="F3101" s="154">
        <v>4381.3</v>
      </c>
      <c r="G3101" s="156">
        <f>Tabla18[[#This Row],[Importe]]-Tabla18[[#This Row],[Pagado]]</f>
        <v>0</v>
      </c>
      <c r="H3101" s="153" t="s">
        <v>10</v>
      </c>
    </row>
    <row r="3102" spans="1:8" x14ac:dyDescent="0.25">
      <c r="A3102" s="73">
        <v>44772</v>
      </c>
      <c r="B3102" s="74" t="s">
        <v>24482</v>
      </c>
      <c r="C3102" s="75" t="s">
        <v>140</v>
      </c>
      <c r="D3102" s="81">
        <v>7764.3</v>
      </c>
      <c r="E3102" s="151">
        <v>44772</v>
      </c>
      <c r="F3102" s="81">
        <v>7764.3</v>
      </c>
      <c r="G3102" s="156">
        <f>Tabla18[[#This Row],[Importe]]-Tabla18[[#This Row],[Pagado]]</f>
        <v>0</v>
      </c>
      <c r="H3102" s="75" t="s">
        <v>10</v>
      </c>
    </row>
    <row r="3103" spans="1:8" x14ac:dyDescent="0.25">
      <c r="A3103" s="148">
        <v>44772</v>
      </c>
      <c r="B3103" s="149" t="s">
        <v>24483</v>
      </c>
      <c r="C3103" s="153" t="s">
        <v>127</v>
      </c>
      <c r="D3103" s="154">
        <v>5873.6</v>
      </c>
      <c r="E3103" s="155">
        <v>44772</v>
      </c>
      <c r="F3103" s="154">
        <v>5873.6</v>
      </c>
      <c r="G3103" s="156">
        <f>Tabla18[[#This Row],[Importe]]-Tabla18[[#This Row],[Pagado]]</f>
        <v>0</v>
      </c>
      <c r="H3103" s="153" t="s">
        <v>10</v>
      </c>
    </row>
    <row r="3104" spans="1:8" x14ac:dyDescent="0.25">
      <c r="A3104" s="73">
        <v>44772</v>
      </c>
      <c r="B3104" s="74" t="s">
        <v>24484</v>
      </c>
      <c r="C3104" s="75" t="s">
        <v>129</v>
      </c>
      <c r="D3104" s="81">
        <v>7224.3</v>
      </c>
      <c r="E3104" s="151">
        <v>44772</v>
      </c>
      <c r="F3104" s="81">
        <v>7224.3</v>
      </c>
      <c r="G3104" s="156">
        <f>Tabla18[[#This Row],[Importe]]-Tabla18[[#This Row],[Pagado]]</f>
        <v>0</v>
      </c>
      <c r="H3104" s="75" t="s">
        <v>10</v>
      </c>
    </row>
    <row r="3105" spans="1:8" x14ac:dyDescent="0.25">
      <c r="A3105" s="148">
        <v>44772</v>
      </c>
      <c r="B3105" s="149" t="s">
        <v>24485</v>
      </c>
      <c r="C3105" s="153" t="s">
        <v>1187</v>
      </c>
      <c r="D3105" s="154">
        <v>2432.1</v>
      </c>
      <c r="E3105" s="155">
        <v>44772</v>
      </c>
      <c r="F3105" s="154">
        <v>2432.1</v>
      </c>
      <c r="G3105" s="156">
        <f>Tabla18[[#This Row],[Importe]]-Tabla18[[#This Row],[Pagado]]</f>
        <v>0</v>
      </c>
      <c r="H3105" s="153" t="s">
        <v>10</v>
      </c>
    </row>
    <row r="3106" spans="1:8" x14ac:dyDescent="0.25">
      <c r="A3106" s="73">
        <v>44772</v>
      </c>
      <c r="B3106" s="74" t="s">
        <v>24486</v>
      </c>
      <c r="C3106" s="75" t="s">
        <v>45</v>
      </c>
      <c r="D3106" s="81">
        <v>15349.8</v>
      </c>
      <c r="E3106" s="151">
        <v>44772</v>
      </c>
      <c r="F3106" s="81">
        <v>15349.8</v>
      </c>
      <c r="G3106" s="156">
        <f>Tabla18[[#This Row],[Importe]]-Tabla18[[#This Row],[Pagado]]</f>
        <v>0</v>
      </c>
      <c r="H3106" s="75" t="s">
        <v>10</v>
      </c>
    </row>
    <row r="3107" spans="1:8" x14ac:dyDescent="0.25">
      <c r="A3107" s="148">
        <v>44772</v>
      </c>
      <c r="B3107" s="149" t="s">
        <v>24487</v>
      </c>
      <c r="C3107" s="153" t="s">
        <v>4136</v>
      </c>
      <c r="D3107" s="154">
        <v>2965.2</v>
      </c>
      <c r="E3107" s="155">
        <v>44772</v>
      </c>
      <c r="F3107" s="154">
        <v>2965.2</v>
      </c>
      <c r="G3107" s="156">
        <f>Tabla18[[#This Row],[Importe]]-Tabla18[[#This Row],[Pagado]]</f>
        <v>0</v>
      </c>
      <c r="H3107" s="153" t="s">
        <v>10</v>
      </c>
    </row>
    <row r="3108" spans="1:8" x14ac:dyDescent="0.25">
      <c r="A3108" s="73">
        <v>44772</v>
      </c>
      <c r="B3108" s="74" t="s">
        <v>24488</v>
      </c>
      <c r="C3108" s="75" t="s">
        <v>31</v>
      </c>
      <c r="D3108" s="81">
        <v>3588.4</v>
      </c>
      <c r="E3108" s="151">
        <v>44772</v>
      </c>
      <c r="F3108" s="81">
        <v>3588.4</v>
      </c>
      <c r="G3108" s="156">
        <f>Tabla18[[#This Row],[Importe]]-Tabla18[[#This Row],[Pagado]]</f>
        <v>0</v>
      </c>
      <c r="H3108" s="75" t="s">
        <v>10</v>
      </c>
    </row>
    <row r="3109" spans="1:8" x14ac:dyDescent="0.25">
      <c r="A3109" s="148">
        <v>44772</v>
      </c>
      <c r="B3109" s="149" t="s">
        <v>24489</v>
      </c>
      <c r="C3109" s="153" t="s">
        <v>16</v>
      </c>
      <c r="D3109" s="154">
        <v>7727.6</v>
      </c>
      <c r="E3109" s="155">
        <v>44772</v>
      </c>
      <c r="F3109" s="154">
        <v>7727.6</v>
      </c>
      <c r="G3109" s="156">
        <f>Tabla18[[#This Row],[Importe]]-Tabla18[[#This Row],[Pagado]]</f>
        <v>0</v>
      </c>
      <c r="H3109" s="153" t="s">
        <v>10</v>
      </c>
    </row>
    <row r="3110" spans="1:8" x14ac:dyDescent="0.25">
      <c r="A3110" s="73">
        <v>44772</v>
      </c>
      <c r="B3110" s="74" t="s">
        <v>24490</v>
      </c>
      <c r="C3110" s="75" t="s">
        <v>56</v>
      </c>
      <c r="D3110" s="81">
        <v>10663.8</v>
      </c>
      <c r="E3110" s="151">
        <v>44772</v>
      </c>
      <c r="F3110" s="81">
        <v>10663.8</v>
      </c>
      <c r="G3110" s="156">
        <f>Tabla18[[#This Row],[Importe]]-Tabla18[[#This Row],[Pagado]]</f>
        <v>0</v>
      </c>
      <c r="H3110" s="75" t="s">
        <v>10</v>
      </c>
    </row>
    <row r="3111" spans="1:8" x14ac:dyDescent="0.25">
      <c r="A3111" s="148">
        <v>44772</v>
      </c>
      <c r="B3111" s="149" t="s">
        <v>24491</v>
      </c>
      <c r="C3111" s="153" t="s">
        <v>11033</v>
      </c>
      <c r="D3111" s="154">
        <v>1653.6</v>
      </c>
      <c r="E3111" s="155">
        <v>44772</v>
      </c>
      <c r="F3111" s="154">
        <v>1653.6</v>
      </c>
      <c r="G3111" s="156">
        <f>Tabla18[[#This Row],[Importe]]-Tabla18[[#This Row],[Pagado]]</f>
        <v>0</v>
      </c>
      <c r="H3111" s="153" t="s">
        <v>10</v>
      </c>
    </row>
    <row r="3112" spans="1:8" ht="31.5" x14ac:dyDescent="0.25">
      <c r="A3112" s="73">
        <v>44772</v>
      </c>
      <c r="B3112" s="74" t="s">
        <v>24492</v>
      </c>
      <c r="C3112" s="75" t="s">
        <v>275</v>
      </c>
      <c r="D3112" s="81">
        <v>194560.6</v>
      </c>
      <c r="E3112" s="147" t="s">
        <v>24628</v>
      </c>
      <c r="F3112" s="81">
        <f>13842.39+180718.21</f>
        <v>194560.59999999998</v>
      </c>
      <c r="G3112" s="156">
        <f>Tabla18[[#This Row],[Importe]]-Tabla18[[#This Row],[Pagado]]</f>
        <v>0</v>
      </c>
      <c r="H3112" s="75" t="s">
        <v>10</v>
      </c>
    </row>
    <row r="3113" spans="1:8" x14ac:dyDescent="0.25">
      <c r="A3113" s="148">
        <v>44772</v>
      </c>
      <c r="B3113" s="149" t="s">
        <v>24493</v>
      </c>
      <c r="C3113" s="153" t="s">
        <v>62</v>
      </c>
      <c r="D3113" s="154">
        <v>5705.4</v>
      </c>
      <c r="E3113" s="155">
        <v>44772</v>
      </c>
      <c r="F3113" s="154">
        <v>5705.4</v>
      </c>
      <c r="G3113" s="156">
        <f>Tabla18[[#This Row],[Importe]]-Tabla18[[#This Row],[Pagado]]</f>
        <v>0</v>
      </c>
      <c r="H3113" s="153" t="s">
        <v>10</v>
      </c>
    </row>
    <row r="3114" spans="1:8" x14ac:dyDescent="0.25">
      <c r="A3114" s="73">
        <v>44772</v>
      </c>
      <c r="B3114" s="74" t="s">
        <v>24494</v>
      </c>
      <c r="C3114" s="75" t="s">
        <v>1064</v>
      </c>
      <c r="D3114" s="81">
        <v>9961.5</v>
      </c>
      <c r="E3114" s="151">
        <v>44772</v>
      </c>
      <c r="F3114" s="81">
        <v>9961.5</v>
      </c>
      <c r="G3114" s="156">
        <f>Tabla18[[#This Row],[Importe]]-Tabla18[[#This Row],[Pagado]]</f>
        <v>0</v>
      </c>
      <c r="H3114" s="75" t="s">
        <v>10</v>
      </c>
    </row>
    <row r="3115" spans="1:8" x14ac:dyDescent="0.25">
      <c r="A3115" s="148">
        <v>44772</v>
      </c>
      <c r="B3115" s="149" t="s">
        <v>24495</v>
      </c>
      <c r="C3115" s="153" t="s">
        <v>196</v>
      </c>
      <c r="D3115" s="154">
        <v>106157.9</v>
      </c>
      <c r="E3115" s="155">
        <v>44778</v>
      </c>
      <c r="F3115" s="154">
        <v>106157.9</v>
      </c>
      <c r="G3115" s="156">
        <f>Tabla18[[#This Row],[Importe]]-Tabla18[[#This Row],[Pagado]]</f>
        <v>0</v>
      </c>
      <c r="H3115" s="153" t="s">
        <v>10</v>
      </c>
    </row>
    <row r="3116" spans="1:8" x14ac:dyDescent="0.25">
      <c r="A3116" s="73">
        <v>44772</v>
      </c>
      <c r="B3116" s="74" t="s">
        <v>24496</v>
      </c>
      <c r="C3116" s="75" t="s">
        <v>5906</v>
      </c>
      <c r="D3116" s="81">
        <v>7416.9</v>
      </c>
      <c r="E3116" s="151">
        <v>44772</v>
      </c>
      <c r="F3116" s="81">
        <v>7416.9</v>
      </c>
      <c r="G3116" s="156">
        <f>Tabla18[[#This Row],[Importe]]-Tabla18[[#This Row],[Pagado]]</f>
        <v>0</v>
      </c>
      <c r="H3116" s="75" t="s">
        <v>10</v>
      </c>
    </row>
    <row r="3117" spans="1:8" x14ac:dyDescent="0.25">
      <c r="A3117" s="148">
        <v>44772</v>
      </c>
      <c r="B3117" s="149" t="s">
        <v>24497</v>
      </c>
      <c r="C3117" s="153" t="s">
        <v>319</v>
      </c>
      <c r="D3117" s="154">
        <v>13316.9</v>
      </c>
      <c r="E3117" s="155">
        <v>44772</v>
      </c>
      <c r="F3117" s="154">
        <v>13316.9</v>
      </c>
      <c r="G3117" s="156">
        <f>Tabla18[[#This Row],[Importe]]-Tabla18[[#This Row],[Pagado]]</f>
        <v>0</v>
      </c>
      <c r="H3117" s="153" t="s">
        <v>10</v>
      </c>
    </row>
    <row r="3118" spans="1:8" x14ac:dyDescent="0.25">
      <c r="A3118" s="73">
        <v>44772</v>
      </c>
      <c r="B3118" s="74" t="s">
        <v>24498</v>
      </c>
      <c r="C3118" s="75" t="s">
        <v>157</v>
      </c>
      <c r="D3118" s="81">
        <v>7163.5</v>
      </c>
      <c r="E3118" s="151">
        <v>44772</v>
      </c>
      <c r="F3118" s="81">
        <v>7163.5</v>
      </c>
      <c r="G3118" s="156">
        <f>Tabla18[[#This Row],[Importe]]-Tabla18[[#This Row],[Pagado]]</f>
        <v>0</v>
      </c>
      <c r="H3118" s="75" t="s">
        <v>10</v>
      </c>
    </row>
    <row r="3119" spans="1:8" x14ac:dyDescent="0.25">
      <c r="A3119" s="148">
        <v>44772</v>
      </c>
      <c r="B3119" s="149" t="s">
        <v>24499</v>
      </c>
      <c r="C3119" s="153" t="s">
        <v>159</v>
      </c>
      <c r="D3119" s="154">
        <v>2675.4</v>
      </c>
      <c r="E3119" s="155">
        <v>44772</v>
      </c>
      <c r="F3119" s="154">
        <v>2675.4</v>
      </c>
      <c r="G3119" s="156">
        <f>Tabla18[[#This Row],[Importe]]-Tabla18[[#This Row],[Pagado]]</f>
        <v>0</v>
      </c>
      <c r="H3119" s="153" t="s">
        <v>10</v>
      </c>
    </row>
    <row r="3120" spans="1:8" x14ac:dyDescent="0.25">
      <c r="A3120" s="73">
        <v>44772</v>
      </c>
      <c r="B3120" s="74" t="s">
        <v>24500</v>
      </c>
      <c r="C3120" s="75" t="s">
        <v>966</v>
      </c>
      <c r="D3120" s="81">
        <v>5484.2</v>
      </c>
      <c r="E3120" s="151">
        <v>44772</v>
      </c>
      <c r="F3120" s="81">
        <v>5484.2</v>
      </c>
      <c r="G3120" s="156">
        <f>Tabla18[[#This Row],[Importe]]-Tabla18[[#This Row],[Pagado]]</f>
        <v>0</v>
      </c>
      <c r="H3120" s="75" t="s">
        <v>10</v>
      </c>
    </row>
    <row r="3121" spans="1:8" x14ac:dyDescent="0.25">
      <c r="A3121" s="148">
        <v>44772</v>
      </c>
      <c r="B3121" s="149" t="s">
        <v>24501</v>
      </c>
      <c r="C3121" s="153" t="s">
        <v>419</v>
      </c>
      <c r="D3121" s="154">
        <v>9824</v>
      </c>
      <c r="E3121" s="155">
        <v>44772</v>
      </c>
      <c r="F3121" s="154">
        <v>9824</v>
      </c>
      <c r="G3121" s="156">
        <f>Tabla18[[#This Row],[Importe]]-Tabla18[[#This Row],[Pagado]]</f>
        <v>0</v>
      </c>
      <c r="H3121" s="153" t="s">
        <v>10</v>
      </c>
    </row>
    <row r="3122" spans="1:8" x14ac:dyDescent="0.25">
      <c r="A3122" s="73">
        <v>44772</v>
      </c>
      <c r="B3122" s="74" t="s">
        <v>24502</v>
      </c>
      <c r="C3122" s="75" t="s">
        <v>24</v>
      </c>
      <c r="D3122" s="81">
        <v>5041.8999999999996</v>
      </c>
      <c r="E3122" s="151">
        <v>44772</v>
      </c>
      <c r="F3122" s="81">
        <v>5041.8999999999996</v>
      </c>
      <c r="G3122" s="156">
        <f>Tabla18[[#This Row],[Importe]]-Tabla18[[#This Row],[Pagado]]</f>
        <v>0</v>
      </c>
      <c r="H3122" s="75" t="s">
        <v>10</v>
      </c>
    </row>
    <row r="3123" spans="1:8" x14ac:dyDescent="0.25">
      <c r="A3123" s="148">
        <v>44772</v>
      </c>
      <c r="B3123" s="149" t="s">
        <v>24503</v>
      </c>
      <c r="C3123" s="153" t="s">
        <v>518</v>
      </c>
      <c r="D3123" s="154">
        <v>1713.66</v>
      </c>
      <c r="E3123" s="155">
        <v>44772</v>
      </c>
      <c r="F3123" s="154">
        <v>1713.66</v>
      </c>
      <c r="G3123" s="156">
        <f>Tabla18[[#This Row],[Importe]]-Tabla18[[#This Row],[Pagado]]</f>
        <v>0</v>
      </c>
      <c r="H3123" s="153" t="s">
        <v>10</v>
      </c>
    </row>
    <row r="3124" spans="1:8" x14ac:dyDescent="0.25">
      <c r="A3124" s="73">
        <v>44772</v>
      </c>
      <c r="B3124" s="74" t="s">
        <v>24504</v>
      </c>
      <c r="C3124" s="75" t="s">
        <v>31</v>
      </c>
      <c r="D3124" s="81">
        <v>870</v>
      </c>
      <c r="E3124" s="151">
        <v>44772</v>
      </c>
      <c r="F3124" s="81">
        <v>870</v>
      </c>
      <c r="G3124" s="156">
        <f>Tabla18[[#This Row],[Importe]]-Tabla18[[#This Row],[Pagado]]</f>
        <v>0</v>
      </c>
      <c r="H3124" s="75" t="s">
        <v>10</v>
      </c>
    </row>
    <row r="3125" spans="1:8" x14ac:dyDescent="0.25">
      <c r="A3125" s="148">
        <v>44772</v>
      </c>
      <c r="B3125" s="149" t="s">
        <v>24505</v>
      </c>
      <c r="C3125" s="153" t="s">
        <v>79</v>
      </c>
      <c r="D3125" s="154">
        <v>42752</v>
      </c>
      <c r="E3125" s="155">
        <v>44772</v>
      </c>
      <c r="F3125" s="154">
        <v>42752</v>
      </c>
      <c r="G3125" s="156">
        <f>Tabla18[[#This Row],[Importe]]-Tabla18[[#This Row],[Pagado]]</f>
        <v>0</v>
      </c>
      <c r="H3125" s="153" t="s">
        <v>10</v>
      </c>
    </row>
    <row r="3126" spans="1:8" x14ac:dyDescent="0.25">
      <c r="A3126" s="73">
        <v>44772</v>
      </c>
      <c r="B3126" s="74" t="s">
        <v>24506</v>
      </c>
      <c r="C3126" s="75" t="s">
        <v>698</v>
      </c>
      <c r="D3126" s="81">
        <v>5632.1</v>
      </c>
      <c r="E3126" s="151">
        <v>44772</v>
      </c>
      <c r="F3126" s="81">
        <v>5632.1</v>
      </c>
      <c r="G3126" s="156">
        <f>Tabla18[[#This Row],[Importe]]-Tabla18[[#This Row],[Pagado]]</f>
        <v>0</v>
      </c>
      <c r="H3126" s="75" t="s">
        <v>10</v>
      </c>
    </row>
    <row r="3127" spans="1:8" x14ac:dyDescent="0.25">
      <c r="A3127" s="148">
        <v>44772</v>
      </c>
      <c r="B3127" s="149" t="s">
        <v>24507</v>
      </c>
      <c r="C3127" s="153" t="s">
        <v>840</v>
      </c>
      <c r="D3127" s="154">
        <v>31142.3</v>
      </c>
      <c r="E3127" s="155">
        <v>44772</v>
      </c>
      <c r="F3127" s="154">
        <v>31142.3</v>
      </c>
      <c r="G3127" s="156">
        <f>Tabla18[[#This Row],[Importe]]-Tabla18[[#This Row],[Pagado]]</f>
        <v>0</v>
      </c>
      <c r="H3127" s="153" t="s">
        <v>10</v>
      </c>
    </row>
    <row r="3128" spans="1:8" x14ac:dyDescent="0.25">
      <c r="A3128" s="73">
        <v>44772</v>
      </c>
      <c r="B3128" s="74" t="s">
        <v>24508</v>
      </c>
      <c r="C3128" s="75" t="s">
        <v>1003</v>
      </c>
      <c r="D3128" s="81">
        <v>2340.3000000000002</v>
      </c>
      <c r="E3128" s="151">
        <v>44772</v>
      </c>
      <c r="F3128" s="81">
        <v>2340.3000000000002</v>
      </c>
      <c r="G3128" s="156">
        <f>Tabla18[[#This Row],[Importe]]-Tabla18[[#This Row],[Pagado]]</f>
        <v>0</v>
      </c>
      <c r="H3128" s="75" t="s">
        <v>10</v>
      </c>
    </row>
    <row r="3129" spans="1:8" x14ac:dyDescent="0.25">
      <c r="A3129" s="148">
        <v>44772</v>
      </c>
      <c r="B3129" s="149" t="s">
        <v>24509</v>
      </c>
      <c r="C3129" s="153" t="s">
        <v>555</v>
      </c>
      <c r="D3129" s="154">
        <v>25401.599999999999</v>
      </c>
      <c r="E3129" s="155">
        <v>44772</v>
      </c>
      <c r="F3129" s="154">
        <v>25401.599999999999</v>
      </c>
      <c r="G3129" s="156">
        <f>Tabla18[[#This Row],[Importe]]-Tabla18[[#This Row],[Pagado]]</f>
        <v>0</v>
      </c>
      <c r="H3129" s="153" t="s">
        <v>10</v>
      </c>
    </row>
    <row r="3130" spans="1:8" x14ac:dyDescent="0.25">
      <c r="A3130" s="73">
        <v>44772</v>
      </c>
      <c r="B3130" s="74" t="s">
        <v>24510</v>
      </c>
      <c r="C3130" s="75" t="s">
        <v>840</v>
      </c>
      <c r="D3130" s="81">
        <v>5151.3</v>
      </c>
      <c r="E3130" s="151">
        <v>44772</v>
      </c>
      <c r="F3130" s="81">
        <v>5151.3</v>
      </c>
      <c r="G3130" s="156">
        <f>Tabla18[[#This Row],[Importe]]-Tabla18[[#This Row],[Pagado]]</f>
        <v>0</v>
      </c>
      <c r="H3130" s="75" t="s">
        <v>10</v>
      </c>
    </row>
    <row r="3131" spans="1:8" x14ac:dyDescent="0.25">
      <c r="A3131" s="148">
        <v>44772</v>
      </c>
      <c r="B3131" s="149" t="s">
        <v>24511</v>
      </c>
      <c r="C3131" s="153" t="s">
        <v>24284</v>
      </c>
      <c r="D3131" s="154">
        <v>1409.4</v>
      </c>
      <c r="E3131" s="155">
        <v>44772</v>
      </c>
      <c r="F3131" s="154">
        <v>1409.4</v>
      </c>
      <c r="G3131" s="156">
        <f>Tabla18[[#This Row],[Importe]]-Tabla18[[#This Row],[Pagado]]</f>
        <v>0</v>
      </c>
      <c r="H3131" s="153" t="s">
        <v>10</v>
      </c>
    </row>
    <row r="3132" spans="1:8" x14ac:dyDescent="0.25">
      <c r="A3132" s="73">
        <v>44772</v>
      </c>
      <c r="B3132" s="74" t="s">
        <v>24512</v>
      </c>
      <c r="C3132" s="75" t="s">
        <v>31</v>
      </c>
      <c r="D3132" s="81">
        <v>2070.2399999999998</v>
      </c>
      <c r="E3132" s="151">
        <v>44772</v>
      </c>
      <c r="F3132" s="81">
        <v>2070.2399999999998</v>
      </c>
      <c r="G3132" s="156">
        <f>Tabla18[[#This Row],[Importe]]-Tabla18[[#This Row],[Pagado]]</f>
        <v>0</v>
      </c>
      <c r="H3132" s="75" t="s">
        <v>10</v>
      </c>
    </row>
    <row r="3133" spans="1:8" x14ac:dyDescent="0.25">
      <c r="A3133" s="148">
        <v>44772</v>
      </c>
      <c r="B3133" s="149" t="s">
        <v>24513</v>
      </c>
      <c r="C3133" s="153" t="s">
        <v>1239</v>
      </c>
      <c r="D3133" s="154">
        <v>13960.8</v>
      </c>
      <c r="E3133" s="155">
        <v>44772</v>
      </c>
      <c r="F3133" s="154">
        <v>13960.8</v>
      </c>
      <c r="G3133" s="156">
        <f>Tabla18[[#This Row],[Importe]]-Tabla18[[#This Row],[Pagado]]</f>
        <v>0</v>
      </c>
      <c r="H3133" s="153" t="s">
        <v>10</v>
      </c>
    </row>
    <row r="3134" spans="1:8" x14ac:dyDescent="0.25">
      <c r="A3134" s="73">
        <v>44772</v>
      </c>
      <c r="B3134" s="74" t="s">
        <v>24514</v>
      </c>
      <c r="C3134" s="75" t="s">
        <v>396</v>
      </c>
      <c r="D3134" s="81">
        <v>14070.7</v>
      </c>
      <c r="E3134" s="151">
        <v>44779</v>
      </c>
      <c r="F3134" s="81">
        <v>14070.7</v>
      </c>
      <c r="G3134" s="156">
        <f>Tabla18[[#This Row],[Importe]]-Tabla18[[#This Row],[Pagado]]</f>
        <v>0</v>
      </c>
      <c r="H3134" s="75" t="s">
        <v>10</v>
      </c>
    </row>
    <row r="3135" spans="1:8" x14ac:dyDescent="0.25">
      <c r="A3135" s="148">
        <v>44772</v>
      </c>
      <c r="B3135" s="149" t="s">
        <v>24515</v>
      </c>
      <c r="C3135" s="153" t="s">
        <v>37</v>
      </c>
      <c r="D3135" s="154">
        <v>2196.4</v>
      </c>
      <c r="E3135" s="155">
        <v>44772</v>
      </c>
      <c r="F3135" s="154">
        <v>2196.4</v>
      </c>
      <c r="G3135" s="156">
        <f>Tabla18[[#This Row],[Importe]]-Tabla18[[#This Row],[Pagado]]</f>
        <v>0</v>
      </c>
      <c r="H3135" s="153" t="s">
        <v>10</v>
      </c>
    </row>
    <row r="3136" spans="1:8" x14ac:dyDescent="0.25">
      <c r="A3136" s="73">
        <v>44772</v>
      </c>
      <c r="B3136" s="74" t="s">
        <v>24516</v>
      </c>
      <c r="C3136" s="75" t="s">
        <v>3823</v>
      </c>
      <c r="D3136" s="81">
        <v>0</v>
      </c>
      <c r="E3136" s="157" t="s">
        <v>189</v>
      </c>
      <c r="F3136" s="81">
        <v>0</v>
      </c>
      <c r="G3136" s="156">
        <f>Tabla18[[#This Row],[Importe]]-Tabla18[[#This Row],[Pagado]]</f>
        <v>0</v>
      </c>
      <c r="H3136" s="75" t="s">
        <v>189</v>
      </c>
    </row>
    <row r="3137" spans="1:8" x14ac:dyDescent="0.25">
      <c r="A3137" s="148">
        <v>44772</v>
      </c>
      <c r="B3137" s="149" t="s">
        <v>24517</v>
      </c>
      <c r="C3137" s="153" t="s">
        <v>31</v>
      </c>
      <c r="D3137" s="154">
        <v>2964.8</v>
      </c>
      <c r="E3137" s="155">
        <v>44772</v>
      </c>
      <c r="F3137" s="154">
        <v>2964.8</v>
      </c>
      <c r="G3137" s="156">
        <f>Tabla18[[#This Row],[Importe]]-Tabla18[[#This Row],[Pagado]]</f>
        <v>0</v>
      </c>
      <c r="H3137" s="153" t="s">
        <v>10</v>
      </c>
    </row>
    <row r="3138" spans="1:8" x14ac:dyDescent="0.25">
      <c r="A3138" s="73">
        <v>44772</v>
      </c>
      <c r="B3138" s="74" t="s">
        <v>24518</v>
      </c>
      <c r="C3138" s="75" t="s">
        <v>452</v>
      </c>
      <c r="D3138" s="81">
        <v>7856</v>
      </c>
      <c r="E3138" s="151">
        <v>44772</v>
      </c>
      <c r="F3138" s="81">
        <v>7856</v>
      </c>
      <c r="G3138" s="156">
        <f>Tabla18[[#This Row],[Importe]]-Tabla18[[#This Row],[Pagado]]</f>
        <v>0</v>
      </c>
      <c r="H3138" s="75" t="s">
        <v>10</v>
      </c>
    </row>
    <row r="3139" spans="1:8" ht="31.5" x14ac:dyDescent="0.25">
      <c r="A3139" s="148">
        <v>44772</v>
      </c>
      <c r="B3139" s="149" t="s">
        <v>24519</v>
      </c>
      <c r="C3139" s="153" t="s">
        <v>670</v>
      </c>
      <c r="D3139" s="154">
        <v>4627.7</v>
      </c>
      <c r="E3139" s="150" t="s">
        <v>24629</v>
      </c>
      <c r="F3139" s="154">
        <f>2000+2627.7</f>
        <v>4627.7</v>
      </c>
      <c r="G3139" s="156">
        <f>Tabla18[[#This Row],[Importe]]-Tabla18[[#This Row],[Pagado]]</f>
        <v>0</v>
      </c>
      <c r="H3139" s="153" t="s">
        <v>10</v>
      </c>
    </row>
    <row r="3140" spans="1:8" x14ac:dyDescent="0.25">
      <c r="A3140" s="73">
        <v>44772</v>
      </c>
      <c r="B3140" s="74" t="s">
        <v>24520</v>
      </c>
      <c r="C3140" s="75" t="s">
        <v>2139</v>
      </c>
      <c r="D3140" s="81">
        <v>1789.8</v>
      </c>
      <c r="E3140" s="151">
        <v>44772</v>
      </c>
      <c r="F3140" s="81">
        <v>1789.8</v>
      </c>
      <c r="G3140" s="156">
        <f>Tabla18[[#This Row],[Importe]]-Tabla18[[#This Row],[Pagado]]</f>
        <v>0</v>
      </c>
      <c r="H3140" s="75" t="s">
        <v>10</v>
      </c>
    </row>
    <row r="3141" spans="1:8" x14ac:dyDescent="0.25">
      <c r="A3141" s="148">
        <v>44772</v>
      </c>
      <c r="B3141" s="149" t="s">
        <v>24521</v>
      </c>
      <c r="C3141" s="153" t="s">
        <v>24621</v>
      </c>
      <c r="D3141" s="154">
        <v>0</v>
      </c>
      <c r="E3141" s="158" t="s">
        <v>189</v>
      </c>
      <c r="F3141" s="154">
        <v>0</v>
      </c>
      <c r="G3141" s="156">
        <f>Tabla18[[#This Row],[Importe]]-Tabla18[[#This Row],[Pagado]]</f>
        <v>0</v>
      </c>
      <c r="H3141" s="153" t="s">
        <v>189</v>
      </c>
    </row>
    <row r="3142" spans="1:8" x14ac:dyDescent="0.25">
      <c r="A3142" s="73">
        <v>44772</v>
      </c>
      <c r="B3142" s="74" t="s">
        <v>24522</v>
      </c>
      <c r="C3142" s="75" t="s">
        <v>191</v>
      </c>
      <c r="D3142" s="81">
        <v>1840.7</v>
      </c>
      <c r="E3142" s="151">
        <v>44772</v>
      </c>
      <c r="F3142" s="81">
        <v>1840.7</v>
      </c>
      <c r="G3142" s="156">
        <f>Tabla18[[#This Row],[Importe]]-Tabla18[[#This Row],[Pagado]]</f>
        <v>0</v>
      </c>
      <c r="H3142" s="75" t="s">
        <v>10</v>
      </c>
    </row>
    <row r="3143" spans="1:8" x14ac:dyDescent="0.25">
      <c r="A3143" s="148">
        <v>44772</v>
      </c>
      <c r="B3143" s="149" t="s">
        <v>24523</v>
      </c>
      <c r="C3143" s="153" t="s">
        <v>233</v>
      </c>
      <c r="D3143" s="154">
        <v>6142.2</v>
      </c>
      <c r="E3143" s="155">
        <v>44772</v>
      </c>
      <c r="F3143" s="154">
        <v>6142.2</v>
      </c>
      <c r="G3143" s="156">
        <f>Tabla18[[#This Row],[Importe]]-Tabla18[[#This Row],[Pagado]]</f>
        <v>0</v>
      </c>
      <c r="H3143" s="153" t="s">
        <v>10</v>
      </c>
    </row>
    <row r="3144" spans="1:8" x14ac:dyDescent="0.25">
      <c r="A3144" s="73">
        <v>44772</v>
      </c>
      <c r="B3144" s="74" t="s">
        <v>24524</v>
      </c>
      <c r="C3144" s="75" t="s">
        <v>31</v>
      </c>
      <c r="D3144" s="81">
        <v>18731.2</v>
      </c>
      <c r="E3144" s="151">
        <v>44772</v>
      </c>
      <c r="F3144" s="81">
        <v>18731.2</v>
      </c>
      <c r="G3144" s="156">
        <f>Tabla18[[#This Row],[Importe]]-Tabla18[[#This Row],[Pagado]]</f>
        <v>0</v>
      </c>
      <c r="H3144" s="75" t="s">
        <v>10</v>
      </c>
    </row>
    <row r="3145" spans="1:8" x14ac:dyDescent="0.25">
      <c r="A3145" s="148">
        <v>44772</v>
      </c>
      <c r="B3145" s="149" t="s">
        <v>24525</v>
      </c>
      <c r="C3145" s="153" t="s">
        <v>31</v>
      </c>
      <c r="D3145" s="154">
        <v>1740</v>
      </c>
      <c r="E3145" s="155">
        <v>44772</v>
      </c>
      <c r="F3145" s="154">
        <v>1740</v>
      </c>
      <c r="G3145" s="156">
        <f>Tabla18[[#This Row],[Importe]]-Tabla18[[#This Row],[Pagado]]</f>
        <v>0</v>
      </c>
      <c r="H3145" s="153" t="s">
        <v>10</v>
      </c>
    </row>
    <row r="3146" spans="1:8" x14ac:dyDescent="0.25">
      <c r="A3146" s="73">
        <v>44772</v>
      </c>
      <c r="B3146" s="74" t="s">
        <v>24526</v>
      </c>
      <c r="C3146" s="75" t="s">
        <v>31</v>
      </c>
      <c r="D3146" s="81">
        <v>1832</v>
      </c>
      <c r="E3146" s="151">
        <v>44772</v>
      </c>
      <c r="F3146" s="81">
        <v>1832</v>
      </c>
      <c r="G3146" s="156">
        <f>Tabla18[[#This Row],[Importe]]-Tabla18[[#This Row],[Pagado]]</f>
        <v>0</v>
      </c>
      <c r="H3146" s="75" t="s">
        <v>10</v>
      </c>
    </row>
    <row r="3147" spans="1:8" x14ac:dyDescent="0.25">
      <c r="A3147" s="148">
        <v>44772</v>
      </c>
      <c r="B3147" s="149" t="s">
        <v>24527</v>
      </c>
      <c r="C3147" s="153" t="s">
        <v>142</v>
      </c>
      <c r="D3147" s="154">
        <v>78511.600000000006</v>
      </c>
      <c r="E3147" s="155" t="s">
        <v>4813</v>
      </c>
      <c r="F3147" s="154">
        <v>0</v>
      </c>
      <c r="G3147" s="156">
        <f>Tabla18[[#This Row],[Importe]]-Tabla18[[#This Row],[Pagado]]</f>
        <v>78511.600000000006</v>
      </c>
      <c r="H3147" s="153" t="s">
        <v>4814</v>
      </c>
    </row>
    <row r="3148" spans="1:8" x14ac:dyDescent="0.25">
      <c r="A3148" s="73">
        <v>44772</v>
      </c>
      <c r="B3148" s="74" t="s">
        <v>24528</v>
      </c>
      <c r="C3148" s="75" t="s">
        <v>198</v>
      </c>
      <c r="D3148" s="81">
        <v>4641</v>
      </c>
      <c r="E3148" s="151">
        <v>44773</v>
      </c>
      <c r="F3148" s="81">
        <v>4641</v>
      </c>
      <c r="G3148" s="156">
        <f>Tabla18[[#This Row],[Importe]]-Tabla18[[#This Row],[Pagado]]</f>
        <v>0</v>
      </c>
      <c r="H3148" s="75" t="s">
        <v>10</v>
      </c>
    </row>
    <row r="3149" spans="1:8" x14ac:dyDescent="0.25">
      <c r="A3149" s="148">
        <v>44772</v>
      </c>
      <c r="B3149" s="149" t="s">
        <v>24529</v>
      </c>
      <c r="C3149" s="153" t="s">
        <v>67</v>
      </c>
      <c r="D3149" s="154">
        <v>3384.6</v>
      </c>
      <c r="E3149" s="155">
        <v>44772</v>
      </c>
      <c r="F3149" s="154">
        <v>3384.6</v>
      </c>
      <c r="G3149" s="156">
        <f>Tabla18[[#This Row],[Importe]]-Tabla18[[#This Row],[Pagado]]</f>
        <v>0</v>
      </c>
      <c r="H3149" s="153" t="s">
        <v>10</v>
      </c>
    </row>
    <row r="3150" spans="1:8" x14ac:dyDescent="0.25">
      <c r="A3150" s="73">
        <v>44772</v>
      </c>
      <c r="B3150" s="74" t="s">
        <v>24530</v>
      </c>
      <c r="C3150" s="75" t="s">
        <v>31</v>
      </c>
      <c r="D3150" s="81">
        <v>12000</v>
      </c>
      <c r="E3150" s="151">
        <v>44772</v>
      </c>
      <c r="F3150" s="81">
        <v>12000</v>
      </c>
      <c r="G3150" s="156">
        <f>Tabla18[[#This Row],[Importe]]-Tabla18[[#This Row],[Pagado]]</f>
        <v>0</v>
      </c>
      <c r="H3150" s="75" t="s">
        <v>10</v>
      </c>
    </row>
    <row r="3151" spans="1:8" x14ac:dyDescent="0.25">
      <c r="A3151" s="148">
        <v>44772</v>
      </c>
      <c r="B3151" s="149" t="s">
        <v>24531</v>
      </c>
      <c r="C3151" s="153" t="s">
        <v>214</v>
      </c>
      <c r="D3151" s="154">
        <v>2192.4</v>
      </c>
      <c r="E3151" s="155">
        <v>44772</v>
      </c>
      <c r="F3151" s="154">
        <v>2192.4</v>
      </c>
      <c r="G3151" s="156">
        <f>Tabla18[[#This Row],[Importe]]-Tabla18[[#This Row],[Pagado]]</f>
        <v>0</v>
      </c>
      <c r="H3151" s="153" t="s">
        <v>10</v>
      </c>
    </row>
    <row r="3152" spans="1:8" x14ac:dyDescent="0.25">
      <c r="A3152" s="73">
        <v>44772</v>
      </c>
      <c r="B3152" s="74" t="s">
        <v>24532</v>
      </c>
      <c r="C3152" s="75" t="s">
        <v>53</v>
      </c>
      <c r="D3152" s="81">
        <v>2493.6999999999998</v>
      </c>
      <c r="E3152" s="151">
        <v>44772</v>
      </c>
      <c r="F3152" s="81">
        <v>2493.6999999999998</v>
      </c>
      <c r="G3152" s="156">
        <f>Tabla18[[#This Row],[Importe]]-Tabla18[[#This Row],[Pagado]]</f>
        <v>0</v>
      </c>
      <c r="H3152" s="75" t="s">
        <v>10</v>
      </c>
    </row>
    <row r="3153" spans="1:8" x14ac:dyDescent="0.25">
      <c r="A3153" s="148">
        <v>44772</v>
      </c>
      <c r="B3153" s="149" t="s">
        <v>24533</v>
      </c>
      <c r="C3153" s="153" t="s">
        <v>426</v>
      </c>
      <c r="D3153" s="154">
        <v>3256</v>
      </c>
      <c r="E3153" s="155">
        <v>44773</v>
      </c>
      <c r="F3153" s="154">
        <v>3256</v>
      </c>
      <c r="G3153" s="156">
        <f>Tabla18[[#This Row],[Importe]]-Tabla18[[#This Row],[Pagado]]</f>
        <v>0</v>
      </c>
      <c r="H3153" s="153" t="s">
        <v>10</v>
      </c>
    </row>
    <row r="3154" spans="1:8" x14ac:dyDescent="0.25">
      <c r="A3154" s="73">
        <v>44772</v>
      </c>
      <c r="B3154" s="74" t="s">
        <v>24534</v>
      </c>
      <c r="C3154" s="75" t="s">
        <v>200</v>
      </c>
      <c r="D3154" s="81">
        <v>2183.6999999999998</v>
      </c>
      <c r="E3154" s="151">
        <v>44773</v>
      </c>
      <c r="F3154" s="81">
        <v>2183.6999999999998</v>
      </c>
      <c r="G3154" s="156">
        <f>Tabla18[[#This Row],[Importe]]-Tabla18[[#This Row],[Pagado]]</f>
        <v>0</v>
      </c>
      <c r="H3154" s="75" t="s">
        <v>10</v>
      </c>
    </row>
    <row r="3155" spans="1:8" x14ac:dyDescent="0.25">
      <c r="A3155" s="148">
        <v>44772</v>
      </c>
      <c r="B3155" s="149" t="s">
        <v>24535</v>
      </c>
      <c r="C3155" s="153" t="s">
        <v>181</v>
      </c>
      <c r="D3155" s="154">
        <v>14744.4</v>
      </c>
      <c r="E3155" s="155">
        <v>44773</v>
      </c>
      <c r="F3155" s="154">
        <v>14744.4</v>
      </c>
      <c r="G3155" s="156">
        <f>Tabla18[[#This Row],[Importe]]-Tabla18[[#This Row],[Pagado]]</f>
        <v>0</v>
      </c>
      <c r="H3155" s="153" t="s">
        <v>10</v>
      </c>
    </row>
    <row r="3156" spans="1:8" x14ac:dyDescent="0.25">
      <c r="A3156" s="73">
        <v>44772</v>
      </c>
      <c r="B3156" s="74" t="s">
        <v>24536</v>
      </c>
      <c r="C3156" s="75" t="s">
        <v>9827</v>
      </c>
      <c r="D3156" s="81">
        <v>11634.9</v>
      </c>
      <c r="E3156" s="151">
        <v>44772</v>
      </c>
      <c r="F3156" s="81">
        <v>11634.9</v>
      </c>
      <c r="G3156" s="156">
        <f>Tabla18[[#This Row],[Importe]]-Tabla18[[#This Row],[Pagado]]</f>
        <v>0</v>
      </c>
      <c r="H3156" s="75" t="s">
        <v>10</v>
      </c>
    </row>
    <row r="3157" spans="1:8" x14ac:dyDescent="0.25">
      <c r="A3157" s="148">
        <v>44772</v>
      </c>
      <c r="B3157" s="149" t="s">
        <v>24537</v>
      </c>
      <c r="C3157" s="153" t="s">
        <v>107</v>
      </c>
      <c r="D3157" s="154">
        <v>31828.3</v>
      </c>
      <c r="E3157" s="155">
        <v>44772</v>
      </c>
      <c r="F3157" s="154">
        <v>31828.3</v>
      </c>
      <c r="G3157" s="156">
        <f>Tabla18[[#This Row],[Importe]]-Tabla18[[#This Row],[Pagado]]</f>
        <v>0</v>
      </c>
      <c r="H3157" s="153" t="s">
        <v>10</v>
      </c>
    </row>
    <row r="3158" spans="1:8" x14ac:dyDescent="0.25">
      <c r="A3158" s="73">
        <v>44772</v>
      </c>
      <c r="B3158" s="74" t="s">
        <v>24538</v>
      </c>
      <c r="C3158" s="75" t="s">
        <v>31</v>
      </c>
      <c r="D3158" s="81">
        <v>2618.6999999999998</v>
      </c>
      <c r="E3158" s="151">
        <v>44772</v>
      </c>
      <c r="F3158" s="81">
        <v>2618.6999999999998</v>
      </c>
      <c r="G3158" s="156">
        <f>Tabla18[[#This Row],[Importe]]-Tabla18[[#This Row],[Pagado]]</f>
        <v>0</v>
      </c>
      <c r="H3158" s="75" t="s">
        <v>10</v>
      </c>
    </row>
    <row r="3159" spans="1:8" x14ac:dyDescent="0.25">
      <c r="A3159" s="148">
        <v>44772</v>
      </c>
      <c r="B3159" s="149" t="s">
        <v>24539</v>
      </c>
      <c r="C3159" s="153" t="s">
        <v>22</v>
      </c>
      <c r="D3159" s="154">
        <v>5118.8</v>
      </c>
      <c r="E3159" s="155">
        <v>44773</v>
      </c>
      <c r="F3159" s="154">
        <v>5118.8</v>
      </c>
      <c r="G3159" s="156">
        <f>Tabla18[[#This Row],[Importe]]-Tabla18[[#This Row],[Pagado]]</f>
        <v>0</v>
      </c>
      <c r="H3159" s="153" t="s">
        <v>10</v>
      </c>
    </row>
    <row r="3160" spans="1:8" x14ac:dyDescent="0.25">
      <c r="A3160" s="73">
        <v>44772</v>
      </c>
      <c r="B3160" s="74" t="s">
        <v>24540</v>
      </c>
      <c r="C3160" s="75" t="s">
        <v>19027</v>
      </c>
      <c r="D3160" s="81">
        <v>0</v>
      </c>
      <c r="E3160" s="157" t="s">
        <v>189</v>
      </c>
      <c r="F3160" s="81">
        <v>0</v>
      </c>
      <c r="G3160" s="156">
        <f>Tabla18[[#This Row],[Importe]]-Tabla18[[#This Row],[Pagado]]</f>
        <v>0</v>
      </c>
      <c r="H3160" s="161" t="s">
        <v>24541</v>
      </c>
    </row>
    <row r="3161" spans="1:8" x14ac:dyDescent="0.25">
      <c r="A3161" s="148">
        <v>44772</v>
      </c>
      <c r="B3161" s="149" t="s">
        <v>24542</v>
      </c>
      <c r="C3161" s="153" t="s">
        <v>457</v>
      </c>
      <c r="D3161" s="154">
        <v>218</v>
      </c>
      <c r="E3161" s="155">
        <v>44772</v>
      </c>
      <c r="F3161" s="154">
        <v>218</v>
      </c>
      <c r="G3161" s="156">
        <f>Tabla18[[#This Row],[Importe]]-Tabla18[[#This Row],[Pagado]]</f>
        <v>0</v>
      </c>
      <c r="H3161" s="153" t="s">
        <v>10</v>
      </c>
    </row>
    <row r="3162" spans="1:8" x14ac:dyDescent="0.25">
      <c r="A3162" s="73">
        <v>44772</v>
      </c>
      <c r="B3162" s="74" t="s">
        <v>24543</v>
      </c>
      <c r="C3162" s="75" t="s">
        <v>459</v>
      </c>
      <c r="D3162" s="81">
        <v>213</v>
      </c>
      <c r="E3162" s="151">
        <v>44772</v>
      </c>
      <c r="F3162" s="81">
        <v>213</v>
      </c>
      <c r="G3162" s="156">
        <f>Tabla18[[#This Row],[Importe]]-Tabla18[[#This Row],[Pagado]]</f>
        <v>0</v>
      </c>
      <c r="H3162" s="75" t="s">
        <v>10</v>
      </c>
    </row>
    <row r="3163" spans="1:8" x14ac:dyDescent="0.25">
      <c r="A3163" s="148">
        <v>44772</v>
      </c>
      <c r="B3163" s="149" t="s">
        <v>24544</v>
      </c>
      <c r="C3163" s="153" t="s">
        <v>414</v>
      </c>
      <c r="D3163" s="154">
        <v>26935.200000000001</v>
      </c>
      <c r="E3163" s="155">
        <v>44786</v>
      </c>
      <c r="F3163" s="154">
        <v>26935.200000000001</v>
      </c>
      <c r="G3163" s="156">
        <f>Tabla18[[#This Row],[Importe]]-Tabla18[[#This Row],[Pagado]]</f>
        <v>0</v>
      </c>
      <c r="H3163" s="153" t="s">
        <v>10</v>
      </c>
    </row>
    <row r="3164" spans="1:8" x14ac:dyDescent="0.25">
      <c r="A3164" s="73">
        <v>44772</v>
      </c>
      <c r="B3164" s="74" t="s">
        <v>24545</v>
      </c>
      <c r="C3164" s="75" t="s">
        <v>463</v>
      </c>
      <c r="D3164" s="81">
        <v>550</v>
      </c>
      <c r="E3164" s="151">
        <v>44772</v>
      </c>
      <c r="F3164" s="81">
        <v>550</v>
      </c>
      <c r="G3164" s="156">
        <f>Tabla18[[#This Row],[Importe]]-Tabla18[[#This Row],[Pagado]]</f>
        <v>0</v>
      </c>
      <c r="H3164" s="75" t="s">
        <v>10</v>
      </c>
    </row>
    <row r="3165" spans="1:8" x14ac:dyDescent="0.25">
      <c r="A3165" s="148">
        <v>44772</v>
      </c>
      <c r="B3165" s="149" t="s">
        <v>24546</v>
      </c>
      <c r="C3165" s="153" t="s">
        <v>461</v>
      </c>
      <c r="D3165" s="154">
        <v>394</v>
      </c>
      <c r="E3165" s="155">
        <v>44772</v>
      </c>
      <c r="F3165" s="154">
        <v>394</v>
      </c>
      <c r="G3165" s="156">
        <f>Tabla18[[#This Row],[Importe]]-Tabla18[[#This Row],[Pagado]]</f>
        <v>0</v>
      </c>
      <c r="H3165" s="153" t="s">
        <v>10</v>
      </c>
    </row>
    <row r="3166" spans="1:8" x14ac:dyDescent="0.25">
      <c r="A3166" s="73">
        <v>44772</v>
      </c>
      <c r="B3166" s="74" t="s">
        <v>24547</v>
      </c>
      <c r="C3166" s="75" t="s">
        <v>5345</v>
      </c>
      <c r="D3166" s="81">
        <v>10622.7</v>
      </c>
      <c r="E3166" s="151">
        <v>44773</v>
      </c>
      <c r="F3166" s="81">
        <v>10622.7</v>
      </c>
      <c r="G3166" s="156">
        <f>Tabla18[[#This Row],[Importe]]-Tabla18[[#This Row],[Pagado]]</f>
        <v>0</v>
      </c>
      <c r="H3166" s="75" t="s">
        <v>10</v>
      </c>
    </row>
    <row r="3167" spans="1:8" x14ac:dyDescent="0.25">
      <c r="A3167" s="148">
        <v>44772</v>
      </c>
      <c r="B3167" s="149" t="s">
        <v>24548</v>
      </c>
      <c r="C3167" s="153" t="s">
        <v>282</v>
      </c>
      <c r="D3167" s="154">
        <v>3488.7</v>
      </c>
      <c r="E3167" s="155">
        <v>44774</v>
      </c>
      <c r="F3167" s="154">
        <v>3488.7</v>
      </c>
      <c r="G3167" s="156">
        <f>Tabla18[[#This Row],[Importe]]-Tabla18[[#This Row],[Pagado]]</f>
        <v>0</v>
      </c>
      <c r="H3167" s="153" t="s">
        <v>10</v>
      </c>
    </row>
    <row r="3168" spans="1:8" x14ac:dyDescent="0.25">
      <c r="A3168" s="73">
        <v>44772</v>
      </c>
      <c r="B3168" s="74" t="s">
        <v>24549</v>
      </c>
      <c r="C3168" s="75" t="s">
        <v>280</v>
      </c>
      <c r="D3168" s="81">
        <v>3201.6</v>
      </c>
      <c r="E3168" s="151">
        <v>44774</v>
      </c>
      <c r="F3168" s="81">
        <v>3201.6</v>
      </c>
      <c r="G3168" s="156">
        <f>Tabla18[[#This Row],[Importe]]-Tabla18[[#This Row],[Pagado]]</f>
        <v>0</v>
      </c>
      <c r="H3168" s="75" t="s">
        <v>10</v>
      </c>
    </row>
    <row r="3169" spans="1:8" x14ac:dyDescent="0.25">
      <c r="A3169" s="148">
        <v>44772</v>
      </c>
      <c r="B3169" s="149" t="s">
        <v>24550</v>
      </c>
      <c r="C3169" s="153" t="s">
        <v>10819</v>
      </c>
      <c r="D3169" s="154">
        <v>3285.6</v>
      </c>
      <c r="E3169" s="155">
        <v>44774</v>
      </c>
      <c r="F3169" s="154">
        <v>3285.6</v>
      </c>
      <c r="G3169" s="156">
        <f>Tabla18[[#This Row],[Importe]]-Tabla18[[#This Row],[Pagado]]</f>
        <v>0</v>
      </c>
      <c r="H3169" s="153" t="s">
        <v>10</v>
      </c>
    </row>
    <row r="3170" spans="1:8" x14ac:dyDescent="0.25">
      <c r="A3170" s="73">
        <v>44772</v>
      </c>
      <c r="B3170" s="74" t="s">
        <v>24551</v>
      </c>
      <c r="C3170" s="75" t="s">
        <v>1350</v>
      </c>
      <c r="D3170" s="81">
        <v>1234.0999999999999</v>
      </c>
      <c r="E3170" s="151">
        <v>44774</v>
      </c>
      <c r="F3170" s="81">
        <v>1234.0999999999999</v>
      </c>
      <c r="G3170" s="156">
        <f>Tabla18[[#This Row],[Importe]]-Tabla18[[#This Row],[Pagado]]</f>
        <v>0</v>
      </c>
      <c r="H3170" s="75" t="s">
        <v>10</v>
      </c>
    </row>
    <row r="3171" spans="1:8" x14ac:dyDescent="0.25">
      <c r="A3171" s="148">
        <v>44772</v>
      </c>
      <c r="B3171" s="149" t="s">
        <v>24552</v>
      </c>
      <c r="C3171" s="153" t="s">
        <v>31</v>
      </c>
      <c r="D3171" s="154">
        <v>6244</v>
      </c>
      <c r="E3171" s="155">
        <v>44772</v>
      </c>
      <c r="F3171" s="154">
        <v>6244</v>
      </c>
      <c r="G3171" s="156">
        <f>Tabla18[[#This Row],[Importe]]-Tabla18[[#This Row],[Pagado]]</f>
        <v>0</v>
      </c>
      <c r="H3171" s="153" t="s">
        <v>10</v>
      </c>
    </row>
    <row r="3172" spans="1:8" x14ac:dyDescent="0.25">
      <c r="A3172" s="73">
        <v>44772</v>
      </c>
      <c r="B3172" s="74" t="s">
        <v>24553</v>
      </c>
      <c r="C3172" s="75" t="s">
        <v>56</v>
      </c>
      <c r="D3172" s="81">
        <v>3096</v>
      </c>
      <c r="E3172" s="151">
        <v>44772</v>
      </c>
      <c r="F3172" s="81">
        <v>3096</v>
      </c>
      <c r="G3172" s="156">
        <f>Tabla18[[#This Row],[Importe]]-Tabla18[[#This Row],[Pagado]]</f>
        <v>0</v>
      </c>
      <c r="H3172" s="75" t="s">
        <v>10</v>
      </c>
    </row>
    <row r="3173" spans="1:8" x14ac:dyDescent="0.25">
      <c r="A3173" s="148">
        <v>44772</v>
      </c>
      <c r="B3173" s="149" t="s">
        <v>24554</v>
      </c>
      <c r="C3173" s="153" t="s">
        <v>296</v>
      </c>
      <c r="D3173" s="154">
        <v>3517.8</v>
      </c>
      <c r="E3173" s="155">
        <v>44772</v>
      </c>
      <c r="F3173" s="154">
        <v>3517.8</v>
      </c>
      <c r="G3173" s="156">
        <f>Tabla18[[#This Row],[Importe]]-Tabla18[[#This Row],[Pagado]]</f>
        <v>0</v>
      </c>
      <c r="H3173" s="153" t="s">
        <v>10</v>
      </c>
    </row>
    <row r="3174" spans="1:8" x14ac:dyDescent="0.25">
      <c r="A3174" s="73">
        <v>44772</v>
      </c>
      <c r="B3174" s="74" t="s">
        <v>24555</v>
      </c>
      <c r="C3174" s="75" t="s">
        <v>31</v>
      </c>
      <c r="D3174" s="81">
        <v>1937</v>
      </c>
      <c r="E3174" s="151">
        <v>44772</v>
      </c>
      <c r="F3174" s="81">
        <v>1937</v>
      </c>
      <c r="G3174" s="156">
        <f>Tabla18[[#This Row],[Importe]]-Tabla18[[#This Row],[Pagado]]</f>
        <v>0</v>
      </c>
      <c r="H3174" s="75" t="s">
        <v>10</v>
      </c>
    </row>
    <row r="3175" spans="1:8" x14ac:dyDescent="0.25">
      <c r="A3175" s="148">
        <v>44772</v>
      </c>
      <c r="B3175" s="149" t="s">
        <v>24556</v>
      </c>
      <c r="C3175" s="153" t="s">
        <v>7313</v>
      </c>
      <c r="D3175" s="154">
        <v>3971.1</v>
      </c>
      <c r="E3175" s="155">
        <v>44772</v>
      </c>
      <c r="F3175" s="154">
        <v>3971.1</v>
      </c>
      <c r="G3175" s="156">
        <f>Tabla18[[#This Row],[Importe]]-Tabla18[[#This Row],[Pagado]]</f>
        <v>0</v>
      </c>
      <c r="H3175" s="153" t="s">
        <v>10</v>
      </c>
    </row>
    <row r="3176" spans="1:8" x14ac:dyDescent="0.25">
      <c r="A3176" s="73">
        <v>44772</v>
      </c>
      <c r="B3176" s="74" t="s">
        <v>24557</v>
      </c>
      <c r="C3176" s="75" t="s">
        <v>1421</v>
      </c>
      <c r="D3176" s="81">
        <v>30664.400000000001</v>
      </c>
      <c r="E3176" s="151">
        <v>44772</v>
      </c>
      <c r="F3176" s="81">
        <v>30664.400000000001</v>
      </c>
      <c r="G3176" s="156">
        <f>Tabla18[[#This Row],[Importe]]-Tabla18[[#This Row],[Pagado]]</f>
        <v>0</v>
      </c>
      <c r="H3176" s="75" t="s">
        <v>10</v>
      </c>
    </row>
    <row r="3177" spans="1:8" x14ac:dyDescent="0.25">
      <c r="A3177" s="148">
        <v>44772</v>
      </c>
      <c r="B3177" s="149" t="s">
        <v>24558</v>
      </c>
      <c r="C3177" s="153" t="s">
        <v>654</v>
      </c>
      <c r="D3177" s="154">
        <v>10854.9</v>
      </c>
      <c r="E3177" s="155">
        <v>44774</v>
      </c>
      <c r="F3177" s="154">
        <v>10854.9</v>
      </c>
      <c r="G3177" s="156">
        <f>Tabla18[[#This Row],[Importe]]-Tabla18[[#This Row],[Pagado]]</f>
        <v>0</v>
      </c>
      <c r="H3177" s="153" t="s">
        <v>10</v>
      </c>
    </row>
    <row r="3178" spans="1:8" x14ac:dyDescent="0.25">
      <c r="A3178" s="73">
        <v>44772</v>
      </c>
      <c r="B3178" s="74" t="s">
        <v>24559</v>
      </c>
      <c r="C3178" s="75" t="s">
        <v>857</v>
      </c>
      <c r="D3178" s="81">
        <v>1016</v>
      </c>
      <c r="E3178" s="151">
        <v>44772</v>
      </c>
      <c r="F3178" s="81">
        <v>1016</v>
      </c>
      <c r="G3178" s="156">
        <f>Tabla18[[#This Row],[Importe]]-Tabla18[[#This Row],[Pagado]]</f>
        <v>0</v>
      </c>
      <c r="H3178" s="75" t="s">
        <v>10</v>
      </c>
    </row>
    <row r="3179" spans="1:8" x14ac:dyDescent="0.25">
      <c r="A3179" s="148">
        <v>44772</v>
      </c>
      <c r="B3179" s="149" t="s">
        <v>24560</v>
      </c>
      <c r="C3179" s="153" t="s">
        <v>69</v>
      </c>
      <c r="D3179" s="154">
        <v>2610</v>
      </c>
      <c r="E3179" s="155">
        <v>44772</v>
      </c>
      <c r="F3179" s="154">
        <v>2610</v>
      </c>
      <c r="G3179" s="156">
        <f>Tabla18[[#This Row],[Importe]]-Tabla18[[#This Row],[Pagado]]</f>
        <v>0</v>
      </c>
      <c r="H3179" s="153" t="s">
        <v>10</v>
      </c>
    </row>
    <row r="3180" spans="1:8" x14ac:dyDescent="0.25">
      <c r="A3180" s="73">
        <v>44772</v>
      </c>
      <c r="B3180" s="74" t="s">
        <v>24561</v>
      </c>
      <c r="C3180" s="75" t="s">
        <v>857</v>
      </c>
      <c r="D3180" s="81">
        <v>200</v>
      </c>
      <c r="E3180" s="151">
        <v>44772</v>
      </c>
      <c r="F3180" s="81">
        <v>200</v>
      </c>
      <c r="G3180" s="156">
        <f>Tabla18[[#This Row],[Importe]]-Tabla18[[#This Row],[Pagado]]</f>
        <v>0</v>
      </c>
      <c r="H3180" s="75" t="s">
        <v>10</v>
      </c>
    </row>
    <row r="3181" spans="1:8" x14ac:dyDescent="0.25">
      <c r="A3181" s="148">
        <v>44772</v>
      </c>
      <c r="B3181" s="149" t="s">
        <v>24562</v>
      </c>
      <c r="C3181" s="153" t="s">
        <v>51</v>
      </c>
      <c r="D3181" s="154">
        <v>5008</v>
      </c>
      <c r="E3181" s="155">
        <v>44772</v>
      </c>
      <c r="F3181" s="154">
        <v>5008</v>
      </c>
      <c r="G3181" s="156">
        <f>Tabla18[[#This Row],[Importe]]-Tabla18[[#This Row],[Pagado]]</f>
        <v>0</v>
      </c>
      <c r="H3181" s="153" t="s">
        <v>10</v>
      </c>
    </row>
    <row r="3182" spans="1:8" x14ac:dyDescent="0.25">
      <c r="A3182" s="73">
        <v>44772</v>
      </c>
      <c r="B3182" s="74" t="s">
        <v>24563</v>
      </c>
      <c r="C3182" s="75" t="s">
        <v>51</v>
      </c>
      <c r="D3182" s="81">
        <v>1364</v>
      </c>
      <c r="E3182" s="151">
        <v>44772</v>
      </c>
      <c r="F3182" s="81">
        <v>1364</v>
      </c>
      <c r="G3182" s="156">
        <f>Tabla18[[#This Row],[Importe]]-Tabla18[[#This Row],[Pagado]]</f>
        <v>0</v>
      </c>
      <c r="H3182" s="75" t="s">
        <v>10</v>
      </c>
    </row>
    <row r="3183" spans="1:8" x14ac:dyDescent="0.25">
      <c r="A3183" s="148">
        <v>44772</v>
      </c>
      <c r="B3183" s="149" t="s">
        <v>24564</v>
      </c>
      <c r="C3183" s="153" t="s">
        <v>157</v>
      </c>
      <c r="D3183" s="154">
        <v>4756.6000000000004</v>
      </c>
      <c r="E3183" s="155">
        <v>44772</v>
      </c>
      <c r="F3183" s="154">
        <v>4756.6000000000004</v>
      </c>
      <c r="G3183" s="156">
        <f>Tabla18[[#This Row],[Importe]]-Tabla18[[#This Row],[Pagado]]</f>
        <v>0</v>
      </c>
      <c r="H3183" s="153" t="s">
        <v>10</v>
      </c>
    </row>
    <row r="3184" spans="1:8" x14ac:dyDescent="0.25">
      <c r="A3184" s="73">
        <v>44772</v>
      </c>
      <c r="B3184" s="74" t="s">
        <v>24565</v>
      </c>
      <c r="C3184" s="75" t="s">
        <v>19637</v>
      </c>
      <c r="D3184" s="81">
        <v>6429.58</v>
      </c>
      <c r="E3184" s="151">
        <v>44779</v>
      </c>
      <c r="F3184" s="81">
        <v>6429.58</v>
      </c>
      <c r="G3184" s="156">
        <f>Tabla18[[#This Row],[Importe]]-Tabla18[[#This Row],[Pagado]]</f>
        <v>0</v>
      </c>
      <c r="H3184" s="75" t="s">
        <v>10</v>
      </c>
    </row>
    <row r="3185" spans="1:8" x14ac:dyDescent="0.25">
      <c r="A3185" s="148">
        <v>44772</v>
      </c>
      <c r="B3185" s="149" t="s">
        <v>24566</v>
      </c>
      <c r="C3185" s="153" t="s">
        <v>31</v>
      </c>
      <c r="D3185" s="154">
        <v>4376.3999999999996</v>
      </c>
      <c r="E3185" s="155">
        <v>44772</v>
      </c>
      <c r="F3185" s="154">
        <v>4376.3999999999996</v>
      </c>
      <c r="G3185" s="156">
        <f>Tabla18[[#This Row],[Importe]]-Tabla18[[#This Row],[Pagado]]</f>
        <v>0</v>
      </c>
      <c r="H3185" s="153" t="s">
        <v>10</v>
      </c>
    </row>
    <row r="3186" spans="1:8" x14ac:dyDescent="0.25">
      <c r="A3186" s="73">
        <v>44773</v>
      </c>
      <c r="B3186" s="74" t="s">
        <v>24567</v>
      </c>
      <c r="C3186" s="75" t="s">
        <v>9</v>
      </c>
      <c r="D3186" s="81">
        <v>8732</v>
      </c>
      <c r="E3186" s="151">
        <v>44773</v>
      </c>
      <c r="F3186" s="81">
        <v>8732</v>
      </c>
      <c r="G3186" s="156">
        <f>Tabla18[[#This Row],[Importe]]-Tabla18[[#This Row],[Pagado]]</f>
        <v>0</v>
      </c>
      <c r="H3186" s="75" t="s">
        <v>10</v>
      </c>
    </row>
    <row r="3187" spans="1:8" x14ac:dyDescent="0.25">
      <c r="A3187" s="148">
        <v>44773</v>
      </c>
      <c r="B3187" s="149" t="s">
        <v>24568</v>
      </c>
      <c r="C3187" s="153" t="s">
        <v>475</v>
      </c>
      <c r="D3187" s="154">
        <v>70615.3</v>
      </c>
      <c r="E3187" s="155">
        <v>44774</v>
      </c>
      <c r="F3187" s="154">
        <v>70615.3</v>
      </c>
      <c r="G3187" s="156">
        <f>Tabla18[[#This Row],[Importe]]-Tabla18[[#This Row],[Pagado]]</f>
        <v>0</v>
      </c>
      <c r="H3187" s="153" t="s">
        <v>10</v>
      </c>
    </row>
    <row r="3188" spans="1:8" x14ac:dyDescent="0.25">
      <c r="A3188" s="73">
        <v>44773</v>
      </c>
      <c r="B3188" s="74" t="s">
        <v>24569</v>
      </c>
      <c r="C3188" s="75" t="s">
        <v>1187</v>
      </c>
      <c r="D3188" s="81">
        <v>2566.1</v>
      </c>
      <c r="E3188" s="151">
        <v>44773</v>
      </c>
      <c r="F3188" s="81">
        <v>2566.1</v>
      </c>
      <c r="G3188" s="156">
        <f>Tabla18[[#This Row],[Importe]]-Tabla18[[#This Row],[Pagado]]</f>
        <v>0</v>
      </c>
      <c r="H3188" s="75" t="s">
        <v>10</v>
      </c>
    </row>
    <row r="3189" spans="1:8" x14ac:dyDescent="0.25">
      <c r="A3189" s="148">
        <v>44773</v>
      </c>
      <c r="B3189" s="149" t="s">
        <v>24570</v>
      </c>
      <c r="C3189" s="153" t="s">
        <v>16</v>
      </c>
      <c r="D3189" s="154">
        <v>10095.700000000001</v>
      </c>
      <c r="E3189" s="155">
        <v>44773</v>
      </c>
      <c r="F3189" s="154">
        <v>10095.700000000001</v>
      </c>
      <c r="G3189" s="156">
        <f>Tabla18[[#This Row],[Importe]]-Tabla18[[#This Row],[Pagado]]</f>
        <v>0</v>
      </c>
      <c r="H3189" s="153" t="s">
        <v>10</v>
      </c>
    </row>
    <row r="3190" spans="1:8" x14ac:dyDescent="0.25">
      <c r="A3190" s="73">
        <v>44773</v>
      </c>
      <c r="B3190" s="74" t="s">
        <v>24571</v>
      </c>
      <c r="C3190" s="75" t="s">
        <v>348</v>
      </c>
      <c r="D3190" s="81">
        <v>1614.7</v>
      </c>
      <c r="E3190" s="151">
        <v>44773</v>
      </c>
      <c r="F3190" s="81">
        <v>1614.7</v>
      </c>
      <c r="G3190" s="156">
        <f>Tabla18[[#This Row],[Importe]]-Tabla18[[#This Row],[Pagado]]</f>
        <v>0</v>
      </c>
      <c r="H3190" s="75" t="s">
        <v>10</v>
      </c>
    </row>
    <row r="3191" spans="1:8" ht="31.5" x14ac:dyDescent="0.25">
      <c r="A3191" s="148">
        <v>44773</v>
      </c>
      <c r="B3191" s="149" t="s">
        <v>24572</v>
      </c>
      <c r="C3191" s="153" t="s">
        <v>22</v>
      </c>
      <c r="D3191" s="154">
        <v>70719.3</v>
      </c>
      <c r="E3191" s="150" t="s">
        <v>24616</v>
      </c>
      <c r="F3191" s="154">
        <f>60000+10719.3</f>
        <v>70719.3</v>
      </c>
      <c r="G3191" s="156">
        <f>Tabla18[[#This Row],[Importe]]-Tabla18[[#This Row],[Pagado]]</f>
        <v>0</v>
      </c>
      <c r="H3191" s="153" t="s">
        <v>10</v>
      </c>
    </row>
    <row r="3192" spans="1:8" x14ac:dyDescent="0.25">
      <c r="A3192" s="73">
        <v>44773</v>
      </c>
      <c r="B3192" s="74" t="s">
        <v>24573</v>
      </c>
      <c r="C3192" s="75" t="s">
        <v>22</v>
      </c>
      <c r="D3192" s="81">
        <v>1576</v>
      </c>
      <c r="E3192" s="151">
        <v>44774</v>
      </c>
      <c r="F3192" s="81">
        <v>1576</v>
      </c>
      <c r="G3192" s="156">
        <f>Tabla18[[#This Row],[Importe]]-Tabla18[[#This Row],[Pagado]]</f>
        <v>0</v>
      </c>
      <c r="H3192" s="75" t="s">
        <v>10</v>
      </c>
    </row>
    <row r="3193" spans="1:8" x14ac:dyDescent="0.25">
      <c r="A3193" s="148">
        <v>44773</v>
      </c>
      <c r="B3193" s="149" t="s">
        <v>24574</v>
      </c>
      <c r="C3193" s="153" t="s">
        <v>12</v>
      </c>
      <c r="D3193" s="154">
        <v>8474</v>
      </c>
      <c r="E3193" s="155">
        <v>44773</v>
      </c>
      <c r="F3193" s="154">
        <v>8474</v>
      </c>
      <c r="G3193" s="156">
        <f>Tabla18[[#This Row],[Importe]]-Tabla18[[#This Row],[Pagado]]</f>
        <v>0</v>
      </c>
      <c r="H3193" s="153" t="s">
        <v>10</v>
      </c>
    </row>
    <row r="3194" spans="1:8" x14ac:dyDescent="0.25">
      <c r="A3194" s="73">
        <v>44773</v>
      </c>
      <c r="B3194" s="74" t="s">
        <v>24575</v>
      </c>
      <c r="C3194" s="75" t="s">
        <v>37</v>
      </c>
      <c r="D3194" s="81">
        <v>3440.8</v>
      </c>
      <c r="E3194" s="151">
        <v>44773</v>
      </c>
      <c r="F3194" s="81">
        <v>3440.8</v>
      </c>
      <c r="G3194" s="156">
        <f>Tabla18[[#This Row],[Importe]]-Tabla18[[#This Row],[Pagado]]</f>
        <v>0</v>
      </c>
      <c r="H3194" s="75" t="s">
        <v>10</v>
      </c>
    </row>
    <row r="3195" spans="1:8" x14ac:dyDescent="0.25">
      <c r="A3195" s="148">
        <v>44773</v>
      </c>
      <c r="B3195" s="149" t="s">
        <v>24576</v>
      </c>
      <c r="C3195" s="153" t="s">
        <v>9415</v>
      </c>
      <c r="D3195" s="154">
        <v>21062.6</v>
      </c>
      <c r="E3195" s="155">
        <v>44775</v>
      </c>
      <c r="F3195" s="154">
        <v>21062.6</v>
      </c>
      <c r="G3195" s="156">
        <f>Tabla18[[#This Row],[Importe]]-Tabla18[[#This Row],[Pagado]]</f>
        <v>0</v>
      </c>
      <c r="H3195" s="153" t="s">
        <v>10</v>
      </c>
    </row>
    <row r="3196" spans="1:8" x14ac:dyDescent="0.25">
      <c r="A3196" s="73">
        <v>44773</v>
      </c>
      <c r="B3196" s="74" t="s">
        <v>24577</v>
      </c>
      <c r="C3196" s="75" t="s">
        <v>670</v>
      </c>
      <c r="D3196" s="81">
        <v>1808.5</v>
      </c>
      <c r="E3196" s="151">
        <v>44773</v>
      </c>
      <c r="F3196" s="81">
        <v>1808.5</v>
      </c>
      <c r="G3196" s="156">
        <f>Tabla18[[#This Row],[Importe]]-Tabla18[[#This Row],[Pagado]]</f>
        <v>0</v>
      </c>
      <c r="H3196" s="75" t="s">
        <v>10</v>
      </c>
    </row>
    <row r="3197" spans="1:8" x14ac:dyDescent="0.25">
      <c r="A3197" s="148">
        <v>44773</v>
      </c>
      <c r="B3197" s="149" t="s">
        <v>24578</v>
      </c>
      <c r="C3197" s="153" t="s">
        <v>27</v>
      </c>
      <c r="D3197" s="154">
        <v>972.8</v>
      </c>
      <c r="E3197" s="155">
        <v>44773</v>
      </c>
      <c r="F3197" s="154">
        <v>972.8</v>
      </c>
      <c r="G3197" s="156">
        <f>Tabla18[[#This Row],[Importe]]-Tabla18[[#This Row],[Pagado]]</f>
        <v>0</v>
      </c>
      <c r="H3197" s="153" t="s">
        <v>10</v>
      </c>
    </row>
    <row r="3198" spans="1:8" x14ac:dyDescent="0.25">
      <c r="A3198" s="73">
        <v>44773</v>
      </c>
      <c r="B3198" s="74" t="s">
        <v>24579</v>
      </c>
      <c r="C3198" s="75" t="s">
        <v>11033</v>
      </c>
      <c r="D3198" s="81">
        <v>1919.7</v>
      </c>
      <c r="E3198" s="151">
        <v>44773</v>
      </c>
      <c r="F3198" s="81">
        <v>1919.7</v>
      </c>
      <c r="G3198" s="156">
        <f>Tabla18[[#This Row],[Importe]]-Tabla18[[#This Row],[Pagado]]</f>
        <v>0</v>
      </c>
      <c r="H3198" s="75" t="s">
        <v>10</v>
      </c>
    </row>
    <row r="3199" spans="1:8" x14ac:dyDescent="0.25">
      <c r="A3199" s="148">
        <v>44773</v>
      </c>
      <c r="B3199" s="149" t="s">
        <v>24580</v>
      </c>
      <c r="C3199" s="153" t="s">
        <v>31</v>
      </c>
      <c r="D3199" s="154">
        <v>10303.799999999999</v>
      </c>
      <c r="E3199" s="155">
        <v>44773</v>
      </c>
      <c r="F3199" s="154">
        <v>10303.799999999999</v>
      </c>
      <c r="G3199" s="156">
        <f>Tabla18[[#This Row],[Importe]]-Tabla18[[#This Row],[Pagado]]</f>
        <v>0</v>
      </c>
      <c r="H3199" s="153" t="s">
        <v>10</v>
      </c>
    </row>
    <row r="3200" spans="1:8" x14ac:dyDescent="0.25">
      <c r="A3200" s="73">
        <v>44773</v>
      </c>
      <c r="B3200" s="74" t="s">
        <v>24581</v>
      </c>
      <c r="C3200" s="75" t="s">
        <v>29</v>
      </c>
      <c r="D3200" s="81">
        <v>14737.8</v>
      </c>
      <c r="E3200" s="151">
        <v>44773</v>
      </c>
      <c r="F3200" s="81">
        <v>14737.8</v>
      </c>
      <c r="G3200" s="156">
        <f>Tabla18[[#This Row],[Importe]]-Tabla18[[#This Row],[Pagado]]</f>
        <v>0</v>
      </c>
      <c r="H3200" s="75" t="s">
        <v>10</v>
      </c>
    </row>
    <row r="3201" spans="1:8" x14ac:dyDescent="0.25">
      <c r="A3201" s="148">
        <v>44773</v>
      </c>
      <c r="B3201" s="149" t="s">
        <v>24582</v>
      </c>
      <c r="C3201" s="153" t="s">
        <v>20</v>
      </c>
      <c r="D3201" s="154">
        <v>12307.2</v>
      </c>
      <c r="E3201" s="155">
        <v>44773</v>
      </c>
      <c r="F3201" s="154">
        <v>12307.2</v>
      </c>
      <c r="G3201" s="156">
        <f>Tabla18[[#This Row],[Importe]]-Tabla18[[#This Row],[Pagado]]</f>
        <v>0</v>
      </c>
      <c r="H3201" s="153" t="s">
        <v>10</v>
      </c>
    </row>
    <row r="3202" spans="1:8" x14ac:dyDescent="0.25">
      <c r="A3202" s="73">
        <v>44773</v>
      </c>
      <c r="B3202" s="74" t="s">
        <v>24583</v>
      </c>
      <c r="C3202" s="75" t="s">
        <v>111</v>
      </c>
      <c r="D3202" s="81">
        <v>696</v>
      </c>
      <c r="E3202" s="151">
        <v>44773</v>
      </c>
      <c r="F3202" s="81">
        <v>696</v>
      </c>
      <c r="G3202" s="156">
        <f>Tabla18[[#This Row],[Importe]]-Tabla18[[#This Row],[Pagado]]</f>
        <v>0</v>
      </c>
      <c r="H3202" s="75" t="s">
        <v>10</v>
      </c>
    </row>
    <row r="3203" spans="1:8" x14ac:dyDescent="0.25">
      <c r="A3203" s="148">
        <v>44773</v>
      </c>
      <c r="B3203" s="149" t="s">
        <v>24584</v>
      </c>
      <c r="C3203" s="153" t="s">
        <v>45</v>
      </c>
      <c r="D3203" s="154">
        <v>8904.6</v>
      </c>
      <c r="E3203" s="155">
        <v>44773</v>
      </c>
      <c r="F3203" s="154">
        <v>8904.6</v>
      </c>
      <c r="G3203" s="156">
        <f>Tabla18[[#This Row],[Importe]]-Tabla18[[#This Row],[Pagado]]</f>
        <v>0</v>
      </c>
      <c r="H3203" s="153" t="s">
        <v>10</v>
      </c>
    </row>
    <row r="3204" spans="1:8" x14ac:dyDescent="0.25">
      <c r="A3204" s="73">
        <v>44773</v>
      </c>
      <c r="B3204" s="74" t="s">
        <v>24585</v>
      </c>
      <c r="C3204" s="75" t="s">
        <v>49</v>
      </c>
      <c r="D3204" s="81">
        <v>4720.5</v>
      </c>
      <c r="E3204" s="151">
        <v>44773</v>
      </c>
      <c r="F3204" s="81">
        <v>4720.5</v>
      </c>
      <c r="G3204" s="156">
        <f>Tabla18[[#This Row],[Importe]]-Tabla18[[#This Row],[Pagado]]</f>
        <v>0</v>
      </c>
      <c r="H3204" s="75" t="s">
        <v>10</v>
      </c>
    </row>
    <row r="3205" spans="1:8" x14ac:dyDescent="0.25">
      <c r="A3205" s="148">
        <v>44773</v>
      </c>
      <c r="B3205" s="149" t="s">
        <v>24586</v>
      </c>
      <c r="C3205" s="153" t="s">
        <v>31</v>
      </c>
      <c r="D3205" s="154">
        <v>2445.4</v>
      </c>
      <c r="E3205" s="155">
        <v>44773</v>
      </c>
      <c r="F3205" s="154">
        <v>2445.4</v>
      </c>
      <c r="G3205" s="156">
        <f>Tabla18[[#This Row],[Importe]]-Tabla18[[#This Row],[Pagado]]</f>
        <v>0</v>
      </c>
      <c r="H3205" s="153" t="s">
        <v>10</v>
      </c>
    </row>
    <row r="3206" spans="1:8" x14ac:dyDescent="0.25">
      <c r="A3206" s="73">
        <v>44773</v>
      </c>
      <c r="B3206" s="74" t="s">
        <v>24587</v>
      </c>
      <c r="C3206" s="75" t="s">
        <v>1003</v>
      </c>
      <c r="D3206" s="81">
        <v>16552</v>
      </c>
      <c r="E3206" s="151">
        <v>44777</v>
      </c>
      <c r="F3206" s="81">
        <v>16552</v>
      </c>
      <c r="G3206" s="156">
        <f>Tabla18[[#This Row],[Importe]]-Tabla18[[#This Row],[Pagado]]</f>
        <v>0</v>
      </c>
      <c r="H3206" s="75" t="s">
        <v>10</v>
      </c>
    </row>
    <row r="3207" spans="1:8" x14ac:dyDescent="0.25">
      <c r="A3207" s="148">
        <v>44773</v>
      </c>
      <c r="B3207" s="149" t="s">
        <v>24588</v>
      </c>
      <c r="C3207" s="153" t="s">
        <v>35</v>
      </c>
      <c r="D3207" s="154">
        <v>2789.2</v>
      </c>
      <c r="E3207" s="155">
        <v>44773</v>
      </c>
      <c r="F3207" s="154">
        <v>2789.2</v>
      </c>
      <c r="G3207" s="156">
        <f>Tabla18[[#This Row],[Importe]]-Tabla18[[#This Row],[Pagado]]</f>
        <v>0</v>
      </c>
      <c r="H3207" s="153" t="s">
        <v>10</v>
      </c>
    </row>
    <row r="3208" spans="1:8" x14ac:dyDescent="0.25">
      <c r="A3208" s="73">
        <v>44773</v>
      </c>
      <c r="B3208" s="74" t="s">
        <v>24589</v>
      </c>
      <c r="C3208" s="75" t="s">
        <v>24</v>
      </c>
      <c r="D3208" s="81">
        <v>4734.5</v>
      </c>
      <c r="E3208" s="151">
        <v>44773</v>
      </c>
      <c r="F3208" s="81">
        <v>4734.5</v>
      </c>
      <c r="G3208" s="156">
        <f>Tabla18[[#This Row],[Importe]]-Tabla18[[#This Row],[Pagado]]</f>
        <v>0</v>
      </c>
      <c r="H3208" s="75" t="s">
        <v>10</v>
      </c>
    </row>
    <row r="3209" spans="1:8" x14ac:dyDescent="0.25">
      <c r="A3209" s="148">
        <v>44773</v>
      </c>
      <c r="B3209" s="149" t="s">
        <v>24590</v>
      </c>
      <c r="C3209" s="153" t="s">
        <v>56</v>
      </c>
      <c r="D3209" s="154">
        <v>9531.4</v>
      </c>
      <c r="E3209" s="155">
        <v>44773</v>
      </c>
      <c r="F3209" s="154">
        <v>9531.4</v>
      </c>
      <c r="G3209" s="156">
        <f>Tabla18[[#This Row],[Importe]]-Tabla18[[#This Row],[Pagado]]</f>
        <v>0</v>
      </c>
      <c r="H3209" s="153" t="s">
        <v>10</v>
      </c>
    </row>
    <row r="3210" spans="1:8" x14ac:dyDescent="0.25">
      <c r="A3210" s="73">
        <v>44773</v>
      </c>
      <c r="B3210" s="74" t="s">
        <v>24591</v>
      </c>
      <c r="C3210" s="75" t="s">
        <v>58</v>
      </c>
      <c r="D3210" s="81">
        <v>5236.8</v>
      </c>
      <c r="E3210" s="151">
        <v>44773</v>
      </c>
      <c r="F3210" s="81">
        <v>5236.8</v>
      </c>
      <c r="G3210" s="156">
        <f>Tabla18[[#This Row],[Importe]]-Tabla18[[#This Row],[Pagado]]</f>
        <v>0</v>
      </c>
      <c r="H3210" s="75" t="s">
        <v>10</v>
      </c>
    </row>
    <row r="3211" spans="1:8" x14ac:dyDescent="0.25">
      <c r="A3211" s="148">
        <v>44773</v>
      </c>
      <c r="B3211" s="149" t="s">
        <v>24592</v>
      </c>
      <c r="C3211" s="153" t="s">
        <v>289</v>
      </c>
      <c r="D3211" s="154">
        <v>13618.2</v>
      </c>
      <c r="E3211" s="155">
        <v>44773</v>
      </c>
      <c r="F3211" s="154">
        <v>13618.2</v>
      </c>
      <c r="G3211" s="156">
        <f>Tabla18[[#This Row],[Importe]]-Tabla18[[#This Row],[Pagado]]</f>
        <v>0</v>
      </c>
      <c r="H3211" s="153" t="s">
        <v>10</v>
      </c>
    </row>
    <row r="3212" spans="1:8" x14ac:dyDescent="0.25">
      <c r="A3212" s="73">
        <v>44773</v>
      </c>
      <c r="B3212" s="74" t="s">
        <v>24593</v>
      </c>
      <c r="C3212" s="75" t="s">
        <v>24284</v>
      </c>
      <c r="D3212" s="81">
        <v>1705.2</v>
      </c>
      <c r="E3212" s="151">
        <v>44773</v>
      </c>
      <c r="F3212" s="81">
        <v>1705.2</v>
      </c>
      <c r="G3212" s="156">
        <f>Tabla18[[#This Row],[Importe]]-Tabla18[[#This Row],[Pagado]]</f>
        <v>0</v>
      </c>
      <c r="H3212" s="75" t="s">
        <v>10</v>
      </c>
    </row>
    <row r="3213" spans="1:8" x14ac:dyDescent="0.25">
      <c r="A3213" s="148">
        <v>44773</v>
      </c>
      <c r="B3213" s="149" t="s">
        <v>24594</v>
      </c>
      <c r="C3213" s="153" t="s">
        <v>296</v>
      </c>
      <c r="D3213" s="154">
        <v>3594.5</v>
      </c>
      <c r="E3213" s="155">
        <v>44773</v>
      </c>
      <c r="F3213" s="154">
        <v>3594.5</v>
      </c>
      <c r="G3213" s="156">
        <f>Tabla18[[#This Row],[Importe]]-Tabla18[[#This Row],[Pagado]]</f>
        <v>0</v>
      </c>
      <c r="H3213" s="153" t="s">
        <v>10</v>
      </c>
    </row>
    <row r="3214" spans="1:8" x14ac:dyDescent="0.25">
      <c r="A3214" s="73">
        <v>44773</v>
      </c>
      <c r="B3214" s="74" t="s">
        <v>24595</v>
      </c>
      <c r="C3214" s="75" t="s">
        <v>191</v>
      </c>
      <c r="D3214" s="81">
        <v>1067.4000000000001</v>
      </c>
      <c r="E3214" s="151">
        <v>44773</v>
      </c>
      <c r="F3214" s="81">
        <v>1067.4000000000001</v>
      </c>
      <c r="G3214" s="156">
        <f>Tabla18[[#This Row],[Importe]]-Tabla18[[#This Row],[Pagado]]</f>
        <v>0</v>
      </c>
      <c r="H3214" s="75" t="s">
        <v>10</v>
      </c>
    </row>
    <row r="3215" spans="1:8" x14ac:dyDescent="0.25">
      <c r="A3215" s="148">
        <v>44773</v>
      </c>
      <c r="B3215" s="149" t="s">
        <v>24596</v>
      </c>
      <c r="C3215" s="153" t="s">
        <v>67</v>
      </c>
      <c r="D3215" s="154">
        <v>2552.1</v>
      </c>
      <c r="E3215" s="155">
        <v>44773</v>
      </c>
      <c r="F3215" s="154">
        <v>2552.1</v>
      </c>
      <c r="G3215" s="156">
        <f>Tabla18[[#This Row],[Importe]]-Tabla18[[#This Row],[Pagado]]</f>
        <v>0</v>
      </c>
      <c r="H3215" s="153" t="s">
        <v>10</v>
      </c>
    </row>
    <row r="3216" spans="1:8" x14ac:dyDescent="0.25">
      <c r="A3216" s="73">
        <v>44773</v>
      </c>
      <c r="B3216" s="74" t="s">
        <v>24597</v>
      </c>
      <c r="C3216" s="75" t="s">
        <v>244</v>
      </c>
      <c r="D3216" s="81">
        <v>1214.4000000000001</v>
      </c>
      <c r="E3216" s="151">
        <v>44773</v>
      </c>
      <c r="F3216" s="81">
        <v>1214.4000000000001</v>
      </c>
      <c r="G3216" s="156">
        <f>Tabla18[[#This Row],[Importe]]-Tabla18[[#This Row],[Pagado]]</f>
        <v>0</v>
      </c>
      <c r="H3216" s="75" t="s">
        <v>10</v>
      </c>
    </row>
    <row r="3217" spans="1:8" x14ac:dyDescent="0.25">
      <c r="A3217" s="148">
        <v>44773</v>
      </c>
      <c r="B3217" s="149" t="s">
        <v>24598</v>
      </c>
      <c r="C3217" s="153" t="s">
        <v>16</v>
      </c>
      <c r="D3217" s="154">
        <v>2570.4</v>
      </c>
      <c r="E3217" s="155">
        <v>44773</v>
      </c>
      <c r="F3217" s="154">
        <v>2570.4</v>
      </c>
      <c r="G3217" s="156">
        <f>Tabla18[[#This Row],[Importe]]-Tabla18[[#This Row],[Pagado]]</f>
        <v>0</v>
      </c>
      <c r="H3217" s="153" t="s">
        <v>10</v>
      </c>
    </row>
    <row r="3218" spans="1:8" x14ac:dyDescent="0.25">
      <c r="A3218" s="73">
        <v>44773</v>
      </c>
      <c r="B3218" s="74" t="s">
        <v>24599</v>
      </c>
      <c r="C3218" s="75" t="s">
        <v>69</v>
      </c>
      <c r="D3218" s="81">
        <v>2868.8</v>
      </c>
      <c r="E3218" s="151">
        <v>44773</v>
      </c>
      <c r="F3218" s="81">
        <v>2868.8</v>
      </c>
      <c r="G3218" s="156">
        <f>Tabla18[[#This Row],[Importe]]-Tabla18[[#This Row],[Pagado]]</f>
        <v>0</v>
      </c>
      <c r="H3218" s="75" t="s">
        <v>10</v>
      </c>
    </row>
    <row r="3219" spans="1:8" x14ac:dyDescent="0.25">
      <c r="A3219" s="148">
        <v>44773</v>
      </c>
      <c r="B3219" s="149" t="s">
        <v>24600</v>
      </c>
      <c r="C3219" s="153" t="s">
        <v>191</v>
      </c>
      <c r="D3219" s="154">
        <v>850</v>
      </c>
      <c r="E3219" s="155">
        <v>44773</v>
      </c>
      <c r="F3219" s="154">
        <v>850</v>
      </c>
      <c r="G3219" s="156">
        <f>Tabla18[[#This Row],[Importe]]-Tabla18[[#This Row],[Pagado]]</f>
        <v>0</v>
      </c>
      <c r="H3219" s="153" t="s">
        <v>10</v>
      </c>
    </row>
    <row r="3220" spans="1:8" x14ac:dyDescent="0.25">
      <c r="A3220" s="73">
        <v>44773</v>
      </c>
      <c r="B3220" s="74" t="s">
        <v>24601</v>
      </c>
      <c r="C3220" s="75" t="s">
        <v>214</v>
      </c>
      <c r="D3220" s="81">
        <v>1931.4</v>
      </c>
      <c r="E3220" s="151">
        <v>44773</v>
      </c>
      <c r="F3220" s="81">
        <v>1931.4</v>
      </c>
      <c r="G3220" s="156">
        <f>Tabla18[[#This Row],[Importe]]-Tabla18[[#This Row],[Pagado]]</f>
        <v>0</v>
      </c>
      <c r="H3220" s="75" t="s">
        <v>10</v>
      </c>
    </row>
    <row r="3221" spans="1:8" x14ac:dyDescent="0.25">
      <c r="A3221" s="148">
        <v>44773</v>
      </c>
      <c r="B3221" s="149" t="s">
        <v>24602</v>
      </c>
      <c r="C3221" s="153" t="s">
        <v>31</v>
      </c>
      <c r="D3221" s="154">
        <v>1693.2</v>
      </c>
      <c r="E3221" s="155">
        <v>44773</v>
      </c>
      <c r="F3221" s="154">
        <v>1693.2</v>
      </c>
      <c r="G3221" s="156">
        <f>Tabla18[[#This Row],[Importe]]-Tabla18[[#This Row],[Pagado]]</f>
        <v>0</v>
      </c>
      <c r="H3221" s="153" t="s">
        <v>10</v>
      </c>
    </row>
    <row r="3222" spans="1:8" x14ac:dyDescent="0.25">
      <c r="A3222" s="73">
        <v>44773</v>
      </c>
      <c r="B3222" s="74" t="s">
        <v>24603</v>
      </c>
      <c r="C3222" s="75" t="s">
        <v>31</v>
      </c>
      <c r="D3222" s="81">
        <v>6838.2</v>
      </c>
      <c r="E3222" s="151">
        <v>44773</v>
      </c>
      <c r="F3222" s="81">
        <v>6838.2</v>
      </c>
      <c r="G3222" s="156">
        <f>Tabla18[[#This Row],[Importe]]-Tabla18[[#This Row],[Pagado]]</f>
        <v>0</v>
      </c>
      <c r="H3222" s="75" t="s">
        <v>10</v>
      </c>
    </row>
    <row r="3223" spans="1:8" x14ac:dyDescent="0.25">
      <c r="A3223" s="148">
        <v>44773</v>
      </c>
      <c r="B3223" s="149" t="s">
        <v>24604</v>
      </c>
      <c r="C3223" s="153" t="s">
        <v>296</v>
      </c>
      <c r="D3223" s="154">
        <v>2182.6</v>
      </c>
      <c r="E3223" s="155">
        <v>44773</v>
      </c>
      <c r="F3223" s="154">
        <v>2182.6</v>
      </c>
      <c r="G3223" s="156">
        <f>Tabla18[[#This Row],[Importe]]-Tabla18[[#This Row],[Pagado]]</f>
        <v>0</v>
      </c>
      <c r="H3223" s="153" t="s">
        <v>10</v>
      </c>
    </row>
    <row r="3224" spans="1:8" x14ac:dyDescent="0.25">
      <c r="A3224" s="73">
        <v>44773</v>
      </c>
      <c r="B3224" s="74" t="s">
        <v>24605</v>
      </c>
      <c r="C3224" s="75" t="s">
        <v>24606</v>
      </c>
      <c r="D3224" s="81">
        <v>687.3</v>
      </c>
      <c r="E3224" s="151">
        <v>44773</v>
      </c>
      <c r="F3224" s="81">
        <v>687.3</v>
      </c>
      <c r="G3224" s="156">
        <f>Tabla18[[#This Row],[Importe]]-Tabla18[[#This Row],[Pagado]]</f>
        <v>0</v>
      </c>
      <c r="H3224" s="75" t="s">
        <v>10</v>
      </c>
    </row>
    <row r="3225" spans="1:8" x14ac:dyDescent="0.25">
      <c r="A3225" s="148">
        <v>44773</v>
      </c>
      <c r="B3225" s="149" t="s">
        <v>24607</v>
      </c>
      <c r="C3225" s="153" t="s">
        <v>2377</v>
      </c>
      <c r="D3225" s="154">
        <v>16876</v>
      </c>
      <c r="E3225" s="155">
        <v>44773</v>
      </c>
      <c r="F3225" s="154">
        <v>16876</v>
      </c>
      <c r="G3225" s="156">
        <f>Tabla18[[#This Row],[Importe]]-Tabla18[[#This Row],[Pagado]]</f>
        <v>0</v>
      </c>
      <c r="H3225" s="153" t="s">
        <v>10</v>
      </c>
    </row>
    <row r="3226" spans="1:8" x14ac:dyDescent="0.25">
      <c r="A3226" s="73">
        <v>44773</v>
      </c>
      <c r="B3226" s="74" t="s">
        <v>24608</v>
      </c>
      <c r="C3226" s="75" t="s">
        <v>226</v>
      </c>
      <c r="D3226" s="81">
        <v>25661</v>
      </c>
      <c r="E3226" s="151">
        <v>44773</v>
      </c>
      <c r="F3226" s="81">
        <v>25661</v>
      </c>
      <c r="G3226" s="156">
        <f>Tabla18[[#This Row],[Importe]]-Tabla18[[#This Row],[Pagado]]</f>
        <v>0</v>
      </c>
      <c r="H3226" s="75" t="s">
        <v>10</v>
      </c>
    </row>
    <row r="3227" spans="1:8" x14ac:dyDescent="0.25">
      <c r="A3227" s="148">
        <v>44773</v>
      </c>
      <c r="B3227" s="149" t="s">
        <v>24609</v>
      </c>
      <c r="C3227" s="153" t="s">
        <v>450</v>
      </c>
      <c r="D3227" s="154">
        <v>15128.4</v>
      </c>
      <c r="E3227" s="155">
        <v>44773</v>
      </c>
      <c r="F3227" s="154">
        <v>15128.4</v>
      </c>
      <c r="G3227" s="156">
        <f>Tabla18[[#This Row],[Importe]]-Tabla18[[#This Row],[Pagado]]</f>
        <v>0</v>
      </c>
      <c r="H3227" s="153" t="s">
        <v>10</v>
      </c>
    </row>
    <row r="3228" spans="1:8" x14ac:dyDescent="0.25">
      <c r="A3228" s="73">
        <v>44773</v>
      </c>
      <c r="B3228" s="74" t="s">
        <v>24610</v>
      </c>
      <c r="C3228" s="75" t="s">
        <v>371</v>
      </c>
      <c r="D3228" s="81">
        <v>14853.9</v>
      </c>
      <c r="E3228" s="151">
        <v>44773</v>
      </c>
      <c r="F3228" s="81">
        <v>14853.9</v>
      </c>
      <c r="G3228" s="156">
        <f>Tabla18[[#This Row],[Importe]]-Tabla18[[#This Row],[Pagado]]</f>
        <v>0</v>
      </c>
      <c r="H3228" s="75" t="s">
        <v>10</v>
      </c>
    </row>
    <row r="3229" spans="1:8" x14ac:dyDescent="0.25">
      <c r="A3229" s="148">
        <v>44773</v>
      </c>
      <c r="B3229" s="149" t="s">
        <v>24611</v>
      </c>
      <c r="C3229" s="153" t="s">
        <v>191</v>
      </c>
      <c r="D3229" s="154">
        <v>722.7</v>
      </c>
      <c r="E3229" s="155">
        <v>44773</v>
      </c>
      <c r="F3229" s="154">
        <v>722.7</v>
      </c>
      <c r="G3229" s="156">
        <f>Tabla18[[#This Row],[Importe]]-Tabla18[[#This Row],[Pagado]]</f>
        <v>0</v>
      </c>
      <c r="H3229" s="153" t="s">
        <v>10</v>
      </c>
    </row>
    <row r="3230" spans="1:8" x14ac:dyDescent="0.25">
      <c r="A3230" s="73">
        <v>44773</v>
      </c>
      <c r="B3230" s="74" t="s">
        <v>24612</v>
      </c>
      <c r="C3230" s="75" t="s">
        <v>67</v>
      </c>
      <c r="D3230" s="81">
        <v>1201.2</v>
      </c>
      <c r="E3230" s="151">
        <v>44773</v>
      </c>
      <c r="F3230" s="81">
        <v>1201.2</v>
      </c>
      <c r="G3230" s="156">
        <f>Tabla18[[#This Row],[Importe]]-Tabla18[[#This Row],[Pagado]]</f>
        <v>0</v>
      </c>
      <c r="H3230" s="75" t="s">
        <v>10</v>
      </c>
    </row>
    <row r="3231" spans="1:8" ht="16.5" thickBot="1" x14ac:dyDescent="0.3">
      <c r="A3231" s="169"/>
      <c r="B3231" s="170"/>
      <c r="C3231" s="171"/>
      <c r="D3231" s="172">
        <v>0</v>
      </c>
      <c r="E3231" s="173"/>
      <c r="F3231" s="172">
        <v>0</v>
      </c>
      <c r="G3231" s="174">
        <f>Tabla18[[#This Row],[Importe]]-Tabla18[[#This Row],[Pagado]]</f>
        <v>0</v>
      </c>
      <c r="H3231" s="171"/>
    </row>
    <row r="3232" spans="1:8" ht="16.5" thickTop="1" x14ac:dyDescent="0.25">
      <c r="A3232" s="163"/>
      <c r="B3232" s="164"/>
      <c r="C3232" s="165"/>
      <c r="D3232" s="166">
        <f>SUBTOTAL(109,D2:D3231)</f>
        <v>38864350.759999983</v>
      </c>
      <c r="E3232" s="167"/>
      <c r="F3232" s="166">
        <f>SUBTOTAL(109,F2:F3231)</f>
        <v>37069423.699999973</v>
      </c>
      <c r="G3232" s="168">
        <f>Tabla18[[#This Row],[Importe]]-Tabla18[[#This Row],[Pagado]]</f>
        <v>1794927.0600000098</v>
      </c>
      <c r="H3232" s="165"/>
    </row>
    <row r="3236" spans="4:6" ht="16.5" thickBot="1" x14ac:dyDescent="0.3"/>
    <row r="3237" spans="4:6" x14ac:dyDescent="0.25">
      <c r="D3237" s="230" t="s">
        <v>24613</v>
      </c>
      <c r="E3237" s="226">
        <f>D3232-F3232</f>
        <v>1794927.0600000098</v>
      </c>
      <c r="F3237" s="227"/>
    </row>
    <row r="3238" spans="4:6" ht="16.5" thickBot="1" x14ac:dyDescent="0.3">
      <c r="D3238" s="231"/>
      <c r="E3238" s="228"/>
      <c r="F3238" s="229"/>
    </row>
  </sheetData>
  <mergeCells count="2">
    <mergeCell ref="E3237:F3238"/>
    <mergeCell ref="D3237:D323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H3228"/>
  <sheetViews>
    <sheetView tabSelected="1" zoomScale="115" zoomScaleNormal="115" workbookViewId="0">
      <pane xSplit="2" ySplit="1" topLeftCell="D3206" activePane="bottomRight" state="frozen"/>
      <selection pane="topRight" activeCell="C1" sqref="C1"/>
      <selection pane="bottomLeft" activeCell="A2" sqref="A2"/>
      <selection pane="bottomRight" activeCell="F3219" sqref="F3219"/>
    </sheetView>
  </sheetViews>
  <sheetFormatPr baseColWidth="10" defaultRowHeight="15.75" x14ac:dyDescent="0.25"/>
  <cols>
    <col min="1" max="1" width="15.5703125" style="31" customWidth="1"/>
    <col min="2" max="2" width="13" style="32" bestFit="1" customWidth="1"/>
    <col min="3" max="3" width="50.140625" style="33" bestFit="1" customWidth="1"/>
    <col min="4" max="4" width="19.28515625" style="34" customWidth="1"/>
    <col min="5" max="5" width="17.7109375" style="31" customWidth="1"/>
    <col min="6" max="6" width="16.7109375" style="34" customWidth="1"/>
    <col min="7" max="7" width="21" style="36" customWidth="1"/>
    <col min="8" max="8" width="19.28515625" style="33" customWidth="1"/>
    <col min="9" max="16384" width="11.42578125" style="33"/>
  </cols>
  <sheetData>
    <row r="1" spans="1:8" x14ac:dyDescent="0.25">
      <c r="A1" s="31" t="s">
        <v>0</v>
      </c>
      <c r="B1" s="32" t="s">
        <v>1</v>
      </c>
      <c r="C1" s="32" t="s">
        <v>2</v>
      </c>
      <c r="D1" s="52" t="s">
        <v>3</v>
      </c>
      <c r="E1" s="31" t="s">
        <v>4</v>
      </c>
      <c r="F1" s="52" t="s">
        <v>5</v>
      </c>
      <c r="G1" s="180" t="s">
        <v>6</v>
      </c>
      <c r="H1" s="32" t="s">
        <v>7</v>
      </c>
    </row>
    <row r="2" spans="1:8" x14ac:dyDescent="0.25">
      <c r="A2" s="73">
        <v>44774</v>
      </c>
      <c r="B2" s="74" t="s">
        <v>24633</v>
      </c>
      <c r="C2" s="75" t="s">
        <v>887</v>
      </c>
      <c r="D2" s="176">
        <v>15312</v>
      </c>
      <c r="E2" s="151">
        <v>44774</v>
      </c>
      <c r="F2" s="176">
        <v>15312</v>
      </c>
      <c r="G2" s="177">
        <f>Tabla19[[#This Row],[Importe]]-Tabla19[[#This Row],[Pagado]]</f>
        <v>0</v>
      </c>
      <c r="H2" s="75" t="s">
        <v>10</v>
      </c>
    </row>
    <row r="3" spans="1:8" x14ac:dyDescent="0.25">
      <c r="A3" s="148">
        <v>44774</v>
      </c>
      <c r="B3" s="149" t="s">
        <v>24634</v>
      </c>
      <c r="C3" s="153" t="s">
        <v>20</v>
      </c>
      <c r="D3" s="178">
        <v>2148.8000000000002</v>
      </c>
      <c r="E3" s="155">
        <v>44774</v>
      </c>
      <c r="F3" s="178">
        <v>2148.8000000000002</v>
      </c>
      <c r="G3" s="179">
        <f>Tabla19[[#This Row],[Importe]]-Tabla19[[#This Row],[Pagado]]</f>
        <v>0</v>
      </c>
      <c r="H3" s="153" t="s">
        <v>10</v>
      </c>
    </row>
    <row r="4" spans="1:8" ht="31.5" x14ac:dyDescent="0.25">
      <c r="A4" s="73">
        <v>44774</v>
      </c>
      <c r="B4" s="74" t="s">
        <v>24635</v>
      </c>
      <c r="C4" s="75" t="s">
        <v>475</v>
      </c>
      <c r="D4" s="176">
        <v>116629.3</v>
      </c>
      <c r="E4" s="147" t="s">
        <v>24636</v>
      </c>
      <c r="F4" s="176">
        <f>105000+11629.3</f>
        <v>116629.3</v>
      </c>
      <c r="G4" s="177">
        <f>Tabla19[[#This Row],[Importe]]-Tabla19[[#This Row],[Pagado]]</f>
        <v>0</v>
      </c>
      <c r="H4" s="75" t="s">
        <v>10</v>
      </c>
    </row>
    <row r="5" spans="1:8" x14ac:dyDescent="0.25">
      <c r="A5" s="148">
        <v>44774</v>
      </c>
      <c r="B5" s="149" t="s">
        <v>24637</v>
      </c>
      <c r="C5" s="153" t="s">
        <v>95</v>
      </c>
      <c r="D5" s="178">
        <v>17914.400000000001</v>
      </c>
      <c r="E5" s="155">
        <v>44774</v>
      </c>
      <c r="F5" s="178">
        <v>17914.400000000001</v>
      </c>
      <c r="G5" s="179">
        <f>Tabla19[[#This Row],[Importe]]-Tabla19[[#This Row],[Pagado]]</f>
        <v>0</v>
      </c>
      <c r="H5" s="153" t="s">
        <v>10</v>
      </c>
    </row>
    <row r="6" spans="1:8" x14ac:dyDescent="0.25">
      <c r="A6" s="73">
        <v>44774</v>
      </c>
      <c r="B6" s="74" t="s">
        <v>24638</v>
      </c>
      <c r="C6" s="75" t="s">
        <v>18</v>
      </c>
      <c r="D6" s="176">
        <v>1801.2</v>
      </c>
      <c r="E6" s="151">
        <v>44774</v>
      </c>
      <c r="F6" s="176">
        <v>1801.2</v>
      </c>
      <c r="G6" s="177">
        <f>Tabla19[[#This Row],[Importe]]-Tabla19[[#This Row],[Pagado]]</f>
        <v>0</v>
      </c>
      <c r="H6" s="75" t="s">
        <v>10</v>
      </c>
    </row>
    <row r="7" spans="1:8" x14ac:dyDescent="0.25">
      <c r="A7" s="148">
        <v>44774</v>
      </c>
      <c r="B7" s="149" t="s">
        <v>24639</v>
      </c>
      <c r="C7" s="153" t="s">
        <v>111</v>
      </c>
      <c r="D7" s="178">
        <v>5779.2</v>
      </c>
      <c r="E7" s="155">
        <v>44775</v>
      </c>
      <c r="F7" s="178">
        <v>5779.2</v>
      </c>
      <c r="G7" s="179">
        <f>Tabla19[[#This Row],[Importe]]-Tabla19[[#This Row],[Pagado]]</f>
        <v>0</v>
      </c>
      <c r="H7" s="153" t="s">
        <v>10</v>
      </c>
    </row>
    <row r="8" spans="1:8" x14ac:dyDescent="0.25">
      <c r="A8" s="73">
        <v>44774</v>
      </c>
      <c r="B8" s="74" t="s">
        <v>24640</v>
      </c>
      <c r="C8" s="75" t="s">
        <v>64</v>
      </c>
      <c r="D8" s="176">
        <v>5161.2</v>
      </c>
      <c r="E8" s="151">
        <v>44775</v>
      </c>
      <c r="F8" s="176">
        <v>5161.2</v>
      </c>
      <c r="G8" s="177">
        <f>Tabla19[[#This Row],[Importe]]-Tabla19[[#This Row],[Pagado]]</f>
        <v>0</v>
      </c>
      <c r="H8" s="75" t="s">
        <v>10</v>
      </c>
    </row>
    <row r="9" spans="1:8" x14ac:dyDescent="0.25">
      <c r="A9" s="148">
        <v>44774</v>
      </c>
      <c r="B9" s="149" t="s">
        <v>24641</v>
      </c>
      <c r="C9" s="153" t="s">
        <v>60</v>
      </c>
      <c r="D9" s="178">
        <v>5082</v>
      </c>
      <c r="E9" s="155">
        <v>44780</v>
      </c>
      <c r="F9" s="178">
        <v>5082</v>
      </c>
      <c r="G9" s="179">
        <f>Tabla19[[#This Row],[Importe]]-Tabla19[[#This Row],[Pagado]]</f>
        <v>0</v>
      </c>
      <c r="H9" s="153" t="s">
        <v>10</v>
      </c>
    </row>
    <row r="10" spans="1:8" x14ac:dyDescent="0.25">
      <c r="A10" s="73">
        <v>44774</v>
      </c>
      <c r="B10" s="74" t="s">
        <v>24642</v>
      </c>
      <c r="C10" s="75" t="s">
        <v>114</v>
      </c>
      <c r="D10" s="176">
        <v>11456</v>
      </c>
      <c r="E10" s="151">
        <v>44775</v>
      </c>
      <c r="F10" s="176">
        <v>11456</v>
      </c>
      <c r="G10" s="177">
        <f>Tabla19[[#This Row],[Importe]]-Tabla19[[#This Row],[Pagado]]</f>
        <v>0</v>
      </c>
      <c r="H10" s="75" t="s">
        <v>10</v>
      </c>
    </row>
    <row r="11" spans="1:8" x14ac:dyDescent="0.25">
      <c r="A11" s="148">
        <v>44774</v>
      </c>
      <c r="B11" s="149" t="s">
        <v>24643</v>
      </c>
      <c r="C11" s="153" t="s">
        <v>2563</v>
      </c>
      <c r="D11" s="178">
        <v>5181</v>
      </c>
      <c r="E11" s="155">
        <v>44775</v>
      </c>
      <c r="F11" s="178">
        <v>5181</v>
      </c>
      <c r="G11" s="179">
        <f>Tabla19[[#This Row],[Importe]]-Tabla19[[#This Row],[Pagado]]</f>
        <v>0</v>
      </c>
      <c r="H11" s="153" t="s">
        <v>10</v>
      </c>
    </row>
    <row r="12" spans="1:8" ht="31.5" x14ac:dyDescent="0.25">
      <c r="A12" s="73">
        <v>44774</v>
      </c>
      <c r="B12" s="74" t="s">
        <v>24644</v>
      </c>
      <c r="C12" s="75" t="s">
        <v>97</v>
      </c>
      <c r="D12" s="176">
        <v>10058.4</v>
      </c>
      <c r="E12" s="147" t="s">
        <v>24645</v>
      </c>
      <c r="F12" s="176">
        <f>9000+1058.4</f>
        <v>10058.4</v>
      </c>
      <c r="G12" s="177">
        <f>Tabla19[[#This Row],[Importe]]-Tabla19[[#This Row],[Pagado]]</f>
        <v>0</v>
      </c>
      <c r="H12" s="75" t="s">
        <v>10</v>
      </c>
    </row>
    <row r="13" spans="1:8" x14ac:dyDescent="0.25">
      <c r="A13" s="148">
        <v>44774</v>
      </c>
      <c r="B13" s="149" t="s">
        <v>24646</v>
      </c>
      <c r="C13" s="153" t="s">
        <v>348</v>
      </c>
      <c r="D13" s="178">
        <v>5293.3</v>
      </c>
      <c r="E13" s="155">
        <v>44774</v>
      </c>
      <c r="F13" s="178">
        <v>5293.3</v>
      </c>
      <c r="G13" s="179">
        <f>Tabla19[[#This Row],[Importe]]-Tabla19[[#This Row],[Pagado]]</f>
        <v>0</v>
      </c>
      <c r="H13" s="153" t="s">
        <v>10</v>
      </c>
    </row>
    <row r="14" spans="1:8" x14ac:dyDescent="0.25">
      <c r="A14" s="73">
        <v>44774</v>
      </c>
      <c r="B14" s="74" t="s">
        <v>24647</v>
      </c>
      <c r="C14" s="75" t="s">
        <v>105</v>
      </c>
      <c r="D14" s="176">
        <v>8208.5</v>
      </c>
      <c r="E14" s="151">
        <v>44775</v>
      </c>
      <c r="F14" s="176">
        <v>8208.5</v>
      </c>
      <c r="G14" s="177">
        <f>Tabla19[[#This Row],[Importe]]-Tabla19[[#This Row],[Pagado]]</f>
        <v>0</v>
      </c>
      <c r="H14" s="75" t="s">
        <v>10</v>
      </c>
    </row>
    <row r="15" spans="1:8" x14ac:dyDescent="0.25">
      <c r="A15" s="148">
        <v>44774</v>
      </c>
      <c r="B15" s="149" t="s">
        <v>24648</v>
      </c>
      <c r="C15" s="153" t="s">
        <v>89</v>
      </c>
      <c r="D15" s="178">
        <v>12797</v>
      </c>
      <c r="E15" s="155">
        <v>44775</v>
      </c>
      <c r="F15" s="178">
        <v>12797</v>
      </c>
      <c r="G15" s="179">
        <f>Tabla19[[#This Row],[Importe]]-Tabla19[[#This Row],[Pagado]]</f>
        <v>0</v>
      </c>
      <c r="H15" s="153" t="s">
        <v>10</v>
      </c>
    </row>
    <row r="16" spans="1:8" x14ac:dyDescent="0.25">
      <c r="A16" s="73">
        <v>44774</v>
      </c>
      <c r="B16" s="74" t="s">
        <v>24649</v>
      </c>
      <c r="C16" s="75" t="s">
        <v>2151</v>
      </c>
      <c r="D16" s="176">
        <v>25350.5</v>
      </c>
      <c r="E16" s="151">
        <v>44774</v>
      </c>
      <c r="F16" s="176">
        <v>25350.5</v>
      </c>
      <c r="G16" s="177">
        <f>Tabla19[[#This Row],[Importe]]-Tabla19[[#This Row],[Pagado]]</f>
        <v>0</v>
      </c>
      <c r="H16" s="75" t="s">
        <v>10</v>
      </c>
    </row>
    <row r="17" spans="1:8" x14ac:dyDescent="0.25">
      <c r="A17" s="148">
        <v>44774</v>
      </c>
      <c r="B17" s="149" t="s">
        <v>24650</v>
      </c>
      <c r="C17" s="153" t="s">
        <v>75</v>
      </c>
      <c r="D17" s="178">
        <v>9717.9</v>
      </c>
      <c r="E17" s="155">
        <v>44774</v>
      </c>
      <c r="F17" s="178">
        <v>9717.9</v>
      </c>
      <c r="G17" s="179">
        <f>Tabla19[[#This Row],[Importe]]-Tabla19[[#This Row],[Pagado]]</f>
        <v>0</v>
      </c>
      <c r="H17" s="153" t="s">
        <v>10</v>
      </c>
    </row>
    <row r="18" spans="1:8" x14ac:dyDescent="0.25">
      <c r="A18" s="73">
        <v>44774</v>
      </c>
      <c r="B18" s="74" t="s">
        <v>24651</v>
      </c>
      <c r="C18" s="75" t="s">
        <v>353</v>
      </c>
      <c r="D18" s="176">
        <v>660</v>
      </c>
      <c r="E18" s="151">
        <v>44774</v>
      </c>
      <c r="F18" s="176">
        <v>660</v>
      </c>
      <c r="G18" s="177">
        <f>Tabla19[[#This Row],[Importe]]-Tabla19[[#This Row],[Pagado]]</f>
        <v>0</v>
      </c>
      <c r="H18" s="75" t="s">
        <v>10</v>
      </c>
    </row>
    <row r="19" spans="1:8" x14ac:dyDescent="0.25">
      <c r="A19" s="148">
        <v>44774</v>
      </c>
      <c r="B19" s="149" t="s">
        <v>24652</v>
      </c>
      <c r="C19" s="153" t="s">
        <v>87</v>
      </c>
      <c r="D19" s="178">
        <v>4149.8</v>
      </c>
      <c r="E19" s="155">
        <v>44774</v>
      </c>
      <c r="F19" s="178">
        <v>4149.8</v>
      </c>
      <c r="G19" s="179">
        <f>Tabla19[[#This Row],[Importe]]-Tabla19[[#This Row],[Pagado]]</f>
        <v>0</v>
      </c>
      <c r="H19" s="153" t="s">
        <v>10</v>
      </c>
    </row>
    <row r="20" spans="1:8" x14ac:dyDescent="0.25">
      <c r="A20" s="73">
        <v>44774</v>
      </c>
      <c r="B20" s="74" t="s">
        <v>24653</v>
      </c>
      <c r="C20" s="75" t="s">
        <v>20182</v>
      </c>
      <c r="D20" s="176">
        <v>0</v>
      </c>
      <c r="E20" s="157" t="s">
        <v>189</v>
      </c>
      <c r="F20" s="176">
        <v>0</v>
      </c>
      <c r="G20" s="177">
        <f>Tabla19[[#This Row],[Importe]]-Tabla19[[#This Row],[Pagado]]</f>
        <v>0</v>
      </c>
      <c r="H20" s="161" t="s">
        <v>24654</v>
      </c>
    </row>
    <row r="21" spans="1:8" x14ac:dyDescent="0.25">
      <c r="A21" s="148">
        <v>44774</v>
      </c>
      <c r="B21" s="149" t="s">
        <v>24655</v>
      </c>
      <c r="C21" s="153" t="s">
        <v>83</v>
      </c>
      <c r="D21" s="178">
        <v>10214</v>
      </c>
      <c r="E21" s="155">
        <v>44774</v>
      </c>
      <c r="F21" s="178">
        <v>10214</v>
      </c>
      <c r="G21" s="179">
        <f>Tabla19[[#This Row],[Importe]]-Tabla19[[#This Row],[Pagado]]</f>
        <v>0</v>
      </c>
      <c r="H21" s="153" t="s">
        <v>10</v>
      </c>
    </row>
    <row r="22" spans="1:8" x14ac:dyDescent="0.25">
      <c r="A22" s="73">
        <v>44774</v>
      </c>
      <c r="B22" s="74" t="s">
        <v>24656</v>
      </c>
      <c r="C22" s="75" t="s">
        <v>9</v>
      </c>
      <c r="D22" s="176">
        <v>8094.7</v>
      </c>
      <c r="E22" s="151">
        <v>44774</v>
      </c>
      <c r="F22" s="176">
        <v>8094.7</v>
      </c>
      <c r="G22" s="177">
        <f>Tabla19[[#This Row],[Importe]]-Tabla19[[#This Row],[Pagado]]</f>
        <v>0</v>
      </c>
      <c r="H22" s="75" t="s">
        <v>10</v>
      </c>
    </row>
    <row r="23" spans="1:8" x14ac:dyDescent="0.25">
      <c r="A23" s="148">
        <v>44774</v>
      </c>
      <c r="B23" s="149" t="s">
        <v>24657</v>
      </c>
      <c r="C23" s="153" t="s">
        <v>484</v>
      </c>
      <c r="D23" s="178">
        <v>7807.8</v>
      </c>
      <c r="E23" s="155">
        <v>44774</v>
      </c>
      <c r="F23" s="178">
        <v>7807.8</v>
      </c>
      <c r="G23" s="179">
        <f>Tabla19[[#This Row],[Importe]]-Tabla19[[#This Row],[Pagado]]</f>
        <v>0</v>
      </c>
      <c r="H23" s="153" t="s">
        <v>10</v>
      </c>
    </row>
    <row r="24" spans="1:8" x14ac:dyDescent="0.25">
      <c r="A24" s="73">
        <v>44774</v>
      </c>
      <c r="B24" s="74" t="s">
        <v>24658</v>
      </c>
      <c r="C24" s="75" t="s">
        <v>1187</v>
      </c>
      <c r="D24" s="176">
        <v>1185.4000000000001</v>
      </c>
      <c r="E24" s="151">
        <v>44774</v>
      </c>
      <c r="F24" s="176">
        <v>1185.4000000000001</v>
      </c>
      <c r="G24" s="177">
        <f>Tabla19[[#This Row],[Importe]]-Tabla19[[#This Row],[Pagado]]</f>
        <v>0</v>
      </c>
      <c r="H24" s="75" t="s">
        <v>10</v>
      </c>
    </row>
    <row r="25" spans="1:8" x14ac:dyDescent="0.25">
      <c r="A25" s="148">
        <v>44774</v>
      </c>
      <c r="B25" s="149" t="s">
        <v>24659</v>
      </c>
      <c r="C25" s="153" t="s">
        <v>212</v>
      </c>
      <c r="D25" s="178">
        <v>46764.4</v>
      </c>
      <c r="E25" s="155">
        <v>44776</v>
      </c>
      <c r="F25" s="178">
        <v>46764.4</v>
      </c>
      <c r="G25" s="179">
        <f>Tabla19[[#This Row],[Importe]]-Tabla19[[#This Row],[Pagado]]</f>
        <v>0</v>
      </c>
      <c r="H25" s="153" t="s">
        <v>10</v>
      </c>
    </row>
    <row r="26" spans="1:8" x14ac:dyDescent="0.25">
      <c r="A26" s="73">
        <v>44774</v>
      </c>
      <c r="B26" s="74" t="s">
        <v>24660</v>
      </c>
      <c r="C26" s="75" t="s">
        <v>275</v>
      </c>
      <c r="D26" s="176">
        <v>37385.040000000001</v>
      </c>
      <c r="E26" s="151">
        <v>44792</v>
      </c>
      <c r="F26" s="176">
        <v>37385.040000000001</v>
      </c>
      <c r="G26" s="177">
        <f>Tabla19[[#This Row],[Importe]]-Tabla19[[#This Row],[Pagado]]</f>
        <v>0</v>
      </c>
      <c r="H26" s="75" t="s">
        <v>10</v>
      </c>
    </row>
    <row r="27" spans="1:8" x14ac:dyDescent="0.25">
      <c r="A27" s="148">
        <v>44774</v>
      </c>
      <c r="B27" s="149" t="s">
        <v>24661</v>
      </c>
      <c r="C27" s="153" t="s">
        <v>146</v>
      </c>
      <c r="D27" s="178">
        <v>3517.4</v>
      </c>
      <c r="E27" s="155">
        <v>44774</v>
      </c>
      <c r="F27" s="178">
        <v>3517.4</v>
      </c>
      <c r="G27" s="179">
        <f>Tabla19[[#This Row],[Importe]]-Tabla19[[#This Row],[Pagado]]</f>
        <v>0</v>
      </c>
      <c r="H27" s="153" t="s">
        <v>10</v>
      </c>
    </row>
    <row r="28" spans="1:8" ht="31.5" x14ac:dyDescent="0.25">
      <c r="A28" s="73">
        <v>44774</v>
      </c>
      <c r="B28" s="74" t="s">
        <v>24662</v>
      </c>
      <c r="C28" s="75" t="s">
        <v>22</v>
      </c>
      <c r="D28" s="176">
        <v>48765.3</v>
      </c>
      <c r="E28" s="147" t="s">
        <v>24645</v>
      </c>
      <c r="F28" s="176">
        <f>39000+9765.3</f>
        <v>48765.3</v>
      </c>
      <c r="G28" s="177">
        <f>Tabla19[[#This Row],[Importe]]-Tabla19[[#This Row],[Pagado]]</f>
        <v>0</v>
      </c>
      <c r="H28" s="75" t="s">
        <v>10</v>
      </c>
    </row>
    <row r="29" spans="1:8" x14ac:dyDescent="0.25">
      <c r="A29" s="148">
        <v>44774</v>
      </c>
      <c r="B29" s="149" t="s">
        <v>24663</v>
      </c>
      <c r="C29" s="153" t="s">
        <v>11033</v>
      </c>
      <c r="D29" s="178">
        <v>1943.4</v>
      </c>
      <c r="E29" s="155">
        <v>44774</v>
      </c>
      <c r="F29" s="178">
        <v>1943.4</v>
      </c>
      <c r="G29" s="179">
        <f>Tabla19[[#This Row],[Importe]]-Tabla19[[#This Row],[Pagado]]</f>
        <v>0</v>
      </c>
      <c r="H29" s="153" t="s">
        <v>10</v>
      </c>
    </row>
    <row r="30" spans="1:8" x14ac:dyDescent="0.25">
      <c r="A30" s="73">
        <v>44774</v>
      </c>
      <c r="B30" s="74" t="s">
        <v>24664</v>
      </c>
      <c r="C30" s="75" t="s">
        <v>161</v>
      </c>
      <c r="D30" s="176">
        <v>4442.8999999999996</v>
      </c>
      <c r="E30" s="151">
        <v>44774</v>
      </c>
      <c r="F30" s="176">
        <v>4442.8999999999996</v>
      </c>
      <c r="G30" s="177">
        <f>Tabla19[[#This Row],[Importe]]-Tabla19[[#This Row],[Pagado]]</f>
        <v>0</v>
      </c>
      <c r="H30" s="75" t="s">
        <v>10</v>
      </c>
    </row>
    <row r="31" spans="1:8" x14ac:dyDescent="0.25">
      <c r="A31" s="148">
        <v>44774</v>
      </c>
      <c r="B31" s="149" t="s">
        <v>24665</v>
      </c>
      <c r="C31" s="153" t="s">
        <v>49</v>
      </c>
      <c r="D31" s="178">
        <v>4175.2</v>
      </c>
      <c r="E31" s="155">
        <v>44774</v>
      </c>
      <c r="F31" s="178">
        <v>4175.2</v>
      </c>
      <c r="G31" s="179">
        <f>Tabla19[[#This Row],[Importe]]-Tabla19[[#This Row],[Pagado]]</f>
        <v>0</v>
      </c>
      <c r="H31" s="153" t="s">
        <v>10</v>
      </c>
    </row>
    <row r="32" spans="1:8" x14ac:dyDescent="0.25">
      <c r="A32" s="73">
        <v>44774</v>
      </c>
      <c r="B32" s="74" t="s">
        <v>24666</v>
      </c>
      <c r="C32" s="75" t="s">
        <v>27</v>
      </c>
      <c r="D32" s="176">
        <v>2770.2</v>
      </c>
      <c r="E32" s="151">
        <v>44774</v>
      </c>
      <c r="F32" s="176">
        <v>2770.2</v>
      </c>
      <c r="G32" s="177">
        <f>Tabla19[[#This Row],[Importe]]-Tabla19[[#This Row],[Pagado]]</f>
        <v>0</v>
      </c>
      <c r="H32" s="75" t="s">
        <v>10</v>
      </c>
    </row>
    <row r="33" spans="1:8" x14ac:dyDescent="0.25">
      <c r="A33" s="148">
        <v>44774</v>
      </c>
      <c r="B33" s="149" t="s">
        <v>24667</v>
      </c>
      <c r="C33" s="153" t="s">
        <v>208</v>
      </c>
      <c r="D33" s="178">
        <v>16993.7</v>
      </c>
      <c r="E33" s="155">
        <v>44782</v>
      </c>
      <c r="F33" s="178">
        <v>16993.7</v>
      </c>
      <c r="G33" s="179">
        <f>Tabla19[[#This Row],[Importe]]-Tabla19[[#This Row],[Pagado]]</f>
        <v>0</v>
      </c>
      <c r="H33" s="153" t="s">
        <v>10</v>
      </c>
    </row>
    <row r="34" spans="1:8" x14ac:dyDescent="0.25">
      <c r="A34" s="73">
        <v>44774</v>
      </c>
      <c r="B34" s="74" t="s">
        <v>24668</v>
      </c>
      <c r="C34" s="75" t="s">
        <v>196</v>
      </c>
      <c r="D34" s="176">
        <v>91101.64</v>
      </c>
      <c r="E34" s="151">
        <v>44778</v>
      </c>
      <c r="F34" s="176">
        <v>91101.64</v>
      </c>
      <c r="G34" s="177">
        <f>Tabla19[[#This Row],[Importe]]-Tabla19[[#This Row],[Pagado]]</f>
        <v>0</v>
      </c>
      <c r="H34" s="75" t="s">
        <v>10</v>
      </c>
    </row>
    <row r="35" spans="1:8" x14ac:dyDescent="0.25">
      <c r="A35" s="148">
        <v>44774</v>
      </c>
      <c r="B35" s="149" t="s">
        <v>24669</v>
      </c>
      <c r="C35" s="153" t="s">
        <v>154</v>
      </c>
      <c r="D35" s="178">
        <v>40188.400000000001</v>
      </c>
      <c r="E35" s="155">
        <v>44779</v>
      </c>
      <c r="F35" s="178">
        <v>40188.400000000001</v>
      </c>
      <c r="G35" s="179">
        <f>Tabla19[[#This Row],[Importe]]-Tabla19[[#This Row],[Pagado]]</f>
        <v>0</v>
      </c>
      <c r="H35" s="153" t="s">
        <v>10</v>
      </c>
    </row>
    <row r="36" spans="1:8" x14ac:dyDescent="0.25">
      <c r="A36" s="73">
        <v>44774</v>
      </c>
      <c r="B36" s="74" t="s">
        <v>24670</v>
      </c>
      <c r="C36" s="75" t="s">
        <v>142</v>
      </c>
      <c r="D36" s="176">
        <v>154625.5</v>
      </c>
      <c r="E36" s="151" t="s">
        <v>4813</v>
      </c>
      <c r="F36" s="176">
        <v>0</v>
      </c>
      <c r="G36" s="177">
        <f>Tabla19[[#This Row],[Importe]]-Tabla19[[#This Row],[Pagado]]</f>
        <v>154625.5</v>
      </c>
      <c r="H36" s="75" t="s">
        <v>4814</v>
      </c>
    </row>
    <row r="37" spans="1:8" x14ac:dyDescent="0.25">
      <c r="A37" s="148">
        <v>44774</v>
      </c>
      <c r="B37" s="149" t="s">
        <v>24671</v>
      </c>
      <c r="C37" s="153" t="s">
        <v>154</v>
      </c>
      <c r="D37" s="178">
        <v>738</v>
      </c>
      <c r="E37" s="155">
        <v>44779</v>
      </c>
      <c r="F37" s="178">
        <v>738</v>
      </c>
      <c r="G37" s="179">
        <f>Tabla19[[#This Row],[Importe]]-Tabla19[[#This Row],[Pagado]]</f>
        <v>0</v>
      </c>
      <c r="H37" s="153" t="s">
        <v>10</v>
      </c>
    </row>
    <row r="38" spans="1:8" x14ac:dyDescent="0.25">
      <c r="A38" s="73">
        <v>44774</v>
      </c>
      <c r="B38" s="74" t="s">
        <v>24672</v>
      </c>
      <c r="C38" s="75" t="s">
        <v>206</v>
      </c>
      <c r="D38" s="176">
        <v>37830.1</v>
      </c>
      <c r="E38" s="151">
        <v>44776</v>
      </c>
      <c r="F38" s="176">
        <v>37830.1</v>
      </c>
      <c r="G38" s="177">
        <f>Tabla19[[#This Row],[Importe]]-Tabla19[[#This Row],[Pagado]]</f>
        <v>0</v>
      </c>
      <c r="H38" s="75" t="s">
        <v>10</v>
      </c>
    </row>
    <row r="39" spans="1:8" x14ac:dyDescent="0.25">
      <c r="A39" s="148">
        <v>44774</v>
      </c>
      <c r="B39" s="149" t="s">
        <v>24673</v>
      </c>
      <c r="C39" s="153" t="s">
        <v>222</v>
      </c>
      <c r="D39" s="178">
        <v>12567.2</v>
      </c>
      <c r="E39" s="155">
        <v>44774</v>
      </c>
      <c r="F39" s="178">
        <v>12567.2</v>
      </c>
      <c r="G39" s="179">
        <f>Tabla19[[#This Row],[Importe]]-Tabla19[[#This Row],[Pagado]]</f>
        <v>0</v>
      </c>
      <c r="H39" s="153" t="s">
        <v>10</v>
      </c>
    </row>
    <row r="40" spans="1:8" x14ac:dyDescent="0.25">
      <c r="A40" s="73">
        <v>44774</v>
      </c>
      <c r="B40" s="74" t="s">
        <v>24674</v>
      </c>
      <c r="C40" s="75" t="s">
        <v>218</v>
      </c>
      <c r="D40" s="176">
        <v>18655</v>
      </c>
      <c r="E40" s="151">
        <v>44776</v>
      </c>
      <c r="F40" s="176">
        <v>18655</v>
      </c>
      <c r="G40" s="177">
        <f>Tabla19[[#This Row],[Importe]]-Tabla19[[#This Row],[Pagado]]</f>
        <v>0</v>
      </c>
      <c r="H40" s="75" t="s">
        <v>10</v>
      </c>
    </row>
    <row r="41" spans="1:8" x14ac:dyDescent="0.25">
      <c r="A41" s="148">
        <v>44774</v>
      </c>
      <c r="B41" s="149" t="s">
        <v>24675</v>
      </c>
      <c r="C41" s="153" t="s">
        <v>312</v>
      </c>
      <c r="D41" s="178">
        <v>6286.8</v>
      </c>
      <c r="E41" s="155">
        <v>44774</v>
      </c>
      <c r="F41" s="178">
        <v>6286.8</v>
      </c>
      <c r="G41" s="179">
        <f>Tabla19[[#This Row],[Importe]]-Tabla19[[#This Row],[Pagado]]</f>
        <v>0</v>
      </c>
      <c r="H41" s="153" t="s">
        <v>10</v>
      </c>
    </row>
    <row r="42" spans="1:8" x14ac:dyDescent="0.25">
      <c r="A42" s="73">
        <v>44774</v>
      </c>
      <c r="B42" s="74" t="s">
        <v>24676</v>
      </c>
      <c r="C42" s="75" t="s">
        <v>240</v>
      </c>
      <c r="D42" s="176">
        <v>12232</v>
      </c>
      <c r="E42" s="151">
        <v>44774</v>
      </c>
      <c r="F42" s="176">
        <v>12232</v>
      </c>
      <c r="G42" s="177">
        <f>Tabla19[[#This Row],[Importe]]-Tabla19[[#This Row],[Pagado]]</f>
        <v>0</v>
      </c>
      <c r="H42" s="75" t="s">
        <v>10</v>
      </c>
    </row>
    <row r="43" spans="1:8" x14ac:dyDescent="0.25">
      <c r="A43" s="148">
        <v>44774</v>
      </c>
      <c r="B43" s="149" t="s">
        <v>24677</v>
      </c>
      <c r="C43" s="153" t="s">
        <v>16</v>
      </c>
      <c r="D43" s="178">
        <v>7455.9</v>
      </c>
      <c r="E43" s="155">
        <v>44774</v>
      </c>
      <c r="F43" s="178">
        <v>7455.9</v>
      </c>
      <c r="G43" s="179">
        <f>Tabla19[[#This Row],[Importe]]-Tabla19[[#This Row],[Pagado]]</f>
        <v>0</v>
      </c>
      <c r="H43" s="153" t="s">
        <v>10</v>
      </c>
    </row>
    <row r="44" spans="1:8" x14ac:dyDescent="0.25">
      <c r="A44" s="73">
        <v>44774</v>
      </c>
      <c r="B44" s="74" t="s">
        <v>24678</v>
      </c>
      <c r="C44" s="75" t="s">
        <v>16</v>
      </c>
      <c r="D44" s="176">
        <v>70</v>
      </c>
      <c r="E44" s="151">
        <v>44774</v>
      </c>
      <c r="F44" s="176">
        <v>70</v>
      </c>
      <c r="G44" s="177">
        <f>Tabla19[[#This Row],[Importe]]-Tabla19[[#This Row],[Pagado]]</f>
        <v>0</v>
      </c>
      <c r="H44" s="75" t="s">
        <v>10</v>
      </c>
    </row>
    <row r="45" spans="1:8" x14ac:dyDescent="0.25">
      <c r="A45" s="148">
        <v>44774</v>
      </c>
      <c r="B45" s="149" t="s">
        <v>24679</v>
      </c>
      <c r="C45" s="153" t="s">
        <v>45</v>
      </c>
      <c r="D45" s="178">
        <v>12828.2</v>
      </c>
      <c r="E45" s="155">
        <v>44774</v>
      </c>
      <c r="F45" s="178">
        <v>12828.2</v>
      </c>
      <c r="G45" s="179">
        <f>Tabla19[[#This Row],[Importe]]-Tabla19[[#This Row],[Pagado]]</f>
        <v>0</v>
      </c>
      <c r="H45" s="153" t="s">
        <v>10</v>
      </c>
    </row>
    <row r="46" spans="1:8" x14ac:dyDescent="0.25">
      <c r="A46" s="73">
        <v>44774</v>
      </c>
      <c r="B46" s="74" t="s">
        <v>24680</v>
      </c>
      <c r="C46" s="75" t="s">
        <v>24</v>
      </c>
      <c r="D46" s="176">
        <v>3357.5</v>
      </c>
      <c r="E46" s="151">
        <v>44774</v>
      </c>
      <c r="F46" s="176">
        <v>3357.5</v>
      </c>
      <c r="G46" s="177">
        <f>Tabla19[[#This Row],[Importe]]-Tabla19[[#This Row],[Pagado]]</f>
        <v>0</v>
      </c>
      <c r="H46" s="75" t="s">
        <v>10</v>
      </c>
    </row>
    <row r="47" spans="1:8" x14ac:dyDescent="0.25">
      <c r="A47" s="148">
        <v>44774</v>
      </c>
      <c r="B47" s="149" t="s">
        <v>24681</v>
      </c>
      <c r="C47" s="153" t="s">
        <v>24</v>
      </c>
      <c r="D47" s="178">
        <v>426</v>
      </c>
      <c r="E47" s="155">
        <v>44774</v>
      </c>
      <c r="F47" s="178">
        <v>426</v>
      </c>
      <c r="G47" s="179">
        <f>Tabla19[[#This Row],[Importe]]-Tabla19[[#This Row],[Pagado]]</f>
        <v>0</v>
      </c>
      <c r="H47" s="153" t="s">
        <v>10</v>
      </c>
    </row>
    <row r="48" spans="1:8" x14ac:dyDescent="0.25">
      <c r="A48" s="73">
        <v>44774</v>
      </c>
      <c r="B48" s="74" t="s">
        <v>24682</v>
      </c>
      <c r="C48" s="75" t="s">
        <v>179</v>
      </c>
      <c r="D48" s="176">
        <v>2496.9</v>
      </c>
      <c r="E48" s="151">
        <v>44774</v>
      </c>
      <c r="F48" s="176">
        <v>2496.9</v>
      </c>
      <c r="G48" s="177">
        <f>Tabla19[[#This Row],[Importe]]-Tabla19[[#This Row],[Pagado]]</f>
        <v>0</v>
      </c>
      <c r="H48" s="75" t="s">
        <v>10</v>
      </c>
    </row>
    <row r="49" spans="1:8" x14ac:dyDescent="0.25">
      <c r="A49" s="148">
        <v>44774</v>
      </c>
      <c r="B49" s="149" t="s">
        <v>24683</v>
      </c>
      <c r="C49" s="153" t="s">
        <v>129</v>
      </c>
      <c r="D49" s="178">
        <v>5673.3</v>
      </c>
      <c r="E49" s="155">
        <v>44774</v>
      </c>
      <c r="F49" s="178">
        <v>5673.3</v>
      </c>
      <c r="G49" s="179">
        <f>Tabla19[[#This Row],[Importe]]-Tabla19[[#This Row],[Pagado]]</f>
        <v>0</v>
      </c>
      <c r="H49" s="153" t="s">
        <v>10</v>
      </c>
    </row>
    <row r="50" spans="1:8" x14ac:dyDescent="0.25">
      <c r="A50" s="73">
        <v>44774</v>
      </c>
      <c r="B50" s="74" t="s">
        <v>24684</v>
      </c>
      <c r="C50" s="75" t="s">
        <v>127</v>
      </c>
      <c r="D50" s="176">
        <v>8113.9</v>
      </c>
      <c r="E50" s="151">
        <v>44774</v>
      </c>
      <c r="F50" s="176">
        <v>8113.9</v>
      </c>
      <c r="G50" s="177">
        <f>Tabla19[[#This Row],[Importe]]-Tabla19[[#This Row],[Pagado]]</f>
        <v>0</v>
      </c>
      <c r="H50" s="75" t="s">
        <v>10</v>
      </c>
    </row>
    <row r="51" spans="1:8" x14ac:dyDescent="0.25">
      <c r="A51" s="148">
        <v>44774</v>
      </c>
      <c r="B51" s="149" t="s">
        <v>24685</v>
      </c>
      <c r="C51" s="153" t="s">
        <v>339</v>
      </c>
      <c r="D51" s="178">
        <v>5553.6</v>
      </c>
      <c r="E51" s="155">
        <v>44774</v>
      </c>
      <c r="F51" s="178">
        <v>5553.6</v>
      </c>
      <c r="G51" s="179">
        <f>Tabla19[[#This Row],[Importe]]-Tabla19[[#This Row],[Pagado]]</f>
        <v>0</v>
      </c>
      <c r="H51" s="153" t="s">
        <v>10</v>
      </c>
    </row>
    <row r="52" spans="1:8" x14ac:dyDescent="0.25">
      <c r="A52" s="73">
        <v>44774</v>
      </c>
      <c r="B52" s="74" t="s">
        <v>24686</v>
      </c>
      <c r="C52" s="75" t="s">
        <v>357</v>
      </c>
      <c r="D52" s="176">
        <v>383.5</v>
      </c>
      <c r="E52" s="151">
        <v>44774</v>
      </c>
      <c r="F52" s="176">
        <v>383.5</v>
      </c>
      <c r="G52" s="177">
        <f>Tabla19[[#This Row],[Importe]]-Tabla19[[#This Row],[Pagado]]</f>
        <v>0</v>
      </c>
      <c r="H52" s="75" t="s">
        <v>10</v>
      </c>
    </row>
    <row r="53" spans="1:8" x14ac:dyDescent="0.25">
      <c r="A53" s="148">
        <v>44774</v>
      </c>
      <c r="B53" s="149" t="s">
        <v>24687</v>
      </c>
      <c r="C53" s="153" t="s">
        <v>1378</v>
      </c>
      <c r="D53" s="178">
        <v>86848</v>
      </c>
      <c r="E53" s="155">
        <v>44775</v>
      </c>
      <c r="F53" s="178">
        <v>86848</v>
      </c>
      <c r="G53" s="179">
        <f>Tabla19[[#This Row],[Importe]]-Tabla19[[#This Row],[Pagado]]</f>
        <v>0</v>
      </c>
      <c r="H53" s="153" t="s">
        <v>10</v>
      </c>
    </row>
    <row r="54" spans="1:8" x14ac:dyDescent="0.25">
      <c r="A54" s="73">
        <v>44774</v>
      </c>
      <c r="B54" s="74" t="s">
        <v>24688</v>
      </c>
      <c r="C54" s="75" t="s">
        <v>11383</v>
      </c>
      <c r="D54" s="176">
        <v>22771.200000000001</v>
      </c>
      <c r="E54" s="151">
        <v>44774</v>
      </c>
      <c r="F54" s="176">
        <v>22771.200000000001</v>
      </c>
      <c r="G54" s="177">
        <f>Tabla19[[#This Row],[Importe]]-Tabla19[[#This Row],[Pagado]]</f>
        <v>0</v>
      </c>
      <c r="H54" s="75" t="s">
        <v>10</v>
      </c>
    </row>
    <row r="55" spans="1:8" x14ac:dyDescent="0.25">
      <c r="A55" s="148">
        <v>44774</v>
      </c>
      <c r="B55" s="149" t="s">
        <v>24689</v>
      </c>
      <c r="C55" s="153" t="s">
        <v>24690</v>
      </c>
      <c r="D55" s="178">
        <v>0</v>
      </c>
      <c r="E55" s="158" t="s">
        <v>189</v>
      </c>
      <c r="F55" s="178">
        <v>0</v>
      </c>
      <c r="G55" s="179">
        <f>Tabla19[[#This Row],[Importe]]-Tabla19[[#This Row],[Pagado]]</f>
        <v>0</v>
      </c>
      <c r="H55" s="159" t="s">
        <v>24691</v>
      </c>
    </row>
    <row r="56" spans="1:8" x14ac:dyDescent="0.25">
      <c r="A56" s="73">
        <v>44774</v>
      </c>
      <c r="B56" s="74" t="s">
        <v>24692</v>
      </c>
      <c r="C56" s="75" t="s">
        <v>11383</v>
      </c>
      <c r="D56" s="176">
        <v>6169.6</v>
      </c>
      <c r="E56" s="151">
        <v>44774</v>
      </c>
      <c r="F56" s="176">
        <v>6169.6</v>
      </c>
      <c r="G56" s="177">
        <f>Tabla19[[#This Row],[Importe]]-Tabla19[[#This Row],[Pagado]]</f>
        <v>0</v>
      </c>
      <c r="H56" s="75" t="s">
        <v>10</v>
      </c>
    </row>
    <row r="57" spans="1:8" x14ac:dyDescent="0.25">
      <c r="A57" s="148">
        <v>44774</v>
      </c>
      <c r="B57" s="149" t="s">
        <v>24693</v>
      </c>
      <c r="C57" s="153" t="s">
        <v>224</v>
      </c>
      <c r="D57" s="178">
        <v>14887.2</v>
      </c>
      <c r="E57" s="155">
        <v>44788</v>
      </c>
      <c r="F57" s="178">
        <v>14887.2</v>
      </c>
      <c r="G57" s="179">
        <f>Tabla19[[#This Row],[Importe]]-Tabla19[[#This Row],[Pagado]]</f>
        <v>0</v>
      </c>
      <c r="H57" s="153" t="s">
        <v>10</v>
      </c>
    </row>
    <row r="58" spans="1:8" x14ac:dyDescent="0.25">
      <c r="A58" s="73">
        <v>44774</v>
      </c>
      <c r="B58" s="74" t="s">
        <v>24694</v>
      </c>
      <c r="C58" s="75" t="s">
        <v>191</v>
      </c>
      <c r="D58" s="176">
        <v>1959.2</v>
      </c>
      <c r="E58" s="151">
        <v>44774</v>
      </c>
      <c r="F58" s="176">
        <v>1959.2</v>
      </c>
      <c r="G58" s="177">
        <f>Tabla19[[#This Row],[Importe]]-Tabla19[[#This Row],[Pagado]]</f>
        <v>0</v>
      </c>
      <c r="H58" s="75" t="s">
        <v>10</v>
      </c>
    </row>
    <row r="59" spans="1:8" x14ac:dyDescent="0.25">
      <c r="A59" s="148">
        <v>44774</v>
      </c>
      <c r="B59" s="149" t="s">
        <v>24695</v>
      </c>
      <c r="C59" s="153" t="s">
        <v>224</v>
      </c>
      <c r="D59" s="178">
        <v>445.5</v>
      </c>
      <c r="E59" s="155">
        <v>44774</v>
      </c>
      <c r="F59" s="178">
        <v>445.5</v>
      </c>
      <c r="G59" s="179">
        <f>Tabla19[[#This Row],[Importe]]-Tabla19[[#This Row],[Pagado]]</f>
        <v>0</v>
      </c>
      <c r="H59" s="153" t="s">
        <v>10</v>
      </c>
    </row>
    <row r="60" spans="1:8" x14ac:dyDescent="0.25">
      <c r="A60" s="73">
        <v>44774</v>
      </c>
      <c r="B60" s="74" t="s">
        <v>24696</v>
      </c>
      <c r="C60" s="75" t="s">
        <v>53</v>
      </c>
      <c r="D60" s="176">
        <v>2090.9</v>
      </c>
      <c r="E60" s="151">
        <v>44774</v>
      </c>
      <c r="F60" s="176">
        <v>2090.9</v>
      </c>
      <c r="G60" s="177">
        <f>Tabla19[[#This Row],[Importe]]-Tabla19[[#This Row],[Pagado]]</f>
        <v>0</v>
      </c>
      <c r="H60" s="75" t="s">
        <v>10</v>
      </c>
    </row>
    <row r="61" spans="1:8" x14ac:dyDescent="0.25">
      <c r="A61" s="148">
        <v>44774</v>
      </c>
      <c r="B61" s="149" t="s">
        <v>24697</v>
      </c>
      <c r="C61" s="153" t="s">
        <v>62</v>
      </c>
      <c r="D61" s="178">
        <v>3775.2</v>
      </c>
      <c r="E61" s="155">
        <v>44774</v>
      </c>
      <c r="F61" s="178">
        <v>3775.2</v>
      </c>
      <c r="G61" s="179">
        <f>Tabla19[[#This Row],[Importe]]-Tabla19[[#This Row],[Pagado]]</f>
        <v>0</v>
      </c>
      <c r="H61" s="153" t="s">
        <v>10</v>
      </c>
    </row>
    <row r="62" spans="1:8" x14ac:dyDescent="0.25">
      <c r="A62" s="73">
        <v>44774</v>
      </c>
      <c r="B62" s="74" t="s">
        <v>24698</v>
      </c>
      <c r="C62" s="75" t="s">
        <v>31</v>
      </c>
      <c r="D62" s="176">
        <v>3487.2</v>
      </c>
      <c r="E62" s="151">
        <v>44774</v>
      </c>
      <c r="F62" s="176">
        <v>3487.2</v>
      </c>
      <c r="G62" s="177">
        <f>Tabla19[[#This Row],[Importe]]-Tabla19[[#This Row],[Pagado]]</f>
        <v>0</v>
      </c>
      <c r="H62" s="75" t="s">
        <v>10</v>
      </c>
    </row>
    <row r="63" spans="1:8" x14ac:dyDescent="0.25">
      <c r="A63" s="148">
        <v>44774</v>
      </c>
      <c r="B63" s="149" t="s">
        <v>24699</v>
      </c>
      <c r="C63" s="153" t="s">
        <v>62</v>
      </c>
      <c r="D63" s="178">
        <v>691.4</v>
      </c>
      <c r="E63" s="155">
        <v>44774</v>
      </c>
      <c r="F63" s="178">
        <v>691.4</v>
      </c>
      <c r="G63" s="179">
        <f>Tabla19[[#This Row],[Importe]]-Tabla19[[#This Row],[Pagado]]</f>
        <v>0</v>
      </c>
      <c r="H63" s="153" t="s">
        <v>10</v>
      </c>
    </row>
    <row r="64" spans="1:8" x14ac:dyDescent="0.25">
      <c r="A64" s="73">
        <v>44774</v>
      </c>
      <c r="B64" s="74" t="s">
        <v>24700</v>
      </c>
      <c r="C64" s="75" t="s">
        <v>240</v>
      </c>
      <c r="D64" s="176">
        <v>1832</v>
      </c>
      <c r="E64" s="151">
        <v>44774</v>
      </c>
      <c r="F64" s="176">
        <v>1832</v>
      </c>
      <c r="G64" s="177">
        <f>Tabla19[[#This Row],[Importe]]-Tabla19[[#This Row],[Pagado]]</f>
        <v>0</v>
      </c>
      <c r="H64" s="75" t="s">
        <v>10</v>
      </c>
    </row>
    <row r="65" spans="1:8" x14ac:dyDescent="0.25">
      <c r="A65" s="148">
        <v>44774</v>
      </c>
      <c r="B65" s="149" t="s">
        <v>24701</v>
      </c>
      <c r="C65" s="153" t="s">
        <v>67</v>
      </c>
      <c r="D65" s="178">
        <v>2209.8000000000002</v>
      </c>
      <c r="E65" s="155">
        <v>44774</v>
      </c>
      <c r="F65" s="178">
        <v>2209.8000000000002</v>
      </c>
      <c r="G65" s="179">
        <f>Tabla19[[#This Row],[Importe]]-Tabla19[[#This Row],[Pagado]]</f>
        <v>0</v>
      </c>
      <c r="H65" s="153" t="s">
        <v>10</v>
      </c>
    </row>
    <row r="66" spans="1:8" x14ac:dyDescent="0.25">
      <c r="A66" s="73">
        <v>44774</v>
      </c>
      <c r="B66" s="74" t="s">
        <v>24702</v>
      </c>
      <c r="C66" s="75" t="s">
        <v>654</v>
      </c>
      <c r="D66" s="176">
        <v>8719.2000000000007</v>
      </c>
      <c r="E66" s="151">
        <v>44778</v>
      </c>
      <c r="F66" s="176">
        <v>8719.2000000000007</v>
      </c>
      <c r="G66" s="177">
        <f>Tabla19[[#This Row],[Importe]]-Tabla19[[#This Row],[Pagado]]</f>
        <v>0</v>
      </c>
      <c r="H66" s="75" t="s">
        <v>10</v>
      </c>
    </row>
    <row r="67" spans="1:8" x14ac:dyDescent="0.25">
      <c r="A67" s="148">
        <v>44774</v>
      </c>
      <c r="B67" s="149" t="s">
        <v>24703</v>
      </c>
      <c r="C67" s="153" t="s">
        <v>107</v>
      </c>
      <c r="D67" s="178">
        <v>17480.900000000001</v>
      </c>
      <c r="E67" s="155">
        <v>44775</v>
      </c>
      <c r="F67" s="178">
        <v>17480.900000000001</v>
      </c>
      <c r="G67" s="179">
        <f>Tabla19[[#This Row],[Importe]]-Tabla19[[#This Row],[Pagado]]</f>
        <v>0</v>
      </c>
      <c r="H67" s="153" t="s">
        <v>10</v>
      </c>
    </row>
    <row r="68" spans="1:8" x14ac:dyDescent="0.25">
      <c r="A68" s="73">
        <v>44774</v>
      </c>
      <c r="B68" s="74" t="s">
        <v>24704</v>
      </c>
      <c r="C68" s="75" t="s">
        <v>1302</v>
      </c>
      <c r="D68" s="176">
        <v>12362.4</v>
      </c>
      <c r="E68" s="151">
        <v>44775</v>
      </c>
      <c r="F68" s="176">
        <v>12362.4</v>
      </c>
      <c r="G68" s="177">
        <f>Tabla19[[#This Row],[Importe]]-Tabla19[[#This Row],[Pagado]]</f>
        <v>0</v>
      </c>
      <c r="H68" s="75" t="s">
        <v>10</v>
      </c>
    </row>
    <row r="69" spans="1:8" x14ac:dyDescent="0.25">
      <c r="A69" s="148">
        <v>44774</v>
      </c>
      <c r="B69" s="149" t="s">
        <v>24705</v>
      </c>
      <c r="C69" s="153" t="s">
        <v>407</v>
      </c>
      <c r="D69" s="178">
        <v>13081.6</v>
      </c>
      <c r="E69" s="155">
        <v>44783</v>
      </c>
      <c r="F69" s="178">
        <v>13081.6</v>
      </c>
      <c r="G69" s="179">
        <f>Tabla19[[#This Row],[Importe]]-Tabla19[[#This Row],[Pagado]]</f>
        <v>0</v>
      </c>
      <c r="H69" s="153" t="s">
        <v>10</v>
      </c>
    </row>
    <row r="70" spans="1:8" x14ac:dyDescent="0.25">
      <c r="A70" s="73">
        <v>44774</v>
      </c>
      <c r="B70" s="74" t="s">
        <v>24706</v>
      </c>
      <c r="C70" s="75" t="s">
        <v>1362</v>
      </c>
      <c r="D70" s="176">
        <v>5816.8</v>
      </c>
      <c r="E70" s="151">
        <v>44775</v>
      </c>
      <c r="F70" s="176">
        <v>5816.8</v>
      </c>
      <c r="G70" s="177">
        <f>Tabla19[[#This Row],[Importe]]-Tabla19[[#This Row],[Pagado]]</f>
        <v>0</v>
      </c>
      <c r="H70" s="75" t="s">
        <v>10</v>
      </c>
    </row>
    <row r="71" spans="1:8" x14ac:dyDescent="0.25">
      <c r="A71" s="148">
        <v>44774</v>
      </c>
      <c r="B71" s="149" t="s">
        <v>24707</v>
      </c>
      <c r="C71" s="153" t="s">
        <v>16</v>
      </c>
      <c r="D71" s="178">
        <v>141.12</v>
      </c>
      <c r="E71" s="155">
        <v>44774</v>
      </c>
      <c r="F71" s="178">
        <v>141.12</v>
      </c>
      <c r="G71" s="179">
        <f>Tabla19[[#This Row],[Importe]]-Tabla19[[#This Row],[Pagado]]</f>
        <v>0</v>
      </c>
      <c r="H71" s="153" t="s">
        <v>10</v>
      </c>
    </row>
    <row r="72" spans="1:8" x14ac:dyDescent="0.25">
      <c r="A72" s="73">
        <v>44774</v>
      </c>
      <c r="B72" s="74" t="s">
        <v>24708</v>
      </c>
      <c r="C72" s="75" t="s">
        <v>214</v>
      </c>
      <c r="D72" s="176">
        <v>7500</v>
      </c>
      <c r="E72" s="151">
        <v>44775</v>
      </c>
      <c r="F72" s="176">
        <v>7500</v>
      </c>
      <c r="G72" s="177">
        <f>Tabla19[[#This Row],[Importe]]-Tabla19[[#This Row],[Pagado]]</f>
        <v>0</v>
      </c>
      <c r="H72" s="75" t="s">
        <v>10</v>
      </c>
    </row>
    <row r="73" spans="1:8" x14ac:dyDescent="0.25">
      <c r="A73" s="148">
        <v>44774</v>
      </c>
      <c r="B73" s="149" t="s">
        <v>24709</v>
      </c>
      <c r="C73" s="153" t="s">
        <v>56</v>
      </c>
      <c r="D73" s="178">
        <v>6431.7</v>
      </c>
      <c r="E73" s="155">
        <v>44774</v>
      </c>
      <c r="F73" s="178">
        <v>6431.7</v>
      </c>
      <c r="G73" s="179">
        <f>Tabla19[[#This Row],[Importe]]-Tabla19[[#This Row],[Pagado]]</f>
        <v>0</v>
      </c>
      <c r="H73" s="153" t="s">
        <v>10</v>
      </c>
    </row>
    <row r="74" spans="1:8" x14ac:dyDescent="0.25">
      <c r="A74" s="73">
        <v>44774</v>
      </c>
      <c r="B74" s="74" t="s">
        <v>24710</v>
      </c>
      <c r="C74" s="75" t="s">
        <v>7745</v>
      </c>
      <c r="D74" s="176">
        <v>30296</v>
      </c>
      <c r="E74" s="151">
        <v>44774</v>
      </c>
      <c r="F74" s="176">
        <v>30296</v>
      </c>
      <c r="G74" s="177">
        <f>Tabla19[[#This Row],[Importe]]-Tabla19[[#This Row],[Pagado]]</f>
        <v>0</v>
      </c>
      <c r="H74" s="75" t="s">
        <v>10</v>
      </c>
    </row>
    <row r="75" spans="1:8" x14ac:dyDescent="0.25">
      <c r="A75" s="148">
        <v>44774</v>
      </c>
      <c r="B75" s="149" t="s">
        <v>24711</v>
      </c>
      <c r="C75" s="153" t="s">
        <v>664</v>
      </c>
      <c r="D75" s="178">
        <v>6048</v>
      </c>
      <c r="E75" s="155">
        <v>44775</v>
      </c>
      <c r="F75" s="178">
        <v>6048</v>
      </c>
      <c r="G75" s="179">
        <f>Tabla19[[#This Row],[Importe]]-Tabla19[[#This Row],[Pagado]]</f>
        <v>0</v>
      </c>
      <c r="H75" s="153" t="s">
        <v>10</v>
      </c>
    </row>
    <row r="76" spans="1:8" x14ac:dyDescent="0.25">
      <c r="A76" s="73">
        <v>44774</v>
      </c>
      <c r="B76" s="74" t="s">
        <v>24712</v>
      </c>
      <c r="C76" s="75" t="s">
        <v>181</v>
      </c>
      <c r="D76" s="176">
        <v>10340.4</v>
      </c>
      <c r="E76" s="151">
        <v>44774</v>
      </c>
      <c r="F76" s="176">
        <v>10340.4</v>
      </c>
      <c r="G76" s="177">
        <f>Tabla19[[#This Row],[Importe]]-Tabla19[[#This Row],[Pagado]]</f>
        <v>0</v>
      </c>
      <c r="H76" s="75" t="s">
        <v>10</v>
      </c>
    </row>
    <row r="77" spans="1:8" x14ac:dyDescent="0.25">
      <c r="A77" s="148">
        <v>44774</v>
      </c>
      <c r="B77" s="149" t="s">
        <v>24713</v>
      </c>
      <c r="C77" s="153" t="s">
        <v>359</v>
      </c>
      <c r="D77" s="178">
        <v>879.8</v>
      </c>
      <c r="E77" s="155">
        <v>44774</v>
      </c>
      <c r="F77" s="178">
        <v>879.8</v>
      </c>
      <c r="G77" s="179">
        <f>Tabla19[[#This Row],[Importe]]-Tabla19[[#This Row],[Pagado]]</f>
        <v>0</v>
      </c>
      <c r="H77" s="153" t="s">
        <v>10</v>
      </c>
    </row>
    <row r="78" spans="1:8" x14ac:dyDescent="0.25">
      <c r="A78" s="73">
        <v>44774</v>
      </c>
      <c r="B78" s="74" t="s">
        <v>24714</v>
      </c>
      <c r="C78" s="75" t="s">
        <v>58</v>
      </c>
      <c r="D78" s="176">
        <v>3457.2</v>
      </c>
      <c r="E78" s="151">
        <v>44774</v>
      </c>
      <c r="F78" s="176">
        <v>3457.2</v>
      </c>
      <c r="G78" s="177">
        <f>Tabla19[[#This Row],[Importe]]-Tabla19[[#This Row],[Pagado]]</f>
        <v>0</v>
      </c>
      <c r="H78" s="75" t="s">
        <v>10</v>
      </c>
    </row>
    <row r="79" spans="1:8" x14ac:dyDescent="0.25">
      <c r="A79" s="148">
        <v>44774</v>
      </c>
      <c r="B79" s="149" t="s">
        <v>24715</v>
      </c>
      <c r="C79" s="153" t="s">
        <v>31</v>
      </c>
      <c r="D79" s="178">
        <v>11580</v>
      </c>
      <c r="E79" s="155">
        <v>44774</v>
      </c>
      <c r="F79" s="178">
        <v>11580</v>
      </c>
      <c r="G79" s="179">
        <f>Tabla19[[#This Row],[Importe]]-Tabla19[[#This Row],[Pagado]]</f>
        <v>0</v>
      </c>
      <c r="H79" s="153" t="s">
        <v>10</v>
      </c>
    </row>
    <row r="80" spans="1:8" x14ac:dyDescent="0.25">
      <c r="A80" s="73">
        <v>44774</v>
      </c>
      <c r="B80" s="74" t="s">
        <v>24716</v>
      </c>
      <c r="C80" s="75" t="s">
        <v>426</v>
      </c>
      <c r="D80" s="176">
        <v>9116.7999999999993</v>
      </c>
      <c r="E80" s="151">
        <v>44774</v>
      </c>
      <c r="F80" s="176">
        <v>9116.7999999999993</v>
      </c>
      <c r="G80" s="177">
        <f>Tabla19[[#This Row],[Importe]]-Tabla19[[#This Row],[Pagado]]</f>
        <v>0</v>
      </c>
      <c r="H80" s="75" t="s">
        <v>10</v>
      </c>
    </row>
    <row r="81" spans="1:8" x14ac:dyDescent="0.25">
      <c r="A81" s="148">
        <v>44774</v>
      </c>
      <c r="B81" s="149" t="s">
        <v>24717</v>
      </c>
      <c r="C81" s="153" t="s">
        <v>244</v>
      </c>
      <c r="D81" s="178">
        <v>2022.9</v>
      </c>
      <c r="E81" s="155">
        <v>44774</v>
      </c>
      <c r="F81" s="178">
        <v>2022.9</v>
      </c>
      <c r="G81" s="179">
        <f>Tabla19[[#This Row],[Importe]]-Tabla19[[#This Row],[Pagado]]</f>
        <v>0</v>
      </c>
      <c r="H81" s="153" t="s">
        <v>10</v>
      </c>
    </row>
    <row r="82" spans="1:8" x14ac:dyDescent="0.25">
      <c r="A82" s="73">
        <v>44774</v>
      </c>
      <c r="B82" s="74" t="s">
        <v>24718</v>
      </c>
      <c r="C82" s="75" t="s">
        <v>175</v>
      </c>
      <c r="D82" s="176">
        <v>16416</v>
      </c>
      <c r="E82" s="151">
        <v>44774</v>
      </c>
      <c r="F82" s="176">
        <v>16416</v>
      </c>
      <c r="G82" s="177">
        <f>Tabla19[[#This Row],[Importe]]-Tabla19[[#This Row],[Pagado]]</f>
        <v>0</v>
      </c>
      <c r="H82" s="75" t="s">
        <v>10</v>
      </c>
    </row>
    <row r="83" spans="1:8" x14ac:dyDescent="0.25">
      <c r="A83" s="148">
        <v>44774</v>
      </c>
      <c r="B83" s="149" t="s">
        <v>24719</v>
      </c>
      <c r="C83" s="153" t="s">
        <v>291</v>
      </c>
      <c r="D83" s="178">
        <v>3740.95</v>
      </c>
      <c r="E83" s="155">
        <v>44775</v>
      </c>
      <c r="F83" s="178">
        <v>3740.95</v>
      </c>
      <c r="G83" s="179">
        <f>Tabla19[[#This Row],[Importe]]-Tabla19[[#This Row],[Pagado]]</f>
        <v>0</v>
      </c>
      <c r="H83" s="153" t="s">
        <v>10</v>
      </c>
    </row>
    <row r="84" spans="1:8" x14ac:dyDescent="0.25">
      <c r="A84" s="73">
        <v>44774</v>
      </c>
      <c r="B84" s="74" t="s">
        <v>24720</v>
      </c>
      <c r="C84" s="75" t="s">
        <v>419</v>
      </c>
      <c r="D84" s="176">
        <v>6537.9</v>
      </c>
      <c r="E84" s="151">
        <v>44774</v>
      </c>
      <c r="F84" s="176">
        <v>6537.9</v>
      </c>
      <c r="G84" s="177">
        <f>Tabla19[[#This Row],[Importe]]-Tabla19[[#This Row],[Pagado]]</f>
        <v>0</v>
      </c>
      <c r="H84" s="75" t="s">
        <v>10</v>
      </c>
    </row>
    <row r="85" spans="1:8" x14ac:dyDescent="0.25">
      <c r="A85" s="148">
        <v>44774</v>
      </c>
      <c r="B85" s="149" t="s">
        <v>24721</v>
      </c>
      <c r="C85" s="153" t="s">
        <v>24722</v>
      </c>
      <c r="D85" s="178">
        <v>0</v>
      </c>
      <c r="E85" s="158" t="s">
        <v>189</v>
      </c>
      <c r="F85" s="178">
        <v>0</v>
      </c>
      <c r="G85" s="179">
        <f>Tabla19[[#This Row],[Importe]]-Tabla19[[#This Row],[Pagado]]</f>
        <v>0</v>
      </c>
      <c r="H85" s="159" t="s">
        <v>24723</v>
      </c>
    </row>
    <row r="86" spans="1:8" x14ac:dyDescent="0.25">
      <c r="A86" s="73">
        <v>44774</v>
      </c>
      <c r="B86" s="74" t="s">
        <v>24724</v>
      </c>
      <c r="C86" s="75" t="s">
        <v>214</v>
      </c>
      <c r="D86" s="176">
        <v>2775.3</v>
      </c>
      <c r="E86" s="151">
        <v>44774</v>
      </c>
      <c r="F86" s="176">
        <v>2775.3</v>
      </c>
      <c r="G86" s="177">
        <f>Tabla19[[#This Row],[Importe]]-Tabla19[[#This Row],[Pagado]]</f>
        <v>0</v>
      </c>
      <c r="H86" s="75" t="s">
        <v>10</v>
      </c>
    </row>
    <row r="87" spans="1:8" x14ac:dyDescent="0.25">
      <c r="A87" s="148">
        <v>44774</v>
      </c>
      <c r="B87" s="149" t="s">
        <v>24725</v>
      </c>
      <c r="C87" s="153" t="s">
        <v>135</v>
      </c>
      <c r="D87" s="178">
        <v>1460.8</v>
      </c>
      <c r="E87" s="155">
        <v>44774</v>
      </c>
      <c r="F87" s="178">
        <v>1460.8</v>
      </c>
      <c r="G87" s="179">
        <f>Tabla19[[#This Row],[Importe]]-Tabla19[[#This Row],[Pagado]]</f>
        <v>0</v>
      </c>
      <c r="H87" s="153" t="s">
        <v>10</v>
      </c>
    </row>
    <row r="88" spans="1:8" x14ac:dyDescent="0.25">
      <c r="A88" s="73">
        <v>44774</v>
      </c>
      <c r="B88" s="74" t="s">
        <v>24726</v>
      </c>
      <c r="C88" s="75" t="s">
        <v>4136</v>
      </c>
      <c r="D88" s="176">
        <v>954</v>
      </c>
      <c r="E88" s="151">
        <v>44774</v>
      </c>
      <c r="F88" s="176">
        <v>954</v>
      </c>
      <c r="G88" s="177">
        <f>Tabla19[[#This Row],[Importe]]-Tabla19[[#This Row],[Pagado]]</f>
        <v>0</v>
      </c>
      <c r="H88" s="75" t="s">
        <v>10</v>
      </c>
    </row>
    <row r="89" spans="1:8" x14ac:dyDescent="0.25">
      <c r="A89" s="148">
        <v>44774</v>
      </c>
      <c r="B89" s="149" t="s">
        <v>24727</v>
      </c>
      <c r="C89" s="153" t="s">
        <v>9827</v>
      </c>
      <c r="D89" s="178">
        <v>9517.7999999999993</v>
      </c>
      <c r="E89" s="155">
        <v>44774</v>
      </c>
      <c r="F89" s="178">
        <v>9517.7999999999993</v>
      </c>
      <c r="G89" s="179">
        <f>Tabla19[[#This Row],[Importe]]-Tabla19[[#This Row],[Pagado]]</f>
        <v>0</v>
      </c>
      <c r="H89" s="153" t="s">
        <v>10</v>
      </c>
    </row>
    <row r="90" spans="1:8" x14ac:dyDescent="0.25">
      <c r="A90" s="73">
        <v>44774</v>
      </c>
      <c r="B90" s="74" t="s">
        <v>24728</v>
      </c>
      <c r="C90" s="75" t="s">
        <v>698</v>
      </c>
      <c r="D90" s="176">
        <v>8484.1</v>
      </c>
      <c r="E90" s="151">
        <v>44774</v>
      </c>
      <c r="F90" s="176">
        <v>8484.1</v>
      </c>
      <c r="G90" s="177">
        <f>Tabla19[[#This Row],[Importe]]-Tabla19[[#This Row],[Pagado]]</f>
        <v>0</v>
      </c>
      <c r="H90" s="75" t="s">
        <v>10</v>
      </c>
    </row>
    <row r="91" spans="1:8" x14ac:dyDescent="0.25">
      <c r="A91" s="148">
        <v>44774</v>
      </c>
      <c r="B91" s="149" t="s">
        <v>24729</v>
      </c>
      <c r="C91" s="153" t="s">
        <v>698</v>
      </c>
      <c r="D91" s="178">
        <v>294.39999999999998</v>
      </c>
      <c r="E91" s="155">
        <v>44774</v>
      </c>
      <c r="F91" s="178">
        <v>294.39999999999998</v>
      </c>
      <c r="G91" s="179">
        <f>Tabla19[[#This Row],[Importe]]-Tabla19[[#This Row],[Pagado]]</f>
        <v>0</v>
      </c>
      <c r="H91" s="153" t="s">
        <v>10</v>
      </c>
    </row>
    <row r="92" spans="1:8" x14ac:dyDescent="0.25">
      <c r="A92" s="73">
        <v>44774</v>
      </c>
      <c r="B92" s="74" t="s">
        <v>24730</v>
      </c>
      <c r="C92" s="75" t="s">
        <v>459</v>
      </c>
      <c r="D92" s="176">
        <v>78.400000000000006</v>
      </c>
      <c r="E92" s="151">
        <v>44774</v>
      </c>
      <c r="F92" s="176">
        <v>78.400000000000006</v>
      </c>
      <c r="G92" s="177">
        <f>Tabla19[[#This Row],[Importe]]-Tabla19[[#This Row],[Pagado]]</f>
        <v>0</v>
      </c>
      <c r="H92" s="75" t="s">
        <v>10</v>
      </c>
    </row>
    <row r="93" spans="1:8" x14ac:dyDescent="0.25">
      <c r="A93" s="148">
        <v>44774</v>
      </c>
      <c r="B93" s="149" t="s">
        <v>24731</v>
      </c>
      <c r="C93" s="153" t="s">
        <v>10984</v>
      </c>
      <c r="D93" s="178">
        <v>26985</v>
      </c>
      <c r="E93" s="155">
        <v>44774</v>
      </c>
      <c r="F93" s="178">
        <v>26985</v>
      </c>
      <c r="G93" s="179">
        <f>Tabla19[[#This Row],[Importe]]-Tabla19[[#This Row],[Pagado]]</f>
        <v>0</v>
      </c>
      <c r="H93" s="153" t="s">
        <v>10</v>
      </c>
    </row>
    <row r="94" spans="1:8" x14ac:dyDescent="0.25">
      <c r="A94" s="73">
        <v>44774</v>
      </c>
      <c r="B94" s="74" t="s">
        <v>24732</v>
      </c>
      <c r="C94" s="75" t="s">
        <v>282</v>
      </c>
      <c r="D94" s="176">
        <v>2644.8</v>
      </c>
      <c r="E94" s="151">
        <v>44775</v>
      </c>
      <c r="F94" s="176">
        <v>2644.8</v>
      </c>
      <c r="G94" s="177">
        <f>Tabla19[[#This Row],[Importe]]-Tabla19[[#This Row],[Pagado]]</f>
        <v>0</v>
      </c>
      <c r="H94" s="75" t="s">
        <v>10</v>
      </c>
    </row>
    <row r="95" spans="1:8" x14ac:dyDescent="0.25">
      <c r="A95" s="148">
        <v>44774</v>
      </c>
      <c r="B95" s="149" t="s">
        <v>24733</v>
      </c>
      <c r="C95" s="153" t="s">
        <v>280</v>
      </c>
      <c r="D95" s="178">
        <v>1696.5</v>
      </c>
      <c r="E95" s="155">
        <v>44775</v>
      </c>
      <c r="F95" s="178">
        <v>1696.5</v>
      </c>
      <c r="G95" s="179">
        <f>Tabla19[[#This Row],[Importe]]-Tabla19[[#This Row],[Pagado]]</f>
        <v>0</v>
      </c>
      <c r="H95" s="153" t="s">
        <v>10</v>
      </c>
    </row>
    <row r="96" spans="1:8" x14ac:dyDescent="0.25">
      <c r="A96" s="73">
        <v>44774</v>
      </c>
      <c r="B96" s="74" t="s">
        <v>24734</v>
      </c>
      <c r="C96" s="75" t="s">
        <v>10819</v>
      </c>
      <c r="D96" s="176">
        <v>1635.6</v>
      </c>
      <c r="E96" s="151">
        <v>44775</v>
      </c>
      <c r="F96" s="176">
        <v>1635.6</v>
      </c>
      <c r="G96" s="177">
        <f>Tabla19[[#This Row],[Importe]]-Tabla19[[#This Row],[Pagado]]</f>
        <v>0</v>
      </c>
      <c r="H96" s="75" t="s">
        <v>10</v>
      </c>
    </row>
    <row r="97" spans="1:8" x14ac:dyDescent="0.25">
      <c r="A97" s="148">
        <v>44774</v>
      </c>
      <c r="B97" s="149" t="s">
        <v>24735</v>
      </c>
      <c r="C97" s="153" t="s">
        <v>5345</v>
      </c>
      <c r="D97" s="178">
        <v>4195.5</v>
      </c>
      <c r="E97" s="155">
        <v>44775</v>
      </c>
      <c r="F97" s="178">
        <v>4195.5</v>
      </c>
      <c r="G97" s="179">
        <f>Tabla19[[#This Row],[Importe]]-Tabla19[[#This Row],[Pagado]]</f>
        <v>0</v>
      </c>
      <c r="H97" s="153" t="s">
        <v>10</v>
      </c>
    </row>
    <row r="98" spans="1:8" x14ac:dyDescent="0.25">
      <c r="A98" s="73">
        <v>44774</v>
      </c>
      <c r="B98" s="74" t="s">
        <v>24736</v>
      </c>
      <c r="C98" s="75" t="s">
        <v>284</v>
      </c>
      <c r="D98" s="176">
        <v>15747</v>
      </c>
      <c r="E98" s="151">
        <v>44775</v>
      </c>
      <c r="F98" s="176">
        <v>15747</v>
      </c>
      <c r="G98" s="177">
        <f>Tabla19[[#This Row],[Importe]]-Tabla19[[#This Row],[Pagado]]</f>
        <v>0</v>
      </c>
      <c r="H98" s="75" t="s">
        <v>10</v>
      </c>
    </row>
    <row r="99" spans="1:8" x14ac:dyDescent="0.25">
      <c r="A99" s="148">
        <v>44774</v>
      </c>
      <c r="B99" s="149" t="s">
        <v>24737</v>
      </c>
      <c r="C99" s="153" t="s">
        <v>191</v>
      </c>
      <c r="D99" s="178">
        <v>1761.7</v>
      </c>
      <c r="E99" s="155">
        <v>44774</v>
      </c>
      <c r="F99" s="178">
        <v>1761.7</v>
      </c>
      <c r="G99" s="179">
        <f>Tabla19[[#This Row],[Importe]]-Tabla19[[#This Row],[Pagado]]</f>
        <v>0</v>
      </c>
      <c r="H99" s="153" t="s">
        <v>10</v>
      </c>
    </row>
    <row r="100" spans="1:8" x14ac:dyDescent="0.25">
      <c r="A100" s="73">
        <v>44774</v>
      </c>
      <c r="B100" s="74" t="s">
        <v>24738</v>
      </c>
      <c r="C100" s="75" t="s">
        <v>475</v>
      </c>
      <c r="D100" s="176">
        <v>21978</v>
      </c>
      <c r="E100" s="151">
        <v>44776</v>
      </c>
      <c r="F100" s="176">
        <v>21978</v>
      </c>
      <c r="G100" s="177">
        <f>Tabla19[[#This Row],[Importe]]-Tabla19[[#This Row],[Pagado]]</f>
        <v>0</v>
      </c>
      <c r="H100" s="75" t="s">
        <v>10</v>
      </c>
    </row>
    <row r="101" spans="1:8" x14ac:dyDescent="0.25">
      <c r="A101" s="148">
        <v>44774</v>
      </c>
      <c r="B101" s="149" t="s">
        <v>24739</v>
      </c>
      <c r="C101" s="153" t="s">
        <v>647</v>
      </c>
      <c r="D101" s="178">
        <v>850</v>
      </c>
      <c r="E101" s="155">
        <v>44774</v>
      </c>
      <c r="F101" s="178">
        <v>850</v>
      </c>
      <c r="G101" s="179">
        <f>Tabla19[[#This Row],[Importe]]-Tabla19[[#This Row],[Pagado]]</f>
        <v>0</v>
      </c>
      <c r="H101" s="153" t="s">
        <v>10</v>
      </c>
    </row>
    <row r="102" spans="1:8" x14ac:dyDescent="0.25">
      <c r="A102" s="73">
        <v>44774</v>
      </c>
      <c r="B102" s="74" t="s">
        <v>24740</v>
      </c>
      <c r="C102" s="75" t="s">
        <v>484</v>
      </c>
      <c r="D102" s="176">
        <v>5140.2</v>
      </c>
      <c r="E102" s="151">
        <v>44774</v>
      </c>
      <c r="F102" s="176">
        <v>5140.2</v>
      </c>
      <c r="G102" s="177">
        <f>Tabla19[[#This Row],[Importe]]-Tabla19[[#This Row],[Pagado]]</f>
        <v>0</v>
      </c>
      <c r="H102" s="75" t="s">
        <v>10</v>
      </c>
    </row>
    <row r="103" spans="1:8" x14ac:dyDescent="0.25">
      <c r="A103" s="148">
        <v>44774</v>
      </c>
      <c r="B103" s="149" t="s">
        <v>24741</v>
      </c>
      <c r="C103" s="153" t="s">
        <v>4273</v>
      </c>
      <c r="D103" s="178">
        <v>18400</v>
      </c>
      <c r="E103" s="155">
        <v>44774</v>
      </c>
      <c r="F103" s="178">
        <v>18400</v>
      </c>
      <c r="G103" s="179">
        <f>Tabla19[[#This Row],[Importe]]-Tabla19[[#This Row],[Pagado]]</f>
        <v>0</v>
      </c>
      <c r="H103" s="153" t="s">
        <v>10</v>
      </c>
    </row>
    <row r="104" spans="1:8" x14ac:dyDescent="0.25">
      <c r="A104" s="73">
        <v>44774</v>
      </c>
      <c r="B104" s="74" t="s">
        <v>24742</v>
      </c>
      <c r="C104" s="75" t="s">
        <v>24</v>
      </c>
      <c r="D104" s="176">
        <v>1440</v>
      </c>
      <c r="E104" s="151">
        <v>44774</v>
      </c>
      <c r="F104" s="176">
        <v>1440</v>
      </c>
      <c r="G104" s="177">
        <f>Tabla19[[#This Row],[Importe]]-Tabla19[[#This Row],[Pagado]]</f>
        <v>0</v>
      </c>
      <c r="H104" s="75" t="s">
        <v>10</v>
      </c>
    </row>
    <row r="105" spans="1:8" x14ac:dyDescent="0.25">
      <c r="A105" s="148">
        <v>44774</v>
      </c>
      <c r="B105" s="149" t="s">
        <v>24743</v>
      </c>
      <c r="C105" s="153" t="s">
        <v>426</v>
      </c>
      <c r="D105" s="178">
        <v>2889.2</v>
      </c>
      <c r="E105" s="155">
        <v>44774</v>
      </c>
      <c r="F105" s="178">
        <v>2889.2</v>
      </c>
      <c r="G105" s="179">
        <f>Tabla19[[#This Row],[Importe]]-Tabla19[[#This Row],[Pagado]]</f>
        <v>0</v>
      </c>
      <c r="H105" s="153" t="s">
        <v>10</v>
      </c>
    </row>
    <row r="106" spans="1:8" x14ac:dyDescent="0.25">
      <c r="A106" s="73">
        <v>44774</v>
      </c>
      <c r="B106" s="74" t="s">
        <v>24744</v>
      </c>
      <c r="C106" s="75" t="s">
        <v>10678</v>
      </c>
      <c r="D106" s="176">
        <v>812</v>
      </c>
      <c r="E106" s="151">
        <v>44774</v>
      </c>
      <c r="F106" s="176">
        <v>812</v>
      </c>
      <c r="G106" s="177">
        <f>Tabla19[[#This Row],[Importe]]-Tabla19[[#This Row],[Pagado]]</f>
        <v>0</v>
      </c>
      <c r="H106" s="75" t="s">
        <v>10</v>
      </c>
    </row>
    <row r="107" spans="1:8" x14ac:dyDescent="0.25">
      <c r="A107" s="148">
        <v>44774</v>
      </c>
      <c r="B107" s="149" t="s">
        <v>24745</v>
      </c>
      <c r="C107" s="153" t="s">
        <v>31</v>
      </c>
      <c r="D107" s="178">
        <v>260</v>
      </c>
      <c r="E107" s="155">
        <v>44774</v>
      </c>
      <c r="F107" s="178">
        <v>260</v>
      </c>
      <c r="G107" s="179">
        <f>Tabla19[[#This Row],[Importe]]-Tabla19[[#This Row],[Pagado]]</f>
        <v>0</v>
      </c>
      <c r="H107" s="153" t="s">
        <v>10</v>
      </c>
    </row>
    <row r="108" spans="1:8" ht="31.5" x14ac:dyDescent="0.25">
      <c r="A108" s="73">
        <v>44774</v>
      </c>
      <c r="B108" s="74" t="s">
        <v>24746</v>
      </c>
      <c r="C108" s="75" t="s">
        <v>10840</v>
      </c>
      <c r="D108" s="176">
        <v>44608.6</v>
      </c>
      <c r="E108" s="147" t="s">
        <v>24747</v>
      </c>
      <c r="F108" s="176">
        <f>42000+2608.6</f>
        <v>44608.6</v>
      </c>
      <c r="G108" s="177">
        <f>Tabla19[[#This Row],[Importe]]-Tabla19[[#This Row],[Pagado]]</f>
        <v>0</v>
      </c>
      <c r="H108" s="75" t="s">
        <v>10</v>
      </c>
    </row>
    <row r="109" spans="1:8" x14ac:dyDescent="0.25">
      <c r="A109" s="148">
        <v>44774</v>
      </c>
      <c r="B109" s="149" t="s">
        <v>24748</v>
      </c>
      <c r="C109" s="153" t="s">
        <v>69</v>
      </c>
      <c r="D109" s="178">
        <v>1760</v>
      </c>
      <c r="E109" s="155">
        <v>44774</v>
      </c>
      <c r="F109" s="178">
        <v>1760</v>
      </c>
      <c r="G109" s="179">
        <f>Tabla19[[#This Row],[Importe]]-Tabla19[[#This Row],[Pagado]]</f>
        <v>0</v>
      </c>
      <c r="H109" s="153" t="s">
        <v>10</v>
      </c>
    </row>
    <row r="110" spans="1:8" x14ac:dyDescent="0.25">
      <c r="A110" s="73">
        <v>44774</v>
      </c>
      <c r="B110" s="74" t="s">
        <v>24749</v>
      </c>
      <c r="C110" s="75" t="s">
        <v>31</v>
      </c>
      <c r="D110" s="176">
        <v>324.8</v>
      </c>
      <c r="E110" s="151">
        <v>44775</v>
      </c>
      <c r="F110" s="176">
        <v>324.8</v>
      </c>
      <c r="G110" s="177">
        <f>Tabla19[[#This Row],[Importe]]-Tabla19[[#This Row],[Pagado]]</f>
        <v>0</v>
      </c>
      <c r="H110" s="75" t="s">
        <v>10</v>
      </c>
    </row>
    <row r="111" spans="1:8" x14ac:dyDescent="0.25">
      <c r="A111" s="148">
        <v>44775</v>
      </c>
      <c r="B111" s="149" t="s">
        <v>24750</v>
      </c>
      <c r="C111" s="153" t="s">
        <v>887</v>
      </c>
      <c r="D111" s="178">
        <v>17358</v>
      </c>
      <c r="E111" s="155">
        <v>44775</v>
      </c>
      <c r="F111" s="178">
        <v>17358</v>
      </c>
      <c r="G111" s="179">
        <f>Tabla19[[#This Row],[Importe]]-Tabla19[[#This Row],[Pagado]]</f>
        <v>0</v>
      </c>
      <c r="H111" s="153" t="s">
        <v>10</v>
      </c>
    </row>
    <row r="112" spans="1:8" x14ac:dyDescent="0.25">
      <c r="A112" s="73">
        <v>44775</v>
      </c>
      <c r="B112" s="74" t="s">
        <v>24751</v>
      </c>
      <c r="C112" s="75" t="s">
        <v>75</v>
      </c>
      <c r="D112" s="176">
        <v>10022.4</v>
      </c>
      <c r="E112" s="151">
        <v>44775</v>
      </c>
      <c r="F112" s="176">
        <v>10022.4</v>
      </c>
      <c r="G112" s="177">
        <f>Tabla19[[#This Row],[Importe]]-Tabla19[[#This Row],[Pagado]]</f>
        <v>0</v>
      </c>
      <c r="H112" s="75" t="s">
        <v>10</v>
      </c>
    </row>
    <row r="113" spans="1:8" x14ac:dyDescent="0.25">
      <c r="A113" s="148">
        <v>44775</v>
      </c>
      <c r="B113" s="149" t="s">
        <v>24752</v>
      </c>
      <c r="C113" s="153" t="s">
        <v>473</v>
      </c>
      <c r="D113" s="178">
        <v>5508</v>
      </c>
      <c r="E113" s="155">
        <v>44775</v>
      </c>
      <c r="F113" s="178">
        <v>5508</v>
      </c>
      <c r="G113" s="179">
        <f>Tabla19[[#This Row],[Importe]]-Tabla19[[#This Row],[Pagado]]</f>
        <v>0</v>
      </c>
      <c r="H113" s="153" t="s">
        <v>10</v>
      </c>
    </row>
    <row r="114" spans="1:8" x14ac:dyDescent="0.25">
      <c r="A114" s="73">
        <v>44775</v>
      </c>
      <c r="B114" s="74" t="s">
        <v>24753</v>
      </c>
      <c r="C114" s="75" t="s">
        <v>111</v>
      </c>
      <c r="D114" s="176">
        <v>5216</v>
      </c>
      <c r="E114" s="151">
        <v>44777</v>
      </c>
      <c r="F114" s="176">
        <v>5216</v>
      </c>
      <c r="G114" s="177">
        <f>Tabla19[[#This Row],[Importe]]-Tabla19[[#This Row],[Pagado]]</f>
        <v>0</v>
      </c>
      <c r="H114" s="75" t="s">
        <v>10</v>
      </c>
    </row>
    <row r="115" spans="1:8" ht="31.5" x14ac:dyDescent="0.25">
      <c r="A115" s="148">
        <v>44775</v>
      </c>
      <c r="B115" s="149" t="s">
        <v>24754</v>
      </c>
      <c r="C115" s="153" t="s">
        <v>93</v>
      </c>
      <c r="D115" s="178">
        <v>6880</v>
      </c>
      <c r="E115" s="150" t="s">
        <v>24636</v>
      </c>
      <c r="F115" s="178">
        <f>2000+4880</f>
        <v>6880</v>
      </c>
      <c r="G115" s="179">
        <f>Tabla19[[#This Row],[Importe]]-Tabla19[[#This Row],[Pagado]]</f>
        <v>0</v>
      </c>
      <c r="H115" s="153" t="s">
        <v>10</v>
      </c>
    </row>
    <row r="116" spans="1:8" x14ac:dyDescent="0.25">
      <c r="A116" s="73">
        <v>44775</v>
      </c>
      <c r="B116" s="74" t="s">
        <v>24755</v>
      </c>
      <c r="C116" s="75" t="s">
        <v>64</v>
      </c>
      <c r="D116" s="176">
        <v>5511</v>
      </c>
      <c r="E116" s="151">
        <v>44776</v>
      </c>
      <c r="F116" s="176">
        <v>5511</v>
      </c>
      <c r="G116" s="177">
        <f>Tabla19[[#This Row],[Importe]]-Tabla19[[#This Row],[Pagado]]</f>
        <v>0</v>
      </c>
      <c r="H116" s="75" t="s">
        <v>10</v>
      </c>
    </row>
    <row r="117" spans="1:8" x14ac:dyDescent="0.25">
      <c r="A117" s="148">
        <v>44775</v>
      </c>
      <c r="B117" s="149" t="s">
        <v>24756</v>
      </c>
      <c r="C117" s="153" t="s">
        <v>97</v>
      </c>
      <c r="D117" s="178">
        <v>4832</v>
      </c>
      <c r="E117" s="155">
        <v>44776</v>
      </c>
      <c r="F117" s="178">
        <v>4832</v>
      </c>
      <c r="G117" s="179">
        <f>Tabla19[[#This Row],[Importe]]-Tabla19[[#This Row],[Pagado]]</f>
        <v>0</v>
      </c>
      <c r="H117" s="153" t="s">
        <v>10</v>
      </c>
    </row>
    <row r="118" spans="1:8" x14ac:dyDescent="0.25">
      <c r="A118" s="73">
        <v>44775</v>
      </c>
      <c r="B118" s="74" t="s">
        <v>24757</v>
      </c>
      <c r="C118" s="75" t="s">
        <v>2563</v>
      </c>
      <c r="D118" s="176">
        <v>5247</v>
      </c>
      <c r="E118" s="151">
        <v>44776</v>
      </c>
      <c r="F118" s="176">
        <v>5247</v>
      </c>
      <c r="G118" s="177">
        <f>Tabla19[[#This Row],[Importe]]-Tabla19[[#This Row],[Pagado]]</f>
        <v>0</v>
      </c>
      <c r="H118" s="75" t="s">
        <v>10</v>
      </c>
    </row>
    <row r="119" spans="1:8" x14ac:dyDescent="0.25">
      <c r="A119" s="148">
        <v>44775</v>
      </c>
      <c r="B119" s="149" t="s">
        <v>24758</v>
      </c>
      <c r="C119" s="153" t="s">
        <v>109</v>
      </c>
      <c r="D119" s="178">
        <v>4819.2</v>
      </c>
      <c r="E119" s="155">
        <v>44776</v>
      </c>
      <c r="F119" s="178">
        <v>4819.2</v>
      </c>
      <c r="G119" s="179">
        <f>Tabla19[[#This Row],[Importe]]-Tabla19[[#This Row],[Pagado]]</f>
        <v>0</v>
      </c>
      <c r="H119" s="153" t="s">
        <v>10</v>
      </c>
    </row>
    <row r="120" spans="1:8" x14ac:dyDescent="0.25">
      <c r="A120" s="73">
        <v>44775</v>
      </c>
      <c r="B120" s="74" t="s">
        <v>24759</v>
      </c>
      <c r="C120" s="75" t="s">
        <v>114</v>
      </c>
      <c r="D120" s="176">
        <v>5766.4</v>
      </c>
      <c r="E120" s="151">
        <v>44776</v>
      </c>
      <c r="F120" s="176">
        <v>5766.4</v>
      </c>
      <c r="G120" s="177">
        <f>Tabla19[[#This Row],[Importe]]-Tabla19[[#This Row],[Pagado]]</f>
        <v>0</v>
      </c>
      <c r="H120" s="75" t="s">
        <v>10</v>
      </c>
    </row>
    <row r="121" spans="1:8" x14ac:dyDescent="0.25">
      <c r="A121" s="148">
        <v>44775</v>
      </c>
      <c r="B121" s="149" t="s">
        <v>24760</v>
      </c>
      <c r="C121" s="153" t="s">
        <v>618</v>
      </c>
      <c r="D121" s="178">
        <v>5534</v>
      </c>
      <c r="E121" s="155">
        <v>44775</v>
      </c>
      <c r="F121" s="178">
        <v>5534</v>
      </c>
      <c r="G121" s="179">
        <f>Tabla19[[#This Row],[Importe]]-Tabla19[[#This Row],[Pagado]]</f>
        <v>0</v>
      </c>
      <c r="H121" s="153" t="s">
        <v>10</v>
      </c>
    </row>
    <row r="122" spans="1:8" x14ac:dyDescent="0.25">
      <c r="A122" s="73">
        <v>44775</v>
      </c>
      <c r="B122" s="74" t="s">
        <v>24761</v>
      </c>
      <c r="C122" s="75" t="s">
        <v>89</v>
      </c>
      <c r="D122" s="176">
        <v>8636.2999999999993</v>
      </c>
      <c r="E122" s="151">
        <v>44776</v>
      </c>
      <c r="F122" s="176">
        <v>8636.2999999999993</v>
      </c>
      <c r="G122" s="177">
        <f>Tabla19[[#This Row],[Importe]]-Tabla19[[#This Row],[Pagado]]</f>
        <v>0</v>
      </c>
      <c r="H122" s="75" t="s">
        <v>10</v>
      </c>
    </row>
    <row r="123" spans="1:8" x14ac:dyDescent="0.25">
      <c r="A123" s="148">
        <v>44775</v>
      </c>
      <c r="B123" s="149" t="s">
        <v>24762</v>
      </c>
      <c r="C123" s="153" t="s">
        <v>2151</v>
      </c>
      <c r="D123" s="178">
        <v>20195.2</v>
      </c>
      <c r="E123" s="155">
        <v>44775</v>
      </c>
      <c r="F123" s="178">
        <v>20195.2</v>
      </c>
      <c r="G123" s="179">
        <f>Tabla19[[#This Row],[Importe]]-Tabla19[[#This Row],[Pagado]]</f>
        <v>0</v>
      </c>
      <c r="H123" s="153" t="s">
        <v>10</v>
      </c>
    </row>
    <row r="124" spans="1:8" x14ac:dyDescent="0.25">
      <c r="A124" s="73">
        <v>44775</v>
      </c>
      <c r="B124" s="74" t="s">
        <v>24763</v>
      </c>
      <c r="C124" s="75" t="s">
        <v>105</v>
      </c>
      <c r="D124" s="176">
        <v>7472.7</v>
      </c>
      <c r="E124" s="151">
        <v>44776</v>
      </c>
      <c r="F124" s="176">
        <v>7472.7</v>
      </c>
      <c r="G124" s="177">
        <f>Tabla19[[#This Row],[Importe]]-Tabla19[[#This Row],[Pagado]]</f>
        <v>0</v>
      </c>
      <c r="H124" s="75" t="s">
        <v>10</v>
      </c>
    </row>
    <row r="125" spans="1:8" x14ac:dyDescent="0.25">
      <c r="A125" s="148">
        <v>44775</v>
      </c>
      <c r="B125" s="149" t="s">
        <v>24764</v>
      </c>
      <c r="C125" s="153" t="s">
        <v>348</v>
      </c>
      <c r="D125" s="178">
        <v>1762.1</v>
      </c>
      <c r="E125" s="155">
        <v>44775</v>
      </c>
      <c r="F125" s="178">
        <v>1762.1</v>
      </c>
      <c r="G125" s="179">
        <f>Tabla19[[#This Row],[Importe]]-Tabla19[[#This Row],[Pagado]]</f>
        <v>0</v>
      </c>
      <c r="H125" s="153" t="s">
        <v>10</v>
      </c>
    </row>
    <row r="126" spans="1:8" x14ac:dyDescent="0.25">
      <c r="A126" s="73">
        <v>44775</v>
      </c>
      <c r="B126" s="74" t="s">
        <v>24765</v>
      </c>
      <c r="C126" s="75" t="s">
        <v>481</v>
      </c>
      <c r="D126" s="176">
        <v>730.4</v>
      </c>
      <c r="E126" s="151">
        <v>44775</v>
      </c>
      <c r="F126" s="176">
        <v>730.4</v>
      </c>
      <c r="G126" s="177">
        <f>Tabla19[[#This Row],[Importe]]-Tabla19[[#This Row],[Pagado]]</f>
        <v>0</v>
      </c>
      <c r="H126" s="75" t="s">
        <v>10</v>
      </c>
    </row>
    <row r="127" spans="1:8" x14ac:dyDescent="0.25">
      <c r="A127" s="148">
        <v>44775</v>
      </c>
      <c r="B127" s="149" t="s">
        <v>24766</v>
      </c>
      <c r="C127" s="153" t="s">
        <v>481</v>
      </c>
      <c r="D127" s="178">
        <v>193.2</v>
      </c>
      <c r="E127" s="155">
        <v>44775</v>
      </c>
      <c r="F127" s="178">
        <v>193.2</v>
      </c>
      <c r="G127" s="179">
        <f>Tabla19[[#This Row],[Importe]]-Tabla19[[#This Row],[Pagado]]</f>
        <v>0</v>
      </c>
      <c r="H127" s="153" t="s">
        <v>10</v>
      </c>
    </row>
    <row r="128" spans="1:8" x14ac:dyDescent="0.25">
      <c r="A128" s="73">
        <v>44775</v>
      </c>
      <c r="B128" s="74" t="s">
        <v>24767</v>
      </c>
      <c r="C128" s="75" t="s">
        <v>24768</v>
      </c>
      <c r="D128" s="176">
        <v>4683.3</v>
      </c>
      <c r="E128" s="151">
        <v>44775</v>
      </c>
      <c r="F128" s="176">
        <v>4683.3</v>
      </c>
      <c r="G128" s="177">
        <f>Tabla19[[#This Row],[Importe]]-Tabla19[[#This Row],[Pagado]]</f>
        <v>0</v>
      </c>
      <c r="H128" s="75" t="s">
        <v>10</v>
      </c>
    </row>
    <row r="129" spans="1:8" x14ac:dyDescent="0.25">
      <c r="A129" s="148">
        <v>44775</v>
      </c>
      <c r="B129" s="149" t="s">
        <v>24769</v>
      </c>
      <c r="C129" s="153" t="s">
        <v>79</v>
      </c>
      <c r="D129" s="178">
        <v>27267.599999999999</v>
      </c>
      <c r="E129" s="155">
        <v>44775</v>
      </c>
      <c r="F129" s="178">
        <v>27267.599999999999</v>
      </c>
      <c r="G129" s="179">
        <f>Tabla19[[#This Row],[Importe]]-Tabla19[[#This Row],[Pagado]]</f>
        <v>0</v>
      </c>
      <c r="H129" s="153" t="s">
        <v>10</v>
      </c>
    </row>
    <row r="130" spans="1:8" x14ac:dyDescent="0.25">
      <c r="A130" s="73">
        <v>44775</v>
      </c>
      <c r="B130" s="74" t="s">
        <v>24770</v>
      </c>
      <c r="C130" s="75" t="s">
        <v>357</v>
      </c>
      <c r="D130" s="176">
        <v>1619.2</v>
      </c>
      <c r="E130" s="151">
        <v>44775</v>
      </c>
      <c r="F130" s="176">
        <v>1619.2</v>
      </c>
      <c r="G130" s="177">
        <f>Tabla19[[#This Row],[Importe]]-Tabla19[[#This Row],[Pagado]]</f>
        <v>0</v>
      </c>
      <c r="H130" s="75" t="s">
        <v>10</v>
      </c>
    </row>
    <row r="131" spans="1:8" x14ac:dyDescent="0.25">
      <c r="A131" s="148">
        <v>44775</v>
      </c>
      <c r="B131" s="149" t="s">
        <v>24771</v>
      </c>
      <c r="C131" s="153" t="s">
        <v>9</v>
      </c>
      <c r="D131" s="178">
        <v>8837.6</v>
      </c>
      <c r="E131" s="155">
        <v>44775</v>
      </c>
      <c r="F131" s="178">
        <v>8837.6</v>
      </c>
      <c r="G131" s="179">
        <f>Tabla19[[#This Row],[Importe]]-Tabla19[[#This Row],[Pagado]]</f>
        <v>0</v>
      </c>
      <c r="H131" s="153" t="s">
        <v>10</v>
      </c>
    </row>
    <row r="132" spans="1:8" x14ac:dyDescent="0.25">
      <c r="A132" s="73">
        <v>44775</v>
      </c>
      <c r="B132" s="74" t="s">
        <v>24772</v>
      </c>
      <c r="C132" s="75" t="s">
        <v>140</v>
      </c>
      <c r="D132" s="176">
        <v>1460.8</v>
      </c>
      <c r="E132" s="151">
        <v>44775</v>
      </c>
      <c r="F132" s="176">
        <v>1460.8</v>
      </c>
      <c r="G132" s="177">
        <f>Tabla19[[#This Row],[Importe]]-Tabla19[[#This Row],[Pagado]]</f>
        <v>0</v>
      </c>
      <c r="H132" s="75" t="s">
        <v>10</v>
      </c>
    </row>
    <row r="133" spans="1:8" x14ac:dyDescent="0.25">
      <c r="A133" s="148">
        <v>44775</v>
      </c>
      <c r="B133" s="149" t="s">
        <v>24773</v>
      </c>
      <c r="C133" s="153" t="s">
        <v>129</v>
      </c>
      <c r="D133" s="178">
        <v>2060.8000000000002</v>
      </c>
      <c r="E133" s="155">
        <v>44775</v>
      </c>
      <c r="F133" s="178">
        <v>2060.8000000000002</v>
      </c>
      <c r="G133" s="179">
        <f>Tabla19[[#This Row],[Importe]]-Tabla19[[#This Row],[Pagado]]</f>
        <v>0</v>
      </c>
      <c r="H133" s="153" t="s">
        <v>10</v>
      </c>
    </row>
    <row r="134" spans="1:8" x14ac:dyDescent="0.25">
      <c r="A134" s="73">
        <v>44775</v>
      </c>
      <c r="B134" s="74" t="s">
        <v>24774</v>
      </c>
      <c r="C134" s="75" t="s">
        <v>127</v>
      </c>
      <c r="D134" s="176">
        <v>1487.2</v>
      </c>
      <c r="E134" s="151">
        <v>44775</v>
      </c>
      <c r="F134" s="176">
        <v>1487.2</v>
      </c>
      <c r="G134" s="177">
        <f>Tabla19[[#This Row],[Importe]]-Tabla19[[#This Row],[Pagado]]</f>
        <v>0</v>
      </c>
      <c r="H134" s="75" t="s">
        <v>10</v>
      </c>
    </row>
    <row r="135" spans="1:8" x14ac:dyDescent="0.25">
      <c r="A135" s="148">
        <v>44775</v>
      </c>
      <c r="B135" s="149" t="s">
        <v>24775</v>
      </c>
      <c r="C135" s="153" t="s">
        <v>314</v>
      </c>
      <c r="D135" s="178">
        <v>4117.3</v>
      </c>
      <c r="E135" s="155">
        <v>44775</v>
      </c>
      <c r="F135" s="178">
        <v>4117.3</v>
      </c>
      <c r="G135" s="179">
        <f>Tabla19[[#This Row],[Importe]]-Tabla19[[#This Row],[Pagado]]</f>
        <v>0</v>
      </c>
      <c r="H135" s="153" t="s">
        <v>10</v>
      </c>
    </row>
    <row r="136" spans="1:8" x14ac:dyDescent="0.25">
      <c r="A136" s="73">
        <v>44775</v>
      </c>
      <c r="B136" s="74" t="s">
        <v>24776</v>
      </c>
      <c r="C136" s="75" t="s">
        <v>466</v>
      </c>
      <c r="D136" s="176">
        <v>26240</v>
      </c>
      <c r="E136" s="151">
        <v>44775</v>
      </c>
      <c r="F136" s="176">
        <v>26240</v>
      </c>
      <c r="G136" s="177">
        <f>Tabla19[[#This Row],[Importe]]-Tabla19[[#This Row],[Pagado]]</f>
        <v>0</v>
      </c>
      <c r="H136" s="75" t="s">
        <v>10</v>
      </c>
    </row>
    <row r="137" spans="1:8" x14ac:dyDescent="0.25">
      <c r="A137" s="148">
        <v>44775</v>
      </c>
      <c r="B137" s="149" t="s">
        <v>24777</v>
      </c>
      <c r="C137" s="153" t="s">
        <v>83</v>
      </c>
      <c r="D137" s="178">
        <v>12742.6</v>
      </c>
      <c r="E137" s="155">
        <v>44775</v>
      </c>
      <c r="F137" s="178">
        <v>12742.6</v>
      </c>
      <c r="G137" s="179">
        <f>Tabla19[[#This Row],[Importe]]-Tabla19[[#This Row],[Pagado]]</f>
        <v>0</v>
      </c>
      <c r="H137" s="153" t="s">
        <v>10</v>
      </c>
    </row>
    <row r="138" spans="1:8" ht="31.5" x14ac:dyDescent="0.25">
      <c r="A138" s="73">
        <v>44775</v>
      </c>
      <c r="B138" s="74" t="s">
        <v>24778</v>
      </c>
      <c r="C138" s="75" t="s">
        <v>22</v>
      </c>
      <c r="D138" s="176">
        <v>51494.5</v>
      </c>
      <c r="E138" s="147" t="s">
        <v>24636</v>
      </c>
      <c r="F138" s="176">
        <f>33000+18494.5</f>
        <v>51494.5</v>
      </c>
      <c r="G138" s="177">
        <f>Tabla19[[#This Row],[Importe]]-Tabla19[[#This Row],[Pagado]]</f>
        <v>0</v>
      </c>
      <c r="H138" s="75" t="s">
        <v>10</v>
      </c>
    </row>
    <row r="139" spans="1:8" x14ac:dyDescent="0.25">
      <c r="A139" s="148">
        <v>44775</v>
      </c>
      <c r="B139" s="149" t="s">
        <v>24779</v>
      </c>
      <c r="C139" s="153" t="s">
        <v>49</v>
      </c>
      <c r="D139" s="178">
        <v>4188.8</v>
      </c>
      <c r="E139" s="155">
        <v>44775</v>
      </c>
      <c r="F139" s="178">
        <v>4188.8</v>
      </c>
      <c r="G139" s="179">
        <f>Tabla19[[#This Row],[Importe]]-Tabla19[[#This Row],[Pagado]]</f>
        <v>0</v>
      </c>
      <c r="H139" s="153" t="s">
        <v>10</v>
      </c>
    </row>
    <row r="140" spans="1:8" x14ac:dyDescent="0.25">
      <c r="A140" s="73">
        <v>44775</v>
      </c>
      <c r="B140" s="74" t="s">
        <v>24780</v>
      </c>
      <c r="C140" s="75" t="s">
        <v>16</v>
      </c>
      <c r="D140" s="176">
        <v>5798.6</v>
      </c>
      <c r="E140" s="151">
        <v>44775</v>
      </c>
      <c r="F140" s="176">
        <v>5798.6</v>
      </c>
      <c r="G140" s="177">
        <f>Tabla19[[#This Row],[Importe]]-Tabla19[[#This Row],[Pagado]]</f>
        <v>0</v>
      </c>
      <c r="H140" s="75" t="s">
        <v>10</v>
      </c>
    </row>
    <row r="141" spans="1:8" x14ac:dyDescent="0.25">
      <c r="A141" s="148">
        <v>44775</v>
      </c>
      <c r="B141" s="149" t="s">
        <v>24781</v>
      </c>
      <c r="C141" s="153" t="s">
        <v>45</v>
      </c>
      <c r="D141" s="178">
        <v>13503.4</v>
      </c>
      <c r="E141" s="155">
        <v>44775</v>
      </c>
      <c r="F141" s="178">
        <v>13503.4</v>
      </c>
      <c r="G141" s="179">
        <f>Tabla19[[#This Row],[Importe]]-Tabla19[[#This Row],[Pagado]]</f>
        <v>0</v>
      </c>
      <c r="H141" s="153" t="s">
        <v>10</v>
      </c>
    </row>
    <row r="142" spans="1:8" x14ac:dyDescent="0.25">
      <c r="A142" s="73">
        <v>44775</v>
      </c>
      <c r="B142" s="74" t="s">
        <v>24782</v>
      </c>
      <c r="C142" s="75" t="s">
        <v>142</v>
      </c>
      <c r="D142" s="176">
        <v>33703.32</v>
      </c>
      <c r="E142" s="151" t="s">
        <v>4813</v>
      </c>
      <c r="F142" s="176">
        <v>0</v>
      </c>
      <c r="G142" s="177">
        <f>Tabla19[[#This Row],[Importe]]-Tabla19[[#This Row],[Pagado]]</f>
        <v>33703.32</v>
      </c>
      <c r="H142" s="75" t="s">
        <v>4814</v>
      </c>
    </row>
    <row r="143" spans="1:8" x14ac:dyDescent="0.25">
      <c r="A143" s="148">
        <v>44775</v>
      </c>
      <c r="B143" s="149" t="s">
        <v>24783</v>
      </c>
      <c r="C143" s="153" t="s">
        <v>11033</v>
      </c>
      <c r="D143" s="178">
        <v>1975</v>
      </c>
      <c r="E143" s="155">
        <v>44775</v>
      </c>
      <c r="F143" s="178">
        <v>1975</v>
      </c>
      <c r="G143" s="179">
        <f>Tabla19[[#This Row],[Importe]]-Tabla19[[#This Row],[Pagado]]</f>
        <v>0</v>
      </c>
      <c r="H143" s="153" t="s">
        <v>10</v>
      </c>
    </row>
    <row r="144" spans="1:8" x14ac:dyDescent="0.25">
      <c r="A144" s="73">
        <v>44775</v>
      </c>
      <c r="B144" s="74" t="s">
        <v>24784</v>
      </c>
      <c r="C144" s="75" t="s">
        <v>56</v>
      </c>
      <c r="D144" s="176">
        <v>8642.4</v>
      </c>
      <c r="E144" s="151">
        <v>44775</v>
      </c>
      <c r="F144" s="176">
        <v>8642.4</v>
      </c>
      <c r="G144" s="177">
        <f>Tabla19[[#This Row],[Importe]]-Tabla19[[#This Row],[Pagado]]</f>
        <v>0</v>
      </c>
      <c r="H144" s="75" t="s">
        <v>10</v>
      </c>
    </row>
    <row r="145" spans="1:8" x14ac:dyDescent="0.25">
      <c r="A145" s="148">
        <v>44775</v>
      </c>
      <c r="B145" s="149" t="s">
        <v>24785</v>
      </c>
      <c r="C145" s="153" t="s">
        <v>37</v>
      </c>
      <c r="D145" s="178">
        <v>3220.8</v>
      </c>
      <c r="E145" s="155">
        <v>44775</v>
      </c>
      <c r="F145" s="178">
        <v>3220.8</v>
      </c>
      <c r="G145" s="179">
        <f>Tabla19[[#This Row],[Importe]]-Tabla19[[#This Row],[Pagado]]</f>
        <v>0</v>
      </c>
      <c r="H145" s="153" t="s">
        <v>10</v>
      </c>
    </row>
    <row r="146" spans="1:8" x14ac:dyDescent="0.25">
      <c r="A146" s="73">
        <v>44775</v>
      </c>
      <c r="B146" s="74" t="s">
        <v>24786</v>
      </c>
      <c r="C146" s="75" t="s">
        <v>37</v>
      </c>
      <c r="D146" s="176">
        <v>320</v>
      </c>
      <c r="E146" s="151">
        <v>44775</v>
      </c>
      <c r="F146" s="176">
        <v>320</v>
      </c>
      <c r="G146" s="177">
        <f>Tabla19[[#This Row],[Importe]]-Tabla19[[#This Row],[Pagado]]</f>
        <v>0</v>
      </c>
      <c r="H146" s="75" t="s">
        <v>10</v>
      </c>
    </row>
    <row r="147" spans="1:8" x14ac:dyDescent="0.25">
      <c r="A147" s="148">
        <v>44775</v>
      </c>
      <c r="B147" s="149" t="s">
        <v>24787</v>
      </c>
      <c r="C147" s="153" t="s">
        <v>224</v>
      </c>
      <c r="D147" s="178">
        <v>658</v>
      </c>
      <c r="E147" s="155">
        <v>44775</v>
      </c>
      <c r="F147" s="178">
        <v>658</v>
      </c>
      <c r="G147" s="179">
        <f>Tabla19[[#This Row],[Importe]]-Tabla19[[#This Row],[Pagado]]</f>
        <v>0</v>
      </c>
      <c r="H147" s="153" t="s">
        <v>10</v>
      </c>
    </row>
    <row r="148" spans="1:8" x14ac:dyDescent="0.25">
      <c r="A148" s="73">
        <v>44775</v>
      </c>
      <c r="B148" s="74" t="s">
        <v>24788</v>
      </c>
      <c r="C148" s="75" t="s">
        <v>179</v>
      </c>
      <c r="D148" s="176">
        <v>2383.8000000000002</v>
      </c>
      <c r="E148" s="151">
        <v>44775</v>
      </c>
      <c r="F148" s="176">
        <v>2383.8000000000002</v>
      </c>
      <c r="G148" s="177">
        <f>Tabla19[[#This Row],[Importe]]-Tabla19[[#This Row],[Pagado]]</f>
        <v>0</v>
      </c>
      <c r="H148" s="75" t="s">
        <v>10</v>
      </c>
    </row>
    <row r="149" spans="1:8" x14ac:dyDescent="0.25">
      <c r="A149" s="148">
        <v>44775</v>
      </c>
      <c r="B149" s="149" t="s">
        <v>24789</v>
      </c>
      <c r="C149" s="153" t="s">
        <v>275</v>
      </c>
      <c r="D149" s="178">
        <v>167278.57999999999</v>
      </c>
      <c r="E149" s="155">
        <v>44792</v>
      </c>
      <c r="F149" s="178">
        <v>167278.57999999999</v>
      </c>
      <c r="G149" s="179">
        <f>Tabla19[[#This Row],[Importe]]-Tabla19[[#This Row],[Pagado]]</f>
        <v>0</v>
      </c>
      <c r="H149" s="153" t="s">
        <v>10</v>
      </c>
    </row>
    <row r="150" spans="1:8" x14ac:dyDescent="0.25">
      <c r="A150" s="73">
        <v>44775</v>
      </c>
      <c r="B150" s="74" t="s">
        <v>24790</v>
      </c>
      <c r="C150" s="75" t="s">
        <v>382</v>
      </c>
      <c r="D150" s="176">
        <v>4019.4</v>
      </c>
      <c r="E150" s="151">
        <v>44775</v>
      </c>
      <c r="F150" s="176">
        <v>4019.4</v>
      </c>
      <c r="G150" s="177">
        <f>Tabla19[[#This Row],[Importe]]-Tabla19[[#This Row],[Pagado]]</f>
        <v>0</v>
      </c>
      <c r="H150" s="75" t="s">
        <v>10</v>
      </c>
    </row>
    <row r="151" spans="1:8" x14ac:dyDescent="0.25">
      <c r="A151" s="148">
        <v>44775</v>
      </c>
      <c r="B151" s="149" t="s">
        <v>24791</v>
      </c>
      <c r="C151" s="153" t="s">
        <v>17989</v>
      </c>
      <c r="D151" s="178">
        <v>0</v>
      </c>
      <c r="E151" s="158" t="s">
        <v>189</v>
      </c>
      <c r="F151" s="178">
        <v>0</v>
      </c>
      <c r="G151" s="179">
        <f>Tabla19[[#This Row],[Importe]]-Tabla19[[#This Row],[Pagado]]</f>
        <v>0</v>
      </c>
      <c r="H151" s="153" t="s">
        <v>189</v>
      </c>
    </row>
    <row r="152" spans="1:8" x14ac:dyDescent="0.25">
      <c r="A152" s="73">
        <v>44775</v>
      </c>
      <c r="B152" s="74" t="s">
        <v>24792</v>
      </c>
      <c r="C152" s="75" t="s">
        <v>275</v>
      </c>
      <c r="D152" s="176">
        <v>246</v>
      </c>
      <c r="E152" s="151">
        <v>44792</v>
      </c>
      <c r="F152" s="176">
        <v>246</v>
      </c>
      <c r="G152" s="177">
        <f>Tabla19[[#This Row],[Importe]]-Tabla19[[#This Row],[Pagado]]</f>
        <v>0</v>
      </c>
      <c r="H152" s="75" t="s">
        <v>10</v>
      </c>
    </row>
    <row r="153" spans="1:8" x14ac:dyDescent="0.25">
      <c r="A153" s="148">
        <v>44775</v>
      </c>
      <c r="B153" s="149" t="s">
        <v>24793</v>
      </c>
      <c r="C153" s="153" t="s">
        <v>151</v>
      </c>
      <c r="D153" s="178">
        <v>18303.3</v>
      </c>
      <c r="E153" s="155">
        <v>44775</v>
      </c>
      <c r="F153" s="178">
        <v>18303.3</v>
      </c>
      <c r="G153" s="179">
        <f>Tabla19[[#This Row],[Importe]]-Tabla19[[#This Row],[Pagado]]</f>
        <v>0</v>
      </c>
      <c r="H153" s="153" t="s">
        <v>10</v>
      </c>
    </row>
    <row r="154" spans="1:8" x14ac:dyDescent="0.25">
      <c r="A154" s="73">
        <v>44775</v>
      </c>
      <c r="B154" s="74" t="s">
        <v>24794</v>
      </c>
      <c r="C154" s="75" t="s">
        <v>934</v>
      </c>
      <c r="D154" s="176">
        <v>1934.04</v>
      </c>
      <c r="E154" s="151">
        <v>44775</v>
      </c>
      <c r="F154" s="176">
        <v>1934.04</v>
      </c>
      <c r="G154" s="177">
        <f>Tabla19[[#This Row],[Importe]]-Tabla19[[#This Row],[Pagado]]</f>
        <v>0</v>
      </c>
      <c r="H154" s="75" t="s">
        <v>10</v>
      </c>
    </row>
    <row r="155" spans="1:8" x14ac:dyDescent="0.25">
      <c r="A155" s="148">
        <v>44775</v>
      </c>
      <c r="B155" s="149" t="s">
        <v>24795</v>
      </c>
      <c r="C155" s="153" t="s">
        <v>319</v>
      </c>
      <c r="D155" s="178">
        <v>10400.6</v>
      </c>
      <c r="E155" s="155">
        <v>44775</v>
      </c>
      <c r="F155" s="178">
        <v>10400.6</v>
      </c>
      <c r="G155" s="179">
        <f>Tabla19[[#This Row],[Importe]]-Tabla19[[#This Row],[Pagado]]</f>
        <v>0</v>
      </c>
      <c r="H155" s="153" t="s">
        <v>10</v>
      </c>
    </row>
    <row r="156" spans="1:8" x14ac:dyDescent="0.25">
      <c r="A156" s="73">
        <v>44775</v>
      </c>
      <c r="B156" s="74" t="s">
        <v>24796</v>
      </c>
      <c r="C156" s="75" t="s">
        <v>157</v>
      </c>
      <c r="D156" s="176">
        <v>5688.1</v>
      </c>
      <c r="E156" s="151">
        <v>44775</v>
      </c>
      <c r="F156" s="176">
        <v>5688.1</v>
      </c>
      <c r="G156" s="177">
        <f>Tabla19[[#This Row],[Importe]]-Tabla19[[#This Row],[Pagado]]</f>
        <v>0</v>
      </c>
      <c r="H156" s="75" t="s">
        <v>10</v>
      </c>
    </row>
    <row r="157" spans="1:8" x14ac:dyDescent="0.25">
      <c r="A157" s="148">
        <v>44775</v>
      </c>
      <c r="B157" s="149" t="s">
        <v>24797</v>
      </c>
      <c r="C157" s="153" t="s">
        <v>24</v>
      </c>
      <c r="D157" s="178">
        <v>2419.1999999999998</v>
      </c>
      <c r="E157" s="155">
        <v>44775</v>
      </c>
      <c r="F157" s="178">
        <v>2419.1999999999998</v>
      </c>
      <c r="G157" s="179">
        <f>Tabla19[[#This Row],[Importe]]-Tabla19[[#This Row],[Pagado]]</f>
        <v>0</v>
      </c>
      <c r="H157" s="153" t="s">
        <v>10</v>
      </c>
    </row>
    <row r="158" spans="1:8" x14ac:dyDescent="0.25">
      <c r="A158" s="73">
        <v>44775</v>
      </c>
      <c r="B158" s="74" t="s">
        <v>24798</v>
      </c>
      <c r="C158" s="75" t="s">
        <v>518</v>
      </c>
      <c r="D158" s="176">
        <v>1719.1</v>
      </c>
      <c r="E158" s="151">
        <v>44775</v>
      </c>
      <c r="F158" s="176">
        <v>1719.1</v>
      </c>
      <c r="G158" s="177">
        <f>Tabla19[[#This Row],[Importe]]-Tabla19[[#This Row],[Pagado]]</f>
        <v>0</v>
      </c>
      <c r="H158" s="75" t="s">
        <v>10</v>
      </c>
    </row>
    <row r="159" spans="1:8" x14ac:dyDescent="0.25">
      <c r="A159" s="148">
        <v>44775</v>
      </c>
      <c r="B159" s="149" t="s">
        <v>24799</v>
      </c>
      <c r="C159" s="153" t="s">
        <v>525</v>
      </c>
      <c r="D159" s="178">
        <v>2860</v>
      </c>
      <c r="E159" s="155">
        <v>44775</v>
      </c>
      <c r="F159" s="178">
        <v>2860</v>
      </c>
      <c r="G159" s="179">
        <f>Tabla19[[#This Row],[Importe]]-Tabla19[[#This Row],[Pagado]]</f>
        <v>0</v>
      </c>
      <c r="H159" s="153" t="s">
        <v>10</v>
      </c>
    </row>
    <row r="160" spans="1:8" x14ac:dyDescent="0.25">
      <c r="A160" s="73">
        <v>44775</v>
      </c>
      <c r="B160" s="74" t="s">
        <v>24800</v>
      </c>
      <c r="C160" s="75" t="s">
        <v>9415</v>
      </c>
      <c r="D160" s="176">
        <v>14987</v>
      </c>
      <c r="E160" s="151">
        <v>44797</v>
      </c>
      <c r="F160" s="176">
        <v>14987</v>
      </c>
      <c r="G160" s="177">
        <f>Tabla19[[#This Row],[Importe]]-Tabla19[[#This Row],[Pagado]]</f>
        <v>0</v>
      </c>
      <c r="H160" s="75" t="s">
        <v>10</v>
      </c>
    </row>
    <row r="161" spans="1:8" x14ac:dyDescent="0.25">
      <c r="A161" s="148">
        <v>44775</v>
      </c>
      <c r="B161" s="149" t="s">
        <v>24801</v>
      </c>
      <c r="C161" s="153" t="s">
        <v>67</v>
      </c>
      <c r="D161" s="178">
        <v>3061.1</v>
      </c>
      <c r="E161" s="155">
        <v>44775</v>
      </c>
      <c r="F161" s="178">
        <v>3061.1</v>
      </c>
      <c r="G161" s="179">
        <f>Tabla19[[#This Row],[Importe]]-Tabla19[[#This Row],[Pagado]]</f>
        <v>0</v>
      </c>
      <c r="H161" s="153" t="s">
        <v>10</v>
      </c>
    </row>
    <row r="162" spans="1:8" x14ac:dyDescent="0.25">
      <c r="A162" s="73">
        <v>44775</v>
      </c>
      <c r="B162" s="74" t="s">
        <v>24802</v>
      </c>
      <c r="C162" s="75" t="s">
        <v>419</v>
      </c>
      <c r="D162" s="176">
        <v>6296.2</v>
      </c>
      <c r="E162" s="151">
        <v>44775</v>
      </c>
      <c r="F162" s="176">
        <v>6296.2</v>
      </c>
      <c r="G162" s="177">
        <f>Tabla19[[#This Row],[Importe]]-Tabla19[[#This Row],[Pagado]]</f>
        <v>0</v>
      </c>
      <c r="H162" s="75" t="s">
        <v>10</v>
      </c>
    </row>
    <row r="163" spans="1:8" x14ac:dyDescent="0.25">
      <c r="A163" s="148">
        <v>44775</v>
      </c>
      <c r="B163" s="149" t="s">
        <v>24803</v>
      </c>
      <c r="C163" s="153" t="s">
        <v>289</v>
      </c>
      <c r="D163" s="178">
        <v>14337.6</v>
      </c>
      <c r="E163" s="155">
        <v>44775</v>
      </c>
      <c r="F163" s="178">
        <v>14337.6</v>
      </c>
      <c r="G163" s="179">
        <f>Tabla19[[#This Row],[Importe]]-Tabla19[[#This Row],[Pagado]]</f>
        <v>0</v>
      </c>
      <c r="H163" s="153" t="s">
        <v>10</v>
      </c>
    </row>
    <row r="164" spans="1:8" x14ac:dyDescent="0.25">
      <c r="A164" s="73">
        <v>44775</v>
      </c>
      <c r="B164" s="74" t="s">
        <v>24804</v>
      </c>
      <c r="C164" s="75" t="s">
        <v>31</v>
      </c>
      <c r="D164" s="176">
        <v>5920.4</v>
      </c>
      <c r="E164" s="151">
        <v>44775</v>
      </c>
      <c r="F164" s="176">
        <v>5920.4</v>
      </c>
      <c r="G164" s="177">
        <f>Tabla19[[#This Row],[Importe]]-Tabla19[[#This Row],[Pagado]]</f>
        <v>0</v>
      </c>
      <c r="H164" s="75" t="s">
        <v>10</v>
      </c>
    </row>
    <row r="165" spans="1:8" x14ac:dyDescent="0.25">
      <c r="A165" s="148">
        <v>44775</v>
      </c>
      <c r="B165" s="149" t="s">
        <v>24805</v>
      </c>
      <c r="C165" s="153" t="s">
        <v>9415</v>
      </c>
      <c r="D165" s="178">
        <v>1568</v>
      </c>
      <c r="E165" s="155">
        <v>44797</v>
      </c>
      <c r="F165" s="178">
        <v>1568</v>
      </c>
      <c r="G165" s="179">
        <f>Tabla19[[#This Row],[Importe]]-Tabla19[[#This Row],[Pagado]]</f>
        <v>0</v>
      </c>
      <c r="H165" s="153" t="s">
        <v>10</v>
      </c>
    </row>
    <row r="166" spans="1:8" x14ac:dyDescent="0.25">
      <c r="A166" s="73">
        <v>44775</v>
      </c>
      <c r="B166" s="74" t="s">
        <v>24806</v>
      </c>
      <c r="C166" s="75" t="s">
        <v>698</v>
      </c>
      <c r="D166" s="176">
        <v>8905.5</v>
      </c>
      <c r="E166" s="151">
        <v>44775</v>
      </c>
      <c r="F166" s="176">
        <v>8905.5</v>
      </c>
      <c r="G166" s="177">
        <f>Tabla19[[#This Row],[Importe]]-Tabla19[[#This Row],[Pagado]]</f>
        <v>0</v>
      </c>
      <c r="H166" s="75" t="s">
        <v>10</v>
      </c>
    </row>
    <row r="167" spans="1:8" x14ac:dyDescent="0.25">
      <c r="A167" s="148">
        <v>44775</v>
      </c>
      <c r="B167" s="149" t="s">
        <v>24807</v>
      </c>
      <c r="C167" s="153" t="s">
        <v>440</v>
      </c>
      <c r="D167" s="178">
        <v>11351.36</v>
      </c>
      <c r="E167" s="155">
        <v>44791</v>
      </c>
      <c r="F167" s="178">
        <v>11351.36</v>
      </c>
      <c r="G167" s="179">
        <f>Tabla19[[#This Row],[Importe]]-Tabla19[[#This Row],[Pagado]]</f>
        <v>0</v>
      </c>
      <c r="H167" s="153" t="s">
        <v>10</v>
      </c>
    </row>
    <row r="168" spans="1:8" x14ac:dyDescent="0.25">
      <c r="A168" s="73">
        <v>44775</v>
      </c>
      <c r="B168" s="74" t="s">
        <v>24808</v>
      </c>
      <c r="C168" s="75" t="s">
        <v>233</v>
      </c>
      <c r="D168" s="176">
        <v>6612</v>
      </c>
      <c r="E168" s="151">
        <v>44775</v>
      </c>
      <c r="F168" s="176">
        <v>6612</v>
      </c>
      <c r="G168" s="177">
        <f>Tabla19[[#This Row],[Importe]]-Tabla19[[#This Row],[Pagado]]</f>
        <v>0</v>
      </c>
      <c r="H168" s="75" t="s">
        <v>10</v>
      </c>
    </row>
    <row r="169" spans="1:8" x14ac:dyDescent="0.25">
      <c r="A169" s="148">
        <v>44775</v>
      </c>
      <c r="B169" s="149" t="s">
        <v>24809</v>
      </c>
      <c r="C169" s="153" t="s">
        <v>204</v>
      </c>
      <c r="D169" s="178">
        <v>3055.5</v>
      </c>
      <c r="E169" s="155">
        <v>44775</v>
      </c>
      <c r="F169" s="178">
        <v>3055.5</v>
      </c>
      <c r="G169" s="179">
        <f>Tabla19[[#This Row],[Importe]]-Tabla19[[#This Row],[Pagado]]</f>
        <v>0</v>
      </c>
      <c r="H169" s="153" t="s">
        <v>10</v>
      </c>
    </row>
    <row r="170" spans="1:8" x14ac:dyDescent="0.25">
      <c r="A170" s="73">
        <v>44775</v>
      </c>
      <c r="B170" s="74" t="s">
        <v>24810</v>
      </c>
      <c r="C170" s="75" t="s">
        <v>3747</v>
      </c>
      <c r="D170" s="176">
        <v>6320</v>
      </c>
      <c r="E170" s="151">
        <v>44775</v>
      </c>
      <c r="F170" s="176">
        <v>6320</v>
      </c>
      <c r="G170" s="177">
        <f>Tabla19[[#This Row],[Importe]]-Tabla19[[#This Row],[Pagado]]</f>
        <v>0</v>
      </c>
      <c r="H170" s="75" t="s">
        <v>10</v>
      </c>
    </row>
    <row r="171" spans="1:8" x14ac:dyDescent="0.25">
      <c r="A171" s="148">
        <v>44775</v>
      </c>
      <c r="B171" s="149" t="s">
        <v>24811</v>
      </c>
      <c r="C171" s="153" t="s">
        <v>1239</v>
      </c>
      <c r="D171" s="178">
        <v>42196</v>
      </c>
      <c r="E171" s="155">
        <v>44775</v>
      </c>
      <c r="F171" s="178">
        <v>42196</v>
      </c>
      <c r="G171" s="179">
        <f>Tabla19[[#This Row],[Importe]]-Tabla19[[#This Row],[Pagado]]</f>
        <v>0</v>
      </c>
      <c r="H171" s="153" t="s">
        <v>10</v>
      </c>
    </row>
    <row r="172" spans="1:8" x14ac:dyDescent="0.25">
      <c r="A172" s="73">
        <v>44775</v>
      </c>
      <c r="B172" s="74" t="s">
        <v>24812</v>
      </c>
      <c r="C172" s="75" t="s">
        <v>4136</v>
      </c>
      <c r="D172" s="176">
        <v>2020.1</v>
      </c>
      <c r="E172" s="151">
        <v>44775</v>
      </c>
      <c r="F172" s="176">
        <v>2020.1</v>
      </c>
      <c r="G172" s="177">
        <f>Tabla19[[#This Row],[Importe]]-Tabla19[[#This Row],[Pagado]]</f>
        <v>0</v>
      </c>
      <c r="H172" s="75" t="s">
        <v>10</v>
      </c>
    </row>
    <row r="173" spans="1:8" x14ac:dyDescent="0.25">
      <c r="A173" s="148">
        <v>44775</v>
      </c>
      <c r="B173" s="149" t="s">
        <v>24813</v>
      </c>
      <c r="C173" s="153" t="s">
        <v>24284</v>
      </c>
      <c r="D173" s="178">
        <v>1583.4</v>
      </c>
      <c r="E173" s="155">
        <v>44775</v>
      </c>
      <c r="F173" s="178">
        <v>1583.4</v>
      </c>
      <c r="G173" s="179">
        <f>Tabla19[[#This Row],[Importe]]-Tabla19[[#This Row],[Pagado]]</f>
        <v>0</v>
      </c>
      <c r="H173" s="153" t="s">
        <v>10</v>
      </c>
    </row>
    <row r="174" spans="1:8" x14ac:dyDescent="0.25">
      <c r="A174" s="73">
        <v>44775</v>
      </c>
      <c r="B174" s="74" t="s">
        <v>24814</v>
      </c>
      <c r="C174" s="75" t="s">
        <v>107</v>
      </c>
      <c r="D174" s="176">
        <v>16262.4</v>
      </c>
      <c r="E174" s="151">
        <v>44775</v>
      </c>
      <c r="F174" s="176">
        <v>16262.4</v>
      </c>
      <c r="G174" s="177">
        <f>Tabla19[[#This Row],[Importe]]-Tabla19[[#This Row],[Pagado]]</f>
        <v>0</v>
      </c>
      <c r="H174" s="75" t="s">
        <v>10</v>
      </c>
    </row>
    <row r="175" spans="1:8" x14ac:dyDescent="0.25">
      <c r="A175" s="148">
        <v>44775</v>
      </c>
      <c r="B175" s="149" t="s">
        <v>24815</v>
      </c>
      <c r="C175" s="153" t="s">
        <v>1265</v>
      </c>
      <c r="D175" s="178">
        <v>623.70000000000005</v>
      </c>
      <c r="E175" s="155">
        <v>44775</v>
      </c>
      <c r="F175" s="178">
        <v>623.70000000000005</v>
      </c>
      <c r="G175" s="179">
        <f>Tabla19[[#This Row],[Importe]]-Tabla19[[#This Row],[Pagado]]</f>
        <v>0</v>
      </c>
      <c r="H175" s="153" t="s">
        <v>10</v>
      </c>
    </row>
    <row r="176" spans="1:8" x14ac:dyDescent="0.25">
      <c r="A176" s="73">
        <v>44775</v>
      </c>
      <c r="B176" s="74" t="s">
        <v>24816</v>
      </c>
      <c r="C176" s="75" t="s">
        <v>1362</v>
      </c>
      <c r="D176" s="176">
        <v>5385.6</v>
      </c>
      <c r="E176" s="151">
        <v>44775</v>
      </c>
      <c r="F176" s="176">
        <v>5385.6</v>
      </c>
      <c r="G176" s="177">
        <f>Tabla19[[#This Row],[Importe]]-Tabla19[[#This Row],[Pagado]]</f>
        <v>0</v>
      </c>
      <c r="H176" s="75" t="s">
        <v>10</v>
      </c>
    </row>
    <row r="177" spans="1:8" x14ac:dyDescent="0.25">
      <c r="A177" s="148">
        <v>44775</v>
      </c>
      <c r="B177" s="149" t="s">
        <v>24817</v>
      </c>
      <c r="C177" s="153" t="s">
        <v>146</v>
      </c>
      <c r="D177" s="178">
        <v>4062.9</v>
      </c>
      <c r="E177" s="155">
        <v>44775</v>
      </c>
      <c r="F177" s="178">
        <v>4062.9</v>
      </c>
      <c r="G177" s="179">
        <f>Tabla19[[#This Row],[Importe]]-Tabla19[[#This Row],[Pagado]]</f>
        <v>0</v>
      </c>
      <c r="H177" s="153" t="s">
        <v>10</v>
      </c>
    </row>
    <row r="178" spans="1:8" x14ac:dyDescent="0.25">
      <c r="A178" s="73">
        <v>44775</v>
      </c>
      <c r="B178" s="74" t="s">
        <v>24818</v>
      </c>
      <c r="C178" s="75" t="s">
        <v>191</v>
      </c>
      <c r="D178" s="176">
        <v>1603.7</v>
      </c>
      <c r="E178" s="151">
        <v>44775</v>
      </c>
      <c r="F178" s="176">
        <v>1603.7</v>
      </c>
      <c r="G178" s="177">
        <f>Tabla19[[#This Row],[Importe]]-Tabla19[[#This Row],[Pagado]]</f>
        <v>0</v>
      </c>
      <c r="H178" s="75" t="s">
        <v>10</v>
      </c>
    </row>
    <row r="179" spans="1:8" x14ac:dyDescent="0.25">
      <c r="A179" s="148">
        <v>44775</v>
      </c>
      <c r="B179" s="149" t="s">
        <v>24819</v>
      </c>
      <c r="C179" s="153" t="s">
        <v>200</v>
      </c>
      <c r="D179" s="178">
        <v>1374.6</v>
      </c>
      <c r="E179" s="155">
        <v>44776</v>
      </c>
      <c r="F179" s="178">
        <v>1374.6</v>
      </c>
      <c r="G179" s="179">
        <f>Tabla19[[#This Row],[Importe]]-Tabla19[[#This Row],[Pagado]]</f>
        <v>0</v>
      </c>
      <c r="H179" s="153" t="s">
        <v>10</v>
      </c>
    </row>
    <row r="180" spans="1:8" x14ac:dyDescent="0.25">
      <c r="A180" s="73">
        <v>44775</v>
      </c>
      <c r="B180" s="74" t="s">
        <v>24820</v>
      </c>
      <c r="C180" s="75" t="s">
        <v>359</v>
      </c>
      <c r="D180" s="176">
        <v>799.8</v>
      </c>
      <c r="E180" s="151">
        <v>44776</v>
      </c>
      <c r="F180" s="176">
        <v>799.8</v>
      </c>
      <c r="G180" s="177">
        <f>Tabla19[[#This Row],[Importe]]-Tabla19[[#This Row],[Pagado]]</f>
        <v>0</v>
      </c>
      <c r="H180" s="75" t="s">
        <v>10</v>
      </c>
    </row>
    <row r="181" spans="1:8" x14ac:dyDescent="0.25">
      <c r="A181" s="148">
        <v>44775</v>
      </c>
      <c r="B181" s="149" t="s">
        <v>24821</v>
      </c>
      <c r="C181" s="153" t="s">
        <v>280</v>
      </c>
      <c r="D181" s="178">
        <v>1409.4</v>
      </c>
      <c r="E181" s="155">
        <v>44776</v>
      </c>
      <c r="F181" s="178">
        <v>1409.4</v>
      </c>
      <c r="G181" s="179">
        <f>Tabla19[[#This Row],[Importe]]-Tabla19[[#This Row],[Pagado]]</f>
        <v>0</v>
      </c>
      <c r="H181" s="153" t="s">
        <v>10</v>
      </c>
    </row>
    <row r="182" spans="1:8" x14ac:dyDescent="0.25">
      <c r="A182" s="73">
        <v>44775</v>
      </c>
      <c r="B182" s="74" t="s">
        <v>24822</v>
      </c>
      <c r="C182" s="75" t="s">
        <v>5345</v>
      </c>
      <c r="D182" s="176">
        <v>3784.5</v>
      </c>
      <c r="E182" s="151">
        <v>44776</v>
      </c>
      <c r="F182" s="176">
        <v>3784.5</v>
      </c>
      <c r="G182" s="177">
        <f>Tabla19[[#This Row],[Importe]]-Tabla19[[#This Row],[Pagado]]</f>
        <v>0</v>
      </c>
      <c r="H182" s="75" t="s">
        <v>10</v>
      </c>
    </row>
    <row r="183" spans="1:8" x14ac:dyDescent="0.25">
      <c r="A183" s="148">
        <v>44775</v>
      </c>
      <c r="B183" s="149" t="s">
        <v>24823</v>
      </c>
      <c r="C183" s="153" t="s">
        <v>31</v>
      </c>
      <c r="D183" s="178">
        <v>1390.4</v>
      </c>
      <c r="E183" s="155">
        <v>44775</v>
      </c>
      <c r="F183" s="178">
        <v>1390.4</v>
      </c>
      <c r="G183" s="179">
        <f>Tabla19[[#This Row],[Importe]]-Tabla19[[#This Row],[Pagado]]</f>
        <v>0</v>
      </c>
      <c r="H183" s="153" t="s">
        <v>10</v>
      </c>
    </row>
    <row r="184" spans="1:8" x14ac:dyDescent="0.25">
      <c r="A184" s="73">
        <v>44775</v>
      </c>
      <c r="B184" s="74" t="s">
        <v>24824</v>
      </c>
      <c r="C184" s="75" t="s">
        <v>296</v>
      </c>
      <c r="D184" s="176">
        <v>4907.1000000000004</v>
      </c>
      <c r="E184" s="151">
        <v>44775</v>
      </c>
      <c r="F184" s="176">
        <v>4907.1000000000004</v>
      </c>
      <c r="G184" s="177">
        <f>Tabla19[[#This Row],[Importe]]-Tabla19[[#This Row],[Pagado]]</f>
        <v>0</v>
      </c>
      <c r="H184" s="75" t="s">
        <v>10</v>
      </c>
    </row>
    <row r="185" spans="1:8" x14ac:dyDescent="0.25">
      <c r="A185" s="148">
        <v>44775</v>
      </c>
      <c r="B185" s="149" t="s">
        <v>24825</v>
      </c>
      <c r="C185" s="153" t="s">
        <v>414</v>
      </c>
      <c r="D185" s="178">
        <v>26274</v>
      </c>
      <c r="E185" s="155">
        <v>44786</v>
      </c>
      <c r="F185" s="178">
        <v>26274</v>
      </c>
      <c r="G185" s="179">
        <f>Tabla19[[#This Row],[Importe]]-Tabla19[[#This Row],[Pagado]]</f>
        <v>0</v>
      </c>
      <c r="H185" s="153" t="s">
        <v>10</v>
      </c>
    </row>
    <row r="186" spans="1:8" x14ac:dyDescent="0.25">
      <c r="A186" s="73">
        <v>44775</v>
      </c>
      <c r="B186" s="74" t="s">
        <v>24826</v>
      </c>
      <c r="C186" s="75" t="s">
        <v>421</v>
      </c>
      <c r="D186" s="176">
        <v>5694.4</v>
      </c>
      <c r="E186" s="151">
        <v>44775</v>
      </c>
      <c r="F186" s="176">
        <v>5694.4</v>
      </c>
      <c r="G186" s="177">
        <f>Tabla19[[#This Row],[Importe]]-Tabla19[[#This Row],[Pagado]]</f>
        <v>0</v>
      </c>
      <c r="H186" s="75" t="s">
        <v>10</v>
      </c>
    </row>
    <row r="187" spans="1:8" x14ac:dyDescent="0.25">
      <c r="A187" s="148">
        <v>44775</v>
      </c>
      <c r="B187" s="149" t="s">
        <v>24827</v>
      </c>
      <c r="C187" s="153" t="s">
        <v>246</v>
      </c>
      <c r="D187" s="178">
        <v>21651.599999999999</v>
      </c>
      <c r="E187" s="155">
        <v>44775</v>
      </c>
      <c r="F187" s="178">
        <v>21651.599999999999</v>
      </c>
      <c r="G187" s="179">
        <f>Tabla19[[#This Row],[Importe]]-Tabla19[[#This Row],[Pagado]]</f>
        <v>0</v>
      </c>
      <c r="H187" s="153" t="s">
        <v>10</v>
      </c>
    </row>
    <row r="188" spans="1:8" x14ac:dyDescent="0.25">
      <c r="A188" s="73">
        <v>44775</v>
      </c>
      <c r="B188" s="74" t="s">
        <v>24828</v>
      </c>
      <c r="C188" s="75" t="s">
        <v>433</v>
      </c>
      <c r="D188" s="176">
        <v>30450</v>
      </c>
      <c r="E188" s="151">
        <v>44775</v>
      </c>
      <c r="F188" s="176">
        <v>30450</v>
      </c>
      <c r="G188" s="177">
        <f>Tabla19[[#This Row],[Importe]]-Tabla19[[#This Row],[Pagado]]</f>
        <v>0</v>
      </c>
      <c r="H188" s="75" t="s">
        <v>10</v>
      </c>
    </row>
    <row r="189" spans="1:8" x14ac:dyDescent="0.25">
      <c r="A189" s="148">
        <v>44775</v>
      </c>
      <c r="B189" s="149" t="s">
        <v>24829</v>
      </c>
      <c r="C189" s="153" t="s">
        <v>214</v>
      </c>
      <c r="D189" s="178">
        <v>11571.5</v>
      </c>
      <c r="E189" s="155">
        <v>44776</v>
      </c>
      <c r="F189" s="178">
        <v>11571.5</v>
      </c>
      <c r="G189" s="179">
        <f>Tabla19[[#This Row],[Importe]]-Tabla19[[#This Row],[Pagado]]</f>
        <v>0</v>
      </c>
      <c r="H189" s="153" t="s">
        <v>10</v>
      </c>
    </row>
    <row r="190" spans="1:8" x14ac:dyDescent="0.25">
      <c r="A190" s="73">
        <v>44775</v>
      </c>
      <c r="B190" s="74" t="s">
        <v>24830</v>
      </c>
      <c r="C190" s="75" t="s">
        <v>284</v>
      </c>
      <c r="D190" s="176">
        <v>9117.6</v>
      </c>
      <c r="E190" s="151">
        <v>44776</v>
      </c>
      <c r="F190" s="176">
        <v>9117.6</v>
      </c>
      <c r="G190" s="177">
        <f>Tabla19[[#This Row],[Importe]]-Tabla19[[#This Row],[Pagado]]</f>
        <v>0</v>
      </c>
      <c r="H190" s="75" t="s">
        <v>10</v>
      </c>
    </row>
    <row r="191" spans="1:8" x14ac:dyDescent="0.25">
      <c r="A191" s="148">
        <v>44775</v>
      </c>
      <c r="B191" s="149" t="s">
        <v>24831</v>
      </c>
      <c r="C191" s="153" t="s">
        <v>282</v>
      </c>
      <c r="D191" s="178">
        <v>2470.8000000000002</v>
      </c>
      <c r="E191" s="155">
        <v>44776</v>
      </c>
      <c r="F191" s="178">
        <v>2470.8000000000002</v>
      </c>
      <c r="G191" s="179">
        <f>Tabla19[[#This Row],[Importe]]-Tabla19[[#This Row],[Pagado]]</f>
        <v>0</v>
      </c>
      <c r="H191" s="153" t="s">
        <v>10</v>
      </c>
    </row>
    <row r="192" spans="1:8" x14ac:dyDescent="0.25">
      <c r="A192" s="73">
        <v>44775</v>
      </c>
      <c r="B192" s="74" t="s">
        <v>24832</v>
      </c>
      <c r="C192" s="75" t="s">
        <v>2139</v>
      </c>
      <c r="D192" s="176">
        <v>5163.6000000000004</v>
      </c>
      <c r="E192" s="151">
        <v>44775</v>
      </c>
      <c r="F192" s="176">
        <v>5163.6000000000004</v>
      </c>
      <c r="G192" s="177">
        <f>Tabla19[[#This Row],[Importe]]-Tabla19[[#This Row],[Pagado]]</f>
        <v>0</v>
      </c>
      <c r="H192" s="75" t="s">
        <v>10</v>
      </c>
    </row>
    <row r="193" spans="1:8" x14ac:dyDescent="0.25">
      <c r="A193" s="148">
        <v>44775</v>
      </c>
      <c r="B193" s="149" t="s">
        <v>24833</v>
      </c>
      <c r="C193" s="153" t="s">
        <v>43</v>
      </c>
      <c r="D193" s="178">
        <v>14688.9</v>
      </c>
      <c r="E193" s="155">
        <v>44793</v>
      </c>
      <c r="F193" s="178">
        <v>14688.9</v>
      </c>
      <c r="G193" s="179">
        <f>Tabla19[[#This Row],[Importe]]-Tabla19[[#This Row],[Pagado]]</f>
        <v>0</v>
      </c>
      <c r="H193" s="153" t="s">
        <v>10</v>
      </c>
    </row>
    <row r="194" spans="1:8" x14ac:dyDescent="0.25">
      <c r="A194" s="73">
        <v>44775</v>
      </c>
      <c r="B194" s="74" t="s">
        <v>24834</v>
      </c>
      <c r="C194" s="75" t="s">
        <v>10678</v>
      </c>
      <c r="D194" s="176">
        <v>2695</v>
      </c>
      <c r="E194" s="151">
        <v>44775</v>
      </c>
      <c r="F194" s="176">
        <v>2695</v>
      </c>
      <c r="G194" s="177">
        <f>Tabla19[[#This Row],[Importe]]-Tabla19[[#This Row],[Pagado]]</f>
        <v>0</v>
      </c>
      <c r="H194" s="75" t="s">
        <v>10</v>
      </c>
    </row>
    <row r="195" spans="1:8" x14ac:dyDescent="0.25">
      <c r="A195" s="148">
        <v>44775</v>
      </c>
      <c r="B195" s="149" t="s">
        <v>24835</v>
      </c>
      <c r="C195" s="153" t="s">
        <v>31</v>
      </c>
      <c r="D195" s="178">
        <v>135</v>
      </c>
      <c r="E195" s="155">
        <v>44775</v>
      </c>
      <c r="F195" s="178">
        <v>135</v>
      </c>
      <c r="G195" s="179">
        <f>Tabla19[[#This Row],[Importe]]-Tabla19[[#This Row],[Pagado]]</f>
        <v>0</v>
      </c>
      <c r="H195" s="153" t="s">
        <v>10</v>
      </c>
    </row>
    <row r="196" spans="1:8" x14ac:dyDescent="0.25">
      <c r="A196" s="73">
        <v>44775</v>
      </c>
      <c r="B196" s="74" t="s">
        <v>24836</v>
      </c>
      <c r="C196" s="75" t="s">
        <v>1008</v>
      </c>
      <c r="D196" s="176">
        <v>3447.6</v>
      </c>
      <c r="E196" s="151">
        <v>44775</v>
      </c>
      <c r="F196" s="176">
        <v>3447.6</v>
      </c>
      <c r="G196" s="177">
        <f>Tabla19[[#This Row],[Importe]]-Tabla19[[#This Row],[Pagado]]</f>
        <v>0</v>
      </c>
      <c r="H196" s="75" t="s">
        <v>10</v>
      </c>
    </row>
    <row r="197" spans="1:8" x14ac:dyDescent="0.25">
      <c r="A197" s="148">
        <v>44775</v>
      </c>
      <c r="B197" s="149" t="s">
        <v>24837</v>
      </c>
      <c r="C197" s="153" t="s">
        <v>53</v>
      </c>
      <c r="D197" s="178">
        <v>765.6</v>
      </c>
      <c r="E197" s="155">
        <v>44775</v>
      </c>
      <c r="F197" s="178">
        <v>765.6</v>
      </c>
      <c r="G197" s="179">
        <f>Tabla19[[#This Row],[Importe]]-Tabla19[[#This Row],[Pagado]]</f>
        <v>0</v>
      </c>
      <c r="H197" s="153" t="s">
        <v>10</v>
      </c>
    </row>
    <row r="198" spans="1:8" x14ac:dyDescent="0.25">
      <c r="A198" s="73">
        <v>44775</v>
      </c>
      <c r="B198" s="74" t="s">
        <v>24838</v>
      </c>
      <c r="C198" s="75" t="s">
        <v>179</v>
      </c>
      <c r="D198" s="176">
        <v>2296.8000000000002</v>
      </c>
      <c r="E198" s="151">
        <v>44776</v>
      </c>
      <c r="F198" s="176">
        <v>2296.8000000000002</v>
      </c>
      <c r="G198" s="177">
        <f>Tabla19[[#This Row],[Importe]]-Tabla19[[#This Row],[Pagado]]</f>
        <v>0</v>
      </c>
      <c r="H198" s="75" t="s">
        <v>10</v>
      </c>
    </row>
    <row r="199" spans="1:8" x14ac:dyDescent="0.25">
      <c r="A199" s="148">
        <v>44775</v>
      </c>
      <c r="B199" s="149" t="s">
        <v>24839</v>
      </c>
      <c r="C199" s="153" t="s">
        <v>291</v>
      </c>
      <c r="D199" s="178">
        <v>3174</v>
      </c>
      <c r="E199" s="155">
        <v>44776</v>
      </c>
      <c r="F199" s="178">
        <v>3174</v>
      </c>
      <c r="G199" s="179">
        <f>Tabla19[[#This Row],[Importe]]-Tabla19[[#This Row],[Pagado]]</f>
        <v>0</v>
      </c>
      <c r="H199" s="153" t="s">
        <v>10</v>
      </c>
    </row>
    <row r="200" spans="1:8" x14ac:dyDescent="0.25">
      <c r="A200" s="73">
        <v>44775</v>
      </c>
      <c r="B200" s="74" t="s">
        <v>24840</v>
      </c>
      <c r="C200" s="75" t="s">
        <v>196</v>
      </c>
      <c r="D200" s="176">
        <v>11743.2</v>
      </c>
      <c r="E200" s="151">
        <v>44778</v>
      </c>
      <c r="F200" s="176">
        <v>11743.2</v>
      </c>
      <c r="G200" s="177">
        <f>Tabla19[[#This Row],[Importe]]-Tabla19[[#This Row],[Pagado]]</f>
        <v>0</v>
      </c>
      <c r="H200" s="75" t="s">
        <v>10</v>
      </c>
    </row>
    <row r="201" spans="1:8" x14ac:dyDescent="0.25">
      <c r="A201" s="148">
        <v>44775</v>
      </c>
      <c r="B201" s="149" t="s">
        <v>24841</v>
      </c>
      <c r="C201" s="153" t="s">
        <v>31</v>
      </c>
      <c r="D201" s="178">
        <v>88</v>
      </c>
      <c r="E201" s="155">
        <v>44776</v>
      </c>
      <c r="F201" s="178">
        <v>88</v>
      </c>
      <c r="G201" s="179">
        <f>Tabla19[[#This Row],[Importe]]-Tabla19[[#This Row],[Pagado]]</f>
        <v>0</v>
      </c>
      <c r="H201" s="153" t="s">
        <v>10</v>
      </c>
    </row>
    <row r="202" spans="1:8" x14ac:dyDescent="0.25">
      <c r="A202" s="73">
        <v>44775</v>
      </c>
      <c r="B202" s="74" t="s">
        <v>24842</v>
      </c>
      <c r="C202" s="75" t="s">
        <v>10324</v>
      </c>
      <c r="D202" s="176">
        <v>3897.6</v>
      </c>
      <c r="E202" s="151">
        <v>44775</v>
      </c>
      <c r="F202" s="176">
        <v>3897.6</v>
      </c>
      <c r="G202" s="177">
        <f>Tabla19[[#This Row],[Importe]]-Tabla19[[#This Row],[Pagado]]</f>
        <v>0</v>
      </c>
      <c r="H202" s="75" t="s">
        <v>10</v>
      </c>
    </row>
    <row r="203" spans="1:8" x14ac:dyDescent="0.25">
      <c r="A203" s="148">
        <v>44775</v>
      </c>
      <c r="B203" s="149" t="s">
        <v>24843</v>
      </c>
      <c r="C203" s="153" t="s">
        <v>6170</v>
      </c>
      <c r="D203" s="178">
        <v>0</v>
      </c>
      <c r="E203" s="158" t="s">
        <v>189</v>
      </c>
      <c r="F203" s="178">
        <v>0</v>
      </c>
      <c r="G203" s="179">
        <f>Tabla19[[#This Row],[Importe]]-Tabla19[[#This Row],[Pagado]]</f>
        <v>0</v>
      </c>
      <c r="H203" s="153" t="s">
        <v>189</v>
      </c>
    </row>
    <row r="204" spans="1:8" x14ac:dyDescent="0.25">
      <c r="A204" s="73">
        <v>44775</v>
      </c>
      <c r="B204" s="74" t="s">
        <v>24844</v>
      </c>
      <c r="C204" s="75" t="s">
        <v>12</v>
      </c>
      <c r="D204" s="176">
        <v>770</v>
      </c>
      <c r="E204" s="151">
        <v>44775</v>
      </c>
      <c r="F204" s="176">
        <v>770</v>
      </c>
      <c r="G204" s="177">
        <f>Tabla19[[#This Row],[Importe]]-Tabla19[[#This Row],[Pagado]]</f>
        <v>0</v>
      </c>
      <c r="H204" s="75" t="s">
        <v>10</v>
      </c>
    </row>
    <row r="205" spans="1:8" x14ac:dyDescent="0.25">
      <c r="A205" s="148">
        <v>44775</v>
      </c>
      <c r="B205" s="149" t="s">
        <v>24845</v>
      </c>
      <c r="C205" s="153" t="s">
        <v>1706</v>
      </c>
      <c r="D205" s="178">
        <v>13067.6</v>
      </c>
      <c r="E205" s="155">
        <v>44775</v>
      </c>
      <c r="F205" s="178">
        <v>13067.6</v>
      </c>
      <c r="G205" s="179">
        <f>Tabla19[[#This Row],[Importe]]-Tabla19[[#This Row],[Pagado]]</f>
        <v>0</v>
      </c>
      <c r="H205" s="153" t="s">
        <v>10</v>
      </c>
    </row>
    <row r="206" spans="1:8" x14ac:dyDescent="0.25">
      <c r="A206" s="73">
        <v>44775</v>
      </c>
      <c r="B206" s="74" t="s">
        <v>24846</v>
      </c>
      <c r="C206" s="75" t="s">
        <v>24847</v>
      </c>
      <c r="D206" s="176">
        <v>0</v>
      </c>
      <c r="E206" s="157" t="s">
        <v>189</v>
      </c>
      <c r="F206" s="176">
        <v>0</v>
      </c>
      <c r="G206" s="177">
        <f>Tabla19[[#This Row],[Importe]]-Tabla19[[#This Row],[Pagado]]</f>
        <v>0</v>
      </c>
      <c r="H206" s="75" t="s">
        <v>189</v>
      </c>
    </row>
    <row r="207" spans="1:8" x14ac:dyDescent="0.25">
      <c r="A207" s="148">
        <v>44775</v>
      </c>
      <c r="B207" s="149" t="s">
        <v>24848</v>
      </c>
      <c r="C207" s="153" t="s">
        <v>31</v>
      </c>
      <c r="D207" s="178">
        <v>1661.4</v>
      </c>
      <c r="E207" s="155">
        <v>44776</v>
      </c>
      <c r="F207" s="178">
        <v>1661.4</v>
      </c>
      <c r="G207" s="179">
        <f>Tabla19[[#This Row],[Importe]]-Tabla19[[#This Row],[Pagado]]</f>
        <v>0</v>
      </c>
      <c r="H207" s="153" t="s">
        <v>10</v>
      </c>
    </row>
    <row r="208" spans="1:8" x14ac:dyDescent="0.25">
      <c r="A208" s="73">
        <v>44776</v>
      </c>
      <c r="B208" s="74" t="s">
        <v>24849</v>
      </c>
      <c r="C208" s="75" t="s">
        <v>887</v>
      </c>
      <c r="D208" s="176">
        <v>15760.8</v>
      </c>
      <c r="E208" s="151">
        <v>44776</v>
      </c>
      <c r="F208" s="176">
        <v>15760.8</v>
      </c>
      <c r="G208" s="177">
        <f>Tabla19[[#This Row],[Importe]]-Tabla19[[#This Row],[Pagado]]</f>
        <v>0</v>
      </c>
      <c r="H208" s="75" t="s">
        <v>10</v>
      </c>
    </row>
    <row r="209" spans="1:8" x14ac:dyDescent="0.25">
      <c r="A209" s="148">
        <v>44776</v>
      </c>
      <c r="B209" s="149" t="s">
        <v>24850</v>
      </c>
      <c r="C209" s="153" t="s">
        <v>87</v>
      </c>
      <c r="D209" s="178">
        <v>3758.3</v>
      </c>
      <c r="E209" s="155">
        <v>44776</v>
      </c>
      <c r="F209" s="178">
        <v>3758.3</v>
      </c>
      <c r="G209" s="179">
        <f>Tabla19[[#This Row],[Importe]]-Tabla19[[#This Row],[Pagado]]</f>
        <v>0</v>
      </c>
      <c r="H209" s="153" t="s">
        <v>10</v>
      </c>
    </row>
    <row r="210" spans="1:8" x14ac:dyDescent="0.25">
      <c r="A210" s="73">
        <v>44776</v>
      </c>
      <c r="B210" s="74" t="s">
        <v>24851</v>
      </c>
      <c r="C210" s="75" t="s">
        <v>475</v>
      </c>
      <c r="D210" s="176">
        <v>79411.600000000006</v>
      </c>
      <c r="E210" s="151">
        <v>44777</v>
      </c>
      <c r="F210" s="176">
        <v>79411.600000000006</v>
      </c>
      <c r="G210" s="177">
        <f>Tabla19[[#This Row],[Importe]]-Tabla19[[#This Row],[Pagado]]</f>
        <v>0</v>
      </c>
      <c r="H210" s="75" t="s">
        <v>10</v>
      </c>
    </row>
    <row r="211" spans="1:8" x14ac:dyDescent="0.25">
      <c r="A211" s="148">
        <v>44776</v>
      </c>
      <c r="B211" s="149" t="s">
        <v>24852</v>
      </c>
      <c r="C211" s="153" t="s">
        <v>83</v>
      </c>
      <c r="D211" s="178">
        <v>6107.6</v>
      </c>
      <c r="E211" s="155">
        <v>44776</v>
      </c>
      <c r="F211" s="178">
        <v>6107.6</v>
      </c>
      <c r="G211" s="179">
        <f>Tabla19[[#This Row],[Importe]]-Tabla19[[#This Row],[Pagado]]</f>
        <v>0</v>
      </c>
      <c r="H211" s="153" t="s">
        <v>10</v>
      </c>
    </row>
    <row r="212" spans="1:8" x14ac:dyDescent="0.25">
      <c r="A212" s="73">
        <v>44776</v>
      </c>
      <c r="B212" s="74" t="s">
        <v>24853</v>
      </c>
      <c r="C212" s="75" t="s">
        <v>275</v>
      </c>
      <c r="D212" s="176">
        <v>6165.3</v>
      </c>
      <c r="E212" s="151">
        <v>44792</v>
      </c>
      <c r="F212" s="176">
        <v>6165.3</v>
      </c>
      <c r="G212" s="177">
        <f>Tabla19[[#This Row],[Importe]]-Tabla19[[#This Row],[Pagado]]</f>
        <v>0</v>
      </c>
      <c r="H212" s="75" t="s">
        <v>10</v>
      </c>
    </row>
    <row r="213" spans="1:8" x14ac:dyDescent="0.25">
      <c r="A213" s="148">
        <v>44776</v>
      </c>
      <c r="B213" s="149" t="s">
        <v>24854</v>
      </c>
      <c r="C213" s="153" t="s">
        <v>333</v>
      </c>
      <c r="D213" s="178">
        <v>1117</v>
      </c>
      <c r="E213" s="155">
        <v>44776</v>
      </c>
      <c r="F213" s="178">
        <v>1117</v>
      </c>
      <c r="G213" s="179">
        <f>Tabla19[[#This Row],[Importe]]-Tabla19[[#This Row],[Pagado]]</f>
        <v>0</v>
      </c>
      <c r="H213" s="153" t="s">
        <v>10</v>
      </c>
    </row>
    <row r="214" spans="1:8" x14ac:dyDescent="0.25">
      <c r="A214" s="73">
        <v>44776</v>
      </c>
      <c r="B214" s="74" t="s">
        <v>24855</v>
      </c>
      <c r="C214" s="75" t="s">
        <v>60</v>
      </c>
      <c r="D214" s="176">
        <v>5134.8</v>
      </c>
      <c r="E214" s="151">
        <v>44783</v>
      </c>
      <c r="F214" s="176">
        <v>5134.8</v>
      </c>
      <c r="G214" s="177">
        <f>Tabla19[[#This Row],[Importe]]-Tabla19[[#This Row],[Pagado]]</f>
        <v>0</v>
      </c>
      <c r="H214" s="75" t="s">
        <v>10</v>
      </c>
    </row>
    <row r="215" spans="1:8" x14ac:dyDescent="0.25">
      <c r="A215" s="148">
        <v>44776</v>
      </c>
      <c r="B215" s="149" t="s">
        <v>24856</v>
      </c>
      <c r="C215" s="153" t="s">
        <v>111</v>
      </c>
      <c r="D215" s="178">
        <v>5062.3999999999996</v>
      </c>
      <c r="E215" s="155">
        <v>44777</v>
      </c>
      <c r="F215" s="178">
        <v>5062.3999999999996</v>
      </c>
      <c r="G215" s="179">
        <f>Tabla19[[#This Row],[Importe]]-Tabla19[[#This Row],[Pagado]]</f>
        <v>0</v>
      </c>
      <c r="H215" s="153" t="s">
        <v>10</v>
      </c>
    </row>
    <row r="216" spans="1:8" x14ac:dyDescent="0.25">
      <c r="A216" s="73">
        <v>44776</v>
      </c>
      <c r="B216" s="74" t="s">
        <v>24857</v>
      </c>
      <c r="C216" s="75" t="s">
        <v>146</v>
      </c>
      <c r="D216" s="176">
        <v>4819.8</v>
      </c>
      <c r="E216" s="151">
        <v>44776</v>
      </c>
      <c r="F216" s="176">
        <v>4819.8</v>
      </c>
      <c r="G216" s="177">
        <f>Tabla19[[#This Row],[Importe]]-Tabla19[[#This Row],[Pagado]]</f>
        <v>0</v>
      </c>
      <c r="H216" s="75" t="s">
        <v>10</v>
      </c>
    </row>
    <row r="217" spans="1:8" x14ac:dyDescent="0.25">
      <c r="A217" s="148">
        <v>44776</v>
      </c>
      <c r="B217" s="149" t="s">
        <v>24858</v>
      </c>
      <c r="C217" s="153" t="s">
        <v>114</v>
      </c>
      <c r="D217" s="178">
        <v>11468.8</v>
      </c>
      <c r="E217" s="155">
        <v>44779</v>
      </c>
      <c r="F217" s="178">
        <v>11468.8</v>
      </c>
      <c r="G217" s="179">
        <f>Tabla19[[#This Row],[Importe]]-Tabla19[[#This Row],[Pagado]]</f>
        <v>0</v>
      </c>
      <c r="H217" s="153" t="s">
        <v>10</v>
      </c>
    </row>
    <row r="218" spans="1:8" x14ac:dyDescent="0.25">
      <c r="A218" s="73">
        <v>44776</v>
      </c>
      <c r="B218" s="74" t="s">
        <v>24859</v>
      </c>
      <c r="C218" s="75" t="s">
        <v>64</v>
      </c>
      <c r="D218" s="176">
        <v>4705.8</v>
      </c>
      <c r="E218" s="151">
        <v>44778</v>
      </c>
      <c r="F218" s="176">
        <v>4705.8</v>
      </c>
      <c r="G218" s="177">
        <f>Tabla19[[#This Row],[Importe]]-Tabla19[[#This Row],[Pagado]]</f>
        <v>0</v>
      </c>
      <c r="H218" s="75" t="s">
        <v>10</v>
      </c>
    </row>
    <row r="219" spans="1:8" x14ac:dyDescent="0.25">
      <c r="A219" s="148">
        <v>44776</v>
      </c>
      <c r="B219" s="149" t="s">
        <v>24860</v>
      </c>
      <c r="C219" s="153" t="s">
        <v>97</v>
      </c>
      <c r="D219" s="178">
        <v>4950</v>
      </c>
      <c r="E219" s="155">
        <v>44777</v>
      </c>
      <c r="F219" s="178">
        <v>4950</v>
      </c>
      <c r="G219" s="179">
        <f>Tabla19[[#This Row],[Importe]]-Tabla19[[#This Row],[Pagado]]</f>
        <v>0</v>
      </c>
      <c r="H219" s="153" t="s">
        <v>10</v>
      </c>
    </row>
    <row r="220" spans="1:8" x14ac:dyDescent="0.25">
      <c r="A220" s="73">
        <v>44776</v>
      </c>
      <c r="B220" s="74" t="s">
        <v>24861</v>
      </c>
      <c r="C220" s="75" t="s">
        <v>326</v>
      </c>
      <c r="D220" s="176">
        <v>4890.6000000000004</v>
      </c>
      <c r="E220" s="151">
        <v>44778</v>
      </c>
      <c r="F220" s="176">
        <v>4890.6000000000004</v>
      </c>
      <c r="G220" s="177">
        <f>Tabla19[[#This Row],[Importe]]-Tabla19[[#This Row],[Pagado]]</f>
        <v>0</v>
      </c>
      <c r="H220" s="75" t="s">
        <v>10</v>
      </c>
    </row>
    <row r="221" spans="1:8" x14ac:dyDescent="0.25">
      <c r="A221" s="148">
        <v>44776</v>
      </c>
      <c r="B221" s="149" t="s">
        <v>24862</v>
      </c>
      <c r="C221" s="153" t="s">
        <v>93</v>
      </c>
      <c r="D221" s="178">
        <v>5132.8</v>
      </c>
      <c r="E221" s="155">
        <v>44778</v>
      </c>
      <c r="F221" s="178">
        <v>5132.8</v>
      </c>
      <c r="G221" s="179">
        <f>Tabla19[[#This Row],[Importe]]-Tabla19[[#This Row],[Pagado]]</f>
        <v>0</v>
      </c>
      <c r="H221" s="153" t="s">
        <v>10</v>
      </c>
    </row>
    <row r="222" spans="1:8" x14ac:dyDescent="0.25">
      <c r="A222" s="73">
        <v>44776</v>
      </c>
      <c r="B222" s="74" t="s">
        <v>24863</v>
      </c>
      <c r="C222" s="75" t="s">
        <v>89</v>
      </c>
      <c r="D222" s="176">
        <v>10311.299999999999</v>
      </c>
      <c r="E222" s="151">
        <v>44777</v>
      </c>
      <c r="F222" s="176">
        <v>10311.299999999999</v>
      </c>
      <c r="G222" s="177">
        <f>Tabla19[[#This Row],[Importe]]-Tabla19[[#This Row],[Pagado]]</f>
        <v>0</v>
      </c>
      <c r="H222" s="75" t="s">
        <v>10</v>
      </c>
    </row>
    <row r="223" spans="1:8" x14ac:dyDescent="0.25">
      <c r="A223" s="148">
        <v>44776</v>
      </c>
      <c r="B223" s="149" t="s">
        <v>24864</v>
      </c>
      <c r="C223" s="153" t="s">
        <v>348</v>
      </c>
      <c r="D223" s="178">
        <v>4279.3</v>
      </c>
      <c r="E223" s="155">
        <v>44776</v>
      </c>
      <c r="F223" s="178">
        <v>4279.3</v>
      </c>
      <c r="G223" s="179">
        <f>Tabla19[[#This Row],[Importe]]-Tabla19[[#This Row],[Pagado]]</f>
        <v>0</v>
      </c>
      <c r="H223" s="153" t="s">
        <v>10</v>
      </c>
    </row>
    <row r="224" spans="1:8" x14ac:dyDescent="0.25">
      <c r="A224" s="73">
        <v>44776</v>
      </c>
      <c r="B224" s="74" t="s">
        <v>24865</v>
      </c>
      <c r="C224" s="75" t="s">
        <v>345</v>
      </c>
      <c r="D224" s="176">
        <v>1635.6</v>
      </c>
      <c r="E224" s="151">
        <v>44776</v>
      </c>
      <c r="F224" s="176">
        <v>1635.6</v>
      </c>
      <c r="G224" s="177">
        <f>Tabla19[[#This Row],[Importe]]-Tabla19[[#This Row],[Pagado]]</f>
        <v>0</v>
      </c>
      <c r="H224" s="75" t="s">
        <v>10</v>
      </c>
    </row>
    <row r="225" spans="1:8" x14ac:dyDescent="0.25">
      <c r="A225" s="148">
        <v>44776</v>
      </c>
      <c r="B225" s="149" t="s">
        <v>24866</v>
      </c>
      <c r="C225" s="153" t="s">
        <v>2151</v>
      </c>
      <c r="D225" s="178">
        <v>21547</v>
      </c>
      <c r="E225" s="155">
        <v>44776</v>
      </c>
      <c r="F225" s="178">
        <v>21547</v>
      </c>
      <c r="G225" s="179">
        <f>Tabla19[[#This Row],[Importe]]-Tabla19[[#This Row],[Pagado]]</f>
        <v>0</v>
      </c>
      <c r="H225" s="153" t="s">
        <v>10</v>
      </c>
    </row>
    <row r="226" spans="1:8" ht="31.5" x14ac:dyDescent="0.25">
      <c r="A226" s="73">
        <v>44776</v>
      </c>
      <c r="B226" s="74" t="s">
        <v>24867</v>
      </c>
      <c r="C226" s="75" t="s">
        <v>99</v>
      </c>
      <c r="D226" s="176">
        <v>5273.6</v>
      </c>
      <c r="E226" s="147" t="s">
        <v>24868</v>
      </c>
      <c r="F226" s="176">
        <f>2500+2773.6</f>
        <v>5273.6</v>
      </c>
      <c r="G226" s="177">
        <f>Tabla19[[#This Row],[Importe]]-Tabla19[[#This Row],[Pagado]]</f>
        <v>0</v>
      </c>
      <c r="H226" s="75" t="s">
        <v>10</v>
      </c>
    </row>
    <row r="227" spans="1:8" x14ac:dyDescent="0.25">
      <c r="A227" s="148">
        <v>44776</v>
      </c>
      <c r="B227" s="149" t="s">
        <v>24869</v>
      </c>
      <c r="C227" s="153" t="s">
        <v>212</v>
      </c>
      <c r="D227" s="178">
        <v>14568.4</v>
      </c>
      <c r="E227" s="155">
        <v>44777</v>
      </c>
      <c r="F227" s="178">
        <v>14568.4</v>
      </c>
      <c r="G227" s="179">
        <f>Tabla19[[#This Row],[Importe]]-Tabla19[[#This Row],[Pagado]]</f>
        <v>0</v>
      </c>
      <c r="H227" s="153" t="s">
        <v>10</v>
      </c>
    </row>
    <row r="228" spans="1:8" x14ac:dyDescent="0.25">
      <c r="A228" s="73">
        <v>44776</v>
      </c>
      <c r="B228" s="74" t="s">
        <v>24870</v>
      </c>
      <c r="C228" s="75" t="s">
        <v>218</v>
      </c>
      <c r="D228" s="176">
        <v>18106.2</v>
      </c>
      <c r="E228" s="151">
        <v>44779</v>
      </c>
      <c r="F228" s="176">
        <v>18106.2</v>
      </c>
      <c r="G228" s="177">
        <f>Tabla19[[#This Row],[Importe]]-Tabla19[[#This Row],[Pagado]]</f>
        <v>0</v>
      </c>
      <c r="H228" s="75" t="s">
        <v>10</v>
      </c>
    </row>
    <row r="229" spans="1:8" x14ac:dyDescent="0.25">
      <c r="A229" s="148">
        <v>44776</v>
      </c>
      <c r="B229" s="149" t="s">
        <v>24871</v>
      </c>
      <c r="C229" s="153" t="s">
        <v>129</v>
      </c>
      <c r="D229" s="178">
        <v>5221.3999999999996</v>
      </c>
      <c r="E229" s="155">
        <v>44776</v>
      </c>
      <c r="F229" s="178">
        <v>5221.3999999999996</v>
      </c>
      <c r="G229" s="179">
        <f>Tabla19[[#This Row],[Importe]]-Tabla19[[#This Row],[Pagado]]</f>
        <v>0</v>
      </c>
      <c r="H229" s="153" t="s">
        <v>10</v>
      </c>
    </row>
    <row r="230" spans="1:8" x14ac:dyDescent="0.25">
      <c r="A230" s="73">
        <v>44776</v>
      </c>
      <c r="B230" s="74" t="s">
        <v>24872</v>
      </c>
      <c r="C230" s="75" t="s">
        <v>140</v>
      </c>
      <c r="D230" s="176">
        <v>4243.2</v>
      </c>
      <c r="E230" s="151">
        <v>44776</v>
      </c>
      <c r="F230" s="176">
        <v>4243.2</v>
      </c>
      <c r="G230" s="177">
        <f>Tabla19[[#This Row],[Importe]]-Tabla19[[#This Row],[Pagado]]</f>
        <v>0</v>
      </c>
      <c r="H230" s="75" t="s">
        <v>10</v>
      </c>
    </row>
    <row r="231" spans="1:8" x14ac:dyDescent="0.25">
      <c r="A231" s="148">
        <v>44776</v>
      </c>
      <c r="B231" s="149" t="s">
        <v>24873</v>
      </c>
      <c r="C231" s="153" t="s">
        <v>127</v>
      </c>
      <c r="D231" s="178">
        <v>4752.8</v>
      </c>
      <c r="E231" s="155">
        <v>44776</v>
      </c>
      <c r="F231" s="178">
        <v>4752.8</v>
      </c>
      <c r="G231" s="179">
        <f>Tabla19[[#This Row],[Importe]]-Tabla19[[#This Row],[Pagado]]</f>
        <v>0</v>
      </c>
      <c r="H231" s="153" t="s">
        <v>10</v>
      </c>
    </row>
    <row r="232" spans="1:8" x14ac:dyDescent="0.25">
      <c r="A232" s="73">
        <v>44776</v>
      </c>
      <c r="B232" s="74" t="s">
        <v>24874</v>
      </c>
      <c r="C232" s="75" t="s">
        <v>105</v>
      </c>
      <c r="D232" s="176">
        <v>12682.6</v>
      </c>
      <c r="E232" s="151">
        <v>44777</v>
      </c>
      <c r="F232" s="176">
        <v>12682.6</v>
      </c>
      <c r="G232" s="177">
        <f>Tabla19[[#This Row],[Importe]]-Tabla19[[#This Row],[Pagado]]</f>
        <v>0</v>
      </c>
      <c r="H232" s="75" t="s">
        <v>10</v>
      </c>
    </row>
    <row r="233" spans="1:8" x14ac:dyDescent="0.25">
      <c r="A233" s="148">
        <v>44776</v>
      </c>
      <c r="B233" s="149" t="s">
        <v>24875</v>
      </c>
      <c r="C233" s="153" t="s">
        <v>206</v>
      </c>
      <c r="D233" s="178">
        <v>29394.5</v>
      </c>
      <c r="E233" s="155">
        <v>44779</v>
      </c>
      <c r="F233" s="178">
        <v>29394.5</v>
      </c>
      <c r="G233" s="179">
        <f>Tabla19[[#This Row],[Importe]]-Tabla19[[#This Row],[Pagado]]</f>
        <v>0</v>
      </c>
      <c r="H233" s="153" t="s">
        <v>10</v>
      </c>
    </row>
    <row r="234" spans="1:8" x14ac:dyDescent="0.25">
      <c r="A234" s="73">
        <v>44776</v>
      </c>
      <c r="B234" s="74" t="s">
        <v>24876</v>
      </c>
      <c r="C234" s="75" t="s">
        <v>9</v>
      </c>
      <c r="D234" s="176">
        <v>9198.5</v>
      </c>
      <c r="E234" s="151">
        <v>44776</v>
      </c>
      <c r="F234" s="176">
        <v>9198.5</v>
      </c>
      <c r="G234" s="177">
        <f>Tabla19[[#This Row],[Importe]]-Tabla19[[#This Row],[Pagado]]</f>
        <v>0</v>
      </c>
      <c r="H234" s="75" t="s">
        <v>10</v>
      </c>
    </row>
    <row r="235" spans="1:8" x14ac:dyDescent="0.25">
      <c r="A235" s="148">
        <v>44776</v>
      </c>
      <c r="B235" s="149" t="s">
        <v>24877</v>
      </c>
      <c r="C235" s="153" t="s">
        <v>127</v>
      </c>
      <c r="D235" s="178">
        <v>818.4</v>
      </c>
      <c r="E235" s="155">
        <v>44776</v>
      </c>
      <c r="F235" s="178">
        <v>818.4</v>
      </c>
      <c r="G235" s="179">
        <f>Tabla19[[#This Row],[Importe]]-Tabla19[[#This Row],[Pagado]]</f>
        <v>0</v>
      </c>
      <c r="H235" s="153" t="s">
        <v>10</v>
      </c>
    </row>
    <row r="236" spans="1:8" x14ac:dyDescent="0.25">
      <c r="A236" s="73">
        <v>44776</v>
      </c>
      <c r="B236" s="74" t="s">
        <v>24878</v>
      </c>
      <c r="C236" s="75" t="s">
        <v>75</v>
      </c>
      <c r="D236" s="176">
        <v>4599.8</v>
      </c>
      <c r="E236" s="151">
        <v>44776</v>
      </c>
      <c r="F236" s="176">
        <v>4599.8</v>
      </c>
      <c r="G236" s="177">
        <f>Tabla19[[#This Row],[Importe]]-Tabla19[[#This Row],[Pagado]]</f>
        <v>0</v>
      </c>
      <c r="H236" s="75" t="s">
        <v>10</v>
      </c>
    </row>
    <row r="237" spans="1:8" x14ac:dyDescent="0.25">
      <c r="A237" s="148">
        <v>44776</v>
      </c>
      <c r="B237" s="149" t="s">
        <v>24879</v>
      </c>
      <c r="C237" s="153" t="s">
        <v>154</v>
      </c>
      <c r="D237" s="178">
        <v>40457.599999999999</v>
      </c>
      <c r="E237" s="155">
        <v>44779</v>
      </c>
      <c r="F237" s="178">
        <v>40457.599999999999</v>
      </c>
      <c r="G237" s="179">
        <f>Tabla19[[#This Row],[Importe]]-Tabla19[[#This Row],[Pagado]]</f>
        <v>0</v>
      </c>
      <c r="H237" s="153" t="s">
        <v>10</v>
      </c>
    </row>
    <row r="238" spans="1:8" x14ac:dyDescent="0.25">
      <c r="A238" s="73">
        <v>44776</v>
      </c>
      <c r="B238" s="74" t="s">
        <v>24880</v>
      </c>
      <c r="C238" s="75" t="s">
        <v>181</v>
      </c>
      <c r="D238" s="176">
        <v>14647.4</v>
      </c>
      <c r="E238" s="151">
        <v>44776</v>
      </c>
      <c r="F238" s="176">
        <v>14647.4</v>
      </c>
      <c r="G238" s="177">
        <f>Tabla19[[#This Row],[Importe]]-Tabla19[[#This Row],[Pagado]]</f>
        <v>0</v>
      </c>
      <c r="H238" s="75" t="s">
        <v>10</v>
      </c>
    </row>
    <row r="239" spans="1:8" x14ac:dyDescent="0.25">
      <c r="A239" s="148">
        <v>44776</v>
      </c>
      <c r="B239" s="149" t="s">
        <v>24881</v>
      </c>
      <c r="C239" s="153" t="s">
        <v>541</v>
      </c>
      <c r="D239" s="178">
        <v>9697.6</v>
      </c>
      <c r="E239" s="155">
        <v>44776</v>
      </c>
      <c r="F239" s="178">
        <v>9697.6</v>
      </c>
      <c r="G239" s="179">
        <f>Tabla19[[#This Row],[Importe]]-Tabla19[[#This Row],[Pagado]]</f>
        <v>0</v>
      </c>
      <c r="H239" s="153" t="s">
        <v>10</v>
      </c>
    </row>
    <row r="240" spans="1:8" x14ac:dyDescent="0.25">
      <c r="A240" s="73">
        <v>44776</v>
      </c>
      <c r="B240" s="74" t="s">
        <v>24882</v>
      </c>
      <c r="C240" s="75" t="s">
        <v>1187</v>
      </c>
      <c r="D240" s="176">
        <v>2559.4</v>
      </c>
      <c r="E240" s="151">
        <v>44776</v>
      </c>
      <c r="F240" s="176">
        <v>2559.4</v>
      </c>
      <c r="G240" s="177">
        <f>Tabla19[[#This Row],[Importe]]-Tabla19[[#This Row],[Pagado]]</f>
        <v>0</v>
      </c>
      <c r="H240" s="75" t="s">
        <v>10</v>
      </c>
    </row>
    <row r="241" spans="1:8" x14ac:dyDescent="0.25">
      <c r="A241" s="148">
        <v>44776</v>
      </c>
      <c r="B241" s="149" t="s">
        <v>24883</v>
      </c>
      <c r="C241" s="153" t="s">
        <v>196</v>
      </c>
      <c r="D241" s="178">
        <v>106066.52</v>
      </c>
      <c r="E241" s="155">
        <v>44778</v>
      </c>
      <c r="F241" s="178">
        <v>106066.52</v>
      </c>
      <c r="G241" s="179">
        <f>Tabla19[[#This Row],[Importe]]-Tabla19[[#This Row],[Pagado]]</f>
        <v>0</v>
      </c>
      <c r="H241" s="153" t="s">
        <v>10</v>
      </c>
    </row>
    <row r="242" spans="1:8" x14ac:dyDescent="0.25">
      <c r="A242" s="73">
        <v>44776</v>
      </c>
      <c r="B242" s="74" t="s">
        <v>24884</v>
      </c>
      <c r="C242" s="75" t="s">
        <v>109</v>
      </c>
      <c r="D242" s="176">
        <v>8285.7999999999993</v>
      </c>
      <c r="E242" s="151">
        <v>44776</v>
      </c>
      <c r="F242" s="176">
        <v>8285.7999999999993</v>
      </c>
      <c r="G242" s="177">
        <f>Tabla19[[#This Row],[Importe]]-Tabla19[[#This Row],[Pagado]]</f>
        <v>0</v>
      </c>
      <c r="H242" s="75" t="s">
        <v>10</v>
      </c>
    </row>
    <row r="243" spans="1:8" x14ac:dyDescent="0.25">
      <c r="A243" s="148">
        <v>44776</v>
      </c>
      <c r="B243" s="149" t="s">
        <v>24885</v>
      </c>
      <c r="C243" s="153" t="s">
        <v>16</v>
      </c>
      <c r="D243" s="178">
        <v>6406.8</v>
      </c>
      <c r="E243" s="155">
        <v>44776</v>
      </c>
      <c r="F243" s="178">
        <v>6406.8</v>
      </c>
      <c r="G243" s="179">
        <f>Tabla19[[#This Row],[Importe]]-Tabla19[[#This Row],[Pagado]]</f>
        <v>0</v>
      </c>
      <c r="H243" s="153" t="s">
        <v>10</v>
      </c>
    </row>
    <row r="244" spans="1:8" x14ac:dyDescent="0.25">
      <c r="A244" s="73">
        <v>44776</v>
      </c>
      <c r="B244" s="74" t="s">
        <v>24886</v>
      </c>
      <c r="C244" s="75" t="s">
        <v>11033</v>
      </c>
      <c r="D244" s="176">
        <v>1580</v>
      </c>
      <c r="E244" s="151">
        <v>44776</v>
      </c>
      <c r="F244" s="176">
        <v>1580</v>
      </c>
      <c r="G244" s="177">
        <f>Tabla19[[#This Row],[Importe]]-Tabla19[[#This Row],[Pagado]]</f>
        <v>0</v>
      </c>
      <c r="H244" s="75" t="s">
        <v>10</v>
      </c>
    </row>
    <row r="245" spans="1:8" ht="31.5" x14ac:dyDescent="0.25">
      <c r="A245" s="148">
        <v>44776</v>
      </c>
      <c r="B245" s="149" t="s">
        <v>24887</v>
      </c>
      <c r="C245" s="153" t="s">
        <v>22</v>
      </c>
      <c r="D245" s="178">
        <v>34423.699999999997</v>
      </c>
      <c r="E245" s="150" t="s">
        <v>24868</v>
      </c>
      <c r="F245" s="178">
        <f>17000+17423.7</f>
        <v>34423.699999999997</v>
      </c>
      <c r="G245" s="179">
        <f>Tabla19[[#This Row],[Importe]]-Tabla19[[#This Row],[Pagado]]</f>
        <v>0</v>
      </c>
      <c r="H245" s="153" t="s">
        <v>10</v>
      </c>
    </row>
    <row r="246" spans="1:8" x14ac:dyDescent="0.25">
      <c r="A246" s="73">
        <v>44776</v>
      </c>
      <c r="B246" s="74" t="s">
        <v>24888</v>
      </c>
      <c r="C246" s="75" t="s">
        <v>173</v>
      </c>
      <c r="D246" s="176">
        <v>16917.599999999999</v>
      </c>
      <c r="E246" s="151">
        <v>44776</v>
      </c>
      <c r="F246" s="176">
        <v>16917.599999999999</v>
      </c>
      <c r="G246" s="177">
        <f>Tabla19[[#This Row],[Importe]]-Tabla19[[#This Row],[Pagado]]</f>
        <v>0</v>
      </c>
      <c r="H246" s="75" t="s">
        <v>10</v>
      </c>
    </row>
    <row r="247" spans="1:8" x14ac:dyDescent="0.25">
      <c r="A247" s="148">
        <v>44776</v>
      </c>
      <c r="B247" s="149" t="s">
        <v>24889</v>
      </c>
      <c r="C247" s="153" t="s">
        <v>27</v>
      </c>
      <c r="D247" s="178">
        <v>2102.1</v>
      </c>
      <c r="E247" s="155">
        <v>44776</v>
      </c>
      <c r="F247" s="178">
        <v>2102.1</v>
      </c>
      <c r="G247" s="179">
        <f>Tabla19[[#This Row],[Importe]]-Tabla19[[#This Row],[Pagado]]</f>
        <v>0</v>
      </c>
      <c r="H247" s="153" t="s">
        <v>10</v>
      </c>
    </row>
    <row r="248" spans="1:8" x14ac:dyDescent="0.25">
      <c r="A248" s="73">
        <v>44776</v>
      </c>
      <c r="B248" s="74" t="s">
        <v>24890</v>
      </c>
      <c r="C248" s="75" t="s">
        <v>56</v>
      </c>
      <c r="D248" s="176">
        <v>9995.1</v>
      </c>
      <c r="E248" s="151">
        <v>44776</v>
      </c>
      <c r="F248" s="176">
        <v>9995.1</v>
      </c>
      <c r="G248" s="177">
        <f>Tabla19[[#This Row],[Importe]]-Tabla19[[#This Row],[Pagado]]</f>
        <v>0</v>
      </c>
      <c r="H248" s="75" t="s">
        <v>10</v>
      </c>
    </row>
    <row r="249" spans="1:8" x14ac:dyDescent="0.25">
      <c r="A249" s="148">
        <v>44776</v>
      </c>
      <c r="B249" s="149" t="s">
        <v>24891</v>
      </c>
      <c r="C249" s="153" t="s">
        <v>275</v>
      </c>
      <c r="D249" s="178">
        <v>109519.3</v>
      </c>
      <c r="E249" s="155">
        <v>44792</v>
      </c>
      <c r="F249" s="178">
        <v>109519.3</v>
      </c>
      <c r="G249" s="179">
        <f>Tabla19[[#This Row],[Importe]]-Tabla19[[#This Row],[Pagado]]</f>
        <v>0</v>
      </c>
      <c r="H249" s="153" t="s">
        <v>10</v>
      </c>
    </row>
    <row r="250" spans="1:8" x14ac:dyDescent="0.25">
      <c r="A250" s="73">
        <v>44776</v>
      </c>
      <c r="B250" s="74" t="s">
        <v>24892</v>
      </c>
      <c r="C250" s="75" t="s">
        <v>481</v>
      </c>
      <c r="D250" s="176">
        <v>193.2</v>
      </c>
      <c r="E250" s="151">
        <v>44776</v>
      </c>
      <c r="F250" s="176">
        <v>193.2</v>
      </c>
      <c r="G250" s="177">
        <f>Tabla19[[#This Row],[Importe]]-Tabla19[[#This Row],[Pagado]]</f>
        <v>0</v>
      </c>
      <c r="H250" s="75" t="s">
        <v>10</v>
      </c>
    </row>
    <row r="251" spans="1:8" x14ac:dyDescent="0.25">
      <c r="A251" s="148">
        <v>44776</v>
      </c>
      <c r="B251" s="149" t="s">
        <v>24893</v>
      </c>
      <c r="C251" s="153" t="s">
        <v>452</v>
      </c>
      <c r="D251" s="178">
        <v>2560</v>
      </c>
      <c r="E251" s="155">
        <v>44776</v>
      </c>
      <c r="F251" s="178">
        <v>2560</v>
      </c>
      <c r="G251" s="179">
        <f>Tabla19[[#This Row],[Importe]]-Tabla19[[#This Row],[Pagado]]</f>
        <v>0</v>
      </c>
      <c r="H251" s="153" t="s">
        <v>10</v>
      </c>
    </row>
    <row r="252" spans="1:8" x14ac:dyDescent="0.25">
      <c r="A252" s="73">
        <v>44776</v>
      </c>
      <c r="B252" s="74" t="s">
        <v>24894</v>
      </c>
      <c r="C252" s="75" t="s">
        <v>45</v>
      </c>
      <c r="D252" s="176">
        <v>14185.4</v>
      </c>
      <c r="E252" s="151">
        <v>44776</v>
      </c>
      <c r="F252" s="176">
        <v>14185.4</v>
      </c>
      <c r="G252" s="177">
        <f>Tabla19[[#This Row],[Importe]]-Tabla19[[#This Row],[Pagado]]</f>
        <v>0</v>
      </c>
      <c r="H252" s="75" t="s">
        <v>10</v>
      </c>
    </row>
    <row r="253" spans="1:8" x14ac:dyDescent="0.25">
      <c r="A253" s="148">
        <v>44776</v>
      </c>
      <c r="B253" s="149" t="s">
        <v>24895</v>
      </c>
      <c r="C253" s="153" t="s">
        <v>49</v>
      </c>
      <c r="D253" s="178">
        <v>4896</v>
      </c>
      <c r="E253" s="155">
        <v>44776</v>
      </c>
      <c r="F253" s="178">
        <v>4896</v>
      </c>
      <c r="G253" s="179">
        <f>Tabla19[[#This Row],[Importe]]-Tabla19[[#This Row],[Pagado]]</f>
        <v>0</v>
      </c>
      <c r="H253" s="153" t="s">
        <v>10</v>
      </c>
    </row>
    <row r="254" spans="1:8" x14ac:dyDescent="0.25">
      <c r="A254" s="73">
        <v>44776</v>
      </c>
      <c r="B254" s="74" t="s">
        <v>24896</v>
      </c>
      <c r="C254" s="75" t="s">
        <v>9577</v>
      </c>
      <c r="D254" s="176">
        <v>27496.6</v>
      </c>
      <c r="E254" s="151">
        <v>44776</v>
      </c>
      <c r="F254" s="176">
        <v>27496.6</v>
      </c>
      <c r="G254" s="177">
        <f>Tabla19[[#This Row],[Importe]]-Tabla19[[#This Row],[Pagado]]</f>
        <v>0</v>
      </c>
      <c r="H254" s="75" t="s">
        <v>10</v>
      </c>
    </row>
    <row r="255" spans="1:8" x14ac:dyDescent="0.25">
      <c r="A255" s="148">
        <v>44776</v>
      </c>
      <c r="B255" s="149" t="s">
        <v>24897</v>
      </c>
      <c r="C255" s="153" t="s">
        <v>31</v>
      </c>
      <c r="D255" s="178">
        <v>5220</v>
      </c>
      <c r="E255" s="155">
        <v>44776</v>
      </c>
      <c r="F255" s="178">
        <v>5220</v>
      </c>
      <c r="G255" s="179">
        <f>Tabla19[[#This Row],[Importe]]-Tabla19[[#This Row],[Pagado]]</f>
        <v>0</v>
      </c>
      <c r="H255" s="153" t="s">
        <v>10</v>
      </c>
    </row>
    <row r="256" spans="1:8" x14ac:dyDescent="0.25">
      <c r="A256" s="73">
        <v>44776</v>
      </c>
      <c r="B256" s="74" t="s">
        <v>24898</v>
      </c>
      <c r="C256" s="75" t="s">
        <v>191</v>
      </c>
      <c r="D256" s="176">
        <v>1659</v>
      </c>
      <c r="E256" s="151">
        <v>44776</v>
      </c>
      <c r="F256" s="176">
        <v>1659</v>
      </c>
      <c r="G256" s="177">
        <f>Tabla19[[#This Row],[Importe]]-Tabla19[[#This Row],[Pagado]]</f>
        <v>0</v>
      </c>
      <c r="H256" s="75" t="s">
        <v>10</v>
      </c>
    </row>
    <row r="257" spans="1:8" x14ac:dyDescent="0.25">
      <c r="A257" s="148">
        <v>44776</v>
      </c>
      <c r="B257" s="149" t="s">
        <v>24899</v>
      </c>
      <c r="C257" s="153" t="s">
        <v>191</v>
      </c>
      <c r="D257" s="178">
        <v>18360</v>
      </c>
      <c r="E257" s="155">
        <v>44776</v>
      </c>
      <c r="F257" s="178">
        <v>18360</v>
      </c>
      <c r="G257" s="179">
        <f>Tabla19[[#This Row],[Importe]]-Tabla19[[#This Row],[Pagado]]</f>
        <v>0</v>
      </c>
      <c r="H257" s="153" t="s">
        <v>10</v>
      </c>
    </row>
    <row r="258" spans="1:8" x14ac:dyDescent="0.25">
      <c r="A258" s="73">
        <v>44776</v>
      </c>
      <c r="B258" s="74" t="s">
        <v>24900</v>
      </c>
      <c r="C258" s="75" t="s">
        <v>273</v>
      </c>
      <c r="D258" s="176">
        <v>1934.04</v>
      </c>
      <c r="E258" s="151">
        <v>44776</v>
      </c>
      <c r="F258" s="176">
        <v>1934.04</v>
      </c>
      <c r="G258" s="177">
        <f>Tabla19[[#This Row],[Importe]]-Tabla19[[#This Row],[Pagado]]</f>
        <v>0</v>
      </c>
      <c r="H258" s="75" t="s">
        <v>10</v>
      </c>
    </row>
    <row r="259" spans="1:8" x14ac:dyDescent="0.25">
      <c r="A259" s="148">
        <v>44776</v>
      </c>
      <c r="B259" s="149" t="s">
        <v>24901</v>
      </c>
      <c r="C259" s="153" t="s">
        <v>555</v>
      </c>
      <c r="D259" s="178">
        <v>18761.28</v>
      </c>
      <c r="E259" s="155">
        <v>44776</v>
      </c>
      <c r="F259" s="178">
        <v>18761.28</v>
      </c>
      <c r="G259" s="179">
        <f>Tabla19[[#This Row],[Importe]]-Tabla19[[#This Row],[Pagado]]</f>
        <v>0</v>
      </c>
      <c r="H259" s="153" t="s">
        <v>10</v>
      </c>
    </row>
    <row r="260" spans="1:8" x14ac:dyDescent="0.25">
      <c r="A260" s="73">
        <v>44776</v>
      </c>
      <c r="B260" s="74" t="s">
        <v>24902</v>
      </c>
      <c r="C260" s="75" t="s">
        <v>587</v>
      </c>
      <c r="D260" s="176">
        <v>5883.84</v>
      </c>
      <c r="E260" s="151">
        <v>44776</v>
      </c>
      <c r="F260" s="176">
        <v>5883.84</v>
      </c>
      <c r="G260" s="177">
        <f>Tabla19[[#This Row],[Importe]]-Tabla19[[#This Row],[Pagado]]</f>
        <v>0</v>
      </c>
      <c r="H260" s="75" t="s">
        <v>10</v>
      </c>
    </row>
    <row r="261" spans="1:8" x14ac:dyDescent="0.25">
      <c r="A261" s="148">
        <v>44776</v>
      </c>
      <c r="B261" s="149" t="s">
        <v>24903</v>
      </c>
      <c r="C261" s="153" t="s">
        <v>135</v>
      </c>
      <c r="D261" s="178">
        <v>1232</v>
      </c>
      <c r="E261" s="155">
        <v>44776</v>
      </c>
      <c r="F261" s="178">
        <v>1232</v>
      </c>
      <c r="G261" s="179">
        <f>Tabla19[[#This Row],[Importe]]-Tabla19[[#This Row],[Pagado]]</f>
        <v>0</v>
      </c>
      <c r="H261" s="153" t="s">
        <v>10</v>
      </c>
    </row>
    <row r="262" spans="1:8" x14ac:dyDescent="0.25">
      <c r="A262" s="73">
        <v>44776</v>
      </c>
      <c r="B262" s="74" t="s">
        <v>24904</v>
      </c>
      <c r="C262" s="75" t="s">
        <v>53</v>
      </c>
      <c r="D262" s="176">
        <v>589.6</v>
      </c>
      <c r="E262" s="151">
        <v>44776</v>
      </c>
      <c r="F262" s="176">
        <v>589.6</v>
      </c>
      <c r="G262" s="177">
        <f>Tabla19[[#This Row],[Importe]]-Tabla19[[#This Row],[Pagado]]</f>
        <v>0</v>
      </c>
      <c r="H262" s="75" t="s">
        <v>10</v>
      </c>
    </row>
    <row r="263" spans="1:8" x14ac:dyDescent="0.25">
      <c r="A263" s="148">
        <v>44776</v>
      </c>
      <c r="B263" s="149" t="s">
        <v>24905</v>
      </c>
      <c r="C263" s="153" t="s">
        <v>31</v>
      </c>
      <c r="D263" s="178">
        <v>1487.7</v>
      </c>
      <c r="E263" s="155">
        <v>44776</v>
      </c>
      <c r="F263" s="178">
        <v>1487.7</v>
      </c>
      <c r="G263" s="179">
        <f>Tabla19[[#This Row],[Importe]]-Tabla19[[#This Row],[Pagado]]</f>
        <v>0</v>
      </c>
      <c r="H263" s="153" t="s">
        <v>10</v>
      </c>
    </row>
    <row r="264" spans="1:8" x14ac:dyDescent="0.25">
      <c r="A264" s="73">
        <v>44776</v>
      </c>
      <c r="B264" s="74" t="s">
        <v>24906</v>
      </c>
      <c r="C264" s="75" t="s">
        <v>69</v>
      </c>
      <c r="D264" s="176">
        <v>2200</v>
      </c>
      <c r="E264" s="151">
        <v>44776</v>
      </c>
      <c r="F264" s="176">
        <v>2200</v>
      </c>
      <c r="G264" s="177">
        <f>Tabla19[[#This Row],[Importe]]-Tabla19[[#This Row],[Pagado]]</f>
        <v>0</v>
      </c>
      <c r="H264" s="75" t="s">
        <v>10</v>
      </c>
    </row>
    <row r="265" spans="1:8" x14ac:dyDescent="0.25">
      <c r="A265" s="148">
        <v>44776</v>
      </c>
      <c r="B265" s="149" t="s">
        <v>24907</v>
      </c>
      <c r="C265" s="153" t="s">
        <v>296</v>
      </c>
      <c r="D265" s="178">
        <v>3989.5</v>
      </c>
      <c r="E265" s="155">
        <v>44776</v>
      </c>
      <c r="F265" s="178">
        <v>3989.5</v>
      </c>
      <c r="G265" s="179">
        <f>Tabla19[[#This Row],[Importe]]-Tabla19[[#This Row],[Pagado]]</f>
        <v>0</v>
      </c>
      <c r="H265" s="153" t="s">
        <v>10</v>
      </c>
    </row>
    <row r="266" spans="1:8" x14ac:dyDescent="0.25">
      <c r="A266" s="73">
        <v>44776</v>
      </c>
      <c r="B266" s="74" t="s">
        <v>24908</v>
      </c>
      <c r="C266" s="75" t="s">
        <v>31</v>
      </c>
      <c r="D266" s="176">
        <v>1496.4</v>
      </c>
      <c r="E266" s="151">
        <v>44776</v>
      </c>
      <c r="F266" s="176">
        <v>1496.4</v>
      </c>
      <c r="G266" s="177">
        <f>Tabla19[[#This Row],[Importe]]-Tabla19[[#This Row],[Pagado]]</f>
        <v>0</v>
      </c>
      <c r="H266" s="75" t="s">
        <v>10</v>
      </c>
    </row>
    <row r="267" spans="1:8" x14ac:dyDescent="0.25">
      <c r="A267" s="148">
        <v>44776</v>
      </c>
      <c r="B267" s="149" t="s">
        <v>24909</v>
      </c>
      <c r="C267" s="153" t="s">
        <v>214</v>
      </c>
      <c r="D267" s="178">
        <v>43.5</v>
      </c>
      <c r="E267" s="155">
        <v>44776</v>
      </c>
      <c r="F267" s="178">
        <v>43.5</v>
      </c>
      <c r="G267" s="179">
        <f>Tabla19[[#This Row],[Importe]]-Tabla19[[#This Row],[Pagado]]</f>
        <v>0</v>
      </c>
      <c r="H267" s="153" t="s">
        <v>10</v>
      </c>
    </row>
    <row r="268" spans="1:8" x14ac:dyDescent="0.25">
      <c r="A268" s="73">
        <v>44776</v>
      </c>
      <c r="B268" s="74" t="s">
        <v>24910</v>
      </c>
      <c r="C268" s="75" t="s">
        <v>9827</v>
      </c>
      <c r="D268" s="176">
        <v>835.2</v>
      </c>
      <c r="E268" s="151">
        <v>44776</v>
      </c>
      <c r="F268" s="176">
        <v>835.2</v>
      </c>
      <c r="G268" s="177">
        <f>Tabla19[[#This Row],[Importe]]-Tabla19[[#This Row],[Pagado]]</f>
        <v>0</v>
      </c>
      <c r="H268" s="75" t="s">
        <v>10</v>
      </c>
    </row>
    <row r="269" spans="1:8" x14ac:dyDescent="0.25">
      <c r="A269" s="148">
        <v>44776</v>
      </c>
      <c r="B269" s="149" t="s">
        <v>24911</v>
      </c>
      <c r="C269" s="153" t="s">
        <v>179</v>
      </c>
      <c r="D269" s="178">
        <v>2409.9</v>
      </c>
      <c r="E269" s="155">
        <v>44776</v>
      </c>
      <c r="F269" s="178">
        <v>2409.9</v>
      </c>
      <c r="G269" s="179">
        <f>Tabla19[[#This Row],[Importe]]-Tabla19[[#This Row],[Pagado]]</f>
        <v>0</v>
      </c>
      <c r="H269" s="153" t="s">
        <v>10</v>
      </c>
    </row>
    <row r="270" spans="1:8" x14ac:dyDescent="0.25">
      <c r="A270" s="73">
        <v>44776</v>
      </c>
      <c r="B270" s="74" t="s">
        <v>24912</v>
      </c>
      <c r="C270" s="75" t="s">
        <v>698</v>
      </c>
      <c r="D270" s="176">
        <v>8916.7999999999993</v>
      </c>
      <c r="E270" s="151">
        <v>44776</v>
      </c>
      <c r="F270" s="176">
        <v>8916.7999999999993</v>
      </c>
      <c r="G270" s="177">
        <f>Tabla19[[#This Row],[Importe]]-Tabla19[[#This Row],[Pagado]]</f>
        <v>0</v>
      </c>
      <c r="H270" s="75" t="s">
        <v>10</v>
      </c>
    </row>
    <row r="271" spans="1:8" x14ac:dyDescent="0.25">
      <c r="A271" s="148">
        <v>44776</v>
      </c>
      <c r="B271" s="149" t="s">
        <v>24913</v>
      </c>
      <c r="C271" s="153" t="s">
        <v>58</v>
      </c>
      <c r="D271" s="178">
        <v>4478</v>
      </c>
      <c r="E271" s="155">
        <v>44776</v>
      </c>
      <c r="F271" s="178">
        <v>4478</v>
      </c>
      <c r="G271" s="179">
        <f>Tabla19[[#This Row],[Importe]]-Tabla19[[#This Row],[Pagado]]</f>
        <v>0</v>
      </c>
      <c r="H271" s="153" t="s">
        <v>10</v>
      </c>
    </row>
    <row r="272" spans="1:8" x14ac:dyDescent="0.25">
      <c r="A272" s="73">
        <v>44776</v>
      </c>
      <c r="B272" s="74" t="s">
        <v>24914</v>
      </c>
      <c r="C272" s="75" t="s">
        <v>426</v>
      </c>
      <c r="D272" s="176">
        <v>8888.4</v>
      </c>
      <c r="E272" s="151">
        <v>44776</v>
      </c>
      <c r="F272" s="176">
        <v>8888.4</v>
      </c>
      <c r="G272" s="177">
        <f>Tabla19[[#This Row],[Importe]]-Tabla19[[#This Row],[Pagado]]</f>
        <v>0</v>
      </c>
      <c r="H272" s="75" t="s">
        <v>10</v>
      </c>
    </row>
    <row r="273" spans="1:8" x14ac:dyDescent="0.25">
      <c r="A273" s="148">
        <v>44776</v>
      </c>
      <c r="B273" s="149" t="s">
        <v>24915</v>
      </c>
      <c r="C273" s="153" t="s">
        <v>24916</v>
      </c>
      <c r="D273" s="178">
        <v>0</v>
      </c>
      <c r="E273" s="158" t="s">
        <v>189</v>
      </c>
      <c r="F273" s="178">
        <v>0</v>
      </c>
      <c r="G273" s="179">
        <f>Tabla19[[#This Row],[Importe]]-Tabla19[[#This Row],[Pagado]]</f>
        <v>0</v>
      </c>
      <c r="H273" s="159" t="s">
        <v>24917</v>
      </c>
    </row>
    <row r="274" spans="1:8" x14ac:dyDescent="0.25">
      <c r="A274" s="73">
        <v>44776</v>
      </c>
      <c r="B274" s="74" t="s">
        <v>24918</v>
      </c>
      <c r="C274" s="75" t="s">
        <v>107</v>
      </c>
      <c r="D274" s="176">
        <v>11998.4</v>
      </c>
      <c r="E274" s="151">
        <v>44776</v>
      </c>
      <c r="F274" s="176">
        <v>11998.4</v>
      </c>
      <c r="G274" s="177">
        <f>Tabla19[[#This Row],[Importe]]-Tabla19[[#This Row],[Pagado]]</f>
        <v>0</v>
      </c>
      <c r="H274" s="75" t="s">
        <v>10</v>
      </c>
    </row>
    <row r="275" spans="1:8" x14ac:dyDescent="0.25">
      <c r="A275" s="148">
        <v>44776</v>
      </c>
      <c r="B275" s="149" t="s">
        <v>24919</v>
      </c>
      <c r="C275" s="153" t="s">
        <v>191</v>
      </c>
      <c r="D275" s="178">
        <v>769.5</v>
      </c>
      <c r="E275" s="155">
        <v>44776</v>
      </c>
      <c r="F275" s="178">
        <v>769.5</v>
      </c>
      <c r="G275" s="179">
        <f>Tabla19[[#This Row],[Importe]]-Tabla19[[#This Row],[Pagado]]</f>
        <v>0</v>
      </c>
      <c r="H275" s="153" t="s">
        <v>10</v>
      </c>
    </row>
    <row r="276" spans="1:8" x14ac:dyDescent="0.25">
      <c r="A276" s="73">
        <v>44776</v>
      </c>
      <c r="B276" s="74" t="s">
        <v>24920</v>
      </c>
      <c r="C276" s="75" t="s">
        <v>681</v>
      </c>
      <c r="D276" s="176">
        <v>16.84</v>
      </c>
      <c r="E276" s="151">
        <v>44786</v>
      </c>
      <c r="F276" s="176">
        <v>16.84</v>
      </c>
      <c r="G276" s="177">
        <f>Tabla19[[#This Row],[Importe]]-Tabla19[[#This Row],[Pagado]]</f>
        <v>0</v>
      </c>
      <c r="H276" s="75" t="s">
        <v>10</v>
      </c>
    </row>
    <row r="277" spans="1:8" x14ac:dyDescent="0.25">
      <c r="A277" s="148">
        <v>44776</v>
      </c>
      <c r="B277" s="149" t="s">
        <v>24921</v>
      </c>
      <c r="C277" s="153" t="s">
        <v>409</v>
      </c>
      <c r="D277" s="178">
        <v>6831</v>
      </c>
      <c r="E277" s="155">
        <v>44778</v>
      </c>
      <c r="F277" s="178">
        <v>6831</v>
      </c>
      <c r="G277" s="179">
        <f>Tabla19[[#This Row],[Importe]]-Tabla19[[#This Row],[Pagado]]</f>
        <v>0</v>
      </c>
      <c r="H277" s="153" t="s">
        <v>10</v>
      </c>
    </row>
    <row r="278" spans="1:8" x14ac:dyDescent="0.25">
      <c r="A278" s="73">
        <v>44776</v>
      </c>
      <c r="B278" s="74" t="s">
        <v>24922</v>
      </c>
      <c r="C278" s="75" t="s">
        <v>2377</v>
      </c>
      <c r="D278" s="176">
        <v>4053.6</v>
      </c>
      <c r="E278" s="151">
        <v>44776</v>
      </c>
      <c r="F278" s="176">
        <v>4053.6</v>
      </c>
      <c r="G278" s="177">
        <f>Tabla19[[#This Row],[Importe]]-Tabla19[[#This Row],[Pagado]]</f>
        <v>0</v>
      </c>
      <c r="H278" s="75" t="s">
        <v>10</v>
      </c>
    </row>
    <row r="279" spans="1:8" x14ac:dyDescent="0.25">
      <c r="A279" s="148">
        <v>44776</v>
      </c>
      <c r="B279" s="149" t="s">
        <v>24923</v>
      </c>
      <c r="C279" s="153" t="s">
        <v>24924</v>
      </c>
      <c r="D279" s="178">
        <v>0</v>
      </c>
      <c r="E279" s="158" t="s">
        <v>189</v>
      </c>
      <c r="F279" s="178">
        <v>0</v>
      </c>
      <c r="G279" s="179">
        <f>Tabla19[[#This Row],[Importe]]-Tabla19[[#This Row],[Pagado]]</f>
        <v>0</v>
      </c>
      <c r="H279" s="159" t="s">
        <v>24925</v>
      </c>
    </row>
    <row r="280" spans="1:8" x14ac:dyDescent="0.25">
      <c r="A280" s="73">
        <v>44776</v>
      </c>
      <c r="B280" s="74" t="s">
        <v>24926</v>
      </c>
      <c r="C280" s="75" t="s">
        <v>1174</v>
      </c>
      <c r="D280" s="176">
        <v>18040.400000000001</v>
      </c>
      <c r="E280" s="151">
        <v>44776</v>
      </c>
      <c r="F280" s="176">
        <v>18040.400000000001</v>
      </c>
      <c r="G280" s="177">
        <f>Tabla19[[#This Row],[Importe]]-Tabla19[[#This Row],[Pagado]]</f>
        <v>0</v>
      </c>
      <c r="H280" s="75" t="s">
        <v>10</v>
      </c>
    </row>
    <row r="281" spans="1:8" x14ac:dyDescent="0.25">
      <c r="A281" s="148">
        <v>44776</v>
      </c>
      <c r="B281" s="149" t="s">
        <v>24927</v>
      </c>
      <c r="C281" s="153" t="s">
        <v>296</v>
      </c>
      <c r="D281" s="178">
        <v>1504.8</v>
      </c>
      <c r="E281" s="155">
        <v>44776</v>
      </c>
      <c r="F281" s="178">
        <v>1504.8</v>
      </c>
      <c r="G281" s="179">
        <f>Tabla19[[#This Row],[Importe]]-Tabla19[[#This Row],[Pagado]]</f>
        <v>0</v>
      </c>
      <c r="H281" s="153" t="s">
        <v>10</v>
      </c>
    </row>
    <row r="282" spans="1:8" x14ac:dyDescent="0.25">
      <c r="A282" s="73">
        <v>44776</v>
      </c>
      <c r="B282" s="74" t="s">
        <v>24928</v>
      </c>
      <c r="C282" s="75" t="s">
        <v>1421</v>
      </c>
      <c r="D282" s="176">
        <v>40952.800000000003</v>
      </c>
      <c r="E282" s="151">
        <v>44776</v>
      </c>
      <c r="F282" s="176">
        <v>40952.800000000003</v>
      </c>
      <c r="G282" s="177">
        <f>Tabla19[[#This Row],[Importe]]-Tabla19[[#This Row],[Pagado]]</f>
        <v>0</v>
      </c>
      <c r="H282" s="75" t="s">
        <v>10</v>
      </c>
    </row>
    <row r="283" spans="1:8" x14ac:dyDescent="0.25">
      <c r="A283" s="148">
        <v>44776</v>
      </c>
      <c r="B283" s="149" t="s">
        <v>24929</v>
      </c>
      <c r="C283" s="153" t="s">
        <v>10819</v>
      </c>
      <c r="D283" s="178">
        <v>1545.1</v>
      </c>
      <c r="E283" s="155">
        <v>44777</v>
      </c>
      <c r="F283" s="178">
        <v>1545.1</v>
      </c>
      <c r="G283" s="179">
        <f>Tabla19[[#This Row],[Importe]]-Tabla19[[#This Row],[Pagado]]</f>
        <v>0</v>
      </c>
      <c r="H283" s="153" t="s">
        <v>10</v>
      </c>
    </row>
    <row r="284" spans="1:8" x14ac:dyDescent="0.25">
      <c r="A284" s="73">
        <v>44776</v>
      </c>
      <c r="B284" s="74" t="s">
        <v>24930</v>
      </c>
      <c r="C284" s="75" t="s">
        <v>280</v>
      </c>
      <c r="D284" s="176">
        <v>861.3</v>
      </c>
      <c r="E284" s="151">
        <v>44777</v>
      </c>
      <c r="F284" s="176">
        <v>861.3</v>
      </c>
      <c r="G284" s="177">
        <f>Tabla19[[#This Row],[Importe]]-Tabla19[[#This Row],[Pagado]]</f>
        <v>0</v>
      </c>
      <c r="H284" s="75" t="s">
        <v>10</v>
      </c>
    </row>
    <row r="285" spans="1:8" x14ac:dyDescent="0.25">
      <c r="A285" s="148">
        <v>44776</v>
      </c>
      <c r="B285" s="149" t="s">
        <v>24931</v>
      </c>
      <c r="C285" s="153" t="s">
        <v>5345</v>
      </c>
      <c r="D285" s="178">
        <v>3697.5</v>
      </c>
      <c r="E285" s="155">
        <v>44777</v>
      </c>
      <c r="F285" s="178">
        <v>3697.5</v>
      </c>
      <c r="G285" s="179">
        <f>Tabla19[[#This Row],[Importe]]-Tabla19[[#This Row],[Pagado]]</f>
        <v>0</v>
      </c>
      <c r="H285" s="153" t="s">
        <v>10</v>
      </c>
    </row>
    <row r="286" spans="1:8" x14ac:dyDescent="0.25">
      <c r="A286" s="73">
        <v>44776</v>
      </c>
      <c r="B286" s="74" t="s">
        <v>24932</v>
      </c>
      <c r="C286" s="75" t="s">
        <v>282</v>
      </c>
      <c r="D286" s="176">
        <v>3671.4</v>
      </c>
      <c r="E286" s="151">
        <v>44777</v>
      </c>
      <c r="F286" s="176">
        <v>3671.4</v>
      </c>
      <c r="G286" s="177">
        <f>Tabla19[[#This Row],[Importe]]-Tabla19[[#This Row],[Pagado]]</f>
        <v>0</v>
      </c>
      <c r="H286" s="75" t="s">
        <v>10</v>
      </c>
    </row>
    <row r="287" spans="1:8" x14ac:dyDescent="0.25">
      <c r="A287" s="148">
        <v>44776</v>
      </c>
      <c r="B287" s="149" t="s">
        <v>24933</v>
      </c>
      <c r="C287" s="153" t="s">
        <v>284</v>
      </c>
      <c r="D287" s="178">
        <v>8726.1</v>
      </c>
      <c r="E287" s="155">
        <v>44777</v>
      </c>
      <c r="F287" s="178">
        <v>8726.1</v>
      </c>
      <c r="G287" s="179">
        <f>Tabla19[[#This Row],[Importe]]-Tabla19[[#This Row],[Pagado]]</f>
        <v>0</v>
      </c>
      <c r="H287" s="153" t="s">
        <v>10</v>
      </c>
    </row>
    <row r="288" spans="1:8" x14ac:dyDescent="0.25">
      <c r="A288" s="73">
        <v>44776</v>
      </c>
      <c r="B288" s="74" t="s">
        <v>24934</v>
      </c>
      <c r="C288" s="75" t="s">
        <v>200</v>
      </c>
      <c r="D288" s="176">
        <v>1218</v>
      </c>
      <c r="E288" s="151">
        <v>44776</v>
      </c>
      <c r="F288" s="176">
        <v>1218</v>
      </c>
      <c r="G288" s="177">
        <f>Tabla19[[#This Row],[Importe]]-Tabla19[[#This Row],[Pagado]]</f>
        <v>0</v>
      </c>
      <c r="H288" s="75" t="s">
        <v>10</v>
      </c>
    </row>
    <row r="289" spans="1:8" x14ac:dyDescent="0.25">
      <c r="A289" s="148">
        <v>44776</v>
      </c>
      <c r="B289" s="149" t="s">
        <v>24935</v>
      </c>
      <c r="C289" s="153" t="s">
        <v>419</v>
      </c>
      <c r="D289" s="178">
        <v>9909.2000000000007</v>
      </c>
      <c r="E289" s="155">
        <v>44776</v>
      </c>
      <c r="F289" s="178">
        <v>9909.2000000000007</v>
      </c>
      <c r="G289" s="179">
        <f>Tabla19[[#This Row],[Importe]]-Tabla19[[#This Row],[Pagado]]</f>
        <v>0</v>
      </c>
      <c r="H289" s="153" t="s">
        <v>10</v>
      </c>
    </row>
    <row r="290" spans="1:8" x14ac:dyDescent="0.25">
      <c r="A290" s="73">
        <v>44776</v>
      </c>
      <c r="B290" s="74" t="s">
        <v>24936</v>
      </c>
      <c r="C290" s="75" t="s">
        <v>484</v>
      </c>
      <c r="D290" s="176">
        <v>4633.2</v>
      </c>
      <c r="E290" s="151">
        <v>44776</v>
      </c>
      <c r="F290" s="176">
        <v>4633.2</v>
      </c>
      <c r="G290" s="177">
        <f>Tabla19[[#This Row],[Importe]]-Tabla19[[#This Row],[Pagado]]</f>
        <v>0</v>
      </c>
      <c r="H290" s="75" t="s">
        <v>10</v>
      </c>
    </row>
    <row r="291" spans="1:8" x14ac:dyDescent="0.25">
      <c r="A291" s="148">
        <v>44776</v>
      </c>
      <c r="B291" s="149" t="s">
        <v>24937</v>
      </c>
      <c r="C291" s="153" t="s">
        <v>857</v>
      </c>
      <c r="D291" s="178">
        <v>460</v>
      </c>
      <c r="E291" s="155">
        <v>44776</v>
      </c>
      <c r="F291" s="178">
        <v>460</v>
      </c>
      <c r="G291" s="179">
        <f>Tabla19[[#This Row],[Importe]]-Tabla19[[#This Row],[Pagado]]</f>
        <v>0</v>
      </c>
      <c r="H291" s="153" t="s">
        <v>10</v>
      </c>
    </row>
    <row r="292" spans="1:8" x14ac:dyDescent="0.25">
      <c r="A292" s="73">
        <v>44776</v>
      </c>
      <c r="B292" s="74" t="s">
        <v>24938</v>
      </c>
      <c r="C292" s="75" t="s">
        <v>31</v>
      </c>
      <c r="D292" s="176">
        <v>481</v>
      </c>
      <c r="E292" s="151">
        <v>44776</v>
      </c>
      <c r="F292" s="176">
        <v>481</v>
      </c>
      <c r="G292" s="177">
        <f>Tabla19[[#This Row],[Importe]]-Tabla19[[#This Row],[Pagado]]</f>
        <v>0</v>
      </c>
      <c r="H292" s="75" t="s">
        <v>10</v>
      </c>
    </row>
    <row r="293" spans="1:8" x14ac:dyDescent="0.25">
      <c r="A293" s="148">
        <v>44776</v>
      </c>
      <c r="B293" s="149" t="s">
        <v>24939</v>
      </c>
      <c r="C293" s="153" t="s">
        <v>196</v>
      </c>
      <c r="D293" s="178">
        <v>22321.599999999999</v>
      </c>
      <c r="E293" s="155">
        <v>44778</v>
      </c>
      <c r="F293" s="178">
        <v>22321.599999999999</v>
      </c>
      <c r="G293" s="179">
        <f>Tabla19[[#This Row],[Importe]]-Tabla19[[#This Row],[Pagado]]</f>
        <v>0</v>
      </c>
      <c r="H293" s="153" t="s">
        <v>10</v>
      </c>
    </row>
    <row r="294" spans="1:8" x14ac:dyDescent="0.25">
      <c r="A294" s="73">
        <v>44776</v>
      </c>
      <c r="B294" s="74" t="s">
        <v>24940</v>
      </c>
      <c r="C294" s="75" t="s">
        <v>31</v>
      </c>
      <c r="D294" s="176">
        <v>1806</v>
      </c>
      <c r="E294" s="151">
        <v>44776</v>
      </c>
      <c r="F294" s="176">
        <v>1806</v>
      </c>
      <c r="G294" s="177">
        <f>Tabla19[[#This Row],[Importe]]-Tabla19[[#This Row],[Pagado]]</f>
        <v>0</v>
      </c>
      <c r="H294" s="75" t="s">
        <v>10</v>
      </c>
    </row>
    <row r="295" spans="1:8" x14ac:dyDescent="0.25">
      <c r="A295" s="148">
        <v>44776</v>
      </c>
      <c r="B295" s="149" t="s">
        <v>24941</v>
      </c>
      <c r="C295" s="153" t="s">
        <v>610</v>
      </c>
      <c r="D295" s="178">
        <v>23088.799999999999</v>
      </c>
      <c r="E295" s="155">
        <v>44776</v>
      </c>
      <c r="F295" s="178">
        <v>23088.799999999999</v>
      </c>
      <c r="G295" s="179">
        <f>Tabla19[[#This Row],[Importe]]-Tabla19[[#This Row],[Pagado]]</f>
        <v>0</v>
      </c>
      <c r="H295" s="153" t="s">
        <v>10</v>
      </c>
    </row>
    <row r="296" spans="1:8" x14ac:dyDescent="0.25">
      <c r="A296" s="73">
        <v>44776</v>
      </c>
      <c r="B296" s="74" t="s">
        <v>24942</v>
      </c>
      <c r="C296" s="75" t="s">
        <v>10190</v>
      </c>
      <c r="D296" s="176">
        <v>19342.8</v>
      </c>
      <c r="E296" s="151">
        <v>44777</v>
      </c>
      <c r="F296" s="176">
        <v>19342.8</v>
      </c>
      <c r="G296" s="177">
        <f>Tabla19[[#This Row],[Importe]]-Tabla19[[#This Row],[Pagado]]</f>
        <v>0</v>
      </c>
      <c r="H296" s="75" t="s">
        <v>10</v>
      </c>
    </row>
    <row r="297" spans="1:8" x14ac:dyDescent="0.25">
      <c r="A297" s="148">
        <v>44777</v>
      </c>
      <c r="B297" s="149" t="s">
        <v>24943</v>
      </c>
      <c r="C297" s="153" t="s">
        <v>887</v>
      </c>
      <c r="D297" s="178">
        <v>17483.400000000001</v>
      </c>
      <c r="E297" s="155">
        <v>44777</v>
      </c>
      <c r="F297" s="178">
        <v>17483.400000000001</v>
      </c>
      <c r="G297" s="179">
        <f>Tabla19[[#This Row],[Importe]]-Tabla19[[#This Row],[Pagado]]</f>
        <v>0</v>
      </c>
      <c r="H297" s="153" t="s">
        <v>10</v>
      </c>
    </row>
    <row r="298" spans="1:8" x14ac:dyDescent="0.25">
      <c r="A298" s="73">
        <v>44777</v>
      </c>
      <c r="B298" s="74" t="s">
        <v>24944</v>
      </c>
      <c r="C298" s="75" t="s">
        <v>79</v>
      </c>
      <c r="D298" s="176">
        <v>19035.2</v>
      </c>
      <c r="E298" s="151">
        <v>44777</v>
      </c>
      <c r="F298" s="176">
        <v>19035.2</v>
      </c>
      <c r="G298" s="177">
        <f>Tabla19[[#This Row],[Importe]]-Tabla19[[#This Row],[Pagado]]</f>
        <v>0</v>
      </c>
      <c r="H298" s="75" t="s">
        <v>10</v>
      </c>
    </row>
    <row r="299" spans="1:8" ht="31.5" x14ac:dyDescent="0.25">
      <c r="A299" s="148">
        <v>44777</v>
      </c>
      <c r="B299" s="149" t="s">
        <v>24945</v>
      </c>
      <c r="C299" s="153" t="s">
        <v>475</v>
      </c>
      <c r="D299" s="178">
        <v>40629.599999999999</v>
      </c>
      <c r="E299" s="150" t="s">
        <v>24946</v>
      </c>
      <c r="F299" s="178">
        <f>35000+5629.6</f>
        <v>40629.599999999999</v>
      </c>
      <c r="G299" s="179">
        <f>Tabla19[[#This Row],[Importe]]-Tabla19[[#This Row],[Pagado]]</f>
        <v>0</v>
      </c>
      <c r="H299" s="153" t="s">
        <v>10</v>
      </c>
    </row>
    <row r="300" spans="1:8" x14ac:dyDescent="0.25">
      <c r="A300" s="73">
        <v>44777</v>
      </c>
      <c r="B300" s="74" t="s">
        <v>24947</v>
      </c>
      <c r="C300" s="75" t="s">
        <v>89</v>
      </c>
      <c r="D300" s="176">
        <v>16971.099999999999</v>
      </c>
      <c r="E300" s="151">
        <v>44778</v>
      </c>
      <c r="F300" s="176">
        <v>16971.099999999999</v>
      </c>
      <c r="G300" s="177">
        <f>Tabla19[[#This Row],[Importe]]-Tabla19[[#This Row],[Pagado]]</f>
        <v>0</v>
      </c>
      <c r="H300" s="75" t="s">
        <v>10</v>
      </c>
    </row>
    <row r="301" spans="1:8" x14ac:dyDescent="0.25">
      <c r="A301" s="148">
        <v>44777</v>
      </c>
      <c r="B301" s="149" t="s">
        <v>24948</v>
      </c>
      <c r="C301" s="153" t="s">
        <v>64</v>
      </c>
      <c r="D301" s="178">
        <v>5394</v>
      </c>
      <c r="E301" s="155">
        <v>44778</v>
      </c>
      <c r="F301" s="178">
        <v>5394</v>
      </c>
      <c r="G301" s="179">
        <f>Tabla19[[#This Row],[Importe]]-Tabla19[[#This Row],[Pagado]]</f>
        <v>0</v>
      </c>
      <c r="H301" s="153" t="s">
        <v>10</v>
      </c>
    </row>
    <row r="302" spans="1:8" x14ac:dyDescent="0.25">
      <c r="A302" s="73">
        <v>44777</v>
      </c>
      <c r="B302" s="74" t="s">
        <v>24949</v>
      </c>
      <c r="C302" s="75" t="s">
        <v>105</v>
      </c>
      <c r="D302" s="176">
        <v>8260.4</v>
      </c>
      <c r="E302" s="151">
        <v>44778</v>
      </c>
      <c r="F302" s="176">
        <v>8260.4</v>
      </c>
      <c r="G302" s="177">
        <f>Tabla19[[#This Row],[Importe]]-Tabla19[[#This Row],[Pagado]]</f>
        <v>0</v>
      </c>
      <c r="H302" s="75" t="s">
        <v>10</v>
      </c>
    </row>
    <row r="303" spans="1:8" x14ac:dyDescent="0.25">
      <c r="A303" s="148">
        <v>44777</v>
      </c>
      <c r="B303" s="149" t="s">
        <v>24950</v>
      </c>
      <c r="C303" s="153" t="s">
        <v>348</v>
      </c>
      <c r="D303" s="178">
        <v>4200.8999999999996</v>
      </c>
      <c r="E303" s="155">
        <v>44777</v>
      </c>
      <c r="F303" s="178">
        <v>4200.8999999999996</v>
      </c>
      <c r="G303" s="179">
        <f>Tabla19[[#This Row],[Importe]]-Tabla19[[#This Row],[Pagado]]</f>
        <v>0</v>
      </c>
      <c r="H303" s="153" t="s">
        <v>10</v>
      </c>
    </row>
    <row r="304" spans="1:8" x14ac:dyDescent="0.25">
      <c r="A304" s="73">
        <v>44777</v>
      </c>
      <c r="B304" s="74" t="s">
        <v>24951</v>
      </c>
      <c r="C304" s="75" t="s">
        <v>2151</v>
      </c>
      <c r="D304" s="176">
        <v>19592.599999999999</v>
      </c>
      <c r="E304" s="151">
        <v>44777</v>
      </c>
      <c r="F304" s="176">
        <v>19592.599999999999</v>
      </c>
      <c r="G304" s="177">
        <f>Tabla19[[#This Row],[Importe]]-Tabla19[[#This Row],[Pagado]]</f>
        <v>0</v>
      </c>
      <c r="H304" s="75" t="s">
        <v>10</v>
      </c>
    </row>
    <row r="305" spans="1:8" x14ac:dyDescent="0.25">
      <c r="A305" s="148">
        <v>44777</v>
      </c>
      <c r="B305" s="149" t="s">
        <v>24952</v>
      </c>
      <c r="C305" s="153" t="s">
        <v>18</v>
      </c>
      <c r="D305" s="178">
        <v>2142.8000000000002</v>
      </c>
      <c r="E305" s="155">
        <v>44777</v>
      </c>
      <c r="F305" s="178">
        <v>2142.8000000000002</v>
      </c>
      <c r="G305" s="179">
        <f>Tabla19[[#This Row],[Importe]]-Tabla19[[#This Row],[Pagado]]</f>
        <v>0</v>
      </c>
      <c r="H305" s="153" t="s">
        <v>10</v>
      </c>
    </row>
    <row r="306" spans="1:8" x14ac:dyDescent="0.25">
      <c r="A306" s="73">
        <v>44777</v>
      </c>
      <c r="B306" s="74" t="s">
        <v>24953</v>
      </c>
      <c r="C306" s="75" t="s">
        <v>99</v>
      </c>
      <c r="D306" s="176">
        <v>5593.6</v>
      </c>
      <c r="E306" s="151">
        <v>44779</v>
      </c>
      <c r="F306" s="176">
        <v>5593.6</v>
      </c>
      <c r="G306" s="177">
        <f>Tabla19[[#This Row],[Importe]]-Tabla19[[#This Row],[Pagado]]</f>
        <v>0</v>
      </c>
      <c r="H306" s="75" t="s">
        <v>10</v>
      </c>
    </row>
    <row r="307" spans="1:8" x14ac:dyDescent="0.25">
      <c r="A307" s="148">
        <v>44777</v>
      </c>
      <c r="B307" s="149" t="s">
        <v>24954</v>
      </c>
      <c r="C307" s="153" t="s">
        <v>97</v>
      </c>
      <c r="D307" s="178">
        <v>5405.4</v>
      </c>
      <c r="E307" s="155">
        <v>44778</v>
      </c>
      <c r="F307" s="178">
        <v>5405.4</v>
      </c>
      <c r="G307" s="179">
        <f>Tabla19[[#This Row],[Importe]]-Tabla19[[#This Row],[Pagado]]</f>
        <v>0</v>
      </c>
      <c r="H307" s="153" t="s">
        <v>10</v>
      </c>
    </row>
    <row r="308" spans="1:8" x14ac:dyDescent="0.25">
      <c r="A308" s="73">
        <v>44777</v>
      </c>
      <c r="B308" s="74" t="s">
        <v>24955</v>
      </c>
      <c r="C308" s="75" t="s">
        <v>618</v>
      </c>
      <c r="D308" s="176">
        <v>11452.4</v>
      </c>
      <c r="E308" s="151">
        <v>44777</v>
      </c>
      <c r="F308" s="176">
        <v>11452.4</v>
      </c>
      <c r="G308" s="177">
        <f>Tabla19[[#This Row],[Importe]]-Tabla19[[#This Row],[Pagado]]</f>
        <v>0</v>
      </c>
      <c r="H308" s="75" t="s">
        <v>10</v>
      </c>
    </row>
    <row r="309" spans="1:8" x14ac:dyDescent="0.25">
      <c r="A309" s="148">
        <v>44777</v>
      </c>
      <c r="B309" s="149" t="s">
        <v>24956</v>
      </c>
      <c r="C309" s="153" t="s">
        <v>83</v>
      </c>
      <c r="D309" s="178">
        <v>12392</v>
      </c>
      <c r="E309" s="155">
        <v>44777</v>
      </c>
      <c r="F309" s="178">
        <v>12392</v>
      </c>
      <c r="G309" s="179">
        <f>Tabla19[[#This Row],[Importe]]-Tabla19[[#This Row],[Pagado]]</f>
        <v>0</v>
      </c>
      <c r="H309" s="153" t="s">
        <v>10</v>
      </c>
    </row>
    <row r="310" spans="1:8" x14ac:dyDescent="0.25">
      <c r="A310" s="73">
        <v>44777</v>
      </c>
      <c r="B310" s="74" t="s">
        <v>24957</v>
      </c>
      <c r="C310" s="75" t="s">
        <v>450</v>
      </c>
      <c r="D310" s="176">
        <v>8152.8</v>
      </c>
      <c r="E310" s="151">
        <v>44777</v>
      </c>
      <c r="F310" s="176">
        <v>8152.8</v>
      </c>
      <c r="G310" s="177">
        <f>Tabla19[[#This Row],[Importe]]-Tabla19[[#This Row],[Pagado]]</f>
        <v>0</v>
      </c>
      <c r="H310" s="75" t="s">
        <v>10</v>
      </c>
    </row>
    <row r="311" spans="1:8" x14ac:dyDescent="0.25">
      <c r="A311" s="148">
        <v>44777</v>
      </c>
      <c r="B311" s="149" t="s">
        <v>24958</v>
      </c>
      <c r="C311" s="153" t="s">
        <v>75</v>
      </c>
      <c r="D311" s="178">
        <v>8778.2999999999993</v>
      </c>
      <c r="E311" s="155">
        <v>44777</v>
      </c>
      <c r="F311" s="178">
        <v>8778.2999999999993</v>
      </c>
      <c r="G311" s="179">
        <f>Tabla19[[#This Row],[Importe]]-Tabla19[[#This Row],[Pagado]]</f>
        <v>0</v>
      </c>
      <c r="H311" s="153" t="s">
        <v>10</v>
      </c>
    </row>
    <row r="312" spans="1:8" ht="31.5" x14ac:dyDescent="0.25">
      <c r="A312" s="73">
        <v>44777</v>
      </c>
      <c r="B312" s="74" t="s">
        <v>24959</v>
      </c>
      <c r="C312" s="75" t="s">
        <v>275</v>
      </c>
      <c r="D312" s="176">
        <v>192819.05</v>
      </c>
      <c r="E312" s="147" t="s">
        <v>24960</v>
      </c>
      <c r="F312" s="176">
        <f>52298.57+140520.48</f>
        <v>192819.05000000002</v>
      </c>
      <c r="G312" s="177">
        <f>Tabla19[[#This Row],[Importe]]-Tabla19[[#This Row],[Pagado]]</f>
        <v>0</v>
      </c>
      <c r="H312" s="75" t="s">
        <v>10</v>
      </c>
    </row>
    <row r="313" spans="1:8" x14ac:dyDescent="0.25">
      <c r="A313" s="148">
        <v>44777</v>
      </c>
      <c r="B313" s="149" t="s">
        <v>24961</v>
      </c>
      <c r="C313" s="153" t="s">
        <v>87</v>
      </c>
      <c r="D313" s="178">
        <v>4463</v>
      </c>
      <c r="E313" s="155">
        <v>44777</v>
      </c>
      <c r="F313" s="178">
        <v>4463</v>
      </c>
      <c r="G313" s="179">
        <f>Tabla19[[#This Row],[Importe]]-Tabla19[[#This Row],[Pagado]]</f>
        <v>0</v>
      </c>
      <c r="H313" s="153" t="s">
        <v>10</v>
      </c>
    </row>
    <row r="314" spans="1:8" x14ac:dyDescent="0.25">
      <c r="A314" s="73">
        <v>44777</v>
      </c>
      <c r="B314" s="74" t="s">
        <v>24962</v>
      </c>
      <c r="C314" s="75" t="s">
        <v>473</v>
      </c>
      <c r="D314" s="176">
        <v>7609.4</v>
      </c>
      <c r="E314" s="151">
        <v>44777</v>
      </c>
      <c r="F314" s="176">
        <v>7609.4</v>
      </c>
      <c r="G314" s="177">
        <f>Tabla19[[#This Row],[Importe]]-Tabla19[[#This Row],[Pagado]]</f>
        <v>0</v>
      </c>
      <c r="H314" s="75" t="s">
        <v>10</v>
      </c>
    </row>
    <row r="315" spans="1:8" x14ac:dyDescent="0.25">
      <c r="A315" s="148">
        <v>44777</v>
      </c>
      <c r="B315" s="149" t="s">
        <v>24963</v>
      </c>
      <c r="C315" s="153" t="s">
        <v>24964</v>
      </c>
      <c r="D315" s="178">
        <v>0</v>
      </c>
      <c r="E315" s="158" t="s">
        <v>189</v>
      </c>
      <c r="F315" s="178">
        <v>0</v>
      </c>
      <c r="G315" s="179">
        <f>Tabla19[[#This Row],[Importe]]-Tabla19[[#This Row],[Pagado]]</f>
        <v>0</v>
      </c>
      <c r="H315" s="159" t="s">
        <v>24965</v>
      </c>
    </row>
    <row r="316" spans="1:8" x14ac:dyDescent="0.25">
      <c r="A316" s="73">
        <v>44777</v>
      </c>
      <c r="B316" s="74" t="s">
        <v>24966</v>
      </c>
      <c r="C316" s="75" t="s">
        <v>9</v>
      </c>
      <c r="D316" s="176">
        <v>8709.9</v>
      </c>
      <c r="E316" s="151">
        <v>44777</v>
      </c>
      <c r="F316" s="176">
        <v>8709.9</v>
      </c>
      <c r="G316" s="177">
        <f>Tabla19[[#This Row],[Importe]]-Tabla19[[#This Row],[Pagado]]</f>
        <v>0</v>
      </c>
      <c r="H316" s="75" t="s">
        <v>10</v>
      </c>
    </row>
    <row r="317" spans="1:8" x14ac:dyDescent="0.25">
      <c r="A317" s="148">
        <v>44777</v>
      </c>
      <c r="B317" s="149" t="s">
        <v>24967</v>
      </c>
      <c r="C317" s="153" t="s">
        <v>275</v>
      </c>
      <c r="D317" s="178">
        <v>5132.3999999999996</v>
      </c>
      <c r="E317" s="155">
        <v>44799</v>
      </c>
      <c r="F317" s="178">
        <v>5132.3999999999996</v>
      </c>
      <c r="G317" s="179">
        <f>Tabla19[[#This Row],[Importe]]-Tabla19[[#This Row],[Pagado]]</f>
        <v>0</v>
      </c>
      <c r="H317" s="153" t="s">
        <v>10</v>
      </c>
    </row>
    <row r="318" spans="1:8" x14ac:dyDescent="0.25">
      <c r="A318" s="73">
        <v>44777</v>
      </c>
      <c r="B318" s="74" t="s">
        <v>24968</v>
      </c>
      <c r="C318" s="75" t="s">
        <v>966</v>
      </c>
      <c r="D318" s="176">
        <v>4730.2</v>
      </c>
      <c r="E318" s="151">
        <v>44777</v>
      </c>
      <c r="F318" s="176">
        <v>4730.2</v>
      </c>
      <c r="G318" s="177">
        <f>Tabla19[[#This Row],[Importe]]-Tabla19[[#This Row],[Pagado]]</f>
        <v>0</v>
      </c>
      <c r="H318" s="75" t="s">
        <v>10</v>
      </c>
    </row>
    <row r="319" spans="1:8" x14ac:dyDescent="0.25">
      <c r="A319" s="148">
        <v>44777</v>
      </c>
      <c r="B319" s="149" t="s">
        <v>24969</v>
      </c>
      <c r="C319" s="153" t="s">
        <v>319</v>
      </c>
      <c r="D319" s="178">
        <v>13120.5</v>
      </c>
      <c r="E319" s="155">
        <v>44777</v>
      </c>
      <c r="F319" s="178">
        <v>13120.5</v>
      </c>
      <c r="G319" s="179">
        <f>Tabla19[[#This Row],[Importe]]-Tabla19[[#This Row],[Pagado]]</f>
        <v>0</v>
      </c>
      <c r="H319" s="153" t="s">
        <v>10</v>
      </c>
    </row>
    <row r="320" spans="1:8" x14ac:dyDescent="0.25">
      <c r="A320" s="73">
        <v>44777</v>
      </c>
      <c r="B320" s="74" t="s">
        <v>24970</v>
      </c>
      <c r="C320" s="75" t="s">
        <v>49</v>
      </c>
      <c r="D320" s="176">
        <v>3842</v>
      </c>
      <c r="E320" s="151">
        <v>44777</v>
      </c>
      <c r="F320" s="176">
        <v>3842</v>
      </c>
      <c r="G320" s="177">
        <f>Tabla19[[#This Row],[Importe]]-Tabla19[[#This Row],[Pagado]]</f>
        <v>0</v>
      </c>
      <c r="H320" s="75" t="s">
        <v>10</v>
      </c>
    </row>
    <row r="321" spans="1:8" x14ac:dyDescent="0.25">
      <c r="A321" s="148">
        <v>44777</v>
      </c>
      <c r="B321" s="149" t="s">
        <v>24971</v>
      </c>
      <c r="C321" s="153" t="s">
        <v>22</v>
      </c>
      <c r="D321" s="178">
        <v>44881.9</v>
      </c>
      <c r="E321" s="155">
        <v>44778</v>
      </c>
      <c r="F321" s="178">
        <f>42000+2881.9</f>
        <v>44881.9</v>
      </c>
      <c r="G321" s="179">
        <f>Tabla19[[#This Row],[Importe]]-Tabla19[[#This Row],[Pagado]]</f>
        <v>0</v>
      </c>
      <c r="H321" s="153" t="s">
        <v>10</v>
      </c>
    </row>
    <row r="322" spans="1:8" x14ac:dyDescent="0.25">
      <c r="A322" s="73">
        <v>44777</v>
      </c>
      <c r="B322" s="74" t="s">
        <v>24972</v>
      </c>
      <c r="C322" s="75" t="s">
        <v>131</v>
      </c>
      <c r="D322" s="176">
        <v>2314</v>
      </c>
      <c r="E322" s="151">
        <v>44777</v>
      </c>
      <c r="F322" s="176">
        <v>2314</v>
      </c>
      <c r="G322" s="177">
        <f>Tabla19[[#This Row],[Importe]]-Tabla19[[#This Row],[Pagado]]</f>
        <v>0</v>
      </c>
      <c r="H322" s="75" t="s">
        <v>10</v>
      </c>
    </row>
    <row r="323" spans="1:8" x14ac:dyDescent="0.25">
      <c r="A323" s="148">
        <v>44777</v>
      </c>
      <c r="B323" s="149" t="s">
        <v>24973</v>
      </c>
      <c r="C323" s="153" t="s">
        <v>518</v>
      </c>
      <c r="D323" s="178">
        <v>1600.8</v>
      </c>
      <c r="E323" s="155">
        <v>44777</v>
      </c>
      <c r="F323" s="178">
        <v>1600.8</v>
      </c>
      <c r="G323" s="179">
        <f>Tabla19[[#This Row],[Importe]]-Tabla19[[#This Row],[Pagado]]</f>
        <v>0</v>
      </c>
      <c r="H323" s="153" t="s">
        <v>10</v>
      </c>
    </row>
    <row r="324" spans="1:8" x14ac:dyDescent="0.25">
      <c r="A324" s="73">
        <v>44777</v>
      </c>
      <c r="B324" s="74" t="s">
        <v>24974</v>
      </c>
      <c r="C324" s="75" t="s">
        <v>135</v>
      </c>
      <c r="D324" s="176">
        <v>1950</v>
      </c>
      <c r="E324" s="151">
        <v>44777</v>
      </c>
      <c r="F324" s="176">
        <v>1950</v>
      </c>
      <c r="G324" s="177">
        <f>Tabla19[[#This Row],[Importe]]-Tabla19[[#This Row],[Pagado]]</f>
        <v>0</v>
      </c>
      <c r="H324" s="75" t="s">
        <v>10</v>
      </c>
    </row>
    <row r="325" spans="1:8" x14ac:dyDescent="0.25">
      <c r="A325" s="148">
        <v>44777</v>
      </c>
      <c r="B325" s="149" t="s">
        <v>24975</v>
      </c>
      <c r="C325" s="153" t="s">
        <v>11033</v>
      </c>
      <c r="D325" s="178">
        <v>1975</v>
      </c>
      <c r="E325" s="155">
        <v>44777</v>
      </c>
      <c r="F325" s="178">
        <v>1975</v>
      </c>
      <c r="G325" s="179">
        <f>Tabla19[[#This Row],[Importe]]-Tabla19[[#This Row],[Pagado]]</f>
        <v>0</v>
      </c>
      <c r="H325" s="153" t="s">
        <v>10</v>
      </c>
    </row>
    <row r="326" spans="1:8" x14ac:dyDescent="0.25">
      <c r="A326" s="73">
        <v>44777</v>
      </c>
      <c r="B326" s="74" t="s">
        <v>24976</v>
      </c>
      <c r="C326" s="75" t="s">
        <v>157</v>
      </c>
      <c r="D326" s="176">
        <v>7415.3</v>
      </c>
      <c r="E326" s="151">
        <v>44777</v>
      </c>
      <c r="F326" s="176">
        <v>7415.3</v>
      </c>
      <c r="G326" s="177">
        <f>Tabla19[[#This Row],[Importe]]-Tabla19[[#This Row],[Pagado]]</f>
        <v>0</v>
      </c>
      <c r="H326" s="75" t="s">
        <v>10</v>
      </c>
    </row>
    <row r="327" spans="1:8" x14ac:dyDescent="0.25">
      <c r="A327" s="148">
        <v>44777</v>
      </c>
      <c r="B327" s="149" t="s">
        <v>24977</v>
      </c>
      <c r="C327" s="153" t="s">
        <v>161</v>
      </c>
      <c r="D327" s="178">
        <v>4204.2</v>
      </c>
      <c r="E327" s="155">
        <v>44777</v>
      </c>
      <c r="F327" s="178">
        <v>4204.2</v>
      </c>
      <c r="G327" s="179">
        <f>Tabla19[[#This Row],[Importe]]-Tabla19[[#This Row],[Pagado]]</f>
        <v>0</v>
      </c>
      <c r="H327" s="153" t="s">
        <v>10</v>
      </c>
    </row>
    <row r="328" spans="1:8" x14ac:dyDescent="0.25">
      <c r="A328" s="73">
        <v>44777</v>
      </c>
      <c r="B328" s="74" t="s">
        <v>24978</v>
      </c>
      <c r="C328" s="75" t="s">
        <v>380</v>
      </c>
      <c r="D328" s="176">
        <v>5427.1</v>
      </c>
      <c r="E328" s="151">
        <v>44777</v>
      </c>
      <c r="F328" s="176">
        <v>5427.1</v>
      </c>
      <c r="G328" s="177">
        <f>Tabla19[[#This Row],[Importe]]-Tabla19[[#This Row],[Pagado]]</f>
        <v>0</v>
      </c>
      <c r="H328" s="75" t="s">
        <v>10</v>
      </c>
    </row>
    <row r="329" spans="1:8" x14ac:dyDescent="0.25">
      <c r="A329" s="148">
        <v>44777</v>
      </c>
      <c r="B329" s="149" t="s">
        <v>24979</v>
      </c>
      <c r="C329" s="153" t="s">
        <v>45</v>
      </c>
      <c r="D329" s="178">
        <v>17300.8</v>
      </c>
      <c r="E329" s="155">
        <v>44777</v>
      </c>
      <c r="F329" s="178">
        <v>17300.8</v>
      </c>
      <c r="G329" s="179">
        <f>Tabla19[[#This Row],[Importe]]-Tabla19[[#This Row],[Pagado]]</f>
        <v>0</v>
      </c>
      <c r="H329" s="153" t="s">
        <v>10</v>
      </c>
    </row>
    <row r="330" spans="1:8" x14ac:dyDescent="0.25">
      <c r="A330" s="73">
        <v>44777</v>
      </c>
      <c r="B330" s="74" t="s">
        <v>24980</v>
      </c>
      <c r="C330" s="75" t="s">
        <v>647</v>
      </c>
      <c r="D330" s="176">
        <v>8870.6</v>
      </c>
      <c r="E330" s="151">
        <v>44777</v>
      </c>
      <c r="F330" s="176">
        <f>4500+4370.6</f>
        <v>8870.6</v>
      </c>
      <c r="G330" s="177">
        <f>Tabla19[[#This Row],[Importe]]-Tabla19[[#This Row],[Pagado]]</f>
        <v>0</v>
      </c>
      <c r="H330" s="75" t="s">
        <v>10</v>
      </c>
    </row>
    <row r="331" spans="1:8" x14ac:dyDescent="0.25">
      <c r="A331" s="148">
        <v>44777</v>
      </c>
      <c r="B331" s="149" t="s">
        <v>24981</v>
      </c>
      <c r="C331" s="153" t="s">
        <v>562</v>
      </c>
      <c r="D331" s="178">
        <v>4023</v>
      </c>
      <c r="E331" s="155">
        <v>44777</v>
      </c>
      <c r="F331" s="178">
        <v>4023</v>
      </c>
      <c r="G331" s="179">
        <f>Tabla19[[#This Row],[Importe]]-Tabla19[[#This Row],[Pagado]]</f>
        <v>0</v>
      </c>
      <c r="H331" s="153" t="s">
        <v>10</v>
      </c>
    </row>
    <row r="332" spans="1:8" x14ac:dyDescent="0.25">
      <c r="A332" s="73">
        <v>44777</v>
      </c>
      <c r="B332" s="74" t="s">
        <v>24982</v>
      </c>
      <c r="C332" s="75" t="s">
        <v>196</v>
      </c>
      <c r="D332" s="176">
        <v>94909.4</v>
      </c>
      <c r="E332" s="151">
        <v>44778</v>
      </c>
      <c r="F332" s="176">
        <v>94909.4</v>
      </c>
      <c r="G332" s="177">
        <f>Tabla19[[#This Row],[Importe]]-Tabla19[[#This Row],[Pagado]]</f>
        <v>0</v>
      </c>
      <c r="H332" s="75" t="s">
        <v>10</v>
      </c>
    </row>
    <row r="333" spans="1:8" x14ac:dyDescent="0.25">
      <c r="A333" s="148">
        <v>44777</v>
      </c>
      <c r="B333" s="149" t="s">
        <v>24983</v>
      </c>
      <c r="C333" s="153" t="s">
        <v>1505</v>
      </c>
      <c r="D333" s="178">
        <v>4468.2</v>
      </c>
      <c r="E333" s="155">
        <v>44777</v>
      </c>
      <c r="F333" s="178">
        <v>4468.2</v>
      </c>
      <c r="G333" s="179">
        <f>Tabla19[[#This Row],[Importe]]-Tabla19[[#This Row],[Pagado]]</f>
        <v>0</v>
      </c>
      <c r="H333" s="153" t="s">
        <v>10</v>
      </c>
    </row>
    <row r="334" spans="1:8" x14ac:dyDescent="0.25">
      <c r="A334" s="73">
        <v>44777</v>
      </c>
      <c r="B334" s="74" t="s">
        <v>24984</v>
      </c>
      <c r="C334" s="75" t="s">
        <v>167</v>
      </c>
      <c r="D334" s="176">
        <v>63355.6</v>
      </c>
      <c r="E334" s="151">
        <v>44777</v>
      </c>
      <c r="F334" s="176">
        <v>63355.6</v>
      </c>
      <c r="G334" s="177">
        <f>Tabla19[[#This Row],[Importe]]-Tabla19[[#This Row],[Pagado]]</f>
        <v>0</v>
      </c>
      <c r="H334" s="75" t="s">
        <v>10</v>
      </c>
    </row>
    <row r="335" spans="1:8" x14ac:dyDescent="0.25">
      <c r="A335" s="148">
        <v>44777</v>
      </c>
      <c r="B335" s="149" t="s">
        <v>24985</v>
      </c>
      <c r="C335" s="153" t="s">
        <v>140</v>
      </c>
      <c r="D335" s="178">
        <v>396</v>
      </c>
      <c r="E335" s="155">
        <v>44777</v>
      </c>
      <c r="F335" s="178">
        <v>396</v>
      </c>
      <c r="G335" s="179">
        <f>Tabla19[[#This Row],[Importe]]-Tabla19[[#This Row],[Pagado]]</f>
        <v>0</v>
      </c>
      <c r="H335" s="153" t="s">
        <v>10</v>
      </c>
    </row>
    <row r="336" spans="1:8" x14ac:dyDescent="0.25">
      <c r="A336" s="73">
        <v>44777</v>
      </c>
      <c r="B336" s="74" t="s">
        <v>24986</v>
      </c>
      <c r="C336" s="75" t="s">
        <v>127</v>
      </c>
      <c r="D336" s="176">
        <v>2376</v>
      </c>
      <c r="E336" s="151">
        <v>44777</v>
      </c>
      <c r="F336" s="176">
        <v>2376</v>
      </c>
      <c r="G336" s="177">
        <f>Tabla19[[#This Row],[Importe]]-Tabla19[[#This Row],[Pagado]]</f>
        <v>0</v>
      </c>
      <c r="H336" s="75" t="s">
        <v>10</v>
      </c>
    </row>
    <row r="337" spans="1:8" x14ac:dyDescent="0.25">
      <c r="A337" s="148">
        <v>44777</v>
      </c>
      <c r="B337" s="149" t="s">
        <v>24987</v>
      </c>
      <c r="C337" s="153" t="s">
        <v>129</v>
      </c>
      <c r="D337" s="178">
        <v>2235.1999999999998</v>
      </c>
      <c r="E337" s="155">
        <v>44777</v>
      </c>
      <c r="F337" s="178">
        <v>2235.1999999999998</v>
      </c>
      <c r="G337" s="179">
        <f>Tabla19[[#This Row],[Importe]]-Tabla19[[#This Row],[Pagado]]</f>
        <v>0</v>
      </c>
      <c r="H337" s="153" t="s">
        <v>10</v>
      </c>
    </row>
    <row r="338" spans="1:8" x14ac:dyDescent="0.25">
      <c r="A338" s="73">
        <v>44777</v>
      </c>
      <c r="B338" s="74" t="s">
        <v>24988</v>
      </c>
      <c r="C338" s="75" t="s">
        <v>53</v>
      </c>
      <c r="D338" s="176">
        <v>2162.1999999999998</v>
      </c>
      <c r="E338" s="151">
        <v>44777</v>
      </c>
      <c r="F338" s="176">
        <v>2162.1999999999998</v>
      </c>
      <c r="G338" s="177">
        <f>Tabla19[[#This Row],[Importe]]-Tabla19[[#This Row],[Pagado]]</f>
        <v>0</v>
      </c>
      <c r="H338" s="75" t="s">
        <v>10</v>
      </c>
    </row>
    <row r="339" spans="1:8" x14ac:dyDescent="0.25">
      <c r="A339" s="148">
        <v>44777</v>
      </c>
      <c r="B339" s="149" t="s">
        <v>24989</v>
      </c>
      <c r="C339" s="153" t="s">
        <v>29</v>
      </c>
      <c r="D339" s="178">
        <v>4750.2</v>
      </c>
      <c r="E339" s="155">
        <v>44777</v>
      </c>
      <c r="F339" s="178">
        <v>4750.2</v>
      </c>
      <c r="G339" s="179">
        <f>Tabla19[[#This Row],[Importe]]-Tabla19[[#This Row],[Pagado]]</f>
        <v>0</v>
      </c>
      <c r="H339" s="153" t="s">
        <v>10</v>
      </c>
    </row>
    <row r="340" spans="1:8" x14ac:dyDescent="0.25">
      <c r="A340" s="73">
        <v>44777</v>
      </c>
      <c r="B340" s="74" t="s">
        <v>24990</v>
      </c>
      <c r="C340" s="75" t="s">
        <v>1362</v>
      </c>
      <c r="D340" s="176">
        <v>6394.5</v>
      </c>
      <c r="E340" s="151">
        <v>44777</v>
      </c>
      <c r="F340" s="176">
        <v>6394.5</v>
      </c>
      <c r="G340" s="177">
        <f>Tabla19[[#This Row],[Importe]]-Tabla19[[#This Row],[Pagado]]</f>
        <v>0</v>
      </c>
      <c r="H340" s="75" t="s">
        <v>10</v>
      </c>
    </row>
    <row r="341" spans="1:8" x14ac:dyDescent="0.25">
      <c r="A341" s="148">
        <v>44777</v>
      </c>
      <c r="B341" s="149" t="s">
        <v>24991</v>
      </c>
      <c r="C341" s="153" t="s">
        <v>224</v>
      </c>
      <c r="D341" s="178">
        <v>582.79999999999995</v>
      </c>
      <c r="E341" s="155">
        <v>44777</v>
      </c>
      <c r="F341" s="178">
        <v>582.79999999999995</v>
      </c>
      <c r="G341" s="179">
        <f>Tabla19[[#This Row],[Importe]]-Tabla19[[#This Row],[Pagado]]</f>
        <v>0</v>
      </c>
      <c r="H341" s="153" t="s">
        <v>10</v>
      </c>
    </row>
    <row r="342" spans="1:8" x14ac:dyDescent="0.25">
      <c r="A342" s="73">
        <v>44777</v>
      </c>
      <c r="B342" s="74" t="s">
        <v>24992</v>
      </c>
      <c r="C342" s="75" t="s">
        <v>31</v>
      </c>
      <c r="D342" s="176">
        <v>696</v>
      </c>
      <c r="E342" s="151">
        <v>44777</v>
      </c>
      <c r="F342" s="176">
        <v>696</v>
      </c>
      <c r="G342" s="177">
        <f>Tabla19[[#This Row],[Importe]]-Tabla19[[#This Row],[Pagado]]</f>
        <v>0</v>
      </c>
      <c r="H342" s="75" t="s">
        <v>10</v>
      </c>
    </row>
    <row r="343" spans="1:8" x14ac:dyDescent="0.25">
      <c r="A343" s="148">
        <v>44777</v>
      </c>
      <c r="B343" s="149" t="s">
        <v>24993</v>
      </c>
      <c r="C343" s="153" t="s">
        <v>1481</v>
      </c>
      <c r="D343" s="178">
        <v>552</v>
      </c>
      <c r="E343" s="155">
        <v>44777</v>
      </c>
      <c r="F343" s="178">
        <v>552</v>
      </c>
      <c r="G343" s="179">
        <f>Tabla19[[#This Row],[Importe]]-Tabla19[[#This Row],[Pagado]]</f>
        <v>0</v>
      </c>
      <c r="H343" s="153" t="s">
        <v>10</v>
      </c>
    </row>
    <row r="344" spans="1:8" x14ac:dyDescent="0.25">
      <c r="A344" s="73">
        <v>44777</v>
      </c>
      <c r="B344" s="74" t="s">
        <v>24994</v>
      </c>
      <c r="C344" s="75" t="s">
        <v>181</v>
      </c>
      <c r="D344" s="176">
        <v>7392</v>
      </c>
      <c r="E344" s="151">
        <v>44777</v>
      </c>
      <c r="F344" s="176">
        <v>7392</v>
      </c>
      <c r="G344" s="177">
        <f>Tabla19[[#This Row],[Importe]]-Tabla19[[#This Row],[Pagado]]</f>
        <v>0</v>
      </c>
      <c r="H344" s="75" t="s">
        <v>10</v>
      </c>
    </row>
    <row r="345" spans="1:8" x14ac:dyDescent="0.25">
      <c r="A345" s="148">
        <v>44777</v>
      </c>
      <c r="B345" s="149" t="s">
        <v>24995</v>
      </c>
      <c r="C345" s="153" t="s">
        <v>107</v>
      </c>
      <c r="D345" s="178">
        <v>16911.7</v>
      </c>
      <c r="E345" s="155">
        <v>44777</v>
      </c>
      <c r="F345" s="178">
        <v>16911.7</v>
      </c>
      <c r="G345" s="179">
        <f>Tabla19[[#This Row],[Importe]]-Tabla19[[#This Row],[Pagado]]</f>
        <v>0</v>
      </c>
      <c r="H345" s="153" t="s">
        <v>10</v>
      </c>
    </row>
    <row r="346" spans="1:8" x14ac:dyDescent="0.25">
      <c r="A346" s="73">
        <v>44777</v>
      </c>
      <c r="B346" s="74" t="s">
        <v>24996</v>
      </c>
      <c r="C346" s="75" t="s">
        <v>62</v>
      </c>
      <c r="D346" s="176">
        <v>4461.6000000000004</v>
      </c>
      <c r="E346" s="151">
        <v>44777</v>
      </c>
      <c r="F346" s="176">
        <v>4461.6000000000004</v>
      </c>
      <c r="G346" s="177">
        <f>Tabla19[[#This Row],[Importe]]-Tabla19[[#This Row],[Pagado]]</f>
        <v>0</v>
      </c>
      <c r="H346" s="75" t="s">
        <v>10</v>
      </c>
    </row>
    <row r="347" spans="1:8" x14ac:dyDescent="0.25">
      <c r="A347" s="148">
        <v>44777</v>
      </c>
      <c r="B347" s="149" t="s">
        <v>24997</v>
      </c>
      <c r="C347" s="153" t="s">
        <v>200</v>
      </c>
      <c r="D347" s="178">
        <v>1226.7</v>
      </c>
      <c r="E347" s="155">
        <v>44777</v>
      </c>
      <c r="F347" s="178">
        <v>1226.7</v>
      </c>
      <c r="G347" s="179">
        <f>Tabla19[[#This Row],[Importe]]-Tabla19[[#This Row],[Pagado]]</f>
        <v>0</v>
      </c>
      <c r="H347" s="153" t="s">
        <v>10</v>
      </c>
    </row>
    <row r="348" spans="1:8" x14ac:dyDescent="0.25">
      <c r="A348" s="73">
        <v>44777</v>
      </c>
      <c r="B348" s="74" t="s">
        <v>24998</v>
      </c>
      <c r="C348" s="75" t="s">
        <v>2020</v>
      </c>
      <c r="D348" s="176">
        <v>11700</v>
      </c>
      <c r="E348" s="151">
        <v>44777</v>
      </c>
      <c r="F348" s="176">
        <v>11700</v>
      </c>
      <c r="G348" s="177">
        <f>Tabla19[[#This Row],[Importe]]-Tabla19[[#This Row],[Pagado]]</f>
        <v>0</v>
      </c>
      <c r="H348" s="75" t="s">
        <v>10</v>
      </c>
    </row>
    <row r="349" spans="1:8" x14ac:dyDescent="0.25">
      <c r="A349" s="148">
        <v>44777</v>
      </c>
      <c r="B349" s="149" t="s">
        <v>24999</v>
      </c>
      <c r="C349" s="153" t="s">
        <v>62</v>
      </c>
      <c r="D349" s="178">
        <v>704</v>
      </c>
      <c r="E349" s="155">
        <v>44777</v>
      </c>
      <c r="F349" s="178">
        <v>704</v>
      </c>
      <c r="G349" s="179">
        <f>Tabla19[[#This Row],[Importe]]-Tabla19[[#This Row],[Pagado]]</f>
        <v>0</v>
      </c>
      <c r="H349" s="153" t="s">
        <v>10</v>
      </c>
    </row>
    <row r="350" spans="1:8" x14ac:dyDescent="0.25">
      <c r="A350" s="73">
        <v>44777</v>
      </c>
      <c r="B350" s="74" t="s">
        <v>25000</v>
      </c>
      <c r="C350" s="75" t="s">
        <v>144</v>
      </c>
      <c r="D350" s="176">
        <v>3977.04</v>
      </c>
      <c r="E350" s="155">
        <v>44777</v>
      </c>
      <c r="F350" s="176">
        <v>3977.04</v>
      </c>
      <c r="G350" s="177">
        <f>Tabla19[[#This Row],[Importe]]-Tabla19[[#This Row],[Pagado]]</f>
        <v>0</v>
      </c>
      <c r="H350" s="75" t="s">
        <v>10</v>
      </c>
    </row>
    <row r="351" spans="1:8" x14ac:dyDescent="0.25">
      <c r="A351" s="148">
        <v>44777</v>
      </c>
      <c r="B351" s="149" t="s">
        <v>25001</v>
      </c>
      <c r="C351" s="153" t="s">
        <v>1003</v>
      </c>
      <c r="D351" s="178">
        <v>7526</v>
      </c>
      <c r="E351" s="155">
        <v>44778</v>
      </c>
      <c r="F351" s="178">
        <v>7526</v>
      </c>
      <c r="G351" s="179">
        <f>Tabla19[[#This Row],[Importe]]-Tabla19[[#This Row],[Pagado]]</f>
        <v>0</v>
      </c>
      <c r="H351" s="153" t="s">
        <v>10</v>
      </c>
    </row>
    <row r="352" spans="1:8" x14ac:dyDescent="0.25">
      <c r="A352" s="73">
        <v>44777</v>
      </c>
      <c r="B352" s="74" t="s">
        <v>25002</v>
      </c>
      <c r="C352" s="75" t="s">
        <v>20182</v>
      </c>
      <c r="D352" s="176">
        <v>0</v>
      </c>
      <c r="E352" s="157" t="s">
        <v>189</v>
      </c>
      <c r="F352" s="176">
        <v>0</v>
      </c>
      <c r="G352" s="177">
        <f>Tabla19[[#This Row],[Importe]]-Tabla19[[#This Row],[Pagado]]</f>
        <v>0</v>
      </c>
      <c r="H352" s="75" t="s">
        <v>189</v>
      </c>
    </row>
    <row r="353" spans="1:8" x14ac:dyDescent="0.25">
      <c r="A353" s="148">
        <v>44777</v>
      </c>
      <c r="B353" s="149" t="s">
        <v>25003</v>
      </c>
      <c r="C353" s="153" t="s">
        <v>10273</v>
      </c>
      <c r="D353" s="178">
        <v>88</v>
      </c>
      <c r="E353" s="155">
        <v>44793</v>
      </c>
      <c r="F353" s="178">
        <v>88</v>
      </c>
      <c r="G353" s="179">
        <f>Tabla19[[#This Row],[Importe]]-Tabla19[[#This Row],[Pagado]]</f>
        <v>0</v>
      </c>
      <c r="H353" s="153" t="s">
        <v>10</v>
      </c>
    </row>
    <row r="354" spans="1:8" x14ac:dyDescent="0.25">
      <c r="A354" s="73">
        <v>44777</v>
      </c>
      <c r="B354" s="74" t="s">
        <v>25004</v>
      </c>
      <c r="C354" s="75" t="s">
        <v>142</v>
      </c>
      <c r="D354" s="176">
        <v>100041.42</v>
      </c>
      <c r="E354" s="151" t="s">
        <v>4813</v>
      </c>
      <c r="F354" s="176">
        <v>0</v>
      </c>
      <c r="G354" s="177">
        <f>Tabla19[[#This Row],[Importe]]-Tabla19[[#This Row],[Pagado]]</f>
        <v>100041.42</v>
      </c>
      <c r="H354" s="75" t="s">
        <v>4814</v>
      </c>
    </row>
    <row r="355" spans="1:8" x14ac:dyDescent="0.25">
      <c r="A355" s="148">
        <v>44777</v>
      </c>
      <c r="B355" s="149" t="s">
        <v>25005</v>
      </c>
      <c r="C355" s="153" t="s">
        <v>2020</v>
      </c>
      <c r="D355" s="178">
        <v>11999.91</v>
      </c>
      <c r="E355" s="155">
        <v>44777</v>
      </c>
      <c r="F355" s="178">
        <v>11999.91</v>
      </c>
      <c r="G355" s="179">
        <f>Tabla19[[#This Row],[Importe]]-Tabla19[[#This Row],[Pagado]]</f>
        <v>0</v>
      </c>
      <c r="H355" s="153" t="s">
        <v>10</v>
      </c>
    </row>
    <row r="356" spans="1:8" x14ac:dyDescent="0.25">
      <c r="A356" s="73">
        <v>44777</v>
      </c>
      <c r="B356" s="74" t="s">
        <v>25006</v>
      </c>
      <c r="C356" s="75" t="s">
        <v>25007</v>
      </c>
      <c r="D356" s="176">
        <v>0</v>
      </c>
      <c r="E356" s="157" t="s">
        <v>189</v>
      </c>
      <c r="F356" s="176">
        <v>0</v>
      </c>
      <c r="G356" s="177">
        <f>Tabla19[[#This Row],[Importe]]-Tabla19[[#This Row],[Pagado]]</f>
        <v>0</v>
      </c>
      <c r="H356" s="161" t="s">
        <v>25008</v>
      </c>
    </row>
    <row r="357" spans="1:8" x14ac:dyDescent="0.25">
      <c r="A357" s="148">
        <v>44777</v>
      </c>
      <c r="B357" s="149" t="s">
        <v>25009</v>
      </c>
      <c r="C357" s="153" t="s">
        <v>484</v>
      </c>
      <c r="D357" s="178">
        <v>4804.8</v>
      </c>
      <c r="E357" s="155">
        <v>44777</v>
      </c>
      <c r="F357" s="178">
        <v>4804.8</v>
      </c>
      <c r="G357" s="179">
        <f>Tabla19[[#This Row],[Importe]]-Tabla19[[#This Row],[Pagado]]</f>
        <v>0</v>
      </c>
      <c r="H357" s="153" t="s">
        <v>10</v>
      </c>
    </row>
    <row r="358" spans="1:8" x14ac:dyDescent="0.25">
      <c r="A358" s="73">
        <v>44777</v>
      </c>
      <c r="B358" s="74" t="s">
        <v>25010</v>
      </c>
      <c r="C358" s="75" t="s">
        <v>175</v>
      </c>
      <c r="D358" s="176">
        <v>32002.6</v>
      </c>
      <c r="E358" s="151">
        <v>44777</v>
      </c>
      <c r="F358" s="176">
        <v>32002.6</v>
      </c>
      <c r="G358" s="177">
        <f>Tabla19[[#This Row],[Importe]]-Tabla19[[#This Row],[Pagado]]</f>
        <v>0</v>
      </c>
      <c r="H358" s="75" t="s">
        <v>10</v>
      </c>
    </row>
    <row r="359" spans="1:8" x14ac:dyDescent="0.25">
      <c r="A359" s="148">
        <v>44777</v>
      </c>
      <c r="B359" s="149" t="s">
        <v>25011</v>
      </c>
      <c r="C359" s="153" t="s">
        <v>214</v>
      </c>
      <c r="D359" s="178">
        <v>1740</v>
      </c>
      <c r="E359" s="155">
        <v>44777</v>
      </c>
      <c r="F359" s="178">
        <v>1740</v>
      </c>
      <c r="G359" s="179">
        <f>Tabla19[[#This Row],[Importe]]-Tabla19[[#This Row],[Pagado]]</f>
        <v>0</v>
      </c>
      <c r="H359" s="153" t="s">
        <v>10</v>
      </c>
    </row>
    <row r="360" spans="1:8" x14ac:dyDescent="0.25">
      <c r="A360" s="73">
        <v>44777</v>
      </c>
      <c r="B360" s="74" t="s">
        <v>25012</v>
      </c>
      <c r="C360" s="75" t="s">
        <v>222</v>
      </c>
      <c r="D360" s="176">
        <v>12465</v>
      </c>
      <c r="E360" s="151">
        <v>44777</v>
      </c>
      <c r="F360" s="176">
        <v>12465</v>
      </c>
      <c r="G360" s="177">
        <f>Tabla19[[#This Row],[Importe]]-Tabla19[[#This Row],[Pagado]]</f>
        <v>0</v>
      </c>
      <c r="H360" s="75" t="s">
        <v>10</v>
      </c>
    </row>
    <row r="361" spans="1:8" x14ac:dyDescent="0.25">
      <c r="A361" s="148">
        <v>44777</v>
      </c>
      <c r="B361" s="149" t="s">
        <v>25013</v>
      </c>
      <c r="C361" s="153" t="s">
        <v>414</v>
      </c>
      <c r="D361" s="178">
        <v>26682.9</v>
      </c>
      <c r="E361" s="155">
        <v>44786</v>
      </c>
      <c r="F361" s="178">
        <v>26682.9</v>
      </c>
      <c r="G361" s="179">
        <f>Tabla19[[#This Row],[Importe]]-Tabla19[[#This Row],[Pagado]]</f>
        <v>0</v>
      </c>
      <c r="H361" s="153" t="s">
        <v>10</v>
      </c>
    </row>
    <row r="362" spans="1:8" x14ac:dyDescent="0.25">
      <c r="A362" s="73">
        <v>44777</v>
      </c>
      <c r="B362" s="74" t="s">
        <v>25014</v>
      </c>
      <c r="C362" s="75" t="s">
        <v>24284</v>
      </c>
      <c r="D362" s="176">
        <v>1461.6</v>
      </c>
      <c r="E362" s="151">
        <v>44777</v>
      </c>
      <c r="F362" s="176">
        <v>1461.6</v>
      </c>
      <c r="G362" s="177">
        <f>Tabla19[[#This Row],[Importe]]-Tabla19[[#This Row],[Pagado]]</f>
        <v>0</v>
      </c>
      <c r="H362" s="75" t="s">
        <v>10</v>
      </c>
    </row>
    <row r="363" spans="1:8" x14ac:dyDescent="0.25">
      <c r="A363" s="148">
        <v>44777</v>
      </c>
      <c r="B363" s="149" t="s">
        <v>25015</v>
      </c>
      <c r="C363" s="153" t="s">
        <v>698</v>
      </c>
      <c r="D363" s="178">
        <v>10560.4</v>
      </c>
      <c r="E363" s="155">
        <v>44777</v>
      </c>
      <c r="F363" s="178">
        <v>10560.4</v>
      </c>
      <c r="G363" s="179">
        <f>Tabla19[[#This Row],[Importe]]-Tabla19[[#This Row],[Pagado]]</f>
        <v>0</v>
      </c>
      <c r="H363" s="153" t="s">
        <v>10</v>
      </c>
    </row>
    <row r="364" spans="1:8" x14ac:dyDescent="0.25">
      <c r="A364" s="73">
        <v>44777</v>
      </c>
      <c r="B364" s="74" t="s">
        <v>25016</v>
      </c>
      <c r="C364" s="75" t="s">
        <v>31</v>
      </c>
      <c r="D364" s="176">
        <v>4352</v>
      </c>
      <c r="E364" s="151">
        <v>44777</v>
      </c>
      <c r="F364" s="176">
        <v>4352</v>
      </c>
      <c r="G364" s="177">
        <f>Tabla19[[#This Row],[Importe]]-Tabla19[[#This Row],[Pagado]]</f>
        <v>0</v>
      </c>
      <c r="H364" s="75" t="s">
        <v>10</v>
      </c>
    </row>
    <row r="365" spans="1:8" x14ac:dyDescent="0.25">
      <c r="A365" s="148">
        <v>44777</v>
      </c>
      <c r="B365" s="149" t="s">
        <v>25017</v>
      </c>
      <c r="C365" s="153" t="s">
        <v>9827</v>
      </c>
      <c r="D365" s="178">
        <v>3445.2</v>
      </c>
      <c r="E365" s="155">
        <v>44777</v>
      </c>
      <c r="F365" s="178">
        <v>3445.2</v>
      </c>
      <c r="G365" s="179">
        <f>Tabla19[[#This Row],[Importe]]-Tabla19[[#This Row],[Pagado]]</f>
        <v>0</v>
      </c>
      <c r="H365" s="153" t="s">
        <v>10</v>
      </c>
    </row>
    <row r="366" spans="1:8" x14ac:dyDescent="0.25">
      <c r="A366" s="73">
        <v>44777</v>
      </c>
      <c r="B366" s="74" t="s">
        <v>25018</v>
      </c>
      <c r="C366" s="75" t="s">
        <v>612</v>
      </c>
      <c r="D366" s="176">
        <v>1520</v>
      </c>
      <c r="E366" s="151">
        <v>44777</v>
      </c>
      <c r="F366" s="176">
        <v>1520</v>
      </c>
      <c r="G366" s="177">
        <f>Tabla19[[#This Row],[Importe]]-Tabla19[[#This Row],[Pagado]]</f>
        <v>0</v>
      </c>
      <c r="H366" s="75" t="s">
        <v>10</v>
      </c>
    </row>
    <row r="367" spans="1:8" x14ac:dyDescent="0.25">
      <c r="A367" s="148">
        <v>44777</v>
      </c>
      <c r="B367" s="149" t="s">
        <v>25019</v>
      </c>
      <c r="C367" s="153" t="s">
        <v>67</v>
      </c>
      <c r="D367" s="178">
        <v>2574</v>
      </c>
      <c r="E367" s="155">
        <v>44777</v>
      </c>
      <c r="F367" s="178">
        <v>2574</v>
      </c>
      <c r="G367" s="179">
        <f>Tabla19[[#This Row],[Importe]]-Tabla19[[#This Row],[Pagado]]</f>
        <v>0</v>
      </c>
      <c r="H367" s="153" t="s">
        <v>10</v>
      </c>
    </row>
    <row r="368" spans="1:8" x14ac:dyDescent="0.25">
      <c r="A368" s="73">
        <v>44777</v>
      </c>
      <c r="B368" s="74" t="s">
        <v>25020</v>
      </c>
      <c r="C368" s="75" t="s">
        <v>16</v>
      </c>
      <c r="D368" s="176">
        <v>1965</v>
      </c>
      <c r="E368" s="151">
        <v>44777</v>
      </c>
      <c r="F368" s="176">
        <v>1965</v>
      </c>
      <c r="G368" s="177">
        <f>Tabla19[[#This Row],[Importe]]-Tabla19[[#This Row],[Pagado]]</f>
        <v>0</v>
      </c>
      <c r="H368" s="75" t="s">
        <v>10</v>
      </c>
    </row>
    <row r="369" spans="1:8" x14ac:dyDescent="0.25">
      <c r="A369" s="148">
        <v>44777</v>
      </c>
      <c r="B369" s="149" t="s">
        <v>25021</v>
      </c>
      <c r="C369" s="153" t="s">
        <v>31</v>
      </c>
      <c r="D369" s="178">
        <v>277.2</v>
      </c>
      <c r="E369" s="155">
        <v>44777</v>
      </c>
      <c r="F369" s="178">
        <v>277.2</v>
      </c>
      <c r="G369" s="179">
        <f>Tabla19[[#This Row],[Importe]]-Tabla19[[#This Row],[Pagado]]</f>
        <v>0</v>
      </c>
      <c r="H369" s="153" t="s">
        <v>10</v>
      </c>
    </row>
    <row r="370" spans="1:8" x14ac:dyDescent="0.25">
      <c r="A370" s="73">
        <v>44777</v>
      </c>
      <c r="B370" s="74" t="s">
        <v>25022</v>
      </c>
      <c r="C370" s="75" t="s">
        <v>296</v>
      </c>
      <c r="D370" s="176">
        <v>1469.6</v>
      </c>
      <c r="E370" s="151">
        <v>44777</v>
      </c>
      <c r="F370" s="176">
        <v>1469.6</v>
      </c>
      <c r="G370" s="177">
        <f>Tabla19[[#This Row],[Importe]]-Tabla19[[#This Row],[Pagado]]</f>
        <v>0</v>
      </c>
      <c r="H370" s="75" t="s">
        <v>10</v>
      </c>
    </row>
    <row r="371" spans="1:8" x14ac:dyDescent="0.25">
      <c r="A371" s="148">
        <v>44777</v>
      </c>
      <c r="B371" s="149" t="s">
        <v>25023</v>
      </c>
      <c r="C371" s="153" t="s">
        <v>31</v>
      </c>
      <c r="D371" s="178">
        <v>285.60000000000002</v>
      </c>
      <c r="E371" s="155">
        <v>44777</v>
      </c>
      <c r="F371" s="178">
        <v>285.60000000000002</v>
      </c>
      <c r="G371" s="179">
        <f>Tabla19[[#This Row],[Importe]]-Tabla19[[#This Row],[Pagado]]</f>
        <v>0</v>
      </c>
      <c r="H371" s="153" t="s">
        <v>10</v>
      </c>
    </row>
    <row r="372" spans="1:8" x14ac:dyDescent="0.25">
      <c r="A372" s="73">
        <v>44777</v>
      </c>
      <c r="B372" s="74" t="s">
        <v>25024</v>
      </c>
      <c r="C372" s="75" t="s">
        <v>56</v>
      </c>
      <c r="D372" s="176">
        <v>6018</v>
      </c>
      <c r="E372" s="151">
        <v>44777</v>
      </c>
      <c r="F372" s="176">
        <v>6018</v>
      </c>
      <c r="G372" s="177">
        <f>Tabla19[[#This Row],[Importe]]-Tabla19[[#This Row],[Pagado]]</f>
        <v>0</v>
      </c>
      <c r="H372" s="75" t="s">
        <v>10</v>
      </c>
    </row>
    <row r="373" spans="1:8" x14ac:dyDescent="0.25">
      <c r="A373" s="148">
        <v>44777</v>
      </c>
      <c r="B373" s="149" t="s">
        <v>25025</v>
      </c>
      <c r="C373" s="153" t="s">
        <v>56</v>
      </c>
      <c r="D373" s="178">
        <v>382.5</v>
      </c>
      <c r="E373" s="155">
        <v>44777</v>
      </c>
      <c r="F373" s="178">
        <v>382.5</v>
      </c>
      <c r="G373" s="179">
        <f>Tabla19[[#This Row],[Importe]]-Tabla19[[#This Row],[Pagado]]</f>
        <v>0</v>
      </c>
      <c r="H373" s="153" t="s">
        <v>10</v>
      </c>
    </row>
    <row r="374" spans="1:8" x14ac:dyDescent="0.25">
      <c r="A374" s="73">
        <v>44777</v>
      </c>
      <c r="B374" s="74" t="s">
        <v>25026</v>
      </c>
      <c r="C374" s="75" t="s">
        <v>282</v>
      </c>
      <c r="D374" s="176">
        <v>2749.2</v>
      </c>
      <c r="E374" s="151">
        <v>44778</v>
      </c>
      <c r="F374" s="176">
        <v>2749.2</v>
      </c>
      <c r="G374" s="177">
        <f>Tabla19[[#This Row],[Importe]]-Tabla19[[#This Row],[Pagado]]</f>
        <v>0</v>
      </c>
      <c r="H374" s="75" t="s">
        <v>10</v>
      </c>
    </row>
    <row r="375" spans="1:8" x14ac:dyDescent="0.25">
      <c r="A375" s="148">
        <v>44777</v>
      </c>
      <c r="B375" s="149" t="s">
        <v>25027</v>
      </c>
      <c r="C375" s="153" t="s">
        <v>280</v>
      </c>
      <c r="D375" s="178">
        <v>1740</v>
      </c>
      <c r="E375" s="155">
        <v>44778</v>
      </c>
      <c r="F375" s="178">
        <v>1740</v>
      </c>
      <c r="G375" s="179">
        <f>Tabla19[[#This Row],[Importe]]-Tabla19[[#This Row],[Pagado]]</f>
        <v>0</v>
      </c>
      <c r="H375" s="153" t="s">
        <v>10</v>
      </c>
    </row>
    <row r="376" spans="1:8" x14ac:dyDescent="0.25">
      <c r="A376" s="73">
        <v>44777</v>
      </c>
      <c r="B376" s="74" t="s">
        <v>25028</v>
      </c>
      <c r="C376" s="75" t="s">
        <v>284</v>
      </c>
      <c r="D376" s="176">
        <v>11022.9</v>
      </c>
      <c r="E376" s="151">
        <v>44778</v>
      </c>
      <c r="F376" s="176">
        <v>11022.9</v>
      </c>
      <c r="G376" s="177">
        <f>Tabla19[[#This Row],[Importe]]-Tabla19[[#This Row],[Pagado]]</f>
        <v>0</v>
      </c>
      <c r="H376" s="75" t="s">
        <v>10</v>
      </c>
    </row>
    <row r="377" spans="1:8" x14ac:dyDescent="0.25">
      <c r="A377" s="148">
        <v>44777</v>
      </c>
      <c r="B377" s="149" t="s">
        <v>25029</v>
      </c>
      <c r="C377" s="153" t="s">
        <v>5345</v>
      </c>
      <c r="D377" s="178">
        <v>5776.1</v>
      </c>
      <c r="E377" s="155">
        <v>44778</v>
      </c>
      <c r="F377" s="178">
        <v>5776.1</v>
      </c>
      <c r="G377" s="179">
        <f>Tabla19[[#This Row],[Importe]]-Tabla19[[#This Row],[Pagado]]</f>
        <v>0</v>
      </c>
      <c r="H377" s="153" t="s">
        <v>10</v>
      </c>
    </row>
    <row r="378" spans="1:8" x14ac:dyDescent="0.25">
      <c r="A378" s="73">
        <v>44777</v>
      </c>
      <c r="B378" s="74" t="s">
        <v>25030</v>
      </c>
      <c r="C378" s="75" t="s">
        <v>10819</v>
      </c>
      <c r="D378" s="176">
        <v>904.8</v>
      </c>
      <c r="E378" s="151">
        <v>44778</v>
      </c>
      <c r="F378" s="176">
        <v>904.8</v>
      </c>
      <c r="G378" s="177">
        <f>Tabla19[[#This Row],[Importe]]-Tabla19[[#This Row],[Pagado]]</f>
        <v>0</v>
      </c>
      <c r="H378" s="75" t="s">
        <v>10</v>
      </c>
    </row>
    <row r="379" spans="1:8" x14ac:dyDescent="0.25">
      <c r="A379" s="148">
        <v>44777</v>
      </c>
      <c r="B379" s="149" t="s">
        <v>25031</v>
      </c>
      <c r="C379" s="153" t="s">
        <v>312</v>
      </c>
      <c r="D379" s="178">
        <v>5112.8</v>
      </c>
      <c r="E379" s="155">
        <v>44778</v>
      </c>
      <c r="F379" s="178">
        <v>5112.8</v>
      </c>
      <c r="G379" s="179">
        <f>Tabla19[[#This Row],[Importe]]-Tabla19[[#This Row],[Pagado]]</f>
        <v>0</v>
      </c>
      <c r="H379" s="153" t="s">
        <v>10</v>
      </c>
    </row>
    <row r="380" spans="1:8" x14ac:dyDescent="0.25">
      <c r="A380" s="73">
        <v>44777</v>
      </c>
      <c r="B380" s="74" t="s">
        <v>25032</v>
      </c>
      <c r="C380" s="75" t="s">
        <v>729</v>
      </c>
      <c r="D380" s="176">
        <v>32089.4</v>
      </c>
      <c r="E380" s="151">
        <v>44778</v>
      </c>
      <c r="F380" s="176">
        <v>32089.4</v>
      </c>
      <c r="G380" s="177">
        <f>Tabla19[[#This Row],[Importe]]-Tabla19[[#This Row],[Pagado]]</f>
        <v>0</v>
      </c>
      <c r="H380" s="75" t="s">
        <v>10</v>
      </c>
    </row>
    <row r="381" spans="1:8" x14ac:dyDescent="0.25">
      <c r="A381" s="148">
        <v>44777</v>
      </c>
      <c r="B381" s="149" t="s">
        <v>25033</v>
      </c>
      <c r="C381" s="153" t="s">
        <v>440</v>
      </c>
      <c r="D381" s="178">
        <v>9664.5400000000009</v>
      </c>
      <c r="E381" s="155">
        <v>44791</v>
      </c>
      <c r="F381" s="178">
        <v>9664.5400000000009</v>
      </c>
      <c r="G381" s="179">
        <f>Tabla19[[#This Row],[Importe]]-Tabla19[[#This Row],[Pagado]]</f>
        <v>0</v>
      </c>
      <c r="H381" s="153" t="s">
        <v>10</v>
      </c>
    </row>
    <row r="382" spans="1:8" x14ac:dyDescent="0.25">
      <c r="A382" s="73">
        <v>44777</v>
      </c>
      <c r="B382" s="74" t="s">
        <v>25034</v>
      </c>
      <c r="C382" s="75" t="s">
        <v>9</v>
      </c>
      <c r="D382" s="176">
        <v>3102.7</v>
      </c>
      <c r="E382" s="151">
        <v>44777</v>
      </c>
      <c r="F382" s="176">
        <v>3102.7</v>
      </c>
      <c r="G382" s="177">
        <f>Tabla19[[#This Row],[Importe]]-Tabla19[[#This Row],[Pagado]]</f>
        <v>0</v>
      </c>
      <c r="H382" s="75" t="s">
        <v>10</v>
      </c>
    </row>
    <row r="383" spans="1:8" x14ac:dyDescent="0.25">
      <c r="A383" s="148">
        <v>44777</v>
      </c>
      <c r="B383" s="149" t="s">
        <v>25035</v>
      </c>
      <c r="C383" s="153" t="s">
        <v>69</v>
      </c>
      <c r="D383" s="178">
        <v>1496</v>
      </c>
      <c r="E383" s="155">
        <v>44777</v>
      </c>
      <c r="F383" s="178">
        <v>1496</v>
      </c>
      <c r="G383" s="179">
        <f>Tabla19[[#This Row],[Importe]]-Tabla19[[#This Row],[Pagado]]</f>
        <v>0</v>
      </c>
      <c r="H383" s="153" t="s">
        <v>10</v>
      </c>
    </row>
    <row r="384" spans="1:8" x14ac:dyDescent="0.25">
      <c r="A384" s="73">
        <v>44777</v>
      </c>
      <c r="B384" s="74" t="s">
        <v>25036</v>
      </c>
      <c r="C384" s="75" t="s">
        <v>421</v>
      </c>
      <c r="D384" s="176">
        <v>6906.9</v>
      </c>
      <c r="E384" s="151">
        <v>44777</v>
      </c>
      <c r="F384" s="176">
        <v>6906.9</v>
      </c>
      <c r="G384" s="177">
        <f>Tabla19[[#This Row],[Importe]]-Tabla19[[#This Row],[Pagado]]</f>
        <v>0</v>
      </c>
      <c r="H384" s="75" t="s">
        <v>10</v>
      </c>
    </row>
    <row r="385" spans="1:8" x14ac:dyDescent="0.25">
      <c r="A385" s="148">
        <v>44777</v>
      </c>
      <c r="B385" s="149" t="s">
        <v>25037</v>
      </c>
      <c r="C385" s="153" t="s">
        <v>296</v>
      </c>
      <c r="D385" s="178">
        <v>3931.2</v>
      </c>
      <c r="E385" s="155">
        <v>44777</v>
      </c>
      <c r="F385" s="178">
        <v>3931.2</v>
      </c>
      <c r="G385" s="179">
        <f>Tabla19[[#This Row],[Importe]]-Tabla19[[#This Row],[Pagado]]</f>
        <v>0</v>
      </c>
      <c r="H385" s="153" t="s">
        <v>10</v>
      </c>
    </row>
    <row r="386" spans="1:8" x14ac:dyDescent="0.25">
      <c r="A386" s="73">
        <v>44777</v>
      </c>
      <c r="B386" s="74" t="s">
        <v>25038</v>
      </c>
      <c r="C386" s="75" t="s">
        <v>407</v>
      </c>
      <c r="D386" s="176">
        <v>10800</v>
      </c>
      <c r="E386" s="151">
        <v>44778</v>
      </c>
      <c r="F386" s="176">
        <v>10800</v>
      </c>
      <c r="G386" s="177">
        <f>Tabla19[[#This Row],[Importe]]-Tabla19[[#This Row],[Pagado]]</f>
        <v>0</v>
      </c>
      <c r="H386" s="75" t="s">
        <v>10</v>
      </c>
    </row>
    <row r="387" spans="1:8" x14ac:dyDescent="0.25">
      <c r="A387" s="148">
        <v>44777</v>
      </c>
      <c r="B387" s="149" t="s">
        <v>25039</v>
      </c>
      <c r="C387" s="153" t="s">
        <v>414</v>
      </c>
      <c r="D387" s="178">
        <v>2160</v>
      </c>
      <c r="E387" s="155">
        <v>44778</v>
      </c>
      <c r="F387" s="178">
        <v>2160</v>
      </c>
      <c r="G387" s="179">
        <f>Tabla19[[#This Row],[Importe]]-Tabla19[[#This Row],[Pagado]]</f>
        <v>0</v>
      </c>
      <c r="H387" s="153" t="s">
        <v>10</v>
      </c>
    </row>
    <row r="388" spans="1:8" x14ac:dyDescent="0.25">
      <c r="A388" s="73">
        <v>44777</v>
      </c>
      <c r="B388" s="74" t="s">
        <v>25040</v>
      </c>
      <c r="C388" s="75" t="s">
        <v>10678</v>
      </c>
      <c r="D388" s="176">
        <v>4866.8</v>
      </c>
      <c r="E388" s="151">
        <v>44777</v>
      </c>
      <c r="F388" s="176">
        <v>4866.8</v>
      </c>
      <c r="G388" s="177">
        <f>Tabla19[[#This Row],[Importe]]-Tabla19[[#This Row],[Pagado]]</f>
        <v>0</v>
      </c>
      <c r="H388" s="75" t="s">
        <v>10</v>
      </c>
    </row>
    <row r="389" spans="1:8" x14ac:dyDescent="0.25">
      <c r="A389" s="148">
        <v>44777</v>
      </c>
      <c r="B389" s="149" t="s">
        <v>25041</v>
      </c>
      <c r="C389" s="153" t="s">
        <v>402</v>
      </c>
      <c r="D389" s="178">
        <v>23084.400000000001</v>
      </c>
      <c r="E389" s="155">
        <v>44784</v>
      </c>
      <c r="F389" s="178">
        <v>23084.400000000001</v>
      </c>
      <c r="G389" s="179">
        <f>Tabla19[[#This Row],[Importe]]-Tabla19[[#This Row],[Pagado]]</f>
        <v>0</v>
      </c>
      <c r="H389" s="153" t="s">
        <v>10</v>
      </c>
    </row>
    <row r="390" spans="1:8" x14ac:dyDescent="0.25">
      <c r="A390" s="73">
        <v>44777</v>
      </c>
      <c r="B390" s="74" t="s">
        <v>25042</v>
      </c>
      <c r="C390" s="75" t="s">
        <v>1350</v>
      </c>
      <c r="D390" s="176">
        <v>1078.2</v>
      </c>
      <c r="E390" s="151">
        <v>44778</v>
      </c>
      <c r="F390" s="176">
        <v>1078.2</v>
      </c>
      <c r="G390" s="177">
        <f>Tabla19[[#This Row],[Importe]]-Tabla19[[#This Row],[Pagado]]</f>
        <v>0</v>
      </c>
      <c r="H390" s="75" t="s">
        <v>10</v>
      </c>
    </row>
    <row r="391" spans="1:8" x14ac:dyDescent="0.25">
      <c r="A391" s="148">
        <v>44777</v>
      </c>
      <c r="B391" s="149" t="s">
        <v>25043</v>
      </c>
      <c r="C391" s="153" t="s">
        <v>179</v>
      </c>
      <c r="D391" s="178">
        <v>1670.4</v>
      </c>
      <c r="E391" s="155">
        <v>44778</v>
      </c>
      <c r="F391" s="178">
        <v>1670.4</v>
      </c>
      <c r="G391" s="179">
        <f>Tabla19[[#This Row],[Importe]]-Tabla19[[#This Row],[Pagado]]</f>
        <v>0</v>
      </c>
      <c r="H391" s="153" t="s">
        <v>10</v>
      </c>
    </row>
    <row r="392" spans="1:8" x14ac:dyDescent="0.25">
      <c r="A392" s="73">
        <v>44777</v>
      </c>
      <c r="B392" s="74" t="s">
        <v>25044</v>
      </c>
      <c r="C392" s="75" t="s">
        <v>31</v>
      </c>
      <c r="D392" s="176">
        <v>54.6</v>
      </c>
      <c r="E392" s="151">
        <v>44777</v>
      </c>
      <c r="F392" s="176">
        <v>54.6</v>
      </c>
      <c r="G392" s="177">
        <f>Tabla19[[#This Row],[Importe]]-Tabla19[[#This Row],[Pagado]]</f>
        <v>0</v>
      </c>
      <c r="H392" s="75" t="s">
        <v>10</v>
      </c>
    </row>
    <row r="393" spans="1:8" x14ac:dyDescent="0.25">
      <c r="A393" s="148">
        <v>44777</v>
      </c>
      <c r="B393" s="149" t="s">
        <v>25045</v>
      </c>
      <c r="C393" s="153" t="s">
        <v>31</v>
      </c>
      <c r="D393" s="178">
        <v>130</v>
      </c>
      <c r="E393" s="155">
        <v>44777</v>
      </c>
      <c r="F393" s="178">
        <v>130</v>
      </c>
      <c r="G393" s="179">
        <f>Tabla19[[#This Row],[Importe]]-Tabla19[[#This Row],[Pagado]]</f>
        <v>0</v>
      </c>
      <c r="H393" s="153" t="s">
        <v>10</v>
      </c>
    </row>
    <row r="394" spans="1:8" x14ac:dyDescent="0.25">
      <c r="A394" s="73">
        <v>44777</v>
      </c>
      <c r="B394" s="74" t="s">
        <v>25046</v>
      </c>
      <c r="C394" s="75" t="s">
        <v>400</v>
      </c>
      <c r="D394" s="176">
        <v>14991.5</v>
      </c>
      <c r="E394" s="151">
        <v>44784</v>
      </c>
      <c r="F394" s="176">
        <v>14991.5</v>
      </c>
      <c r="G394" s="177">
        <f>Tabla19[[#This Row],[Importe]]-Tabla19[[#This Row],[Pagado]]</f>
        <v>0</v>
      </c>
      <c r="H394" s="75" t="s">
        <v>10</v>
      </c>
    </row>
    <row r="395" spans="1:8" x14ac:dyDescent="0.25">
      <c r="A395" s="148">
        <v>44777</v>
      </c>
      <c r="B395" s="149" t="s">
        <v>25047</v>
      </c>
      <c r="C395" s="153" t="s">
        <v>19637</v>
      </c>
      <c r="D395" s="178">
        <v>1680</v>
      </c>
      <c r="E395" s="155">
        <v>44784</v>
      </c>
      <c r="F395" s="178">
        <v>1680</v>
      </c>
      <c r="G395" s="179">
        <f>Tabla19[[#This Row],[Importe]]-Tabla19[[#This Row],[Pagado]]</f>
        <v>0</v>
      </c>
      <c r="H395" s="153" t="s">
        <v>10</v>
      </c>
    </row>
    <row r="396" spans="1:8" x14ac:dyDescent="0.25">
      <c r="A396" s="73">
        <v>44777</v>
      </c>
      <c r="B396" s="74" t="s">
        <v>25048</v>
      </c>
      <c r="C396" s="75" t="s">
        <v>1237</v>
      </c>
      <c r="D396" s="176">
        <v>3922.56</v>
      </c>
      <c r="E396" s="151">
        <v>44778</v>
      </c>
      <c r="F396" s="176">
        <v>3922.56</v>
      </c>
      <c r="G396" s="177">
        <f>Tabla19[[#This Row],[Importe]]-Tabla19[[#This Row],[Pagado]]</f>
        <v>0</v>
      </c>
      <c r="H396" s="75" t="s">
        <v>10</v>
      </c>
    </row>
    <row r="397" spans="1:8" x14ac:dyDescent="0.25">
      <c r="A397" s="148">
        <v>44777</v>
      </c>
      <c r="B397" s="149" t="s">
        <v>25049</v>
      </c>
      <c r="C397" s="153" t="s">
        <v>31</v>
      </c>
      <c r="D397" s="178">
        <v>911.2</v>
      </c>
      <c r="E397" s="155">
        <v>44778</v>
      </c>
      <c r="F397" s="178">
        <v>911.2</v>
      </c>
      <c r="G397" s="179">
        <f>Tabla19[[#This Row],[Importe]]-Tabla19[[#This Row],[Pagado]]</f>
        <v>0</v>
      </c>
      <c r="H397" s="153" t="s">
        <v>10</v>
      </c>
    </row>
    <row r="398" spans="1:8" x14ac:dyDescent="0.25">
      <c r="A398" s="73">
        <v>44777</v>
      </c>
      <c r="B398" s="74" t="s">
        <v>25050</v>
      </c>
      <c r="C398" s="75" t="s">
        <v>7745</v>
      </c>
      <c r="D398" s="176">
        <v>28980</v>
      </c>
      <c r="E398" s="151">
        <v>44777</v>
      </c>
      <c r="F398" s="176">
        <v>28980</v>
      </c>
      <c r="G398" s="177">
        <f>Tabla19[[#This Row],[Importe]]-Tabla19[[#This Row],[Pagado]]</f>
        <v>0</v>
      </c>
      <c r="H398" s="75" t="s">
        <v>10</v>
      </c>
    </row>
    <row r="399" spans="1:8" x14ac:dyDescent="0.25">
      <c r="A399" s="148">
        <v>44777</v>
      </c>
      <c r="B399" s="149" t="s">
        <v>25051</v>
      </c>
      <c r="C399" s="153" t="s">
        <v>296</v>
      </c>
      <c r="D399" s="178">
        <v>633.6</v>
      </c>
      <c r="E399" s="155">
        <v>44777</v>
      </c>
      <c r="F399" s="178">
        <v>633.6</v>
      </c>
      <c r="G399" s="179">
        <f>Tabla19[[#This Row],[Importe]]-Tabla19[[#This Row],[Pagado]]</f>
        <v>0</v>
      </c>
      <c r="H399" s="153" t="s">
        <v>10</v>
      </c>
    </row>
    <row r="400" spans="1:8" x14ac:dyDescent="0.25">
      <c r="A400" s="73">
        <v>44777</v>
      </c>
      <c r="B400" s="74" t="s">
        <v>25052</v>
      </c>
      <c r="C400" s="75" t="s">
        <v>167</v>
      </c>
      <c r="D400" s="176">
        <v>114800</v>
      </c>
      <c r="E400" s="151">
        <v>44778</v>
      </c>
      <c r="F400" s="176">
        <v>114800</v>
      </c>
      <c r="G400" s="177">
        <f>Tabla19[[#This Row],[Importe]]-Tabla19[[#This Row],[Pagado]]</f>
        <v>0</v>
      </c>
      <c r="H400" s="75" t="s">
        <v>10</v>
      </c>
    </row>
    <row r="401" spans="1:8" x14ac:dyDescent="0.25">
      <c r="A401" s="148">
        <v>44777</v>
      </c>
      <c r="B401" s="149" t="s">
        <v>25053</v>
      </c>
      <c r="C401" s="153" t="s">
        <v>7745</v>
      </c>
      <c r="D401" s="178">
        <v>487.2</v>
      </c>
      <c r="E401" s="155">
        <v>44778</v>
      </c>
      <c r="F401" s="178">
        <v>487.2</v>
      </c>
      <c r="G401" s="179">
        <f>Tabla19[[#This Row],[Importe]]-Tabla19[[#This Row],[Pagado]]</f>
        <v>0</v>
      </c>
      <c r="H401" s="153" t="s">
        <v>10</v>
      </c>
    </row>
    <row r="402" spans="1:8" x14ac:dyDescent="0.25">
      <c r="A402" s="73">
        <v>44778</v>
      </c>
      <c r="B402" s="74" t="s">
        <v>25054</v>
      </c>
      <c r="C402" s="75" t="s">
        <v>887</v>
      </c>
      <c r="D402" s="176">
        <v>10923</v>
      </c>
      <c r="E402" s="151">
        <v>44778</v>
      </c>
      <c r="F402" s="176">
        <v>10923</v>
      </c>
      <c r="G402" s="177">
        <f>Tabla19[[#This Row],[Importe]]-Tabla19[[#This Row],[Pagado]]</f>
        <v>0</v>
      </c>
      <c r="H402" s="75" t="s">
        <v>10</v>
      </c>
    </row>
    <row r="403" spans="1:8" x14ac:dyDescent="0.25">
      <c r="A403" s="148">
        <v>44778</v>
      </c>
      <c r="B403" s="149" t="s">
        <v>25055</v>
      </c>
      <c r="C403" s="153" t="s">
        <v>887</v>
      </c>
      <c r="D403" s="178">
        <v>256</v>
      </c>
      <c r="E403" s="155">
        <v>44778</v>
      </c>
      <c r="F403" s="178">
        <v>256</v>
      </c>
      <c r="G403" s="179">
        <f>Tabla19[[#This Row],[Importe]]-Tabla19[[#This Row],[Pagado]]</f>
        <v>0</v>
      </c>
      <c r="H403" s="153" t="s">
        <v>10</v>
      </c>
    </row>
    <row r="404" spans="1:8" x14ac:dyDescent="0.25">
      <c r="A404" s="73">
        <v>44778</v>
      </c>
      <c r="B404" s="74" t="s">
        <v>25056</v>
      </c>
      <c r="C404" s="75" t="s">
        <v>887</v>
      </c>
      <c r="D404" s="176">
        <v>229.6</v>
      </c>
      <c r="E404" s="151">
        <v>44778</v>
      </c>
      <c r="F404" s="176">
        <v>229.6</v>
      </c>
      <c r="G404" s="177">
        <f>Tabla19[[#This Row],[Importe]]-Tabla19[[#This Row],[Pagado]]</f>
        <v>0</v>
      </c>
      <c r="H404" s="75" t="s">
        <v>10</v>
      </c>
    </row>
    <row r="405" spans="1:8" x14ac:dyDescent="0.25">
      <c r="A405" s="148">
        <v>44778</v>
      </c>
      <c r="B405" s="149" t="s">
        <v>25057</v>
      </c>
      <c r="C405" s="153" t="s">
        <v>475</v>
      </c>
      <c r="D405" s="178">
        <v>80532.7</v>
      </c>
      <c r="E405" s="155">
        <v>44779</v>
      </c>
      <c r="F405" s="178">
        <v>80532.7</v>
      </c>
      <c r="G405" s="179">
        <f>Tabla19[[#This Row],[Importe]]-Tabla19[[#This Row],[Pagado]]</f>
        <v>0</v>
      </c>
      <c r="H405" s="153" t="s">
        <v>10</v>
      </c>
    </row>
    <row r="406" spans="1:8" x14ac:dyDescent="0.25">
      <c r="A406" s="73">
        <v>44778</v>
      </c>
      <c r="B406" s="74" t="s">
        <v>25058</v>
      </c>
      <c r="C406" s="75" t="s">
        <v>120</v>
      </c>
      <c r="D406" s="176">
        <v>5369.6</v>
      </c>
      <c r="E406" s="151">
        <v>44778</v>
      </c>
      <c r="F406" s="176">
        <v>5369.6</v>
      </c>
      <c r="G406" s="177">
        <f>Tabla19[[#This Row],[Importe]]-Tabla19[[#This Row],[Pagado]]</f>
        <v>0</v>
      </c>
      <c r="H406" s="75" t="s">
        <v>10</v>
      </c>
    </row>
    <row r="407" spans="1:8" x14ac:dyDescent="0.25">
      <c r="A407" s="148">
        <v>44778</v>
      </c>
      <c r="B407" s="149" t="s">
        <v>25059</v>
      </c>
      <c r="C407" s="153" t="s">
        <v>97</v>
      </c>
      <c r="D407" s="178">
        <v>5504.4</v>
      </c>
      <c r="E407" s="155">
        <v>44779</v>
      </c>
      <c r="F407" s="178">
        <v>5504.4</v>
      </c>
      <c r="G407" s="179">
        <f>Tabla19[[#This Row],[Importe]]-Tabla19[[#This Row],[Pagado]]</f>
        <v>0</v>
      </c>
      <c r="H407" s="153" t="s">
        <v>10</v>
      </c>
    </row>
    <row r="408" spans="1:8" x14ac:dyDescent="0.25">
      <c r="A408" s="73">
        <v>44778</v>
      </c>
      <c r="B408" s="74" t="s">
        <v>25060</v>
      </c>
      <c r="C408" s="75" t="s">
        <v>326</v>
      </c>
      <c r="D408" s="176">
        <v>5682.6</v>
      </c>
      <c r="E408" s="151">
        <v>44779</v>
      </c>
      <c r="F408" s="176">
        <v>5682.6</v>
      </c>
      <c r="G408" s="177">
        <f>Tabla19[[#This Row],[Importe]]-Tabla19[[#This Row],[Pagado]]</f>
        <v>0</v>
      </c>
      <c r="H408" s="75" t="s">
        <v>10</v>
      </c>
    </row>
    <row r="409" spans="1:8" ht="31.5" x14ac:dyDescent="0.25">
      <c r="A409" s="148">
        <v>44778</v>
      </c>
      <c r="B409" s="149" t="s">
        <v>25061</v>
      </c>
      <c r="C409" s="153" t="s">
        <v>5043</v>
      </c>
      <c r="D409" s="178">
        <v>5326.2</v>
      </c>
      <c r="E409" s="150" t="s">
        <v>25062</v>
      </c>
      <c r="F409" s="178">
        <f>3000+2326.2</f>
        <v>5326.2</v>
      </c>
      <c r="G409" s="179">
        <f>Tabla19[[#This Row],[Importe]]-Tabla19[[#This Row],[Pagado]]</f>
        <v>0</v>
      </c>
      <c r="H409" s="153" t="s">
        <v>10</v>
      </c>
    </row>
    <row r="410" spans="1:8" x14ac:dyDescent="0.25">
      <c r="A410" s="73">
        <v>44778</v>
      </c>
      <c r="B410" s="74" t="s">
        <v>25063</v>
      </c>
      <c r="C410" s="75" t="s">
        <v>93</v>
      </c>
      <c r="D410" s="176">
        <v>5094.3999999999996</v>
      </c>
      <c r="E410" s="151">
        <v>44779</v>
      </c>
      <c r="F410" s="176">
        <v>5094.3999999999996</v>
      </c>
      <c r="G410" s="177">
        <f>Tabla19[[#This Row],[Importe]]-Tabla19[[#This Row],[Pagado]]</f>
        <v>0</v>
      </c>
      <c r="H410" s="75" t="s">
        <v>10</v>
      </c>
    </row>
    <row r="411" spans="1:8" x14ac:dyDescent="0.25">
      <c r="A411" s="148">
        <v>44778</v>
      </c>
      <c r="B411" s="149" t="s">
        <v>25064</v>
      </c>
      <c r="C411" s="153" t="s">
        <v>111</v>
      </c>
      <c r="D411" s="178">
        <v>5312</v>
      </c>
      <c r="E411" s="155">
        <v>44779</v>
      </c>
      <c r="F411" s="178">
        <v>5312</v>
      </c>
      <c r="G411" s="179">
        <f>Tabla19[[#This Row],[Importe]]-Tabla19[[#This Row],[Pagado]]</f>
        <v>0</v>
      </c>
      <c r="H411" s="153" t="s">
        <v>10</v>
      </c>
    </row>
    <row r="412" spans="1:8" x14ac:dyDescent="0.25">
      <c r="A412" s="73">
        <v>44778</v>
      </c>
      <c r="B412" s="74" t="s">
        <v>25065</v>
      </c>
      <c r="C412" s="75" t="s">
        <v>20</v>
      </c>
      <c r="D412" s="176">
        <v>1930</v>
      </c>
      <c r="E412" s="151">
        <v>44778</v>
      </c>
      <c r="F412" s="176">
        <v>1930</v>
      </c>
      <c r="G412" s="177">
        <f>Tabla19[[#This Row],[Importe]]-Tabla19[[#This Row],[Pagado]]</f>
        <v>0</v>
      </c>
      <c r="H412" s="75" t="s">
        <v>10</v>
      </c>
    </row>
    <row r="413" spans="1:8" x14ac:dyDescent="0.25">
      <c r="A413" s="148">
        <v>44778</v>
      </c>
      <c r="B413" s="149" t="s">
        <v>25066</v>
      </c>
      <c r="C413" s="153" t="s">
        <v>345</v>
      </c>
      <c r="D413" s="178">
        <v>416</v>
      </c>
      <c r="E413" s="155">
        <v>44778</v>
      </c>
      <c r="F413" s="178">
        <v>416</v>
      </c>
      <c r="G413" s="179">
        <f>Tabla19[[#This Row],[Importe]]-Tabla19[[#This Row],[Pagado]]</f>
        <v>0</v>
      </c>
      <c r="H413" s="153" t="s">
        <v>10</v>
      </c>
    </row>
    <row r="414" spans="1:8" x14ac:dyDescent="0.25">
      <c r="A414" s="73">
        <v>44778</v>
      </c>
      <c r="B414" s="74" t="s">
        <v>25067</v>
      </c>
      <c r="C414" s="75" t="s">
        <v>2151</v>
      </c>
      <c r="D414" s="176">
        <v>24488</v>
      </c>
      <c r="E414" s="151">
        <v>44778</v>
      </c>
      <c r="F414" s="176">
        <v>24488</v>
      </c>
      <c r="G414" s="177">
        <f>Tabla19[[#This Row],[Importe]]-Tabla19[[#This Row],[Pagado]]</f>
        <v>0</v>
      </c>
      <c r="H414" s="75" t="s">
        <v>10</v>
      </c>
    </row>
    <row r="415" spans="1:8" x14ac:dyDescent="0.25">
      <c r="A415" s="148">
        <v>44778</v>
      </c>
      <c r="B415" s="149" t="s">
        <v>25068</v>
      </c>
      <c r="C415" s="153" t="s">
        <v>348</v>
      </c>
      <c r="D415" s="178">
        <v>9146.7000000000007</v>
      </c>
      <c r="E415" s="155">
        <v>44778</v>
      </c>
      <c r="F415" s="178">
        <v>9146.7000000000007</v>
      </c>
      <c r="G415" s="179">
        <f>Tabla19[[#This Row],[Importe]]-Tabla19[[#This Row],[Pagado]]</f>
        <v>0</v>
      </c>
      <c r="H415" s="153" t="s">
        <v>10</v>
      </c>
    </row>
    <row r="416" spans="1:8" x14ac:dyDescent="0.25">
      <c r="A416" s="73">
        <v>44778</v>
      </c>
      <c r="B416" s="74" t="s">
        <v>25069</v>
      </c>
      <c r="C416" s="75" t="s">
        <v>105</v>
      </c>
      <c r="D416" s="176">
        <v>7447.9</v>
      </c>
      <c r="E416" s="151">
        <v>44779</v>
      </c>
      <c r="F416" s="176">
        <v>7447.9</v>
      </c>
      <c r="G416" s="177">
        <f>Tabla19[[#This Row],[Importe]]-Tabla19[[#This Row],[Pagado]]</f>
        <v>0</v>
      </c>
      <c r="H416" s="75" t="s">
        <v>10</v>
      </c>
    </row>
    <row r="417" spans="1:8" x14ac:dyDescent="0.25">
      <c r="A417" s="148">
        <v>44778</v>
      </c>
      <c r="B417" s="149" t="s">
        <v>25070</v>
      </c>
      <c r="C417" s="153" t="s">
        <v>95</v>
      </c>
      <c r="D417" s="178">
        <v>28272</v>
      </c>
      <c r="E417" s="155">
        <v>44778</v>
      </c>
      <c r="F417" s="178">
        <v>28272</v>
      </c>
      <c r="G417" s="179">
        <f>Tabla19[[#This Row],[Importe]]-Tabla19[[#This Row],[Pagado]]</f>
        <v>0</v>
      </c>
      <c r="H417" s="153" t="s">
        <v>10</v>
      </c>
    </row>
    <row r="418" spans="1:8" x14ac:dyDescent="0.25">
      <c r="A418" s="73">
        <v>44778</v>
      </c>
      <c r="B418" s="74" t="s">
        <v>25071</v>
      </c>
      <c r="C418" s="75" t="s">
        <v>89</v>
      </c>
      <c r="D418" s="176">
        <v>13911.8</v>
      </c>
      <c r="E418" s="151">
        <v>44779</v>
      </c>
      <c r="F418" s="176">
        <v>13911.8</v>
      </c>
      <c r="G418" s="177">
        <f>Tabla19[[#This Row],[Importe]]-Tabla19[[#This Row],[Pagado]]</f>
        <v>0</v>
      </c>
      <c r="H418" s="75" t="s">
        <v>10</v>
      </c>
    </row>
    <row r="419" spans="1:8" x14ac:dyDescent="0.25">
      <c r="A419" s="148">
        <v>44778</v>
      </c>
      <c r="B419" s="149" t="s">
        <v>25072</v>
      </c>
      <c r="C419" s="153" t="s">
        <v>64</v>
      </c>
      <c r="D419" s="178">
        <v>10790.7</v>
      </c>
      <c r="E419" s="155">
        <v>44779</v>
      </c>
      <c r="F419" s="178">
        <v>10790.7</v>
      </c>
      <c r="G419" s="179">
        <f>Tabla19[[#This Row],[Importe]]-Tabla19[[#This Row],[Pagado]]</f>
        <v>0</v>
      </c>
      <c r="H419" s="153" t="s">
        <v>10</v>
      </c>
    </row>
    <row r="420" spans="1:8" x14ac:dyDescent="0.25">
      <c r="A420" s="73">
        <v>44778</v>
      </c>
      <c r="B420" s="74" t="s">
        <v>25073</v>
      </c>
      <c r="C420" s="75" t="s">
        <v>353</v>
      </c>
      <c r="D420" s="176">
        <v>818.4</v>
      </c>
      <c r="E420" s="151">
        <v>44778</v>
      </c>
      <c r="F420" s="176">
        <v>818.4</v>
      </c>
      <c r="G420" s="177">
        <f>Tabla19[[#This Row],[Importe]]-Tabla19[[#This Row],[Pagado]]</f>
        <v>0</v>
      </c>
      <c r="H420" s="75" t="s">
        <v>10</v>
      </c>
    </row>
    <row r="421" spans="1:8" x14ac:dyDescent="0.25">
      <c r="A421" s="148">
        <v>44778</v>
      </c>
      <c r="B421" s="149" t="s">
        <v>25074</v>
      </c>
      <c r="C421" s="153" t="s">
        <v>481</v>
      </c>
      <c r="D421" s="178">
        <v>1714.3</v>
      </c>
      <c r="E421" s="155">
        <v>44778</v>
      </c>
      <c r="F421" s="178">
        <v>1714.3</v>
      </c>
      <c r="G421" s="179">
        <f>Tabla19[[#This Row],[Importe]]-Tabla19[[#This Row],[Pagado]]</f>
        <v>0</v>
      </c>
      <c r="H421" s="153" t="s">
        <v>10</v>
      </c>
    </row>
    <row r="422" spans="1:8" x14ac:dyDescent="0.25">
      <c r="A422" s="73">
        <v>44778</v>
      </c>
      <c r="B422" s="74" t="s">
        <v>25075</v>
      </c>
      <c r="C422" s="75" t="s">
        <v>9</v>
      </c>
      <c r="D422" s="176">
        <v>9956.9</v>
      </c>
      <c r="E422" s="151">
        <v>44778</v>
      </c>
      <c r="F422" s="176">
        <v>9956.9</v>
      </c>
      <c r="G422" s="177">
        <f>Tabla19[[#This Row],[Importe]]-Tabla19[[#This Row],[Pagado]]</f>
        <v>0</v>
      </c>
      <c r="H422" s="75" t="s">
        <v>10</v>
      </c>
    </row>
    <row r="423" spans="1:8" x14ac:dyDescent="0.25">
      <c r="A423" s="148">
        <v>44778</v>
      </c>
      <c r="B423" s="149" t="s">
        <v>25076</v>
      </c>
      <c r="C423" s="153" t="s">
        <v>31</v>
      </c>
      <c r="D423" s="178">
        <v>9752.7000000000007</v>
      </c>
      <c r="E423" s="155">
        <v>44778</v>
      </c>
      <c r="F423" s="178">
        <v>9752.7000000000007</v>
      </c>
      <c r="G423" s="179">
        <f>Tabla19[[#This Row],[Importe]]-Tabla19[[#This Row],[Pagado]]</f>
        <v>0</v>
      </c>
      <c r="H423" s="153" t="s">
        <v>10</v>
      </c>
    </row>
    <row r="424" spans="1:8" x14ac:dyDescent="0.25">
      <c r="A424" s="73">
        <v>44778</v>
      </c>
      <c r="B424" s="74" t="s">
        <v>25077</v>
      </c>
      <c r="C424" s="75" t="s">
        <v>473</v>
      </c>
      <c r="D424" s="176">
        <v>5154</v>
      </c>
      <c r="E424" s="151">
        <v>44778</v>
      </c>
      <c r="F424" s="176">
        <v>5154</v>
      </c>
      <c r="G424" s="177">
        <f>Tabla19[[#This Row],[Importe]]-Tabla19[[#This Row],[Pagado]]</f>
        <v>0</v>
      </c>
      <c r="H424" s="75" t="s">
        <v>10</v>
      </c>
    </row>
    <row r="425" spans="1:8" x14ac:dyDescent="0.25">
      <c r="A425" s="148">
        <v>44778</v>
      </c>
      <c r="B425" s="149" t="s">
        <v>25078</v>
      </c>
      <c r="C425" s="153" t="s">
        <v>31</v>
      </c>
      <c r="D425" s="178">
        <v>4263.6000000000004</v>
      </c>
      <c r="E425" s="155">
        <v>44778</v>
      </c>
      <c r="F425" s="178">
        <v>4263.6000000000004</v>
      </c>
      <c r="G425" s="179">
        <f>Tabla19[[#This Row],[Importe]]-Tabla19[[#This Row],[Pagado]]</f>
        <v>0</v>
      </c>
      <c r="H425" s="153" t="s">
        <v>10</v>
      </c>
    </row>
    <row r="426" spans="1:8" x14ac:dyDescent="0.25">
      <c r="A426" s="73">
        <v>44778</v>
      </c>
      <c r="B426" s="74" t="s">
        <v>25079</v>
      </c>
      <c r="C426" s="75" t="s">
        <v>1187</v>
      </c>
      <c r="D426" s="176">
        <v>2331.6</v>
      </c>
      <c r="E426" s="151">
        <v>44778</v>
      </c>
      <c r="F426" s="176">
        <v>2331.6</v>
      </c>
      <c r="G426" s="177">
        <f>Tabla19[[#This Row],[Importe]]-Tabla19[[#This Row],[Pagado]]</f>
        <v>0</v>
      </c>
      <c r="H426" s="75" t="s">
        <v>10</v>
      </c>
    </row>
    <row r="427" spans="1:8" x14ac:dyDescent="0.25">
      <c r="A427" s="148">
        <v>44778</v>
      </c>
      <c r="B427" s="149" t="s">
        <v>25080</v>
      </c>
      <c r="C427" s="153" t="s">
        <v>22</v>
      </c>
      <c r="D427" s="178">
        <v>46136.7</v>
      </c>
      <c r="E427" s="155">
        <v>44779</v>
      </c>
      <c r="F427" s="178">
        <f>39000+7136.7</f>
        <v>46136.7</v>
      </c>
      <c r="G427" s="179">
        <f>Tabla19[[#This Row],[Importe]]-Tabla19[[#This Row],[Pagado]]</f>
        <v>0</v>
      </c>
      <c r="H427" s="153" t="s">
        <v>10</v>
      </c>
    </row>
    <row r="428" spans="1:8" x14ac:dyDescent="0.25">
      <c r="A428" s="73">
        <v>44778</v>
      </c>
      <c r="B428" s="74" t="s">
        <v>25081</v>
      </c>
      <c r="C428" s="75" t="s">
        <v>198</v>
      </c>
      <c r="D428" s="176">
        <v>5051.2</v>
      </c>
      <c r="E428" s="151">
        <v>44778</v>
      </c>
      <c r="F428" s="176">
        <v>5051.2</v>
      </c>
      <c r="G428" s="177">
        <f>Tabla19[[#This Row],[Importe]]-Tabla19[[#This Row],[Pagado]]</f>
        <v>0</v>
      </c>
      <c r="H428" s="75" t="s">
        <v>10</v>
      </c>
    </row>
    <row r="429" spans="1:8" x14ac:dyDescent="0.25">
      <c r="A429" s="148">
        <v>44778</v>
      </c>
      <c r="B429" s="149" t="s">
        <v>25082</v>
      </c>
      <c r="C429" s="153" t="s">
        <v>142</v>
      </c>
      <c r="D429" s="178">
        <v>83301.009999999995</v>
      </c>
      <c r="E429" s="155" t="s">
        <v>4813</v>
      </c>
      <c r="F429" s="178">
        <v>0</v>
      </c>
      <c r="G429" s="179">
        <f>Tabla19[[#This Row],[Importe]]-Tabla19[[#This Row],[Pagado]]</f>
        <v>83301.009999999995</v>
      </c>
      <c r="H429" s="153" t="s">
        <v>4814</v>
      </c>
    </row>
    <row r="430" spans="1:8" x14ac:dyDescent="0.25">
      <c r="A430" s="73">
        <v>44778</v>
      </c>
      <c r="B430" s="74" t="s">
        <v>25083</v>
      </c>
      <c r="C430" s="75" t="s">
        <v>314</v>
      </c>
      <c r="D430" s="176">
        <v>4701.3999999999996</v>
      </c>
      <c r="E430" s="151">
        <v>44778</v>
      </c>
      <c r="F430" s="176">
        <v>4701.3999999999996</v>
      </c>
      <c r="G430" s="177">
        <f>Tabla19[[#This Row],[Importe]]-Tabla19[[#This Row],[Pagado]]</f>
        <v>0</v>
      </c>
      <c r="H430" s="75" t="s">
        <v>10</v>
      </c>
    </row>
    <row r="431" spans="1:8" x14ac:dyDescent="0.25">
      <c r="A431" s="148">
        <v>44778</v>
      </c>
      <c r="B431" s="149" t="s">
        <v>25084</v>
      </c>
      <c r="C431" s="153" t="s">
        <v>22</v>
      </c>
      <c r="D431" s="178">
        <v>1467.8</v>
      </c>
      <c r="E431" s="155">
        <v>44780</v>
      </c>
      <c r="F431" s="178">
        <v>1467.8</v>
      </c>
      <c r="G431" s="179">
        <f>Tabla19[[#This Row],[Importe]]-Tabla19[[#This Row],[Pagado]]</f>
        <v>0</v>
      </c>
      <c r="H431" s="153" t="s">
        <v>10</v>
      </c>
    </row>
    <row r="432" spans="1:8" x14ac:dyDescent="0.25">
      <c r="A432" s="73">
        <v>44778</v>
      </c>
      <c r="B432" s="74" t="s">
        <v>25085</v>
      </c>
      <c r="C432" s="75" t="s">
        <v>87</v>
      </c>
      <c r="D432" s="176">
        <v>6410</v>
      </c>
      <c r="E432" s="151">
        <v>44778</v>
      </c>
      <c r="F432" s="176">
        <v>6410</v>
      </c>
      <c r="G432" s="177">
        <f>Tabla19[[#This Row],[Importe]]-Tabla19[[#This Row],[Pagado]]</f>
        <v>0</v>
      </c>
      <c r="H432" s="75" t="s">
        <v>10</v>
      </c>
    </row>
    <row r="433" spans="1:8" x14ac:dyDescent="0.25">
      <c r="A433" s="148">
        <v>44778</v>
      </c>
      <c r="B433" s="149" t="s">
        <v>25086</v>
      </c>
      <c r="C433" s="153" t="s">
        <v>83</v>
      </c>
      <c r="D433" s="178">
        <v>6208.4</v>
      </c>
      <c r="E433" s="155">
        <v>44778</v>
      </c>
      <c r="F433" s="178">
        <v>6208.4</v>
      </c>
      <c r="G433" s="179">
        <f>Tabla19[[#This Row],[Importe]]-Tabla19[[#This Row],[Pagado]]</f>
        <v>0</v>
      </c>
      <c r="H433" s="153" t="s">
        <v>10</v>
      </c>
    </row>
    <row r="434" spans="1:8" x14ac:dyDescent="0.25">
      <c r="A434" s="73">
        <v>44778</v>
      </c>
      <c r="B434" s="74" t="s">
        <v>25087</v>
      </c>
      <c r="C434" s="75" t="s">
        <v>196</v>
      </c>
      <c r="D434" s="176">
        <v>156187.41</v>
      </c>
      <c r="E434" s="151">
        <v>44778</v>
      </c>
      <c r="F434" s="176">
        <v>156187.41</v>
      </c>
      <c r="G434" s="177">
        <f>Tabla19[[#This Row],[Importe]]-Tabla19[[#This Row],[Pagado]]</f>
        <v>0</v>
      </c>
      <c r="H434" s="75" t="s">
        <v>10</v>
      </c>
    </row>
    <row r="435" spans="1:8" x14ac:dyDescent="0.25">
      <c r="A435" s="148">
        <v>44778</v>
      </c>
      <c r="B435" s="149" t="s">
        <v>25088</v>
      </c>
      <c r="C435" s="153" t="s">
        <v>127</v>
      </c>
      <c r="D435" s="178">
        <v>4795.3999999999996</v>
      </c>
      <c r="E435" s="155">
        <v>44778</v>
      </c>
      <c r="F435" s="178">
        <v>4795.3999999999996</v>
      </c>
      <c r="G435" s="179">
        <f>Tabla19[[#This Row],[Importe]]-Tabla19[[#This Row],[Pagado]]</f>
        <v>0</v>
      </c>
      <c r="H435" s="153" t="s">
        <v>10</v>
      </c>
    </row>
    <row r="436" spans="1:8" x14ac:dyDescent="0.25">
      <c r="A436" s="73">
        <v>44778</v>
      </c>
      <c r="B436" s="74" t="s">
        <v>25089</v>
      </c>
      <c r="C436" s="75" t="s">
        <v>140</v>
      </c>
      <c r="D436" s="176">
        <v>403</v>
      </c>
      <c r="E436" s="151">
        <v>44778</v>
      </c>
      <c r="F436" s="176">
        <v>403</v>
      </c>
      <c r="G436" s="177">
        <f>Tabla19[[#This Row],[Importe]]-Tabla19[[#This Row],[Pagado]]</f>
        <v>0</v>
      </c>
      <c r="H436" s="75" t="s">
        <v>10</v>
      </c>
    </row>
    <row r="437" spans="1:8" x14ac:dyDescent="0.25">
      <c r="A437" s="148">
        <v>44778</v>
      </c>
      <c r="B437" s="149" t="s">
        <v>25090</v>
      </c>
      <c r="C437" s="153" t="s">
        <v>214</v>
      </c>
      <c r="D437" s="178">
        <v>5755.2</v>
      </c>
      <c r="E437" s="155">
        <v>44778</v>
      </c>
      <c r="F437" s="178">
        <v>5755.2</v>
      </c>
      <c r="G437" s="179">
        <f>Tabla19[[#This Row],[Importe]]-Tabla19[[#This Row],[Pagado]]</f>
        <v>0</v>
      </c>
      <c r="H437" s="153" t="s">
        <v>10</v>
      </c>
    </row>
    <row r="438" spans="1:8" x14ac:dyDescent="0.25">
      <c r="A438" s="73">
        <v>44778</v>
      </c>
      <c r="B438" s="74" t="s">
        <v>25091</v>
      </c>
      <c r="C438" s="75" t="s">
        <v>35</v>
      </c>
      <c r="D438" s="176">
        <v>2881.2</v>
      </c>
      <c r="E438" s="151">
        <v>44778</v>
      </c>
      <c r="F438" s="176">
        <v>2881.2</v>
      </c>
      <c r="G438" s="177">
        <f>Tabla19[[#This Row],[Importe]]-Tabla19[[#This Row],[Pagado]]</f>
        <v>0</v>
      </c>
      <c r="H438" s="75" t="s">
        <v>10</v>
      </c>
    </row>
    <row r="439" spans="1:8" x14ac:dyDescent="0.25">
      <c r="A439" s="148">
        <v>44778</v>
      </c>
      <c r="B439" s="149" t="s">
        <v>25092</v>
      </c>
      <c r="C439" s="153" t="s">
        <v>348</v>
      </c>
      <c r="D439" s="178">
        <v>5715.1</v>
      </c>
      <c r="E439" s="155">
        <v>44778</v>
      </c>
      <c r="F439" s="178">
        <v>5715.1</v>
      </c>
      <c r="G439" s="179">
        <f>Tabla19[[#This Row],[Importe]]-Tabla19[[#This Row],[Pagado]]</f>
        <v>0</v>
      </c>
      <c r="H439" s="153" t="s">
        <v>10</v>
      </c>
    </row>
    <row r="440" spans="1:8" x14ac:dyDescent="0.25">
      <c r="A440" s="73">
        <v>44778</v>
      </c>
      <c r="B440" s="74" t="s">
        <v>25093</v>
      </c>
      <c r="C440" s="75" t="s">
        <v>31</v>
      </c>
      <c r="D440" s="176">
        <v>4271.7</v>
      </c>
      <c r="E440" s="151" t="s">
        <v>25094</v>
      </c>
      <c r="F440" s="176">
        <v>4271.7</v>
      </c>
      <c r="G440" s="177">
        <f>Tabla19[[#This Row],[Importe]]-Tabla19[[#This Row],[Pagado]]</f>
        <v>0</v>
      </c>
      <c r="H440" s="75" t="s">
        <v>10</v>
      </c>
    </row>
    <row r="441" spans="1:8" x14ac:dyDescent="0.25">
      <c r="A441" s="148">
        <v>44778</v>
      </c>
      <c r="B441" s="149" t="s">
        <v>25095</v>
      </c>
      <c r="C441" s="153" t="s">
        <v>25096</v>
      </c>
      <c r="D441" s="178">
        <v>0</v>
      </c>
      <c r="E441" s="158" t="s">
        <v>189</v>
      </c>
      <c r="F441" s="178">
        <v>0</v>
      </c>
      <c r="G441" s="179">
        <f>Tabla19[[#This Row],[Importe]]-Tabla19[[#This Row],[Pagado]]</f>
        <v>0</v>
      </c>
      <c r="H441" s="159" t="s">
        <v>25097</v>
      </c>
    </row>
    <row r="442" spans="1:8" x14ac:dyDescent="0.25">
      <c r="A442" s="73">
        <v>44778</v>
      </c>
      <c r="B442" s="74" t="s">
        <v>25098</v>
      </c>
      <c r="C442" s="75" t="s">
        <v>45</v>
      </c>
      <c r="D442" s="176">
        <v>17108.3</v>
      </c>
      <c r="E442" s="151">
        <v>44778</v>
      </c>
      <c r="F442" s="176">
        <v>17108.3</v>
      </c>
      <c r="G442" s="177">
        <f>Tabla19[[#This Row],[Importe]]-Tabla19[[#This Row],[Pagado]]</f>
        <v>0</v>
      </c>
      <c r="H442" s="75" t="s">
        <v>10</v>
      </c>
    </row>
    <row r="443" spans="1:8" x14ac:dyDescent="0.25">
      <c r="A443" s="148">
        <v>44778</v>
      </c>
      <c r="B443" s="149" t="s">
        <v>25099</v>
      </c>
      <c r="C443" s="153" t="s">
        <v>11033</v>
      </c>
      <c r="D443" s="178">
        <v>1848.6</v>
      </c>
      <c r="E443" s="155">
        <v>44778</v>
      </c>
      <c r="F443" s="178">
        <v>1848.6</v>
      </c>
      <c r="G443" s="179">
        <f>Tabla19[[#This Row],[Importe]]-Tabla19[[#This Row],[Pagado]]</f>
        <v>0</v>
      </c>
      <c r="H443" s="153" t="s">
        <v>10</v>
      </c>
    </row>
    <row r="444" spans="1:8" x14ac:dyDescent="0.25">
      <c r="A444" s="73">
        <v>44778</v>
      </c>
      <c r="B444" s="74" t="s">
        <v>25100</v>
      </c>
      <c r="C444" s="75" t="s">
        <v>6252</v>
      </c>
      <c r="D444" s="176">
        <v>0</v>
      </c>
      <c r="E444" s="157" t="s">
        <v>189</v>
      </c>
      <c r="F444" s="176">
        <v>0</v>
      </c>
      <c r="G444" s="177">
        <f>Tabla19[[#This Row],[Importe]]-Tabla19[[#This Row],[Pagado]]</f>
        <v>0</v>
      </c>
      <c r="H444" s="161" t="s">
        <v>25101</v>
      </c>
    </row>
    <row r="445" spans="1:8" x14ac:dyDescent="0.25">
      <c r="A445" s="148">
        <v>44778</v>
      </c>
      <c r="B445" s="149" t="s">
        <v>25102</v>
      </c>
      <c r="C445" s="153" t="s">
        <v>107</v>
      </c>
      <c r="D445" s="178">
        <v>11487.1</v>
      </c>
      <c r="E445" s="155">
        <v>44778</v>
      </c>
      <c r="F445" s="178">
        <v>11487.1</v>
      </c>
      <c r="G445" s="179">
        <f>Tabla19[[#This Row],[Importe]]-Tabla19[[#This Row],[Pagado]]</f>
        <v>0</v>
      </c>
      <c r="H445" s="153" t="s">
        <v>10</v>
      </c>
    </row>
    <row r="446" spans="1:8" x14ac:dyDescent="0.25">
      <c r="A446" s="73">
        <v>44778</v>
      </c>
      <c r="B446" s="74" t="s">
        <v>25103</v>
      </c>
      <c r="C446" s="75" t="s">
        <v>27</v>
      </c>
      <c r="D446" s="176">
        <v>916</v>
      </c>
      <c r="E446" s="151">
        <v>44778</v>
      </c>
      <c r="F446" s="176">
        <v>916</v>
      </c>
      <c r="G446" s="177">
        <f>Tabla19[[#This Row],[Importe]]-Tabla19[[#This Row],[Pagado]]</f>
        <v>0</v>
      </c>
      <c r="H446" s="75" t="s">
        <v>10</v>
      </c>
    </row>
    <row r="447" spans="1:8" x14ac:dyDescent="0.25">
      <c r="A447" s="148">
        <v>44778</v>
      </c>
      <c r="B447" s="149" t="s">
        <v>25104</v>
      </c>
      <c r="C447" s="153" t="s">
        <v>31</v>
      </c>
      <c r="D447" s="178">
        <v>8560</v>
      </c>
      <c r="E447" s="155">
        <v>44778</v>
      </c>
      <c r="F447" s="178">
        <v>8560</v>
      </c>
      <c r="G447" s="179">
        <f>Tabla19[[#This Row],[Importe]]-Tabla19[[#This Row],[Pagado]]</f>
        <v>0</v>
      </c>
      <c r="H447" s="153" t="s">
        <v>10</v>
      </c>
    </row>
    <row r="448" spans="1:8" x14ac:dyDescent="0.25">
      <c r="A448" s="73">
        <v>44778</v>
      </c>
      <c r="B448" s="74" t="s">
        <v>25105</v>
      </c>
      <c r="C448" s="75" t="s">
        <v>56</v>
      </c>
      <c r="D448" s="176">
        <v>8572.2000000000007</v>
      </c>
      <c r="E448" s="151">
        <v>44778</v>
      </c>
      <c r="F448" s="176">
        <v>8572.2000000000007</v>
      </c>
      <c r="G448" s="177">
        <f>Tabla19[[#This Row],[Importe]]-Tabla19[[#This Row],[Pagado]]</f>
        <v>0</v>
      </c>
      <c r="H448" s="75" t="s">
        <v>10</v>
      </c>
    </row>
    <row r="449" spans="1:8" x14ac:dyDescent="0.25">
      <c r="A449" s="148">
        <v>44778</v>
      </c>
      <c r="B449" s="149" t="s">
        <v>25106</v>
      </c>
      <c r="C449" s="153" t="s">
        <v>664</v>
      </c>
      <c r="D449" s="178">
        <v>5272.2</v>
      </c>
      <c r="E449" s="155">
        <v>44778</v>
      </c>
      <c r="F449" s="178">
        <v>5272.2</v>
      </c>
      <c r="G449" s="179">
        <f>Tabla19[[#This Row],[Importe]]-Tabla19[[#This Row],[Pagado]]</f>
        <v>0</v>
      </c>
      <c r="H449" s="153" t="s">
        <v>10</v>
      </c>
    </row>
    <row r="450" spans="1:8" x14ac:dyDescent="0.25">
      <c r="A450" s="73">
        <v>44778</v>
      </c>
      <c r="B450" s="74" t="s">
        <v>25107</v>
      </c>
      <c r="C450" s="75" t="s">
        <v>10190</v>
      </c>
      <c r="D450" s="176">
        <v>31093.8</v>
      </c>
      <c r="E450" s="151">
        <v>44778</v>
      </c>
      <c r="F450" s="176">
        <v>31093.8</v>
      </c>
      <c r="G450" s="177">
        <f>Tabla19[[#This Row],[Importe]]-Tabla19[[#This Row],[Pagado]]</f>
        <v>0</v>
      </c>
      <c r="H450" s="75" t="s">
        <v>10</v>
      </c>
    </row>
    <row r="451" spans="1:8" x14ac:dyDescent="0.25">
      <c r="A451" s="148">
        <v>44778</v>
      </c>
      <c r="B451" s="149" t="s">
        <v>25108</v>
      </c>
      <c r="C451" s="153" t="s">
        <v>1362</v>
      </c>
      <c r="D451" s="178">
        <v>7849.6</v>
      </c>
      <c r="E451" s="155">
        <v>44778</v>
      </c>
      <c r="F451" s="178">
        <v>7849.6</v>
      </c>
      <c r="G451" s="179">
        <f>Tabla19[[#This Row],[Importe]]-Tabla19[[#This Row],[Pagado]]</f>
        <v>0</v>
      </c>
      <c r="H451" s="153" t="s">
        <v>10</v>
      </c>
    </row>
    <row r="452" spans="1:8" x14ac:dyDescent="0.25">
      <c r="A452" s="73">
        <v>44778</v>
      </c>
      <c r="B452" s="74" t="s">
        <v>25109</v>
      </c>
      <c r="C452" s="75" t="s">
        <v>181</v>
      </c>
      <c r="D452" s="176">
        <v>13631.8</v>
      </c>
      <c r="E452" s="151">
        <v>44778</v>
      </c>
      <c r="F452" s="176">
        <v>13631.8</v>
      </c>
      <c r="G452" s="177">
        <f>Tabla19[[#This Row],[Importe]]-Tabla19[[#This Row],[Pagado]]</f>
        <v>0</v>
      </c>
      <c r="H452" s="75" t="s">
        <v>10</v>
      </c>
    </row>
    <row r="453" spans="1:8" x14ac:dyDescent="0.25">
      <c r="A453" s="148">
        <v>44778</v>
      </c>
      <c r="B453" s="149" t="s">
        <v>25110</v>
      </c>
      <c r="C453" s="153" t="s">
        <v>212</v>
      </c>
      <c r="D453" s="178">
        <v>68790.2</v>
      </c>
      <c r="E453" s="155">
        <v>44784</v>
      </c>
      <c r="F453" s="178">
        <v>68790.2</v>
      </c>
      <c r="G453" s="179">
        <f>Tabla19[[#This Row],[Importe]]-Tabla19[[#This Row],[Pagado]]</f>
        <v>0</v>
      </c>
      <c r="H453" s="153" t="s">
        <v>10</v>
      </c>
    </row>
    <row r="454" spans="1:8" x14ac:dyDescent="0.25">
      <c r="A454" s="73">
        <v>44778</v>
      </c>
      <c r="B454" s="74" t="s">
        <v>25111</v>
      </c>
      <c r="C454" s="75" t="s">
        <v>426</v>
      </c>
      <c r="D454" s="176">
        <v>4910.3999999999996</v>
      </c>
      <c r="E454" s="151">
        <v>44778</v>
      </c>
      <c r="F454" s="176">
        <v>4910.3999999999996</v>
      </c>
      <c r="G454" s="177">
        <f>Tabla19[[#This Row],[Importe]]-Tabla19[[#This Row],[Pagado]]</f>
        <v>0</v>
      </c>
      <c r="H454" s="75" t="s">
        <v>10</v>
      </c>
    </row>
    <row r="455" spans="1:8" x14ac:dyDescent="0.25">
      <c r="A455" s="148">
        <v>44778</v>
      </c>
      <c r="B455" s="149" t="s">
        <v>25112</v>
      </c>
      <c r="C455" s="153" t="s">
        <v>154</v>
      </c>
      <c r="D455" s="178">
        <v>74987.3</v>
      </c>
      <c r="E455" s="155">
        <v>44782</v>
      </c>
      <c r="F455" s="178">
        <v>74987.3</v>
      </c>
      <c r="G455" s="179">
        <f>Tabla19[[#This Row],[Importe]]-Tabla19[[#This Row],[Pagado]]</f>
        <v>0</v>
      </c>
      <c r="H455" s="153" t="s">
        <v>10</v>
      </c>
    </row>
    <row r="456" spans="1:8" x14ac:dyDescent="0.25">
      <c r="A456" s="73">
        <v>44778</v>
      </c>
      <c r="B456" s="74" t="s">
        <v>25113</v>
      </c>
      <c r="C456" s="75" t="s">
        <v>13482</v>
      </c>
      <c r="D456" s="176">
        <v>0</v>
      </c>
      <c r="E456" s="157" t="s">
        <v>189</v>
      </c>
      <c r="F456" s="176">
        <v>0</v>
      </c>
      <c r="G456" s="177">
        <f>Tabla19[[#This Row],[Importe]]-Tabla19[[#This Row],[Pagado]]</f>
        <v>0</v>
      </c>
      <c r="H456" s="161" t="s">
        <v>25114</v>
      </c>
    </row>
    <row r="457" spans="1:8" x14ac:dyDescent="0.25">
      <c r="A457" s="148">
        <v>44778</v>
      </c>
      <c r="B457" s="149" t="s">
        <v>25115</v>
      </c>
      <c r="C457" s="153" t="s">
        <v>206</v>
      </c>
      <c r="D457" s="178">
        <v>25499.4</v>
      </c>
      <c r="E457" s="155">
        <v>44782</v>
      </c>
      <c r="F457" s="178">
        <v>25499.4</v>
      </c>
      <c r="G457" s="179">
        <f>Tabla19[[#This Row],[Importe]]-Tabla19[[#This Row],[Pagado]]</f>
        <v>0</v>
      </c>
      <c r="H457" s="153" t="s">
        <v>10</v>
      </c>
    </row>
    <row r="458" spans="1:8" x14ac:dyDescent="0.25">
      <c r="A458" s="73">
        <v>44778</v>
      </c>
      <c r="B458" s="74" t="s">
        <v>25116</v>
      </c>
      <c r="C458" s="75" t="s">
        <v>4136</v>
      </c>
      <c r="D458" s="176">
        <v>3787.3</v>
      </c>
      <c r="E458" s="151">
        <v>44778</v>
      </c>
      <c r="F458" s="176">
        <v>3787.3</v>
      </c>
      <c r="G458" s="177">
        <f>Tabla19[[#This Row],[Importe]]-Tabla19[[#This Row],[Pagado]]</f>
        <v>0</v>
      </c>
      <c r="H458" s="75" t="s">
        <v>10</v>
      </c>
    </row>
    <row r="459" spans="1:8" x14ac:dyDescent="0.25">
      <c r="A459" s="148">
        <v>44778</v>
      </c>
      <c r="B459" s="149" t="s">
        <v>25117</v>
      </c>
      <c r="C459" s="153" t="s">
        <v>29</v>
      </c>
      <c r="D459" s="178">
        <v>5942.1</v>
      </c>
      <c r="E459" s="155">
        <v>44778</v>
      </c>
      <c r="F459" s="178">
        <v>5942.1</v>
      </c>
      <c r="G459" s="179">
        <f>Tabla19[[#This Row],[Importe]]-Tabla19[[#This Row],[Pagado]]</f>
        <v>0</v>
      </c>
      <c r="H459" s="153" t="s">
        <v>10</v>
      </c>
    </row>
    <row r="460" spans="1:8" x14ac:dyDescent="0.25">
      <c r="A460" s="73">
        <v>44778</v>
      </c>
      <c r="B460" s="74" t="s">
        <v>25118</v>
      </c>
      <c r="C460" s="75" t="s">
        <v>3747</v>
      </c>
      <c r="D460" s="176">
        <v>27444</v>
      </c>
      <c r="E460" s="151">
        <v>44778</v>
      </c>
      <c r="F460" s="176">
        <v>27444</v>
      </c>
      <c r="G460" s="177">
        <f>Tabla19[[#This Row],[Importe]]-Tabla19[[#This Row],[Pagado]]</f>
        <v>0</v>
      </c>
      <c r="H460" s="75" t="s">
        <v>10</v>
      </c>
    </row>
    <row r="461" spans="1:8" x14ac:dyDescent="0.25">
      <c r="A461" s="148">
        <v>44778</v>
      </c>
      <c r="B461" s="149" t="s">
        <v>25119</v>
      </c>
      <c r="C461" s="153" t="s">
        <v>10157</v>
      </c>
      <c r="D461" s="178">
        <v>34764.199999999997</v>
      </c>
      <c r="E461" s="155">
        <v>44799</v>
      </c>
      <c r="F461" s="178">
        <v>34764.199999999997</v>
      </c>
      <c r="G461" s="179">
        <f>Tabla19[[#This Row],[Importe]]-Tabla19[[#This Row],[Pagado]]</f>
        <v>0</v>
      </c>
      <c r="H461" s="153" t="s">
        <v>10</v>
      </c>
    </row>
    <row r="462" spans="1:8" x14ac:dyDescent="0.25">
      <c r="A462" s="73">
        <v>44778</v>
      </c>
      <c r="B462" s="74" t="s">
        <v>25120</v>
      </c>
      <c r="C462" s="75" t="s">
        <v>218</v>
      </c>
      <c r="D462" s="176">
        <v>15015</v>
      </c>
      <c r="E462" s="151">
        <v>44782</v>
      </c>
      <c r="F462" s="176">
        <v>15015</v>
      </c>
      <c r="G462" s="177">
        <f>Tabla19[[#This Row],[Importe]]-Tabla19[[#This Row],[Pagado]]</f>
        <v>0</v>
      </c>
      <c r="H462" s="75" t="s">
        <v>10</v>
      </c>
    </row>
    <row r="463" spans="1:8" x14ac:dyDescent="0.25">
      <c r="A463" s="148">
        <v>44778</v>
      </c>
      <c r="B463" s="149" t="s">
        <v>25121</v>
      </c>
      <c r="C463" s="153" t="s">
        <v>31</v>
      </c>
      <c r="D463" s="178">
        <v>730.8</v>
      </c>
      <c r="E463" s="155">
        <v>44778</v>
      </c>
      <c r="F463" s="178">
        <v>730.8</v>
      </c>
      <c r="G463" s="179">
        <f>Tabla19[[#This Row],[Importe]]-Tabla19[[#This Row],[Pagado]]</f>
        <v>0</v>
      </c>
      <c r="H463" s="153" t="s">
        <v>10</v>
      </c>
    </row>
    <row r="464" spans="1:8" x14ac:dyDescent="0.25">
      <c r="A464" s="73">
        <v>44778</v>
      </c>
      <c r="B464" s="74" t="s">
        <v>25122</v>
      </c>
      <c r="C464" s="75" t="s">
        <v>541</v>
      </c>
      <c r="D464" s="176">
        <v>13814.6</v>
      </c>
      <c r="E464" s="151">
        <v>44779</v>
      </c>
      <c r="F464" s="176">
        <v>13814.6</v>
      </c>
      <c r="G464" s="177">
        <f>Tabla19[[#This Row],[Importe]]-Tabla19[[#This Row],[Pagado]]</f>
        <v>0</v>
      </c>
      <c r="H464" s="75" t="s">
        <v>10</v>
      </c>
    </row>
    <row r="465" spans="1:8" x14ac:dyDescent="0.25">
      <c r="A465" s="148">
        <v>44778</v>
      </c>
      <c r="B465" s="149" t="s">
        <v>25123</v>
      </c>
      <c r="C465" s="153" t="s">
        <v>1003</v>
      </c>
      <c r="D465" s="178">
        <v>4565.1000000000004</v>
      </c>
      <c r="E465" s="155">
        <v>44779</v>
      </c>
      <c r="F465" s="178">
        <v>4565.1000000000004</v>
      </c>
      <c r="G465" s="179">
        <f>Tabla19[[#This Row],[Importe]]-Tabla19[[#This Row],[Pagado]]</f>
        <v>0</v>
      </c>
      <c r="H465" s="153" t="s">
        <v>10</v>
      </c>
    </row>
    <row r="466" spans="1:8" x14ac:dyDescent="0.25">
      <c r="A466" s="73">
        <v>44778</v>
      </c>
      <c r="B466" s="74" t="s">
        <v>25124</v>
      </c>
      <c r="C466" s="75" t="s">
        <v>392</v>
      </c>
      <c r="D466" s="176">
        <v>21042.6</v>
      </c>
      <c r="E466" s="151">
        <v>44785</v>
      </c>
      <c r="F466" s="176">
        <v>21042.6</v>
      </c>
      <c r="G466" s="177">
        <f>Tabla19[[#This Row],[Importe]]-Tabla19[[#This Row],[Pagado]]</f>
        <v>0</v>
      </c>
      <c r="H466" s="75" t="s">
        <v>10</v>
      </c>
    </row>
    <row r="467" spans="1:8" x14ac:dyDescent="0.25">
      <c r="A467" s="148">
        <v>44778</v>
      </c>
      <c r="B467" s="149" t="s">
        <v>25125</v>
      </c>
      <c r="C467" s="153" t="s">
        <v>51</v>
      </c>
      <c r="D467" s="178">
        <v>3776</v>
      </c>
      <c r="E467" s="155">
        <v>44778</v>
      </c>
      <c r="F467" s="178">
        <v>3776</v>
      </c>
      <c r="G467" s="179">
        <f>Tabla19[[#This Row],[Importe]]-Tabla19[[#This Row],[Pagado]]</f>
        <v>0</v>
      </c>
      <c r="H467" s="153" t="s">
        <v>10</v>
      </c>
    </row>
    <row r="468" spans="1:8" x14ac:dyDescent="0.25">
      <c r="A468" s="73">
        <v>44778</v>
      </c>
      <c r="B468" s="74" t="s">
        <v>25126</v>
      </c>
      <c r="C468" s="75" t="s">
        <v>233</v>
      </c>
      <c r="D468" s="176">
        <v>5689.8</v>
      </c>
      <c r="E468" s="151">
        <v>44778</v>
      </c>
      <c r="F468" s="176">
        <v>5689.8</v>
      </c>
      <c r="G468" s="177">
        <f>Tabla19[[#This Row],[Importe]]-Tabla19[[#This Row],[Pagado]]</f>
        <v>0</v>
      </c>
      <c r="H468" s="75" t="s">
        <v>10</v>
      </c>
    </row>
    <row r="469" spans="1:8" x14ac:dyDescent="0.25">
      <c r="A469" s="148">
        <v>44778</v>
      </c>
      <c r="B469" s="149" t="s">
        <v>25127</v>
      </c>
      <c r="C469" s="153" t="s">
        <v>647</v>
      </c>
      <c r="D469" s="178">
        <v>673.2</v>
      </c>
      <c r="E469" s="155">
        <v>44778</v>
      </c>
      <c r="F469" s="178">
        <v>673.2</v>
      </c>
      <c r="G469" s="179">
        <f>Tabla19[[#This Row],[Importe]]-Tabla19[[#This Row],[Pagado]]</f>
        <v>0</v>
      </c>
      <c r="H469" s="153" t="s">
        <v>10</v>
      </c>
    </row>
    <row r="470" spans="1:8" x14ac:dyDescent="0.25">
      <c r="A470" s="73">
        <v>44778</v>
      </c>
      <c r="B470" s="74" t="s">
        <v>25128</v>
      </c>
      <c r="C470" s="75" t="s">
        <v>25129</v>
      </c>
      <c r="D470" s="176">
        <v>0</v>
      </c>
      <c r="E470" s="157" t="s">
        <v>189</v>
      </c>
      <c r="F470" s="176">
        <v>0</v>
      </c>
      <c r="G470" s="177">
        <f>Tabla19[[#This Row],[Importe]]-Tabla19[[#This Row],[Pagado]]</f>
        <v>0</v>
      </c>
      <c r="H470" s="161" t="s">
        <v>25130</v>
      </c>
    </row>
    <row r="471" spans="1:8" x14ac:dyDescent="0.25">
      <c r="A471" s="148">
        <v>44778</v>
      </c>
      <c r="B471" s="149" t="s">
        <v>25131</v>
      </c>
      <c r="C471" s="153" t="s">
        <v>849</v>
      </c>
      <c r="D471" s="178">
        <v>5940</v>
      </c>
      <c r="E471" s="155">
        <v>44778</v>
      </c>
      <c r="F471" s="178">
        <v>5940</v>
      </c>
      <c r="G471" s="179">
        <f>Tabla19[[#This Row],[Importe]]-Tabla19[[#This Row],[Pagado]]</f>
        <v>0</v>
      </c>
      <c r="H471" s="153" t="s">
        <v>10</v>
      </c>
    </row>
    <row r="472" spans="1:8" x14ac:dyDescent="0.25">
      <c r="A472" s="73">
        <v>44778</v>
      </c>
      <c r="B472" s="74" t="s">
        <v>25132</v>
      </c>
      <c r="C472" s="75" t="s">
        <v>173</v>
      </c>
      <c r="D472" s="176">
        <v>33684</v>
      </c>
      <c r="E472" s="151">
        <v>44779</v>
      </c>
      <c r="F472" s="176">
        <v>33684</v>
      </c>
      <c r="G472" s="177">
        <f>Tabla19[[#This Row],[Importe]]-Tabla19[[#This Row],[Pagado]]</f>
        <v>0</v>
      </c>
      <c r="H472" s="75" t="s">
        <v>10</v>
      </c>
    </row>
    <row r="473" spans="1:8" x14ac:dyDescent="0.25">
      <c r="A473" s="148">
        <v>44778</v>
      </c>
      <c r="B473" s="149" t="s">
        <v>25133</v>
      </c>
      <c r="C473" s="153" t="s">
        <v>555</v>
      </c>
      <c r="D473" s="178">
        <v>17203.2</v>
      </c>
      <c r="E473" s="155">
        <v>44779</v>
      </c>
      <c r="F473" s="178">
        <v>17203.2</v>
      </c>
      <c r="G473" s="179">
        <f>Tabla19[[#This Row],[Importe]]-Tabla19[[#This Row],[Pagado]]</f>
        <v>0</v>
      </c>
      <c r="H473" s="153" t="s">
        <v>10</v>
      </c>
    </row>
    <row r="474" spans="1:8" x14ac:dyDescent="0.25">
      <c r="A474" s="73">
        <v>44778</v>
      </c>
      <c r="B474" s="74" t="s">
        <v>25134</v>
      </c>
      <c r="C474" s="75" t="s">
        <v>654</v>
      </c>
      <c r="D474" s="176">
        <v>15118.4</v>
      </c>
      <c r="E474" s="151">
        <v>44798</v>
      </c>
      <c r="F474" s="176">
        <v>15118.4</v>
      </c>
      <c r="G474" s="177">
        <f>Tabla19[[#This Row],[Importe]]-Tabla19[[#This Row],[Pagado]]</f>
        <v>0</v>
      </c>
      <c r="H474" s="75" t="s">
        <v>10</v>
      </c>
    </row>
    <row r="475" spans="1:8" x14ac:dyDescent="0.25">
      <c r="A475" s="148">
        <v>44778</v>
      </c>
      <c r="B475" s="149" t="s">
        <v>25135</v>
      </c>
      <c r="C475" s="153" t="s">
        <v>9827</v>
      </c>
      <c r="D475" s="178">
        <v>6131.3</v>
      </c>
      <c r="E475" s="155">
        <v>44778</v>
      </c>
      <c r="F475" s="178">
        <v>6131.3</v>
      </c>
      <c r="G475" s="179">
        <f>Tabla19[[#This Row],[Importe]]-Tabla19[[#This Row],[Pagado]]</f>
        <v>0</v>
      </c>
      <c r="H475" s="153" t="s">
        <v>10</v>
      </c>
    </row>
    <row r="476" spans="1:8" x14ac:dyDescent="0.25">
      <c r="A476" s="73">
        <v>44778</v>
      </c>
      <c r="B476" s="74" t="s">
        <v>25136</v>
      </c>
      <c r="C476" s="75" t="s">
        <v>31</v>
      </c>
      <c r="D476" s="176">
        <v>2314.1999999999998</v>
      </c>
      <c r="E476" s="151">
        <v>44778</v>
      </c>
      <c r="F476" s="176">
        <v>2314.1999999999998</v>
      </c>
      <c r="G476" s="177">
        <f>Tabla19[[#This Row],[Importe]]-Tabla19[[#This Row],[Pagado]]</f>
        <v>0</v>
      </c>
      <c r="H476" s="75" t="s">
        <v>10</v>
      </c>
    </row>
    <row r="477" spans="1:8" x14ac:dyDescent="0.25">
      <c r="A477" s="148">
        <v>44778</v>
      </c>
      <c r="B477" s="149" t="s">
        <v>25137</v>
      </c>
      <c r="C477" s="153" t="s">
        <v>67</v>
      </c>
      <c r="D477" s="178">
        <v>13125.6</v>
      </c>
      <c r="E477" s="155">
        <v>44778</v>
      </c>
      <c r="F477" s="178">
        <v>13125.6</v>
      </c>
      <c r="G477" s="179">
        <f>Tabla19[[#This Row],[Importe]]-Tabla19[[#This Row],[Pagado]]</f>
        <v>0</v>
      </c>
      <c r="H477" s="153" t="s">
        <v>10</v>
      </c>
    </row>
    <row r="478" spans="1:8" x14ac:dyDescent="0.25">
      <c r="A478" s="73">
        <v>44778</v>
      </c>
      <c r="B478" s="74" t="s">
        <v>25138</v>
      </c>
      <c r="C478" s="75" t="s">
        <v>419</v>
      </c>
      <c r="D478" s="176">
        <v>4944.3999999999996</v>
      </c>
      <c r="E478" s="151">
        <v>44778</v>
      </c>
      <c r="F478" s="176">
        <v>4944.3999999999996</v>
      </c>
      <c r="G478" s="177">
        <f>Tabla19[[#This Row],[Importe]]-Tabla19[[#This Row],[Pagado]]</f>
        <v>0</v>
      </c>
      <c r="H478" s="75" t="s">
        <v>10</v>
      </c>
    </row>
    <row r="479" spans="1:8" x14ac:dyDescent="0.25">
      <c r="A479" s="148">
        <v>44778</v>
      </c>
      <c r="B479" s="149" t="s">
        <v>25139</v>
      </c>
      <c r="C479" s="153" t="s">
        <v>396</v>
      </c>
      <c r="D479" s="178">
        <v>4095.7</v>
      </c>
      <c r="E479" s="155">
        <v>44784</v>
      </c>
      <c r="F479" s="178">
        <v>4095.7</v>
      </c>
      <c r="G479" s="179">
        <f>Tabla19[[#This Row],[Importe]]-Tabla19[[#This Row],[Pagado]]</f>
        <v>0</v>
      </c>
      <c r="H479" s="153" t="s">
        <v>10</v>
      </c>
    </row>
    <row r="480" spans="1:8" x14ac:dyDescent="0.25">
      <c r="A480" s="73">
        <v>44778</v>
      </c>
      <c r="B480" s="74" t="s">
        <v>25140</v>
      </c>
      <c r="C480" s="75" t="s">
        <v>11383</v>
      </c>
      <c r="D480" s="176">
        <v>24025.599999999999</v>
      </c>
      <c r="E480" s="151">
        <v>44778</v>
      </c>
      <c r="F480" s="176">
        <v>24025.599999999999</v>
      </c>
      <c r="G480" s="177">
        <f>Tabla19[[#This Row],[Importe]]-Tabla19[[#This Row],[Pagado]]</f>
        <v>0</v>
      </c>
      <c r="H480" s="75" t="s">
        <v>10</v>
      </c>
    </row>
    <row r="481" spans="1:8" x14ac:dyDescent="0.25">
      <c r="A481" s="148">
        <v>44778</v>
      </c>
      <c r="B481" s="149" t="s">
        <v>25141</v>
      </c>
      <c r="C481" s="153" t="s">
        <v>11383</v>
      </c>
      <c r="D481" s="178">
        <v>1530.8</v>
      </c>
      <c r="E481" s="155">
        <v>44778</v>
      </c>
      <c r="F481" s="178">
        <v>1530.8</v>
      </c>
      <c r="G481" s="179">
        <f>Tabla19[[#This Row],[Importe]]-Tabla19[[#This Row],[Pagado]]</f>
        <v>0</v>
      </c>
      <c r="H481" s="153" t="s">
        <v>10</v>
      </c>
    </row>
    <row r="482" spans="1:8" x14ac:dyDescent="0.25">
      <c r="A482" s="73">
        <v>44778</v>
      </c>
      <c r="B482" s="74" t="s">
        <v>25142</v>
      </c>
      <c r="C482" s="75" t="s">
        <v>67</v>
      </c>
      <c r="D482" s="176">
        <v>1044</v>
      </c>
      <c r="E482" s="151">
        <v>44778</v>
      </c>
      <c r="F482" s="176">
        <v>1044</v>
      </c>
      <c r="G482" s="177">
        <f>Tabla19[[#This Row],[Importe]]-Tabla19[[#This Row],[Pagado]]</f>
        <v>0</v>
      </c>
      <c r="H482" s="75" t="s">
        <v>10</v>
      </c>
    </row>
    <row r="483" spans="1:8" x14ac:dyDescent="0.25">
      <c r="A483" s="148">
        <v>44778</v>
      </c>
      <c r="B483" s="149" t="s">
        <v>25143</v>
      </c>
      <c r="C483" s="153" t="s">
        <v>31</v>
      </c>
      <c r="D483" s="178">
        <v>870</v>
      </c>
      <c r="E483" s="155">
        <v>44778</v>
      </c>
      <c r="F483" s="178">
        <v>870</v>
      </c>
      <c r="G483" s="179">
        <f>Tabla19[[#This Row],[Importe]]-Tabla19[[#This Row],[Pagado]]</f>
        <v>0</v>
      </c>
      <c r="H483" s="153" t="s">
        <v>10</v>
      </c>
    </row>
    <row r="484" spans="1:8" x14ac:dyDescent="0.25">
      <c r="A484" s="73">
        <v>44778</v>
      </c>
      <c r="B484" s="74" t="s">
        <v>25144</v>
      </c>
      <c r="C484" s="75" t="s">
        <v>296</v>
      </c>
      <c r="D484" s="176">
        <v>2076.8000000000002</v>
      </c>
      <c r="E484" s="151">
        <v>44778</v>
      </c>
      <c r="F484" s="176">
        <v>2076.8000000000002</v>
      </c>
      <c r="G484" s="177">
        <f>Tabla19[[#This Row],[Importe]]-Tabla19[[#This Row],[Pagado]]</f>
        <v>0</v>
      </c>
      <c r="H484" s="75" t="s">
        <v>10</v>
      </c>
    </row>
    <row r="485" spans="1:8" x14ac:dyDescent="0.25">
      <c r="A485" s="148">
        <v>44778</v>
      </c>
      <c r="B485" s="149" t="s">
        <v>25145</v>
      </c>
      <c r="C485" s="153" t="s">
        <v>1174</v>
      </c>
      <c r="D485" s="178">
        <v>25992</v>
      </c>
      <c r="E485" s="155">
        <v>44778</v>
      </c>
      <c r="F485" s="178">
        <v>25992</v>
      </c>
      <c r="G485" s="179">
        <f>Tabla19[[#This Row],[Importe]]-Tabla19[[#This Row],[Pagado]]</f>
        <v>0</v>
      </c>
      <c r="H485" s="153" t="s">
        <v>10</v>
      </c>
    </row>
    <row r="486" spans="1:8" x14ac:dyDescent="0.25">
      <c r="A486" s="73">
        <v>44778</v>
      </c>
      <c r="B486" s="74" t="s">
        <v>25146</v>
      </c>
      <c r="C486" s="75" t="s">
        <v>244</v>
      </c>
      <c r="D486" s="176">
        <v>1661.7</v>
      </c>
      <c r="E486" s="151">
        <v>44778</v>
      </c>
      <c r="F486" s="176">
        <v>1661.7</v>
      </c>
      <c r="G486" s="177">
        <f>Tabla19[[#This Row],[Importe]]-Tabla19[[#This Row],[Pagado]]</f>
        <v>0</v>
      </c>
      <c r="H486" s="75" t="s">
        <v>10</v>
      </c>
    </row>
    <row r="487" spans="1:8" x14ac:dyDescent="0.25">
      <c r="A487" s="148">
        <v>44778</v>
      </c>
      <c r="B487" s="149" t="s">
        <v>25147</v>
      </c>
      <c r="C487" s="153" t="s">
        <v>175</v>
      </c>
      <c r="D487" s="178">
        <v>19959.400000000001</v>
      </c>
      <c r="E487" s="155">
        <v>44778</v>
      </c>
      <c r="F487" s="178">
        <v>19959.400000000001</v>
      </c>
      <c r="G487" s="179">
        <f>Tabla19[[#This Row],[Importe]]-Tabla19[[#This Row],[Pagado]]</f>
        <v>0</v>
      </c>
      <c r="H487" s="153" t="s">
        <v>10</v>
      </c>
    </row>
    <row r="488" spans="1:8" x14ac:dyDescent="0.25">
      <c r="A488" s="73">
        <v>44778</v>
      </c>
      <c r="B488" s="74" t="s">
        <v>25148</v>
      </c>
      <c r="C488" s="75" t="s">
        <v>56</v>
      </c>
      <c r="D488" s="176">
        <v>8361.6</v>
      </c>
      <c r="E488" s="151">
        <v>44778</v>
      </c>
      <c r="F488" s="176">
        <v>8361.6</v>
      </c>
      <c r="G488" s="177">
        <f>Tabla19[[#This Row],[Importe]]-Tabla19[[#This Row],[Pagado]]</f>
        <v>0</v>
      </c>
      <c r="H488" s="75" t="s">
        <v>10</v>
      </c>
    </row>
    <row r="489" spans="1:8" x14ac:dyDescent="0.25">
      <c r="A489" s="148">
        <v>44778</v>
      </c>
      <c r="B489" s="149" t="s">
        <v>25149</v>
      </c>
      <c r="C489" s="153" t="s">
        <v>31</v>
      </c>
      <c r="D489" s="178">
        <v>383.5</v>
      </c>
      <c r="E489" s="155">
        <v>44778</v>
      </c>
      <c r="F489" s="178">
        <v>383.5</v>
      </c>
      <c r="G489" s="179">
        <f>Tabla19[[#This Row],[Importe]]-Tabla19[[#This Row],[Pagado]]</f>
        <v>0</v>
      </c>
      <c r="H489" s="153" t="s">
        <v>10</v>
      </c>
    </row>
    <row r="490" spans="1:8" x14ac:dyDescent="0.25">
      <c r="A490" s="73">
        <v>44778</v>
      </c>
      <c r="B490" s="74" t="s">
        <v>25150</v>
      </c>
      <c r="C490" s="75" t="s">
        <v>284</v>
      </c>
      <c r="D490" s="176">
        <v>13293.6</v>
      </c>
      <c r="E490" s="151">
        <v>44779</v>
      </c>
      <c r="F490" s="176">
        <v>13293.6</v>
      </c>
      <c r="G490" s="177">
        <f>Tabla19[[#This Row],[Importe]]-Tabla19[[#This Row],[Pagado]]</f>
        <v>0</v>
      </c>
      <c r="H490" s="75" t="s">
        <v>10</v>
      </c>
    </row>
    <row r="491" spans="1:8" x14ac:dyDescent="0.25">
      <c r="A491" s="148">
        <v>44778</v>
      </c>
      <c r="B491" s="149" t="s">
        <v>25151</v>
      </c>
      <c r="C491" s="153" t="s">
        <v>214</v>
      </c>
      <c r="D491" s="178">
        <v>1618.2</v>
      </c>
      <c r="E491" s="155">
        <v>44778</v>
      </c>
      <c r="F491" s="178">
        <v>1618.2</v>
      </c>
      <c r="G491" s="179">
        <f>Tabla19[[#This Row],[Importe]]-Tabla19[[#This Row],[Pagado]]</f>
        <v>0</v>
      </c>
      <c r="H491" s="153" t="s">
        <v>10</v>
      </c>
    </row>
    <row r="492" spans="1:8" x14ac:dyDescent="0.25">
      <c r="A492" s="73">
        <v>44778</v>
      </c>
      <c r="B492" s="74" t="s">
        <v>25152</v>
      </c>
      <c r="C492" s="75" t="s">
        <v>280</v>
      </c>
      <c r="D492" s="176">
        <v>1513.8</v>
      </c>
      <c r="E492" s="151">
        <v>44779</v>
      </c>
      <c r="F492" s="176">
        <v>1513.8</v>
      </c>
      <c r="G492" s="177">
        <f>Tabla19[[#This Row],[Importe]]-Tabla19[[#This Row],[Pagado]]</f>
        <v>0</v>
      </c>
      <c r="H492" s="75" t="s">
        <v>10</v>
      </c>
    </row>
    <row r="493" spans="1:8" x14ac:dyDescent="0.25">
      <c r="A493" s="148">
        <v>44778</v>
      </c>
      <c r="B493" s="149" t="s">
        <v>25153</v>
      </c>
      <c r="C493" s="153" t="s">
        <v>282</v>
      </c>
      <c r="D493" s="178">
        <v>3706.2</v>
      </c>
      <c r="E493" s="155">
        <v>44779</v>
      </c>
      <c r="F493" s="178">
        <v>3706.2</v>
      </c>
      <c r="G493" s="179">
        <f>Tabla19[[#This Row],[Importe]]-Tabla19[[#This Row],[Pagado]]</f>
        <v>0</v>
      </c>
      <c r="H493" s="153" t="s">
        <v>10</v>
      </c>
    </row>
    <row r="494" spans="1:8" x14ac:dyDescent="0.25">
      <c r="A494" s="73">
        <v>44778</v>
      </c>
      <c r="B494" s="74" t="s">
        <v>25154</v>
      </c>
      <c r="C494" s="75" t="s">
        <v>5345</v>
      </c>
      <c r="D494" s="176">
        <v>3732.3</v>
      </c>
      <c r="E494" s="151">
        <v>44779</v>
      </c>
      <c r="F494" s="176">
        <v>3732.3</v>
      </c>
      <c r="G494" s="177">
        <f>Tabla19[[#This Row],[Importe]]-Tabla19[[#This Row],[Pagado]]</f>
        <v>0</v>
      </c>
      <c r="H494" s="75" t="s">
        <v>10</v>
      </c>
    </row>
    <row r="495" spans="1:8" x14ac:dyDescent="0.25">
      <c r="A495" s="148">
        <v>44778</v>
      </c>
      <c r="B495" s="149" t="s">
        <v>25155</v>
      </c>
      <c r="C495" s="153" t="s">
        <v>10819</v>
      </c>
      <c r="D495" s="178">
        <v>895.9</v>
      </c>
      <c r="E495" s="155">
        <v>44779</v>
      </c>
      <c r="F495" s="178">
        <v>895.9</v>
      </c>
      <c r="G495" s="179">
        <f>Tabla19[[#This Row],[Importe]]-Tabla19[[#This Row],[Pagado]]</f>
        <v>0</v>
      </c>
      <c r="H495" s="153" t="s">
        <v>10</v>
      </c>
    </row>
    <row r="496" spans="1:8" x14ac:dyDescent="0.25">
      <c r="A496" s="73">
        <v>44778</v>
      </c>
      <c r="B496" s="74" t="s">
        <v>25156</v>
      </c>
      <c r="C496" s="75" t="s">
        <v>179</v>
      </c>
      <c r="D496" s="176">
        <v>1618.2</v>
      </c>
      <c r="E496" s="151">
        <v>44779</v>
      </c>
      <c r="F496" s="176">
        <v>1618.2</v>
      </c>
      <c r="G496" s="177">
        <f>Tabla19[[#This Row],[Importe]]-Tabla19[[#This Row],[Pagado]]</f>
        <v>0</v>
      </c>
      <c r="H496" s="75" t="s">
        <v>10</v>
      </c>
    </row>
    <row r="497" spans="1:8" x14ac:dyDescent="0.25">
      <c r="A497" s="148">
        <v>44778</v>
      </c>
      <c r="B497" s="149" t="s">
        <v>25157</v>
      </c>
      <c r="C497" s="153" t="s">
        <v>1008</v>
      </c>
      <c r="D497" s="178">
        <v>483.6</v>
      </c>
      <c r="E497" s="155">
        <v>44778</v>
      </c>
      <c r="F497" s="178">
        <v>483.6</v>
      </c>
      <c r="G497" s="179">
        <f>Tabla19[[#This Row],[Importe]]-Tabla19[[#This Row],[Pagado]]</f>
        <v>0</v>
      </c>
      <c r="H497" s="153" t="s">
        <v>10</v>
      </c>
    </row>
    <row r="498" spans="1:8" x14ac:dyDescent="0.25">
      <c r="A498" s="73">
        <v>44778</v>
      </c>
      <c r="B498" s="74" t="s">
        <v>25158</v>
      </c>
      <c r="C498" s="75" t="s">
        <v>296</v>
      </c>
      <c r="D498" s="176">
        <v>948</v>
      </c>
      <c r="E498" s="151">
        <v>44778</v>
      </c>
      <c r="F498" s="176">
        <v>948</v>
      </c>
      <c r="G498" s="177">
        <f>Tabla19[[#This Row],[Importe]]-Tabla19[[#This Row],[Pagado]]</f>
        <v>0</v>
      </c>
      <c r="H498" s="75" t="s">
        <v>10</v>
      </c>
    </row>
    <row r="499" spans="1:8" x14ac:dyDescent="0.25">
      <c r="A499" s="148">
        <v>44778</v>
      </c>
      <c r="B499" s="149" t="s">
        <v>25159</v>
      </c>
      <c r="C499" s="153" t="s">
        <v>69</v>
      </c>
      <c r="D499" s="178">
        <v>3687.2</v>
      </c>
      <c r="E499" s="155">
        <v>44778</v>
      </c>
      <c r="F499" s="178">
        <v>3687.2</v>
      </c>
      <c r="G499" s="179">
        <f>Tabla19[[#This Row],[Importe]]-Tabla19[[#This Row],[Pagado]]</f>
        <v>0</v>
      </c>
      <c r="H499" s="153" t="s">
        <v>10</v>
      </c>
    </row>
    <row r="500" spans="1:8" x14ac:dyDescent="0.25">
      <c r="A500" s="73">
        <v>44778</v>
      </c>
      <c r="B500" s="74" t="s">
        <v>25160</v>
      </c>
      <c r="C500" s="75" t="s">
        <v>31</v>
      </c>
      <c r="D500" s="176">
        <v>6336</v>
      </c>
      <c r="E500" s="151">
        <v>44778</v>
      </c>
      <c r="F500" s="176">
        <v>6336</v>
      </c>
      <c r="G500" s="177">
        <f>Tabla19[[#This Row],[Importe]]-Tabla19[[#This Row],[Pagado]]</f>
        <v>0</v>
      </c>
      <c r="H500" s="75" t="s">
        <v>10</v>
      </c>
    </row>
    <row r="501" spans="1:8" x14ac:dyDescent="0.25">
      <c r="A501" s="148">
        <v>44778</v>
      </c>
      <c r="B501" s="149" t="s">
        <v>25161</v>
      </c>
      <c r="C501" s="153" t="s">
        <v>10678</v>
      </c>
      <c r="D501" s="178">
        <v>6117.1</v>
      </c>
      <c r="E501" s="155">
        <v>44778</v>
      </c>
      <c r="F501" s="178">
        <v>6117.1</v>
      </c>
      <c r="G501" s="179">
        <f>Tabla19[[#This Row],[Importe]]-Tabla19[[#This Row],[Pagado]]</f>
        <v>0</v>
      </c>
      <c r="H501" s="153" t="s">
        <v>10</v>
      </c>
    </row>
    <row r="502" spans="1:8" x14ac:dyDescent="0.25">
      <c r="A502" s="73">
        <v>44778</v>
      </c>
      <c r="B502" s="74" t="s">
        <v>25162</v>
      </c>
      <c r="C502" s="75" t="s">
        <v>31</v>
      </c>
      <c r="D502" s="176">
        <v>1212</v>
      </c>
      <c r="E502" s="151">
        <v>44778</v>
      </c>
      <c r="F502" s="176">
        <v>1212</v>
      </c>
      <c r="G502" s="177">
        <f>Tabla19[[#This Row],[Importe]]-Tabla19[[#This Row],[Pagado]]</f>
        <v>0</v>
      </c>
      <c r="H502" s="75" t="s">
        <v>10</v>
      </c>
    </row>
    <row r="503" spans="1:8" x14ac:dyDescent="0.25">
      <c r="A503" s="148">
        <v>44778</v>
      </c>
      <c r="B503" s="149" t="s">
        <v>25163</v>
      </c>
      <c r="C503" s="153" t="s">
        <v>24</v>
      </c>
      <c r="D503" s="178">
        <v>1286.4000000000001</v>
      </c>
      <c r="E503" s="155">
        <v>44778</v>
      </c>
      <c r="F503" s="178">
        <v>1286.4000000000001</v>
      </c>
      <c r="G503" s="179">
        <f>Tabla19[[#This Row],[Importe]]-Tabla19[[#This Row],[Pagado]]</f>
        <v>0</v>
      </c>
      <c r="H503" s="153" t="s">
        <v>10</v>
      </c>
    </row>
    <row r="504" spans="1:8" x14ac:dyDescent="0.25">
      <c r="A504" s="73">
        <v>44778</v>
      </c>
      <c r="B504" s="74" t="s">
        <v>25164</v>
      </c>
      <c r="C504" s="75" t="s">
        <v>698</v>
      </c>
      <c r="D504" s="176">
        <v>5295.2</v>
      </c>
      <c r="E504" s="151">
        <v>44778</v>
      </c>
      <c r="F504" s="176">
        <v>5295.2</v>
      </c>
      <c r="G504" s="177">
        <f>Tabla19[[#This Row],[Importe]]-Tabla19[[#This Row],[Pagado]]</f>
        <v>0</v>
      </c>
      <c r="H504" s="75" t="s">
        <v>10</v>
      </c>
    </row>
    <row r="505" spans="1:8" x14ac:dyDescent="0.25">
      <c r="A505" s="148">
        <v>44778</v>
      </c>
      <c r="B505" s="149" t="s">
        <v>25165</v>
      </c>
      <c r="C505" s="153" t="s">
        <v>698</v>
      </c>
      <c r="D505" s="178">
        <v>262.39999999999998</v>
      </c>
      <c r="E505" s="155">
        <v>44778</v>
      </c>
      <c r="F505" s="178">
        <v>262.39999999999998</v>
      </c>
      <c r="G505" s="179">
        <f>Tabla19[[#This Row],[Importe]]-Tabla19[[#This Row],[Pagado]]</f>
        <v>0</v>
      </c>
      <c r="H505" s="153" t="s">
        <v>10</v>
      </c>
    </row>
    <row r="506" spans="1:8" x14ac:dyDescent="0.25">
      <c r="A506" s="73">
        <v>44778</v>
      </c>
      <c r="B506" s="74" t="s">
        <v>25166</v>
      </c>
      <c r="C506" s="75" t="s">
        <v>31</v>
      </c>
      <c r="D506" s="176">
        <v>3721.4</v>
      </c>
      <c r="E506" s="151">
        <v>44778</v>
      </c>
      <c r="F506" s="176">
        <v>3721.4</v>
      </c>
      <c r="G506" s="177">
        <f>Tabla19[[#This Row],[Importe]]-Tabla19[[#This Row],[Pagado]]</f>
        <v>0</v>
      </c>
      <c r="H506" s="75" t="s">
        <v>10</v>
      </c>
    </row>
    <row r="507" spans="1:8" x14ac:dyDescent="0.25">
      <c r="A507" s="148">
        <v>44778</v>
      </c>
      <c r="B507" s="149" t="s">
        <v>25167</v>
      </c>
      <c r="C507" s="153" t="s">
        <v>857</v>
      </c>
      <c r="D507" s="178">
        <v>1552.8</v>
      </c>
      <c r="E507" s="155">
        <v>44778</v>
      </c>
      <c r="F507" s="178">
        <v>1552.8</v>
      </c>
      <c r="G507" s="179">
        <f>Tabla19[[#This Row],[Importe]]-Tabla19[[#This Row],[Pagado]]</f>
        <v>0</v>
      </c>
      <c r="H507" s="153" t="s">
        <v>10</v>
      </c>
    </row>
    <row r="508" spans="1:8" x14ac:dyDescent="0.25">
      <c r="A508" s="73">
        <v>44778</v>
      </c>
      <c r="B508" s="74" t="s">
        <v>25168</v>
      </c>
      <c r="C508" s="75" t="s">
        <v>442</v>
      </c>
      <c r="D508" s="176">
        <v>21801</v>
      </c>
      <c r="E508" s="151">
        <v>44778</v>
      </c>
      <c r="F508" s="176">
        <v>21801</v>
      </c>
      <c r="G508" s="177">
        <f>Tabla19[[#This Row],[Importe]]-Tabla19[[#This Row],[Pagado]]</f>
        <v>0</v>
      </c>
      <c r="H508" s="75" t="s">
        <v>10</v>
      </c>
    </row>
    <row r="509" spans="1:8" x14ac:dyDescent="0.25">
      <c r="A509" s="148">
        <v>44778</v>
      </c>
      <c r="B509" s="149" t="s">
        <v>25169</v>
      </c>
      <c r="C509" s="153" t="s">
        <v>5694</v>
      </c>
      <c r="D509" s="178">
        <v>4959</v>
      </c>
      <c r="E509" s="155">
        <v>44778</v>
      </c>
      <c r="F509" s="178">
        <v>4959</v>
      </c>
      <c r="G509" s="179">
        <f>Tabla19[[#This Row],[Importe]]-Tabla19[[#This Row],[Pagado]]</f>
        <v>0</v>
      </c>
      <c r="H509" s="153" t="s">
        <v>10</v>
      </c>
    </row>
    <row r="510" spans="1:8" x14ac:dyDescent="0.25">
      <c r="A510" s="73">
        <v>44778</v>
      </c>
      <c r="B510" s="74" t="s">
        <v>25170</v>
      </c>
      <c r="C510" s="75" t="s">
        <v>22</v>
      </c>
      <c r="D510" s="176">
        <v>5478.4</v>
      </c>
      <c r="E510" s="151">
        <v>44780</v>
      </c>
      <c r="F510" s="176">
        <v>5478.4</v>
      </c>
      <c r="G510" s="177">
        <f>Tabla19[[#This Row],[Importe]]-Tabla19[[#This Row],[Pagado]]</f>
        <v>0</v>
      </c>
      <c r="H510" s="75" t="s">
        <v>10</v>
      </c>
    </row>
    <row r="511" spans="1:8" x14ac:dyDescent="0.25">
      <c r="A511" s="148">
        <v>44778</v>
      </c>
      <c r="B511" s="149" t="s">
        <v>25171</v>
      </c>
      <c r="C511" s="153" t="s">
        <v>296</v>
      </c>
      <c r="D511" s="178">
        <v>4470.3999999999996</v>
      </c>
      <c r="E511" s="155">
        <v>44778</v>
      </c>
      <c r="F511" s="178">
        <v>4470.3999999999996</v>
      </c>
      <c r="G511" s="179">
        <f>Tabla19[[#This Row],[Importe]]-Tabla19[[#This Row],[Pagado]]</f>
        <v>0</v>
      </c>
      <c r="H511" s="153" t="s">
        <v>10</v>
      </c>
    </row>
    <row r="512" spans="1:8" x14ac:dyDescent="0.25">
      <c r="A512" s="73">
        <v>44778</v>
      </c>
      <c r="B512" s="74" t="s">
        <v>25172</v>
      </c>
      <c r="C512" s="75" t="s">
        <v>31</v>
      </c>
      <c r="D512" s="176">
        <v>3393.4</v>
      </c>
      <c r="E512" s="151">
        <v>44778</v>
      </c>
      <c r="F512" s="176">
        <v>3393.4</v>
      </c>
      <c r="G512" s="177">
        <f>Tabla19[[#This Row],[Importe]]-Tabla19[[#This Row],[Pagado]]</f>
        <v>0</v>
      </c>
      <c r="H512" s="75" t="s">
        <v>10</v>
      </c>
    </row>
    <row r="513" spans="1:8" x14ac:dyDescent="0.25">
      <c r="A513" s="148">
        <v>44779</v>
      </c>
      <c r="B513" s="149" t="s">
        <v>25173</v>
      </c>
      <c r="C513" s="153" t="s">
        <v>887</v>
      </c>
      <c r="D513" s="178">
        <v>27310.799999999999</v>
      </c>
      <c r="E513" s="155">
        <v>44779</v>
      </c>
      <c r="F513" s="178">
        <v>27310.799999999999</v>
      </c>
      <c r="G513" s="179">
        <f>Tabla19[[#This Row],[Importe]]-Tabla19[[#This Row],[Pagado]]</f>
        <v>0</v>
      </c>
      <c r="H513" s="153" t="s">
        <v>10</v>
      </c>
    </row>
    <row r="514" spans="1:8" x14ac:dyDescent="0.25">
      <c r="A514" s="73">
        <v>44779</v>
      </c>
      <c r="B514" s="74" t="s">
        <v>25174</v>
      </c>
      <c r="C514" s="75" t="s">
        <v>887</v>
      </c>
      <c r="D514" s="176">
        <v>241.9</v>
      </c>
      <c r="E514" s="151">
        <v>44779</v>
      </c>
      <c r="F514" s="176">
        <v>241.9</v>
      </c>
      <c r="G514" s="177">
        <f>Tabla19[[#This Row],[Importe]]-Tabla19[[#This Row],[Pagado]]</f>
        <v>0</v>
      </c>
      <c r="H514" s="75" t="s">
        <v>10</v>
      </c>
    </row>
    <row r="515" spans="1:8" x14ac:dyDescent="0.25">
      <c r="A515" s="148">
        <v>44779</v>
      </c>
      <c r="B515" s="149" t="s">
        <v>25175</v>
      </c>
      <c r="C515" s="153" t="s">
        <v>75</v>
      </c>
      <c r="D515" s="178">
        <v>19870.8</v>
      </c>
      <c r="E515" s="155">
        <v>44779</v>
      </c>
      <c r="F515" s="178">
        <v>19870.8</v>
      </c>
      <c r="G515" s="179">
        <f>Tabla19[[#This Row],[Importe]]-Tabla19[[#This Row],[Pagado]]</f>
        <v>0</v>
      </c>
      <c r="H515" s="153" t="s">
        <v>10</v>
      </c>
    </row>
    <row r="516" spans="1:8" ht="31.5" x14ac:dyDescent="0.25">
      <c r="A516" s="73">
        <v>44779</v>
      </c>
      <c r="B516" s="74" t="s">
        <v>25176</v>
      </c>
      <c r="C516" s="75" t="s">
        <v>475</v>
      </c>
      <c r="D516" s="176">
        <v>92478.399999999994</v>
      </c>
      <c r="E516" s="147" t="s">
        <v>25177</v>
      </c>
      <c r="F516" s="176">
        <f>40000+52478.4</f>
        <v>92478.399999999994</v>
      </c>
      <c r="G516" s="177">
        <f>Tabla19[[#This Row],[Importe]]-Tabla19[[#This Row],[Pagado]]</f>
        <v>0</v>
      </c>
      <c r="H516" s="75" t="s">
        <v>10</v>
      </c>
    </row>
    <row r="517" spans="1:8" x14ac:dyDescent="0.25">
      <c r="A517" s="148">
        <v>44779</v>
      </c>
      <c r="B517" s="149" t="s">
        <v>25178</v>
      </c>
      <c r="C517" s="153" t="s">
        <v>463</v>
      </c>
      <c r="D517" s="178">
        <v>550</v>
      </c>
      <c r="E517" s="155">
        <v>44782</v>
      </c>
      <c r="F517" s="178">
        <v>550</v>
      </c>
      <c r="G517" s="179">
        <f>Tabla19[[#This Row],[Importe]]-Tabla19[[#This Row],[Pagado]]</f>
        <v>0</v>
      </c>
      <c r="H517" s="153" t="s">
        <v>10</v>
      </c>
    </row>
    <row r="518" spans="1:8" x14ac:dyDescent="0.25">
      <c r="A518" s="73">
        <v>44779</v>
      </c>
      <c r="B518" s="74" t="s">
        <v>25179</v>
      </c>
      <c r="C518" s="75" t="s">
        <v>459</v>
      </c>
      <c r="D518" s="176">
        <v>213</v>
      </c>
      <c r="E518" s="151">
        <v>44779</v>
      </c>
      <c r="F518" s="176">
        <v>213</v>
      </c>
      <c r="G518" s="177">
        <f>Tabla19[[#This Row],[Importe]]-Tabla19[[#This Row],[Pagado]]</f>
        <v>0</v>
      </c>
      <c r="H518" s="75" t="s">
        <v>10</v>
      </c>
    </row>
    <row r="519" spans="1:8" x14ac:dyDescent="0.25">
      <c r="A519" s="148">
        <v>44779</v>
      </c>
      <c r="B519" s="149" t="s">
        <v>25180</v>
      </c>
      <c r="C519" s="153" t="s">
        <v>457</v>
      </c>
      <c r="D519" s="178">
        <v>198</v>
      </c>
      <c r="E519" s="155">
        <v>44779</v>
      </c>
      <c r="F519" s="178">
        <v>198</v>
      </c>
      <c r="G519" s="179">
        <f>Tabla19[[#This Row],[Importe]]-Tabla19[[#This Row],[Pagado]]</f>
        <v>0</v>
      </c>
      <c r="H519" s="153" t="s">
        <v>10</v>
      </c>
    </row>
    <row r="520" spans="1:8" x14ac:dyDescent="0.25">
      <c r="A520" s="73">
        <v>44779</v>
      </c>
      <c r="B520" s="74" t="s">
        <v>25181</v>
      </c>
      <c r="C520" s="75" t="s">
        <v>461</v>
      </c>
      <c r="D520" s="176">
        <v>394</v>
      </c>
      <c r="E520" s="151">
        <v>44779</v>
      </c>
      <c r="F520" s="176">
        <v>394</v>
      </c>
      <c r="G520" s="177">
        <f>Tabla19[[#This Row],[Importe]]-Tabla19[[#This Row],[Pagado]]</f>
        <v>0</v>
      </c>
      <c r="H520" s="75" t="s">
        <v>10</v>
      </c>
    </row>
    <row r="521" spans="1:8" x14ac:dyDescent="0.25">
      <c r="A521" s="148">
        <v>44779</v>
      </c>
      <c r="B521" s="149" t="s">
        <v>25182</v>
      </c>
      <c r="C521" s="153" t="s">
        <v>518</v>
      </c>
      <c r="D521" s="178">
        <v>1615.8</v>
      </c>
      <c r="E521" s="155">
        <v>44779</v>
      </c>
      <c r="F521" s="178">
        <v>1615.8</v>
      </c>
      <c r="G521" s="179">
        <f>Tabla19[[#This Row],[Importe]]-Tabla19[[#This Row],[Pagado]]</f>
        <v>0</v>
      </c>
      <c r="H521" s="153" t="s">
        <v>10</v>
      </c>
    </row>
    <row r="522" spans="1:8" x14ac:dyDescent="0.25">
      <c r="A522" s="73">
        <v>44779</v>
      </c>
      <c r="B522" s="74" t="s">
        <v>25183</v>
      </c>
      <c r="C522" s="75" t="s">
        <v>111</v>
      </c>
      <c r="D522" s="176">
        <v>11360</v>
      </c>
      <c r="E522" s="151">
        <v>44781</v>
      </c>
      <c r="F522" s="176">
        <v>11360</v>
      </c>
      <c r="G522" s="177">
        <f>Tabla19[[#This Row],[Importe]]-Tabla19[[#This Row],[Pagado]]</f>
        <v>0</v>
      </c>
      <c r="H522" s="75" t="s">
        <v>10</v>
      </c>
    </row>
    <row r="523" spans="1:8" x14ac:dyDescent="0.25">
      <c r="A523" s="148">
        <v>44779</v>
      </c>
      <c r="B523" s="149" t="s">
        <v>25184</v>
      </c>
      <c r="C523" s="153" t="s">
        <v>520</v>
      </c>
      <c r="D523" s="178">
        <v>7060.42</v>
      </c>
      <c r="E523" s="155">
        <v>44779</v>
      </c>
      <c r="F523" s="178">
        <v>7060.42</v>
      </c>
      <c r="G523" s="179">
        <f>Tabla19[[#This Row],[Importe]]-Tabla19[[#This Row],[Pagado]]</f>
        <v>0</v>
      </c>
      <c r="H523" s="153" t="s">
        <v>10</v>
      </c>
    </row>
    <row r="524" spans="1:8" x14ac:dyDescent="0.25">
      <c r="A524" s="73">
        <v>44779</v>
      </c>
      <c r="B524" s="74" t="s">
        <v>25185</v>
      </c>
      <c r="C524" s="75" t="s">
        <v>319</v>
      </c>
      <c r="D524" s="176">
        <v>12206.2</v>
      </c>
      <c r="E524" s="151">
        <v>44779</v>
      </c>
      <c r="F524" s="176">
        <v>12206.2</v>
      </c>
      <c r="G524" s="177">
        <f>Tabla19[[#This Row],[Importe]]-Tabla19[[#This Row],[Pagado]]</f>
        <v>0</v>
      </c>
      <c r="H524" s="75" t="s">
        <v>10</v>
      </c>
    </row>
    <row r="525" spans="1:8" x14ac:dyDescent="0.25">
      <c r="A525" s="148">
        <v>44779</v>
      </c>
      <c r="B525" s="149" t="s">
        <v>25186</v>
      </c>
      <c r="C525" s="153" t="s">
        <v>966</v>
      </c>
      <c r="D525" s="178">
        <v>6107.3</v>
      </c>
      <c r="E525" s="155">
        <v>44779</v>
      </c>
      <c r="F525" s="178">
        <v>6107.3</v>
      </c>
      <c r="G525" s="179">
        <f>Tabla19[[#This Row],[Importe]]-Tabla19[[#This Row],[Pagado]]</f>
        <v>0</v>
      </c>
      <c r="H525" s="153" t="s">
        <v>10</v>
      </c>
    </row>
    <row r="526" spans="1:8" x14ac:dyDescent="0.25">
      <c r="A526" s="73">
        <v>44779</v>
      </c>
      <c r="B526" s="74" t="s">
        <v>25187</v>
      </c>
      <c r="C526" s="75" t="s">
        <v>159</v>
      </c>
      <c r="D526" s="176">
        <v>2091.6999999999998</v>
      </c>
      <c r="E526" s="151">
        <v>44779</v>
      </c>
      <c r="F526" s="176">
        <v>2091.6999999999998</v>
      </c>
      <c r="G526" s="177">
        <f>Tabla19[[#This Row],[Importe]]-Tabla19[[#This Row],[Pagado]]</f>
        <v>0</v>
      </c>
      <c r="H526" s="75" t="s">
        <v>10</v>
      </c>
    </row>
    <row r="527" spans="1:8" x14ac:dyDescent="0.25">
      <c r="A527" s="148">
        <v>44779</v>
      </c>
      <c r="B527" s="149" t="s">
        <v>25188</v>
      </c>
      <c r="C527" s="153" t="s">
        <v>934</v>
      </c>
      <c r="D527" s="178">
        <v>3977.04</v>
      </c>
      <c r="E527" s="155">
        <v>44779</v>
      </c>
      <c r="F527" s="178">
        <v>3977.04</v>
      </c>
      <c r="G527" s="179">
        <f>Tabla19[[#This Row],[Importe]]-Tabla19[[#This Row],[Pagado]]</f>
        <v>0</v>
      </c>
      <c r="H527" s="153" t="s">
        <v>10</v>
      </c>
    </row>
    <row r="528" spans="1:8" x14ac:dyDescent="0.25">
      <c r="A528" s="73">
        <v>44779</v>
      </c>
      <c r="B528" s="74" t="s">
        <v>25189</v>
      </c>
      <c r="C528" s="75" t="s">
        <v>157</v>
      </c>
      <c r="D528" s="176">
        <v>8810.6</v>
      </c>
      <c r="E528" s="151">
        <v>44779</v>
      </c>
      <c r="F528" s="176">
        <v>8810.6</v>
      </c>
      <c r="G528" s="177">
        <f>Tabla19[[#This Row],[Importe]]-Tabla19[[#This Row],[Pagado]]</f>
        <v>0</v>
      </c>
      <c r="H528" s="75" t="s">
        <v>10</v>
      </c>
    </row>
    <row r="529" spans="1:8" x14ac:dyDescent="0.25">
      <c r="A529" s="148">
        <v>44779</v>
      </c>
      <c r="B529" s="149" t="s">
        <v>25190</v>
      </c>
      <c r="C529" s="153" t="s">
        <v>9</v>
      </c>
      <c r="D529" s="178">
        <v>10727.9</v>
      </c>
      <c r="E529" s="155">
        <v>44779</v>
      </c>
      <c r="F529" s="178">
        <v>10727.9</v>
      </c>
      <c r="G529" s="179">
        <f>Tabla19[[#This Row],[Importe]]-Tabla19[[#This Row],[Pagado]]</f>
        <v>0</v>
      </c>
      <c r="H529" s="153" t="s">
        <v>10</v>
      </c>
    </row>
    <row r="530" spans="1:8" x14ac:dyDescent="0.25">
      <c r="A530" s="73">
        <v>44779</v>
      </c>
      <c r="B530" s="74" t="s">
        <v>25191</v>
      </c>
      <c r="C530" s="75" t="s">
        <v>105</v>
      </c>
      <c r="D530" s="176">
        <v>20806.2</v>
      </c>
      <c r="E530" s="151">
        <v>44781</v>
      </c>
      <c r="F530" s="176">
        <v>20806.2</v>
      </c>
      <c r="G530" s="177">
        <f>Tabla19[[#This Row],[Importe]]-Tabla19[[#This Row],[Pagado]]</f>
        <v>0</v>
      </c>
      <c r="H530" s="75" t="s">
        <v>10</v>
      </c>
    </row>
    <row r="531" spans="1:8" ht="31.5" x14ac:dyDescent="0.25">
      <c r="A531" s="148">
        <v>44779</v>
      </c>
      <c r="B531" s="149" t="s">
        <v>25192</v>
      </c>
      <c r="C531" s="153" t="s">
        <v>93</v>
      </c>
      <c r="D531" s="178">
        <v>26698.6</v>
      </c>
      <c r="E531" s="150" t="s">
        <v>25193</v>
      </c>
      <c r="F531" s="178">
        <f>7000+10000+9698.6</f>
        <v>26698.6</v>
      </c>
      <c r="G531" s="179">
        <f>Tabla19[[#This Row],[Importe]]-Tabla19[[#This Row],[Pagado]]</f>
        <v>0</v>
      </c>
      <c r="H531" s="153" t="s">
        <v>10</v>
      </c>
    </row>
    <row r="532" spans="1:8" x14ac:dyDescent="0.25">
      <c r="A532" s="73">
        <v>44779</v>
      </c>
      <c r="B532" s="74" t="s">
        <v>25194</v>
      </c>
      <c r="C532" s="75" t="s">
        <v>348</v>
      </c>
      <c r="D532" s="176">
        <v>12415.1</v>
      </c>
      <c r="E532" s="151">
        <v>44779</v>
      </c>
      <c r="F532" s="176">
        <v>12415.1</v>
      </c>
      <c r="G532" s="177">
        <f>Tabla19[[#This Row],[Importe]]-Tabla19[[#This Row],[Pagado]]</f>
        <v>0</v>
      </c>
      <c r="H532" s="75" t="s">
        <v>10</v>
      </c>
    </row>
    <row r="533" spans="1:8" ht="31.5" x14ac:dyDescent="0.25">
      <c r="A533" s="148">
        <v>44779</v>
      </c>
      <c r="B533" s="149" t="s">
        <v>25195</v>
      </c>
      <c r="C533" s="153" t="s">
        <v>99</v>
      </c>
      <c r="D533" s="178">
        <v>15876.2</v>
      </c>
      <c r="E533" s="150" t="s">
        <v>25196</v>
      </c>
      <c r="F533" s="178">
        <f>11000+4000+876.2</f>
        <v>15876.2</v>
      </c>
      <c r="G533" s="179">
        <f>Tabla19[[#This Row],[Importe]]-Tabla19[[#This Row],[Pagado]]</f>
        <v>0</v>
      </c>
      <c r="H533" s="153" t="s">
        <v>10</v>
      </c>
    </row>
    <row r="534" spans="1:8" x14ac:dyDescent="0.25">
      <c r="A534" s="73">
        <v>44779</v>
      </c>
      <c r="B534" s="74" t="s">
        <v>25197</v>
      </c>
      <c r="C534" s="75" t="s">
        <v>97</v>
      </c>
      <c r="D534" s="176">
        <v>10236.6</v>
      </c>
      <c r="E534" s="151">
        <v>44781</v>
      </c>
      <c r="F534" s="176">
        <v>10236.6</v>
      </c>
      <c r="G534" s="177">
        <f>Tabla19[[#This Row],[Importe]]-Tabla19[[#This Row],[Pagado]]</f>
        <v>0</v>
      </c>
      <c r="H534" s="75" t="s">
        <v>10</v>
      </c>
    </row>
    <row r="535" spans="1:8" x14ac:dyDescent="0.25">
      <c r="A535" s="148">
        <v>44779</v>
      </c>
      <c r="B535" s="149" t="s">
        <v>25198</v>
      </c>
      <c r="C535" s="153" t="s">
        <v>64</v>
      </c>
      <c r="D535" s="178">
        <v>10949.4</v>
      </c>
      <c r="E535" s="155">
        <v>44782</v>
      </c>
      <c r="F535" s="178">
        <v>10949.4</v>
      </c>
      <c r="G535" s="179">
        <f>Tabla19[[#This Row],[Importe]]-Tabla19[[#This Row],[Pagado]]</f>
        <v>0</v>
      </c>
      <c r="H535" s="153" t="s">
        <v>10</v>
      </c>
    </row>
    <row r="536" spans="1:8" x14ac:dyDescent="0.25">
      <c r="A536" s="73">
        <v>44779</v>
      </c>
      <c r="B536" s="74" t="s">
        <v>25199</v>
      </c>
      <c r="C536" s="75" t="s">
        <v>1187</v>
      </c>
      <c r="D536" s="176">
        <v>1073.8</v>
      </c>
      <c r="E536" s="151">
        <v>44779</v>
      </c>
      <c r="F536" s="176">
        <v>1073.8</v>
      </c>
      <c r="G536" s="177">
        <f>Tabla19[[#This Row],[Importe]]-Tabla19[[#This Row],[Pagado]]</f>
        <v>0</v>
      </c>
      <c r="H536" s="75" t="s">
        <v>10</v>
      </c>
    </row>
    <row r="537" spans="1:8" ht="31.5" x14ac:dyDescent="0.25">
      <c r="A537" s="148">
        <v>44779</v>
      </c>
      <c r="B537" s="149" t="s">
        <v>25200</v>
      </c>
      <c r="C537" s="153" t="s">
        <v>345</v>
      </c>
      <c r="D537" s="178">
        <v>6461.4</v>
      </c>
      <c r="E537" s="150" t="s">
        <v>25062</v>
      </c>
      <c r="F537" s="178">
        <f>3500+2961.4</f>
        <v>6461.4</v>
      </c>
      <c r="G537" s="179">
        <f>Tabla19[[#This Row],[Importe]]-Tabla19[[#This Row],[Pagado]]</f>
        <v>0</v>
      </c>
      <c r="H537" s="153" t="s">
        <v>10</v>
      </c>
    </row>
    <row r="538" spans="1:8" x14ac:dyDescent="0.25">
      <c r="A538" s="73">
        <v>44779</v>
      </c>
      <c r="B538" s="74" t="s">
        <v>25201</v>
      </c>
      <c r="C538" s="75" t="s">
        <v>2563</v>
      </c>
      <c r="D538" s="176">
        <v>4950</v>
      </c>
      <c r="E538" s="151">
        <v>44781</v>
      </c>
      <c r="F538" s="176">
        <v>4950</v>
      </c>
      <c r="G538" s="177">
        <f>Tabla19[[#This Row],[Importe]]-Tabla19[[#This Row],[Pagado]]</f>
        <v>0</v>
      </c>
      <c r="H538" s="75" t="s">
        <v>10</v>
      </c>
    </row>
    <row r="539" spans="1:8" x14ac:dyDescent="0.25">
      <c r="A539" s="148">
        <v>44779</v>
      </c>
      <c r="B539" s="149" t="s">
        <v>25202</v>
      </c>
      <c r="C539" s="153" t="s">
        <v>89</v>
      </c>
      <c r="D539" s="178">
        <v>19966</v>
      </c>
      <c r="E539" s="155">
        <v>44781</v>
      </c>
      <c r="F539" s="178">
        <v>19966</v>
      </c>
      <c r="G539" s="179">
        <f>Tabla19[[#This Row],[Importe]]-Tabla19[[#This Row],[Pagado]]</f>
        <v>0</v>
      </c>
      <c r="H539" s="153" t="s">
        <v>10</v>
      </c>
    </row>
    <row r="540" spans="1:8" ht="31.5" x14ac:dyDescent="0.25">
      <c r="A540" s="73">
        <v>44779</v>
      </c>
      <c r="B540" s="74" t="s">
        <v>25203</v>
      </c>
      <c r="C540" s="75" t="s">
        <v>22</v>
      </c>
      <c r="D540" s="176">
        <v>85995.6</v>
      </c>
      <c r="E540" s="147" t="s">
        <v>25177</v>
      </c>
      <c r="F540" s="176">
        <f>70000+15995.6</f>
        <v>85995.6</v>
      </c>
      <c r="G540" s="177">
        <f>Tabla19[[#This Row],[Importe]]-Tabla19[[#This Row],[Pagado]]</f>
        <v>0</v>
      </c>
      <c r="H540" s="75" t="s">
        <v>10</v>
      </c>
    </row>
    <row r="541" spans="1:8" x14ac:dyDescent="0.25">
      <c r="A541" s="148">
        <v>44779</v>
      </c>
      <c r="B541" s="149" t="s">
        <v>25204</v>
      </c>
      <c r="C541" s="153" t="s">
        <v>22</v>
      </c>
      <c r="D541" s="178">
        <v>12743.4</v>
      </c>
      <c r="E541" s="155">
        <v>44780</v>
      </c>
      <c r="F541" s="178">
        <v>12743.4</v>
      </c>
      <c r="G541" s="179">
        <f>Tabla19[[#This Row],[Importe]]-Tabla19[[#This Row],[Pagado]]</f>
        <v>0</v>
      </c>
      <c r="H541" s="153" t="s">
        <v>10</v>
      </c>
    </row>
    <row r="542" spans="1:8" x14ac:dyDescent="0.25">
      <c r="A542" s="73">
        <v>44779</v>
      </c>
      <c r="B542" s="74" t="s">
        <v>25205</v>
      </c>
      <c r="C542" s="75" t="s">
        <v>326</v>
      </c>
      <c r="D542" s="176">
        <v>15866.4</v>
      </c>
      <c r="E542" s="151">
        <v>44781</v>
      </c>
      <c r="F542" s="176">
        <v>15866.4</v>
      </c>
      <c r="G542" s="177">
        <f>Tabla19[[#This Row],[Importe]]-Tabla19[[#This Row],[Pagado]]</f>
        <v>0</v>
      </c>
      <c r="H542" s="75" t="s">
        <v>10</v>
      </c>
    </row>
    <row r="543" spans="1:8" x14ac:dyDescent="0.25">
      <c r="A543" s="148">
        <v>44779</v>
      </c>
      <c r="B543" s="149" t="s">
        <v>25206</v>
      </c>
      <c r="C543" s="153" t="s">
        <v>2151</v>
      </c>
      <c r="D543" s="178">
        <v>40344.199999999997</v>
      </c>
      <c r="E543" s="155">
        <v>68</v>
      </c>
      <c r="F543" s="178">
        <v>40344.199999999997</v>
      </c>
      <c r="G543" s="179">
        <f>Tabla19[[#This Row],[Importe]]-Tabla19[[#This Row],[Pagado]]</f>
        <v>0</v>
      </c>
      <c r="H543" s="153" t="s">
        <v>10</v>
      </c>
    </row>
    <row r="544" spans="1:8" x14ac:dyDescent="0.25">
      <c r="A544" s="73">
        <v>44779</v>
      </c>
      <c r="B544" s="74" t="s">
        <v>25207</v>
      </c>
      <c r="C544" s="75" t="s">
        <v>109</v>
      </c>
      <c r="D544" s="176">
        <v>5203.2</v>
      </c>
      <c r="E544" s="151">
        <v>44781</v>
      </c>
      <c r="F544" s="176">
        <v>5203.2</v>
      </c>
      <c r="G544" s="177">
        <f>Tabla19[[#This Row],[Importe]]-Tabla19[[#This Row],[Pagado]]</f>
        <v>0</v>
      </c>
      <c r="H544" s="75" t="s">
        <v>10</v>
      </c>
    </row>
    <row r="545" spans="1:8" x14ac:dyDescent="0.25">
      <c r="A545" s="148">
        <v>44779</v>
      </c>
      <c r="B545" s="149" t="s">
        <v>25208</v>
      </c>
      <c r="C545" s="153" t="s">
        <v>5043</v>
      </c>
      <c r="D545" s="178">
        <v>10797.6</v>
      </c>
      <c r="E545" s="155">
        <v>44781</v>
      </c>
      <c r="F545" s="178">
        <v>10797.6</v>
      </c>
      <c r="G545" s="179">
        <f>Tabla19[[#This Row],[Importe]]-Tabla19[[#This Row],[Pagado]]</f>
        <v>0</v>
      </c>
      <c r="H545" s="153" t="s">
        <v>10</v>
      </c>
    </row>
    <row r="546" spans="1:8" x14ac:dyDescent="0.25">
      <c r="A546" s="73">
        <v>44779</v>
      </c>
      <c r="B546" s="74" t="s">
        <v>25209</v>
      </c>
      <c r="C546" s="75" t="s">
        <v>555</v>
      </c>
      <c r="D546" s="176">
        <v>20731.2</v>
      </c>
      <c r="E546" s="151">
        <v>44779</v>
      </c>
      <c r="F546" s="176">
        <v>20731.2</v>
      </c>
      <c r="G546" s="177">
        <f>Tabla19[[#This Row],[Importe]]-Tabla19[[#This Row],[Pagado]]</f>
        <v>0</v>
      </c>
      <c r="H546" s="75" t="s">
        <v>10</v>
      </c>
    </row>
    <row r="547" spans="1:8" x14ac:dyDescent="0.25">
      <c r="A547" s="148">
        <v>44779</v>
      </c>
      <c r="B547" s="149" t="s">
        <v>25210</v>
      </c>
      <c r="C547" s="153" t="s">
        <v>273</v>
      </c>
      <c r="D547" s="178">
        <v>15972</v>
      </c>
      <c r="E547" s="155">
        <v>44782</v>
      </c>
      <c r="F547" s="178">
        <v>15972</v>
      </c>
      <c r="G547" s="179">
        <f>Tabla19[[#This Row],[Importe]]-Tabla19[[#This Row],[Pagado]]</f>
        <v>0</v>
      </c>
      <c r="H547" s="153" t="s">
        <v>10</v>
      </c>
    </row>
    <row r="548" spans="1:8" x14ac:dyDescent="0.25">
      <c r="A548" s="73">
        <v>44779</v>
      </c>
      <c r="B548" s="74" t="s">
        <v>25211</v>
      </c>
      <c r="C548" s="75" t="s">
        <v>151</v>
      </c>
      <c r="D548" s="176">
        <v>14344.5</v>
      </c>
      <c r="E548" s="151">
        <v>44779</v>
      </c>
      <c r="F548" s="176">
        <v>14344.5</v>
      </c>
      <c r="G548" s="177">
        <f>Tabla19[[#This Row],[Importe]]-Tabla19[[#This Row],[Pagado]]</f>
        <v>0</v>
      </c>
      <c r="H548" s="75" t="s">
        <v>10</v>
      </c>
    </row>
    <row r="549" spans="1:8" x14ac:dyDescent="0.25">
      <c r="A549" s="148">
        <v>44779</v>
      </c>
      <c r="B549" s="149" t="s">
        <v>25212</v>
      </c>
      <c r="C549" s="153" t="s">
        <v>114</v>
      </c>
      <c r="D549" s="178">
        <v>11500.8</v>
      </c>
      <c r="E549" s="155">
        <v>44781</v>
      </c>
      <c r="F549" s="178">
        <v>11500.8</v>
      </c>
      <c r="G549" s="179">
        <f>Tabla19[[#This Row],[Importe]]-Tabla19[[#This Row],[Pagado]]</f>
        <v>0</v>
      </c>
      <c r="H549" s="153" t="s">
        <v>10</v>
      </c>
    </row>
    <row r="550" spans="1:8" x14ac:dyDescent="0.25">
      <c r="A550" s="73">
        <v>44779</v>
      </c>
      <c r="B550" s="74" t="s">
        <v>25213</v>
      </c>
      <c r="C550" s="75" t="s">
        <v>29</v>
      </c>
      <c r="D550" s="176">
        <v>9013.2000000000007</v>
      </c>
      <c r="E550" s="151">
        <v>44779</v>
      </c>
      <c r="F550" s="176">
        <v>9013.2000000000007</v>
      </c>
      <c r="G550" s="177">
        <f>Tabla19[[#This Row],[Importe]]-Tabla19[[#This Row],[Pagado]]</f>
        <v>0</v>
      </c>
      <c r="H550" s="75" t="s">
        <v>10</v>
      </c>
    </row>
    <row r="551" spans="1:8" x14ac:dyDescent="0.25">
      <c r="A551" s="148">
        <v>44779</v>
      </c>
      <c r="B551" s="149" t="s">
        <v>25214</v>
      </c>
      <c r="C551" s="153" t="s">
        <v>142</v>
      </c>
      <c r="D551" s="178">
        <v>109154.04</v>
      </c>
      <c r="E551" s="155" t="s">
        <v>4813</v>
      </c>
      <c r="F551" s="178">
        <v>0</v>
      </c>
      <c r="G551" s="179">
        <f>Tabla19[[#This Row],[Importe]]-Tabla19[[#This Row],[Pagado]]</f>
        <v>109154.04</v>
      </c>
      <c r="H551" s="153" t="s">
        <v>4814</v>
      </c>
    </row>
    <row r="552" spans="1:8" x14ac:dyDescent="0.25">
      <c r="A552" s="73">
        <v>44779</v>
      </c>
      <c r="B552" s="74" t="s">
        <v>25215</v>
      </c>
      <c r="C552" s="75" t="s">
        <v>181</v>
      </c>
      <c r="D552" s="176">
        <v>11647.9</v>
      </c>
      <c r="E552" s="151">
        <v>44779</v>
      </c>
      <c r="F552" s="176">
        <v>11647.9</v>
      </c>
      <c r="G552" s="177">
        <f>Tabla19[[#This Row],[Importe]]-Tabla19[[#This Row],[Pagado]]</f>
        <v>0</v>
      </c>
      <c r="H552" s="75" t="s">
        <v>10</v>
      </c>
    </row>
    <row r="553" spans="1:8" x14ac:dyDescent="0.25">
      <c r="A553" s="148">
        <v>44779</v>
      </c>
      <c r="B553" s="149" t="s">
        <v>25216</v>
      </c>
      <c r="C553" s="153" t="s">
        <v>16</v>
      </c>
      <c r="D553" s="178">
        <v>6874.6</v>
      </c>
      <c r="E553" s="155">
        <v>44779</v>
      </c>
      <c r="F553" s="178">
        <v>6874.6</v>
      </c>
      <c r="G553" s="179">
        <f>Tabla19[[#This Row],[Importe]]-Tabla19[[#This Row],[Pagado]]</f>
        <v>0</v>
      </c>
      <c r="H553" s="153" t="s">
        <v>10</v>
      </c>
    </row>
    <row r="554" spans="1:8" x14ac:dyDescent="0.25">
      <c r="A554" s="73">
        <v>44779</v>
      </c>
      <c r="B554" s="74" t="s">
        <v>25217</v>
      </c>
      <c r="C554" s="75" t="s">
        <v>11033</v>
      </c>
      <c r="D554" s="176">
        <v>3315</v>
      </c>
      <c r="E554" s="151">
        <v>44779</v>
      </c>
      <c r="F554" s="176">
        <v>3315</v>
      </c>
      <c r="G554" s="177">
        <f>Tabla19[[#This Row],[Importe]]-Tabla19[[#This Row],[Pagado]]</f>
        <v>0</v>
      </c>
      <c r="H554" s="75" t="s">
        <v>10</v>
      </c>
    </row>
    <row r="555" spans="1:8" x14ac:dyDescent="0.25">
      <c r="A555" s="148">
        <v>44779</v>
      </c>
      <c r="B555" s="149" t="s">
        <v>25218</v>
      </c>
      <c r="C555" s="153" t="s">
        <v>348</v>
      </c>
      <c r="D555" s="178">
        <v>5660.9</v>
      </c>
      <c r="E555" s="155">
        <v>44779</v>
      </c>
      <c r="F555" s="178">
        <v>5660.9</v>
      </c>
      <c r="G555" s="179">
        <f>Tabla19[[#This Row],[Importe]]-Tabla19[[#This Row],[Pagado]]</f>
        <v>0</v>
      </c>
      <c r="H555" s="153" t="s">
        <v>10</v>
      </c>
    </row>
    <row r="556" spans="1:8" x14ac:dyDescent="0.25">
      <c r="A556" s="73">
        <v>44779</v>
      </c>
      <c r="B556" s="74" t="s">
        <v>25219</v>
      </c>
      <c r="C556" s="75" t="s">
        <v>87</v>
      </c>
      <c r="D556" s="176">
        <v>5428.7</v>
      </c>
      <c r="E556" s="151">
        <v>44779</v>
      </c>
      <c r="F556" s="176">
        <v>5428.7</v>
      </c>
      <c r="G556" s="177">
        <f>Tabla19[[#This Row],[Importe]]-Tabla19[[#This Row],[Pagado]]</f>
        <v>0</v>
      </c>
      <c r="H556" s="75" t="s">
        <v>10</v>
      </c>
    </row>
    <row r="557" spans="1:8" x14ac:dyDescent="0.25">
      <c r="A557" s="148">
        <v>44779</v>
      </c>
      <c r="B557" s="149" t="s">
        <v>25220</v>
      </c>
      <c r="C557" s="153" t="s">
        <v>31</v>
      </c>
      <c r="D557" s="178">
        <v>4420</v>
      </c>
      <c r="E557" s="155">
        <v>44779</v>
      </c>
      <c r="F557" s="178">
        <v>4420</v>
      </c>
      <c r="G557" s="179">
        <f>Tabla19[[#This Row],[Importe]]-Tabla19[[#This Row],[Pagado]]</f>
        <v>0</v>
      </c>
      <c r="H557" s="153" t="s">
        <v>10</v>
      </c>
    </row>
    <row r="558" spans="1:8" x14ac:dyDescent="0.25">
      <c r="A558" s="73">
        <v>44779</v>
      </c>
      <c r="B558" s="74" t="s">
        <v>25221</v>
      </c>
      <c r="C558" s="75" t="s">
        <v>314</v>
      </c>
      <c r="D558" s="176">
        <v>6708.1</v>
      </c>
      <c r="E558" s="151">
        <v>44779</v>
      </c>
      <c r="F558" s="176">
        <v>6708.1</v>
      </c>
      <c r="G558" s="177">
        <f>Tabla19[[#This Row],[Importe]]-Tabla19[[#This Row],[Pagado]]</f>
        <v>0</v>
      </c>
      <c r="H558" s="75" t="s">
        <v>10</v>
      </c>
    </row>
    <row r="559" spans="1:8" x14ac:dyDescent="0.25">
      <c r="A559" s="148">
        <v>44779</v>
      </c>
      <c r="B559" s="149" t="s">
        <v>25222</v>
      </c>
      <c r="C559" s="153" t="s">
        <v>127</v>
      </c>
      <c r="D559" s="178">
        <v>5389.1</v>
      </c>
      <c r="E559" s="155">
        <v>44779</v>
      </c>
      <c r="F559" s="178">
        <v>5389.1</v>
      </c>
      <c r="G559" s="179">
        <f>Tabla19[[#This Row],[Importe]]-Tabla19[[#This Row],[Pagado]]</f>
        <v>0</v>
      </c>
      <c r="H559" s="153" t="s">
        <v>10</v>
      </c>
    </row>
    <row r="560" spans="1:8" x14ac:dyDescent="0.25">
      <c r="A560" s="73">
        <v>44779</v>
      </c>
      <c r="B560" s="74" t="s">
        <v>25223</v>
      </c>
      <c r="C560" s="75" t="s">
        <v>37</v>
      </c>
      <c r="D560" s="176">
        <v>3848.8</v>
      </c>
      <c r="E560" s="151">
        <v>44779</v>
      </c>
      <c r="F560" s="176">
        <v>3848.8</v>
      </c>
      <c r="G560" s="177">
        <f>Tabla19[[#This Row],[Importe]]-Tabla19[[#This Row],[Pagado]]</f>
        <v>0</v>
      </c>
      <c r="H560" s="75" t="s">
        <v>10</v>
      </c>
    </row>
    <row r="561" spans="1:8" x14ac:dyDescent="0.25">
      <c r="A561" s="148">
        <v>44779</v>
      </c>
      <c r="B561" s="149" t="s">
        <v>25224</v>
      </c>
      <c r="C561" s="153" t="s">
        <v>31</v>
      </c>
      <c r="D561" s="178">
        <v>1372.8</v>
      </c>
      <c r="E561" s="155">
        <v>44779</v>
      </c>
      <c r="F561" s="178">
        <v>1372.8</v>
      </c>
      <c r="G561" s="179">
        <f>Tabla19[[#This Row],[Importe]]-Tabla19[[#This Row],[Pagado]]</f>
        <v>0</v>
      </c>
      <c r="H561" s="153" t="s">
        <v>10</v>
      </c>
    </row>
    <row r="562" spans="1:8" x14ac:dyDescent="0.25">
      <c r="A562" s="73">
        <v>44779</v>
      </c>
      <c r="B562" s="74" t="s">
        <v>25225</v>
      </c>
      <c r="C562" s="75" t="s">
        <v>140</v>
      </c>
      <c r="D562" s="176">
        <v>3942.4</v>
      </c>
      <c r="E562" s="151">
        <v>44779</v>
      </c>
      <c r="F562" s="176">
        <v>3942.4</v>
      </c>
      <c r="G562" s="177">
        <f>Tabla19[[#This Row],[Importe]]-Tabla19[[#This Row],[Pagado]]</f>
        <v>0</v>
      </c>
      <c r="H562" s="75" t="s">
        <v>10</v>
      </c>
    </row>
    <row r="563" spans="1:8" x14ac:dyDescent="0.25">
      <c r="A563" s="148">
        <v>44779</v>
      </c>
      <c r="B563" s="149" t="s">
        <v>25226</v>
      </c>
      <c r="C563" s="153" t="s">
        <v>161</v>
      </c>
      <c r="D563" s="178">
        <v>4535.3</v>
      </c>
      <c r="E563" s="155">
        <v>44779</v>
      </c>
      <c r="F563" s="178">
        <v>4535.3</v>
      </c>
      <c r="G563" s="179">
        <f>Tabla19[[#This Row],[Importe]]-Tabla19[[#This Row],[Pagado]]</f>
        <v>0</v>
      </c>
      <c r="H563" s="153" t="s">
        <v>10</v>
      </c>
    </row>
    <row r="564" spans="1:8" x14ac:dyDescent="0.25">
      <c r="A564" s="73">
        <v>44779</v>
      </c>
      <c r="B564" s="74" t="s">
        <v>25227</v>
      </c>
      <c r="C564" s="75" t="s">
        <v>15876</v>
      </c>
      <c r="D564" s="176">
        <v>0</v>
      </c>
      <c r="E564" s="157" t="s">
        <v>189</v>
      </c>
      <c r="F564" s="176">
        <v>0</v>
      </c>
      <c r="G564" s="177">
        <f>Tabla19[[#This Row],[Importe]]-Tabla19[[#This Row],[Pagado]]</f>
        <v>0</v>
      </c>
      <c r="H564" s="75" t="s">
        <v>189</v>
      </c>
    </row>
    <row r="565" spans="1:8" x14ac:dyDescent="0.25">
      <c r="A565" s="148">
        <v>44779</v>
      </c>
      <c r="B565" s="149" t="s">
        <v>25228</v>
      </c>
      <c r="C565" s="153" t="s">
        <v>224</v>
      </c>
      <c r="D565" s="178">
        <v>624.79999999999995</v>
      </c>
      <c r="E565" s="155">
        <v>44779</v>
      </c>
      <c r="F565" s="178">
        <v>624.79999999999995</v>
      </c>
      <c r="G565" s="179">
        <f>Tabla19[[#This Row],[Importe]]-Tabla19[[#This Row],[Pagado]]</f>
        <v>0</v>
      </c>
      <c r="H565" s="153" t="s">
        <v>10</v>
      </c>
    </row>
    <row r="566" spans="1:8" x14ac:dyDescent="0.25">
      <c r="A566" s="73">
        <v>44779</v>
      </c>
      <c r="B566" s="74" t="s">
        <v>25229</v>
      </c>
      <c r="C566" s="75" t="s">
        <v>45</v>
      </c>
      <c r="D566" s="176">
        <v>11352.9</v>
      </c>
      <c r="E566" s="151">
        <v>44779</v>
      </c>
      <c r="F566" s="176">
        <v>11352.9</v>
      </c>
      <c r="G566" s="177">
        <f>Tabla19[[#This Row],[Importe]]-Tabla19[[#This Row],[Pagado]]</f>
        <v>0</v>
      </c>
      <c r="H566" s="75" t="s">
        <v>10</v>
      </c>
    </row>
    <row r="567" spans="1:8" x14ac:dyDescent="0.25">
      <c r="A567" s="148">
        <v>44779</v>
      </c>
      <c r="B567" s="149" t="s">
        <v>25230</v>
      </c>
      <c r="C567" s="153" t="s">
        <v>382</v>
      </c>
      <c r="D567" s="178">
        <v>5080.8</v>
      </c>
      <c r="E567" s="155">
        <v>44779</v>
      </c>
      <c r="F567" s="178">
        <v>5080.8</v>
      </c>
      <c r="G567" s="179">
        <f>Tabla19[[#This Row],[Importe]]-Tabla19[[#This Row],[Pagado]]</f>
        <v>0</v>
      </c>
      <c r="H567" s="153" t="s">
        <v>10</v>
      </c>
    </row>
    <row r="568" spans="1:8" x14ac:dyDescent="0.25">
      <c r="A568" s="73">
        <v>44779</v>
      </c>
      <c r="B568" s="74" t="s">
        <v>25231</v>
      </c>
      <c r="C568" s="75" t="s">
        <v>289</v>
      </c>
      <c r="D568" s="176">
        <v>16381.4</v>
      </c>
      <c r="E568" s="151">
        <v>44779</v>
      </c>
      <c r="F568" s="176">
        <v>16381.4</v>
      </c>
      <c r="G568" s="177">
        <f>Tabla19[[#This Row],[Importe]]-Tabla19[[#This Row],[Pagado]]</f>
        <v>0</v>
      </c>
      <c r="H568" s="75" t="s">
        <v>10</v>
      </c>
    </row>
    <row r="569" spans="1:8" x14ac:dyDescent="0.25">
      <c r="A569" s="148">
        <v>44779</v>
      </c>
      <c r="B569" s="149" t="s">
        <v>25232</v>
      </c>
      <c r="C569" s="153" t="s">
        <v>1003</v>
      </c>
      <c r="D569" s="178">
        <v>8277</v>
      </c>
      <c r="E569" s="155">
        <v>44780</v>
      </c>
      <c r="F569" s="178">
        <v>8277</v>
      </c>
      <c r="G569" s="179">
        <f>Tabla19[[#This Row],[Importe]]-Tabla19[[#This Row],[Pagado]]</f>
        <v>0</v>
      </c>
      <c r="H569" s="153" t="s">
        <v>10</v>
      </c>
    </row>
    <row r="570" spans="1:8" x14ac:dyDescent="0.25">
      <c r="A570" s="73">
        <v>44779</v>
      </c>
      <c r="B570" s="74" t="s">
        <v>25233</v>
      </c>
      <c r="C570" s="75" t="s">
        <v>698</v>
      </c>
      <c r="D570" s="176">
        <v>4127.3999999999996</v>
      </c>
      <c r="E570" s="151">
        <v>44779</v>
      </c>
      <c r="F570" s="176">
        <v>4127.3999999999996</v>
      </c>
      <c r="G570" s="177">
        <f>Tabla19[[#This Row],[Importe]]-Tabla19[[#This Row],[Pagado]]</f>
        <v>0</v>
      </c>
      <c r="H570" s="75" t="s">
        <v>10</v>
      </c>
    </row>
    <row r="571" spans="1:8" ht="31.5" x14ac:dyDescent="0.25">
      <c r="A571" s="148">
        <v>44779</v>
      </c>
      <c r="B571" s="149" t="s">
        <v>25234</v>
      </c>
      <c r="C571" s="160" t="s">
        <v>25235</v>
      </c>
      <c r="D571" s="178">
        <v>0</v>
      </c>
      <c r="E571" s="158" t="s">
        <v>189</v>
      </c>
      <c r="F571" s="178">
        <v>0</v>
      </c>
      <c r="G571" s="179">
        <f>Tabla19[[#This Row],[Importe]]-Tabla19[[#This Row],[Pagado]]</f>
        <v>0</v>
      </c>
      <c r="H571" s="153" t="s">
        <v>189</v>
      </c>
    </row>
    <row r="572" spans="1:8" x14ac:dyDescent="0.25">
      <c r="A572" s="73">
        <v>44779</v>
      </c>
      <c r="B572" s="74" t="s">
        <v>25236</v>
      </c>
      <c r="C572" s="75" t="s">
        <v>62</v>
      </c>
      <c r="D572" s="176">
        <v>4266.6000000000004</v>
      </c>
      <c r="E572" s="151">
        <v>44779</v>
      </c>
      <c r="F572" s="176">
        <v>4266.6000000000004</v>
      </c>
      <c r="G572" s="177">
        <f>Tabla19[[#This Row],[Importe]]-Tabla19[[#This Row],[Pagado]]</f>
        <v>0</v>
      </c>
      <c r="H572" s="75" t="s">
        <v>10</v>
      </c>
    </row>
    <row r="573" spans="1:8" x14ac:dyDescent="0.25">
      <c r="A573" s="148">
        <v>44779</v>
      </c>
      <c r="B573" s="149" t="s">
        <v>25237</v>
      </c>
      <c r="C573" s="153" t="s">
        <v>31</v>
      </c>
      <c r="D573" s="178">
        <v>1728</v>
      </c>
      <c r="E573" s="155">
        <v>44779</v>
      </c>
      <c r="F573" s="178">
        <v>1728</v>
      </c>
      <c r="G573" s="179">
        <f>Tabla19[[#This Row],[Importe]]-Tabla19[[#This Row],[Pagado]]</f>
        <v>0</v>
      </c>
      <c r="H573" s="153" t="s">
        <v>10</v>
      </c>
    </row>
    <row r="574" spans="1:8" x14ac:dyDescent="0.25">
      <c r="A574" s="73">
        <v>44779</v>
      </c>
      <c r="B574" s="74" t="s">
        <v>25238</v>
      </c>
      <c r="C574" s="75" t="s">
        <v>31</v>
      </c>
      <c r="D574" s="176">
        <v>268.8</v>
      </c>
      <c r="E574" s="151">
        <v>44779</v>
      </c>
      <c r="F574" s="176">
        <v>268.8</v>
      </c>
      <c r="G574" s="177">
        <f>Tabla19[[#This Row],[Importe]]-Tabla19[[#This Row],[Pagado]]</f>
        <v>0</v>
      </c>
      <c r="H574" s="75" t="s">
        <v>10</v>
      </c>
    </row>
    <row r="575" spans="1:8" x14ac:dyDescent="0.25">
      <c r="A575" s="148">
        <v>44779</v>
      </c>
      <c r="B575" s="149" t="s">
        <v>25239</v>
      </c>
      <c r="C575" s="153" t="s">
        <v>414</v>
      </c>
      <c r="D575" s="178">
        <v>26187</v>
      </c>
      <c r="E575" s="155">
        <v>44784</v>
      </c>
      <c r="F575" s="178">
        <v>26187</v>
      </c>
      <c r="G575" s="179">
        <f>Tabla19[[#This Row],[Importe]]-Tabla19[[#This Row],[Pagado]]</f>
        <v>0</v>
      </c>
      <c r="H575" s="153" t="s">
        <v>10</v>
      </c>
    </row>
    <row r="576" spans="1:8" x14ac:dyDescent="0.25">
      <c r="A576" s="73">
        <v>44779</v>
      </c>
      <c r="B576" s="74" t="s">
        <v>25240</v>
      </c>
      <c r="C576" s="75" t="s">
        <v>407</v>
      </c>
      <c r="D576" s="176">
        <v>14709</v>
      </c>
      <c r="E576" s="151">
        <v>44779</v>
      </c>
      <c r="F576" s="176">
        <v>14709</v>
      </c>
      <c r="G576" s="177">
        <f>Tabla19[[#This Row],[Importe]]-Tabla19[[#This Row],[Pagado]]</f>
        <v>0</v>
      </c>
      <c r="H576" s="75" t="s">
        <v>10</v>
      </c>
    </row>
    <row r="577" spans="1:8" x14ac:dyDescent="0.25">
      <c r="A577" s="148">
        <v>44779</v>
      </c>
      <c r="B577" s="149" t="s">
        <v>25241</v>
      </c>
      <c r="C577" s="153" t="s">
        <v>31</v>
      </c>
      <c r="D577" s="178">
        <v>433.6</v>
      </c>
      <c r="E577" s="155">
        <v>44779</v>
      </c>
      <c r="F577" s="178">
        <v>433.6</v>
      </c>
      <c r="G577" s="179">
        <f>Tabla19[[#This Row],[Importe]]-Tabla19[[#This Row],[Pagado]]</f>
        <v>0</v>
      </c>
      <c r="H577" s="153" t="s">
        <v>10</v>
      </c>
    </row>
    <row r="578" spans="1:8" x14ac:dyDescent="0.25">
      <c r="A578" s="73">
        <v>44779</v>
      </c>
      <c r="B578" s="74" t="s">
        <v>25242</v>
      </c>
      <c r="C578" s="75" t="s">
        <v>484</v>
      </c>
      <c r="D578" s="176">
        <v>4560</v>
      </c>
      <c r="E578" s="151">
        <v>44779</v>
      </c>
      <c r="F578" s="176">
        <v>4560</v>
      </c>
      <c r="G578" s="177">
        <f>Tabla19[[#This Row],[Importe]]-Tabla19[[#This Row],[Pagado]]</f>
        <v>0</v>
      </c>
      <c r="H578" s="75" t="s">
        <v>10</v>
      </c>
    </row>
    <row r="579" spans="1:8" x14ac:dyDescent="0.25">
      <c r="A579" s="148">
        <v>44779</v>
      </c>
      <c r="B579" s="149" t="s">
        <v>25243</v>
      </c>
      <c r="C579" s="153" t="s">
        <v>51</v>
      </c>
      <c r="D579" s="178">
        <v>4820</v>
      </c>
      <c r="E579" s="155">
        <v>44779</v>
      </c>
      <c r="F579" s="178">
        <v>4820</v>
      </c>
      <c r="G579" s="179">
        <f>Tabla19[[#This Row],[Importe]]-Tabla19[[#This Row],[Pagado]]</f>
        <v>0</v>
      </c>
      <c r="H579" s="153" t="s">
        <v>10</v>
      </c>
    </row>
    <row r="580" spans="1:8" x14ac:dyDescent="0.25">
      <c r="A580" s="73">
        <v>44779</v>
      </c>
      <c r="B580" s="74" t="s">
        <v>25244</v>
      </c>
      <c r="C580" s="75" t="s">
        <v>31</v>
      </c>
      <c r="D580" s="176">
        <v>1230</v>
      </c>
      <c r="E580" s="151">
        <v>44779</v>
      </c>
      <c r="F580" s="176">
        <v>1230</v>
      </c>
      <c r="G580" s="177">
        <f>Tabla19[[#This Row],[Importe]]-Tabla19[[#This Row],[Pagado]]</f>
        <v>0</v>
      </c>
      <c r="H580" s="75" t="s">
        <v>10</v>
      </c>
    </row>
    <row r="581" spans="1:8" x14ac:dyDescent="0.25">
      <c r="A581" s="148">
        <v>44779</v>
      </c>
      <c r="B581" s="149" t="s">
        <v>25245</v>
      </c>
      <c r="C581" s="153" t="s">
        <v>31</v>
      </c>
      <c r="D581" s="178">
        <v>1827</v>
      </c>
      <c r="E581" s="155">
        <v>44779</v>
      </c>
      <c r="F581" s="178">
        <v>1827</v>
      </c>
      <c r="G581" s="179">
        <f>Tabla19[[#This Row],[Importe]]-Tabla19[[#This Row],[Pagado]]</f>
        <v>0</v>
      </c>
      <c r="H581" s="153" t="s">
        <v>10</v>
      </c>
    </row>
    <row r="582" spans="1:8" x14ac:dyDescent="0.25">
      <c r="A582" s="73">
        <v>44779</v>
      </c>
      <c r="B582" s="74" t="s">
        <v>25246</v>
      </c>
      <c r="C582" s="75" t="s">
        <v>22</v>
      </c>
      <c r="D582" s="176">
        <v>5913.6</v>
      </c>
      <c r="E582" s="151">
        <v>44781</v>
      </c>
      <c r="F582" s="176">
        <v>5913.6</v>
      </c>
      <c r="G582" s="177">
        <f>Tabla19[[#This Row],[Importe]]-Tabla19[[#This Row],[Pagado]]</f>
        <v>0</v>
      </c>
      <c r="H582" s="75" t="s">
        <v>10</v>
      </c>
    </row>
    <row r="583" spans="1:8" x14ac:dyDescent="0.25">
      <c r="A583" s="148">
        <v>44779</v>
      </c>
      <c r="B583" s="149" t="s">
        <v>25247</v>
      </c>
      <c r="C583" s="153" t="s">
        <v>9</v>
      </c>
      <c r="D583" s="178">
        <v>3594.3</v>
      </c>
      <c r="E583" s="155">
        <v>44779</v>
      </c>
      <c r="F583" s="178">
        <v>3594.3</v>
      </c>
      <c r="G583" s="179">
        <f>Tabla19[[#This Row],[Importe]]-Tabla19[[#This Row],[Pagado]]</f>
        <v>0</v>
      </c>
      <c r="H583" s="153" t="s">
        <v>10</v>
      </c>
    </row>
    <row r="584" spans="1:8" x14ac:dyDescent="0.25">
      <c r="A584" s="73">
        <v>44779</v>
      </c>
      <c r="B584" s="74" t="s">
        <v>25248</v>
      </c>
      <c r="C584" s="75" t="s">
        <v>24</v>
      </c>
      <c r="D584" s="176">
        <v>636</v>
      </c>
      <c r="E584" s="151">
        <v>44779</v>
      </c>
      <c r="F584" s="176">
        <v>636</v>
      </c>
      <c r="G584" s="177">
        <f>Tabla19[[#This Row],[Importe]]-Tabla19[[#This Row],[Pagado]]</f>
        <v>0</v>
      </c>
      <c r="H584" s="75" t="s">
        <v>10</v>
      </c>
    </row>
    <row r="585" spans="1:8" x14ac:dyDescent="0.25">
      <c r="A585" s="148">
        <v>44779</v>
      </c>
      <c r="B585" s="149" t="s">
        <v>25249</v>
      </c>
      <c r="C585" s="153" t="s">
        <v>16</v>
      </c>
      <c r="D585" s="178">
        <v>2096.9</v>
      </c>
      <c r="E585" s="155">
        <v>44779</v>
      </c>
      <c r="F585" s="178">
        <v>2096.9</v>
      </c>
      <c r="G585" s="179">
        <f>Tabla19[[#This Row],[Importe]]-Tabla19[[#This Row],[Pagado]]</f>
        <v>0</v>
      </c>
      <c r="H585" s="153" t="s">
        <v>10</v>
      </c>
    </row>
    <row r="586" spans="1:8" x14ac:dyDescent="0.25">
      <c r="A586" s="73">
        <v>44779</v>
      </c>
      <c r="B586" s="74" t="s">
        <v>25250</v>
      </c>
      <c r="C586" s="75" t="s">
        <v>9827</v>
      </c>
      <c r="D586" s="176">
        <v>7823.7</v>
      </c>
      <c r="E586" s="151">
        <v>44779</v>
      </c>
      <c r="F586" s="176">
        <v>7823.7</v>
      </c>
      <c r="G586" s="177">
        <f>Tabla19[[#This Row],[Importe]]-Tabla19[[#This Row],[Pagado]]</f>
        <v>0</v>
      </c>
      <c r="H586" s="75" t="s">
        <v>10</v>
      </c>
    </row>
    <row r="587" spans="1:8" x14ac:dyDescent="0.25">
      <c r="A587" s="148">
        <v>44779</v>
      </c>
      <c r="B587" s="149" t="s">
        <v>25251</v>
      </c>
      <c r="C587" s="153" t="s">
        <v>67</v>
      </c>
      <c r="D587" s="178">
        <v>4837.2</v>
      </c>
      <c r="E587" s="155">
        <v>44779</v>
      </c>
      <c r="F587" s="178">
        <v>4837.2</v>
      </c>
      <c r="G587" s="179">
        <f>Tabla19[[#This Row],[Importe]]-Tabla19[[#This Row],[Pagado]]</f>
        <v>0</v>
      </c>
      <c r="H587" s="153" t="s">
        <v>10</v>
      </c>
    </row>
    <row r="588" spans="1:8" x14ac:dyDescent="0.25">
      <c r="A588" s="73">
        <v>44779</v>
      </c>
      <c r="B588" s="74" t="s">
        <v>25252</v>
      </c>
      <c r="C588" s="75" t="s">
        <v>1174</v>
      </c>
      <c r="D588" s="176">
        <v>26254.799999999999</v>
      </c>
      <c r="E588" s="151">
        <v>44779</v>
      </c>
      <c r="F588" s="176">
        <v>26254.799999999999</v>
      </c>
      <c r="G588" s="177">
        <f>Tabla19[[#This Row],[Importe]]-Tabla19[[#This Row],[Pagado]]</f>
        <v>0</v>
      </c>
      <c r="H588" s="75" t="s">
        <v>10</v>
      </c>
    </row>
    <row r="589" spans="1:8" x14ac:dyDescent="0.25">
      <c r="A589" s="148">
        <v>44779</v>
      </c>
      <c r="B589" s="149" t="s">
        <v>25253</v>
      </c>
      <c r="C589" s="153" t="s">
        <v>31</v>
      </c>
      <c r="D589" s="178">
        <v>4481.3999999999996</v>
      </c>
      <c r="E589" s="155">
        <v>44779</v>
      </c>
      <c r="F589" s="178">
        <v>4481.3999999999996</v>
      </c>
      <c r="G589" s="179">
        <f>Tabla19[[#This Row],[Importe]]-Tabla19[[#This Row],[Pagado]]</f>
        <v>0</v>
      </c>
      <c r="H589" s="153" t="s">
        <v>10</v>
      </c>
    </row>
    <row r="590" spans="1:8" x14ac:dyDescent="0.25">
      <c r="A590" s="73">
        <v>44779</v>
      </c>
      <c r="B590" s="74" t="s">
        <v>25254</v>
      </c>
      <c r="C590" s="75" t="s">
        <v>296</v>
      </c>
      <c r="D590" s="176">
        <v>4478.2</v>
      </c>
      <c r="E590" s="151">
        <v>44779</v>
      </c>
      <c r="F590" s="176">
        <v>4478.2</v>
      </c>
      <c r="G590" s="177">
        <f>Tabla19[[#This Row],[Importe]]-Tabla19[[#This Row],[Pagado]]</f>
        <v>0</v>
      </c>
      <c r="H590" s="75" t="s">
        <v>10</v>
      </c>
    </row>
    <row r="591" spans="1:8" x14ac:dyDescent="0.25">
      <c r="A591" s="148">
        <v>44779</v>
      </c>
      <c r="B591" s="149" t="s">
        <v>25255</v>
      </c>
      <c r="C591" s="153" t="s">
        <v>296</v>
      </c>
      <c r="D591" s="178">
        <v>88</v>
      </c>
      <c r="E591" s="155">
        <v>44779</v>
      </c>
      <c r="F591" s="178">
        <v>88</v>
      </c>
      <c r="G591" s="179">
        <f>Tabla19[[#This Row],[Importe]]-Tabla19[[#This Row],[Pagado]]</f>
        <v>0</v>
      </c>
      <c r="H591" s="153" t="s">
        <v>10</v>
      </c>
    </row>
    <row r="592" spans="1:8" x14ac:dyDescent="0.25">
      <c r="A592" s="73">
        <v>44779</v>
      </c>
      <c r="B592" s="74" t="s">
        <v>25256</v>
      </c>
      <c r="C592" s="75" t="s">
        <v>214</v>
      </c>
      <c r="D592" s="176">
        <v>1740</v>
      </c>
      <c r="E592" s="151">
        <v>44779</v>
      </c>
      <c r="F592" s="176">
        <v>1740</v>
      </c>
      <c r="G592" s="177">
        <f>Tabla19[[#This Row],[Importe]]-Tabla19[[#This Row],[Pagado]]</f>
        <v>0</v>
      </c>
      <c r="H592" s="75" t="s">
        <v>10</v>
      </c>
    </row>
    <row r="593" spans="1:8" x14ac:dyDescent="0.25">
      <c r="A593" s="148">
        <v>44779</v>
      </c>
      <c r="B593" s="149" t="s">
        <v>25257</v>
      </c>
      <c r="C593" s="153" t="s">
        <v>31</v>
      </c>
      <c r="D593" s="178">
        <v>5226</v>
      </c>
      <c r="E593" s="155">
        <v>44779</v>
      </c>
      <c r="F593" s="178">
        <v>5226</v>
      </c>
      <c r="G593" s="179">
        <f>Tabla19[[#This Row],[Importe]]-Tabla19[[#This Row],[Pagado]]</f>
        <v>0</v>
      </c>
      <c r="H593" s="153" t="s">
        <v>10</v>
      </c>
    </row>
    <row r="594" spans="1:8" x14ac:dyDescent="0.25">
      <c r="A594" s="73">
        <v>44779</v>
      </c>
      <c r="B594" s="74" t="s">
        <v>25258</v>
      </c>
      <c r="C594" s="75" t="s">
        <v>56</v>
      </c>
      <c r="D594" s="176">
        <v>10037.4</v>
      </c>
      <c r="E594" s="151">
        <v>44779</v>
      </c>
      <c r="F594" s="176">
        <v>10037.4</v>
      </c>
      <c r="G594" s="177">
        <f>Tabla19[[#This Row],[Importe]]-Tabla19[[#This Row],[Pagado]]</f>
        <v>0</v>
      </c>
      <c r="H594" s="75" t="s">
        <v>10</v>
      </c>
    </row>
    <row r="595" spans="1:8" x14ac:dyDescent="0.25">
      <c r="A595" s="148">
        <v>44779</v>
      </c>
      <c r="B595" s="149" t="s">
        <v>25259</v>
      </c>
      <c r="C595" s="153" t="s">
        <v>25260</v>
      </c>
      <c r="D595" s="178">
        <v>0</v>
      </c>
      <c r="E595" s="158" t="s">
        <v>189</v>
      </c>
      <c r="F595" s="178">
        <v>0</v>
      </c>
      <c r="G595" s="179">
        <f>Tabla19[[#This Row],[Importe]]-Tabla19[[#This Row],[Pagado]]</f>
        <v>0</v>
      </c>
      <c r="H595" s="153" t="s">
        <v>189</v>
      </c>
    </row>
    <row r="596" spans="1:8" x14ac:dyDescent="0.25">
      <c r="A596" s="73">
        <v>44779</v>
      </c>
      <c r="B596" s="74" t="s">
        <v>25261</v>
      </c>
      <c r="C596" s="75" t="s">
        <v>284</v>
      </c>
      <c r="D596" s="176">
        <v>22254.6</v>
      </c>
      <c r="E596" s="151">
        <v>44780</v>
      </c>
      <c r="F596" s="176">
        <v>22254.6</v>
      </c>
      <c r="G596" s="177">
        <f>Tabla19[[#This Row],[Importe]]-Tabla19[[#This Row],[Pagado]]</f>
        <v>0</v>
      </c>
      <c r="H596" s="75" t="s">
        <v>10</v>
      </c>
    </row>
    <row r="597" spans="1:8" x14ac:dyDescent="0.25">
      <c r="A597" s="148">
        <v>44779</v>
      </c>
      <c r="B597" s="149" t="s">
        <v>25262</v>
      </c>
      <c r="C597" s="153" t="s">
        <v>282</v>
      </c>
      <c r="D597" s="178">
        <v>13137</v>
      </c>
      <c r="E597" s="155">
        <v>44780</v>
      </c>
      <c r="F597" s="178">
        <v>13137</v>
      </c>
      <c r="G597" s="179">
        <f>Tabla19[[#This Row],[Importe]]-Tabla19[[#This Row],[Pagado]]</f>
        <v>0</v>
      </c>
      <c r="H597" s="153" t="s">
        <v>10</v>
      </c>
    </row>
    <row r="598" spans="1:8" x14ac:dyDescent="0.25">
      <c r="A598" s="73">
        <v>44779</v>
      </c>
      <c r="B598" s="74" t="s">
        <v>25263</v>
      </c>
      <c r="C598" s="75" t="s">
        <v>280</v>
      </c>
      <c r="D598" s="176">
        <v>5046</v>
      </c>
      <c r="E598" s="151">
        <v>44780</v>
      </c>
      <c r="F598" s="176">
        <v>5046</v>
      </c>
      <c r="G598" s="177">
        <f>Tabla19[[#This Row],[Importe]]-Tabla19[[#This Row],[Pagado]]</f>
        <v>0</v>
      </c>
      <c r="H598" s="75" t="s">
        <v>10</v>
      </c>
    </row>
    <row r="599" spans="1:8" x14ac:dyDescent="0.25">
      <c r="A599" s="148">
        <v>44779</v>
      </c>
      <c r="B599" s="149" t="s">
        <v>25264</v>
      </c>
      <c r="C599" s="153" t="s">
        <v>10819</v>
      </c>
      <c r="D599" s="178">
        <v>1583.4</v>
      </c>
      <c r="E599" s="155">
        <v>44780</v>
      </c>
      <c r="F599" s="178">
        <v>1583.4</v>
      </c>
      <c r="G599" s="179">
        <f>Tabla19[[#This Row],[Importe]]-Tabla19[[#This Row],[Pagado]]</f>
        <v>0</v>
      </c>
      <c r="H599" s="153" t="s">
        <v>10</v>
      </c>
    </row>
    <row r="600" spans="1:8" x14ac:dyDescent="0.25">
      <c r="A600" s="73">
        <v>44779</v>
      </c>
      <c r="B600" s="74" t="s">
        <v>25265</v>
      </c>
      <c r="C600" s="75" t="s">
        <v>10819</v>
      </c>
      <c r="D600" s="176">
        <v>40</v>
      </c>
      <c r="E600" s="151">
        <v>44780</v>
      </c>
      <c r="F600" s="176">
        <v>40</v>
      </c>
      <c r="G600" s="177">
        <f>Tabla19[[#This Row],[Importe]]-Tabla19[[#This Row],[Pagado]]</f>
        <v>0</v>
      </c>
      <c r="H600" s="75" t="s">
        <v>10</v>
      </c>
    </row>
    <row r="601" spans="1:8" x14ac:dyDescent="0.25">
      <c r="A601" s="148">
        <v>44779</v>
      </c>
      <c r="B601" s="149" t="s">
        <v>25266</v>
      </c>
      <c r="C601" s="153" t="s">
        <v>107</v>
      </c>
      <c r="D601" s="178">
        <v>34314.199999999997</v>
      </c>
      <c r="E601" s="155">
        <v>44780</v>
      </c>
      <c r="F601" s="178">
        <v>34314.199999999997</v>
      </c>
      <c r="G601" s="179">
        <f>Tabla19[[#This Row],[Importe]]-Tabla19[[#This Row],[Pagado]]</f>
        <v>0</v>
      </c>
      <c r="H601" s="153" t="s">
        <v>10</v>
      </c>
    </row>
    <row r="602" spans="1:8" x14ac:dyDescent="0.25">
      <c r="A602" s="73">
        <v>44779</v>
      </c>
      <c r="B602" s="74" t="s">
        <v>25267</v>
      </c>
      <c r="C602" s="75" t="s">
        <v>69</v>
      </c>
      <c r="D602" s="176">
        <v>3599.2</v>
      </c>
      <c r="E602" s="151">
        <v>44779</v>
      </c>
      <c r="F602" s="176">
        <v>3599.2</v>
      </c>
      <c r="G602" s="177">
        <f>Tabla19[[#This Row],[Importe]]-Tabla19[[#This Row],[Pagado]]</f>
        <v>0</v>
      </c>
      <c r="H602" s="75" t="s">
        <v>10</v>
      </c>
    </row>
    <row r="603" spans="1:8" x14ac:dyDescent="0.25">
      <c r="A603" s="148">
        <v>44779</v>
      </c>
      <c r="B603" s="149" t="s">
        <v>25268</v>
      </c>
      <c r="C603" s="153" t="s">
        <v>16</v>
      </c>
      <c r="D603" s="178">
        <v>1903.2</v>
      </c>
      <c r="E603" s="155">
        <v>44779</v>
      </c>
      <c r="F603" s="178">
        <v>1903.2</v>
      </c>
      <c r="G603" s="179">
        <f>Tabla19[[#This Row],[Importe]]-Tabla19[[#This Row],[Pagado]]</f>
        <v>0</v>
      </c>
      <c r="H603" s="153" t="s">
        <v>10</v>
      </c>
    </row>
    <row r="604" spans="1:8" x14ac:dyDescent="0.25">
      <c r="A604" s="73">
        <v>44779</v>
      </c>
      <c r="B604" s="74" t="s">
        <v>25269</v>
      </c>
      <c r="C604" s="75" t="s">
        <v>1421</v>
      </c>
      <c r="D604" s="176">
        <v>54689.599999999999</v>
      </c>
      <c r="E604" s="151">
        <v>44779</v>
      </c>
      <c r="F604" s="176">
        <v>54689.599999999999</v>
      </c>
      <c r="G604" s="177">
        <f>Tabla19[[#This Row],[Importe]]-Tabla19[[#This Row],[Pagado]]</f>
        <v>0</v>
      </c>
      <c r="H604" s="75" t="s">
        <v>10</v>
      </c>
    </row>
    <row r="605" spans="1:8" x14ac:dyDescent="0.25">
      <c r="A605" s="148">
        <v>44779</v>
      </c>
      <c r="B605" s="149" t="s">
        <v>25270</v>
      </c>
      <c r="C605" s="153" t="s">
        <v>1421</v>
      </c>
      <c r="D605" s="178">
        <v>414</v>
      </c>
      <c r="E605" s="155">
        <v>44779</v>
      </c>
      <c r="F605" s="178">
        <v>414</v>
      </c>
      <c r="G605" s="179">
        <f>Tabla19[[#This Row],[Importe]]-Tabla19[[#This Row],[Pagado]]</f>
        <v>0</v>
      </c>
      <c r="H605" s="153" t="s">
        <v>10</v>
      </c>
    </row>
    <row r="606" spans="1:8" x14ac:dyDescent="0.25">
      <c r="A606" s="73">
        <v>44779</v>
      </c>
      <c r="B606" s="74" t="s">
        <v>25271</v>
      </c>
      <c r="C606" s="75" t="s">
        <v>10840</v>
      </c>
      <c r="D606" s="176">
        <v>5093.8</v>
      </c>
      <c r="E606" s="151">
        <v>44779</v>
      </c>
      <c r="F606" s="176">
        <v>5093.8</v>
      </c>
      <c r="G606" s="177">
        <f>Tabla19[[#This Row],[Importe]]-Tabla19[[#This Row],[Pagado]]</f>
        <v>0</v>
      </c>
      <c r="H606" s="75" t="s">
        <v>10</v>
      </c>
    </row>
    <row r="607" spans="1:8" x14ac:dyDescent="0.25">
      <c r="A607" s="148">
        <v>44779</v>
      </c>
      <c r="B607" s="149" t="s">
        <v>25272</v>
      </c>
      <c r="C607" s="153" t="s">
        <v>224</v>
      </c>
      <c r="D607" s="178">
        <v>1290</v>
      </c>
      <c r="E607" s="155">
        <v>44779</v>
      </c>
      <c r="F607" s="178">
        <v>1290</v>
      </c>
      <c r="G607" s="179">
        <f>Tabla19[[#This Row],[Importe]]-Tabla19[[#This Row],[Pagado]]</f>
        <v>0</v>
      </c>
      <c r="H607" s="153" t="s">
        <v>10</v>
      </c>
    </row>
    <row r="608" spans="1:8" ht="31.5" x14ac:dyDescent="0.25">
      <c r="A608" s="73">
        <v>44779</v>
      </c>
      <c r="B608" s="74" t="s">
        <v>25273</v>
      </c>
      <c r="C608" s="181" t="s">
        <v>11504</v>
      </c>
      <c r="D608" s="176">
        <v>0</v>
      </c>
      <c r="E608" s="157" t="s">
        <v>189</v>
      </c>
      <c r="F608" s="176">
        <v>0</v>
      </c>
      <c r="G608" s="177">
        <f>Tabla19[[#This Row],[Importe]]-Tabla19[[#This Row],[Pagado]]</f>
        <v>0</v>
      </c>
      <c r="H608" s="75" t="s">
        <v>189</v>
      </c>
    </row>
    <row r="609" spans="1:8" x14ac:dyDescent="0.25">
      <c r="A609" s="148">
        <v>44779</v>
      </c>
      <c r="B609" s="149" t="s">
        <v>25274</v>
      </c>
      <c r="C609" s="153" t="s">
        <v>31</v>
      </c>
      <c r="D609" s="178">
        <v>1292</v>
      </c>
      <c r="E609" s="155">
        <v>44779</v>
      </c>
      <c r="F609" s="178">
        <v>1292</v>
      </c>
      <c r="G609" s="179">
        <f>Tabla19[[#This Row],[Importe]]-Tabla19[[#This Row],[Pagado]]</f>
        <v>0</v>
      </c>
      <c r="H609" s="153" t="s">
        <v>10</v>
      </c>
    </row>
    <row r="610" spans="1:8" x14ac:dyDescent="0.25">
      <c r="A610" s="73">
        <v>44779</v>
      </c>
      <c r="B610" s="74" t="s">
        <v>25275</v>
      </c>
      <c r="C610" s="75" t="s">
        <v>470</v>
      </c>
      <c r="D610" s="176">
        <v>10407.6</v>
      </c>
      <c r="E610" s="151">
        <v>44781</v>
      </c>
      <c r="F610" s="176">
        <v>10407.6</v>
      </c>
      <c r="G610" s="177">
        <f>Tabla19[[#This Row],[Importe]]-Tabla19[[#This Row],[Pagado]]</f>
        <v>0</v>
      </c>
      <c r="H610" s="75" t="s">
        <v>10</v>
      </c>
    </row>
    <row r="611" spans="1:8" x14ac:dyDescent="0.25">
      <c r="A611" s="148">
        <v>44779</v>
      </c>
      <c r="B611" s="149" t="s">
        <v>25276</v>
      </c>
      <c r="C611" s="153" t="s">
        <v>31</v>
      </c>
      <c r="D611" s="178">
        <v>2565</v>
      </c>
      <c r="E611" s="155">
        <v>44779</v>
      </c>
      <c r="F611" s="178">
        <v>2565</v>
      </c>
      <c r="G611" s="179">
        <f>Tabla19[[#This Row],[Importe]]-Tabla19[[#This Row],[Pagado]]</f>
        <v>0</v>
      </c>
      <c r="H611" s="153" t="s">
        <v>10</v>
      </c>
    </row>
    <row r="612" spans="1:8" x14ac:dyDescent="0.25">
      <c r="A612" s="73">
        <v>44779</v>
      </c>
      <c r="B612" s="74" t="s">
        <v>25277</v>
      </c>
      <c r="C612" s="75" t="s">
        <v>442</v>
      </c>
      <c r="D612" s="176">
        <v>18197.599999999999</v>
      </c>
      <c r="E612" s="151">
        <v>44779</v>
      </c>
      <c r="F612" s="176">
        <v>18197.599999999999</v>
      </c>
      <c r="G612" s="177">
        <f>Tabla19[[#This Row],[Importe]]-Tabla19[[#This Row],[Pagado]]</f>
        <v>0</v>
      </c>
      <c r="H612" s="75" t="s">
        <v>10</v>
      </c>
    </row>
    <row r="613" spans="1:8" x14ac:dyDescent="0.25">
      <c r="A613" s="148">
        <v>44779</v>
      </c>
      <c r="B613" s="149" t="s">
        <v>25278</v>
      </c>
      <c r="C613" s="153" t="s">
        <v>35</v>
      </c>
      <c r="D613" s="178">
        <v>3319.6</v>
      </c>
      <c r="E613" s="155">
        <v>44779</v>
      </c>
      <c r="F613" s="178">
        <v>3319.6</v>
      </c>
      <c r="G613" s="179">
        <f>Tabla19[[#This Row],[Importe]]-Tabla19[[#This Row],[Pagado]]</f>
        <v>0</v>
      </c>
      <c r="H613" s="153" t="s">
        <v>10</v>
      </c>
    </row>
    <row r="614" spans="1:8" x14ac:dyDescent="0.25">
      <c r="A614" s="73">
        <v>44779</v>
      </c>
      <c r="B614" s="74" t="s">
        <v>25279</v>
      </c>
      <c r="C614" s="75" t="s">
        <v>1362</v>
      </c>
      <c r="D614" s="176">
        <v>8580</v>
      </c>
      <c r="E614" s="151">
        <v>44781</v>
      </c>
      <c r="F614" s="176">
        <v>8580</v>
      </c>
      <c r="G614" s="177">
        <f>Tabla19[[#This Row],[Importe]]-Tabla19[[#This Row],[Pagado]]</f>
        <v>0</v>
      </c>
      <c r="H614" s="75" t="s">
        <v>10</v>
      </c>
    </row>
    <row r="615" spans="1:8" x14ac:dyDescent="0.25">
      <c r="A615" s="148">
        <v>44779</v>
      </c>
      <c r="B615" s="149" t="s">
        <v>25280</v>
      </c>
      <c r="C615" s="153" t="s">
        <v>31</v>
      </c>
      <c r="D615" s="178">
        <v>519.20000000000005</v>
      </c>
      <c r="E615" s="155">
        <v>44779</v>
      </c>
      <c r="F615" s="178">
        <v>519.20000000000005</v>
      </c>
      <c r="G615" s="179">
        <f>Tabla19[[#This Row],[Importe]]-Tabla19[[#This Row],[Pagado]]</f>
        <v>0</v>
      </c>
      <c r="H615" s="153" t="s">
        <v>10</v>
      </c>
    </row>
    <row r="616" spans="1:8" x14ac:dyDescent="0.25">
      <c r="A616" s="73">
        <v>44779</v>
      </c>
      <c r="B616" s="74" t="s">
        <v>25281</v>
      </c>
      <c r="C616" s="75" t="s">
        <v>296</v>
      </c>
      <c r="D616" s="176">
        <v>1469.6</v>
      </c>
      <c r="E616" s="151">
        <v>44779</v>
      </c>
      <c r="F616" s="176">
        <v>1469.6</v>
      </c>
      <c r="G616" s="177">
        <f>Tabla19[[#This Row],[Importe]]-Tabla19[[#This Row],[Pagado]]</f>
        <v>0</v>
      </c>
      <c r="H616" s="75" t="s">
        <v>10</v>
      </c>
    </row>
    <row r="617" spans="1:8" x14ac:dyDescent="0.25">
      <c r="A617" s="148">
        <v>44779</v>
      </c>
      <c r="B617" s="149" t="s">
        <v>25282</v>
      </c>
      <c r="C617" s="153" t="s">
        <v>31</v>
      </c>
      <c r="D617" s="178">
        <v>130.19999999999999</v>
      </c>
      <c r="E617" s="155">
        <v>44779</v>
      </c>
      <c r="F617" s="178">
        <v>130.19999999999999</v>
      </c>
      <c r="G617" s="179">
        <f>Tabla19[[#This Row],[Importe]]-Tabla19[[#This Row],[Pagado]]</f>
        <v>0</v>
      </c>
      <c r="H617" s="153" t="s">
        <v>10</v>
      </c>
    </row>
    <row r="618" spans="1:8" x14ac:dyDescent="0.25">
      <c r="A618" s="73">
        <v>44779</v>
      </c>
      <c r="B618" s="74" t="s">
        <v>25283</v>
      </c>
      <c r="C618" s="75" t="s">
        <v>31</v>
      </c>
      <c r="D618" s="176">
        <v>156</v>
      </c>
      <c r="E618" s="151">
        <v>44779</v>
      </c>
      <c r="F618" s="176">
        <v>156</v>
      </c>
      <c r="G618" s="177">
        <f>Tabla19[[#This Row],[Importe]]-Tabla19[[#This Row],[Pagado]]</f>
        <v>0</v>
      </c>
      <c r="H618" s="75" t="s">
        <v>10</v>
      </c>
    </row>
    <row r="619" spans="1:8" x14ac:dyDescent="0.25">
      <c r="A619" s="148">
        <v>44779</v>
      </c>
      <c r="B619" s="149" t="s">
        <v>25284</v>
      </c>
      <c r="C619" s="153" t="s">
        <v>167</v>
      </c>
      <c r="D619" s="178">
        <v>229870.3</v>
      </c>
      <c r="E619" s="155">
        <v>44779</v>
      </c>
      <c r="F619" s="178">
        <v>229870.3</v>
      </c>
      <c r="G619" s="179">
        <f>Tabla19[[#This Row],[Importe]]-Tabla19[[#This Row],[Pagado]]</f>
        <v>0</v>
      </c>
      <c r="H619" s="153" t="s">
        <v>10</v>
      </c>
    </row>
    <row r="620" spans="1:8" x14ac:dyDescent="0.25">
      <c r="A620" s="73">
        <v>44779</v>
      </c>
      <c r="B620" s="74" t="s">
        <v>25285</v>
      </c>
      <c r="C620" s="75" t="s">
        <v>196</v>
      </c>
      <c r="D620" s="176">
        <v>133227.72</v>
      </c>
      <c r="E620" s="151">
        <v>44786</v>
      </c>
      <c r="F620" s="176">
        <v>133227.72</v>
      </c>
      <c r="G620" s="177">
        <f>Tabla19[[#This Row],[Importe]]-Tabla19[[#This Row],[Pagado]]</f>
        <v>0</v>
      </c>
      <c r="H620" s="75" t="s">
        <v>10</v>
      </c>
    </row>
    <row r="621" spans="1:8" x14ac:dyDescent="0.25">
      <c r="A621" s="148">
        <v>44780</v>
      </c>
      <c r="B621" s="149" t="s">
        <v>25286</v>
      </c>
      <c r="C621" s="153" t="s">
        <v>1187</v>
      </c>
      <c r="D621" s="178">
        <v>3671.8</v>
      </c>
      <c r="E621" s="155">
        <v>44780</v>
      </c>
      <c r="F621" s="178">
        <v>3671.8</v>
      </c>
      <c r="G621" s="179">
        <f>Tabla19[[#This Row],[Importe]]-Tabla19[[#This Row],[Pagado]]</f>
        <v>0</v>
      </c>
      <c r="H621" s="153" t="s">
        <v>10</v>
      </c>
    </row>
    <row r="622" spans="1:8" x14ac:dyDescent="0.25">
      <c r="A622" s="73">
        <v>44780</v>
      </c>
      <c r="B622" s="74" t="s">
        <v>25287</v>
      </c>
      <c r="C622" s="75" t="s">
        <v>9</v>
      </c>
      <c r="D622" s="176">
        <v>9911.1</v>
      </c>
      <c r="E622" s="151">
        <v>44780</v>
      </c>
      <c r="F622" s="176">
        <v>9911.1</v>
      </c>
      <c r="G622" s="177">
        <f>Tabla19[[#This Row],[Importe]]-Tabla19[[#This Row],[Pagado]]</f>
        <v>0</v>
      </c>
      <c r="H622" s="75" t="s">
        <v>10</v>
      </c>
    </row>
    <row r="623" spans="1:8" x14ac:dyDescent="0.25">
      <c r="A623" s="148">
        <v>44780</v>
      </c>
      <c r="B623" s="149" t="s">
        <v>25288</v>
      </c>
      <c r="C623" s="153" t="s">
        <v>12</v>
      </c>
      <c r="D623" s="178">
        <v>20019.849999999999</v>
      </c>
      <c r="E623" s="155">
        <v>44780</v>
      </c>
      <c r="F623" s="178">
        <v>20019.849999999999</v>
      </c>
      <c r="G623" s="179">
        <f>Tabla19[[#This Row],[Importe]]-Tabla19[[#This Row],[Pagado]]</f>
        <v>0</v>
      </c>
      <c r="H623" s="153" t="s">
        <v>10</v>
      </c>
    </row>
    <row r="624" spans="1:8" x14ac:dyDescent="0.25">
      <c r="A624" s="73">
        <v>44780</v>
      </c>
      <c r="B624" s="74" t="s">
        <v>25289</v>
      </c>
      <c r="C624" s="75" t="s">
        <v>167</v>
      </c>
      <c r="D624" s="176">
        <v>4297.6000000000004</v>
      </c>
      <c r="E624" s="151">
        <v>44780</v>
      </c>
      <c r="F624" s="176">
        <v>4297.6000000000004</v>
      </c>
      <c r="G624" s="177">
        <f>Tabla19[[#This Row],[Importe]]-Tabla19[[#This Row],[Pagado]]</f>
        <v>0</v>
      </c>
      <c r="H624" s="75" t="s">
        <v>10</v>
      </c>
    </row>
    <row r="625" spans="1:8" x14ac:dyDescent="0.25">
      <c r="A625" s="148">
        <v>44780</v>
      </c>
      <c r="B625" s="149" t="s">
        <v>25290</v>
      </c>
      <c r="C625" s="153" t="s">
        <v>49</v>
      </c>
      <c r="D625" s="178">
        <v>4644.3999999999996</v>
      </c>
      <c r="E625" s="155">
        <v>44780</v>
      </c>
      <c r="F625" s="178">
        <v>4644.3999999999996</v>
      </c>
      <c r="G625" s="179">
        <f>Tabla19[[#This Row],[Importe]]-Tabla19[[#This Row],[Pagado]]</f>
        <v>0</v>
      </c>
      <c r="H625" s="153" t="s">
        <v>10</v>
      </c>
    </row>
    <row r="626" spans="1:8" x14ac:dyDescent="0.25">
      <c r="A626" s="73">
        <v>44780</v>
      </c>
      <c r="B626" s="74" t="s">
        <v>25291</v>
      </c>
      <c r="C626" s="75" t="s">
        <v>475</v>
      </c>
      <c r="D626" s="176">
        <v>51634</v>
      </c>
      <c r="E626" s="151">
        <v>44781</v>
      </c>
      <c r="F626" s="176">
        <v>51634</v>
      </c>
      <c r="G626" s="177">
        <f>Tabla19[[#This Row],[Importe]]-Tabla19[[#This Row],[Pagado]]</f>
        <v>0</v>
      </c>
      <c r="H626" s="75" t="s">
        <v>10</v>
      </c>
    </row>
    <row r="627" spans="1:8" x14ac:dyDescent="0.25">
      <c r="A627" s="148">
        <v>44780</v>
      </c>
      <c r="B627" s="149" t="s">
        <v>25292</v>
      </c>
      <c r="C627" s="153" t="s">
        <v>16</v>
      </c>
      <c r="D627" s="178">
        <v>11527.6</v>
      </c>
      <c r="E627" s="155">
        <v>44780</v>
      </c>
      <c r="F627" s="178">
        <v>11527.6</v>
      </c>
      <c r="G627" s="179">
        <f>Tabla19[[#This Row],[Importe]]-Tabla19[[#This Row],[Pagado]]</f>
        <v>0</v>
      </c>
      <c r="H627" s="153" t="s">
        <v>10</v>
      </c>
    </row>
    <row r="628" spans="1:8" x14ac:dyDescent="0.25">
      <c r="A628" s="73">
        <v>44780</v>
      </c>
      <c r="B628" s="74" t="s">
        <v>25293</v>
      </c>
      <c r="C628" s="75" t="s">
        <v>29</v>
      </c>
      <c r="D628" s="176">
        <v>9909.2999999999993</v>
      </c>
      <c r="E628" s="151">
        <v>44780</v>
      </c>
      <c r="F628" s="176">
        <v>9909.2999999999993</v>
      </c>
      <c r="G628" s="177">
        <f>Tabla19[[#This Row],[Importe]]-Tabla19[[#This Row],[Pagado]]</f>
        <v>0</v>
      </c>
      <c r="H628" s="75" t="s">
        <v>10</v>
      </c>
    </row>
    <row r="629" spans="1:8" x14ac:dyDescent="0.25">
      <c r="A629" s="148">
        <v>44780</v>
      </c>
      <c r="B629" s="149" t="s">
        <v>25294</v>
      </c>
      <c r="C629" s="153" t="s">
        <v>27</v>
      </c>
      <c r="D629" s="178">
        <v>744</v>
      </c>
      <c r="E629" s="155">
        <v>44780</v>
      </c>
      <c r="F629" s="178">
        <v>744</v>
      </c>
      <c r="G629" s="179">
        <f>Tabla19[[#This Row],[Importe]]-Tabla19[[#This Row],[Pagado]]</f>
        <v>0</v>
      </c>
      <c r="H629" s="153" t="s">
        <v>10</v>
      </c>
    </row>
    <row r="630" spans="1:8" x14ac:dyDescent="0.25">
      <c r="A630" s="73">
        <v>44780</v>
      </c>
      <c r="B630" s="74" t="s">
        <v>25295</v>
      </c>
      <c r="C630" s="75" t="s">
        <v>37</v>
      </c>
      <c r="D630" s="176">
        <v>3783.6</v>
      </c>
      <c r="E630" s="151">
        <v>44780</v>
      </c>
      <c r="F630" s="176">
        <v>3783.6</v>
      </c>
      <c r="G630" s="177">
        <f>Tabla19[[#This Row],[Importe]]-Tabla19[[#This Row],[Pagado]]</f>
        <v>0</v>
      </c>
      <c r="H630" s="75" t="s">
        <v>10</v>
      </c>
    </row>
    <row r="631" spans="1:8" ht="31.5" x14ac:dyDescent="0.25">
      <c r="A631" s="148">
        <v>44780</v>
      </c>
      <c r="B631" s="149" t="s">
        <v>25296</v>
      </c>
      <c r="C631" s="153" t="s">
        <v>22</v>
      </c>
      <c r="D631" s="178">
        <v>72813.899999999994</v>
      </c>
      <c r="E631" s="150" t="s">
        <v>25193</v>
      </c>
      <c r="F631" s="178">
        <f>55000+17813.9</f>
        <v>72813.899999999994</v>
      </c>
      <c r="G631" s="179">
        <f>Tabla19[[#This Row],[Importe]]-Tabla19[[#This Row],[Pagado]]</f>
        <v>0</v>
      </c>
      <c r="H631" s="153" t="s">
        <v>10</v>
      </c>
    </row>
    <row r="632" spans="1:8" x14ac:dyDescent="0.25">
      <c r="A632" s="73">
        <v>44780</v>
      </c>
      <c r="B632" s="74" t="s">
        <v>25297</v>
      </c>
      <c r="C632" s="75" t="s">
        <v>49</v>
      </c>
      <c r="D632" s="176">
        <v>761.6</v>
      </c>
      <c r="E632" s="151">
        <v>44780</v>
      </c>
      <c r="F632" s="176">
        <v>761.6</v>
      </c>
      <c r="G632" s="177">
        <f>Tabla19[[#This Row],[Importe]]-Tabla19[[#This Row],[Pagado]]</f>
        <v>0</v>
      </c>
      <c r="H632" s="75" t="s">
        <v>10</v>
      </c>
    </row>
    <row r="633" spans="1:8" x14ac:dyDescent="0.25">
      <c r="A633" s="148">
        <v>44780</v>
      </c>
      <c r="B633" s="149" t="s">
        <v>25298</v>
      </c>
      <c r="C633" s="153" t="s">
        <v>224</v>
      </c>
      <c r="D633" s="178">
        <v>5885.8</v>
      </c>
      <c r="E633" s="155">
        <v>44780</v>
      </c>
      <c r="F633" s="178">
        <v>5885.8</v>
      </c>
      <c r="G633" s="179">
        <f>Tabla19[[#This Row],[Importe]]-Tabla19[[#This Row],[Pagado]]</f>
        <v>0</v>
      </c>
      <c r="H633" s="153" t="s">
        <v>10</v>
      </c>
    </row>
    <row r="634" spans="1:8" x14ac:dyDescent="0.25">
      <c r="A634" s="73">
        <v>44780</v>
      </c>
      <c r="B634" s="74" t="s">
        <v>25299</v>
      </c>
      <c r="C634" s="75" t="s">
        <v>31</v>
      </c>
      <c r="D634" s="176">
        <v>3490.4</v>
      </c>
      <c r="E634" s="151">
        <v>44780</v>
      </c>
      <c r="F634" s="176">
        <v>3490.4</v>
      </c>
      <c r="G634" s="177">
        <f>Tabla19[[#This Row],[Importe]]-Tabla19[[#This Row],[Pagado]]</f>
        <v>0</v>
      </c>
      <c r="H634" s="75" t="s">
        <v>10</v>
      </c>
    </row>
    <row r="635" spans="1:8" x14ac:dyDescent="0.25">
      <c r="A635" s="148">
        <v>44780</v>
      </c>
      <c r="B635" s="149" t="s">
        <v>25300</v>
      </c>
      <c r="C635" s="153" t="s">
        <v>20</v>
      </c>
      <c r="D635" s="178">
        <v>10886.8</v>
      </c>
      <c r="E635" s="155">
        <v>44780</v>
      </c>
      <c r="F635" s="178">
        <v>10886.8</v>
      </c>
      <c r="G635" s="179">
        <f>Tabla19[[#This Row],[Importe]]-Tabla19[[#This Row],[Pagado]]</f>
        <v>0</v>
      </c>
      <c r="H635" s="153" t="s">
        <v>10</v>
      </c>
    </row>
    <row r="636" spans="1:8" x14ac:dyDescent="0.25">
      <c r="A636" s="73">
        <v>44780</v>
      </c>
      <c r="B636" s="74" t="s">
        <v>25301</v>
      </c>
      <c r="C636" s="75" t="s">
        <v>111</v>
      </c>
      <c r="D636" s="176">
        <v>1418.1</v>
      </c>
      <c r="E636" s="151">
        <v>44780</v>
      </c>
      <c r="F636" s="176">
        <v>1418.1</v>
      </c>
      <c r="G636" s="177">
        <f>Tabla19[[#This Row],[Importe]]-Tabla19[[#This Row],[Pagado]]</f>
        <v>0</v>
      </c>
      <c r="H636" s="75" t="s">
        <v>10</v>
      </c>
    </row>
    <row r="637" spans="1:8" x14ac:dyDescent="0.25">
      <c r="A637" s="148">
        <v>44780</v>
      </c>
      <c r="B637" s="149" t="s">
        <v>25302</v>
      </c>
      <c r="C637" s="153" t="s">
        <v>31</v>
      </c>
      <c r="D637" s="178">
        <v>2610</v>
      </c>
      <c r="E637" s="155">
        <v>44780</v>
      </c>
      <c r="F637" s="178">
        <v>2610</v>
      </c>
      <c r="G637" s="179">
        <f>Tabla19[[#This Row],[Importe]]-Tabla19[[#This Row],[Pagado]]</f>
        <v>0</v>
      </c>
      <c r="H637" s="153" t="s">
        <v>10</v>
      </c>
    </row>
    <row r="638" spans="1:8" x14ac:dyDescent="0.25">
      <c r="A638" s="73">
        <v>44780</v>
      </c>
      <c r="B638" s="74" t="s">
        <v>25303</v>
      </c>
      <c r="C638" s="75" t="s">
        <v>45</v>
      </c>
      <c r="D638" s="176">
        <v>8500.9</v>
      </c>
      <c r="E638" s="151">
        <v>44780</v>
      </c>
      <c r="F638" s="176">
        <v>8500.9</v>
      </c>
      <c r="G638" s="177">
        <f>Tabla19[[#This Row],[Importe]]-Tabla19[[#This Row],[Pagado]]</f>
        <v>0</v>
      </c>
      <c r="H638" s="75" t="s">
        <v>10</v>
      </c>
    </row>
    <row r="639" spans="1:8" x14ac:dyDescent="0.25">
      <c r="A639" s="148">
        <v>44780</v>
      </c>
      <c r="B639" s="149" t="s">
        <v>25304</v>
      </c>
      <c r="C639" s="153" t="s">
        <v>1003</v>
      </c>
      <c r="D639" s="178">
        <v>13445.9</v>
      </c>
      <c r="E639" s="155">
        <v>44785</v>
      </c>
      <c r="F639" s="178">
        <v>13445.9</v>
      </c>
      <c r="G639" s="179">
        <f>Tabla19[[#This Row],[Importe]]-Tabla19[[#This Row],[Pagado]]</f>
        <v>0</v>
      </c>
      <c r="H639" s="153" t="s">
        <v>10</v>
      </c>
    </row>
    <row r="640" spans="1:8" x14ac:dyDescent="0.25">
      <c r="A640" s="73">
        <v>44780</v>
      </c>
      <c r="B640" s="74" t="s">
        <v>25305</v>
      </c>
      <c r="C640" s="75" t="s">
        <v>31</v>
      </c>
      <c r="D640" s="176">
        <v>80</v>
      </c>
      <c r="E640" s="151">
        <v>44780</v>
      </c>
      <c r="F640" s="176">
        <v>80</v>
      </c>
      <c r="G640" s="177">
        <f>Tabla19[[#This Row],[Importe]]-Tabla19[[#This Row],[Pagado]]</f>
        <v>0</v>
      </c>
      <c r="H640" s="75" t="s">
        <v>10</v>
      </c>
    </row>
    <row r="641" spans="1:8" x14ac:dyDescent="0.25">
      <c r="A641" s="148">
        <v>44780</v>
      </c>
      <c r="B641" s="149" t="s">
        <v>25306</v>
      </c>
      <c r="C641" s="153" t="s">
        <v>12</v>
      </c>
      <c r="D641" s="178">
        <v>11446</v>
      </c>
      <c r="E641" s="155">
        <v>44780</v>
      </c>
      <c r="F641" s="178">
        <v>11446</v>
      </c>
      <c r="G641" s="179">
        <f>Tabla19[[#This Row],[Importe]]-Tabla19[[#This Row],[Pagado]]</f>
        <v>0</v>
      </c>
      <c r="H641" s="153" t="s">
        <v>10</v>
      </c>
    </row>
    <row r="642" spans="1:8" x14ac:dyDescent="0.25">
      <c r="A642" s="73">
        <v>44780</v>
      </c>
      <c r="B642" s="74" t="s">
        <v>25307</v>
      </c>
      <c r="C642" s="75" t="s">
        <v>24</v>
      </c>
      <c r="D642" s="176">
        <v>1521.6</v>
      </c>
      <c r="E642" s="151">
        <v>44780</v>
      </c>
      <c r="F642" s="176">
        <v>1521.6</v>
      </c>
      <c r="G642" s="177">
        <f>Tabla19[[#This Row],[Importe]]-Tabla19[[#This Row],[Pagado]]</f>
        <v>0</v>
      </c>
      <c r="H642" s="75" t="s">
        <v>10</v>
      </c>
    </row>
    <row r="643" spans="1:8" x14ac:dyDescent="0.25">
      <c r="A643" s="148">
        <v>44780</v>
      </c>
      <c r="B643" s="149" t="s">
        <v>25308</v>
      </c>
      <c r="C643" s="153" t="s">
        <v>35</v>
      </c>
      <c r="D643" s="178">
        <v>638.4</v>
      </c>
      <c r="E643" s="155">
        <v>44780</v>
      </c>
      <c r="F643" s="178">
        <v>638.4</v>
      </c>
      <c r="G643" s="179">
        <f>Tabla19[[#This Row],[Importe]]-Tabla19[[#This Row],[Pagado]]</f>
        <v>0</v>
      </c>
      <c r="H643" s="153" t="s">
        <v>10</v>
      </c>
    </row>
    <row r="644" spans="1:8" x14ac:dyDescent="0.25">
      <c r="A644" s="73">
        <v>44780</v>
      </c>
      <c r="B644" s="74" t="s">
        <v>25309</v>
      </c>
      <c r="C644" s="75" t="s">
        <v>35</v>
      </c>
      <c r="D644" s="176">
        <v>105.6</v>
      </c>
      <c r="E644" s="151">
        <v>44780</v>
      </c>
      <c r="F644" s="176">
        <v>105.6</v>
      </c>
      <c r="G644" s="177">
        <f>Tabla19[[#This Row],[Importe]]-Tabla19[[#This Row],[Pagado]]</f>
        <v>0</v>
      </c>
      <c r="H644" s="75" t="s">
        <v>10</v>
      </c>
    </row>
    <row r="645" spans="1:8" x14ac:dyDescent="0.25">
      <c r="A645" s="148">
        <v>44780</v>
      </c>
      <c r="B645" s="149" t="s">
        <v>25310</v>
      </c>
      <c r="C645" s="153" t="s">
        <v>216</v>
      </c>
      <c r="D645" s="178">
        <v>2314.1999999999998</v>
      </c>
      <c r="E645" s="155">
        <v>44780</v>
      </c>
      <c r="F645" s="178">
        <v>2314.1999999999998</v>
      </c>
      <c r="G645" s="179">
        <f>Tabla19[[#This Row],[Importe]]-Tabla19[[#This Row],[Pagado]]</f>
        <v>0</v>
      </c>
      <c r="H645" s="153" t="s">
        <v>10</v>
      </c>
    </row>
    <row r="646" spans="1:8" x14ac:dyDescent="0.25">
      <c r="A646" s="73">
        <v>44780</v>
      </c>
      <c r="B646" s="74" t="s">
        <v>25311</v>
      </c>
      <c r="C646" s="75" t="s">
        <v>56</v>
      </c>
      <c r="D646" s="176">
        <v>10585</v>
      </c>
      <c r="E646" s="151">
        <v>44780</v>
      </c>
      <c r="F646" s="176">
        <v>10585</v>
      </c>
      <c r="G646" s="177">
        <f>Tabla19[[#This Row],[Importe]]-Tabla19[[#This Row],[Pagado]]</f>
        <v>0</v>
      </c>
      <c r="H646" s="75" t="s">
        <v>10</v>
      </c>
    </row>
    <row r="647" spans="1:8" x14ac:dyDescent="0.25">
      <c r="A647" s="148">
        <v>44780</v>
      </c>
      <c r="B647" s="149" t="s">
        <v>25312</v>
      </c>
      <c r="C647" s="153" t="s">
        <v>9827</v>
      </c>
      <c r="D647" s="178">
        <v>3549.6</v>
      </c>
      <c r="E647" s="155">
        <v>44780</v>
      </c>
      <c r="F647" s="178">
        <v>3549.6</v>
      </c>
      <c r="G647" s="179">
        <f>Tabla19[[#This Row],[Importe]]-Tabla19[[#This Row],[Pagado]]</f>
        <v>0</v>
      </c>
      <c r="H647" s="153" t="s">
        <v>10</v>
      </c>
    </row>
    <row r="648" spans="1:8" x14ac:dyDescent="0.25">
      <c r="A648" s="73">
        <v>44780</v>
      </c>
      <c r="B648" s="74" t="s">
        <v>25313</v>
      </c>
      <c r="C648" s="75" t="s">
        <v>214</v>
      </c>
      <c r="D648" s="176">
        <v>2201.1</v>
      </c>
      <c r="E648" s="151">
        <v>44780</v>
      </c>
      <c r="F648" s="176">
        <v>2201.1</v>
      </c>
      <c r="G648" s="177">
        <f>Tabla19[[#This Row],[Importe]]-Tabla19[[#This Row],[Pagado]]</f>
        <v>0</v>
      </c>
      <c r="H648" s="75" t="s">
        <v>10</v>
      </c>
    </row>
    <row r="649" spans="1:8" x14ac:dyDescent="0.25">
      <c r="A649" s="148">
        <v>44780</v>
      </c>
      <c r="B649" s="149" t="s">
        <v>25314</v>
      </c>
      <c r="C649" s="153" t="s">
        <v>4136</v>
      </c>
      <c r="D649" s="178">
        <v>1629.9</v>
      </c>
      <c r="E649" s="155">
        <v>44780</v>
      </c>
      <c r="F649" s="178">
        <v>1629.9</v>
      </c>
      <c r="G649" s="179">
        <f>Tabla19[[#This Row],[Importe]]-Tabla19[[#This Row],[Pagado]]</f>
        <v>0</v>
      </c>
      <c r="H649" s="153" t="s">
        <v>10</v>
      </c>
    </row>
    <row r="650" spans="1:8" x14ac:dyDescent="0.25">
      <c r="A650" s="73">
        <v>44780</v>
      </c>
      <c r="B650" s="74" t="s">
        <v>25315</v>
      </c>
      <c r="C650" s="75" t="s">
        <v>296</v>
      </c>
      <c r="D650" s="176">
        <v>1425.6</v>
      </c>
      <c r="E650" s="151">
        <v>44780</v>
      </c>
      <c r="F650" s="176">
        <v>1425.6</v>
      </c>
      <c r="G650" s="177">
        <f>Tabla19[[#This Row],[Importe]]-Tabla19[[#This Row],[Pagado]]</f>
        <v>0</v>
      </c>
      <c r="H650" s="75" t="s">
        <v>10</v>
      </c>
    </row>
    <row r="651" spans="1:8" x14ac:dyDescent="0.25">
      <c r="A651" s="148">
        <v>44780</v>
      </c>
      <c r="B651" s="149" t="s">
        <v>25316</v>
      </c>
      <c r="C651" s="153" t="s">
        <v>58</v>
      </c>
      <c r="D651" s="178">
        <v>2726.9</v>
      </c>
      <c r="E651" s="155">
        <v>44780</v>
      </c>
      <c r="F651" s="178">
        <v>2726.9</v>
      </c>
      <c r="G651" s="179">
        <f>Tabla19[[#This Row],[Importe]]-Tabla19[[#This Row],[Pagado]]</f>
        <v>0</v>
      </c>
      <c r="H651" s="153" t="s">
        <v>10</v>
      </c>
    </row>
    <row r="652" spans="1:8" x14ac:dyDescent="0.25">
      <c r="A652" s="73">
        <v>44780</v>
      </c>
      <c r="B652" s="74" t="s">
        <v>25317</v>
      </c>
      <c r="C652" s="75" t="s">
        <v>53</v>
      </c>
      <c r="D652" s="176">
        <v>1572.8</v>
      </c>
      <c r="E652" s="151">
        <v>44780</v>
      </c>
      <c r="F652" s="176">
        <v>1572.8</v>
      </c>
      <c r="G652" s="177">
        <f>Tabla19[[#This Row],[Importe]]-Tabla19[[#This Row],[Pagado]]</f>
        <v>0</v>
      </c>
      <c r="H652" s="75" t="s">
        <v>10</v>
      </c>
    </row>
    <row r="653" spans="1:8" x14ac:dyDescent="0.25">
      <c r="A653" s="148">
        <v>44780</v>
      </c>
      <c r="B653" s="149" t="s">
        <v>25318</v>
      </c>
      <c r="C653" s="153" t="s">
        <v>24284</v>
      </c>
      <c r="D653" s="178">
        <v>1548.6</v>
      </c>
      <c r="E653" s="155">
        <v>44780</v>
      </c>
      <c r="F653" s="178">
        <v>1548.6</v>
      </c>
      <c r="G653" s="179">
        <f>Tabla19[[#This Row],[Importe]]-Tabla19[[#This Row],[Pagado]]</f>
        <v>0</v>
      </c>
      <c r="H653" s="153" t="s">
        <v>10</v>
      </c>
    </row>
    <row r="654" spans="1:8" x14ac:dyDescent="0.25">
      <c r="A654" s="73">
        <v>44780</v>
      </c>
      <c r="B654" s="74" t="s">
        <v>25319</v>
      </c>
      <c r="C654" s="75" t="s">
        <v>994</v>
      </c>
      <c r="D654" s="176">
        <v>2585.9</v>
      </c>
      <c r="E654" s="151">
        <v>44780</v>
      </c>
      <c r="F654" s="176">
        <v>2585.9</v>
      </c>
      <c r="G654" s="177">
        <f>Tabla19[[#This Row],[Importe]]-Tabla19[[#This Row],[Pagado]]</f>
        <v>0</v>
      </c>
      <c r="H654" s="75" t="s">
        <v>10</v>
      </c>
    </row>
    <row r="655" spans="1:8" x14ac:dyDescent="0.25">
      <c r="A655" s="148">
        <v>44780</v>
      </c>
      <c r="B655" s="149" t="s">
        <v>25320</v>
      </c>
      <c r="C655" s="153" t="s">
        <v>31</v>
      </c>
      <c r="D655" s="178">
        <v>3865.4</v>
      </c>
      <c r="E655" s="155">
        <v>44780</v>
      </c>
      <c r="F655" s="178">
        <v>3865.4</v>
      </c>
      <c r="G655" s="179">
        <f>Tabla19[[#This Row],[Importe]]-Tabla19[[#This Row],[Pagado]]</f>
        <v>0</v>
      </c>
      <c r="H655" s="153" t="s">
        <v>10</v>
      </c>
    </row>
    <row r="656" spans="1:8" x14ac:dyDescent="0.25">
      <c r="A656" s="73">
        <v>44780</v>
      </c>
      <c r="B656" s="74" t="s">
        <v>25321</v>
      </c>
      <c r="C656" s="75" t="s">
        <v>71</v>
      </c>
      <c r="D656" s="176">
        <v>1761.2</v>
      </c>
      <c r="E656" s="151">
        <v>44780</v>
      </c>
      <c r="F656" s="176">
        <v>1761.2</v>
      </c>
      <c r="G656" s="177">
        <f>Tabla19[[#This Row],[Importe]]-Tabla19[[#This Row],[Pagado]]</f>
        <v>0</v>
      </c>
      <c r="H656" s="75" t="s">
        <v>10</v>
      </c>
    </row>
    <row r="657" spans="1:8" x14ac:dyDescent="0.25">
      <c r="A657" s="148">
        <v>44780</v>
      </c>
      <c r="B657" s="149" t="s">
        <v>25322</v>
      </c>
      <c r="C657" s="153" t="s">
        <v>857</v>
      </c>
      <c r="D657" s="178">
        <v>528</v>
      </c>
      <c r="E657" s="155">
        <v>44780</v>
      </c>
      <c r="F657" s="178">
        <v>528</v>
      </c>
      <c r="G657" s="179">
        <f>Tabla19[[#This Row],[Importe]]-Tabla19[[#This Row],[Pagado]]</f>
        <v>0</v>
      </c>
      <c r="H657" s="153" t="s">
        <v>10</v>
      </c>
    </row>
    <row r="658" spans="1:8" x14ac:dyDescent="0.25">
      <c r="A658" s="73">
        <v>44780</v>
      </c>
      <c r="B658" s="74" t="s">
        <v>25323</v>
      </c>
      <c r="C658" s="75" t="s">
        <v>35</v>
      </c>
      <c r="D658" s="176">
        <v>188</v>
      </c>
      <c r="E658" s="151">
        <v>44780</v>
      </c>
      <c r="F658" s="176">
        <v>188</v>
      </c>
      <c r="G658" s="177">
        <f>Tabla19[[#This Row],[Importe]]-Tabla19[[#This Row],[Pagado]]</f>
        <v>0</v>
      </c>
      <c r="H658" s="75" t="s">
        <v>10</v>
      </c>
    </row>
    <row r="659" spans="1:8" x14ac:dyDescent="0.25">
      <c r="A659" s="148">
        <v>44780</v>
      </c>
      <c r="B659" s="149" t="s">
        <v>25324</v>
      </c>
      <c r="C659" s="153" t="s">
        <v>22</v>
      </c>
      <c r="D659" s="178">
        <v>5867.4</v>
      </c>
      <c r="E659" s="155">
        <v>44781</v>
      </c>
      <c r="F659" s="178">
        <v>5867.4</v>
      </c>
      <c r="G659" s="179">
        <f>Tabla19[[#This Row],[Importe]]-Tabla19[[#This Row],[Pagado]]</f>
        <v>0</v>
      </c>
      <c r="H659" s="153" t="s">
        <v>10</v>
      </c>
    </row>
    <row r="660" spans="1:8" x14ac:dyDescent="0.25">
      <c r="A660" s="73">
        <v>44780</v>
      </c>
      <c r="B660" s="74" t="s">
        <v>25325</v>
      </c>
      <c r="C660" s="75" t="s">
        <v>16</v>
      </c>
      <c r="D660" s="176">
        <v>1938</v>
      </c>
      <c r="E660" s="151">
        <v>44780</v>
      </c>
      <c r="F660" s="176">
        <v>1938</v>
      </c>
      <c r="G660" s="177">
        <f>Tabla19[[#This Row],[Importe]]-Tabla19[[#This Row],[Pagado]]</f>
        <v>0</v>
      </c>
      <c r="H660" s="75" t="s">
        <v>10</v>
      </c>
    </row>
    <row r="661" spans="1:8" x14ac:dyDescent="0.25">
      <c r="A661" s="148">
        <v>44780</v>
      </c>
      <c r="B661" s="149" t="s">
        <v>25326</v>
      </c>
      <c r="C661" s="153" t="s">
        <v>69</v>
      </c>
      <c r="D661" s="178">
        <v>2081.1</v>
      </c>
      <c r="E661" s="155">
        <v>44780</v>
      </c>
      <c r="F661" s="178">
        <v>2081.1</v>
      </c>
      <c r="G661" s="179">
        <f>Tabla19[[#This Row],[Importe]]-Tabla19[[#This Row],[Pagado]]</f>
        <v>0</v>
      </c>
      <c r="H661" s="153" t="s">
        <v>10</v>
      </c>
    </row>
    <row r="662" spans="1:8" x14ac:dyDescent="0.25">
      <c r="A662" s="73">
        <v>44780</v>
      </c>
      <c r="B662" s="74" t="s">
        <v>25327</v>
      </c>
      <c r="C662" s="75" t="s">
        <v>196</v>
      </c>
      <c r="D662" s="176">
        <v>11673.2</v>
      </c>
      <c r="E662" s="151">
        <v>44786</v>
      </c>
      <c r="F662" s="176">
        <v>11673.2</v>
      </c>
      <c r="G662" s="177">
        <f>Tabla19[[#This Row],[Importe]]-Tabla19[[#This Row],[Pagado]]</f>
        <v>0</v>
      </c>
      <c r="H662" s="75" t="s">
        <v>10</v>
      </c>
    </row>
    <row r="663" spans="1:8" x14ac:dyDescent="0.25">
      <c r="A663" s="148">
        <v>44780</v>
      </c>
      <c r="B663" s="149" t="s">
        <v>25328</v>
      </c>
      <c r="C663" s="153" t="s">
        <v>296</v>
      </c>
      <c r="D663" s="178">
        <v>3008.9</v>
      </c>
      <c r="E663" s="155">
        <v>44780</v>
      </c>
      <c r="F663" s="178">
        <v>3008.9</v>
      </c>
      <c r="G663" s="179">
        <f>Tabla19[[#This Row],[Importe]]-Tabla19[[#This Row],[Pagado]]</f>
        <v>0</v>
      </c>
      <c r="H663" s="153" t="s">
        <v>10</v>
      </c>
    </row>
    <row r="664" spans="1:8" x14ac:dyDescent="0.25">
      <c r="A664" s="73">
        <v>44780</v>
      </c>
      <c r="B664" s="74" t="s">
        <v>25329</v>
      </c>
      <c r="C664" s="75" t="s">
        <v>31</v>
      </c>
      <c r="D664" s="176">
        <v>2278</v>
      </c>
      <c r="E664" s="151">
        <v>44780</v>
      </c>
      <c r="F664" s="176">
        <v>2278</v>
      </c>
      <c r="G664" s="177">
        <f>Tabla19[[#This Row],[Importe]]-Tabla19[[#This Row],[Pagado]]</f>
        <v>0</v>
      </c>
      <c r="H664" s="75" t="s">
        <v>10</v>
      </c>
    </row>
    <row r="665" spans="1:8" x14ac:dyDescent="0.25">
      <c r="A665" s="148">
        <v>44780</v>
      </c>
      <c r="B665" s="149" t="s">
        <v>25330</v>
      </c>
      <c r="C665" s="153" t="s">
        <v>67</v>
      </c>
      <c r="D665" s="178">
        <v>294</v>
      </c>
      <c r="E665" s="155">
        <v>44780</v>
      </c>
      <c r="F665" s="178">
        <v>294</v>
      </c>
      <c r="G665" s="179">
        <f>Tabla19[[#This Row],[Importe]]-Tabla19[[#This Row],[Pagado]]</f>
        <v>0</v>
      </c>
      <c r="H665" s="153" t="s">
        <v>10</v>
      </c>
    </row>
    <row r="666" spans="1:8" x14ac:dyDescent="0.25">
      <c r="A666" s="73">
        <v>44780</v>
      </c>
      <c r="B666" s="74" t="s">
        <v>25331</v>
      </c>
      <c r="C666" s="75" t="s">
        <v>16</v>
      </c>
      <c r="D666" s="176">
        <v>1740.8</v>
      </c>
      <c r="E666" s="151">
        <v>44780</v>
      </c>
      <c r="F666" s="176">
        <v>1740.8</v>
      </c>
      <c r="G666" s="177">
        <f>Tabla19[[#This Row],[Importe]]-Tabla19[[#This Row],[Pagado]]</f>
        <v>0</v>
      </c>
      <c r="H666" s="75" t="s">
        <v>10</v>
      </c>
    </row>
    <row r="667" spans="1:8" x14ac:dyDescent="0.25">
      <c r="A667" s="148">
        <v>44780</v>
      </c>
      <c r="B667" s="149" t="s">
        <v>25332</v>
      </c>
      <c r="C667" s="153" t="s">
        <v>75</v>
      </c>
      <c r="D667" s="178">
        <v>8630.4</v>
      </c>
      <c r="E667" s="155">
        <v>44780</v>
      </c>
      <c r="F667" s="178">
        <v>8630.4</v>
      </c>
      <c r="G667" s="179">
        <f>Tabla19[[#This Row],[Importe]]-Tabla19[[#This Row],[Pagado]]</f>
        <v>0</v>
      </c>
      <c r="H667" s="153" t="s">
        <v>10</v>
      </c>
    </row>
    <row r="668" spans="1:8" x14ac:dyDescent="0.25">
      <c r="A668" s="73">
        <v>44780</v>
      </c>
      <c r="B668" s="74" t="s">
        <v>25333</v>
      </c>
      <c r="C668" s="75" t="s">
        <v>226</v>
      </c>
      <c r="D668" s="176">
        <v>17138.599999999999</v>
      </c>
      <c r="E668" s="151">
        <v>44780</v>
      </c>
      <c r="F668" s="176">
        <v>17138.599999999999</v>
      </c>
      <c r="G668" s="177">
        <f>Tabla19[[#This Row],[Importe]]-Tabla19[[#This Row],[Pagado]]</f>
        <v>0</v>
      </c>
      <c r="H668" s="75" t="s">
        <v>10</v>
      </c>
    </row>
    <row r="669" spans="1:8" x14ac:dyDescent="0.25">
      <c r="A669" s="148">
        <v>44780</v>
      </c>
      <c r="B669" s="149" t="s">
        <v>25334</v>
      </c>
      <c r="C669" s="153" t="s">
        <v>296</v>
      </c>
      <c r="D669" s="178">
        <v>678.6</v>
      </c>
      <c r="E669" s="155">
        <v>44780</v>
      </c>
      <c r="F669" s="178">
        <v>678.6</v>
      </c>
      <c r="G669" s="179">
        <f>Tabla19[[#This Row],[Importe]]-Tabla19[[#This Row],[Pagado]]</f>
        <v>0</v>
      </c>
      <c r="H669" s="153" t="s">
        <v>10</v>
      </c>
    </row>
    <row r="670" spans="1:8" x14ac:dyDescent="0.25">
      <c r="A670" s="73">
        <v>44781</v>
      </c>
      <c r="B670" s="74" t="s">
        <v>25335</v>
      </c>
      <c r="C670" s="75" t="s">
        <v>887</v>
      </c>
      <c r="D670" s="176">
        <v>11208.6</v>
      </c>
      <c r="E670" s="151">
        <v>44781</v>
      </c>
      <c r="F670" s="176">
        <v>11208.6</v>
      </c>
      <c r="G670" s="177">
        <f>Tabla19[[#This Row],[Importe]]-Tabla19[[#This Row],[Pagado]]</f>
        <v>0</v>
      </c>
      <c r="H670" s="75" t="s">
        <v>10</v>
      </c>
    </row>
    <row r="671" spans="1:8" ht="31.5" x14ac:dyDescent="0.25">
      <c r="A671" s="148">
        <v>44781</v>
      </c>
      <c r="B671" s="149" t="s">
        <v>25336</v>
      </c>
      <c r="C671" s="153" t="s">
        <v>475</v>
      </c>
      <c r="D671" s="178">
        <v>118743.8</v>
      </c>
      <c r="E671" s="150" t="s">
        <v>25337</v>
      </c>
      <c r="F671" s="178">
        <f>105900+12843.8</f>
        <v>118743.8</v>
      </c>
      <c r="G671" s="179">
        <f>Tabla19[[#This Row],[Importe]]-Tabla19[[#This Row],[Pagado]]</f>
        <v>0</v>
      </c>
      <c r="H671" s="153" t="s">
        <v>10</v>
      </c>
    </row>
    <row r="672" spans="1:8" x14ac:dyDescent="0.25">
      <c r="A672" s="73">
        <v>44781</v>
      </c>
      <c r="B672" s="74" t="s">
        <v>25338</v>
      </c>
      <c r="C672" s="75" t="s">
        <v>31</v>
      </c>
      <c r="D672" s="176">
        <v>8543.4</v>
      </c>
      <c r="E672" s="151">
        <v>44781</v>
      </c>
      <c r="F672" s="176">
        <v>8543.4</v>
      </c>
      <c r="G672" s="177">
        <f>Tabla19[[#This Row],[Importe]]-Tabla19[[#This Row],[Pagado]]</f>
        <v>0</v>
      </c>
      <c r="H672" s="75" t="s">
        <v>10</v>
      </c>
    </row>
    <row r="673" spans="1:8" x14ac:dyDescent="0.25">
      <c r="A673" s="148">
        <v>44781</v>
      </c>
      <c r="B673" s="149" t="s">
        <v>25339</v>
      </c>
      <c r="C673" s="153" t="s">
        <v>473</v>
      </c>
      <c r="D673" s="178">
        <v>4970.8</v>
      </c>
      <c r="E673" s="155">
        <v>44781</v>
      </c>
      <c r="F673" s="178">
        <v>4970.8</v>
      </c>
      <c r="G673" s="179">
        <f>Tabla19[[#This Row],[Importe]]-Tabla19[[#This Row],[Pagado]]</f>
        <v>0</v>
      </c>
      <c r="H673" s="153" t="s">
        <v>10</v>
      </c>
    </row>
    <row r="674" spans="1:8" x14ac:dyDescent="0.25">
      <c r="A674" s="73">
        <v>44781</v>
      </c>
      <c r="B674" s="74" t="s">
        <v>25340</v>
      </c>
      <c r="C674" s="75" t="s">
        <v>11383</v>
      </c>
      <c r="D674" s="176">
        <v>31411.200000000001</v>
      </c>
      <c r="E674" s="151">
        <v>44781</v>
      </c>
      <c r="F674" s="176">
        <v>31411.200000000001</v>
      </c>
      <c r="G674" s="177">
        <f>Tabla19[[#This Row],[Importe]]-Tabla19[[#This Row],[Pagado]]</f>
        <v>0</v>
      </c>
      <c r="H674" s="75" t="s">
        <v>10</v>
      </c>
    </row>
    <row r="675" spans="1:8" x14ac:dyDescent="0.25">
      <c r="A675" s="148">
        <v>44781</v>
      </c>
      <c r="B675" s="149" t="s">
        <v>25341</v>
      </c>
      <c r="C675" s="153" t="s">
        <v>89</v>
      </c>
      <c r="D675" s="178">
        <v>11771.9</v>
      </c>
      <c r="E675" s="155">
        <v>44782</v>
      </c>
      <c r="F675" s="178">
        <v>11771.9</v>
      </c>
      <c r="G675" s="179">
        <f>Tabla19[[#This Row],[Importe]]-Tabla19[[#This Row],[Pagado]]</f>
        <v>0</v>
      </c>
      <c r="H675" s="153" t="s">
        <v>10</v>
      </c>
    </row>
    <row r="676" spans="1:8" x14ac:dyDescent="0.25">
      <c r="A676" s="73">
        <v>44781</v>
      </c>
      <c r="B676" s="74" t="s">
        <v>25342</v>
      </c>
      <c r="C676" s="75" t="s">
        <v>481</v>
      </c>
      <c r="D676" s="176">
        <v>912.8</v>
      </c>
      <c r="E676" s="151">
        <v>44781</v>
      </c>
      <c r="F676" s="176">
        <v>912.8</v>
      </c>
      <c r="G676" s="177">
        <f>Tabla19[[#This Row],[Importe]]-Tabla19[[#This Row],[Pagado]]</f>
        <v>0</v>
      </c>
      <c r="H676" s="75" t="s">
        <v>10</v>
      </c>
    </row>
    <row r="677" spans="1:8" x14ac:dyDescent="0.25">
      <c r="A677" s="148">
        <v>44781</v>
      </c>
      <c r="B677" s="149" t="s">
        <v>25343</v>
      </c>
      <c r="C677" s="153" t="s">
        <v>60</v>
      </c>
      <c r="D677" s="178">
        <v>4243.8</v>
      </c>
      <c r="E677" s="155">
        <v>44785</v>
      </c>
      <c r="F677" s="178">
        <v>4243.8</v>
      </c>
      <c r="G677" s="179">
        <f>Tabla19[[#This Row],[Importe]]-Tabla19[[#This Row],[Pagado]]</f>
        <v>0</v>
      </c>
      <c r="H677" s="153" t="s">
        <v>10</v>
      </c>
    </row>
    <row r="678" spans="1:8" x14ac:dyDescent="0.25">
      <c r="A678" s="73">
        <v>44781</v>
      </c>
      <c r="B678" s="74" t="s">
        <v>25344</v>
      </c>
      <c r="C678" s="75" t="s">
        <v>99</v>
      </c>
      <c r="D678" s="176">
        <v>3879.3</v>
      </c>
      <c r="E678" s="151">
        <v>44783</v>
      </c>
      <c r="F678" s="176">
        <v>3879.3</v>
      </c>
      <c r="G678" s="177">
        <f>Tabla19[[#This Row],[Importe]]-Tabla19[[#This Row],[Pagado]]</f>
        <v>0</v>
      </c>
      <c r="H678" s="75" t="s">
        <v>10</v>
      </c>
    </row>
    <row r="679" spans="1:8" x14ac:dyDescent="0.25">
      <c r="A679" s="148">
        <v>44781</v>
      </c>
      <c r="B679" s="149" t="s">
        <v>25345</v>
      </c>
      <c r="C679" s="153" t="s">
        <v>11383</v>
      </c>
      <c r="D679" s="178">
        <v>3833.7</v>
      </c>
      <c r="E679" s="155">
        <v>44781</v>
      </c>
      <c r="F679" s="178">
        <v>3833.7</v>
      </c>
      <c r="G679" s="179">
        <f>Tabla19[[#This Row],[Importe]]-Tabla19[[#This Row],[Pagado]]</f>
        <v>0</v>
      </c>
      <c r="H679" s="153" t="s">
        <v>10</v>
      </c>
    </row>
    <row r="680" spans="1:8" ht="31.5" x14ac:dyDescent="0.25">
      <c r="A680" s="73">
        <v>44781</v>
      </c>
      <c r="B680" s="74" t="s">
        <v>25346</v>
      </c>
      <c r="C680" s="75" t="s">
        <v>93</v>
      </c>
      <c r="D680" s="176">
        <v>10933.5</v>
      </c>
      <c r="E680" s="147" t="s">
        <v>25337</v>
      </c>
      <c r="F680" s="176">
        <f>8000+2933.5</f>
        <v>10933.5</v>
      </c>
      <c r="G680" s="177">
        <f>Tabla19[[#This Row],[Importe]]-Tabla19[[#This Row],[Pagado]]</f>
        <v>0</v>
      </c>
      <c r="H680" s="75" t="s">
        <v>10</v>
      </c>
    </row>
    <row r="681" spans="1:8" x14ac:dyDescent="0.25">
      <c r="A681" s="148">
        <v>44781</v>
      </c>
      <c r="B681" s="149" t="s">
        <v>25347</v>
      </c>
      <c r="C681" s="153" t="s">
        <v>114</v>
      </c>
      <c r="D681" s="178">
        <v>11795.2</v>
      </c>
      <c r="E681" s="155">
        <v>44782</v>
      </c>
      <c r="F681" s="178">
        <v>11795.2</v>
      </c>
      <c r="G681" s="179">
        <f>Tabla19[[#This Row],[Importe]]-Tabla19[[#This Row],[Pagado]]</f>
        <v>0</v>
      </c>
      <c r="H681" s="153" t="s">
        <v>10</v>
      </c>
    </row>
    <row r="682" spans="1:8" x14ac:dyDescent="0.25">
      <c r="A682" s="73">
        <v>44781</v>
      </c>
      <c r="B682" s="74" t="s">
        <v>25348</v>
      </c>
      <c r="C682" s="75" t="s">
        <v>105</v>
      </c>
      <c r="D682" s="176">
        <v>9275.7000000000007</v>
      </c>
      <c r="E682" s="151">
        <v>44782</v>
      </c>
      <c r="F682" s="176">
        <v>9275.7000000000007</v>
      </c>
      <c r="G682" s="177">
        <f>Tabla19[[#This Row],[Importe]]-Tabla19[[#This Row],[Pagado]]</f>
        <v>0</v>
      </c>
      <c r="H682" s="75" t="s">
        <v>10</v>
      </c>
    </row>
    <row r="683" spans="1:8" x14ac:dyDescent="0.25">
      <c r="A683" s="148">
        <v>44781</v>
      </c>
      <c r="B683" s="149" t="s">
        <v>25349</v>
      </c>
      <c r="C683" s="153" t="s">
        <v>2563</v>
      </c>
      <c r="D683" s="178">
        <v>5464.8</v>
      </c>
      <c r="E683" s="155">
        <v>44782</v>
      </c>
      <c r="F683" s="178">
        <v>5464.8</v>
      </c>
      <c r="G683" s="179">
        <f>Tabla19[[#This Row],[Importe]]-Tabla19[[#This Row],[Pagado]]</f>
        <v>0</v>
      </c>
      <c r="H683" s="153" t="s">
        <v>10</v>
      </c>
    </row>
    <row r="684" spans="1:8" x14ac:dyDescent="0.25">
      <c r="A684" s="73">
        <v>44781</v>
      </c>
      <c r="B684" s="74" t="s">
        <v>25350</v>
      </c>
      <c r="C684" s="75" t="s">
        <v>111</v>
      </c>
      <c r="D684" s="176">
        <v>5344</v>
      </c>
      <c r="E684" s="151">
        <v>44783</v>
      </c>
      <c r="F684" s="176">
        <v>5344</v>
      </c>
      <c r="G684" s="177">
        <f>Tabla19[[#This Row],[Importe]]-Tabla19[[#This Row],[Pagado]]</f>
        <v>0</v>
      </c>
      <c r="H684" s="75" t="s">
        <v>10</v>
      </c>
    </row>
    <row r="685" spans="1:8" x14ac:dyDescent="0.25">
      <c r="A685" s="148">
        <v>44781</v>
      </c>
      <c r="B685" s="149" t="s">
        <v>25351</v>
      </c>
      <c r="C685" s="153" t="s">
        <v>109</v>
      </c>
      <c r="D685" s="178">
        <v>5107.2</v>
      </c>
      <c r="E685" s="155">
        <v>44782</v>
      </c>
      <c r="F685" s="178">
        <v>5107.2</v>
      </c>
      <c r="G685" s="179">
        <f>Tabla19[[#This Row],[Importe]]-Tabla19[[#This Row],[Pagado]]</f>
        <v>0</v>
      </c>
      <c r="H685" s="153" t="s">
        <v>10</v>
      </c>
    </row>
    <row r="686" spans="1:8" x14ac:dyDescent="0.25">
      <c r="A686" s="73">
        <v>44781</v>
      </c>
      <c r="B686" s="74" t="s">
        <v>25352</v>
      </c>
      <c r="C686" s="75" t="s">
        <v>9</v>
      </c>
      <c r="D686" s="176">
        <v>4942.8</v>
      </c>
      <c r="E686" s="151">
        <v>44781</v>
      </c>
      <c r="F686" s="176">
        <v>4942.8</v>
      </c>
      <c r="G686" s="177">
        <f>Tabla19[[#This Row],[Importe]]-Tabla19[[#This Row],[Pagado]]</f>
        <v>0</v>
      </c>
      <c r="H686" s="75" t="s">
        <v>10</v>
      </c>
    </row>
    <row r="687" spans="1:8" x14ac:dyDescent="0.25">
      <c r="A687" s="148">
        <v>44781</v>
      </c>
      <c r="B687" s="149" t="s">
        <v>25353</v>
      </c>
      <c r="C687" s="153" t="s">
        <v>97</v>
      </c>
      <c r="D687" s="178">
        <v>5431.8</v>
      </c>
      <c r="E687" s="155">
        <v>44782</v>
      </c>
      <c r="F687" s="178">
        <v>5431.8</v>
      </c>
      <c r="G687" s="179">
        <f>Tabla19[[#This Row],[Importe]]-Tabla19[[#This Row],[Pagado]]</f>
        <v>0</v>
      </c>
      <c r="H687" s="153" t="s">
        <v>10</v>
      </c>
    </row>
    <row r="688" spans="1:8" x14ac:dyDescent="0.25">
      <c r="A688" s="73">
        <v>44781</v>
      </c>
      <c r="B688" s="74" t="s">
        <v>25354</v>
      </c>
      <c r="C688" s="75" t="s">
        <v>64</v>
      </c>
      <c r="D688" s="176">
        <v>4745.3999999999996</v>
      </c>
      <c r="E688" s="151">
        <v>44782</v>
      </c>
      <c r="F688" s="176">
        <v>4745.3999999999996</v>
      </c>
      <c r="G688" s="177">
        <f>Tabla19[[#This Row],[Importe]]-Tabla19[[#This Row],[Pagado]]</f>
        <v>0</v>
      </c>
      <c r="H688" s="75" t="s">
        <v>10</v>
      </c>
    </row>
    <row r="689" spans="1:8" x14ac:dyDescent="0.25">
      <c r="A689" s="148">
        <v>44781</v>
      </c>
      <c r="B689" s="149" t="s">
        <v>25355</v>
      </c>
      <c r="C689" s="153" t="s">
        <v>2151</v>
      </c>
      <c r="D689" s="178">
        <v>16678.2</v>
      </c>
      <c r="E689" s="155">
        <v>44781</v>
      </c>
      <c r="F689" s="178">
        <v>16678.2</v>
      </c>
      <c r="G689" s="179">
        <f>Tabla19[[#This Row],[Importe]]-Tabla19[[#This Row],[Pagado]]</f>
        <v>0</v>
      </c>
      <c r="H689" s="153" t="s">
        <v>10</v>
      </c>
    </row>
    <row r="690" spans="1:8" x14ac:dyDescent="0.25">
      <c r="A690" s="73">
        <v>44781</v>
      </c>
      <c r="B690" s="74" t="s">
        <v>25356</v>
      </c>
      <c r="C690" s="75" t="s">
        <v>924</v>
      </c>
      <c r="D690" s="176">
        <v>15764.1</v>
      </c>
      <c r="E690" s="151">
        <v>44781</v>
      </c>
      <c r="F690" s="176">
        <v>15764.1</v>
      </c>
      <c r="G690" s="177">
        <f>Tabla19[[#This Row],[Importe]]-Tabla19[[#This Row],[Pagado]]</f>
        <v>0</v>
      </c>
      <c r="H690" s="75" t="s">
        <v>10</v>
      </c>
    </row>
    <row r="691" spans="1:8" x14ac:dyDescent="0.25">
      <c r="A691" s="148">
        <v>44781</v>
      </c>
      <c r="B691" s="149" t="s">
        <v>25357</v>
      </c>
      <c r="C691" s="153" t="s">
        <v>9</v>
      </c>
      <c r="D691" s="178">
        <v>3845.4</v>
      </c>
      <c r="E691" s="155">
        <v>44781</v>
      </c>
      <c r="F691" s="178">
        <v>3845.4</v>
      </c>
      <c r="G691" s="179">
        <f>Tabla19[[#This Row],[Importe]]-Tabla19[[#This Row],[Pagado]]</f>
        <v>0</v>
      </c>
      <c r="H691" s="153" t="s">
        <v>10</v>
      </c>
    </row>
    <row r="692" spans="1:8" x14ac:dyDescent="0.25">
      <c r="A692" s="73">
        <v>44781</v>
      </c>
      <c r="B692" s="74" t="s">
        <v>25358</v>
      </c>
      <c r="C692" s="75" t="s">
        <v>212</v>
      </c>
      <c r="D692" s="176">
        <v>43727.9</v>
      </c>
      <c r="E692" s="151">
        <v>44783</v>
      </c>
      <c r="F692" s="176">
        <v>43727.9</v>
      </c>
      <c r="G692" s="177">
        <f>Tabla19[[#This Row],[Importe]]-Tabla19[[#This Row],[Pagado]]</f>
        <v>0</v>
      </c>
      <c r="H692" s="75" t="s">
        <v>10</v>
      </c>
    </row>
    <row r="693" spans="1:8" x14ac:dyDescent="0.25">
      <c r="A693" s="148">
        <v>44781</v>
      </c>
      <c r="B693" s="149" t="s">
        <v>25359</v>
      </c>
      <c r="C693" s="153" t="s">
        <v>1187</v>
      </c>
      <c r="D693" s="178">
        <v>2961.4</v>
      </c>
      <c r="E693" s="155">
        <v>44781</v>
      </c>
      <c r="F693" s="178">
        <v>2961.4</v>
      </c>
      <c r="G693" s="179">
        <f>Tabla19[[#This Row],[Importe]]-Tabla19[[#This Row],[Pagado]]</f>
        <v>0</v>
      </c>
      <c r="H693" s="153" t="s">
        <v>10</v>
      </c>
    </row>
    <row r="694" spans="1:8" x14ac:dyDescent="0.25">
      <c r="A694" s="73">
        <v>44781</v>
      </c>
      <c r="B694" s="74" t="s">
        <v>25360</v>
      </c>
      <c r="C694" s="75" t="s">
        <v>4707</v>
      </c>
      <c r="D694" s="176">
        <v>0</v>
      </c>
      <c r="E694" s="157" t="s">
        <v>189</v>
      </c>
      <c r="F694" s="176">
        <v>0</v>
      </c>
      <c r="G694" s="177">
        <f>Tabla19[[#This Row],[Importe]]-Tabla19[[#This Row],[Pagado]]</f>
        <v>0</v>
      </c>
      <c r="H694" s="161" t="s">
        <v>25361</v>
      </c>
    </row>
    <row r="695" spans="1:8" x14ac:dyDescent="0.25">
      <c r="A695" s="148">
        <v>44781</v>
      </c>
      <c r="B695" s="149" t="s">
        <v>25362</v>
      </c>
      <c r="C695" s="153" t="s">
        <v>206</v>
      </c>
      <c r="D695" s="178">
        <v>27812.5</v>
      </c>
      <c r="E695" s="155">
        <v>44784</v>
      </c>
      <c r="F695" s="178">
        <v>27812.5</v>
      </c>
      <c r="G695" s="179">
        <f>Tabla19[[#This Row],[Importe]]-Tabla19[[#This Row],[Pagado]]</f>
        <v>0</v>
      </c>
      <c r="H695" s="153" t="s">
        <v>10</v>
      </c>
    </row>
    <row r="696" spans="1:8" x14ac:dyDescent="0.25">
      <c r="A696" s="73">
        <v>44781</v>
      </c>
      <c r="B696" s="74" t="s">
        <v>25363</v>
      </c>
      <c r="C696" s="75" t="s">
        <v>154</v>
      </c>
      <c r="D696" s="176">
        <v>27749.599999999999</v>
      </c>
      <c r="E696" s="151">
        <v>44784</v>
      </c>
      <c r="F696" s="176">
        <v>27749.599999999999</v>
      </c>
      <c r="G696" s="177">
        <f>Tabla19[[#This Row],[Importe]]-Tabla19[[#This Row],[Pagado]]</f>
        <v>0</v>
      </c>
      <c r="H696" s="75" t="s">
        <v>10</v>
      </c>
    </row>
    <row r="697" spans="1:8" x14ac:dyDescent="0.25">
      <c r="A697" s="148">
        <v>44781</v>
      </c>
      <c r="B697" s="149" t="s">
        <v>25364</v>
      </c>
      <c r="C697" s="153" t="s">
        <v>173</v>
      </c>
      <c r="D697" s="178">
        <v>33868</v>
      </c>
      <c r="E697" s="155">
        <v>44782</v>
      </c>
      <c r="F697" s="178">
        <v>33868</v>
      </c>
      <c r="G697" s="179">
        <f>Tabla19[[#This Row],[Importe]]-Tabla19[[#This Row],[Pagado]]</f>
        <v>0</v>
      </c>
      <c r="H697" s="153" t="s">
        <v>10</v>
      </c>
    </row>
    <row r="698" spans="1:8" x14ac:dyDescent="0.25">
      <c r="A698" s="73">
        <v>44781</v>
      </c>
      <c r="B698" s="74" t="s">
        <v>25365</v>
      </c>
      <c r="C698" s="75" t="s">
        <v>348</v>
      </c>
      <c r="D698" s="176">
        <v>4422</v>
      </c>
      <c r="E698" s="151">
        <v>44781</v>
      </c>
      <c r="F698" s="176">
        <v>4422</v>
      </c>
      <c r="G698" s="177">
        <f>Tabla19[[#This Row],[Importe]]-Tabla19[[#This Row],[Pagado]]</f>
        <v>0</v>
      </c>
      <c r="H698" s="75" t="s">
        <v>10</v>
      </c>
    </row>
    <row r="699" spans="1:8" x14ac:dyDescent="0.25">
      <c r="A699" s="148">
        <v>44781</v>
      </c>
      <c r="B699" s="149" t="s">
        <v>25366</v>
      </c>
      <c r="C699" s="153" t="s">
        <v>208</v>
      </c>
      <c r="D699" s="178">
        <v>52306</v>
      </c>
      <c r="E699" s="155">
        <v>44793</v>
      </c>
      <c r="F699" s="178">
        <v>52306</v>
      </c>
      <c r="G699" s="179">
        <f>Tabla19[[#This Row],[Importe]]-Tabla19[[#This Row],[Pagado]]</f>
        <v>0</v>
      </c>
      <c r="H699" s="153" t="s">
        <v>10</v>
      </c>
    </row>
    <row r="700" spans="1:8" ht="31.5" x14ac:dyDescent="0.25">
      <c r="A700" s="73">
        <v>44781</v>
      </c>
      <c r="B700" s="74" t="s">
        <v>25367</v>
      </c>
      <c r="C700" s="75" t="s">
        <v>22</v>
      </c>
      <c r="D700" s="176">
        <v>91394.5</v>
      </c>
      <c r="E700" s="147" t="s">
        <v>25368</v>
      </c>
      <c r="F700" s="176">
        <f>60000+31394.5</f>
        <v>91394.5</v>
      </c>
      <c r="G700" s="177">
        <f>Tabla19[[#This Row],[Importe]]-Tabla19[[#This Row],[Pagado]]</f>
        <v>0</v>
      </c>
      <c r="H700" s="75" t="s">
        <v>10</v>
      </c>
    </row>
    <row r="701" spans="1:8" x14ac:dyDescent="0.25">
      <c r="A701" s="148">
        <v>44781</v>
      </c>
      <c r="B701" s="149" t="s">
        <v>25369</v>
      </c>
      <c r="C701" s="153" t="s">
        <v>16370</v>
      </c>
      <c r="D701" s="178">
        <v>0</v>
      </c>
      <c r="E701" s="158" t="s">
        <v>189</v>
      </c>
      <c r="F701" s="178">
        <v>0</v>
      </c>
      <c r="G701" s="179">
        <f>Tabla19[[#This Row],[Importe]]-Tabla19[[#This Row],[Pagado]]</f>
        <v>0</v>
      </c>
      <c r="H701" s="153" t="s">
        <v>189</v>
      </c>
    </row>
    <row r="702" spans="1:8" x14ac:dyDescent="0.25">
      <c r="A702" s="73">
        <v>44781</v>
      </c>
      <c r="B702" s="74" t="s">
        <v>25370</v>
      </c>
      <c r="C702" s="75" t="s">
        <v>135</v>
      </c>
      <c r="D702" s="176">
        <v>2162.8000000000002</v>
      </c>
      <c r="E702" s="151">
        <v>44781</v>
      </c>
      <c r="F702" s="176">
        <v>2162.8000000000002</v>
      </c>
      <c r="G702" s="177">
        <f>Tabla19[[#This Row],[Importe]]-Tabla19[[#This Row],[Pagado]]</f>
        <v>0</v>
      </c>
      <c r="H702" s="75" t="s">
        <v>10</v>
      </c>
    </row>
    <row r="703" spans="1:8" x14ac:dyDescent="0.25">
      <c r="A703" s="148">
        <v>44781</v>
      </c>
      <c r="B703" s="149" t="s">
        <v>25371</v>
      </c>
      <c r="C703" s="153" t="s">
        <v>27</v>
      </c>
      <c r="D703" s="178">
        <v>3294.6</v>
      </c>
      <c r="E703" s="155">
        <v>44781</v>
      </c>
      <c r="F703" s="178">
        <v>3294.6</v>
      </c>
      <c r="G703" s="179">
        <f>Tabla19[[#This Row],[Importe]]-Tabla19[[#This Row],[Pagado]]</f>
        <v>0</v>
      </c>
      <c r="H703" s="153" t="s">
        <v>10</v>
      </c>
    </row>
    <row r="704" spans="1:8" x14ac:dyDescent="0.25">
      <c r="A704" s="73">
        <v>44781</v>
      </c>
      <c r="B704" s="74" t="s">
        <v>25372</v>
      </c>
      <c r="C704" s="75" t="s">
        <v>16</v>
      </c>
      <c r="D704" s="176">
        <v>6981.4</v>
      </c>
      <c r="E704" s="151">
        <v>44781</v>
      </c>
      <c r="F704" s="176">
        <v>6981.4</v>
      </c>
      <c r="G704" s="177">
        <f>Tabla19[[#This Row],[Importe]]-Tabla19[[#This Row],[Pagado]]</f>
        <v>0</v>
      </c>
      <c r="H704" s="75" t="s">
        <v>10</v>
      </c>
    </row>
    <row r="705" spans="1:8" x14ac:dyDescent="0.25">
      <c r="A705" s="148">
        <v>44781</v>
      </c>
      <c r="B705" s="149" t="s">
        <v>25373</v>
      </c>
      <c r="C705" s="153" t="s">
        <v>144</v>
      </c>
      <c r="D705" s="178">
        <v>2823</v>
      </c>
      <c r="E705" s="155">
        <v>44781</v>
      </c>
      <c r="F705" s="178">
        <v>2823</v>
      </c>
      <c r="G705" s="179">
        <f>Tabla19[[#This Row],[Importe]]-Tabla19[[#This Row],[Pagado]]</f>
        <v>0</v>
      </c>
      <c r="H705" s="153" t="s">
        <v>10</v>
      </c>
    </row>
    <row r="706" spans="1:8" x14ac:dyDescent="0.25">
      <c r="A706" s="73">
        <v>44781</v>
      </c>
      <c r="B706" s="74" t="s">
        <v>25374</v>
      </c>
      <c r="C706" s="75" t="s">
        <v>107</v>
      </c>
      <c r="D706" s="176">
        <v>16256.7</v>
      </c>
      <c r="E706" s="151">
        <v>44781</v>
      </c>
      <c r="F706" s="176">
        <v>16256.7</v>
      </c>
      <c r="G706" s="177">
        <f>Tabla19[[#This Row],[Importe]]-Tabla19[[#This Row],[Pagado]]</f>
        <v>0</v>
      </c>
      <c r="H706" s="75" t="s">
        <v>10</v>
      </c>
    </row>
    <row r="707" spans="1:8" x14ac:dyDescent="0.25">
      <c r="A707" s="148">
        <v>44781</v>
      </c>
      <c r="B707" s="149" t="s">
        <v>25375</v>
      </c>
      <c r="C707" s="153" t="s">
        <v>129</v>
      </c>
      <c r="D707" s="178">
        <v>5943.1</v>
      </c>
      <c r="E707" s="155">
        <v>44781</v>
      </c>
      <c r="F707" s="178">
        <v>5943.1</v>
      </c>
      <c r="G707" s="179">
        <f>Tabla19[[#This Row],[Importe]]-Tabla19[[#This Row],[Pagado]]</f>
        <v>0</v>
      </c>
      <c r="H707" s="153" t="s">
        <v>10</v>
      </c>
    </row>
    <row r="708" spans="1:8" x14ac:dyDescent="0.25">
      <c r="A708" s="73">
        <v>44781</v>
      </c>
      <c r="B708" s="74" t="s">
        <v>25376</v>
      </c>
      <c r="C708" s="75" t="s">
        <v>357</v>
      </c>
      <c r="D708" s="176">
        <v>403</v>
      </c>
      <c r="E708" s="151">
        <v>44781</v>
      </c>
      <c r="F708" s="176">
        <v>403</v>
      </c>
      <c r="G708" s="177">
        <f>Tabla19[[#This Row],[Importe]]-Tabla19[[#This Row],[Pagado]]</f>
        <v>0</v>
      </c>
      <c r="H708" s="75" t="s">
        <v>10</v>
      </c>
    </row>
    <row r="709" spans="1:8" x14ac:dyDescent="0.25">
      <c r="A709" s="148">
        <v>44781</v>
      </c>
      <c r="B709" s="149" t="s">
        <v>25377</v>
      </c>
      <c r="C709" s="153" t="s">
        <v>142</v>
      </c>
      <c r="D709" s="178">
        <v>157421.98000000001</v>
      </c>
      <c r="E709" s="155" t="s">
        <v>4813</v>
      </c>
      <c r="F709" s="178">
        <v>0</v>
      </c>
      <c r="G709" s="179">
        <f>Tabla19[[#This Row],[Importe]]-Tabla19[[#This Row],[Pagado]]</f>
        <v>157421.98000000001</v>
      </c>
      <c r="H709" s="153" t="s">
        <v>4814</v>
      </c>
    </row>
    <row r="710" spans="1:8" x14ac:dyDescent="0.25">
      <c r="A710" s="73">
        <v>44781</v>
      </c>
      <c r="B710" s="74" t="s">
        <v>25378</v>
      </c>
      <c r="C710" s="75" t="s">
        <v>56</v>
      </c>
      <c r="D710" s="176">
        <v>5582.7</v>
      </c>
      <c r="E710" s="151">
        <v>44781</v>
      </c>
      <c r="F710" s="176">
        <v>5582.7</v>
      </c>
      <c r="G710" s="177">
        <f>Tabla19[[#This Row],[Importe]]-Tabla19[[#This Row],[Pagado]]</f>
        <v>0</v>
      </c>
      <c r="H710" s="75" t="s">
        <v>10</v>
      </c>
    </row>
    <row r="711" spans="1:8" x14ac:dyDescent="0.25">
      <c r="A711" s="148">
        <v>44781</v>
      </c>
      <c r="B711" s="149" t="s">
        <v>25379</v>
      </c>
      <c r="C711" s="153" t="s">
        <v>45</v>
      </c>
      <c r="D711" s="178">
        <v>10338.5</v>
      </c>
      <c r="E711" s="155">
        <v>44781</v>
      </c>
      <c r="F711" s="178">
        <v>10338.5</v>
      </c>
      <c r="G711" s="179">
        <f>Tabla19[[#This Row],[Importe]]-Tabla19[[#This Row],[Pagado]]</f>
        <v>0</v>
      </c>
      <c r="H711" s="153" t="s">
        <v>10</v>
      </c>
    </row>
    <row r="712" spans="1:8" x14ac:dyDescent="0.25">
      <c r="A712" s="73">
        <v>44781</v>
      </c>
      <c r="B712" s="74" t="s">
        <v>25380</v>
      </c>
      <c r="C712" s="75" t="s">
        <v>127</v>
      </c>
      <c r="D712" s="176">
        <v>6314.7</v>
      </c>
      <c r="E712" s="151">
        <v>44781</v>
      </c>
      <c r="F712" s="176">
        <v>6314.7</v>
      </c>
      <c r="G712" s="177">
        <f>Tabla19[[#This Row],[Importe]]-Tabla19[[#This Row],[Pagado]]</f>
        <v>0</v>
      </c>
      <c r="H712" s="75" t="s">
        <v>10</v>
      </c>
    </row>
    <row r="713" spans="1:8" x14ac:dyDescent="0.25">
      <c r="A713" s="148">
        <v>44781</v>
      </c>
      <c r="B713" s="149" t="s">
        <v>25381</v>
      </c>
      <c r="C713" s="153" t="s">
        <v>83</v>
      </c>
      <c r="D713" s="178">
        <v>12856</v>
      </c>
      <c r="E713" s="155">
        <v>44781</v>
      </c>
      <c r="F713" s="178">
        <v>12856</v>
      </c>
      <c r="G713" s="179">
        <f>Tabla19[[#This Row],[Importe]]-Tabla19[[#This Row],[Pagado]]</f>
        <v>0</v>
      </c>
      <c r="H713" s="153" t="s">
        <v>10</v>
      </c>
    </row>
    <row r="714" spans="1:8" x14ac:dyDescent="0.25">
      <c r="A714" s="73">
        <v>44781</v>
      </c>
      <c r="B714" s="74" t="s">
        <v>25382</v>
      </c>
      <c r="C714" s="75" t="s">
        <v>3971</v>
      </c>
      <c r="D714" s="176">
        <v>3318</v>
      </c>
      <c r="E714" s="151">
        <v>44781</v>
      </c>
      <c r="F714" s="176">
        <v>3318</v>
      </c>
      <c r="G714" s="177">
        <f>Tabla19[[#This Row],[Importe]]-Tabla19[[#This Row],[Pagado]]</f>
        <v>0</v>
      </c>
      <c r="H714" s="75" t="s">
        <v>10</v>
      </c>
    </row>
    <row r="715" spans="1:8" x14ac:dyDescent="0.25">
      <c r="A715" s="148">
        <v>44781</v>
      </c>
      <c r="B715" s="149" t="s">
        <v>25383</v>
      </c>
      <c r="C715" s="153" t="s">
        <v>191</v>
      </c>
      <c r="D715" s="178">
        <v>1445.7</v>
      </c>
      <c r="E715" s="155">
        <v>44781</v>
      </c>
      <c r="F715" s="178">
        <v>1445.7</v>
      </c>
      <c r="G715" s="179">
        <f>Tabla19[[#This Row],[Importe]]-Tabla19[[#This Row],[Pagado]]</f>
        <v>0</v>
      </c>
      <c r="H715" s="153" t="s">
        <v>10</v>
      </c>
    </row>
    <row r="716" spans="1:8" x14ac:dyDescent="0.25">
      <c r="A716" s="73">
        <v>44781</v>
      </c>
      <c r="B716" s="74" t="s">
        <v>25384</v>
      </c>
      <c r="C716" s="75" t="s">
        <v>196</v>
      </c>
      <c r="D716" s="176">
        <v>96756.18</v>
      </c>
      <c r="E716" s="151">
        <v>44786</v>
      </c>
      <c r="F716" s="176">
        <v>96756.18</v>
      </c>
      <c r="G716" s="177">
        <f>Tabla19[[#This Row],[Importe]]-Tabla19[[#This Row],[Pagado]]</f>
        <v>0</v>
      </c>
      <c r="H716" s="75" t="s">
        <v>10</v>
      </c>
    </row>
    <row r="717" spans="1:8" x14ac:dyDescent="0.25">
      <c r="A717" s="148">
        <v>44781</v>
      </c>
      <c r="B717" s="149" t="s">
        <v>25385</v>
      </c>
      <c r="C717" s="153" t="s">
        <v>196</v>
      </c>
      <c r="D717" s="178">
        <v>9469.6</v>
      </c>
      <c r="E717" s="155">
        <v>44786</v>
      </c>
      <c r="F717" s="178">
        <v>9469.6</v>
      </c>
      <c r="G717" s="179">
        <f>Tabla19[[#This Row],[Importe]]-Tabla19[[#This Row],[Pagado]]</f>
        <v>0</v>
      </c>
      <c r="H717" s="153" t="s">
        <v>10</v>
      </c>
    </row>
    <row r="718" spans="1:8" x14ac:dyDescent="0.25">
      <c r="A718" s="73">
        <v>44781</v>
      </c>
      <c r="B718" s="74" t="s">
        <v>25386</v>
      </c>
      <c r="C718" s="75" t="s">
        <v>12</v>
      </c>
      <c r="D718" s="176">
        <v>12516</v>
      </c>
      <c r="E718" s="151">
        <v>44781</v>
      </c>
      <c r="F718" s="176">
        <v>12516</v>
      </c>
      <c r="G718" s="177">
        <f>Tabla19[[#This Row],[Importe]]-Tabla19[[#This Row],[Pagado]]</f>
        <v>0</v>
      </c>
      <c r="H718" s="75" t="s">
        <v>10</v>
      </c>
    </row>
    <row r="719" spans="1:8" x14ac:dyDescent="0.25">
      <c r="A719" s="148">
        <v>44781</v>
      </c>
      <c r="B719" s="149" t="s">
        <v>25387</v>
      </c>
      <c r="C719" s="153" t="s">
        <v>1362</v>
      </c>
      <c r="D719" s="178">
        <v>5942.1</v>
      </c>
      <c r="E719" s="155">
        <v>44781</v>
      </c>
      <c r="F719" s="178">
        <v>5942.1</v>
      </c>
      <c r="G719" s="179">
        <f>Tabla19[[#This Row],[Importe]]-Tabla19[[#This Row],[Pagado]]</f>
        <v>0</v>
      </c>
      <c r="H719" s="153" t="s">
        <v>10</v>
      </c>
    </row>
    <row r="720" spans="1:8" x14ac:dyDescent="0.25">
      <c r="A720" s="73">
        <v>44781</v>
      </c>
      <c r="B720" s="74" t="s">
        <v>25388</v>
      </c>
      <c r="C720" s="75" t="s">
        <v>840</v>
      </c>
      <c r="D720" s="176">
        <v>24161.4</v>
      </c>
      <c r="E720" s="151">
        <v>44781</v>
      </c>
      <c r="F720" s="176">
        <v>24161.4</v>
      </c>
      <c r="G720" s="177">
        <f>Tabla19[[#This Row],[Importe]]-Tabla19[[#This Row],[Pagado]]</f>
        <v>0</v>
      </c>
      <c r="H720" s="75" t="s">
        <v>10</v>
      </c>
    </row>
    <row r="721" spans="1:8" x14ac:dyDescent="0.25">
      <c r="A721" s="148">
        <v>44781</v>
      </c>
      <c r="B721" s="149" t="s">
        <v>25389</v>
      </c>
      <c r="C721" s="153" t="s">
        <v>51</v>
      </c>
      <c r="D721" s="178">
        <v>712.8</v>
      </c>
      <c r="E721" s="155">
        <v>44781</v>
      </c>
      <c r="F721" s="178">
        <v>712.8</v>
      </c>
      <c r="G721" s="179">
        <f>Tabla19[[#This Row],[Importe]]-Tabla19[[#This Row],[Pagado]]</f>
        <v>0</v>
      </c>
      <c r="H721" s="153" t="s">
        <v>10</v>
      </c>
    </row>
    <row r="722" spans="1:8" x14ac:dyDescent="0.25">
      <c r="A722" s="73">
        <v>44781</v>
      </c>
      <c r="B722" s="74" t="s">
        <v>25390</v>
      </c>
      <c r="C722" s="75" t="s">
        <v>664</v>
      </c>
      <c r="D722" s="176">
        <v>4837.2</v>
      </c>
      <c r="E722" s="151">
        <v>44781</v>
      </c>
      <c r="F722" s="176">
        <v>4837.2</v>
      </c>
      <c r="G722" s="177">
        <f>Tabla19[[#This Row],[Importe]]-Tabla19[[#This Row],[Pagado]]</f>
        <v>0</v>
      </c>
      <c r="H722" s="75" t="s">
        <v>10</v>
      </c>
    </row>
    <row r="723" spans="1:8" x14ac:dyDescent="0.25">
      <c r="A723" s="148">
        <v>44781</v>
      </c>
      <c r="B723" s="149" t="s">
        <v>25391</v>
      </c>
      <c r="C723" s="153" t="s">
        <v>3747</v>
      </c>
      <c r="D723" s="178">
        <v>54236</v>
      </c>
      <c r="E723" s="155">
        <v>44781</v>
      </c>
      <c r="F723" s="178">
        <v>54236</v>
      </c>
      <c r="G723" s="179">
        <f>Tabla19[[#This Row],[Importe]]-Tabla19[[#This Row],[Pagado]]</f>
        <v>0</v>
      </c>
      <c r="H723" s="153" t="s">
        <v>10</v>
      </c>
    </row>
    <row r="724" spans="1:8" x14ac:dyDescent="0.25">
      <c r="A724" s="73">
        <v>44781</v>
      </c>
      <c r="B724" s="74" t="s">
        <v>25392</v>
      </c>
      <c r="C724" s="75" t="s">
        <v>31</v>
      </c>
      <c r="D724" s="176">
        <v>783</v>
      </c>
      <c r="E724" s="151">
        <v>44781</v>
      </c>
      <c r="F724" s="176">
        <v>783</v>
      </c>
      <c r="G724" s="177">
        <f>Tabla19[[#This Row],[Importe]]-Tabla19[[#This Row],[Pagado]]</f>
        <v>0</v>
      </c>
      <c r="H724" s="75" t="s">
        <v>10</v>
      </c>
    </row>
    <row r="725" spans="1:8" x14ac:dyDescent="0.25">
      <c r="A725" s="148">
        <v>44781</v>
      </c>
      <c r="B725" s="149" t="s">
        <v>25393</v>
      </c>
      <c r="C725" s="153" t="s">
        <v>181</v>
      </c>
      <c r="D725" s="178">
        <v>14312.2</v>
      </c>
      <c r="E725" s="155">
        <v>44782</v>
      </c>
      <c r="F725" s="178">
        <v>14312.2</v>
      </c>
      <c r="G725" s="179">
        <f>Tabla19[[#This Row],[Importe]]-Tabla19[[#This Row],[Pagado]]</f>
        <v>0</v>
      </c>
      <c r="H725" s="153" t="s">
        <v>10</v>
      </c>
    </row>
    <row r="726" spans="1:8" x14ac:dyDescent="0.25">
      <c r="A726" s="73">
        <v>44781</v>
      </c>
      <c r="B726" s="74" t="s">
        <v>25394</v>
      </c>
      <c r="C726" s="75" t="s">
        <v>222</v>
      </c>
      <c r="D726" s="176">
        <v>10073.6</v>
      </c>
      <c r="E726" s="151">
        <v>44781</v>
      </c>
      <c r="F726" s="176">
        <v>10073.6</v>
      </c>
      <c r="G726" s="177">
        <f>Tabla19[[#This Row],[Importe]]-Tabla19[[#This Row],[Pagado]]</f>
        <v>0</v>
      </c>
      <c r="H726" s="75" t="s">
        <v>10</v>
      </c>
    </row>
    <row r="727" spans="1:8" x14ac:dyDescent="0.25">
      <c r="A727" s="148">
        <v>44781</v>
      </c>
      <c r="B727" s="149" t="s">
        <v>25395</v>
      </c>
      <c r="C727" s="153" t="s">
        <v>312</v>
      </c>
      <c r="D727" s="178">
        <v>5206.8</v>
      </c>
      <c r="E727" s="155">
        <v>44782</v>
      </c>
      <c r="F727" s="178">
        <v>5206.8</v>
      </c>
      <c r="G727" s="179">
        <f>Tabla19[[#This Row],[Importe]]-Tabla19[[#This Row],[Pagado]]</f>
        <v>0</v>
      </c>
      <c r="H727" s="153" t="s">
        <v>10</v>
      </c>
    </row>
    <row r="728" spans="1:8" x14ac:dyDescent="0.25">
      <c r="A728" s="73">
        <v>44781</v>
      </c>
      <c r="B728" s="74" t="s">
        <v>25396</v>
      </c>
      <c r="C728" s="75" t="s">
        <v>244</v>
      </c>
      <c r="D728" s="176">
        <v>4026</v>
      </c>
      <c r="E728" s="151">
        <v>44781</v>
      </c>
      <c r="F728" s="176">
        <v>4026</v>
      </c>
      <c r="G728" s="177">
        <f>Tabla19[[#This Row],[Importe]]-Tabla19[[#This Row],[Pagado]]</f>
        <v>0</v>
      </c>
      <c r="H728" s="75" t="s">
        <v>10</v>
      </c>
    </row>
    <row r="729" spans="1:8" x14ac:dyDescent="0.25">
      <c r="A729" s="148">
        <v>44781</v>
      </c>
      <c r="B729" s="149" t="s">
        <v>25397</v>
      </c>
      <c r="C729" s="153" t="s">
        <v>244</v>
      </c>
      <c r="D729" s="178">
        <v>752.4</v>
      </c>
      <c r="E729" s="155">
        <v>44781</v>
      </c>
      <c r="F729" s="178">
        <v>752.4</v>
      </c>
      <c r="G729" s="179">
        <f>Tabla19[[#This Row],[Importe]]-Tabla19[[#This Row],[Pagado]]</f>
        <v>0</v>
      </c>
      <c r="H729" s="153" t="s">
        <v>10</v>
      </c>
    </row>
    <row r="730" spans="1:8" x14ac:dyDescent="0.25">
      <c r="A730" s="73">
        <v>44781</v>
      </c>
      <c r="B730" s="74" t="s">
        <v>25398</v>
      </c>
      <c r="C730" s="75" t="s">
        <v>222</v>
      </c>
      <c r="D730" s="176">
        <v>2085</v>
      </c>
      <c r="E730" s="151">
        <v>44781</v>
      </c>
      <c r="F730" s="176">
        <v>2085</v>
      </c>
      <c r="G730" s="177">
        <f>Tabla19[[#This Row],[Importe]]-Tabla19[[#This Row],[Pagado]]</f>
        <v>0</v>
      </c>
      <c r="H730" s="75" t="s">
        <v>10</v>
      </c>
    </row>
    <row r="731" spans="1:8" x14ac:dyDescent="0.25">
      <c r="A731" s="148">
        <v>44781</v>
      </c>
      <c r="B731" s="149" t="s">
        <v>25399</v>
      </c>
      <c r="C731" s="153" t="s">
        <v>296</v>
      </c>
      <c r="D731" s="178">
        <v>4157.3999999999996</v>
      </c>
      <c r="E731" s="155">
        <v>44781</v>
      </c>
      <c r="F731" s="178">
        <v>4157.3999999999996</v>
      </c>
      <c r="G731" s="179">
        <f>Tabla19[[#This Row],[Importe]]-Tabla19[[#This Row],[Pagado]]</f>
        <v>0</v>
      </c>
      <c r="H731" s="153" t="s">
        <v>10</v>
      </c>
    </row>
    <row r="732" spans="1:8" x14ac:dyDescent="0.25">
      <c r="A732" s="73">
        <v>44781</v>
      </c>
      <c r="B732" s="74" t="s">
        <v>25400</v>
      </c>
      <c r="C732" s="75" t="s">
        <v>240</v>
      </c>
      <c r="D732" s="176">
        <v>14376</v>
      </c>
      <c r="E732" s="151">
        <v>44781</v>
      </c>
      <c r="F732" s="176">
        <v>14376</v>
      </c>
      <c r="G732" s="177">
        <f>Tabla19[[#This Row],[Importe]]-Tabla19[[#This Row],[Pagado]]</f>
        <v>0</v>
      </c>
      <c r="H732" s="75" t="s">
        <v>10</v>
      </c>
    </row>
    <row r="733" spans="1:8" x14ac:dyDescent="0.25">
      <c r="A733" s="148">
        <v>44781</v>
      </c>
      <c r="B733" s="149" t="s">
        <v>25401</v>
      </c>
      <c r="C733" s="153" t="s">
        <v>359</v>
      </c>
      <c r="D733" s="178">
        <v>1176.7</v>
      </c>
      <c r="E733" s="155">
        <v>44782</v>
      </c>
      <c r="F733" s="178">
        <v>1176.7</v>
      </c>
      <c r="G733" s="179">
        <f>Tabla19[[#This Row],[Importe]]-Tabla19[[#This Row],[Pagado]]</f>
        <v>0</v>
      </c>
      <c r="H733" s="153" t="s">
        <v>10</v>
      </c>
    </row>
    <row r="734" spans="1:8" x14ac:dyDescent="0.25">
      <c r="A734" s="73">
        <v>44781</v>
      </c>
      <c r="B734" s="74" t="s">
        <v>25402</v>
      </c>
      <c r="C734" s="75" t="s">
        <v>1481</v>
      </c>
      <c r="D734" s="176">
        <v>797.3</v>
      </c>
      <c r="E734" s="151">
        <v>44782</v>
      </c>
      <c r="F734" s="176">
        <v>797.3</v>
      </c>
      <c r="G734" s="177">
        <f>Tabla19[[#This Row],[Importe]]-Tabla19[[#This Row],[Pagado]]</f>
        <v>0</v>
      </c>
      <c r="H734" s="75" t="s">
        <v>10</v>
      </c>
    </row>
    <row r="735" spans="1:8" x14ac:dyDescent="0.25">
      <c r="A735" s="148">
        <v>44781</v>
      </c>
      <c r="B735" s="149" t="s">
        <v>25403</v>
      </c>
      <c r="C735" s="153" t="s">
        <v>3747</v>
      </c>
      <c r="D735" s="178">
        <v>6162</v>
      </c>
      <c r="E735" s="155">
        <v>44781</v>
      </c>
      <c r="F735" s="178">
        <v>6162</v>
      </c>
      <c r="G735" s="179">
        <f>Tabla19[[#This Row],[Importe]]-Tabla19[[#This Row],[Pagado]]</f>
        <v>0</v>
      </c>
      <c r="H735" s="153" t="s">
        <v>10</v>
      </c>
    </row>
    <row r="736" spans="1:8" x14ac:dyDescent="0.25">
      <c r="A736" s="73">
        <v>44781</v>
      </c>
      <c r="B736" s="74" t="s">
        <v>25404</v>
      </c>
      <c r="C736" s="75" t="s">
        <v>426</v>
      </c>
      <c r="D736" s="176">
        <v>8940.7999999999993</v>
      </c>
      <c r="E736" s="151">
        <v>44782</v>
      </c>
      <c r="F736" s="176">
        <v>8940.7999999999993</v>
      </c>
      <c r="G736" s="177">
        <f>Tabla19[[#This Row],[Importe]]-Tabla19[[#This Row],[Pagado]]</f>
        <v>0</v>
      </c>
      <c r="H736" s="75" t="s">
        <v>10</v>
      </c>
    </row>
    <row r="737" spans="1:8" x14ac:dyDescent="0.25">
      <c r="A737" s="148">
        <v>44781</v>
      </c>
      <c r="B737" s="149" t="s">
        <v>25405</v>
      </c>
      <c r="C737" s="153" t="s">
        <v>698</v>
      </c>
      <c r="D737" s="178">
        <v>7122.5</v>
      </c>
      <c r="E737" s="155">
        <v>44781</v>
      </c>
      <c r="F737" s="178">
        <v>7122.5</v>
      </c>
      <c r="G737" s="179">
        <f>Tabla19[[#This Row],[Importe]]-Tabla19[[#This Row],[Pagado]]</f>
        <v>0</v>
      </c>
      <c r="H737" s="153" t="s">
        <v>10</v>
      </c>
    </row>
    <row r="738" spans="1:8" x14ac:dyDescent="0.25">
      <c r="A738" s="73">
        <v>44781</v>
      </c>
      <c r="B738" s="74" t="s">
        <v>25406</v>
      </c>
      <c r="C738" s="75" t="s">
        <v>10819</v>
      </c>
      <c r="D738" s="176">
        <v>1522.5</v>
      </c>
      <c r="E738" s="151">
        <v>44782</v>
      </c>
      <c r="F738" s="176">
        <v>1522.5</v>
      </c>
      <c r="G738" s="177">
        <f>Tabla19[[#This Row],[Importe]]-Tabla19[[#This Row],[Pagado]]</f>
        <v>0</v>
      </c>
      <c r="H738" s="75" t="s">
        <v>10</v>
      </c>
    </row>
    <row r="739" spans="1:8" x14ac:dyDescent="0.25">
      <c r="A739" s="148">
        <v>44781</v>
      </c>
      <c r="B739" s="149" t="s">
        <v>25407</v>
      </c>
      <c r="C739" s="153" t="s">
        <v>67</v>
      </c>
      <c r="D739" s="178">
        <v>3212.2</v>
      </c>
      <c r="E739" s="155">
        <v>44781</v>
      </c>
      <c r="F739" s="178">
        <v>3212.2</v>
      </c>
      <c r="G739" s="179">
        <f>Tabla19[[#This Row],[Importe]]-Tabla19[[#This Row],[Pagado]]</f>
        <v>0</v>
      </c>
      <c r="H739" s="153" t="s">
        <v>10</v>
      </c>
    </row>
    <row r="740" spans="1:8" x14ac:dyDescent="0.25">
      <c r="A740" s="73">
        <v>44781</v>
      </c>
      <c r="B740" s="74" t="s">
        <v>25408</v>
      </c>
      <c r="C740" s="75" t="s">
        <v>284</v>
      </c>
      <c r="D740" s="176">
        <v>8743.5</v>
      </c>
      <c r="E740" s="151">
        <v>44782</v>
      </c>
      <c r="F740" s="176">
        <v>8743.5</v>
      </c>
      <c r="G740" s="177">
        <f>Tabla19[[#This Row],[Importe]]-Tabla19[[#This Row],[Pagado]]</f>
        <v>0</v>
      </c>
      <c r="H740" s="75" t="s">
        <v>10</v>
      </c>
    </row>
    <row r="741" spans="1:8" x14ac:dyDescent="0.25">
      <c r="A741" s="148">
        <v>44781</v>
      </c>
      <c r="B741" s="149" t="s">
        <v>25409</v>
      </c>
      <c r="C741" s="153" t="s">
        <v>282</v>
      </c>
      <c r="D741" s="178">
        <v>1661.7</v>
      </c>
      <c r="E741" s="155">
        <v>44782</v>
      </c>
      <c r="F741" s="178">
        <v>1661.7</v>
      </c>
      <c r="G741" s="179">
        <f>Tabla19[[#This Row],[Importe]]-Tabla19[[#This Row],[Pagado]]</f>
        <v>0</v>
      </c>
      <c r="H741" s="153" t="s">
        <v>10</v>
      </c>
    </row>
    <row r="742" spans="1:8" x14ac:dyDescent="0.25">
      <c r="A742" s="73">
        <v>44781</v>
      </c>
      <c r="B742" s="74" t="s">
        <v>25410</v>
      </c>
      <c r="C742" s="75" t="s">
        <v>179</v>
      </c>
      <c r="D742" s="176">
        <v>1513.8</v>
      </c>
      <c r="E742" s="151">
        <v>44782</v>
      </c>
      <c r="F742" s="176">
        <v>1513.8</v>
      </c>
      <c r="G742" s="177">
        <f>Tabla19[[#This Row],[Importe]]-Tabla19[[#This Row],[Pagado]]</f>
        <v>0</v>
      </c>
      <c r="H742" s="75" t="s">
        <v>10</v>
      </c>
    </row>
    <row r="743" spans="1:8" x14ac:dyDescent="0.25">
      <c r="A743" s="148">
        <v>44781</v>
      </c>
      <c r="B743" s="149" t="s">
        <v>25411</v>
      </c>
      <c r="C743" s="153" t="s">
        <v>289</v>
      </c>
      <c r="D743" s="178">
        <v>13411</v>
      </c>
      <c r="E743" s="155">
        <v>44781</v>
      </c>
      <c r="F743" s="178">
        <v>13411</v>
      </c>
      <c r="G743" s="179">
        <f>Tabla19[[#This Row],[Importe]]-Tabla19[[#This Row],[Pagado]]</f>
        <v>0</v>
      </c>
      <c r="H743" s="153" t="s">
        <v>10</v>
      </c>
    </row>
    <row r="744" spans="1:8" x14ac:dyDescent="0.25">
      <c r="A744" s="73">
        <v>44781</v>
      </c>
      <c r="B744" s="74" t="s">
        <v>25412</v>
      </c>
      <c r="C744" s="75" t="s">
        <v>233</v>
      </c>
      <c r="D744" s="176">
        <v>6133.5</v>
      </c>
      <c r="E744" s="151">
        <v>44781</v>
      </c>
      <c r="F744" s="176">
        <v>6133.5</v>
      </c>
      <c r="G744" s="177">
        <f>Tabla19[[#This Row],[Importe]]-Tabla19[[#This Row],[Pagado]]</f>
        <v>0</v>
      </c>
      <c r="H744" s="75" t="s">
        <v>10</v>
      </c>
    </row>
    <row r="745" spans="1:8" x14ac:dyDescent="0.25">
      <c r="A745" s="148">
        <v>44781</v>
      </c>
      <c r="B745" s="149" t="s">
        <v>25413</v>
      </c>
      <c r="C745" s="153" t="s">
        <v>175</v>
      </c>
      <c r="D745" s="178">
        <v>33107.599999999999</v>
      </c>
      <c r="E745" s="155">
        <v>44782</v>
      </c>
      <c r="F745" s="178">
        <v>33107.599999999999</v>
      </c>
      <c r="G745" s="179">
        <f>Tabla19[[#This Row],[Importe]]-Tabla19[[#This Row],[Pagado]]</f>
        <v>0</v>
      </c>
      <c r="H745" s="153" t="s">
        <v>10</v>
      </c>
    </row>
    <row r="746" spans="1:8" x14ac:dyDescent="0.25">
      <c r="A746" s="73">
        <v>44781</v>
      </c>
      <c r="B746" s="74" t="s">
        <v>25414</v>
      </c>
      <c r="C746" s="75" t="s">
        <v>24</v>
      </c>
      <c r="D746" s="176">
        <v>2630.2</v>
      </c>
      <c r="E746" s="151">
        <v>44781</v>
      </c>
      <c r="F746" s="176">
        <v>2630.2</v>
      </c>
      <c r="G746" s="177">
        <f>Tabla19[[#This Row],[Importe]]-Tabla19[[#This Row],[Pagado]]</f>
        <v>0</v>
      </c>
      <c r="H746" s="75" t="s">
        <v>10</v>
      </c>
    </row>
    <row r="747" spans="1:8" x14ac:dyDescent="0.25">
      <c r="A747" s="148">
        <v>44781</v>
      </c>
      <c r="B747" s="149" t="s">
        <v>25415</v>
      </c>
      <c r="C747" s="153" t="s">
        <v>419</v>
      </c>
      <c r="D747" s="178">
        <v>7706.4</v>
      </c>
      <c r="E747" s="155">
        <v>44781</v>
      </c>
      <c r="F747" s="178">
        <v>7706.4</v>
      </c>
      <c r="G747" s="179">
        <f>Tabla19[[#This Row],[Importe]]-Tabla19[[#This Row],[Pagado]]</f>
        <v>0</v>
      </c>
      <c r="H747" s="153" t="s">
        <v>10</v>
      </c>
    </row>
    <row r="748" spans="1:8" x14ac:dyDescent="0.25">
      <c r="A748" s="73">
        <v>44781</v>
      </c>
      <c r="B748" s="74" t="s">
        <v>25416</v>
      </c>
      <c r="C748" s="75" t="s">
        <v>10819</v>
      </c>
      <c r="D748" s="176">
        <v>56</v>
      </c>
      <c r="E748" s="151">
        <v>44782</v>
      </c>
      <c r="F748" s="176">
        <v>56</v>
      </c>
      <c r="G748" s="177">
        <f>Tabla19[[#This Row],[Importe]]-Tabla19[[#This Row],[Pagado]]</f>
        <v>0</v>
      </c>
      <c r="H748" s="75" t="s">
        <v>10</v>
      </c>
    </row>
    <row r="749" spans="1:8" x14ac:dyDescent="0.25">
      <c r="A749" s="148">
        <v>44781</v>
      </c>
      <c r="B749" s="149" t="s">
        <v>25417</v>
      </c>
      <c r="C749" s="153" t="s">
        <v>9827</v>
      </c>
      <c r="D749" s="178">
        <v>3506.1</v>
      </c>
      <c r="E749" s="155">
        <v>44781</v>
      </c>
      <c r="F749" s="178">
        <v>3506.1</v>
      </c>
      <c r="G749" s="179">
        <f>Tabla19[[#This Row],[Importe]]-Tabla19[[#This Row],[Pagado]]</f>
        <v>0</v>
      </c>
      <c r="H749" s="153" t="s">
        <v>10</v>
      </c>
    </row>
    <row r="750" spans="1:8" x14ac:dyDescent="0.25">
      <c r="A750" s="73">
        <v>44781</v>
      </c>
      <c r="B750" s="74" t="s">
        <v>25418</v>
      </c>
      <c r="C750" s="75" t="s">
        <v>5345</v>
      </c>
      <c r="D750" s="176">
        <v>3697.5</v>
      </c>
      <c r="E750" s="151">
        <v>44782</v>
      </c>
      <c r="F750" s="176">
        <v>3697.5</v>
      </c>
      <c r="G750" s="177">
        <f>Tabla19[[#This Row],[Importe]]-Tabla19[[#This Row],[Pagado]]</f>
        <v>0</v>
      </c>
      <c r="H750" s="75" t="s">
        <v>10</v>
      </c>
    </row>
    <row r="751" spans="1:8" x14ac:dyDescent="0.25">
      <c r="A751" s="148">
        <v>44781</v>
      </c>
      <c r="B751" s="149" t="s">
        <v>25419</v>
      </c>
      <c r="C751" s="153" t="s">
        <v>87</v>
      </c>
      <c r="D751" s="178">
        <v>3699.3</v>
      </c>
      <c r="E751" s="155">
        <v>44782</v>
      </c>
      <c r="F751" s="178">
        <v>3699.3</v>
      </c>
      <c r="G751" s="179">
        <f>Tabla19[[#This Row],[Importe]]-Tabla19[[#This Row],[Pagado]]</f>
        <v>0</v>
      </c>
      <c r="H751" s="153" t="s">
        <v>10</v>
      </c>
    </row>
    <row r="752" spans="1:8" x14ac:dyDescent="0.25">
      <c r="A752" s="73">
        <v>44781</v>
      </c>
      <c r="B752" s="74" t="s">
        <v>25420</v>
      </c>
      <c r="C752" s="75" t="s">
        <v>314</v>
      </c>
      <c r="D752" s="176">
        <v>2897.1</v>
      </c>
      <c r="E752" s="151">
        <v>44782</v>
      </c>
      <c r="F752" s="176">
        <v>2897.1</v>
      </c>
      <c r="G752" s="177">
        <f>Tabla19[[#This Row],[Importe]]-Tabla19[[#This Row],[Pagado]]</f>
        <v>0</v>
      </c>
      <c r="H752" s="75" t="s">
        <v>10</v>
      </c>
    </row>
    <row r="753" spans="1:8" x14ac:dyDescent="0.25">
      <c r="A753" s="148">
        <v>44781</v>
      </c>
      <c r="B753" s="149" t="s">
        <v>25421</v>
      </c>
      <c r="C753" s="153" t="s">
        <v>333</v>
      </c>
      <c r="D753" s="178">
        <v>677.6</v>
      </c>
      <c r="E753" s="155">
        <v>44782</v>
      </c>
      <c r="F753" s="178">
        <v>677.6</v>
      </c>
      <c r="G753" s="179">
        <f>Tabla19[[#This Row],[Importe]]-Tabla19[[#This Row],[Pagado]]</f>
        <v>0</v>
      </c>
      <c r="H753" s="153" t="s">
        <v>10</v>
      </c>
    </row>
    <row r="754" spans="1:8" x14ac:dyDescent="0.25">
      <c r="A754" s="73">
        <v>44781</v>
      </c>
      <c r="B754" s="74" t="s">
        <v>25422</v>
      </c>
      <c r="C754" s="75" t="s">
        <v>275</v>
      </c>
      <c r="D754" s="176">
        <v>62287.6</v>
      </c>
      <c r="E754" s="151">
        <v>44799</v>
      </c>
      <c r="F754" s="176">
        <v>62287.6</v>
      </c>
      <c r="G754" s="177">
        <f>Tabla19[[#This Row],[Importe]]-Tabla19[[#This Row],[Pagado]]</f>
        <v>0</v>
      </c>
      <c r="H754" s="75" t="s">
        <v>10</v>
      </c>
    </row>
    <row r="755" spans="1:8" x14ac:dyDescent="0.25">
      <c r="A755" s="148">
        <v>44781</v>
      </c>
      <c r="B755" s="149" t="s">
        <v>25423</v>
      </c>
      <c r="C755" s="153" t="s">
        <v>214</v>
      </c>
      <c r="D755" s="178">
        <v>1479</v>
      </c>
      <c r="E755" s="155">
        <v>44781</v>
      </c>
      <c r="F755" s="178">
        <v>1479</v>
      </c>
      <c r="G755" s="179">
        <f>Tabla19[[#This Row],[Importe]]-Tabla19[[#This Row],[Pagado]]</f>
        <v>0</v>
      </c>
      <c r="H755" s="153" t="s">
        <v>10</v>
      </c>
    </row>
    <row r="756" spans="1:8" x14ac:dyDescent="0.25">
      <c r="A756" s="73">
        <v>44781</v>
      </c>
      <c r="B756" s="74" t="s">
        <v>25424</v>
      </c>
      <c r="C756" s="75" t="s">
        <v>275</v>
      </c>
      <c r="D756" s="176">
        <v>26478.400000000001</v>
      </c>
      <c r="E756" s="151">
        <v>44799</v>
      </c>
      <c r="F756" s="176">
        <v>26478.400000000001</v>
      </c>
      <c r="G756" s="177">
        <f>Tabla19[[#This Row],[Importe]]-Tabla19[[#This Row],[Pagado]]</f>
        <v>0</v>
      </c>
      <c r="H756" s="75" t="s">
        <v>10</v>
      </c>
    </row>
    <row r="757" spans="1:8" x14ac:dyDescent="0.25">
      <c r="A757" s="148">
        <v>44781</v>
      </c>
      <c r="B757" s="149" t="s">
        <v>25425</v>
      </c>
      <c r="C757" s="153" t="s">
        <v>1302</v>
      </c>
      <c r="D757" s="178">
        <v>11342.4</v>
      </c>
      <c r="E757" s="155">
        <v>44782</v>
      </c>
      <c r="F757" s="178">
        <v>11342.4</v>
      </c>
      <c r="G757" s="179">
        <f>Tabla19[[#This Row],[Importe]]-Tabla19[[#This Row],[Pagado]]</f>
        <v>0</v>
      </c>
      <c r="H757" s="153" t="s">
        <v>10</v>
      </c>
    </row>
    <row r="758" spans="1:8" x14ac:dyDescent="0.25">
      <c r="A758" s="73">
        <v>44781</v>
      </c>
      <c r="B758" s="74" t="s">
        <v>25426</v>
      </c>
      <c r="C758" s="75" t="s">
        <v>275</v>
      </c>
      <c r="D758" s="176">
        <v>214833</v>
      </c>
      <c r="E758" s="151">
        <v>44799</v>
      </c>
      <c r="F758" s="176">
        <v>214833</v>
      </c>
      <c r="G758" s="177">
        <f>Tabla19[[#This Row],[Importe]]-Tabla19[[#This Row],[Pagado]]</f>
        <v>0</v>
      </c>
      <c r="H758" s="75" t="s">
        <v>10</v>
      </c>
    </row>
    <row r="759" spans="1:8" ht="31.5" x14ac:dyDescent="0.25">
      <c r="A759" s="148">
        <v>44781</v>
      </c>
      <c r="B759" s="149" t="s">
        <v>25427</v>
      </c>
      <c r="C759" s="153" t="s">
        <v>275</v>
      </c>
      <c r="D759" s="178">
        <v>182056.29</v>
      </c>
      <c r="E759" s="150" t="s">
        <v>25428</v>
      </c>
      <c r="F759" s="178">
        <f>53667.12</f>
        <v>53667.12</v>
      </c>
      <c r="G759" s="179">
        <f>Tabla19[[#This Row],[Importe]]-Tabla19[[#This Row],[Pagado]]</f>
        <v>128389.17000000001</v>
      </c>
      <c r="H759" s="153" t="s">
        <v>10</v>
      </c>
    </row>
    <row r="760" spans="1:8" x14ac:dyDescent="0.25">
      <c r="A760" s="73">
        <v>44781</v>
      </c>
      <c r="B760" s="74" t="s">
        <v>25429</v>
      </c>
      <c r="C760" s="75" t="s">
        <v>214</v>
      </c>
      <c r="D760" s="176">
        <v>7250</v>
      </c>
      <c r="E760" s="151">
        <v>44782</v>
      </c>
      <c r="F760" s="176">
        <v>7250</v>
      </c>
      <c r="G760" s="177">
        <f>Tabla19[[#This Row],[Importe]]-Tabla19[[#This Row],[Pagado]]</f>
        <v>0</v>
      </c>
      <c r="H760" s="75" t="s">
        <v>10</v>
      </c>
    </row>
    <row r="761" spans="1:8" x14ac:dyDescent="0.25">
      <c r="A761" s="148">
        <v>44781</v>
      </c>
      <c r="B761" s="149" t="s">
        <v>25430</v>
      </c>
      <c r="C761" s="153" t="s">
        <v>421</v>
      </c>
      <c r="D761" s="178">
        <v>14245.6</v>
      </c>
      <c r="E761" s="155">
        <v>44796</v>
      </c>
      <c r="F761" s="178">
        <v>14245.6</v>
      </c>
      <c r="G761" s="179">
        <f>Tabla19[[#This Row],[Importe]]-Tabla19[[#This Row],[Pagado]]</f>
        <v>0</v>
      </c>
      <c r="H761" s="153" t="s">
        <v>10</v>
      </c>
    </row>
    <row r="762" spans="1:8" x14ac:dyDescent="0.25">
      <c r="A762" s="73">
        <v>44781</v>
      </c>
      <c r="B762" s="74" t="s">
        <v>25431</v>
      </c>
      <c r="C762" s="75" t="s">
        <v>25432</v>
      </c>
      <c r="D762" s="176">
        <v>0</v>
      </c>
      <c r="E762" s="157" t="s">
        <v>189</v>
      </c>
      <c r="F762" s="176">
        <v>0</v>
      </c>
      <c r="G762" s="177">
        <f>Tabla19[[#This Row],[Importe]]-Tabla19[[#This Row],[Pagado]]</f>
        <v>0</v>
      </c>
      <c r="H762" s="161" t="s">
        <v>25433</v>
      </c>
    </row>
    <row r="763" spans="1:8" x14ac:dyDescent="0.25">
      <c r="A763" s="148">
        <v>44781</v>
      </c>
      <c r="B763" s="149" t="s">
        <v>25434</v>
      </c>
      <c r="C763" s="153" t="s">
        <v>1378</v>
      </c>
      <c r="D763" s="178">
        <v>59220</v>
      </c>
      <c r="E763" s="155">
        <v>44782</v>
      </c>
      <c r="F763" s="178">
        <v>59220</v>
      </c>
      <c r="G763" s="179">
        <f>Tabla19[[#This Row],[Importe]]-Tabla19[[#This Row],[Pagado]]</f>
        <v>0</v>
      </c>
      <c r="H763" s="153" t="s">
        <v>10</v>
      </c>
    </row>
    <row r="764" spans="1:8" x14ac:dyDescent="0.25">
      <c r="A764" s="73">
        <v>44781</v>
      </c>
      <c r="B764" s="74" t="s">
        <v>25435</v>
      </c>
      <c r="C764" s="75" t="s">
        <v>31</v>
      </c>
      <c r="D764" s="176">
        <v>8958.6</v>
      </c>
      <c r="E764" s="151">
        <v>44781</v>
      </c>
      <c r="F764" s="176">
        <v>8958.6</v>
      </c>
      <c r="G764" s="177">
        <f>Tabla19[[#This Row],[Importe]]-Tabla19[[#This Row],[Pagado]]</f>
        <v>0</v>
      </c>
      <c r="H764" s="75" t="s">
        <v>10</v>
      </c>
    </row>
    <row r="765" spans="1:8" x14ac:dyDescent="0.25">
      <c r="A765" s="148">
        <v>44781</v>
      </c>
      <c r="B765" s="149" t="s">
        <v>25436</v>
      </c>
      <c r="C765" s="153" t="s">
        <v>414</v>
      </c>
      <c r="D765" s="178">
        <v>26430.6</v>
      </c>
      <c r="E765" s="155">
        <v>44786</v>
      </c>
      <c r="F765" s="178">
        <v>26430.6</v>
      </c>
      <c r="G765" s="179">
        <f>Tabla19[[#This Row],[Importe]]-Tabla19[[#This Row],[Pagado]]</f>
        <v>0</v>
      </c>
      <c r="H765" s="153" t="s">
        <v>10</v>
      </c>
    </row>
    <row r="766" spans="1:8" x14ac:dyDescent="0.25">
      <c r="A766" s="73">
        <v>44781</v>
      </c>
      <c r="B766" s="74" t="s">
        <v>25437</v>
      </c>
      <c r="C766" s="75" t="s">
        <v>407</v>
      </c>
      <c r="D766" s="176">
        <v>17846</v>
      </c>
      <c r="E766" s="151">
        <v>44789</v>
      </c>
      <c r="F766" s="176">
        <v>17846</v>
      </c>
      <c r="G766" s="177">
        <f>Tabla19[[#This Row],[Importe]]-Tabla19[[#This Row],[Pagado]]</f>
        <v>0</v>
      </c>
      <c r="H766" s="75" t="s">
        <v>10</v>
      </c>
    </row>
    <row r="767" spans="1:8" x14ac:dyDescent="0.25">
      <c r="A767" s="148">
        <v>44781</v>
      </c>
      <c r="B767" s="149" t="s">
        <v>25438</v>
      </c>
      <c r="C767" s="153" t="s">
        <v>2139</v>
      </c>
      <c r="D767" s="178">
        <v>1700</v>
      </c>
      <c r="E767" s="155">
        <v>44781</v>
      </c>
      <c r="F767" s="178">
        <v>1700</v>
      </c>
      <c r="G767" s="179">
        <f>Tabla19[[#This Row],[Importe]]-Tabla19[[#This Row],[Pagado]]</f>
        <v>0</v>
      </c>
      <c r="H767" s="153" t="s">
        <v>10</v>
      </c>
    </row>
    <row r="768" spans="1:8" x14ac:dyDescent="0.25">
      <c r="A768" s="73">
        <v>44781</v>
      </c>
      <c r="B768" s="74" t="s">
        <v>25439</v>
      </c>
      <c r="C768" s="75" t="s">
        <v>25440</v>
      </c>
      <c r="D768" s="176">
        <v>33947.199999999997</v>
      </c>
      <c r="E768" s="151">
        <v>44781</v>
      </c>
      <c r="F768" s="176">
        <v>33947.199999999997</v>
      </c>
      <c r="G768" s="177">
        <f>Tabla19[[#This Row],[Importe]]-Tabla19[[#This Row],[Pagado]]</f>
        <v>0</v>
      </c>
      <c r="H768" s="75" t="s">
        <v>10</v>
      </c>
    </row>
    <row r="769" spans="1:8" x14ac:dyDescent="0.25">
      <c r="A769" s="148">
        <v>44781</v>
      </c>
      <c r="B769" s="149" t="s">
        <v>25441</v>
      </c>
      <c r="C769" s="153" t="s">
        <v>1008</v>
      </c>
      <c r="D769" s="178">
        <v>585</v>
      </c>
      <c r="E769" s="155">
        <v>44781</v>
      </c>
      <c r="F769" s="178">
        <v>585</v>
      </c>
      <c r="G769" s="179">
        <f>Tabla19[[#This Row],[Importe]]-Tabla19[[#This Row],[Pagado]]</f>
        <v>0</v>
      </c>
      <c r="H769" s="153" t="s">
        <v>10</v>
      </c>
    </row>
    <row r="770" spans="1:8" x14ac:dyDescent="0.25">
      <c r="A770" s="73">
        <v>44781</v>
      </c>
      <c r="B770" s="74" t="s">
        <v>25442</v>
      </c>
      <c r="C770" s="75" t="s">
        <v>29</v>
      </c>
      <c r="D770" s="176">
        <v>3801.9</v>
      </c>
      <c r="E770" s="151">
        <v>44781</v>
      </c>
      <c r="F770" s="176">
        <v>3801.9</v>
      </c>
      <c r="G770" s="177">
        <f>Tabla19[[#This Row],[Importe]]-Tabla19[[#This Row],[Pagado]]</f>
        <v>0</v>
      </c>
      <c r="H770" s="75" t="s">
        <v>10</v>
      </c>
    </row>
    <row r="771" spans="1:8" x14ac:dyDescent="0.25">
      <c r="A771" s="148">
        <v>44781</v>
      </c>
      <c r="B771" s="149" t="s">
        <v>25443</v>
      </c>
      <c r="C771" s="153" t="s">
        <v>249</v>
      </c>
      <c r="D771" s="178">
        <v>2103.1999999999998</v>
      </c>
      <c r="E771" s="155">
        <v>44781</v>
      </c>
      <c r="F771" s="178">
        <v>2103.1999999999998</v>
      </c>
      <c r="G771" s="179">
        <f>Tabla19[[#This Row],[Importe]]-Tabla19[[#This Row],[Pagado]]</f>
        <v>0</v>
      </c>
      <c r="H771" s="153" t="s">
        <v>10</v>
      </c>
    </row>
    <row r="772" spans="1:8" x14ac:dyDescent="0.25">
      <c r="A772" s="73">
        <v>44781</v>
      </c>
      <c r="B772" s="74" t="s">
        <v>25444</v>
      </c>
      <c r="C772" s="75" t="s">
        <v>296</v>
      </c>
      <c r="D772" s="176">
        <v>5089.2</v>
      </c>
      <c r="E772" s="151">
        <v>44781</v>
      </c>
      <c r="F772" s="176">
        <v>5089.2</v>
      </c>
      <c r="G772" s="177">
        <f>Tabla19[[#This Row],[Importe]]-Tabla19[[#This Row],[Pagado]]</f>
        <v>0</v>
      </c>
      <c r="H772" s="75" t="s">
        <v>10</v>
      </c>
    </row>
    <row r="773" spans="1:8" x14ac:dyDescent="0.25">
      <c r="A773" s="148">
        <v>44781</v>
      </c>
      <c r="B773" s="149" t="s">
        <v>25445</v>
      </c>
      <c r="C773" s="153" t="s">
        <v>89</v>
      </c>
      <c r="D773" s="178">
        <v>800.4</v>
      </c>
      <c r="E773" s="155">
        <v>44781</v>
      </c>
      <c r="F773" s="178">
        <v>800.4</v>
      </c>
      <c r="G773" s="179">
        <f>Tabla19[[#This Row],[Importe]]-Tabla19[[#This Row],[Pagado]]</f>
        <v>0</v>
      </c>
      <c r="H773" s="153" t="s">
        <v>10</v>
      </c>
    </row>
    <row r="774" spans="1:8" x14ac:dyDescent="0.25">
      <c r="A774" s="73">
        <v>44781</v>
      </c>
      <c r="B774" s="74" t="s">
        <v>25446</v>
      </c>
      <c r="C774" s="75" t="s">
        <v>5694</v>
      </c>
      <c r="D774" s="176">
        <v>5250</v>
      </c>
      <c r="E774" s="151">
        <v>44781</v>
      </c>
      <c r="F774" s="176">
        <v>5250</v>
      </c>
      <c r="G774" s="177">
        <f>Tabla19[[#This Row],[Importe]]-Tabla19[[#This Row],[Pagado]]</f>
        <v>0</v>
      </c>
      <c r="H774" s="75" t="s">
        <v>10</v>
      </c>
    </row>
    <row r="775" spans="1:8" x14ac:dyDescent="0.25">
      <c r="A775" s="148">
        <v>44781</v>
      </c>
      <c r="B775" s="149" t="s">
        <v>25447</v>
      </c>
      <c r="C775" s="153" t="s">
        <v>461</v>
      </c>
      <c r="D775" s="178">
        <v>123.5</v>
      </c>
      <c r="E775" s="155">
        <v>44781</v>
      </c>
      <c r="F775" s="178">
        <v>123.5</v>
      </c>
      <c r="G775" s="179">
        <f>Tabla19[[#This Row],[Importe]]-Tabla19[[#This Row],[Pagado]]</f>
        <v>0</v>
      </c>
      <c r="H775" s="153" t="s">
        <v>10</v>
      </c>
    </row>
    <row r="776" spans="1:8" x14ac:dyDescent="0.25">
      <c r="A776" s="73">
        <v>44781</v>
      </c>
      <c r="B776" s="74" t="s">
        <v>25448</v>
      </c>
      <c r="C776" s="75" t="s">
        <v>365</v>
      </c>
      <c r="D776" s="176">
        <v>975</v>
      </c>
      <c r="E776" s="151">
        <v>44781</v>
      </c>
      <c r="F776" s="176">
        <v>975</v>
      </c>
      <c r="G776" s="177">
        <f>Tabla19[[#This Row],[Importe]]-Tabla19[[#This Row],[Pagado]]</f>
        <v>0</v>
      </c>
      <c r="H776" s="75" t="s">
        <v>10</v>
      </c>
    </row>
    <row r="777" spans="1:8" x14ac:dyDescent="0.25">
      <c r="A777" s="148">
        <v>44781</v>
      </c>
      <c r="B777" s="149" t="s">
        <v>25449</v>
      </c>
      <c r="C777" s="153" t="s">
        <v>10678</v>
      </c>
      <c r="D777" s="178">
        <v>5030.3999999999996</v>
      </c>
      <c r="E777" s="155">
        <v>44781</v>
      </c>
      <c r="F777" s="178">
        <v>5030.3999999999996</v>
      </c>
      <c r="G777" s="179">
        <f>Tabla19[[#This Row],[Importe]]-Tabla19[[#This Row],[Pagado]]</f>
        <v>0</v>
      </c>
      <c r="H777" s="153" t="s">
        <v>10</v>
      </c>
    </row>
    <row r="778" spans="1:8" x14ac:dyDescent="0.25">
      <c r="A778" s="73">
        <v>44781</v>
      </c>
      <c r="B778" s="74" t="s">
        <v>25450</v>
      </c>
      <c r="C778" s="75" t="s">
        <v>173</v>
      </c>
      <c r="D778" s="176">
        <v>8593.6</v>
      </c>
      <c r="E778" s="151">
        <v>44784</v>
      </c>
      <c r="F778" s="176">
        <v>8593.6</v>
      </c>
      <c r="G778" s="177">
        <f>Tabla19[[#This Row],[Importe]]-Tabla19[[#This Row],[Pagado]]</f>
        <v>0</v>
      </c>
      <c r="H778" s="75" t="s">
        <v>10</v>
      </c>
    </row>
    <row r="779" spans="1:8" x14ac:dyDescent="0.25">
      <c r="A779" s="148">
        <v>44781</v>
      </c>
      <c r="B779" s="149" t="s">
        <v>25451</v>
      </c>
      <c r="C779" s="153" t="s">
        <v>12</v>
      </c>
      <c r="D779" s="178">
        <v>2168</v>
      </c>
      <c r="E779" s="155">
        <v>44781</v>
      </c>
      <c r="F779" s="178">
        <v>2168</v>
      </c>
      <c r="G779" s="179">
        <f>Tabla19[[#This Row],[Importe]]-Tabla19[[#This Row],[Pagado]]</f>
        <v>0</v>
      </c>
      <c r="H779" s="153" t="s">
        <v>10</v>
      </c>
    </row>
    <row r="780" spans="1:8" x14ac:dyDescent="0.25">
      <c r="A780" s="73">
        <v>44781</v>
      </c>
      <c r="B780" s="74" t="s">
        <v>25452</v>
      </c>
      <c r="C780" s="75" t="s">
        <v>69</v>
      </c>
      <c r="D780" s="176">
        <v>2640</v>
      </c>
      <c r="E780" s="151">
        <v>44782</v>
      </c>
      <c r="F780" s="176">
        <v>2640</v>
      </c>
      <c r="G780" s="177">
        <f>Tabla19[[#This Row],[Importe]]-Tabla19[[#This Row],[Pagado]]</f>
        <v>0</v>
      </c>
      <c r="H780" s="75" t="s">
        <v>10</v>
      </c>
    </row>
    <row r="781" spans="1:8" x14ac:dyDescent="0.25">
      <c r="A781" s="148">
        <v>44781</v>
      </c>
      <c r="B781" s="149" t="s">
        <v>25453</v>
      </c>
      <c r="C781" s="153" t="s">
        <v>475</v>
      </c>
      <c r="D781" s="178">
        <v>11094.6</v>
      </c>
      <c r="E781" s="155">
        <v>44783</v>
      </c>
      <c r="F781" s="178">
        <v>11094.6</v>
      </c>
      <c r="G781" s="179">
        <f>Tabla19[[#This Row],[Importe]]-Tabla19[[#This Row],[Pagado]]</f>
        <v>0</v>
      </c>
      <c r="H781" s="153" t="s">
        <v>10</v>
      </c>
    </row>
    <row r="782" spans="1:8" ht="31.5" x14ac:dyDescent="0.25">
      <c r="A782" s="73">
        <v>44781</v>
      </c>
      <c r="B782" s="74" t="s">
        <v>25454</v>
      </c>
      <c r="C782" s="75" t="s">
        <v>10840</v>
      </c>
      <c r="D782" s="176">
        <v>38847.4</v>
      </c>
      <c r="E782" s="147" t="s">
        <v>25455</v>
      </c>
      <c r="F782" s="176">
        <f>35000+3847.4</f>
        <v>38847.4</v>
      </c>
      <c r="G782" s="177">
        <f>Tabla19[[#This Row],[Importe]]-Tabla19[[#This Row],[Pagado]]</f>
        <v>0</v>
      </c>
      <c r="H782" s="75" t="s">
        <v>10</v>
      </c>
    </row>
    <row r="783" spans="1:8" x14ac:dyDescent="0.25">
      <c r="A783" s="148">
        <v>44781</v>
      </c>
      <c r="B783" s="149" t="s">
        <v>25456</v>
      </c>
      <c r="C783" s="153" t="s">
        <v>31</v>
      </c>
      <c r="D783" s="178">
        <v>2048.4</v>
      </c>
      <c r="E783" s="155">
        <v>44782</v>
      </c>
      <c r="F783" s="178">
        <v>2048.4</v>
      </c>
      <c r="G783" s="179">
        <f>Tabla19[[#This Row],[Importe]]-Tabla19[[#This Row],[Pagado]]</f>
        <v>0</v>
      </c>
      <c r="H783" s="153" t="s">
        <v>10</v>
      </c>
    </row>
    <row r="784" spans="1:8" x14ac:dyDescent="0.25">
      <c r="A784" s="73">
        <v>44782</v>
      </c>
      <c r="B784" s="74" t="s">
        <v>25457</v>
      </c>
      <c r="C784" s="75" t="s">
        <v>887</v>
      </c>
      <c r="D784" s="176">
        <v>17958.599999999999</v>
      </c>
      <c r="E784" s="151">
        <v>44782</v>
      </c>
      <c r="F784" s="176">
        <v>17958.599999999999</v>
      </c>
      <c r="G784" s="177">
        <f>Tabla19[[#This Row],[Importe]]-Tabla19[[#This Row],[Pagado]]</f>
        <v>0</v>
      </c>
      <c r="H784" s="75" t="s">
        <v>10</v>
      </c>
    </row>
    <row r="785" spans="1:8" x14ac:dyDescent="0.25">
      <c r="A785" s="148">
        <v>44782</v>
      </c>
      <c r="B785" s="149" t="s">
        <v>25458</v>
      </c>
      <c r="C785" s="153" t="s">
        <v>473</v>
      </c>
      <c r="D785" s="178">
        <v>5414.5</v>
      </c>
      <c r="E785" s="155">
        <v>44782</v>
      </c>
      <c r="F785" s="178">
        <v>5414.5</v>
      </c>
      <c r="G785" s="179">
        <f>Tabla19[[#This Row],[Importe]]-Tabla19[[#This Row],[Pagado]]</f>
        <v>0</v>
      </c>
      <c r="H785" s="153" t="s">
        <v>10</v>
      </c>
    </row>
    <row r="786" spans="1:8" x14ac:dyDescent="0.25">
      <c r="A786" s="73">
        <v>44782</v>
      </c>
      <c r="B786" s="74" t="s">
        <v>25459</v>
      </c>
      <c r="C786" s="75" t="s">
        <v>31</v>
      </c>
      <c r="D786" s="176">
        <v>7673.4</v>
      </c>
      <c r="E786" s="151">
        <v>44782</v>
      </c>
      <c r="F786" s="176">
        <v>7673.4</v>
      </c>
      <c r="G786" s="177">
        <f>Tabla19[[#This Row],[Importe]]-Tabla19[[#This Row],[Pagado]]</f>
        <v>0</v>
      </c>
      <c r="H786" s="75" t="s">
        <v>10</v>
      </c>
    </row>
    <row r="787" spans="1:8" x14ac:dyDescent="0.25">
      <c r="A787" s="148">
        <v>44782</v>
      </c>
      <c r="B787" s="149" t="s">
        <v>25460</v>
      </c>
      <c r="C787" s="153" t="s">
        <v>12</v>
      </c>
      <c r="D787" s="178">
        <v>5346.7</v>
      </c>
      <c r="E787" s="155">
        <v>44782</v>
      </c>
      <c r="F787" s="178">
        <v>5346.7</v>
      </c>
      <c r="G787" s="179">
        <f>Tabla19[[#This Row],[Importe]]-Tabla19[[#This Row],[Pagado]]</f>
        <v>0</v>
      </c>
      <c r="H787" s="153" t="s">
        <v>10</v>
      </c>
    </row>
    <row r="788" spans="1:8" ht="47.25" x14ac:dyDescent="0.25">
      <c r="A788" s="73">
        <v>44782</v>
      </c>
      <c r="B788" s="74" t="s">
        <v>25461</v>
      </c>
      <c r="C788" s="75" t="s">
        <v>99</v>
      </c>
      <c r="D788" s="176">
        <v>9802.5</v>
      </c>
      <c r="E788" s="147" t="s">
        <v>25462</v>
      </c>
      <c r="F788" s="176">
        <f>2000+4000+3802.5</f>
        <v>9802.5</v>
      </c>
      <c r="G788" s="177">
        <f>Tabla19[[#This Row],[Importe]]-Tabla19[[#This Row],[Pagado]]</f>
        <v>0</v>
      </c>
      <c r="H788" s="75" t="s">
        <v>10</v>
      </c>
    </row>
    <row r="789" spans="1:8" x14ac:dyDescent="0.25">
      <c r="A789" s="148">
        <v>44782</v>
      </c>
      <c r="B789" s="149" t="s">
        <v>25463</v>
      </c>
      <c r="C789" s="153" t="s">
        <v>31</v>
      </c>
      <c r="D789" s="178">
        <v>5534.2</v>
      </c>
      <c r="E789" s="155">
        <v>44782</v>
      </c>
      <c r="F789" s="178">
        <v>5534.2</v>
      </c>
      <c r="G789" s="179">
        <f>Tabla19[[#This Row],[Importe]]-Tabla19[[#This Row],[Pagado]]</f>
        <v>0</v>
      </c>
      <c r="H789" s="153" t="s">
        <v>10</v>
      </c>
    </row>
    <row r="790" spans="1:8" x14ac:dyDescent="0.25">
      <c r="A790" s="73">
        <v>44782</v>
      </c>
      <c r="B790" s="74" t="s">
        <v>25464</v>
      </c>
      <c r="C790" s="75" t="s">
        <v>93</v>
      </c>
      <c r="D790" s="176">
        <v>5233.5</v>
      </c>
      <c r="E790" s="151">
        <v>44784</v>
      </c>
      <c r="F790" s="176">
        <v>5233.5</v>
      </c>
      <c r="G790" s="177">
        <f>Tabla19[[#This Row],[Importe]]-Tabla19[[#This Row],[Pagado]]</f>
        <v>0</v>
      </c>
      <c r="H790" s="75" t="s">
        <v>10</v>
      </c>
    </row>
    <row r="791" spans="1:8" ht="31.5" x14ac:dyDescent="0.25">
      <c r="A791" s="148">
        <v>44782</v>
      </c>
      <c r="B791" s="149" t="s">
        <v>25465</v>
      </c>
      <c r="C791" s="153" t="s">
        <v>345</v>
      </c>
      <c r="D791" s="178">
        <v>5594.2</v>
      </c>
      <c r="E791" s="150" t="s">
        <v>25368</v>
      </c>
      <c r="F791" s="178">
        <f>3000+2594.2</f>
        <v>5594.2</v>
      </c>
      <c r="G791" s="179">
        <f>Tabla19[[#This Row],[Importe]]-Tabla19[[#This Row],[Pagado]]</f>
        <v>0</v>
      </c>
      <c r="H791" s="153" t="s">
        <v>10</v>
      </c>
    </row>
    <row r="792" spans="1:8" x14ac:dyDescent="0.25">
      <c r="A792" s="73">
        <v>44782</v>
      </c>
      <c r="B792" s="74" t="s">
        <v>25466</v>
      </c>
      <c r="C792" s="75" t="s">
        <v>9993</v>
      </c>
      <c r="D792" s="176">
        <v>50022</v>
      </c>
      <c r="E792" s="151">
        <v>44782</v>
      </c>
      <c r="F792" s="176">
        <v>50022</v>
      </c>
      <c r="G792" s="177">
        <f>Tabla19[[#This Row],[Importe]]-Tabla19[[#This Row],[Pagado]]</f>
        <v>0</v>
      </c>
      <c r="H792" s="75" t="s">
        <v>10</v>
      </c>
    </row>
    <row r="793" spans="1:8" x14ac:dyDescent="0.25">
      <c r="A793" s="148">
        <v>44782</v>
      </c>
      <c r="B793" s="149" t="s">
        <v>25467</v>
      </c>
      <c r="C793" s="153" t="s">
        <v>18</v>
      </c>
      <c r="D793" s="178">
        <v>70</v>
      </c>
      <c r="E793" s="155">
        <v>44782</v>
      </c>
      <c r="F793" s="178">
        <v>70</v>
      </c>
      <c r="G793" s="179">
        <f>Tabla19[[#This Row],[Importe]]-Tabla19[[#This Row],[Pagado]]</f>
        <v>0</v>
      </c>
      <c r="H793" s="153" t="s">
        <v>10</v>
      </c>
    </row>
    <row r="794" spans="1:8" x14ac:dyDescent="0.25">
      <c r="A794" s="73">
        <v>44782</v>
      </c>
      <c r="B794" s="74" t="s">
        <v>25468</v>
      </c>
      <c r="C794" s="75" t="s">
        <v>89</v>
      </c>
      <c r="D794" s="176">
        <v>12723.3</v>
      </c>
      <c r="E794" s="151">
        <v>44783</v>
      </c>
      <c r="F794" s="176">
        <v>12723.3</v>
      </c>
      <c r="G794" s="177">
        <f>Tabla19[[#This Row],[Importe]]-Tabla19[[#This Row],[Pagado]]</f>
        <v>0</v>
      </c>
      <c r="H794" s="75" t="s">
        <v>10</v>
      </c>
    </row>
    <row r="795" spans="1:8" x14ac:dyDescent="0.25">
      <c r="A795" s="148">
        <v>44782</v>
      </c>
      <c r="B795" s="149" t="s">
        <v>25469</v>
      </c>
      <c r="C795" s="153" t="s">
        <v>481</v>
      </c>
      <c r="D795" s="178">
        <v>613.4</v>
      </c>
      <c r="E795" s="155">
        <v>44782</v>
      </c>
      <c r="F795" s="178">
        <v>613.4</v>
      </c>
      <c r="G795" s="179">
        <f>Tabla19[[#This Row],[Importe]]-Tabla19[[#This Row],[Pagado]]</f>
        <v>0</v>
      </c>
      <c r="H795" s="153" t="s">
        <v>10</v>
      </c>
    </row>
    <row r="796" spans="1:8" x14ac:dyDescent="0.25">
      <c r="A796" s="73">
        <v>44782</v>
      </c>
      <c r="B796" s="74" t="s">
        <v>25470</v>
      </c>
      <c r="C796" s="75" t="s">
        <v>109</v>
      </c>
      <c r="D796" s="176">
        <v>5088</v>
      </c>
      <c r="E796" s="151">
        <v>44783</v>
      </c>
      <c r="F796" s="176">
        <v>5088</v>
      </c>
      <c r="G796" s="177">
        <f>Tabla19[[#This Row],[Importe]]-Tabla19[[#This Row],[Pagado]]</f>
        <v>0</v>
      </c>
      <c r="H796" s="75" t="s">
        <v>10</v>
      </c>
    </row>
    <row r="797" spans="1:8" x14ac:dyDescent="0.25">
      <c r="A797" s="148">
        <v>44782</v>
      </c>
      <c r="B797" s="149" t="s">
        <v>25471</v>
      </c>
      <c r="C797" s="153" t="s">
        <v>5043</v>
      </c>
      <c r="D797" s="178">
        <v>4989.6000000000004</v>
      </c>
      <c r="E797" s="155">
        <v>44784</v>
      </c>
      <c r="F797" s="178">
        <v>4989.6000000000004</v>
      </c>
      <c r="G797" s="179">
        <f>Tabla19[[#This Row],[Importe]]-Tabla19[[#This Row],[Pagado]]</f>
        <v>0</v>
      </c>
      <c r="H797" s="153" t="s">
        <v>10</v>
      </c>
    </row>
    <row r="798" spans="1:8" x14ac:dyDescent="0.25">
      <c r="A798" s="73">
        <v>44782</v>
      </c>
      <c r="B798" s="74" t="s">
        <v>25472</v>
      </c>
      <c r="C798" s="75" t="s">
        <v>348</v>
      </c>
      <c r="D798" s="176">
        <v>2992.5</v>
      </c>
      <c r="E798" s="151">
        <v>44782</v>
      </c>
      <c r="F798" s="176">
        <v>2992.5</v>
      </c>
      <c r="G798" s="177">
        <f>Tabla19[[#This Row],[Importe]]-Tabla19[[#This Row],[Pagado]]</f>
        <v>0</v>
      </c>
      <c r="H798" s="75" t="s">
        <v>10</v>
      </c>
    </row>
    <row r="799" spans="1:8" x14ac:dyDescent="0.25">
      <c r="A799" s="148">
        <v>44782</v>
      </c>
      <c r="B799" s="149" t="s">
        <v>25473</v>
      </c>
      <c r="C799" s="153" t="s">
        <v>35</v>
      </c>
      <c r="D799" s="178">
        <v>193.2</v>
      </c>
      <c r="E799" s="155">
        <v>44782</v>
      </c>
      <c r="F799" s="178">
        <v>193.2</v>
      </c>
      <c r="G799" s="179">
        <f>Tabla19[[#This Row],[Importe]]-Tabla19[[#This Row],[Pagado]]</f>
        <v>0</v>
      </c>
      <c r="H799" s="153" t="s">
        <v>10</v>
      </c>
    </row>
    <row r="800" spans="1:8" x14ac:dyDescent="0.25">
      <c r="A800" s="73">
        <v>44782</v>
      </c>
      <c r="B800" s="74" t="s">
        <v>25474</v>
      </c>
      <c r="C800" s="75" t="s">
        <v>934</v>
      </c>
      <c r="D800" s="176">
        <v>5549.6</v>
      </c>
      <c r="E800" s="151">
        <v>44782</v>
      </c>
      <c r="F800" s="176">
        <v>5549.6</v>
      </c>
      <c r="G800" s="177">
        <f>Tabla19[[#This Row],[Importe]]-Tabla19[[#This Row],[Pagado]]</f>
        <v>0</v>
      </c>
      <c r="H800" s="75" t="s">
        <v>10</v>
      </c>
    </row>
    <row r="801" spans="1:8" x14ac:dyDescent="0.25">
      <c r="A801" s="148">
        <v>44782</v>
      </c>
      <c r="B801" s="149" t="s">
        <v>25475</v>
      </c>
      <c r="C801" s="153" t="s">
        <v>12</v>
      </c>
      <c r="D801" s="178">
        <v>4481.3999999999996</v>
      </c>
      <c r="E801" s="155">
        <v>44782</v>
      </c>
      <c r="F801" s="178">
        <v>4481.3999999999996</v>
      </c>
      <c r="G801" s="179">
        <f>Tabla19[[#This Row],[Importe]]-Tabla19[[#This Row],[Pagado]]</f>
        <v>0</v>
      </c>
      <c r="H801" s="153" t="s">
        <v>10</v>
      </c>
    </row>
    <row r="802" spans="1:8" x14ac:dyDescent="0.25">
      <c r="A802" s="73">
        <v>44782</v>
      </c>
      <c r="B802" s="74" t="s">
        <v>25476</v>
      </c>
      <c r="C802" s="75" t="s">
        <v>114</v>
      </c>
      <c r="D802" s="176">
        <v>7609.6</v>
      </c>
      <c r="E802" s="151">
        <v>44784</v>
      </c>
      <c r="F802" s="176">
        <v>7609.6</v>
      </c>
      <c r="G802" s="177">
        <f>Tabla19[[#This Row],[Importe]]-Tabla19[[#This Row],[Pagado]]</f>
        <v>0</v>
      </c>
      <c r="H802" s="75" t="s">
        <v>10</v>
      </c>
    </row>
    <row r="803" spans="1:8" x14ac:dyDescent="0.25">
      <c r="A803" s="148">
        <v>44782</v>
      </c>
      <c r="B803" s="149" t="s">
        <v>25477</v>
      </c>
      <c r="C803" s="153" t="s">
        <v>64</v>
      </c>
      <c r="D803" s="178">
        <v>4963.2</v>
      </c>
      <c r="E803" s="155">
        <v>44783</v>
      </c>
      <c r="F803" s="178">
        <v>4963.2</v>
      </c>
      <c r="G803" s="179">
        <f>Tabla19[[#This Row],[Importe]]-Tabla19[[#This Row],[Pagado]]</f>
        <v>0</v>
      </c>
      <c r="H803" s="153" t="s">
        <v>10</v>
      </c>
    </row>
    <row r="804" spans="1:8" x14ac:dyDescent="0.25">
      <c r="A804" s="73">
        <v>44782</v>
      </c>
      <c r="B804" s="74" t="s">
        <v>25478</v>
      </c>
      <c r="C804" s="75" t="s">
        <v>105</v>
      </c>
      <c r="D804" s="176">
        <v>10911.3</v>
      </c>
      <c r="E804" s="151">
        <v>44783</v>
      </c>
      <c r="F804" s="176">
        <v>10911.3</v>
      </c>
      <c r="G804" s="177">
        <f>Tabla19[[#This Row],[Importe]]-Tabla19[[#This Row],[Pagado]]</f>
        <v>0</v>
      </c>
      <c r="H804" s="75" t="s">
        <v>10</v>
      </c>
    </row>
    <row r="805" spans="1:8" x14ac:dyDescent="0.25">
      <c r="A805" s="148">
        <v>44782</v>
      </c>
      <c r="B805" s="149" t="s">
        <v>25479</v>
      </c>
      <c r="C805" s="153" t="s">
        <v>97</v>
      </c>
      <c r="D805" s="178">
        <v>4989.6000000000004</v>
      </c>
      <c r="E805" s="155">
        <v>44783</v>
      </c>
      <c r="F805" s="178">
        <v>4989.6000000000004</v>
      </c>
      <c r="G805" s="179">
        <f>Tabla19[[#This Row],[Importe]]-Tabla19[[#This Row],[Pagado]]</f>
        <v>0</v>
      </c>
      <c r="H805" s="153" t="s">
        <v>10</v>
      </c>
    </row>
    <row r="806" spans="1:8" x14ac:dyDescent="0.25">
      <c r="A806" s="73">
        <v>44782</v>
      </c>
      <c r="B806" s="74" t="s">
        <v>25480</v>
      </c>
      <c r="C806" s="75" t="s">
        <v>2151</v>
      </c>
      <c r="D806" s="176">
        <v>23707.5</v>
      </c>
      <c r="E806" s="151">
        <v>44782</v>
      </c>
      <c r="F806" s="176">
        <v>23707.5</v>
      </c>
      <c r="G806" s="177">
        <f>Tabla19[[#This Row],[Importe]]-Tabla19[[#This Row],[Pagado]]</f>
        <v>0</v>
      </c>
      <c r="H806" s="75" t="s">
        <v>10</v>
      </c>
    </row>
    <row r="807" spans="1:8" x14ac:dyDescent="0.25">
      <c r="A807" s="148">
        <v>44782</v>
      </c>
      <c r="B807" s="149" t="s">
        <v>25481</v>
      </c>
      <c r="C807" s="153" t="s">
        <v>159</v>
      </c>
      <c r="D807" s="178">
        <v>2973.6</v>
      </c>
      <c r="E807" s="155">
        <v>44782</v>
      </c>
      <c r="F807" s="178">
        <v>2973.6</v>
      </c>
      <c r="G807" s="179">
        <f>Tabla19[[#This Row],[Importe]]-Tabla19[[#This Row],[Pagado]]</f>
        <v>0</v>
      </c>
      <c r="H807" s="153" t="s">
        <v>10</v>
      </c>
    </row>
    <row r="808" spans="1:8" x14ac:dyDescent="0.25">
      <c r="A808" s="73">
        <v>44782</v>
      </c>
      <c r="B808" s="74" t="s">
        <v>25482</v>
      </c>
      <c r="C808" s="75" t="s">
        <v>9</v>
      </c>
      <c r="D808" s="176">
        <v>9504.7999999999993</v>
      </c>
      <c r="E808" s="151">
        <v>44782</v>
      </c>
      <c r="F808" s="176">
        <v>9504.7999999999993</v>
      </c>
      <c r="G808" s="177">
        <f>Tabla19[[#This Row],[Importe]]-Tabla19[[#This Row],[Pagado]]</f>
        <v>0</v>
      </c>
      <c r="H808" s="75" t="s">
        <v>10</v>
      </c>
    </row>
    <row r="809" spans="1:8" x14ac:dyDescent="0.25">
      <c r="A809" s="148">
        <v>44782</v>
      </c>
      <c r="B809" s="149" t="s">
        <v>25483</v>
      </c>
      <c r="C809" s="153" t="s">
        <v>466</v>
      </c>
      <c r="D809" s="178">
        <v>8000</v>
      </c>
      <c r="E809" s="155">
        <v>44782</v>
      </c>
      <c r="F809" s="178">
        <v>8000</v>
      </c>
      <c r="G809" s="179">
        <f>Tabla19[[#This Row],[Importe]]-Tabla19[[#This Row],[Pagado]]</f>
        <v>0</v>
      </c>
      <c r="H809" s="153" t="s">
        <v>10</v>
      </c>
    </row>
    <row r="810" spans="1:8" x14ac:dyDescent="0.25">
      <c r="A810" s="73">
        <v>44782</v>
      </c>
      <c r="B810" s="74" t="s">
        <v>25484</v>
      </c>
      <c r="C810" s="75" t="s">
        <v>319</v>
      </c>
      <c r="D810" s="176">
        <v>10166.4</v>
      </c>
      <c r="E810" s="151">
        <v>44782</v>
      </c>
      <c r="F810" s="176">
        <v>10166.4</v>
      </c>
      <c r="G810" s="177">
        <f>Tabla19[[#This Row],[Importe]]-Tabla19[[#This Row],[Pagado]]</f>
        <v>0</v>
      </c>
      <c r="H810" s="75" t="s">
        <v>10</v>
      </c>
    </row>
    <row r="811" spans="1:8" x14ac:dyDescent="0.25">
      <c r="A811" s="148">
        <v>44782</v>
      </c>
      <c r="B811" s="149" t="s">
        <v>25485</v>
      </c>
      <c r="C811" s="153" t="s">
        <v>25486</v>
      </c>
      <c r="D811" s="178">
        <v>0</v>
      </c>
      <c r="E811" s="158" t="s">
        <v>189</v>
      </c>
      <c r="F811" s="178">
        <v>0</v>
      </c>
      <c r="G811" s="179">
        <f>Tabla19[[#This Row],[Importe]]-Tabla19[[#This Row],[Pagado]]</f>
        <v>0</v>
      </c>
      <c r="H811" s="159" t="s">
        <v>25487</v>
      </c>
    </row>
    <row r="812" spans="1:8" x14ac:dyDescent="0.25">
      <c r="A812" s="73">
        <v>44782</v>
      </c>
      <c r="B812" s="74" t="s">
        <v>25488</v>
      </c>
      <c r="C812" s="75" t="s">
        <v>151</v>
      </c>
      <c r="D812" s="176">
        <v>17201</v>
      </c>
      <c r="E812" s="151">
        <v>44782</v>
      </c>
      <c r="F812" s="176">
        <v>17201</v>
      </c>
      <c r="G812" s="177">
        <f>Tabla19[[#This Row],[Importe]]-Tabla19[[#This Row],[Pagado]]</f>
        <v>0</v>
      </c>
      <c r="H812" s="75" t="s">
        <v>10</v>
      </c>
    </row>
    <row r="813" spans="1:8" x14ac:dyDescent="0.25">
      <c r="A813" s="148">
        <v>44782</v>
      </c>
      <c r="B813" s="149" t="s">
        <v>25489</v>
      </c>
      <c r="C813" s="153" t="s">
        <v>11033</v>
      </c>
      <c r="D813" s="178">
        <v>1927.6</v>
      </c>
      <c r="E813" s="155">
        <v>44782</v>
      </c>
      <c r="F813" s="178">
        <v>1927.6</v>
      </c>
      <c r="G813" s="179">
        <f>Tabla19[[#This Row],[Importe]]-Tabla19[[#This Row],[Pagado]]</f>
        <v>0</v>
      </c>
      <c r="H813" s="153" t="s">
        <v>10</v>
      </c>
    </row>
    <row r="814" spans="1:8" x14ac:dyDescent="0.25">
      <c r="A814" s="73">
        <v>44782</v>
      </c>
      <c r="B814" s="74" t="s">
        <v>25490</v>
      </c>
      <c r="C814" s="75" t="s">
        <v>16</v>
      </c>
      <c r="D814" s="176">
        <v>4998.8</v>
      </c>
      <c r="E814" s="151">
        <v>44782</v>
      </c>
      <c r="F814" s="176">
        <v>4998.8</v>
      </c>
      <c r="G814" s="177">
        <f>Tabla19[[#This Row],[Importe]]-Tabla19[[#This Row],[Pagado]]</f>
        <v>0</v>
      </c>
      <c r="H814" s="75" t="s">
        <v>10</v>
      </c>
    </row>
    <row r="815" spans="1:8" ht="31.5" x14ac:dyDescent="0.25">
      <c r="A815" s="148">
        <v>44782</v>
      </c>
      <c r="B815" s="149" t="s">
        <v>25491</v>
      </c>
      <c r="C815" s="153" t="s">
        <v>22</v>
      </c>
      <c r="D815" s="178">
        <v>57878.1</v>
      </c>
      <c r="E815" s="150" t="s">
        <v>25337</v>
      </c>
      <c r="F815" s="178">
        <f>33000+24878.1</f>
        <v>57878.1</v>
      </c>
      <c r="G815" s="179">
        <f>Tabla19[[#This Row],[Importe]]-Tabla19[[#This Row],[Pagado]]</f>
        <v>0</v>
      </c>
      <c r="H815" s="153" t="s">
        <v>10</v>
      </c>
    </row>
    <row r="816" spans="1:8" x14ac:dyDescent="0.25">
      <c r="A816" s="73">
        <v>44782</v>
      </c>
      <c r="B816" s="74" t="s">
        <v>25492</v>
      </c>
      <c r="C816" s="75" t="s">
        <v>161</v>
      </c>
      <c r="D816" s="176">
        <v>4774</v>
      </c>
      <c r="E816" s="151">
        <v>44782</v>
      </c>
      <c r="F816" s="176">
        <v>4774</v>
      </c>
      <c r="G816" s="177">
        <f>Tabla19[[#This Row],[Importe]]-Tabla19[[#This Row],[Pagado]]</f>
        <v>0</v>
      </c>
      <c r="H816" s="75" t="s">
        <v>10</v>
      </c>
    </row>
    <row r="817" spans="1:8" x14ac:dyDescent="0.25">
      <c r="A817" s="148">
        <v>44782</v>
      </c>
      <c r="B817" s="149" t="s">
        <v>25493</v>
      </c>
      <c r="C817" s="153" t="s">
        <v>966</v>
      </c>
      <c r="D817" s="178">
        <v>6377.02</v>
      </c>
      <c r="E817" s="155">
        <v>44782</v>
      </c>
      <c r="F817" s="178">
        <v>6377.02</v>
      </c>
      <c r="G817" s="179">
        <f>Tabla19[[#This Row],[Importe]]-Tabla19[[#This Row],[Pagado]]</f>
        <v>0</v>
      </c>
      <c r="H817" s="153" t="s">
        <v>10</v>
      </c>
    </row>
    <row r="818" spans="1:8" x14ac:dyDescent="0.25">
      <c r="A818" s="73">
        <v>44782</v>
      </c>
      <c r="B818" s="74" t="s">
        <v>25494</v>
      </c>
      <c r="C818" s="75" t="s">
        <v>79</v>
      </c>
      <c r="D818" s="176">
        <v>22619.8</v>
      </c>
      <c r="E818" s="151">
        <v>44782</v>
      </c>
      <c r="F818" s="176">
        <v>22619.8</v>
      </c>
      <c r="G818" s="177">
        <f>Tabla19[[#This Row],[Importe]]-Tabla19[[#This Row],[Pagado]]</f>
        <v>0</v>
      </c>
      <c r="H818" s="75" t="s">
        <v>10</v>
      </c>
    </row>
    <row r="819" spans="1:8" x14ac:dyDescent="0.25">
      <c r="A819" s="148">
        <v>44782</v>
      </c>
      <c r="B819" s="149" t="s">
        <v>25495</v>
      </c>
      <c r="C819" s="153" t="s">
        <v>31</v>
      </c>
      <c r="D819" s="178">
        <v>30486.400000000001</v>
      </c>
      <c r="E819" s="155">
        <v>44782</v>
      </c>
      <c r="F819" s="178">
        <v>30486.400000000001</v>
      </c>
      <c r="G819" s="179">
        <f>Tabla19[[#This Row],[Importe]]-Tabla19[[#This Row],[Pagado]]</f>
        <v>0</v>
      </c>
      <c r="H819" s="153" t="s">
        <v>10</v>
      </c>
    </row>
    <row r="820" spans="1:8" x14ac:dyDescent="0.25">
      <c r="A820" s="73">
        <v>44782</v>
      </c>
      <c r="B820" s="74" t="s">
        <v>25496</v>
      </c>
      <c r="C820" s="75" t="s">
        <v>79</v>
      </c>
      <c r="D820" s="176">
        <v>9144</v>
      </c>
      <c r="E820" s="151">
        <v>44782</v>
      </c>
      <c r="F820" s="176">
        <v>9144</v>
      </c>
      <c r="G820" s="177">
        <f>Tabla19[[#This Row],[Importe]]-Tabla19[[#This Row],[Pagado]]</f>
        <v>0</v>
      </c>
      <c r="H820" s="75" t="s">
        <v>10</v>
      </c>
    </row>
    <row r="821" spans="1:8" x14ac:dyDescent="0.25">
      <c r="A821" s="148">
        <v>44782</v>
      </c>
      <c r="B821" s="149" t="s">
        <v>25497</v>
      </c>
      <c r="C821" s="153" t="s">
        <v>157</v>
      </c>
      <c r="D821" s="178">
        <v>6278.8</v>
      </c>
      <c r="E821" s="155">
        <v>44782</v>
      </c>
      <c r="F821" s="178">
        <v>6278.8</v>
      </c>
      <c r="G821" s="179">
        <f>Tabla19[[#This Row],[Importe]]-Tabla19[[#This Row],[Pagado]]</f>
        <v>0</v>
      </c>
      <c r="H821" s="153" t="s">
        <v>10</v>
      </c>
    </row>
    <row r="822" spans="1:8" x14ac:dyDescent="0.25">
      <c r="A822" s="73">
        <v>44782</v>
      </c>
      <c r="B822" s="74" t="s">
        <v>25498</v>
      </c>
      <c r="C822" s="75" t="s">
        <v>49</v>
      </c>
      <c r="D822" s="176">
        <v>5113.6000000000004</v>
      </c>
      <c r="E822" s="151">
        <v>44782</v>
      </c>
      <c r="F822" s="176">
        <v>5113.6000000000004</v>
      </c>
      <c r="G822" s="177">
        <f>Tabla19[[#This Row],[Importe]]-Tabla19[[#This Row],[Pagado]]</f>
        <v>0</v>
      </c>
      <c r="H822" s="75" t="s">
        <v>10</v>
      </c>
    </row>
    <row r="823" spans="1:8" x14ac:dyDescent="0.25">
      <c r="A823" s="148">
        <v>44782</v>
      </c>
      <c r="B823" s="149" t="s">
        <v>25499</v>
      </c>
      <c r="C823" s="153" t="s">
        <v>319</v>
      </c>
      <c r="D823" s="178">
        <v>184.5</v>
      </c>
      <c r="E823" s="155">
        <v>44782</v>
      </c>
      <c r="F823" s="178">
        <v>184.5</v>
      </c>
      <c r="G823" s="179">
        <f>Tabla19[[#This Row],[Importe]]-Tabla19[[#This Row],[Pagado]]</f>
        <v>0</v>
      </c>
      <c r="H823" s="153" t="s">
        <v>10</v>
      </c>
    </row>
    <row r="824" spans="1:8" x14ac:dyDescent="0.25">
      <c r="A824" s="73">
        <v>44782</v>
      </c>
      <c r="B824" s="74" t="s">
        <v>25500</v>
      </c>
      <c r="C824" s="75" t="s">
        <v>51</v>
      </c>
      <c r="D824" s="176">
        <v>544.5</v>
      </c>
      <c r="E824" s="151">
        <v>44782</v>
      </c>
      <c r="F824" s="176">
        <v>544.5</v>
      </c>
      <c r="G824" s="177">
        <f>Tabla19[[#This Row],[Importe]]-Tabla19[[#This Row],[Pagado]]</f>
        <v>0</v>
      </c>
      <c r="H824" s="75" t="s">
        <v>10</v>
      </c>
    </row>
    <row r="825" spans="1:8" x14ac:dyDescent="0.25">
      <c r="A825" s="148">
        <v>44782</v>
      </c>
      <c r="B825" s="149" t="s">
        <v>25501</v>
      </c>
      <c r="C825" s="153" t="s">
        <v>45</v>
      </c>
      <c r="D825" s="178">
        <v>12073</v>
      </c>
      <c r="E825" s="155">
        <v>44782</v>
      </c>
      <c r="F825" s="178">
        <v>12073</v>
      </c>
      <c r="G825" s="179">
        <f>Tabla19[[#This Row],[Importe]]-Tabla19[[#This Row],[Pagado]]</f>
        <v>0</v>
      </c>
      <c r="H825" s="153" t="s">
        <v>10</v>
      </c>
    </row>
    <row r="826" spans="1:8" x14ac:dyDescent="0.25">
      <c r="A826" s="73">
        <v>44782</v>
      </c>
      <c r="B826" s="74" t="s">
        <v>25502</v>
      </c>
      <c r="C826" s="75" t="s">
        <v>179</v>
      </c>
      <c r="D826" s="176">
        <v>2305.5</v>
      </c>
      <c r="E826" s="151">
        <v>44782</v>
      </c>
      <c r="F826" s="176">
        <v>2305.5</v>
      </c>
      <c r="G826" s="177">
        <f>Tabla19[[#This Row],[Importe]]-Tabla19[[#This Row],[Pagado]]</f>
        <v>0</v>
      </c>
      <c r="H826" s="75" t="s">
        <v>10</v>
      </c>
    </row>
    <row r="827" spans="1:8" x14ac:dyDescent="0.25">
      <c r="A827" s="148">
        <v>44782</v>
      </c>
      <c r="B827" s="149" t="s">
        <v>25503</v>
      </c>
      <c r="C827" s="153" t="s">
        <v>56</v>
      </c>
      <c r="D827" s="178">
        <v>6474</v>
      </c>
      <c r="E827" s="155">
        <v>44782</v>
      </c>
      <c r="F827" s="178">
        <v>6474</v>
      </c>
      <c r="G827" s="179">
        <f>Tabla19[[#This Row],[Importe]]-Tabla19[[#This Row],[Pagado]]</f>
        <v>0</v>
      </c>
      <c r="H827" s="153" t="s">
        <v>10</v>
      </c>
    </row>
    <row r="828" spans="1:8" x14ac:dyDescent="0.25">
      <c r="A828" s="73">
        <v>44782</v>
      </c>
      <c r="B828" s="74" t="s">
        <v>25504</v>
      </c>
      <c r="C828" s="75" t="s">
        <v>56</v>
      </c>
      <c r="D828" s="176">
        <v>791.7</v>
      </c>
      <c r="E828" s="151">
        <v>44782</v>
      </c>
      <c r="F828" s="176">
        <v>791.7</v>
      </c>
      <c r="G828" s="177">
        <f>Tabla19[[#This Row],[Importe]]-Tabla19[[#This Row],[Pagado]]</f>
        <v>0</v>
      </c>
      <c r="H828" s="75" t="s">
        <v>10</v>
      </c>
    </row>
    <row r="829" spans="1:8" x14ac:dyDescent="0.25">
      <c r="A829" s="148">
        <v>44782</v>
      </c>
      <c r="B829" s="149" t="s">
        <v>25505</v>
      </c>
      <c r="C829" s="153" t="s">
        <v>273</v>
      </c>
      <c r="D829" s="178">
        <v>3144</v>
      </c>
      <c r="E829" s="155">
        <v>44782</v>
      </c>
      <c r="F829" s="178">
        <v>3144</v>
      </c>
      <c r="G829" s="179">
        <f>Tabla19[[#This Row],[Importe]]-Tabla19[[#This Row],[Pagado]]</f>
        <v>0</v>
      </c>
      <c r="H829" s="153" t="s">
        <v>10</v>
      </c>
    </row>
    <row r="830" spans="1:8" x14ac:dyDescent="0.25">
      <c r="A830" s="73">
        <v>44782</v>
      </c>
      <c r="B830" s="74" t="s">
        <v>25506</v>
      </c>
      <c r="C830" s="75" t="s">
        <v>407</v>
      </c>
      <c r="D830" s="176">
        <v>36632.400000000001</v>
      </c>
      <c r="E830" s="151">
        <v>44790</v>
      </c>
      <c r="F830" s="176">
        <v>36632.400000000001</v>
      </c>
      <c r="G830" s="177">
        <f>Tabla19[[#This Row],[Importe]]-Tabla19[[#This Row],[Pagado]]</f>
        <v>0</v>
      </c>
      <c r="H830" s="75" t="s">
        <v>10</v>
      </c>
    </row>
    <row r="831" spans="1:8" x14ac:dyDescent="0.25">
      <c r="A831" s="148">
        <v>44782</v>
      </c>
      <c r="B831" s="149" t="s">
        <v>25507</v>
      </c>
      <c r="C831" s="153" t="s">
        <v>9780</v>
      </c>
      <c r="D831" s="178">
        <v>7807</v>
      </c>
      <c r="E831" s="155" t="s">
        <v>4813</v>
      </c>
      <c r="F831" s="178">
        <v>0</v>
      </c>
      <c r="G831" s="179">
        <f>Tabla19[[#This Row],[Importe]]-Tabla19[[#This Row],[Pagado]]</f>
        <v>7807</v>
      </c>
      <c r="H831" s="153" t="s">
        <v>4814</v>
      </c>
    </row>
    <row r="832" spans="1:8" x14ac:dyDescent="0.25">
      <c r="A832" s="73">
        <v>44782</v>
      </c>
      <c r="B832" s="74" t="s">
        <v>25508</v>
      </c>
      <c r="C832" s="75" t="s">
        <v>426</v>
      </c>
      <c r="D832" s="176">
        <v>2886.4</v>
      </c>
      <c r="E832" s="151">
        <v>44782</v>
      </c>
      <c r="F832" s="176">
        <v>2886.4</v>
      </c>
      <c r="G832" s="177">
        <f>Tabla19[[#This Row],[Importe]]-Tabla19[[#This Row],[Pagado]]</f>
        <v>0</v>
      </c>
      <c r="H832" s="75" t="s">
        <v>10</v>
      </c>
    </row>
    <row r="833" spans="1:8" x14ac:dyDescent="0.25">
      <c r="A833" s="148">
        <v>44782</v>
      </c>
      <c r="B833" s="149" t="s">
        <v>25509</v>
      </c>
      <c r="C833" s="153" t="s">
        <v>191</v>
      </c>
      <c r="D833" s="178">
        <v>1919.7</v>
      </c>
      <c r="E833" s="155">
        <v>44782</v>
      </c>
      <c r="F833" s="178">
        <v>1919.7</v>
      </c>
      <c r="G833" s="179">
        <f>Tabla19[[#This Row],[Importe]]-Tabla19[[#This Row],[Pagado]]</f>
        <v>0</v>
      </c>
      <c r="H833" s="153" t="s">
        <v>10</v>
      </c>
    </row>
    <row r="834" spans="1:8" x14ac:dyDescent="0.25">
      <c r="A834" s="73">
        <v>44782</v>
      </c>
      <c r="B834" s="74" t="s">
        <v>25510</v>
      </c>
      <c r="C834" s="75" t="s">
        <v>24</v>
      </c>
      <c r="D834" s="176">
        <v>3225.7</v>
      </c>
      <c r="E834" s="151">
        <v>44782</v>
      </c>
      <c r="F834" s="176">
        <v>3225.7</v>
      </c>
      <c r="G834" s="177">
        <f>Tabla19[[#This Row],[Importe]]-Tabla19[[#This Row],[Pagado]]</f>
        <v>0</v>
      </c>
      <c r="H834" s="75" t="s">
        <v>10</v>
      </c>
    </row>
    <row r="835" spans="1:8" x14ac:dyDescent="0.25">
      <c r="A835" s="148">
        <v>44782</v>
      </c>
      <c r="B835" s="149" t="s">
        <v>25511</v>
      </c>
      <c r="C835" s="153" t="s">
        <v>67</v>
      </c>
      <c r="D835" s="178">
        <v>2514.3000000000002</v>
      </c>
      <c r="E835" s="155">
        <v>44782</v>
      </c>
      <c r="F835" s="178">
        <v>2514.3000000000002</v>
      </c>
      <c r="G835" s="179">
        <f>Tabla19[[#This Row],[Importe]]-Tabla19[[#This Row],[Pagado]]</f>
        <v>0</v>
      </c>
      <c r="H835" s="153" t="s">
        <v>10</v>
      </c>
    </row>
    <row r="836" spans="1:8" x14ac:dyDescent="0.25">
      <c r="A836" s="73">
        <v>44782</v>
      </c>
      <c r="B836" s="74" t="s">
        <v>25512</v>
      </c>
      <c r="C836" s="75" t="s">
        <v>226</v>
      </c>
      <c r="D836" s="176">
        <v>6745.2</v>
      </c>
      <c r="E836" s="151">
        <v>44782</v>
      </c>
      <c r="F836" s="176">
        <v>6745.2</v>
      </c>
      <c r="G836" s="177">
        <f>Tabla19[[#This Row],[Importe]]-Tabla19[[#This Row],[Pagado]]</f>
        <v>0</v>
      </c>
      <c r="H836" s="75" t="s">
        <v>10</v>
      </c>
    </row>
    <row r="837" spans="1:8" x14ac:dyDescent="0.25">
      <c r="A837" s="148">
        <v>44782</v>
      </c>
      <c r="B837" s="149" t="s">
        <v>25513</v>
      </c>
      <c r="C837" s="153" t="s">
        <v>698</v>
      </c>
      <c r="D837" s="178">
        <v>7374.3</v>
      </c>
      <c r="E837" s="155">
        <v>44782</v>
      </c>
      <c r="F837" s="178">
        <v>7374.3</v>
      </c>
      <c r="G837" s="179">
        <f>Tabla19[[#This Row],[Importe]]-Tabla19[[#This Row],[Pagado]]</f>
        <v>0</v>
      </c>
      <c r="H837" s="153" t="s">
        <v>10</v>
      </c>
    </row>
    <row r="838" spans="1:8" x14ac:dyDescent="0.25">
      <c r="A838" s="73">
        <v>44782</v>
      </c>
      <c r="B838" s="74" t="s">
        <v>25514</v>
      </c>
      <c r="C838" s="75" t="s">
        <v>31</v>
      </c>
      <c r="D838" s="176">
        <v>2303.4</v>
      </c>
      <c r="E838" s="151">
        <v>44782</v>
      </c>
      <c r="F838" s="176">
        <v>2303.4</v>
      </c>
      <c r="G838" s="177">
        <f>Tabla19[[#This Row],[Importe]]-Tabla19[[#This Row],[Pagado]]</f>
        <v>0</v>
      </c>
      <c r="H838" s="75" t="s">
        <v>10</v>
      </c>
    </row>
    <row r="839" spans="1:8" x14ac:dyDescent="0.25">
      <c r="A839" s="148">
        <v>44782</v>
      </c>
      <c r="B839" s="149" t="s">
        <v>25515</v>
      </c>
      <c r="C839" s="153" t="s">
        <v>31</v>
      </c>
      <c r="D839" s="178">
        <v>176</v>
      </c>
      <c r="E839" s="155">
        <v>44782</v>
      </c>
      <c r="F839" s="178">
        <v>176</v>
      </c>
      <c r="G839" s="179">
        <f>Tabla19[[#This Row],[Importe]]-Tabla19[[#This Row],[Pagado]]</f>
        <v>0</v>
      </c>
      <c r="H839" s="153" t="s">
        <v>10</v>
      </c>
    </row>
    <row r="840" spans="1:8" x14ac:dyDescent="0.25">
      <c r="A840" s="73">
        <v>44782</v>
      </c>
      <c r="B840" s="74" t="s">
        <v>25516</v>
      </c>
      <c r="C840" s="75" t="s">
        <v>167</v>
      </c>
      <c r="D840" s="176">
        <v>112588</v>
      </c>
      <c r="E840" s="151">
        <v>44782</v>
      </c>
      <c r="F840" s="176">
        <v>112588</v>
      </c>
      <c r="G840" s="177">
        <f>Tabla19[[#This Row],[Importe]]-Tabla19[[#This Row],[Pagado]]</f>
        <v>0</v>
      </c>
      <c r="H840" s="75" t="s">
        <v>10</v>
      </c>
    </row>
    <row r="841" spans="1:8" x14ac:dyDescent="0.25">
      <c r="A841" s="148">
        <v>44782</v>
      </c>
      <c r="B841" s="149" t="s">
        <v>25517</v>
      </c>
      <c r="C841" s="153" t="s">
        <v>25518</v>
      </c>
      <c r="D841" s="178">
        <v>315</v>
      </c>
      <c r="E841" s="155">
        <v>44782</v>
      </c>
      <c r="F841" s="178">
        <v>315</v>
      </c>
      <c r="G841" s="179">
        <f>Tabla19[[#This Row],[Importe]]-Tabla19[[#This Row],[Pagado]]</f>
        <v>0</v>
      </c>
      <c r="H841" s="153" t="s">
        <v>10</v>
      </c>
    </row>
    <row r="842" spans="1:8" x14ac:dyDescent="0.25">
      <c r="A842" s="73">
        <v>44782</v>
      </c>
      <c r="B842" s="74" t="s">
        <v>25519</v>
      </c>
      <c r="C842" s="75" t="s">
        <v>204</v>
      </c>
      <c r="D842" s="176">
        <v>1959.4</v>
      </c>
      <c r="E842" s="151">
        <v>44782</v>
      </c>
      <c r="F842" s="176">
        <v>1959.4</v>
      </c>
      <c r="G842" s="177">
        <f>Tabla19[[#This Row],[Importe]]-Tabla19[[#This Row],[Pagado]]</f>
        <v>0</v>
      </c>
      <c r="H842" s="75" t="s">
        <v>10</v>
      </c>
    </row>
    <row r="843" spans="1:8" x14ac:dyDescent="0.25">
      <c r="A843" s="148">
        <v>44782</v>
      </c>
      <c r="B843" s="149" t="s">
        <v>25520</v>
      </c>
      <c r="C843" s="153" t="s">
        <v>204</v>
      </c>
      <c r="D843" s="178">
        <v>1202.8</v>
      </c>
      <c r="E843" s="155">
        <v>44782</v>
      </c>
      <c r="F843" s="178">
        <v>1202.8</v>
      </c>
      <c r="G843" s="179">
        <f>Tabla19[[#This Row],[Importe]]-Tabla19[[#This Row],[Pagado]]</f>
        <v>0</v>
      </c>
      <c r="H843" s="153" t="s">
        <v>10</v>
      </c>
    </row>
    <row r="844" spans="1:8" x14ac:dyDescent="0.25">
      <c r="A844" s="73">
        <v>44782</v>
      </c>
      <c r="B844" s="74" t="s">
        <v>25521</v>
      </c>
      <c r="C844" s="75" t="s">
        <v>296</v>
      </c>
      <c r="D844" s="176">
        <v>1881.6</v>
      </c>
      <c r="E844" s="151">
        <v>44782</v>
      </c>
      <c r="F844" s="176">
        <v>1881.6</v>
      </c>
      <c r="G844" s="177">
        <f>Tabla19[[#This Row],[Importe]]-Tabla19[[#This Row],[Pagado]]</f>
        <v>0</v>
      </c>
      <c r="H844" s="75" t="s">
        <v>10</v>
      </c>
    </row>
    <row r="845" spans="1:8" x14ac:dyDescent="0.25">
      <c r="A845" s="148">
        <v>44782</v>
      </c>
      <c r="B845" s="149" t="s">
        <v>25522</v>
      </c>
      <c r="C845" s="153" t="s">
        <v>107</v>
      </c>
      <c r="D845" s="178">
        <v>10065</v>
      </c>
      <c r="E845" s="155">
        <v>44783</v>
      </c>
      <c r="F845" s="178">
        <v>10065</v>
      </c>
      <c r="G845" s="179">
        <f>Tabla19[[#This Row],[Importe]]-Tabla19[[#This Row],[Pagado]]</f>
        <v>0</v>
      </c>
      <c r="H845" s="153" t="s">
        <v>10</v>
      </c>
    </row>
    <row r="846" spans="1:8" x14ac:dyDescent="0.25">
      <c r="A846" s="73">
        <v>44782</v>
      </c>
      <c r="B846" s="74" t="s">
        <v>25523</v>
      </c>
      <c r="C846" s="75" t="s">
        <v>333</v>
      </c>
      <c r="D846" s="176">
        <v>2261.6</v>
      </c>
      <c r="E846" s="151">
        <v>44783</v>
      </c>
      <c r="F846" s="176">
        <v>2261.6</v>
      </c>
      <c r="G846" s="177">
        <f>Tabla19[[#This Row],[Importe]]-Tabla19[[#This Row],[Pagado]]</f>
        <v>0</v>
      </c>
      <c r="H846" s="75" t="s">
        <v>10</v>
      </c>
    </row>
    <row r="847" spans="1:8" x14ac:dyDescent="0.25">
      <c r="A847" s="148">
        <v>44782</v>
      </c>
      <c r="B847" s="149" t="s">
        <v>25524</v>
      </c>
      <c r="C847" s="153" t="s">
        <v>127</v>
      </c>
      <c r="D847" s="178">
        <v>1504.8</v>
      </c>
      <c r="E847" s="155">
        <v>44783</v>
      </c>
      <c r="F847" s="178">
        <v>1504.8</v>
      </c>
      <c r="G847" s="179">
        <f>Tabla19[[#This Row],[Importe]]-Tabla19[[#This Row],[Pagado]]</f>
        <v>0</v>
      </c>
      <c r="H847" s="153" t="s">
        <v>10</v>
      </c>
    </row>
    <row r="848" spans="1:8" x14ac:dyDescent="0.25">
      <c r="A848" s="73">
        <v>44782</v>
      </c>
      <c r="B848" s="74" t="s">
        <v>25525</v>
      </c>
      <c r="C848" s="75" t="s">
        <v>129</v>
      </c>
      <c r="D848" s="176">
        <v>1255.2</v>
      </c>
      <c r="E848" s="151">
        <v>44783</v>
      </c>
      <c r="F848" s="176">
        <v>1255.2</v>
      </c>
      <c r="G848" s="177">
        <f>Tabla19[[#This Row],[Importe]]-Tabla19[[#This Row],[Pagado]]</f>
        <v>0</v>
      </c>
      <c r="H848" s="75" t="s">
        <v>10</v>
      </c>
    </row>
    <row r="849" spans="1:8" x14ac:dyDescent="0.25">
      <c r="A849" s="148">
        <v>44782</v>
      </c>
      <c r="B849" s="149" t="s">
        <v>25526</v>
      </c>
      <c r="C849" s="153" t="s">
        <v>339</v>
      </c>
      <c r="D849" s="178">
        <v>1046.2</v>
      </c>
      <c r="E849" s="155">
        <v>44783</v>
      </c>
      <c r="F849" s="178">
        <v>1046.2</v>
      </c>
      <c r="G849" s="179">
        <f>Tabla19[[#This Row],[Importe]]-Tabla19[[#This Row],[Pagado]]</f>
        <v>0</v>
      </c>
      <c r="H849" s="153" t="s">
        <v>10</v>
      </c>
    </row>
    <row r="850" spans="1:8" x14ac:dyDescent="0.25">
      <c r="A850" s="73">
        <v>44782</v>
      </c>
      <c r="B850" s="74" t="s">
        <v>25527</v>
      </c>
      <c r="C850" s="75" t="s">
        <v>146</v>
      </c>
      <c r="D850" s="176">
        <v>5375</v>
      </c>
      <c r="E850" s="151">
        <v>44783</v>
      </c>
      <c r="F850" s="176">
        <v>5375</v>
      </c>
      <c r="G850" s="177">
        <f>Tabla19[[#This Row],[Importe]]-Tabla19[[#This Row],[Pagado]]</f>
        <v>0</v>
      </c>
      <c r="H850" s="75" t="s">
        <v>10</v>
      </c>
    </row>
    <row r="851" spans="1:8" x14ac:dyDescent="0.25">
      <c r="A851" s="148">
        <v>44782</v>
      </c>
      <c r="B851" s="149" t="s">
        <v>25528</v>
      </c>
      <c r="C851" s="153" t="s">
        <v>140</v>
      </c>
      <c r="D851" s="178">
        <v>5139.2</v>
      </c>
      <c r="E851" s="155">
        <v>44783</v>
      </c>
      <c r="F851" s="178">
        <v>5139.2</v>
      </c>
      <c r="G851" s="179">
        <f>Tabla19[[#This Row],[Importe]]-Tabla19[[#This Row],[Pagado]]</f>
        <v>0</v>
      </c>
      <c r="H851" s="153" t="s">
        <v>10</v>
      </c>
    </row>
    <row r="852" spans="1:8" x14ac:dyDescent="0.25">
      <c r="A852" s="73">
        <v>44782</v>
      </c>
      <c r="B852" s="74" t="s">
        <v>25529</v>
      </c>
      <c r="C852" s="75" t="s">
        <v>1362</v>
      </c>
      <c r="D852" s="176">
        <v>4356</v>
      </c>
      <c r="E852" s="151">
        <v>44783</v>
      </c>
      <c r="F852" s="176">
        <v>4356</v>
      </c>
      <c r="G852" s="177">
        <f>Tabla19[[#This Row],[Importe]]-Tabla19[[#This Row],[Pagado]]</f>
        <v>0</v>
      </c>
      <c r="H852" s="75" t="s">
        <v>10</v>
      </c>
    </row>
    <row r="853" spans="1:8" x14ac:dyDescent="0.25">
      <c r="A853" s="148">
        <v>44782</v>
      </c>
      <c r="B853" s="149" t="s">
        <v>25530</v>
      </c>
      <c r="C853" s="153" t="s">
        <v>12</v>
      </c>
      <c r="D853" s="178">
        <v>1661.6</v>
      </c>
      <c r="E853" s="155">
        <v>44782</v>
      </c>
      <c r="F853" s="178">
        <v>1661.6</v>
      </c>
      <c r="G853" s="179">
        <f>Tabla19[[#This Row],[Importe]]-Tabla19[[#This Row],[Pagado]]</f>
        <v>0</v>
      </c>
      <c r="H853" s="153" t="s">
        <v>10</v>
      </c>
    </row>
    <row r="854" spans="1:8" x14ac:dyDescent="0.25">
      <c r="A854" s="73">
        <v>44782</v>
      </c>
      <c r="B854" s="74" t="s">
        <v>25531</v>
      </c>
      <c r="C854" s="75" t="s">
        <v>53</v>
      </c>
      <c r="D854" s="176">
        <v>580.79999999999995</v>
      </c>
      <c r="E854" s="151">
        <v>44782</v>
      </c>
      <c r="F854" s="176">
        <v>580.79999999999995</v>
      </c>
      <c r="G854" s="177">
        <f>Tabla19[[#This Row],[Importe]]-Tabla19[[#This Row],[Pagado]]</f>
        <v>0</v>
      </c>
      <c r="H854" s="75" t="s">
        <v>10</v>
      </c>
    </row>
    <row r="855" spans="1:8" x14ac:dyDescent="0.25">
      <c r="A855" s="148">
        <v>44782</v>
      </c>
      <c r="B855" s="149" t="s">
        <v>25532</v>
      </c>
      <c r="C855" s="153" t="s">
        <v>314</v>
      </c>
      <c r="D855" s="178">
        <v>3175.5</v>
      </c>
      <c r="E855" s="155">
        <v>44783</v>
      </c>
      <c r="F855" s="178">
        <v>3175.5</v>
      </c>
      <c r="G855" s="179">
        <f>Tabla19[[#This Row],[Importe]]-Tabla19[[#This Row],[Pagado]]</f>
        <v>0</v>
      </c>
      <c r="H855" s="153" t="s">
        <v>10</v>
      </c>
    </row>
    <row r="856" spans="1:8" x14ac:dyDescent="0.25">
      <c r="A856" s="73">
        <v>44782</v>
      </c>
      <c r="B856" s="74" t="s">
        <v>25533</v>
      </c>
      <c r="C856" s="75" t="s">
        <v>83</v>
      </c>
      <c r="D856" s="176">
        <v>10680</v>
      </c>
      <c r="E856" s="151">
        <v>44783</v>
      </c>
      <c r="F856" s="176">
        <v>10680</v>
      </c>
      <c r="G856" s="177">
        <f>Tabla19[[#This Row],[Importe]]-Tabla19[[#This Row],[Pagado]]</f>
        <v>0</v>
      </c>
      <c r="H856" s="75" t="s">
        <v>10</v>
      </c>
    </row>
    <row r="857" spans="1:8" x14ac:dyDescent="0.25">
      <c r="A857" s="148">
        <v>44782</v>
      </c>
      <c r="B857" s="149" t="s">
        <v>25534</v>
      </c>
      <c r="C857" s="153" t="s">
        <v>87</v>
      </c>
      <c r="D857" s="178">
        <v>4115</v>
      </c>
      <c r="E857" s="155">
        <v>44783</v>
      </c>
      <c r="F857" s="178">
        <v>4115</v>
      </c>
      <c r="G857" s="179">
        <f>Tabla19[[#This Row],[Importe]]-Tabla19[[#This Row],[Pagado]]</f>
        <v>0</v>
      </c>
      <c r="H857" s="153" t="s">
        <v>10</v>
      </c>
    </row>
    <row r="858" spans="1:8" x14ac:dyDescent="0.25">
      <c r="A858" s="73">
        <v>44782</v>
      </c>
      <c r="B858" s="74" t="s">
        <v>25535</v>
      </c>
      <c r="C858" s="75" t="s">
        <v>419</v>
      </c>
      <c r="D858" s="176">
        <v>8628.6</v>
      </c>
      <c r="E858" s="151">
        <v>44782</v>
      </c>
      <c r="F858" s="176">
        <v>8628.6</v>
      </c>
      <c r="G858" s="177">
        <f>Tabla19[[#This Row],[Importe]]-Tabla19[[#This Row],[Pagado]]</f>
        <v>0</v>
      </c>
      <c r="H858" s="75" t="s">
        <v>10</v>
      </c>
    </row>
    <row r="859" spans="1:8" x14ac:dyDescent="0.25">
      <c r="A859" s="148">
        <v>44782</v>
      </c>
      <c r="B859" s="149" t="s">
        <v>25536</v>
      </c>
      <c r="C859" s="153" t="s">
        <v>142</v>
      </c>
      <c r="D859" s="178">
        <v>112479.02</v>
      </c>
      <c r="E859" s="155" t="s">
        <v>4813</v>
      </c>
      <c r="F859" s="178">
        <v>0</v>
      </c>
      <c r="G859" s="179">
        <f>Tabla19[[#This Row],[Importe]]-Tabla19[[#This Row],[Pagado]]</f>
        <v>112479.02</v>
      </c>
      <c r="H859" s="153" t="s">
        <v>4814</v>
      </c>
    </row>
    <row r="860" spans="1:8" x14ac:dyDescent="0.25">
      <c r="A860" s="73">
        <v>44782</v>
      </c>
      <c r="B860" s="74" t="s">
        <v>25537</v>
      </c>
      <c r="C860" s="75" t="s">
        <v>31</v>
      </c>
      <c r="D860" s="176">
        <v>1974.9</v>
      </c>
      <c r="E860" s="151">
        <v>44782</v>
      </c>
      <c r="F860" s="176">
        <v>1974.9</v>
      </c>
      <c r="G860" s="177">
        <f>Tabla19[[#This Row],[Importe]]-Tabla19[[#This Row],[Pagado]]</f>
        <v>0</v>
      </c>
      <c r="H860" s="75" t="s">
        <v>10</v>
      </c>
    </row>
    <row r="861" spans="1:8" x14ac:dyDescent="0.25">
      <c r="A861" s="148">
        <v>44782</v>
      </c>
      <c r="B861" s="149" t="s">
        <v>25538</v>
      </c>
      <c r="C861" s="153" t="s">
        <v>83</v>
      </c>
      <c r="D861" s="178">
        <v>1392</v>
      </c>
      <c r="E861" s="155">
        <v>44783</v>
      </c>
      <c r="F861" s="178">
        <v>1392</v>
      </c>
      <c r="G861" s="179">
        <f>Tabla19[[#This Row],[Importe]]-Tabla19[[#This Row],[Pagado]]</f>
        <v>0</v>
      </c>
      <c r="H861" s="153" t="s">
        <v>10</v>
      </c>
    </row>
    <row r="862" spans="1:8" x14ac:dyDescent="0.25">
      <c r="A862" s="73">
        <v>44782</v>
      </c>
      <c r="B862" s="74" t="s">
        <v>25539</v>
      </c>
      <c r="C862" s="75" t="s">
        <v>214</v>
      </c>
      <c r="D862" s="176">
        <v>11085.4</v>
      </c>
      <c r="E862" s="151">
        <v>44783</v>
      </c>
      <c r="F862" s="176">
        <v>11085.4</v>
      </c>
      <c r="G862" s="177">
        <f>Tabla19[[#This Row],[Importe]]-Tabla19[[#This Row],[Pagado]]</f>
        <v>0</v>
      </c>
      <c r="H862" s="75" t="s">
        <v>10</v>
      </c>
    </row>
    <row r="863" spans="1:8" x14ac:dyDescent="0.25">
      <c r="A863" s="148">
        <v>44782</v>
      </c>
      <c r="B863" s="149" t="s">
        <v>25540</v>
      </c>
      <c r="C863" s="153" t="s">
        <v>175</v>
      </c>
      <c r="D863" s="178">
        <v>17316.8</v>
      </c>
      <c r="E863" s="155">
        <v>44782</v>
      </c>
      <c r="F863" s="178">
        <v>17316.8</v>
      </c>
      <c r="G863" s="179">
        <f>Tabla19[[#This Row],[Importe]]-Tabla19[[#This Row],[Pagado]]</f>
        <v>0</v>
      </c>
      <c r="H863" s="153" t="s">
        <v>10</v>
      </c>
    </row>
    <row r="864" spans="1:8" x14ac:dyDescent="0.25">
      <c r="A864" s="73">
        <v>44782</v>
      </c>
      <c r="B864" s="74" t="s">
        <v>25541</v>
      </c>
      <c r="C864" s="75" t="s">
        <v>196</v>
      </c>
      <c r="D864" s="176">
        <v>19882.8</v>
      </c>
      <c r="E864" s="151">
        <v>44786</v>
      </c>
      <c r="F864" s="176">
        <v>19882.8</v>
      </c>
      <c r="G864" s="177">
        <f>Tabla19[[#This Row],[Importe]]-Tabla19[[#This Row],[Pagado]]</f>
        <v>0</v>
      </c>
      <c r="H864" s="75" t="s">
        <v>10</v>
      </c>
    </row>
    <row r="865" spans="1:8" x14ac:dyDescent="0.25">
      <c r="A865" s="148">
        <v>44782</v>
      </c>
      <c r="B865" s="149" t="s">
        <v>25542</v>
      </c>
      <c r="C865" s="153" t="s">
        <v>31</v>
      </c>
      <c r="D865" s="178">
        <v>13920</v>
      </c>
      <c r="E865" s="155">
        <v>44782</v>
      </c>
      <c r="F865" s="178">
        <v>13920</v>
      </c>
      <c r="G865" s="179">
        <f>Tabla19[[#This Row],[Importe]]-Tabla19[[#This Row],[Pagado]]</f>
        <v>0</v>
      </c>
      <c r="H865" s="153" t="s">
        <v>10</v>
      </c>
    </row>
    <row r="866" spans="1:8" x14ac:dyDescent="0.25">
      <c r="A866" s="73">
        <v>44782</v>
      </c>
      <c r="B866" s="74" t="s">
        <v>25543</v>
      </c>
      <c r="C866" s="75" t="s">
        <v>71</v>
      </c>
      <c r="D866" s="176">
        <v>7408</v>
      </c>
      <c r="E866" s="151">
        <v>44782</v>
      </c>
      <c r="F866" s="176">
        <v>7408</v>
      </c>
      <c r="G866" s="177">
        <f>Tabla19[[#This Row],[Importe]]-Tabla19[[#This Row],[Pagado]]</f>
        <v>0</v>
      </c>
      <c r="H866" s="75" t="s">
        <v>10</v>
      </c>
    </row>
    <row r="867" spans="1:8" x14ac:dyDescent="0.25">
      <c r="A867" s="148">
        <v>44782</v>
      </c>
      <c r="B867" s="149" t="s">
        <v>25544</v>
      </c>
      <c r="C867" s="153" t="s">
        <v>246</v>
      </c>
      <c r="D867" s="178">
        <v>13446.4</v>
      </c>
      <c r="E867" s="155">
        <v>44782</v>
      </c>
      <c r="F867" s="178">
        <v>13446.4</v>
      </c>
      <c r="G867" s="179">
        <f>Tabla19[[#This Row],[Importe]]-Tabla19[[#This Row],[Pagado]]</f>
        <v>0</v>
      </c>
      <c r="H867" s="153" t="s">
        <v>10</v>
      </c>
    </row>
    <row r="868" spans="1:8" x14ac:dyDescent="0.25">
      <c r="A868" s="73">
        <v>44782</v>
      </c>
      <c r="B868" s="74" t="s">
        <v>25545</v>
      </c>
      <c r="C868" s="75" t="s">
        <v>440</v>
      </c>
      <c r="D868" s="176">
        <v>11823.7</v>
      </c>
      <c r="E868" s="151">
        <v>44791</v>
      </c>
      <c r="F868" s="176">
        <v>11823.7</v>
      </c>
      <c r="G868" s="177">
        <f>Tabla19[[#This Row],[Importe]]-Tabla19[[#This Row],[Pagado]]</f>
        <v>0</v>
      </c>
      <c r="H868" s="75" t="s">
        <v>10</v>
      </c>
    </row>
    <row r="869" spans="1:8" x14ac:dyDescent="0.25">
      <c r="A869" s="148">
        <v>44782</v>
      </c>
      <c r="B869" s="149" t="s">
        <v>25546</v>
      </c>
      <c r="C869" s="153" t="s">
        <v>1706</v>
      </c>
      <c r="D869" s="178">
        <v>16250</v>
      </c>
      <c r="E869" s="155">
        <v>44782</v>
      </c>
      <c r="F869" s="178">
        <v>16250</v>
      </c>
      <c r="G869" s="179">
        <f>Tabla19[[#This Row],[Importe]]-Tabla19[[#This Row],[Pagado]]</f>
        <v>0</v>
      </c>
      <c r="H869" s="153" t="s">
        <v>10</v>
      </c>
    </row>
    <row r="870" spans="1:8" x14ac:dyDescent="0.25">
      <c r="A870" s="73">
        <v>44782</v>
      </c>
      <c r="B870" s="74" t="s">
        <v>25547</v>
      </c>
      <c r="C870" s="75" t="s">
        <v>24</v>
      </c>
      <c r="D870" s="176">
        <v>2433.1999999999998</v>
      </c>
      <c r="E870" s="151">
        <v>44782</v>
      </c>
      <c r="F870" s="176">
        <v>2433.1999999999998</v>
      </c>
      <c r="G870" s="177">
        <f>Tabla19[[#This Row],[Importe]]-Tabla19[[#This Row],[Pagado]]</f>
        <v>0</v>
      </c>
      <c r="H870" s="75" t="s">
        <v>10</v>
      </c>
    </row>
    <row r="871" spans="1:8" x14ac:dyDescent="0.25">
      <c r="A871" s="148">
        <v>44782</v>
      </c>
      <c r="B871" s="149" t="s">
        <v>25548</v>
      </c>
      <c r="C871" s="153" t="s">
        <v>275</v>
      </c>
      <c r="D871" s="178">
        <v>130062.36</v>
      </c>
      <c r="E871" s="155" t="s">
        <v>25549</v>
      </c>
      <c r="F871" s="178">
        <v>130062.36</v>
      </c>
      <c r="G871" s="179">
        <f>Tabla19[[#This Row],[Importe]]-Tabla19[[#This Row],[Pagado]]</f>
        <v>0</v>
      </c>
      <c r="H871" s="153" t="s">
        <v>10</v>
      </c>
    </row>
    <row r="872" spans="1:8" x14ac:dyDescent="0.25">
      <c r="A872" s="73">
        <v>44782</v>
      </c>
      <c r="B872" s="74" t="s">
        <v>25550</v>
      </c>
      <c r="C872" s="75" t="s">
        <v>291</v>
      </c>
      <c r="D872" s="176">
        <v>4568</v>
      </c>
      <c r="E872" s="151">
        <v>44783</v>
      </c>
      <c r="F872" s="176">
        <v>4568</v>
      </c>
      <c r="G872" s="177">
        <f>Tabla19[[#This Row],[Importe]]-Tabla19[[#This Row],[Pagado]]</f>
        <v>0</v>
      </c>
      <c r="H872" s="75" t="s">
        <v>10</v>
      </c>
    </row>
    <row r="873" spans="1:8" x14ac:dyDescent="0.25">
      <c r="A873" s="148">
        <v>44782</v>
      </c>
      <c r="B873" s="149" t="s">
        <v>25551</v>
      </c>
      <c r="C873" s="153" t="s">
        <v>296</v>
      </c>
      <c r="D873" s="178">
        <v>3853.2</v>
      </c>
      <c r="E873" s="155">
        <v>44782</v>
      </c>
      <c r="F873" s="178">
        <v>3853.2</v>
      </c>
      <c r="G873" s="179">
        <f>Tabla19[[#This Row],[Importe]]-Tabla19[[#This Row],[Pagado]]</f>
        <v>0</v>
      </c>
      <c r="H873" s="153" t="s">
        <v>10</v>
      </c>
    </row>
    <row r="874" spans="1:8" x14ac:dyDescent="0.25">
      <c r="A874" s="73">
        <v>44782</v>
      </c>
      <c r="B874" s="74" t="s">
        <v>25552</v>
      </c>
      <c r="C874" s="75" t="s">
        <v>31</v>
      </c>
      <c r="D874" s="176">
        <v>1600.8</v>
      </c>
      <c r="E874" s="151">
        <v>44782</v>
      </c>
      <c r="F874" s="176">
        <v>1600.8</v>
      </c>
      <c r="G874" s="177">
        <f>Tabla19[[#This Row],[Importe]]-Tabla19[[#This Row],[Pagado]]</f>
        <v>0</v>
      </c>
      <c r="H874" s="75" t="s">
        <v>10</v>
      </c>
    </row>
    <row r="875" spans="1:8" x14ac:dyDescent="0.25">
      <c r="A875" s="148">
        <v>44782</v>
      </c>
      <c r="B875" s="149" t="s">
        <v>25553</v>
      </c>
      <c r="C875" s="153" t="s">
        <v>647</v>
      </c>
      <c r="D875" s="178">
        <v>613.79999999999995</v>
      </c>
      <c r="E875" s="155">
        <v>44782</v>
      </c>
      <c r="F875" s="178">
        <v>613.79999999999995</v>
      </c>
      <c r="G875" s="179">
        <f>Tabla19[[#This Row],[Importe]]-Tabla19[[#This Row],[Pagado]]</f>
        <v>0</v>
      </c>
      <c r="H875" s="153" t="s">
        <v>10</v>
      </c>
    </row>
    <row r="876" spans="1:8" x14ac:dyDescent="0.25">
      <c r="A876" s="73">
        <v>44782</v>
      </c>
      <c r="B876" s="74" t="s">
        <v>25554</v>
      </c>
      <c r="C876" s="75" t="s">
        <v>2961</v>
      </c>
      <c r="D876" s="176">
        <v>41535.199999999997</v>
      </c>
      <c r="E876" s="151">
        <v>44783</v>
      </c>
      <c r="F876" s="176">
        <v>41535.199999999997</v>
      </c>
      <c r="G876" s="177">
        <f>Tabla19[[#This Row],[Importe]]-Tabla19[[#This Row],[Pagado]]</f>
        <v>0</v>
      </c>
      <c r="H876" s="75" t="s">
        <v>10</v>
      </c>
    </row>
    <row r="877" spans="1:8" x14ac:dyDescent="0.25">
      <c r="A877" s="148">
        <v>44782</v>
      </c>
      <c r="B877" s="149" t="s">
        <v>25555</v>
      </c>
      <c r="C877" s="153" t="s">
        <v>31</v>
      </c>
      <c r="D877" s="178">
        <v>1496</v>
      </c>
      <c r="E877" s="155">
        <v>44782</v>
      </c>
      <c r="F877" s="178">
        <v>1496</v>
      </c>
      <c r="G877" s="179">
        <f>Tabla19[[#This Row],[Importe]]-Tabla19[[#This Row],[Pagado]]</f>
        <v>0</v>
      </c>
      <c r="H877" s="153" t="s">
        <v>10</v>
      </c>
    </row>
    <row r="878" spans="1:8" x14ac:dyDescent="0.25">
      <c r="A878" s="73">
        <v>44782</v>
      </c>
      <c r="B878" s="74" t="s">
        <v>25556</v>
      </c>
      <c r="C878" s="75" t="s">
        <v>31</v>
      </c>
      <c r="D878" s="176">
        <v>126.4</v>
      </c>
      <c r="E878" s="151">
        <v>44782</v>
      </c>
      <c r="F878" s="176">
        <v>126.4</v>
      </c>
      <c r="G878" s="177">
        <f>Tabla19[[#This Row],[Importe]]-Tabla19[[#This Row],[Pagado]]</f>
        <v>0</v>
      </c>
      <c r="H878" s="75" t="s">
        <v>10</v>
      </c>
    </row>
    <row r="879" spans="1:8" x14ac:dyDescent="0.25">
      <c r="A879" s="148">
        <v>44782</v>
      </c>
      <c r="B879" s="149" t="s">
        <v>25557</v>
      </c>
      <c r="C879" s="153" t="s">
        <v>5345</v>
      </c>
      <c r="D879" s="178">
        <v>1757.4</v>
      </c>
      <c r="E879" s="155">
        <v>44783</v>
      </c>
      <c r="F879" s="178">
        <v>1757.4</v>
      </c>
      <c r="G879" s="179">
        <f>Tabla19[[#This Row],[Importe]]-Tabla19[[#This Row],[Pagado]]</f>
        <v>0</v>
      </c>
      <c r="H879" s="153" t="s">
        <v>10</v>
      </c>
    </row>
    <row r="880" spans="1:8" x14ac:dyDescent="0.25">
      <c r="A880" s="73">
        <v>44782</v>
      </c>
      <c r="B880" s="74" t="s">
        <v>25558</v>
      </c>
      <c r="C880" s="75" t="s">
        <v>10819</v>
      </c>
      <c r="D880" s="176">
        <v>883.9</v>
      </c>
      <c r="E880" s="151">
        <v>44783</v>
      </c>
      <c r="F880" s="176">
        <v>883.9</v>
      </c>
      <c r="G880" s="177">
        <f>Tabla19[[#This Row],[Importe]]-Tabla19[[#This Row],[Pagado]]</f>
        <v>0</v>
      </c>
      <c r="H880" s="75" t="s">
        <v>10</v>
      </c>
    </row>
    <row r="881" spans="1:8" x14ac:dyDescent="0.25">
      <c r="A881" s="148">
        <v>44782</v>
      </c>
      <c r="B881" s="149" t="s">
        <v>25559</v>
      </c>
      <c r="C881" s="153" t="s">
        <v>284</v>
      </c>
      <c r="D881" s="178">
        <v>8908.7999999999993</v>
      </c>
      <c r="E881" s="155">
        <v>44783</v>
      </c>
      <c r="F881" s="178">
        <v>8908.7999999999993</v>
      </c>
      <c r="G881" s="179">
        <f>Tabla19[[#This Row],[Importe]]-Tabla19[[#This Row],[Pagado]]</f>
        <v>0</v>
      </c>
      <c r="H881" s="153" t="s">
        <v>10</v>
      </c>
    </row>
    <row r="882" spans="1:8" x14ac:dyDescent="0.25">
      <c r="A882" s="73">
        <v>44782</v>
      </c>
      <c r="B882" s="74" t="s">
        <v>25560</v>
      </c>
      <c r="C882" s="75" t="s">
        <v>296</v>
      </c>
      <c r="D882" s="176">
        <v>974</v>
      </c>
      <c r="E882" s="151">
        <v>44782</v>
      </c>
      <c r="F882" s="176">
        <v>974</v>
      </c>
      <c r="G882" s="177">
        <f>Tabla19[[#This Row],[Importe]]-Tabla19[[#This Row],[Pagado]]</f>
        <v>0</v>
      </c>
      <c r="H882" s="75" t="s">
        <v>10</v>
      </c>
    </row>
    <row r="883" spans="1:8" x14ac:dyDescent="0.25">
      <c r="A883" s="148">
        <v>44782</v>
      </c>
      <c r="B883" s="149" t="s">
        <v>25561</v>
      </c>
      <c r="C883" s="153" t="s">
        <v>461</v>
      </c>
      <c r="D883" s="178">
        <v>734.5</v>
      </c>
      <c r="E883" s="155">
        <v>44782</v>
      </c>
      <c r="F883" s="178">
        <v>734.5</v>
      </c>
      <c r="G883" s="179">
        <f>Tabla19[[#This Row],[Importe]]-Tabla19[[#This Row],[Pagado]]</f>
        <v>0</v>
      </c>
      <c r="H883" s="153" t="s">
        <v>10</v>
      </c>
    </row>
    <row r="884" spans="1:8" x14ac:dyDescent="0.25">
      <c r="A884" s="73">
        <v>44782</v>
      </c>
      <c r="B884" s="74" t="s">
        <v>25562</v>
      </c>
      <c r="C884" s="75" t="s">
        <v>31</v>
      </c>
      <c r="D884" s="176">
        <v>100.8</v>
      </c>
      <c r="E884" s="151">
        <v>44782</v>
      </c>
      <c r="F884" s="176">
        <v>100.8</v>
      </c>
      <c r="G884" s="177">
        <f>Tabla19[[#This Row],[Importe]]-Tabla19[[#This Row],[Pagado]]</f>
        <v>0</v>
      </c>
      <c r="H884" s="75" t="s">
        <v>10</v>
      </c>
    </row>
    <row r="885" spans="1:8" x14ac:dyDescent="0.25">
      <c r="A885" s="148">
        <v>44782</v>
      </c>
      <c r="B885" s="149" t="s">
        <v>25563</v>
      </c>
      <c r="C885" s="153" t="s">
        <v>448</v>
      </c>
      <c r="D885" s="178">
        <v>21032.2</v>
      </c>
      <c r="E885" s="155">
        <v>44783</v>
      </c>
      <c r="F885" s="178">
        <v>21032.2</v>
      </c>
      <c r="G885" s="179">
        <f>Tabla19[[#This Row],[Importe]]-Tabla19[[#This Row],[Pagado]]</f>
        <v>0</v>
      </c>
      <c r="H885" s="153" t="s">
        <v>10</v>
      </c>
    </row>
    <row r="886" spans="1:8" x14ac:dyDescent="0.25">
      <c r="A886" s="73">
        <v>44782</v>
      </c>
      <c r="B886" s="74" t="s">
        <v>25564</v>
      </c>
      <c r="C886" s="75" t="s">
        <v>1339</v>
      </c>
      <c r="D886" s="176">
        <v>4864</v>
      </c>
      <c r="E886" s="151" t="s">
        <v>4813</v>
      </c>
      <c r="F886" s="176">
        <v>0</v>
      </c>
      <c r="G886" s="177">
        <f>Tabla19[[#This Row],[Importe]]-Tabla19[[#This Row],[Pagado]]</f>
        <v>4864</v>
      </c>
      <c r="H886" s="75" t="s">
        <v>4814</v>
      </c>
    </row>
    <row r="887" spans="1:8" x14ac:dyDescent="0.25">
      <c r="A887" s="148">
        <v>44782</v>
      </c>
      <c r="B887" s="149" t="s">
        <v>25565</v>
      </c>
      <c r="C887" s="153" t="s">
        <v>2139</v>
      </c>
      <c r="D887" s="178">
        <v>1604.8</v>
      </c>
      <c r="E887" s="155">
        <v>44782</v>
      </c>
      <c r="F887" s="178">
        <v>1604.8</v>
      </c>
      <c r="G887" s="179">
        <f>Tabla19[[#This Row],[Importe]]-Tabla19[[#This Row],[Pagado]]</f>
        <v>0</v>
      </c>
      <c r="H887" s="153" t="s">
        <v>10</v>
      </c>
    </row>
    <row r="888" spans="1:8" x14ac:dyDescent="0.25">
      <c r="A888" s="73">
        <v>44782</v>
      </c>
      <c r="B888" s="74" t="s">
        <v>25566</v>
      </c>
      <c r="C888" s="75" t="s">
        <v>69</v>
      </c>
      <c r="D888" s="176">
        <v>1724.8</v>
      </c>
      <c r="E888" s="151">
        <v>44782</v>
      </c>
      <c r="F888" s="176">
        <v>1724.8</v>
      </c>
      <c r="G888" s="177">
        <f>Tabla19[[#This Row],[Importe]]-Tabla19[[#This Row],[Pagado]]</f>
        <v>0</v>
      </c>
      <c r="H888" s="75" t="s">
        <v>10</v>
      </c>
    </row>
    <row r="889" spans="1:8" x14ac:dyDescent="0.25">
      <c r="A889" s="148">
        <v>44782</v>
      </c>
      <c r="B889" s="149" t="s">
        <v>25567</v>
      </c>
      <c r="C889" s="153" t="s">
        <v>843</v>
      </c>
      <c r="D889" s="178">
        <v>5256</v>
      </c>
      <c r="E889" s="155">
        <v>44783</v>
      </c>
      <c r="F889" s="178">
        <v>5256</v>
      </c>
      <c r="G889" s="179">
        <f>Tabla19[[#This Row],[Importe]]-Tabla19[[#This Row],[Pagado]]</f>
        <v>0</v>
      </c>
      <c r="H889" s="153" t="s">
        <v>10</v>
      </c>
    </row>
    <row r="890" spans="1:8" x14ac:dyDescent="0.25">
      <c r="A890" s="73">
        <v>44783</v>
      </c>
      <c r="B890" s="74" t="s">
        <v>25568</v>
      </c>
      <c r="C890" s="75" t="s">
        <v>887</v>
      </c>
      <c r="D890" s="176">
        <v>10685.4</v>
      </c>
      <c r="E890" s="151">
        <v>44783</v>
      </c>
      <c r="F890" s="176">
        <v>10685.4</v>
      </c>
      <c r="G890" s="177">
        <f>Tabla19[[#This Row],[Importe]]-Tabla19[[#This Row],[Pagado]]</f>
        <v>0</v>
      </c>
      <c r="H890" s="75" t="s">
        <v>10</v>
      </c>
    </row>
    <row r="891" spans="1:8" x14ac:dyDescent="0.25">
      <c r="A891" s="148">
        <v>44783</v>
      </c>
      <c r="B891" s="149" t="s">
        <v>25569</v>
      </c>
      <c r="C891" s="153" t="s">
        <v>475</v>
      </c>
      <c r="D891" s="178">
        <v>109234.2</v>
      </c>
      <c r="E891" s="155">
        <v>44784</v>
      </c>
      <c r="F891" s="178">
        <v>109234.2</v>
      </c>
      <c r="G891" s="179">
        <f>Tabla19[[#This Row],[Importe]]-Tabla19[[#This Row],[Pagado]]</f>
        <v>0</v>
      </c>
      <c r="H891" s="153" t="s">
        <v>10</v>
      </c>
    </row>
    <row r="892" spans="1:8" x14ac:dyDescent="0.25">
      <c r="A892" s="73">
        <v>44783</v>
      </c>
      <c r="B892" s="74" t="s">
        <v>25570</v>
      </c>
      <c r="C892" s="75" t="s">
        <v>12</v>
      </c>
      <c r="D892" s="176">
        <v>9693.9500000000007</v>
      </c>
      <c r="E892" s="151">
        <v>44783</v>
      </c>
      <c r="F892" s="176">
        <v>9693.9500000000007</v>
      </c>
      <c r="G892" s="177">
        <f>Tabla19[[#This Row],[Importe]]-Tabla19[[#This Row],[Pagado]]</f>
        <v>0</v>
      </c>
      <c r="H892" s="75" t="s">
        <v>10</v>
      </c>
    </row>
    <row r="893" spans="1:8" x14ac:dyDescent="0.25">
      <c r="A893" s="148">
        <v>44783</v>
      </c>
      <c r="B893" s="149" t="s">
        <v>25571</v>
      </c>
      <c r="C893" s="153" t="s">
        <v>75</v>
      </c>
      <c r="D893" s="178">
        <v>4497.8999999999996</v>
      </c>
      <c r="E893" s="155">
        <v>44783</v>
      </c>
      <c r="F893" s="178">
        <v>4497.8999999999996</v>
      </c>
      <c r="G893" s="179">
        <f>Tabla19[[#This Row],[Importe]]-Tabla19[[#This Row],[Pagado]]</f>
        <v>0</v>
      </c>
      <c r="H893" s="153" t="s">
        <v>10</v>
      </c>
    </row>
    <row r="894" spans="1:8" x14ac:dyDescent="0.25">
      <c r="A894" s="73">
        <v>44783</v>
      </c>
      <c r="B894" s="74" t="s">
        <v>25572</v>
      </c>
      <c r="C894" s="75" t="s">
        <v>473</v>
      </c>
      <c r="D894" s="176">
        <v>6079.8</v>
      </c>
      <c r="E894" s="151">
        <v>44783</v>
      </c>
      <c r="F894" s="176">
        <v>6079.8</v>
      </c>
      <c r="G894" s="177">
        <f>Tabla19[[#This Row],[Importe]]-Tabla19[[#This Row],[Pagado]]</f>
        <v>0</v>
      </c>
      <c r="H894" s="75" t="s">
        <v>10</v>
      </c>
    </row>
    <row r="895" spans="1:8" x14ac:dyDescent="0.25">
      <c r="A895" s="148">
        <v>44783</v>
      </c>
      <c r="B895" s="149" t="s">
        <v>25573</v>
      </c>
      <c r="C895" s="153" t="s">
        <v>20</v>
      </c>
      <c r="D895" s="178">
        <v>2988</v>
      </c>
      <c r="E895" s="155">
        <v>44783</v>
      </c>
      <c r="F895" s="178">
        <v>2988</v>
      </c>
      <c r="G895" s="179">
        <f>Tabla19[[#This Row],[Importe]]-Tabla19[[#This Row],[Pagado]]</f>
        <v>0</v>
      </c>
      <c r="H895" s="153" t="s">
        <v>10</v>
      </c>
    </row>
    <row r="896" spans="1:8" x14ac:dyDescent="0.25">
      <c r="A896" s="73">
        <v>44783</v>
      </c>
      <c r="B896" s="74" t="s">
        <v>25574</v>
      </c>
      <c r="C896" s="75" t="s">
        <v>99</v>
      </c>
      <c r="D896" s="176">
        <v>3316.5</v>
      </c>
      <c r="E896" s="151">
        <v>44788</v>
      </c>
      <c r="F896" s="176">
        <v>3316.5</v>
      </c>
      <c r="G896" s="177">
        <f>Tabla19[[#This Row],[Importe]]-Tabla19[[#This Row],[Pagado]]</f>
        <v>0</v>
      </c>
      <c r="H896" s="75" t="s">
        <v>10</v>
      </c>
    </row>
    <row r="897" spans="1:8" x14ac:dyDescent="0.25">
      <c r="A897" s="148">
        <v>44783</v>
      </c>
      <c r="B897" s="149" t="s">
        <v>25575</v>
      </c>
      <c r="C897" s="153" t="s">
        <v>64</v>
      </c>
      <c r="D897" s="178">
        <v>5286.6</v>
      </c>
      <c r="E897" s="155">
        <v>44784</v>
      </c>
      <c r="F897" s="178">
        <v>5286.6</v>
      </c>
      <c r="G897" s="179">
        <f>Tabla19[[#This Row],[Importe]]-Tabla19[[#This Row],[Pagado]]</f>
        <v>0</v>
      </c>
      <c r="H897" s="153" t="s">
        <v>10</v>
      </c>
    </row>
    <row r="898" spans="1:8" x14ac:dyDescent="0.25">
      <c r="A898" s="73">
        <v>44783</v>
      </c>
      <c r="B898" s="74" t="s">
        <v>25576</v>
      </c>
      <c r="C898" s="75" t="s">
        <v>60</v>
      </c>
      <c r="D898" s="176">
        <v>4837.8</v>
      </c>
      <c r="E898" s="151">
        <v>44788</v>
      </c>
      <c r="F898" s="176">
        <v>4837.8</v>
      </c>
      <c r="G898" s="177">
        <f>Tabla19[[#This Row],[Importe]]-Tabla19[[#This Row],[Pagado]]</f>
        <v>0</v>
      </c>
      <c r="H898" s="75" t="s">
        <v>10</v>
      </c>
    </row>
    <row r="899" spans="1:8" x14ac:dyDescent="0.25">
      <c r="A899" s="148">
        <v>44783</v>
      </c>
      <c r="B899" s="149" t="s">
        <v>25577</v>
      </c>
      <c r="C899" s="153" t="s">
        <v>2563</v>
      </c>
      <c r="D899" s="178">
        <v>5220.6000000000004</v>
      </c>
      <c r="E899" s="155">
        <v>44784</v>
      </c>
      <c r="F899" s="178">
        <v>5220.6000000000004</v>
      </c>
      <c r="G899" s="179">
        <f>Tabla19[[#This Row],[Importe]]-Tabla19[[#This Row],[Pagado]]</f>
        <v>0</v>
      </c>
      <c r="H899" s="153" t="s">
        <v>10</v>
      </c>
    </row>
    <row r="900" spans="1:8" x14ac:dyDescent="0.25">
      <c r="A900" s="73">
        <v>44783</v>
      </c>
      <c r="B900" s="74" t="s">
        <v>25578</v>
      </c>
      <c r="C900" s="75" t="s">
        <v>89</v>
      </c>
      <c r="D900" s="176">
        <v>9862.4</v>
      </c>
      <c r="E900" s="151">
        <v>44784</v>
      </c>
      <c r="F900" s="176">
        <v>9862.4</v>
      </c>
      <c r="G900" s="177">
        <f>Tabla19[[#This Row],[Importe]]-Tabla19[[#This Row],[Pagado]]</f>
        <v>0</v>
      </c>
      <c r="H900" s="75" t="s">
        <v>10</v>
      </c>
    </row>
    <row r="901" spans="1:8" x14ac:dyDescent="0.25">
      <c r="A901" s="148">
        <v>44783</v>
      </c>
      <c r="B901" s="149" t="s">
        <v>25579</v>
      </c>
      <c r="C901" s="153" t="s">
        <v>2151</v>
      </c>
      <c r="D901" s="178">
        <v>18879.7</v>
      </c>
      <c r="E901" s="155">
        <v>44783</v>
      </c>
      <c r="F901" s="178">
        <v>18879.7</v>
      </c>
      <c r="G901" s="179">
        <f>Tabla19[[#This Row],[Importe]]-Tabla19[[#This Row],[Pagado]]</f>
        <v>0</v>
      </c>
      <c r="H901" s="153" t="s">
        <v>10</v>
      </c>
    </row>
    <row r="902" spans="1:8" x14ac:dyDescent="0.25">
      <c r="A902" s="73">
        <v>44783</v>
      </c>
      <c r="B902" s="74" t="s">
        <v>25580</v>
      </c>
      <c r="C902" s="75" t="s">
        <v>93</v>
      </c>
      <c r="D902" s="176">
        <v>6952</v>
      </c>
      <c r="E902" s="151">
        <v>44785</v>
      </c>
      <c r="F902" s="176">
        <v>6952</v>
      </c>
      <c r="G902" s="177">
        <f>Tabla19[[#This Row],[Importe]]-Tabla19[[#This Row],[Pagado]]</f>
        <v>0</v>
      </c>
      <c r="H902" s="75" t="s">
        <v>10</v>
      </c>
    </row>
    <row r="903" spans="1:8" x14ac:dyDescent="0.25">
      <c r="A903" s="148">
        <v>44783</v>
      </c>
      <c r="B903" s="149" t="s">
        <v>25581</v>
      </c>
      <c r="C903" s="153" t="s">
        <v>105</v>
      </c>
      <c r="D903" s="178">
        <v>16079.5</v>
      </c>
      <c r="E903" s="155">
        <v>44784</v>
      </c>
      <c r="F903" s="178">
        <v>16079.5</v>
      </c>
      <c r="G903" s="179">
        <f>Tabla19[[#This Row],[Importe]]-Tabla19[[#This Row],[Pagado]]</f>
        <v>0</v>
      </c>
      <c r="H903" s="153" t="s">
        <v>10</v>
      </c>
    </row>
    <row r="904" spans="1:8" x14ac:dyDescent="0.25">
      <c r="A904" s="73">
        <v>44783</v>
      </c>
      <c r="B904" s="74" t="s">
        <v>25582</v>
      </c>
      <c r="C904" s="75" t="s">
        <v>348</v>
      </c>
      <c r="D904" s="176">
        <v>6691.1</v>
      </c>
      <c r="E904" s="151">
        <v>44783</v>
      </c>
      <c r="F904" s="176">
        <v>6691.1</v>
      </c>
      <c r="G904" s="177">
        <f>Tabla19[[#This Row],[Importe]]-Tabla19[[#This Row],[Pagado]]</f>
        <v>0</v>
      </c>
      <c r="H904" s="75" t="s">
        <v>10</v>
      </c>
    </row>
    <row r="905" spans="1:8" x14ac:dyDescent="0.25">
      <c r="A905" s="148">
        <v>44783</v>
      </c>
      <c r="B905" s="149" t="s">
        <v>25583</v>
      </c>
      <c r="C905" s="153" t="s">
        <v>111</v>
      </c>
      <c r="D905" s="178">
        <v>5907.2</v>
      </c>
      <c r="E905" s="155">
        <v>44784</v>
      </c>
      <c r="F905" s="178">
        <v>5907.2</v>
      </c>
      <c r="G905" s="179">
        <f>Tabla19[[#This Row],[Importe]]-Tabla19[[#This Row],[Pagado]]</f>
        <v>0</v>
      </c>
      <c r="H905" s="153" t="s">
        <v>10</v>
      </c>
    </row>
    <row r="906" spans="1:8" x14ac:dyDescent="0.25">
      <c r="A906" s="73">
        <v>44783</v>
      </c>
      <c r="B906" s="74" t="s">
        <v>25584</v>
      </c>
      <c r="C906" s="75" t="s">
        <v>9</v>
      </c>
      <c r="D906" s="176">
        <v>6638.4</v>
      </c>
      <c r="E906" s="151">
        <v>44783</v>
      </c>
      <c r="F906" s="176">
        <v>6638.4</v>
      </c>
      <c r="G906" s="177">
        <f>Tabla19[[#This Row],[Importe]]-Tabla19[[#This Row],[Pagado]]</f>
        <v>0</v>
      </c>
      <c r="H906" s="75" t="s">
        <v>10</v>
      </c>
    </row>
    <row r="907" spans="1:8" x14ac:dyDescent="0.25">
      <c r="A907" s="148">
        <v>44783</v>
      </c>
      <c r="B907" s="149" t="s">
        <v>25585</v>
      </c>
      <c r="C907" s="153" t="s">
        <v>481</v>
      </c>
      <c r="D907" s="178">
        <v>1298.2</v>
      </c>
      <c r="E907" s="155">
        <v>44783</v>
      </c>
      <c r="F907" s="178">
        <v>1298.2</v>
      </c>
      <c r="G907" s="179">
        <f>Tabla19[[#This Row],[Importe]]-Tabla19[[#This Row],[Pagado]]</f>
        <v>0</v>
      </c>
      <c r="H907" s="153" t="s">
        <v>10</v>
      </c>
    </row>
    <row r="908" spans="1:8" x14ac:dyDescent="0.25">
      <c r="A908" s="73">
        <v>44783</v>
      </c>
      <c r="B908" s="74" t="s">
        <v>25586</v>
      </c>
      <c r="C908" s="75" t="s">
        <v>83</v>
      </c>
      <c r="D908" s="176">
        <v>5248</v>
      </c>
      <c r="E908" s="151">
        <v>44784</v>
      </c>
      <c r="F908" s="176">
        <v>5248</v>
      </c>
      <c r="G908" s="177">
        <f>Tabla19[[#This Row],[Importe]]-Tabla19[[#This Row],[Pagado]]</f>
        <v>0</v>
      </c>
      <c r="H908" s="75" t="s">
        <v>10</v>
      </c>
    </row>
    <row r="909" spans="1:8" ht="31.5" x14ac:dyDescent="0.25">
      <c r="A909" s="148">
        <v>44783</v>
      </c>
      <c r="B909" s="149" t="s">
        <v>25587</v>
      </c>
      <c r="C909" s="153" t="s">
        <v>22</v>
      </c>
      <c r="D909" s="178">
        <v>62569.7</v>
      </c>
      <c r="E909" s="150" t="s">
        <v>25588</v>
      </c>
      <c r="F909" s="178">
        <f>47000+15569.7</f>
        <v>62569.7</v>
      </c>
      <c r="G909" s="179">
        <f>Tabla19[[#This Row],[Importe]]-Tabla19[[#This Row],[Pagado]]</f>
        <v>0</v>
      </c>
      <c r="H909" s="153" t="s">
        <v>10</v>
      </c>
    </row>
    <row r="910" spans="1:8" x14ac:dyDescent="0.25">
      <c r="A910" s="73">
        <v>44783</v>
      </c>
      <c r="B910" s="74" t="s">
        <v>25589</v>
      </c>
      <c r="C910" s="75" t="s">
        <v>87</v>
      </c>
      <c r="D910" s="176">
        <v>3874.8</v>
      </c>
      <c r="E910" s="151">
        <v>44784</v>
      </c>
      <c r="F910" s="176">
        <v>3874.8</v>
      </c>
      <c r="G910" s="177">
        <f>Tabla19[[#This Row],[Importe]]-Tabla19[[#This Row],[Pagado]]</f>
        <v>0</v>
      </c>
      <c r="H910" s="75" t="s">
        <v>10</v>
      </c>
    </row>
    <row r="911" spans="1:8" x14ac:dyDescent="0.25">
      <c r="A911" s="148">
        <v>44783</v>
      </c>
      <c r="B911" s="149" t="s">
        <v>25590</v>
      </c>
      <c r="C911" s="153" t="s">
        <v>528</v>
      </c>
      <c r="D911" s="178">
        <v>42756</v>
      </c>
      <c r="E911" s="155">
        <v>44784</v>
      </c>
      <c r="F911" s="178">
        <v>42756</v>
      </c>
      <c r="G911" s="179">
        <f>Tabla19[[#This Row],[Importe]]-Tabla19[[#This Row],[Pagado]]</f>
        <v>0</v>
      </c>
      <c r="H911" s="153" t="s">
        <v>10</v>
      </c>
    </row>
    <row r="912" spans="1:8" x14ac:dyDescent="0.25">
      <c r="A912" s="73">
        <v>44783</v>
      </c>
      <c r="B912" s="74" t="s">
        <v>25591</v>
      </c>
      <c r="C912" s="75" t="s">
        <v>16</v>
      </c>
      <c r="D912" s="176">
        <v>5651.6</v>
      </c>
      <c r="E912" s="151">
        <v>44783</v>
      </c>
      <c r="F912" s="176">
        <v>5651.6</v>
      </c>
      <c r="G912" s="177">
        <f>Tabla19[[#This Row],[Importe]]-Tabla19[[#This Row],[Pagado]]</f>
        <v>0</v>
      </c>
      <c r="H912" s="75" t="s">
        <v>10</v>
      </c>
    </row>
    <row r="913" spans="1:8" x14ac:dyDescent="0.25">
      <c r="A913" s="148">
        <v>44783</v>
      </c>
      <c r="B913" s="149" t="s">
        <v>25592</v>
      </c>
      <c r="C913" s="153" t="s">
        <v>541</v>
      </c>
      <c r="D913" s="178">
        <v>13611.6</v>
      </c>
      <c r="E913" s="155">
        <v>44783</v>
      </c>
      <c r="F913" s="178">
        <v>13611.6</v>
      </c>
      <c r="G913" s="179">
        <f>Tabla19[[#This Row],[Importe]]-Tabla19[[#This Row],[Pagado]]</f>
        <v>0</v>
      </c>
      <c r="H913" s="153" t="s">
        <v>10</v>
      </c>
    </row>
    <row r="914" spans="1:8" ht="31.5" x14ac:dyDescent="0.25">
      <c r="A914" s="73">
        <v>44783</v>
      </c>
      <c r="B914" s="74" t="s">
        <v>25593</v>
      </c>
      <c r="C914" s="75" t="s">
        <v>592</v>
      </c>
      <c r="D914" s="176">
        <v>44368.3</v>
      </c>
      <c r="E914" s="147" t="s">
        <v>25594</v>
      </c>
      <c r="F914" s="176">
        <f>30000+14368.3</f>
        <v>44368.3</v>
      </c>
      <c r="G914" s="177">
        <f>Tabla19[[#This Row],[Importe]]-Tabla19[[#This Row],[Pagado]]</f>
        <v>0</v>
      </c>
      <c r="H914" s="75" t="s">
        <v>10</v>
      </c>
    </row>
    <row r="915" spans="1:8" x14ac:dyDescent="0.25">
      <c r="A915" s="148">
        <v>44783</v>
      </c>
      <c r="B915" s="149" t="s">
        <v>25595</v>
      </c>
      <c r="C915" s="153" t="s">
        <v>107</v>
      </c>
      <c r="D915" s="178">
        <v>11595.8</v>
      </c>
      <c r="E915" s="155">
        <v>44784</v>
      </c>
      <c r="F915" s="178">
        <v>11595.8</v>
      </c>
      <c r="G915" s="179">
        <f>Tabla19[[#This Row],[Importe]]-Tabla19[[#This Row],[Pagado]]</f>
        <v>0</v>
      </c>
      <c r="H915" s="153" t="s">
        <v>10</v>
      </c>
    </row>
    <row r="916" spans="1:8" x14ac:dyDescent="0.25">
      <c r="A916" s="73">
        <v>44783</v>
      </c>
      <c r="B916" s="74" t="s">
        <v>25596</v>
      </c>
      <c r="C916" s="75" t="s">
        <v>140</v>
      </c>
      <c r="D916" s="176">
        <v>2125</v>
      </c>
      <c r="E916" s="151">
        <v>44784</v>
      </c>
      <c r="F916" s="176">
        <v>2125</v>
      </c>
      <c r="G916" s="177">
        <f>Tabla19[[#This Row],[Importe]]-Tabla19[[#This Row],[Pagado]]</f>
        <v>0</v>
      </c>
      <c r="H916" s="75" t="s">
        <v>10</v>
      </c>
    </row>
    <row r="917" spans="1:8" x14ac:dyDescent="0.25">
      <c r="A917" s="148">
        <v>44783</v>
      </c>
      <c r="B917" s="149" t="s">
        <v>25597</v>
      </c>
      <c r="C917" s="153" t="s">
        <v>357</v>
      </c>
      <c r="D917" s="178">
        <v>961.5</v>
      </c>
      <c r="E917" s="155">
        <v>44784</v>
      </c>
      <c r="F917" s="178">
        <v>961.5</v>
      </c>
      <c r="G917" s="179">
        <f>Tabla19[[#This Row],[Importe]]-Tabla19[[#This Row],[Pagado]]</f>
        <v>0</v>
      </c>
      <c r="H917" s="153" t="s">
        <v>10</v>
      </c>
    </row>
    <row r="918" spans="1:8" x14ac:dyDescent="0.25">
      <c r="A918" s="73">
        <v>44783</v>
      </c>
      <c r="B918" s="74" t="s">
        <v>25598</v>
      </c>
      <c r="C918" s="75" t="s">
        <v>129</v>
      </c>
      <c r="D918" s="176">
        <v>6467.5</v>
      </c>
      <c r="E918" s="151">
        <v>44784</v>
      </c>
      <c r="F918" s="176">
        <v>6467.5</v>
      </c>
      <c r="G918" s="177">
        <f>Tabla19[[#This Row],[Importe]]-Tabla19[[#This Row],[Pagado]]</f>
        <v>0</v>
      </c>
      <c r="H918" s="75" t="s">
        <v>10</v>
      </c>
    </row>
    <row r="919" spans="1:8" x14ac:dyDescent="0.25">
      <c r="A919" s="148">
        <v>44783</v>
      </c>
      <c r="B919" s="149" t="s">
        <v>25599</v>
      </c>
      <c r="C919" s="153" t="s">
        <v>127</v>
      </c>
      <c r="D919" s="178">
        <v>5412.9</v>
      </c>
      <c r="E919" s="155">
        <v>44784</v>
      </c>
      <c r="F919" s="178">
        <v>5412.9</v>
      </c>
      <c r="G919" s="179">
        <f>Tabla19[[#This Row],[Importe]]-Tabla19[[#This Row],[Pagado]]</f>
        <v>0</v>
      </c>
      <c r="H919" s="153" t="s">
        <v>10</v>
      </c>
    </row>
    <row r="920" spans="1:8" x14ac:dyDescent="0.25">
      <c r="A920" s="73">
        <v>44783</v>
      </c>
      <c r="B920" s="74" t="s">
        <v>25600</v>
      </c>
      <c r="C920" s="75" t="s">
        <v>127</v>
      </c>
      <c r="D920" s="176">
        <v>722.5</v>
      </c>
      <c r="E920" s="151">
        <v>44784</v>
      </c>
      <c r="F920" s="176">
        <v>722.5</v>
      </c>
      <c r="G920" s="177">
        <f>Tabla19[[#This Row],[Importe]]-Tabla19[[#This Row],[Pagado]]</f>
        <v>0</v>
      </c>
      <c r="H920" s="75" t="s">
        <v>10</v>
      </c>
    </row>
    <row r="921" spans="1:8" x14ac:dyDescent="0.25">
      <c r="A921" s="148">
        <v>44783</v>
      </c>
      <c r="B921" s="149" t="s">
        <v>25601</v>
      </c>
      <c r="C921" s="153" t="s">
        <v>339</v>
      </c>
      <c r="D921" s="178">
        <v>663</v>
      </c>
      <c r="E921" s="155">
        <v>44784</v>
      </c>
      <c r="F921" s="178">
        <v>663</v>
      </c>
      <c r="G921" s="179">
        <f>Tabla19[[#This Row],[Importe]]-Tabla19[[#This Row],[Pagado]]</f>
        <v>0</v>
      </c>
      <c r="H921" s="153" t="s">
        <v>10</v>
      </c>
    </row>
    <row r="922" spans="1:8" x14ac:dyDescent="0.25">
      <c r="A922" s="73">
        <v>44783</v>
      </c>
      <c r="B922" s="74" t="s">
        <v>25602</v>
      </c>
      <c r="C922" s="75" t="s">
        <v>144</v>
      </c>
      <c r="D922" s="176">
        <v>4031.52</v>
      </c>
      <c r="E922" s="151">
        <v>44784</v>
      </c>
      <c r="F922" s="176">
        <v>4031.52</v>
      </c>
      <c r="G922" s="177">
        <f>Tabla19[[#This Row],[Importe]]-Tabla19[[#This Row],[Pagado]]</f>
        <v>0</v>
      </c>
      <c r="H922" s="75" t="s">
        <v>10</v>
      </c>
    </row>
    <row r="923" spans="1:8" x14ac:dyDescent="0.25">
      <c r="A923" s="148">
        <v>44783</v>
      </c>
      <c r="B923" s="149" t="s">
        <v>25603</v>
      </c>
      <c r="C923" s="153" t="s">
        <v>11033</v>
      </c>
      <c r="D923" s="178">
        <v>1856.5</v>
      </c>
      <c r="E923" s="155">
        <v>44783</v>
      </c>
      <c r="F923" s="178">
        <v>1856.5</v>
      </c>
      <c r="G923" s="179">
        <f>Tabla19[[#This Row],[Importe]]-Tabla19[[#This Row],[Pagado]]</f>
        <v>0</v>
      </c>
      <c r="H923" s="153" t="s">
        <v>10</v>
      </c>
    </row>
    <row r="924" spans="1:8" x14ac:dyDescent="0.25">
      <c r="A924" s="73">
        <v>44783</v>
      </c>
      <c r="B924" s="74" t="s">
        <v>25604</v>
      </c>
      <c r="C924" s="75" t="s">
        <v>9577</v>
      </c>
      <c r="D924" s="176">
        <v>26391.200000000001</v>
      </c>
      <c r="E924" s="151">
        <v>44784</v>
      </c>
      <c r="F924" s="176">
        <v>26391.200000000001</v>
      </c>
      <c r="G924" s="177">
        <f>Tabla19[[#This Row],[Importe]]-Tabla19[[#This Row],[Pagado]]</f>
        <v>0</v>
      </c>
      <c r="H924" s="75" t="s">
        <v>10</v>
      </c>
    </row>
    <row r="925" spans="1:8" x14ac:dyDescent="0.25">
      <c r="A925" s="148">
        <v>44783</v>
      </c>
      <c r="B925" s="149" t="s">
        <v>25605</v>
      </c>
      <c r="C925" s="153" t="s">
        <v>1644</v>
      </c>
      <c r="D925" s="178">
        <v>8618.4</v>
      </c>
      <c r="E925" s="155">
        <v>44784</v>
      </c>
      <c r="F925" s="178">
        <v>8618.4</v>
      </c>
      <c r="G925" s="179">
        <f>Tabla19[[#This Row],[Importe]]-Tabla19[[#This Row],[Pagado]]</f>
        <v>0</v>
      </c>
      <c r="H925" s="153" t="s">
        <v>10</v>
      </c>
    </row>
    <row r="926" spans="1:8" x14ac:dyDescent="0.25">
      <c r="A926" s="73">
        <v>44783</v>
      </c>
      <c r="B926" s="74" t="s">
        <v>25606</v>
      </c>
      <c r="C926" s="75" t="s">
        <v>214</v>
      </c>
      <c r="D926" s="176">
        <v>10399</v>
      </c>
      <c r="E926" s="151">
        <v>44784</v>
      </c>
      <c r="F926" s="176">
        <v>10399</v>
      </c>
      <c r="G926" s="177">
        <f>Tabla19[[#This Row],[Importe]]-Tabla19[[#This Row],[Pagado]]</f>
        <v>0</v>
      </c>
      <c r="H926" s="75" t="s">
        <v>10</v>
      </c>
    </row>
    <row r="927" spans="1:8" x14ac:dyDescent="0.25">
      <c r="A927" s="148">
        <v>44783</v>
      </c>
      <c r="B927" s="149" t="s">
        <v>25607</v>
      </c>
      <c r="C927" s="153" t="s">
        <v>45</v>
      </c>
      <c r="D927" s="178">
        <v>13214.8</v>
      </c>
      <c r="E927" s="155">
        <v>44783</v>
      </c>
      <c r="F927" s="178">
        <v>13214.8</v>
      </c>
      <c r="G927" s="179">
        <f>Tabla19[[#This Row],[Importe]]-Tabla19[[#This Row],[Pagado]]</f>
        <v>0</v>
      </c>
      <c r="H927" s="153" t="s">
        <v>10</v>
      </c>
    </row>
    <row r="928" spans="1:8" x14ac:dyDescent="0.25">
      <c r="A928" s="73">
        <v>44783</v>
      </c>
      <c r="B928" s="74" t="s">
        <v>25608</v>
      </c>
      <c r="C928" s="75" t="s">
        <v>31</v>
      </c>
      <c r="D928" s="176">
        <v>223379.1</v>
      </c>
      <c r="E928" s="151">
        <v>44783</v>
      </c>
      <c r="F928" s="176">
        <v>223379.1</v>
      </c>
      <c r="G928" s="177">
        <f>Tabla19[[#This Row],[Importe]]-Tabla19[[#This Row],[Pagado]]</f>
        <v>0</v>
      </c>
      <c r="H928" s="75" t="s">
        <v>10</v>
      </c>
    </row>
    <row r="929" spans="1:8" x14ac:dyDescent="0.25">
      <c r="A929" s="148">
        <v>44783</v>
      </c>
      <c r="B929" s="149" t="s">
        <v>25609</v>
      </c>
      <c r="C929" s="153" t="s">
        <v>1362</v>
      </c>
      <c r="D929" s="178">
        <v>4228.2</v>
      </c>
      <c r="E929" s="155">
        <v>44784</v>
      </c>
      <c r="F929" s="178">
        <v>4228.2</v>
      </c>
      <c r="G929" s="179">
        <f>Tabla19[[#This Row],[Importe]]-Tabla19[[#This Row],[Pagado]]</f>
        <v>0</v>
      </c>
      <c r="H929" s="153" t="s">
        <v>10</v>
      </c>
    </row>
    <row r="930" spans="1:8" x14ac:dyDescent="0.25">
      <c r="A930" s="73">
        <v>44783</v>
      </c>
      <c r="B930" s="74" t="s">
        <v>25610</v>
      </c>
      <c r="C930" s="75" t="s">
        <v>206</v>
      </c>
      <c r="D930" s="176">
        <v>20003.900000000001</v>
      </c>
      <c r="E930" s="151">
        <v>44787</v>
      </c>
      <c r="F930" s="176">
        <v>20003.900000000001</v>
      </c>
      <c r="G930" s="177">
        <f>Tabla19[[#This Row],[Importe]]-Tabla19[[#This Row],[Pagado]]</f>
        <v>0</v>
      </c>
      <c r="H930" s="75" t="s">
        <v>10</v>
      </c>
    </row>
    <row r="931" spans="1:8" x14ac:dyDescent="0.25">
      <c r="A931" s="148">
        <v>44783</v>
      </c>
      <c r="B931" s="149" t="s">
        <v>25611</v>
      </c>
      <c r="C931" s="153" t="s">
        <v>470</v>
      </c>
      <c r="D931" s="178">
        <v>17404.8</v>
      </c>
      <c r="E931" s="155">
        <v>44784</v>
      </c>
      <c r="F931" s="178">
        <v>17404.8</v>
      </c>
      <c r="G931" s="179">
        <f>Tabla19[[#This Row],[Importe]]-Tabla19[[#This Row],[Pagado]]</f>
        <v>0</v>
      </c>
      <c r="H931" s="153" t="s">
        <v>10</v>
      </c>
    </row>
    <row r="932" spans="1:8" x14ac:dyDescent="0.25">
      <c r="A932" s="73">
        <v>44783</v>
      </c>
      <c r="B932" s="74" t="s">
        <v>25612</v>
      </c>
      <c r="C932" s="75" t="s">
        <v>49</v>
      </c>
      <c r="D932" s="176">
        <v>3842</v>
      </c>
      <c r="E932" s="151">
        <v>44783</v>
      </c>
      <c r="F932" s="176">
        <v>3842</v>
      </c>
      <c r="G932" s="177">
        <f>Tabla19[[#This Row],[Importe]]-Tabla19[[#This Row],[Pagado]]</f>
        <v>0</v>
      </c>
      <c r="H932" s="75" t="s">
        <v>10</v>
      </c>
    </row>
    <row r="933" spans="1:8" x14ac:dyDescent="0.25">
      <c r="A933" s="148">
        <v>44783</v>
      </c>
      <c r="B933" s="149" t="s">
        <v>25613</v>
      </c>
      <c r="C933" s="153" t="s">
        <v>24</v>
      </c>
      <c r="D933" s="178">
        <v>4353</v>
      </c>
      <c r="E933" s="155">
        <v>44783</v>
      </c>
      <c r="F933" s="178">
        <v>4353</v>
      </c>
      <c r="G933" s="179">
        <f>Tabla19[[#This Row],[Importe]]-Tabla19[[#This Row],[Pagado]]</f>
        <v>0</v>
      </c>
      <c r="H933" s="153" t="s">
        <v>10</v>
      </c>
    </row>
    <row r="934" spans="1:8" x14ac:dyDescent="0.25">
      <c r="A934" s="73">
        <v>44783</v>
      </c>
      <c r="B934" s="74" t="s">
        <v>25614</v>
      </c>
      <c r="C934" s="75" t="s">
        <v>218</v>
      </c>
      <c r="D934" s="176">
        <v>15093.4</v>
      </c>
      <c r="E934" s="151">
        <v>44787</v>
      </c>
      <c r="F934" s="176">
        <v>15093.4</v>
      </c>
      <c r="G934" s="177">
        <f>Tabla19[[#This Row],[Importe]]-Tabla19[[#This Row],[Pagado]]</f>
        <v>0</v>
      </c>
      <c r="H934" s="75" t="s">
        <v>10</v>
      </c>
    </row>
    <row r="935" spans="1:8" x14ac:dyDescent="0.25">
      <c r="A935" s="148">
        <v>44783</v>
      </c>
      <c r="B935" s="149" t="s">
        <v>25615</v>
      </c>
      <c r="C935" s="153" t="s">
        <v>31</v>
      </c>
      <c r="D935" s="178">
        <v>18244.8</v>
      </c>
      <c r="E935" s="155">
        <v>44783</v>
      </c>
      <c r="F935" s="178">
        <v>18244.8</v>
      </c>
      <c r="G935" s="179">
        <f>Tabla19[[#This Row],[Importe]]-Tabla19[[#This Row],[Pagado]]</f>
        <v>0</v>
      </c>
      <c r="H935" s="153" t="s">
        <v>10</v>
      </c>
    </row>
    <row r="936" spans="1:8" x14ac:dyDescent="0.25">
      <c r="A936" s="73">
        <v>44783</v>
      </c>
      <c r="B936" s="74" t="s">
        <v>25616</v>
      </c>
      <c r="C936" s="75" t="s">
        <v>62</v>
      </c>
      <c r="D936" s="176">
        <v>4578.6000000000004</v>
      </c>
      <c r="E936" s="151">
        <v>44783</v>
      </c>
      <c r="F936" s="176">
        <v>4578.6000000000004</v>
      </c>
      <c r="G936" s="177">
        <f>Tabla19[[#This Row],[Importe]]-Tabla19[[#This Row],[Pagado]]</f>
        <v>0</v>
      </c>
      <c r="H936" s="75" t="s">
        <v>10</v>
      </c>
    </row>
    <row r="937" spans="1:8" x14ac:dyDescent="0.25">
      <c r="A937" s="148">
        <v>44783</v>
      </c>
      <c r="B937" s="149" t="s">
        <v>25617</v>
      </c>
      <c r="C937" s="153" t="s">
        <v>2240</v>
      </c>
      <c r="D937" s="178">
        <v>5252.52</v>
      </c>
      <c r="E937" s="155">
        <v>44783</v>
      </c>
      <c r="F937" s="178">
        <v>5252.52</v>
      </c>
      <c r="G937" s="179">
        <f>Tabla19[[#This Row],[Importe]]-Tabla19[[#This Row],[Pagado]]</f>
        <v>0</v>
      </c>
      <c r="H937" s="153" t="s">
        <v>10</v>
      </c>
    </row>
    <row r="938" spans="1:8" x14ac:dyDescent="0.25">
      <c r="A938" s="73">
        <v>44783</v>
      </c>
      <c r="B938" s="74" t="s">
        <v>25618</v>
      </c>
      <c r="C938" s="75" t="s">
        <v>249</v>
      </c>
      <c r="D938" s="176">
        <v>4956</v>
      </c>
      <c r="E938" s="151">
        <v>44783</v>
      </c>
      <c r="F938" s="176">
        <v>4956</v>
      </c>
      <c r="G938" s="177">
        <f>Tabla19[[#This Row],[Importe]]-Tabla19[[#This Row],[Pagado]]</f>
        <v>0</v>
      </c>
      <c r="H938" s="75" t="s">
        <v>10</v>
      </c>
    </row>
    <row r="939" spans="1:8" x14ac:dyDescent="0.25">
      <c r="A939" s="148">
        <v>44783</v>
      </c>
      <c r="B939" s="149" t="s">
        <v>25619</v>
      </c>
      <c r="C939" s="153" t="s">
        <v>146</v>
      </c>
      <c r="D939" s="178">
        <v>7017.6</v>
      </c>
      <c r="E939" s="155">
        <v>44784</v>
      </c>
      <c r="F939" s="178">
        <v>7017.6</v>
      </c>
      <c r="G939" s="179">
        <f>Tabla19[[#This Row],[Importe]]-Tabla19[[#This Row],[Pagado]]</f>
        <v>0</v>
      </c>
      <c r="H939" s="153" t="s">
        <v>10</v>
      </c>
    </row>
    <row r="940" spans="1:8" x14ac:dyDescent="0.25">
      <c r="A940" s="73">
        <v>44783</v>
      </c>
      <c r="B940" s="74" t="s">
        <v>25620</v>
      </c>
      <c r="C940" s="75" t="s">
        <v>212</v>
      </c>
      <c r="D940" s="176">
        <v>15384.6</v>
      </c>
      <c r="E940" s="151">
        <v>44787</v>
      </c>
      <c r="F940" s="176">
        <v>15384.6</v>
      </c>
      <c r="G940" s="177">
        <f>Tabla19[[#This Row],[Importe]]-Tabla19[[#This Row],[Pagado]]</f>
        <v>0</v>
      </c>
      <c r="H940" s="75" t="s">
        <v>10</v>
      </c>
    </row>
    <row r="941" spans="1:8" x14ac:dyDescent="0.25">
      <c r="A941" s="148">
        <v>44783</v>
      </c>
      <c r="B941" s="149" t="s">
        <v>25621</v>
      </c>
      <c r="C941" s="153" t="s">
        <v>56</v>
      </c>
      <c r="D941" s="178">
        <v>7439.4</v>
      </c>
      <c r="E941" s="155">
        <v>44783</v>
      </c>
      <c r="F941" s="178">
        <v>7439.4</v>
      </c>
      <c r="G941" s="179">
        <f>Tabla19[[#This Row],[Importe]]-Tabla19[[#This Row],[Pagado]]</f>
        <v>0</v>
      </c>
      <c r="H941" s="153" t="s">
        <v>10</v>
      </c>
    </row>
    <row r="942" spans="1:8" x14ac:dyDescent="0.25">
      <c r="A942" s="73">
        <v>44783</v>
      </c>
      <c r="B942" s="74" t="s">
        <v>25622</v>
      </c>
      <c r="C942" s="75" t="s">
        <v>31</v>
      </c>
      <c r="D942" s="176">
        <v>4107</v>
      </c>
      <c r="E942" s="151">
        <v>44783</v>
      </c>
      <c r="F942" s="176">
        <v>4107</v>
      </c>
      <c r="G942" s="177">
        <f>Tabla19[[#This Row],[Importe]]-Tabla19[[#This Row],[Pagado]]</f>
        <v>0</v>
      </c>
      <c r="H942" s="75" t="s">
        <v>10</v>
      </c>
    </row>
    <row r="943" spans="1:8" x14ac:dyDescent="0.25">
      <c r="A943" s="148">
        <v>44783</v>
      </c>
      <c r="B943" s="149" t="s">
        <v>25623</v>
      </c>
      <c r="C943" s="153" t="s">
        <v>31</v>
      </c>
      <c r="D943" s="178">
        <v>44793.7</v>
      </c>
      <c r="E943" s="155">
        <v>44783</v>
      </c>
      <c r="F943" s="178">
        <v>44793.7</v>
      </c>
      <c r="G943" s="179">
        <f>Tabla19[[#This Row],[Importe]]-Tabla19[[#This Row],[Pagado]]</f>
        <v>0</v>
      </c>
      <c r="H943" s="153" t="s">
        <v>10</v>
      </c>
    </row>
    <row r="944" spans="1:8" x14ac:dyDescent="0.25">
      <c r="A944" s="73">
        <v>44783</v>
      </c>
      <c r="B944" s="74" t="s">
        <v>25624</v>
      </c>
      <c r="C944" s="75" t="s">
        <v>196</v>
      </c>
      <c r="D944" s="176">
        <v>135477.76000000001</v>
      </c>
      <c r="E944" s="151">
        <v>44786</v>
      </c>
      <c r="F944" s="176">
        <v>135477.76000000001</v>
      </c>
      <c r="G944" s="177">
        <f>Tabla19[[#This Row],[Importe]]-Tabla19[[#This Row],[Pagado]]</f>
        <v>0</v>
      </c>
      <c r="H944" s="75" t="s">
        <v>10</v>
      </c>
    </row>
    <row r="945" spans="1:8" x14ac:dyDescent="0.25">
      <c r="A945" s="148">
        <v>44783</v>
      </c>
      <c r="B945" s="149" t="s">
        <v>25625</v>
      </c>
      <c r="C945" s="153" t="s">
        <v>843</v>
      </c>
      <c r="D945" s="178">
        <v>1717.1</v>
      </c>
      <c r="E945" s="155">
        <v>44783</v>
      </c>
      <c r="F945" s="178">
        <v>1717.1</v>
      </c>
      <c r="G945" s="179">
        <f>Tabla19[[#This Row],[Importe]]-Tabla19[[#This Row],[Pagado]]</f>
        <v>0</v>
      </c>
      <c r="H945" s="153" t="s">
        <v>10</v>
      </c>
    </row>
    <row r="946" spans="1:8" x14ac:dyDescent="0.25">
      <c r="A946" s="73">
        <v>44783</v>
      </c>
      <c r="B946" s="74" t="s">
        <v>25626</v>
      </c>
      <c r="C946" s="75" t="s">
        <v>154</v>
      </c>
      <c r="D946" s="176">
        <v>46120.7</v>
      </c>
      <c r="E946" s="151">
        <v>44788</v>
      </c>
      <c r="F946" s="176">
        <v>46120.7</v>
      </c>
      <c r="G946" s="177">
        <f>Tabla19[[#This Row],[Importe]]-Tabla19[[#This Row],[Pagado]]</f>
        <v>0</v>
      </c>
      <c r="H946" s="75" t="s">
        <v>10</v>
      </c>
    </row>
    <row r="947" spans="1:8" x14ac:dyDescent="0.25">
      <c r="A947" s="148">
        <v>44783</v>
      </c>
      <c r="B947" s="149" t="s">
        <v>25627</v>
      </c>
      <c r="C947" s="153" t="s">
        <v>10190</v>
      </c>
      <c r="D947" s="178">
        <v>22950.6</v>
      </c>
      <c r="E947" s="155">
        <v>44783</v>
      </c>
      <c r="F947" s="178">
        <v>22950.6</v>
      </c>
      <c r="G947" s="179">
        <f>Tabla19[[#This Row],[Importe]]-Tabla19[[#This Row],[Pagado]]</f>
        <v>0</v>
      </c>
      <c r="H947" s="153" t="s">
        <v>10</v>
      </c>
    </row>
    <row r="948" spans="1:8" x14ac:dyDescent="0.25">
      <c r="A948" s="73">
        <v>44783</v>
      </c>
      <c r="B948" s="74" t="s">
        <v>25628</v>
      </c>
      <c r="C948" s="75" t="s">
        <v>67</v>
      </c>
      <c r="D948" s="176">
        <v>2948.5</v>
      </c>
      <c r="E948" s="151">
        <v>44783</v>
      </c>
      <c r="F948" s="176">
        <v>2948.5</v>
      </c>
      <c r="G948" s="177">
        <f>Tabla19[[#This Row],[Importe]]-Tabla19[[#This Row],[Pagado]]</f>
        <v>0</v>
      </c>
      <c r="H948" s="75" t="s">
        <v>10</v>
      </c>
    </row>
    <row r="949" spans="1:8" x14ac:dyDescent="0.25">
      <c r="A949" s="148">
        <v>44783</v>
      </c>
      <c r="B949" s="149" t="s">
        <v>25629</v>
      </c>
      <c r="C949" s="153" t="s">
        <v>555</v>
      </c>
      <c r="D949" s="178">
        <v>17977.28</v>
      </c>
      <c r="E949" s="155">
        <v>44783</v>
      </c>
      <c r="F949" s="178">
        <v>17977.28</v>
      </c>
      <c r="G949" s="179">
        <f>Tabla19[[#This Row],[Importe]]-Tabla19[[#This Row],[Pagado]]</f>
        <v>0</v>
      </c>
      <c r="H949" s="153" t="s">
        <v>10</v>
      </c>
    </row>
    <row r="950" spans="1:8" x14ac:dyDescent="0.25">
      <c r="A950" s="73">
        <v>44783</v>
      </c>
      <c r="B950" s="74" t="s">
        <v>25630</v>
      </c>
      <c r="C950" s="75" t="s">
        <v>296</v>
      </c>
      <c r="D950" s="176">
        <v>1518.9</v>
      </c>
      <c r="E950" s="151">
        <v>44783</v>
      </c>
      <c r="F950" s="176">
        <v>1518.9</v>
      </c>
      <c r="G950" s="177">
        <f>Tabla19[[#This Row],[Importe]]-Tabla19[[#This Row],[Pagado]]</f>
        <v>0</v>
      </c>
      <c r="H950" s="75" t="s">
        <v>10</v>
      </c>
    </row>
    <row r="951" spans="1:8" x14ac:dyDescent="0.25">
      <c r="A951" s="148">
        <v>44783</v>
      </c>
      <c r="B951" s="149" t="s">
        <v>25631</v>
      </c>
      <c r="C951" s="153" t="s">
        <v>4136</v>
      </c>
      <c r="D951" s="178">
        <v>2075.3000000000002</v>
      </c>
      <c r="E951" s="155">
        <v>44783</v>
      </c>
      <c r="F951" s="178">
        <v>2075.3000000000002</v>
      </c>
      <c r="G951" s="179">
        <f>Tabla19[[#This Row],[Importe]]-Tabla19[[#This Row],[Pagado]]</f>
        <v>0</v>
      </c>
      <c r="H951" s="153" t="s">
        <v>10</v>
      </c>
    </row>
    <row r="952" spans="1:8" x14ac:dyDescent="0.25">
      <c r="A952" s="73">
        <v>44783</v>
      </c>
      <c r="B952" s="74" t="s">
        <v>25632</v>
      </c>
      <c r="C952" s="75" t="s">
        <v>196</v>
      </c>
      <c r="D952" s="176">
        <v>17886.400000000001</v>
      </c>
      <c r="E952" s="151">
        <v>44786</v>
      </c>
      <c r="F952" s="176">
        <v>17886.400000000001</v>
      </c>
      <c r="G952" s="177">
        <f>Tabla19[[#This Row],[Importe]]-Tabla19[[#This Row],[Pagado]]</f>
        <v>0</v>
      </c>
      <c r="H952" s="75" t="s">
        <v>10</v>
      </c>
    </row>
    <row r="953" spans="1:8" x14ac:dyDescent="0.25">
      <c r="A953" s="148">
        <v>44783</v>
      </c>
      <c r="B953" s="149" t="s">
        <v>25633</v>
      </c>
      <c r="C953" s="153" t="s">
        <v>31</v>
      </c>
      <c r="D953" s="178">
        <v>1327.2</v>
      </c>
      <c r="E953" s="155">
        <v>44783</v>
      </c>
      <c r="F953" s="178">
        <v>1327.2</v>
      </c>
      <c r="G953" s="179">
        <f>Tabla19[[#This Row],[Importe]]-Tabla19[[#This Row],[Pagado]]</f>
        <v>0</v>
      </c>
      <c r="H953" s="153" t="s">
        <v>10</v>
      </c>
    </row>
    <row r="954" spans="1:8" x14ac:dyDescent="0.25">
      <c r="A954" s="73">
        <v>44783</v>
      </c>
      <c r="B954" s="74" t="s">
        <v>25634</v>
      </c>
      <c r="C954" s="75" t="s">
        <v>53</v>
      </c>
      <c r="D954" s="176">
        <v>654.5</v>
      </c>
      <c r="E954" s="151">
        <v>44783</v>
      </c>
      <c r="F954" s="176">
        <v>654.5</v>
      </c>
      <c r="G954" s="177">
        <f>Tabla19[[#This Row],[Importe]]-Tabla19[[#This Row],[Pagado]]</f>
        <v>0</v>
      </c>
      <c r="H954" s="75" t="s">
        <v>10</v>
      </c>
    </row>
    <row r="955" spans="1:8" x14ac:dyDescent="0.25">
      <c r="A955" s="148">
        <v>44783</v>
      </c>
      <c r="B955" s="149" t="s">
        <v>25635</v>
      </c>
      <c r="C955" s="153" t="s">
        <v>9827</v>
      </c>
      <c r="D955" s="178">
        <v>3376.8</v>
      </c>
      <c r="E955" s="155">
        <v>44783</v>
      </c>
      <c r="F955" s="178">
        <v>3376.8</v>
      </c>
      <c r="G955" s="179">
        <f>Tabla19[[#This Row],[Importe]]-Tabla19[[#This Row],[Pagado]]</f>
        <v>0</v>
      </c>
      <c r="H955" s="153" t="s">
        <v>10</v>
      </c>
    </row>
    <row r="956" spans="1:8" ht="31.5" x14ac:dyDescent="0.25">
      <c r="A956" s="73">
        <v>44783</v>
      </c>
      <c r="B956" s="74" t="s">
        <v>25636</v>
      </c>
      <c r="C956" s="181" t="s">
        <v>5463</v>
      </c>
      <c r="D956" s="176">
        <v>0</v>
      </c>
      <c r="E956" s="157" t="s">
        <v>189</v>
      </c>
      <c r="F956" s="176">
        <v>0</v>
      </c>
      <c r="G956" s="177">
        <f>Tabla19[[#This Row],[Importe]]-Tabla19[[#This Row],[Pagado]]</f>
        <v>0</v>
      </c>
      <c r="H956" s="161" t="s">
        <v>25637</v>
      </c>
    </row>
    <row r="957" spans="1:8" x14ac:dyDescent="0.25">
      <c r="A957" s="148">
        <v>44783</v>
      </c>
      <c r="B957" s="149" t="s">
        <v>25638</v>
      </c>
      <c r="C957" s="153" t="s">
        <v>275</v>
      </c>
      <c r="D957" s="178">
        <v>99085.22</v>
      </c>
      <c r="E957" s="155" t="s">
        <v>25549</v>
      </c>
      <c r="F957" s="178">
        <v>99085.22</v>
      </c>
      <c r="G957" s="179">
        <f>Tabla19[[#This Row],[Importe]]-Tabla19[[#This Row],[Pagado]]</f>
        <v>0</v>
      </c>
      <c r="H957" s="153" t="s">
        <v>10</v>
      </c>
    </row>
    <row r="958" spans="1:8" x14ac:dyDescent="0.25">
      <c r="A958" s="73">
        <v>44783</v>
      </c>
      <c r="B958" s="74" t="s">
        <v>25639</v>
      </c>
      <c r="C958" s="75" t="s">
        <v>198</v>
      </c>
      <c r="D958" s="176">
        <v>6786.8</v>
      </c>
      <c r="E958" s="151">
        <v>44783</v>
      </c>
      <c r="F958" s="176">
        <v>6786.8</v>
      </c>
      <c r="G958" s="177">
        <f>Tabla19[[#This Row],[Importe]]-Tabla19[[#This Row],[Pagado]]</f>
        <v>0</v>
      </c>
      <c r="H958" s="75" t="s">
        <v>10</v>
      </c>
    </row>
    <row r="959" spans="1:8" x14ac:dyDescent="0.25">
      <c r="A959" s="148">
        <v>44783</v>
      </c>
      <c r="B959" s="149" t="s">
        <v>25640</v>
      </c>
      <c r="C959" s="153" t="s">
        <v>994</v>
      </c>
      <c r="D959" s="178">
        <v>1680</v>
      </c>
      <c r="E959" s="155">
        <v>44783</v>
      </c>
      <c r="F959" s="178">
        <v>1680</v>
      </c>
      <c r="G959" s="179">
        <f>Tabla19[[#This Row],[Importe]]-Tabla19[[#This Row],[Pagado]]</f>
        <v>0</v>
      </c>
      <c r="H959" s="153" t="s">
        <v>10</v>
      </c>
    </row>
    <row r="960" spans="1:8" x14ac:dyDescent="0.25">
      <c r="A960" s="73">
        <v>44783</v>
      </c>
      <c r="B960" s="74" t="s">
        <v>25641</v>
      </c>
      <c r="C960" s="75" t="s">
        <v>179</v>
      </c>
      <c r="D960" s="176">
        <v>1948.8</v>
      </c>
      <c r="E960" s="151">
        <v>44783</v>
      </c>
      <c r="F960" s="176">
        <v>1948.8</v>
      </c>
      <c r="G960" s="177">
        <f>Tabla19[[#This Row],[Importe]]-Tabla19[[#This Row],[Pagado]]</f>
        <v>0</v>
      </c>
      <c r="H960" s="75" t="s">
        <v>10</v>
      </c>
    </row>
    <row r="961" spans="1:8" x14ac:dyDescent="0.25">
      <c r="A961" s="148">
        <v>44783</v>
      </c>
      <c r="B961" s="149" t="s">
        <v>25642</v>
      </c>
      <c r="C961" s="153" t="s">
        <v>1350</v>
      </c>
      <c r="D961" s="178">
        <v>1083.4000000000001</v>
      </c>
      <c r="E961" s="155">
        <v>44783</v>
      </c>
      <c r="F961" s="178">
        <v>1083.4000000000001</v>
      </c>
      <c r="G961" s="179">
        <f>Tabla19[[#This Row],[Importe]]-Tabla19[[#This Row],[Pagado]]</f>
        <v>0</v>
      </c>
      <c r="H961" s="153" t="s">
        <v>10</v>
      </c>
    </row>
    <row r="962" spans="1:8" x14ac:dyDescent="0.25">
      <c r="A962" s="73">
        <v>44783</v>
      </c>
      <c r="B962" s="74" t="s">
        <v>25643</v>
      </c>
      <c r="C962" s="75" t="s">
        <v>181</v>
      </c>
      <c r="D962" s="176">
        <v>14821.5</v>
      </c>
      <c r="E962" s="151">
        <v>44783</v>
      </c>
      <c r="F962" s="176">
        <v>14821.5</v>
      </c>
      <c r="G962" s="177">
        <f>Tabla19[[#This Row],[Importe]]-Tabla19[[#This Row],[Pagado]]</f>
        <v>0</v>
      </c>
      <c r="H962" s="75" t="s">
        <v>10</v>
      </c>
    </row>
    <row r="963" spans="1:8" x14ac:dyDescent="0.25">
      <c r="A963" s="148">
        <v>44783</v>
      </c>
      <c r="B963" s="149" t="s">
        <v>25644</v>
      </c>
      <c r="C963" s="153" t="s">
        <v>142</v>
      </c>
      <c r="D963" s="178">
        <v>21000.400000000001</v>
      </c>
      <c r="E963" s="155" t="s">
        <v>4813</v>
      </c>
      <c r="F963" s="178">
        <v>0</v>
      </c>
      <c r="G963" s="179">
        <f>Tabla19[[#This Row],[Importe]]-Tabla19[[#This Row],[Pagado]]</f>
        <v>21000.400000000001</v>
      </c>
      <c r="H963" s="153" t="s">
        <v>4814</v>
      </c>
    </row>
    <row r="964" spans="1:8" x14ac:dyDescent="0.25">
      <c r="A964" s="73">
        <v>44783</v>
      </c>
      <c r="B964" s="74" t="s">
        <v>25645</v>
      </c>
      <c r="C964" s="75" t="s">
        <v>409</v>
      </c>
      <c r="D964" s="176">
        <v>6525</v>
      </c>
      <c r="E964" s="151">
        <v>44786</v>
      </c>
      <c r="F964" s="176">
        <v>6525</v>
      </c>
      <c r="G964" s="177">
        <f>Tabla19[[#This Row],[Importe]]-Tabla19[[#This Row],[Pagado]]</f>
        <v>0</v>
      </c>
      <c r="H964" s="75" t="s">
        <v>10</v>
      </c>
    </row>
    <row r="965" spans="1:8" x14ac:dyDescent="0.25">
      <c r="A965" s="148">
        <v>44783</v>
      </c>
      <c r="B965" s="149" t="s">
        <v>25646</v>
      </c>
      <c r="C965" s="153" t="s">
        <v>698</v>
      </c>
      <c r="D965" s="178">
        <v>8212.7999999999993</v>
      </c>
      <c r="E965" s="155">
        <v>44783</v>
      </c>
      <c r="F965" s="178">
        <v>8212.7999999999993</v>
      </c>
      <c r="G965" s="179">
        <f>Tabla19[[#This Row],[Importe]]-Tabla19[[#This Row],[Pagado]]</f>
        <v>0</v>
      </c>
      <c r="H965" s="153" t="s">
        <v>10</v>
      </c>
    </row>
    <row r="966" spans="1:8" x14ac:dyDescent="0.25">
      <c r="A966" s="73">
        <v>44783</v>
      </c>
      <c r="B966" s="74" t="s">
        <v>25647</v>
      </c>
      <c r="C966" s="75" t="s">
        <v>857</v>
      </c>
      <c r="D966" s="176">
        <v>504</v>
      </c>
      <c r="E966" s="151">
        <v>44783</v>
      </c>
      <c r="F966" s="176">
        <v>504</v>
      </c>
      <c r="G966" s="177">
        <f>Tabla19[[#This Row],[Importe]]-Tabla19[[#This Row],[Pagado]]</f>
        <v>0</v>
      </c>
      <c r="H966" s="75" t="s">
        <v>10</v>
      </c>
    </row>
    <row r="967" spans="1:8" x14ac:dyDescent="0.25">
      <c r="A967" s="148">
        <v>44783</v>
      </c>
      <c r="B967" s="149" t="s">
        <v>25648</v>
      </c>
      <c r="C967" s="153" t="s">
        <v>1174</v>
      </c>
      <c r="D967" s="178">
        <v>17057.599999999999</v>
      </c>
      <c r="E967" s="155">
        <v>44783</v>
      </c>
      <c r="F967" s="178">
        <v>17057.599999999999</v>
      </c>
      <c r="G967" s="179">
        <f>Tabla19[[#This Row],[Importe]]-Tabla19[[#This Row],[Pagado]]</f>
        <v>0</v>
      </c>
      <c r="H967" s="153" t="s">
        <v>10</v>
      </c>
    </row>
    <row r="968" spans="1:8" x14ac:dyDescent="0.25">
      <c r="A968" s="73">
        <v>44783</v>
      </c>
      <c r="B968" s="74" t="s">
        <v>25649</v>
      </c>
      <c r="C968" s="75" t="s">
        <v>31</v>
      </c>
      <c r="D968" s="176">
        <v>1568</v>
      </c>
      <c r="E968" s="151">
        <v>44783</v>
      </c>
      <c r="F968" s="176">
        <v>1568</v>
      </c>
      <c r="G968" s="177">
        <f>Tabla19[[#This Row],[Importe]]-Tabla19[[#This Row],[Pagado]]</f>
        <v>0</v>
      </c>
      <c r="H968" s="75" t="s">
        <v>10</v>
      </c>
    </row>
    <row r="969" spans="1:8" ht="31.5" x14ac:dyDescent="0.25">
      <c r="A969" s="148">
        <v>44783</v>
      </c>
      <c r="B969" s="149" t="s">
        <v>25650</v>
      </c>
      <c r="C969" s="160" t="s">
        <v>17856</v>
      </c>
      <c r="D969" s="178">
        <v>0</v>
      </c>
      <c r="E969" s="158" t="s">
        <v>189</v>
      </c>
      <c r="F969" s="178">
        <v>0</v>
      </c>
      <c r="G969" s="179">
        <f>Tabla19[[#This Row],[Importe]]-Tabla19[[#This Row],[Pagado]]</f>
        <v>0</v>
      </c>
      <c r="H969" s="159" t="s">
        <v>25651</v>
      </c>
    </row>
    <row r="970" spans="1:8" x14ac:dyDescent="0.25">
      <c r="A970" s="73">
        <v>44783</v>
      </c>
      <c r="B970" s="74" t="s">
        <v>25652</v>
      </c>
      <c r="C970" s="75" t="s">
        <v>396</v>
      </c>
      <c r="D970" s="176">
        <v>10776.2</v>
      </c>
      <c r="E970" s="151">
        <v>44789</v>
      </c>
      <c r="F970" s="176">
        <v>10776.2</v>
      </c>
      <c r="G970" s="177">
        <f>Tabla19[[#This Row],[Importe]]-Tabla19[[#This Row],[Pagado]]</f>
        <v>0</v>
      </c>
      <c r="H970" s="75" t="s">
        <v>10</v>
      </c>
    </row>
    <row r="971" spans="1:8" x14ac:dyDescent="0.25">
      <c r="A971" s="148">
        <v>44783</v>
      </c>
      <c r="B971" s="149" t="s">
        <v>25653</v>
      </c>
      <c r="C971" s="153" t="s">
        <v>371</v>
      </c>
      <c r="D971" s="178">
        <v>4926</v>
      </c>
      <c r="E971" s="155">
        <v>44784</v>
      </c>
      <c r="F971" s="178">
        <v>4926</v>
      </c>
      <c r="G971" s="179">
        <f>Tabla19[[#This Row],[Importe]]-Tabla19[[#This Row],[Pagado]]</f>
        <v>0</v>
      </c>
      <c r="H971" s="153" t="s">
        <v>10</v>
      </c>
    </row>
    <row r="972" spans="1:8" x14ac:dyDescent="0.25">
      <c r="A972" s="73">
        <v>44783</v>
      </c>
      <c r="B972" s="74" t="s">
        <v>25654</v>
      </c>
      <c r="C972" s="75" t="s">
        <v>296</v>
      </c>
      <c r="D972" s="176">
        <v>4356.2</v>
      </c>
      <c r="E972" s="151">
        <v>44783</v>
      </c>
      <c r="F972" s="176">
        <v>4356.2</v>
      </c>
      <c r="G972" s="177">
        <f>Tabla19[[#This Row],[Importe]]-Tabla19[[#This Row],[Pagado]]</f>
        <v>0</v>
      </c>
      <c r="H972" s="75" t="s">
        <v>10</v>
      </c>
    </row>
    <row r="973" spans="1:8" x14ac:dyDescent="0.25">
      <c r="A973" s="148">
        <v>44783</v>
      </c>
      <c r="B973" s="149" t="s">
        <v>25655</v>
      </c>
      <c r="C973" s="153" t="s">
        <v>1421</v>
      </c>
      <c r="D973" s="178">
        <v>28050.400000000001</v>
      </c>
      <c r="E973" s="155">
        <v>44783</v>
      </c>
      <c r="F973" s="178">
        <v>28050.400000000001</v>
      </c>
      <c r="G973" s="179">
        <f>Tabla19[[#This Row],[Importe]]-Tabla19[[#This Row],[Pagado]]</f>
        <v>0</v>
      </c>
      <c r="H973" s="153" t="s">
        <v>10</v>
      </c>
    </row>
    <row r="974" spans="1:8" x14ac:dyDescent="0.25">
      <c r="A974" s="73">
        <v>44783</v>
      </c>
      <c r="B974" s="74" t="s">
        <v>25656</v>
      </c>
      <c r="C974" s="75" t="s">
        <v>1008</v>
      </c>
      <c r="D974" s="176">
        <v>545.20000000000005</v>
      </c>
      <c r="E974" s="151">
        <v>44783</v>
      </c>
      <c r="F974" s="176">
        <v>545.20000000000005</v>
      </c>
      <c r="G974" s="177">
        <f>Tabla19[[#This Row],[Importe]]-Tabla19[[#This Row],[Pagado]]</f>
        <v>0</v>
      </c>
      <c r="H974" s="75" t="s">
        <v>10</v>
      </c>
    </row>
    <row r="975" spans="1:8" x14ac:dyDescent="0.25">
      <c r="A975" s="148">
        <v>44783</v>
      </c>
      <c r="B975" s="149" t="s">
        <v>25657</v>
      </c>
      <c r="C975" s="153" t="s">
        <v>135</v>
      </c>
      <c r="D975" s="178">
        <v>1639.5</v>
      </c>
      <c r="E975" s="155">
        <v>44783</v>
      </c>
      <c r="F975" s="178">
        <v>1639.5</v>
      </c>
      <c r="G975" s="179">
        <f>Tabla19[[#This Row],[Importe]]-Tabla19[[#This Row],[Pagado]]</f>
        <v>0</v>
      </c>
      <c r="H975" s="153" t="s">
        <v>10</v>
      </c>
    </row>
    <row r="976" spans="1:8" x14ac:dyDescent="0.25">
      <c r="A976" s="73">
        <v>44783</v>
      </c>
      <c r="B976" s="74" t="s">
        <v>25658</v>
      </c>
      <c r="C976" s="75" t="s">
        <v>71</v>
      </c>
      <c r="D976" s="176">
        <v>2706</v>
      </c>
      <c r="E976" s="151">
        <v>44783</v>
      </c>
      <c r="F976" s="176">
        <v>2706</v>
      </c>
      <c r="G976" s="177">
        <f>Tabla19[[#This Row],[Importe]]-Tabla19[[#This Row],[Pagado]]</f>
        <v>0</v>
      </c>
      <c r="H976" s="75" t="s">
        <v>10</v>
      </c>
    </row>
    <row r="977" spans="1:8" x14ac:dyDescent="0.25">
      <c r="A977" s="148">
        <v>44783</v>
      </c>
      <c r="B977" s="149" t="s">
        <v>25659</v>
      </c>
      <c r="C977" s="153" t="s">
        <v>25660</v>
      </c>
      <c r="D977" s="178">
        <v>0</v>
      </c>
      <c r="E977" s="158" t="s">
        <v>189</v>
      </c>
      <c r="F977" s="178">
        <v>0</v>
      </c>
      <c r="G977" s="179">
        <f>Tabla19[[#This Row],[Importe]]-Tabla19[[#This Row],[Pagado]]</f>
        <v>0</v>
      </c>
      <c r="H977" s="159" t="s">
        <v>25661</v>
      </c>
    </row>
    <row r="978" spans="1:8" x14ac:dyDescent="0.25">
      <c r="A978" s="73">
        <v>44783</v>
      </c>
      <c r="B978" s="74" t="s">
        <v>25662</v>
      </c>
      <c r="C978" s="75" t="s">
        <v>5694</v>
      </c>
      <c r="D978" s="176">
        <v>4788</v>
      </c>
      <c r="E978" s="151">
        <v>44783</v>
      </c>
      <c r="F978" s="176">
        <v>4788</v>
      </c>
      <c r="G978" s="177">
        <f>Tabla19[[#This Row],[Importe]]-Tabla19[[#This Row],[Pagado]]</f>
        <v>0</v>
      </c>
      <c r="H978" s="75" t="s">
        <v>10</v>
      </c>
    </row>
    <row r="979" spans="1:8" x14ac:dyDescent="0.25">
      <c r="A979" s="148">
        <v>44783</v>
      </c>
      <c r="B979" s="149" t="s">
        <v>25663</v>
      </c>
      <c r="C979" s="153" t="s">
        <v>459</v>
      </c>
      <c r="D979" s="178">
        <v>168</v>
      </c>
      <c r="E979" s="155">
        <v>44783</v>
      </c>
      <c r="F979" s="178">
        <v>168</v>
      </c>
      <c r="G979" s="179">
        <f>Tabla19[[#This Row],[Importe]]-Tabla19[[#This Row],[Pagado]]</f>
        <v>0</v>
      </c>
      <c r="H979" s="153" t="s">
        <v>10</v>
      </c>
    </row>
    <row r="980" spans="1:8" x14ac:dyDescent="0.25">
      <c r="A980" s="73">
        <v>44783</v>
      </c>
      <c r="B980" s="74" t="s">
        <v>25664</v>
      </c>
      <c r="C980" s="75" t="s">
        <v>31</v>
      </c>
      <c r="D980" s="176">
        <v>682.5</v>
      </c>
      <c r="E980" s="151">
        <v>44783</v>
      </c>
      <c r="F980" s="176">
        <v>682.5</v>
      </c>
      <c r="G980" s="177">
        <f>Tabla19[[#This Row],[Importe]]-Tabla19[[#This Row],[Pagado]]</f>
        <v>0</v>
      </c>
      <c r="H980" s="75" t="s">
        <v>10</v>
      </c>
    </row>
    <row r="981" spans="1:8" x14ac:dyDescent="0.25">
      <c r="A981" s="148">
        <v>44783</v>
      </c>
      <c r="B981" s="149" t="s">
        <v>25665</v>
      </c>
      <c r="C981" s="153" t="s">
        <v>296</v>
      </c>
      <c r="D981" s="178">
        <v>950.6</v>
      </c>
      <c r="E981" s="155">
        <v>44783</v>
      </c>
      <c r="F981" s="178">
        <v>950.6</v>
      </c>
      <c r="G981" s="179">
        <f>Tabla19[[#This Row],[Importe]]-Tabla19[[#This Row],[Pagado]]</f>
        <v>0</v>
      </c>
      <c r="H981" s="153" t="s">
        <v>10</v>
      </c>
    </row>
    <row r="982" spans="1:8" x14ac:dyDescent="0.25">
      <c r="A982" s="73">
        <v>44783</v>
      </c>
      <c r="B982" s="74" t="s">
        <v>25666</v>
      </c>
      <c r="C982" s="75" t="s">
        <v>5694</v>
      </c>
      <c r="D982" s="176">
        <v>3540</v>
      </c>
      <c r="E982" s="151">
        <v>44783</v>
      </c>
      <c r="F982" s="176">
        <v>3540</v>
      </c>
      <c r="G982" s="177">
        <f>Tabla19[[#This Row],[Importe]]-Tabla19[[#This Row],[Pagado]]</f>
        <v>0</v>
      </c>
      <c r="H982" s="75" t="s">
        <v>10</v>
      </c>
    </row>
    <row r="983" spans="1:8" x14ac:dyDescent="0.25">
      <c r="A983" s="148">
        <v>44783</v>
      </c>
      <c r="B983" s="149" t="s">
        <v>25667</v>
      </c>
      <c r="C983" s="153" t="s">
        <v>31</v>
      </c>
      <c r="D983" s="178">
        <v>50</v>
      </c>
      <c r="E983" s="155">
        <v>44783</v>
      </c>
      <c r="F983" s="178">
        <v>50</v>
      </c>
      <c r="G983" s="179">
        <f>Tabla19[[#This Row],[Importe]]-Tabla19[[#This Row],[Pagado]]</f>
        <v>0</v>
      </c>
      <c r="H983" s="153" t="s">
        <v>10</v>
      </c>
    </row>
    <row r="984" spans="1:8" x14ac:dyDescent="0.25">
      <c r="A984" s="73">
        <v>44783</v>
      </c>
      <c r="B984" s="74" t="s">
        <v>25668</v>
      </c>
      <c r="C984" s="75" t="s">
        <v>31</v>
      </c>
      <c r="D984" s="176">
        <v>2172</v>
      </c>
      <c r="E984" s="151">
        <v>44783</v>
      </c>
      <c r="F984" s="176">
        <v>2172</v>
      </c>
      <c r="G984" s="177">
        <f>Tabla19[[#This Row],[Importe]]-Tabla19[[#This Row],[Pagado]]</f>
        <v>0</v>
      </c>
      <c r="H984" s="75" t="s">
        <v>10</v>
      </c>
    </row>
    <row r="985" spans="1:8" x14ac:dyDescent="0.25">
      <c r="A985" s="148">
        <v>44783</v>
      </c>
      <c r="B985" s="149" t="s">
        <v>25669</v>
      </c>
      <c r="C985" s="153" t="s">
        <v>56</v>
      </c>
      <c r="D985" s="178">
        <v>3885.9</v>
      </c>
      <c r="E985" s="155">
        <v>44783</v>
      </c>
      <c r="F985" s="178">
        <v>3885.9</v>
      </c>
      <c r="G985" s="179">
        <f>Tabla19[[#This Row],[Importe]]-Tabla19[[#This Row],[Pagado]]</f>
        <v>0</v>
      </c>
      <c r="H985" s="153" t="s">
        <v>10</v>
      </c>
    </row>
    <row r="986" spans="1:8" x14ac:dyDescent="0.25">
      <c r="A986" s="73">
        <v>44783</v>
      </c>
      <c r="B986" s="74" t="s">
        <v>25670</v>
      </c>
      <c r="C986" s="75" t="s">
        <v>610</v>
      </c>
      <c r="D986" s="176">
        <v>28934</v>
      </c>
      <c r="E986" s="151">
        <v>44783</v>
      </c>
      <c r="F986" s="176">
        <v>28934</v>
      </c>
      <c r="G986" s="177">
        <f>Tabla19[[#This Row],[Importe]]-Tabla19[[#This Row],[Pagado]]</f>
        <v>0</v>
      </c>
      <c r="H986" s="75" t="s">
        <v>10</v>
      </c>
    </row>
    <row r="987" spans="1:8" x14ac:dyDescent="0.25">
      <c r="A987" s="148">
        <v>44783</v>
      </c>
      <c r="B987" s="149" t="s">
        <v>25671</v>
      </c>
      <c r="C987" s="153" t="s">
        <v>95</v>
      </c>
      <c r="D987" s="178">
        <v>30435.7</v>
      </c>
      <c r="E987" s="155">
        <v>44783</v>
      </c>
      <c r="F987" s="178">
        <v>30435.7</v>
      </c>
      <c r="G987" s="179">
        <f>Tabla19[[#This Row],[Importe]]-Tabla19[[#This Row],[Pagado]]</f>
        <v>0</v>
      </c>
      <c r="H987" s="153" t="s">
        <v>10</v>
      </c>
    </row>
    <row r="988" spans="1:8" x14ac:dyDescent="0.25">
      <c r="A988" s="73">
        <v>44783</v>
      </c>
      <c r="B988" s="74" t="s">
        <v>25672</v>
      </c>
      <c r="C988" s="75" t="s">
        <v>10819</v>
      </c>
      <c r="D988" s="176">
        <v>1743.2</v>
      </c>
      <c r="E988" s="151">
        <v>44784</v>
      </c>
      <c r="F988" s="176">
        <v>1743.2</v>
      </c>
      <c r="G988" s="177">
        <f>Tabla19[[#This Row],[Importe]]-Tabla19[[#This Row],[Pagado]]</f>
        <v>0</v>
      </c>
      <c r="H988" s="75" t="s">
        <v>10</v>
      </c>
    </row>
    <row r="989" spans="1:8" x14ac:dyDescent="0.25">
      <c r="A989" s="148">
        <v>44783</v>
      </c>
      <c r="B989" s="149" t="s">
        <v>25673</v>
      </c>
      <c r="C989" s="153" t="s">
        <v>5345</v>
      </c>
      <c r="D989" s="178">
        <v>4143.6000000000004</v>
      </c>
      <c r="E989" s="155">
        <v>44784</v>
      </c>
      <c r="F989" s="178">
        <v>4143.6000000000004</v>
      </c>
      <c r="G989" s="179">
        <f>Tabla19[[#This Row],[Importe]]-Tabla19[[#This Row],[Pagado]]</f>
        <v>0</v>
      </c>
      <c r="H989" s="153" t="s">
        <v>10</v>
      </c>
    </row>
    <row r="990" spans="1:8" x14ac:dyDescent="0.25">
      <c r="A990" s="73">
        <v>44783</v>
      </c>
      <c r="B990" s="74" t="s">
        <v>25674</v>
      </c>
      <c r="C990" s="75" t="s">
        <v>280</v>
      </c>
      <c r="D990" s="176">
        <v>814.8</v>
      </c>
      <c r="E990" s="151">
        <v>44784</v>
      </c>
      <c r="F990" s="176">
        <v>814.8</v>
      </c>
      <c r="G990" s="177">
        <f>Tabla19[[#This Row],[Importe]]-Tabla19[[#This Row],[Pagado]]</f>
        <v>0</v>
      </c>
      <c r="H990" s="75" t="s">
        <v>10</v>
      </c>
    </row>
    <row r="991" spans="1:8" x14ac:dyDescent="0.25">
      <c r="A991" s="148">
        <v>44783</v>
      </c>
      <c r="B991" s="149" t="s">
        <v>25675</v>
      </c>
      <c r="C991" s="153" t="s">
        <v>284</v>
      </c>
      <c r="D991" s="178">
        <v>8458.7999999999993</v>
      </c>
      <c r="E991" s="155">
        <v>44784</v>
      </c>
      <c r="F991" s="178">
        <v>8458.7999999999993</v>
      </c>
      <c r="G991" s="179">
        <f>Tabla19[[#This Row],[Importe]]-Tabla19[[#This Row],[Pagado]]</f>
        <v>0</v>
      </c>
      <c r="H991" s="153" t="s">
        <v>10</v>
      </c>
    </row>
    <row r="992" spans="1:8" x14ac:dyDescent="0.25">
      <c r="A992" s="73">
        <v>44783</v>
      </c>
      <c r="B992" s="74" t="s">
        <v>25676</v>
      </c>
      <c r="C992" s="75" t="s">
        <v>282</v>
      </c>
      <c r="D992" s="176">
        <v>1881.6</v>
      </c>
      <c r="E992" s="151">
        <v>44784</v>
      </c>
      <c r="F992" s="176">
        <v>1881.6</v>
      </c>
      <c r="G992" s="177">
        <f>Tabla19[[#This Row],[Importe]]-Tabla19[[#This Row],[Pagado]]</f>
        <v>0</v>
      </c>
      <c r="H992" s="75" t="s">
        <v>10</v>
      </c>
    </row>
    <row r="993" spans="1:8" x14ac:dyDescent="0.25">
      <c r="A993" s="148">
        <v>44783</v>
      </c>
      <c r="B993" s="149" t="s">
        <v>25677</v>
      </c>
      <c r="C993" s="153" t="s">
        <v>12</v>
      </c>
      <c r="D993" s="178">
        <v>1432</v>
      </c>
      <c r="E993" s="155">
        <v>44784</v>
      </c>
      <c r="F993" s="178">
        <v>1432</v>
      </c>
      <c r="G993" s="179">
        <f>Tabla19[[#This Row],[Importe]]-Tabla19[[#This Row],[Pagado]]</f>
        <v>0</v>
      </c>
      <c r="H993" s="153" t="s">
        <v>10</v>
      </c>
    </row>
    <row r="994" spans="1:8" x14ac:dyDescent="0.25">
      <c r="A994" s="73">
        <v>44783</v>
      </c>
      <c r="B994" s="74" t="s">
        <v>25678</v>
      </c>
      <c r="C994" s="75" t="s">
        <v>31</v>
      </c>
      <c r="D994" s="176">
        <v>97.5</v>
      </c>
      <c r="E994" s="151">
        <v>44784</v>
      </c>
      <c r="F994" s="176">
        <v>97.5</v>
      </c>
      <c r="G994" s="177">
        <f>Tabla19[[#This Row],[Importe]]-Tabla19[[#This Row],[Pagado]]</f>
        <v>0</v>
      </c>
      <c r="H994" s="75" t="s">
        <v>10</v>
      </c>
    </row>
    <row r="995" spans="1:8" x14ac:dyDescent="0.25">
      <c r="A995" s="148">
        <v>44783</v>
      </c>
      <c r="B995" s="149" t="s">
        <v>25679</v>
      </c>
      <c r="C995" s="153" t="s">
        <v>31</v>
      </c>
      <c r="D995" s="178">
        <v>3120</v>
      </c>
      <c r="E995" s="155">
        <v>44784</v>
      </c>
      <c r="F995" s="178">
        <v>3120</v>
      </c>
      <c r="G995" s="179">
        <f>Tabla19[[#This Row],[Importe]]-Tabla19[[#This Row],[Pagado]]</f>
        <v>0</v>
      </c>
      <c r="H995" s="153" t="s">
        <v>10</v>
      </c>
    </row>
    <row r="996" spans="1:8" x14ac:dyDescent="0.25">
      <c r="A996" s="73">
        <v>44783</v>
      </c>
      <c r="B996" s="74" t="s">
        <v>25680</v>
      </c>
      <c r="C996" s="75" t="s">
        <v>25681</v>
      </c>
      <c r="D996" s="176">
        <v>0</v>
      </c>
      <c r="E996" s="157" t="s">
        <v>189</v>
      </c>
      <c r="F996" s="176">
        <v>0</v>
      </c>
      <c r="G996" s="177">
        <f>Tabla19[[#This Row],[Importe]]-Tabla19[[#This Row],[Pagado]]</f>
        <v>0</v>
      </c>
      <c r="H996" s="161" t="s">
        <v>25682</v>
      </c>
    </row>
    <row r="997" spans="1:8" x14ac:dyDescent="0.25">
      <c r="A997" s="148">
        <v>44783</v>
      </c>
      <c r="B997" s="149" t="s">
        <v>25683</v>
      </c>
      <c r="C997" s="153" t="s">
        <v>402</v>
      </c>
      <c r="D997" s="178">
        <v>20732.7</v>
      </c>
      <c r="E997" s="155">
        <v>44789</v>
      </c>
      <c r="F997" s="178">
        <v>20732.7</v>
      </c>
      <c r="G997" s="179">
        <f>Tabla19[[#This Row],[Importe]]-Tabla19[[#This Row],[Pagado]]</f>
        <v>0</v>
      </c>
      <c r="H997" s="153" t="s">
        <v>10</v>
      </c>
    </row>
    <row r="998" spans="1:8" x14ac:dyDescent="0.25">
      <c r="A998" s="73">
        <v>44783</v>
      </c>
      <c r="B998" s="74" t="s">
        <v>25684</v>
      </c>
      <c r="C998" s="75" t="s">
        <v>4027</v>
      </c>
      <c r="D998" s="176">
        <v>430</v>
      </c>
      <c r="E998" s="151">
        <v>44784</v>
      </c>
      <c r="F998" s="176">
        <v>430</v>
      </c>
      <c r="G998" s="177">
        <f>Tabla19[[#This Row],[Importe]]-Tabla19[[#This Row],[Pagado]]</f>
        <v>0</v>
      </c>
      <c r="H998" s="75" t="s">
        <v>10</v>
      </c>
    </row>
    <row r="999" spans="1:8" x14ac:dyDescent="0.25">
      <c r="A999" s="148">
        <v>44784</v>
      </c>
      <c r="B999" s="149" t="s">
        <v>25685</v>
      </c>
      <c r="C999" s="153" t="s">
        <v>887</v>
      </c>
      <c r="D999" s="178">
        <v>15717</v>
      </c>
      <c r="E999" s="155">
        <v>44784</v>
      </c>
      <c r="F999" s="178">
        <v>15717</v>
      </c>
      <c r="G999" s="179">
        <f>Tabla19[[#This Row],[Importe]]-Tabla19[[#This Row],[Pagado]]</f>
        <v>0</v>
      </c>
      <c r="H999" s="153" t="s">
        <v>10</v>
      </c>
    </row>
    <row r="1000" spans="1:8" x14ac:dyDescent="0.25">
      <c r="A1000" s="73">
        <v>44784</v>
      </c>
      <c r="B1000" s="74" t="s">
        <v>25686</v>
      </c>
      <c r="C1000" s="75" t="s">
        <v>475</v>
      </c>
      <c r="D1000" s="176">
        <v>62175.6</v>
      </c>
      <c r="E1000" s="151">
        <v>44785</v>
      </c>
      <c r="F1000" s="176">
        <v>62175.6</v>
      </c>
      <c r="G1000" s="177">
        <f>Tabla19[[#This Row],[Importe]]-Tabla19[[#This Row],[Pagado]]</f>
        <v>0</v>
      </c>
      <c r="H1000" s="75" t="s">
        <v>10</v>
      </c>
    </row>
    <row r="1001" spans="1:8" x14ac:dyDescent="0.25">
      <c r="A1001" s="148">
        <v>44784</v>
      </c>
      <c r="B1001" s="149" t="s">
        <v>25687</v>
      </c>
      <c r="C1001" s="153" t="s">
        <v>618</v>
      </c>
      <c r="D1001" s="178">
        <v>12890.7</v>
      </c>
      <c r="E1001" s="155">
        <v>44784</v>
      </c>
      <c r="F1001" s="178">
        <v>12890.7</v>
      </c>
      <c r="G1001" s="179">
        <f>Tabla19[[#This Row],[Importe]]-Tabla19[[#This Row],[Pagado]]</f>
        <v>0</v>
      </c>
      <c r="H1001" s="153" t="s">
        <v>10</v>
      </c>
    </row>
    <row r="1002" spans="1:8" x14ac:dyDescent="0.25">
      <c r="A1002" s="73">
        <v>44784</v>
      </c>
      <c r="B1002" s="74" t="s">
        <v>25688</v>
      </c>
      <c r="C1002" s="75" t="s">
        <v>75</v>
      </c>
      <c r="D1002" s="176">
        <v>10197.6</v>
      </c>
      <c r="E1002" s="151">
        <v>44784</v>
      </c>
      <c r="F1002" s="176">
        <v>10197.6</v>
      </c>
      <c r="G1002" s="177">
        <f>Tabla19[[#This Row],[Importe]]-Tabla19[[#This Row],[Pagado]]</f>
        <v>0</v>
      </c>
      <c r="H1002" s="75" t="s">
        <v>10</v>
      </c>
    </row>
    <row r="1003" spans="1:8" x14ac:dyDescent="0.25">
      <c r="A1003" s="148">
        <v>44784</v>
      </c>
      <c r="B1003" s="149" t="s">
        <v>25689</v>
      </c>
      <c r="C1003" s="153" t="s">
        <v>275</v>
      </c>
      <c r="D1003" s="178">
        <v>14001.4</v>
      </c>
      <c r="E1003" s="155" t="s">
        <v>25549</v>
      </c>
      <c r="F1003" s="178">
        <v>14001.4</v>
      </c>
      <c r="G1003" s="179">
        <f>Tabla19[[#This Row],[Importe]]-Tabla19[[#This Row],[Pagado]]</f>
        <v>0</v>
      </c>
      <c r="H1003" s="153" t="s">
        <v>10</v>
      </c>
    </row>
    <row r="1004" spans="1:8" x14ac:dyDescent="0.25">
      <c r="A1004" s="73">
        <v>44784</v>
      </c>
      <c r="B1004" s="74" t="s">
        <v>25690</v>
      </c>
      <c r="C1004" s="75" t="s">
        <v>89</v>
      </c>
      <c r="D1004" s="176">
        <v>13607.7</v>
      </c>
      <c r="E1004" s="151">
        <v>44785</v>
      </c>
      <c r="F1004" s="176">
        <v>13607.7</v>
      </c>
      <c r="G1004" s="177">
        <f>Tabla19[[#This Row],[Importe]]-Tabla19[[#This Row],[Pagado]]</f>
        <v>0</v>
      </c>
      <c r="H1004" s="75" t="s">
        <v>10</v>
      </c>
    </row>
    <row r="1005" spans="1:8" x14ac:dyDescent="0.25">
      <c r="A1005" s="148">
        <v>44784</v>
      </c>
      <c r="B1005" s="149" t="s">
        <v>25691</v>
      </c>
      <c r="C1005" s="153" t="s">
        <v>12</v>
      </c>
      <c r="D1005" s="178">
        <v>14637</v>
      </c>
      <c r="E1005" s="155">
        <v>44784</v>
      </c>
      <c r="F1005" s="178">
        <v>14637</v>
      </c>
      <c r="G1005" s="179">
        <f>Tabla19[[#This Row],[Importe]]-Tabla19[[#This Row],[Pagado]]</f>
        <v>0</v>
      </c>
      <c r="H1005" s="153" t="s">
        <v>10</v>
      </c>
    </row>
    <row r="1006" spans="1:8" x14ac:dyDescent="0.25">
      <c r="A1006" s="73">
        <v>44784</v>
      </c>
      <c r="B1006" s="74" t="s">
        <v>25692</v>
      </c>
      <c r="C1006" s="75" t="s">
        <v>114</v>
      </c>
      <c r="D1006" s="176">
        <v>5418</v>
      </c>
      <c r="E1006" s="151">
        <v>44785</v>
      </c>
      <c r="F1006" s="176">
        <v>5418</v>
      </c>
      <c r="G1006" s="177">
        <f>Tabla19[[#This Row],[Importe]]-Tabla19[[#This Row],[Pagado]]</f>
        <v>0</v>
      </c>
      <c r="H1006" s="75" t="s">
        <v>10</v>
      </c>
    </row>
    <row r="1007" spans="1:8" x14ac:dyDescent="0.25">
      <c r="A1007" s="148">
        <v>44784</v>
      </c>
      <c r="B1007" s="149" t="s">
        <v>25693</v>
      </c>
      <c r="C1007" s="153" t="s">
        <v>64</v>
      </c>
      <c r="D1007" s="178">
        <v>5115.5</v>
      </c>
      <c r="E1007" s="155">
        <v>44785</v>
      </c>
      <c r="F1007" s="178">
        <v>5115.5</v>
      </c>
      <c r="G1007" s="179">
        <f>Tabla19[[#This Row],[Importe]]-Tabla19[[#This Row],[Pagado]]</f>
        <v>0</v>
      </c>
      <c r="H1007" s="153" t="s">
        <v>10</v>
      </c>
    </row>
    <row r="1008" spans="1:8" x14ac:dyDescent="0.25">
      <c r="A1008" s="73">
        <v>44784</v>
      </c>
      <c r="B1008" s="74" t="s">
        <v>25694</v>
      </c>
      <c r="C1008" s="75" t="s">
        <v>111</v>
      </c>
      <c r="D1008" s="176">
        <v>5594.4</v>
      </c>
      <c r="E1008" s="151">
        <v>44785</v>
      </c>
      <c r="F1008" s="176">
        <v>5594.4</v>
      </c>
      <c r="G1008" s="177">
        <f>Tabla19[[#This Row],[Importe]]-Tabla19[[#This Row],[Pagado]]</f>
        <v>0</v>
      </c>
      <c r="H1008" s="75" t="s">
        <v>10</v>
      </c>
    </row>
    <row r="1009" spans="1:8" ht="31.5" x14ac:dyDescent="0.25">
      <c r="A1009" s="148">
        <v>44784</v>
      </c>
      <c r="B1009" s="149" t="s">
        <v>25695</v>
      </c>
      <c r="C1009" s="153" t="s">
        <v>93</v>
      </c>
      <c r="D1009" s="178">
        <v>8534.7999999999993</v>
      </c>
      <c r="E1009" s="150" t="s">
        <v>25696</v>
      </c>
      <c r="F1009" s="178">
        <f>5000+3534.8</f>
        <v>8534.7999999999993</v>
      </c>
      <c r="G1009" s="179">
        <f>Tabla19[[#This Row],[Importe]]-Tabla19[[#This Row],[Pagado]]</f>
        <v>0</v>
      </c>
      <c r="H1009" s="153" t="s">
        <v>10</v>
      </c>
    </row>
    <row r="1010" spans="1:8" x14ac:dyDescent="0.25">
      <c r="A1010" s="73">
        <v>44784</v>
      </c>
      <c r="B1010" s="74" t="s">
        <v>25697</v>
      </c>
      <c r="C1010" s="75" t="s">
        <v>10742</v>
      </c>
      <c r="D1010" s="176">
        <v>5635.5</v>
      </c>
      <c r="E1010" s="151">
        <v>44786</v>
      </c>
      <c r="F1010" s="176">
        <v>5635.5</v>
      </c>
      <c r="G1010" s="177">
        <f>Tabla19[[#This Row],[Importe]]-Tabla19[[#This Row],[Pagado]]</f>
        <v>0</v>
      </c>
      <c r="H1010" s="75" t="s">
        <v>10</v>
      </c>
    </row>
    <row r="1011" spans="1:8" x14ac:dyDescent="0.25">
      <c r="A1011" s="148">
        <v>44784</v>
      </c>
      <c r="B1011" s="149" t="s">
        <v>25698</v>
      </c>
      <c r="C1011" s="153" t="s">
        <v>105</v>
      </c>
      <c r="D1011" s="178">
        <v>8158.7</v>
      </c>
      <c r="E1011" s="155">
        <v>44785</v>
      </c>
      <c r="F1011" s="178">
        <v>8158.7</v>
      </c>
      <c r="G1011" s="179">
        <f>Tabla19[[#This Row],[Importe]]-Tabla19[[#This Row],[Pagado]]</f>
        <v>0</v>
      </c>
      <c r="H1011" s="153" t="s">
        <v>10</v>
      </c>
    </row>
    <row r="1012" spans="1:8" x14ac:dyDescent="0.25">
      <c r="A1012" s="73">
        <v>44784</v>
      </c>
      <c r="B1012" s="74" t="s">
        <v>25699</v>
      </c>
      <c r="C1012" s="75" t="s">
        <v>348</v>
      </c>
      <c r="D1012" s="176">
        <v>2264.6</v>
      </c>
      <c r="E1012" s="151">
        <v>44784</v>
      </c>
      <c r="F1012" s="176">
        <v>2264.6</v>
      </c>
      <c r="G1012" s="177">
        <f>Tabla19[[#This Row],[Importe]]-Tabla19[[#This Row],[Pagado]]</f>
        <v>0</v>
      </c>
      <c r="H1012" s="75" t="s">
        <v>10</v>
      </c>
    </row>
    <row r="1013" spans="1:8" x14ac:dyDescent="0.25">
      <c r="A1013" s="148">
        <v>44784</v>
      </c>
      <c r="B1013" s="149" t="s">
        <v>25700</v>
      </c>
      <c r="C1013" s="153" t="s">
        <v>2151</v>
      </c>
      <c r="D1013" s="178">
        <v>19259.8</v>
      </c>
      <c r="E1013" s="155">
        <v>44784</v>
      </c>
      <c r="F1013" s="178">
        <v>19259.8</v>
      </c>
      <c r="G1013" s="179">
        <f>Tabla19[[#This Row],[Importe]]-Tabla19[[#This Row],[Pagado]]</f>
        <v>0</v>
      </c>
      <c r="H1013" s="153" t="s">
        <v>10</v>
      </c>
    </row>
    <row r="1014" spans="1:8" x14ac:dyDescent="0.25">
      <c r="A1014" s="73">
        <v>44784</v>
      </c>
      <c r="B1014" s="74" t="s">
        <v>25701</v>
      </c>
      <c r="C1014" s="75" t="s">
        <v>1187</v>
      </c>
      <c r="D1014" s="176">
        <v>2123.9</v>
      </c>
      <c r="E1014" s="151">
        <v>44784</v>
      </c>
      <c r="F1014" s="176">
        <v>2123.9</v>
      </c>
      <c r="G1014" s="177">
        <f>Tabla19[[#This Row],[Importe]]-Tabla19[[#This Row],[Pagado]]</f>
        <v>0</v>
      </c>
      <c r="H1014" s="75" t="s">
        <v>10</v>
      </c>
    </row>
    <row r="1015" spans="1:8" x14ac:dyDescent="0.25">
      <c r="A1015" s="148">
        <v>44784</v>
      </c>
      <c r="B1015" s="149" t="s">
        <v>25702</v>
      </c>
      <c r="C1015" s="153" t="s">
        <v>353</v>
      </c>
      <c r="D1015" s="178">
        <v>1674.8</v>
      </c>
      <c r="E1015" s="155">
        <v>44784</v>
      </c>
      <c r="F1015" s="178">
        <v>1674.8</v>
      </c>
      <c r="G1015" s="179">
        <f>Tabla19[[#This Row],[Importe]]-Tabla19[[#This Row],[Pagado]]</f>
        <v>0</v>
      </c>
      <c r="H1015" s="153" t="s">
        <v>10</v>
      </c>
    </row>
    <row r="1016" spans="1:8" x14ac:dyDescent="0.25">
      <c r="A1016" s="73">
        <v>44784</v>
      </c>
      <c r="B1016" s="74" t="s">
        <v>25703</v>
      </c>
      <c r="C1016" s="75" t="s">
        <v>481</v>
      </c>
      <c r="D1016" s="176">
        <v>937.3</v>
      </c>
      <c r="E1016" s="151">
        <v>44784</v>
      </c>
      <c r="F1016" s="176">
        <v>937.3</v>
      </c>
      <c r="G1016" s="177">
        <f>Tabla19[[#This Row],[Importe]]-Tabla19[[#This Row],[Pagado]]</f>
        <v>0</v>
      </c>
      <c r="H1016" s="75" t="s">
        <v>10</v>
      </c>
    </row>
    <row r="1017" spans="1:8" x14ac:dyDescent="0.25">
      <c r="A1017" s="148">
        <v>44784</v>
      </c>
      <c r="B1017" s="149" t="s">
        <v>25704</v>
      </c>
      <c r="C1017" s="153" t="s">
        <v>24768</v>
      </c>
      <c r="D1017" s="178">
        <v>4917</v>
      </c>
      <c r="E1017" s="155">
        <v>44784</v>
      </c>
      <c r="F1017" s="178">
        <v>4917</v>
      </c>
      <c r="G1017" s="179">
        <f>Tabla19[[#This Row],[Importe]]-Tabla19[[#This Row],[Pagado]]</f>
        <v>0</v>
      </c>
      <c r="H1017" s="153" t="s">
        <v>10</v>
      </c>
    </row>
    <row r="1018" spans="1:8" x14ac:dyDescent="0.25">
      <c r="A1018" s="73">
        <v>44784</v>
      </c>
      <c r="B1018" s="74" t="s">
        <v>25705</v>
      </c>
      <c r="C1018" s="75" t="s">
        <v>484</v>
      </c>
      <c r="D1018" s="176">
        <v>5237.2</v>
      </c>
      <c r="E1018" s="151">
        <v>44784</v>
      </c>
      <c r="F1018" s="176">
        <v>5237.2</v>
      </c>
      <c r="G1018" s="177">
        <f>Tabla19[[#This Row],[Importe]]-Tabla19[[#This Row],[Pagado]]</f>
        <v>0</v>
      </c>
      <c r="H1018" s="75" t="s">
        <v>10</v>
      </c>
    </row>
    <row r="1019" spans="1:8" x14ac:dyDescent="0.25">
      <c r="A1019" s="148">
        <v>44784</v>
      </c>
      <c r="B1019" s="149" t="s">
        <v>25706</v>
      </c>
      <c r="C1019" s="153" t="s">
        <v>9</v>
      </c>
      <c r="D1019" s="178">
        <v>9476.7999999999993</v>
      </c>
      <c r="E1019" s="155">
        <v>44784</v>
      </c>
      <c r="F1019" s="178">
        <v>9476.7999999999993</v>
      </c>
      <c r="G1019" s="179">
        <f>Tabla19[[#This Row],[Importe]]-Tabla19[[#This Row],[Pagado]]</f>
        <v>0</v>
      </c>
      <c r="H1019" s="153" t="s">
        <v>10</v>
      </c>
    </row>
    <row r="1020" spans="1:8" x14ac:dyDescent="0.25">
      <c r="A1020" s="73">
        <v>44784</v>
      </c>
      <c r="B1020" s="74" t="s">
        <v>25707</v>
      </c>
      <c r="C1020" s="75" t="s">
        <v>924</v>
      </c>
      <c r="D1020" s="176">
        <v>4141.2</v>
      </c>
      <c r="E1020" s="151">
        <v>44784</v>
      </c>
      <c r="F1020" s="176">
        <v>4141.2</v>
      </c>
      <c r="G1020" s="177">
        <f>Tabla19[[#This Row],[Importe]]-Tabla19[[#This Row],[Pagado]]</f>
        <v>0</v>
      </c>
      <c r="H1020" s="75" t="s">
        <v>10</v>
      </c>
    </row>
    <row r="1021" spans="1:8" x14ac:dyDescent="0.25">
      <c r="A1021" s="148">
        <v>44784</v>
      </c>
      <c r="B1021" s="149" t="s">
        <v>25708</v>
      </c>
      <c r="C1021" s="153" t="s">
        <v>161</v>
      </c>
      <c r="D1021" s="178">
        <v>4417.8</v>
      </c>
      <c r="E1021" s="155">
        <v>44784</v>
      </c>
      <c r="F1021" s="178">
        <v>4417.8</v>
      </c>
      <c r="G1021" s="179">
        <f>Tabla19[[#This Row],[Importe]]-Tabla19[[#This Row],[Pagado]]</f>
        <v>0</v>
      </c>
      <c r="H1021" s="153" t="s">
        <v>10</v>
      </c>
    </row>
    <row r="1022" spans="1:8" x14ac:dyDescent="0.25">
      <c r="A1022" s="73">
        <v>44784</v>
      </c>
      <c r="B1022" s="74" t="s">
        <v>25709</v>
      </c>
      <c r="C1022" s="75" t="s">
        <v>196</v>
      </c>
      <c r="D1022" s="176">
        <v>100230.24</v>
      </c>
      <c r="E1022" s="151">
        <v>44786</v>
      </c>
      <c r="F1022" s="176">
        <v>100230.24</v>
      </c>
      <c r="G1022" s="177">
        <f>Tabla19[[#This Row],[Importe]]-Tabla19[[#This Row],[Pagado]]</f>
        <v>0</v>
      </c>
      <c r="H1022" s="75" t="s">
        <v>10</v>
      </c>
    </row>
    <row r="1023" spans="1:8" x14ac:dyDescent="0.25">
      <c r="A1023" s="148">
        <v>44784</v>
      </c>
      <c r="B1023" s="149" t="s">
        <v>25710</v>
      </c>
      <c r="C1023" s="153" t="s">
        <v>131</v>
      </c>
      <c r="D1023" s="178">
        <v>1750</v>
      </c>
      <c r="E1023" s="155">
        <v>44784</v>
      </c>
      <c r="F1023" s="178">
        <v>1750</v>
      </c>
      <c r="G1023" s="179">
        <f>Tabla19[[#This Row],[Importe]]-Tabla19[[#This Row],[Pagado]]</f>
        <v>0</v>
      </c>
      <c r="H1023" s="153" t="s">
        <v>10</v>
      </c>
    </row>
    <row r="1024" spans="1:8" x14ac:dyDescent="0.25">
      <c r="A1024" s="73">
        <v>44784</v>
      </c>
      <c r="B1024" s="74" t="s">
        <v>25711</v>
      </c>
      <c r="C1024" s="75" t="s">
        <v>11033</v>
      </c>
      <c r="D1024" s="176">
        <v>2125.1</v>
      </c>
      <c r="E1024" s="151">
        <v>44784</v>
      </c>
      <c r="F1024" s="176">
        <v>2125.1</v>
      </c>
      <c r="G1024" s="177">
        <f>Tabla19[[#This Row],[Importe]]-Tabla19[[#This Row],[Pagado]]</f>
        <v>0</v>
      </c>
      <c r="H1024" s="75" t="s">
        <v>10</v>
      </c>
    </row>
    <row r="1025" spans="1:8" x14ac:dyDescent="0.25">
      <c r="A1025" s="148">
        <v>44784</v>
      </c>
      <c r="B1025" s="149" t="s">
        <v>25712</v>
      </c>
      <c r="C1025" s="153" t="s">
        <v>79</v>
      </c>
      <c r="D1025" s="178">
        <v>13216.8</v>
      </c>
      <c r="E1025" s="155">
        <v>44784</v>
      </c>
      <c r="F1025" s="178">
        <v>13216.8</v>
      </c>
      <c r="G1025" s="179">
        <f>Tabla19[[#This Row],[Importe]]-Tabla19[[#This Row],[Pagado]]</f>
        <v>0</v>
      </c>
      <c r="H1025" s="153" t="s">
        <v>10</v>
      </c>
    </row>
    <row r="1026" spans="1:8" x14ac:dyDescent="0.25">
      <c r="A1026" s="73">
        <v>44784</v>
      </c>
      <c r="B1026" s="74" t="s">
        <v>25713</v>
      </c>
      <c r="C1026" s="75" t="s">
        <v>83</v>
      </c>
      <c r="D1026" s="176">
        <v>5804</v>
      </c>
      <c r="E1026" s="151">
        <v>44784</v>
      </c>
      <c r="F1026" s="176">
        <v>5804</v>
      </c>
      <c r="G1026" s="177">
        <f>Tabla19[[#This Row],[Importe]]-Tabla19[[#This Row],[Pagado]]</f>
        <v>0</v>
      </c>
      <c r="H1026" s="75" t="s">
        <v>10</v>
      </c>
    </row>
    <row r="1027" spans="1:8" x14ac:dyDescent="0.25">
      <c r="A1027" s="148">
        <v>44784</v>
      </c>
      <c r="B1027" s="149" t="s">
        <v>25714</v>
      </c>
      <c r="C1027" s="153" t="s">
        <v>146</v>
      </c>
      <c r="D1027" s="178">
        <v>5572.8</v>
      </c>
      <c r="E1027" s="155">
        <v>44784</v>
      </c>
      <c r="F1027" s="178">
        <v>5572.8</v>
      </c>
      <c r="G1027" s="179">
        <f>Tabla19[[#This Row],[Importe]]-Tabla19[[#This Row],[Pagado]]</f>
        <v>0</v>
      </c>
      <c r="H1027" s="153" t="s">
        <v>10</v>
      </c>
    </row>
    <row r="1028" spans="1:8" x14ac:dyDescent="0.25">
      <c r="A1028" s="73">
        <v>44784</v>
      </c>
      <c r="B1028" s="74" t="s">
        <v>25715</v>
      </c>
      <c r="C1028" s="75" t="s">
        <v>357</v>
      </c>
      <c r="D1028" s="176">
        <v>1445</v>
      </c>
      <c r="E1028" s="151">
        <v>44784</v>
      </c>
      <c r="F1028" s="176">
        <v>1445</v>
      </c>
      <c r="G1028" s="177">
        <f>Tabla19[[#This Row],[Importe]]-Tabla19[[#This Row],[Pagado]]</f>
        <v>0</v>
      </c>
      <c r="H1028" s="75" t="s">
        <v>10</v>
      </c>
    </row>
    <row r="1029" spans="1:8" ht="31.5" x14ac:dyDescent="0.25">
      <c r="A1029" s="148">
        <v>44784</v>
      </c>
      <c r="B1029" s="149" t="s">
        <v>25716</v>
      </c>
      <c r="C1029" s="153" t="s">
        <v>22</v>
      </c>
      <c r="D1029" s="178">
        <v>71751.5</v>
      </c>
      <c r="E1029" s="150" t="s">
        <v>25696</v>
      </c>
      <c r="F1029" s="178">
        <f>50000+21751.5</f>
        <v>71751.5</v>
      </c>
      <c r="G1029" s="179">
        <f>Tabla19[[#This Row],[Importe]]-Tabla19[[#This Row],[Pagado]]</f>
        <v>0</v>
      </c>
      <c r="H1029" s="153" t="s">
        <v>10</v>
      </c>
    </row>
    <row r="1030" spans="1:8" x14ac:dyDescent="0.25">
      <c r="A1030" s="73">
        <v>44784</v>
      </c>
      <c r="B1030" s="74" t="s">
        <v>25717</v>
      </c>
      <c r="C1030" s="75" t="s">
        <v>140</v>
      </c>
      <c r="D1030" s="176">
        <v>1249.5</v>
      </c>
      <c r="E1030" s="151">
        <v>44784</v>
      </c>
      <c r="F1030" s="176">
        <v>1249.5</v>
      </c>
      <c r="G1030" s="177">
        <f>Tabla19[[#This Row],[Importe]]-Tabla19[[#This Row],[Pagado]]</f>
        <v>0</v>
      </c>
      <c r="H1030" s="75" t="s">
        <v>10</v>
      </c>
    </row>
    <row r="1031" spans="1:8" x14ac:dyDescent="0.25">
      <c r="A1031" s="148">
        <v>44784</v>
      </c>
      <c r="B1031" s="149" t="s">
        <v>25718</v>
      </c>
      <c r="C1031" s="153" t="s">
        <v>87</v>
      </c>
      <c r="D1031" s="178">
        <v>3719.6</v>
      </c>
      <c r="E1031" s="155">
        <v>44784</v>
      </c>
      <c r="F1031" s="178">
        <v>3719.6</v>
      </c>
      <c r="G1031" s="179">
        <f>Tabla19[[#This Row],[Importe]]-Tabla19[[#This Row],[Pagado]]</f>
        <v>0</v>
      </c>
      <c r="H1031" s="153" t="s">
        <v>10</v>
      </c>
    </row>
    <row r="1032" spans="1:8" x14ac:dyDescent="0.25">
      <c r="A1032" s="73">
        <v>44784</v>
      </c>
      <c r="B1032" s="74" t="s">
        <v>25719</v>
      </c>
      <c r="C1032" s="75" t="s">
        <v>3687</v>
      </c>
      <c r="D1032" s="176">
        <v>0</v>
      </c>
      <c r="E1032" s="157" t="s">
        <v>189</v>
      </c>
      <c r="F1032" s="176">
        <v>0</v>
      </c>
      <c r="G1032" s="177">
        <f>Tabla19[[#This Row],[Importe]]-Tabla19[[#This Row],[Pagado]]</f>
        <v>0</v>
      </c>
      <c r="H1032" s="161" t="s">
        <v>25720</v>
      </c>
    </row>
    <row r="1033" spans="1:8" x14ac:dyDescent="0.25">
      <c r="A1033" s="148">
        <v>44784</v>
      </c>
      <c r="B1033" s="149" t="s">
        <v>25721</v>
      </c>
      <c r="C1033" s="153" t="s">
        <v>25722</v>
      </c>
      <c r="D1033" s="178">
        <v>0</v>
      </c>
      <c r="E1033" s="158" t="s">
        <v>189</v>
      </c>
      <c r="F1033" s="178">
        <v>0</v>
      </c>
      <c r="G1033" s="179">
        <f>Tabla19[[#This Row],[Importe]]-Tabla19[[#This Row],[Pagado]]</f>
        <v>0</v>
      </c>
      <c r="H1033" s="159" t="s">
        <v>25723</v>
      </c>
    </row>
    <row r="1034" spans="1:8" x14ac:dyDescent="0.25">
      <c r="A1034" s="73">
        <v>44784</v>
      </c>
      <c r="B1034" s="74" t="s">
        <v>25724</v>
      </c>
      <c r="C1034" s="75" t="s">
        <v>45</v>
      </c>
      <c r="D1034" s="176">
        <v>14769.4</v>
      </c>
      <c r="E1034" s="151">
        <v>44784</v>
      </c>
      <c r="F1034" s="176">
        <v>14769.4</v>
      </c>
      <c r="G1034" s="177">
        <f>Tabla19[[#This Row],[Importe]]-Tabla19[[#This Row],[Pagado]]</f>
        <v>0</v>
      </c>
      <c r="H1034" s="75" t="s">
        <v>10</v>
      </c>
    </row>
    <row r="1035" spans="1:8" x14ac:dyDescent="0.25">
      <c r="A1035" s="148">
        <v>44784</v>
      </c>
      <c r="B1035" s="149" t="s">
        <v>25725</v>
      </c>
      <c r="C1035" s="153" t="s">
        <v>214</v>
      </c>
      <c r="D1035" s="178">
        <v>168.5</v>
      </c>
      <c r="E1035" s="155">
        <v>44784</v>
      </c>
      <c r="F1035" s="178">
        <v>168.5</v>
      </c>
      <c r="G1035" s="179">
        <f>Tabla19[[#This Row],[Importe]]-Tabla19[[#This Row],[Pagado]]</f>
        <v>0</v>
      </c>
      <c r="H1035" s="153" t="s">
        <v>10</v>
      </c>
    </row>
    <row r="1036" spans="1:8" x14ac:dyDescent="0.25">
      <c r="A1036" s="73">
        <v>44784</v>
      </c>
      <c r="B1036" s="74" t="s">
        <v>25726</v>
      </c>
      <c r="C1036" s="75" t="s">
        <v>25727</v>
      </c>
      <c r="D1036" s="176">
        <v>0</v>
      </c>
      <c r="E1036" s="157" t="s">
        <v>189</v>
      </c>
      <c r="F1036" s="176">
        <v>0</v>
      </c>
      <c r="G1036" s="177">
        <f>Tabla19[[#This Row],[Importe]]-Tabla19[[#This Row],[Pagado]]</f>
        <v>0</v>
      </c>
      <c r="H1036" s="161" t="s">
        <v>25728</v>
      </c>
    </row>
    <row r="1037" spans="1:8" x14ac:dyDescent="0.25">
      <c r="A1037" s="148">
        <v>44784</v>
      </c>
      <c r="B1037" s="149" t="s">
        <v>25729</v>
      </c>
      <c r="C1037" s="153" t="s">
        <v>1239</v>
      </c>
      <c r="D1037" s="178">
        <v>13988.8</v>
      </c>
      <c r="E1037" s="155">
        <v>44784</v>
      </c>
      <c r="F1037" s="178">
        <v>13988.8</v>
      </c>
      <c r="G1037" s="179">
        <f>Tabla19[[#This Row],[Importe]]-Tabla19[[#This Row],[Pagado]]</f>
        <v>0</v>
      </c>
      <c r="H1037" s="153" t="s">
        <v>10</v>
      </c>
    </row>
    <row r="1038" spans="1:8" x14ac:dyDescent="0.25">
      <c r="A1038" s="73">
        <v>44784</v>
      </c>
      <c r="B1038" s="74" t="s">
        <v>25730</v>
      </c>
      <c r="C1038" s="75" t="s">
        <v>647</v>
      </c>
      <c r="D1038" s="176">
        <v>6106.4</v>
      </c>
      <c r="E1038" s="151">
        <v>44784</v>
      </c>
      <c r="F1038" s="176">
        <f>2500+3606.4</f>
        <v>6106.4</v>
      </c>
      <c r="G1038" s="177">
        <f>Tabla19[[#This Row],[Importe]]-Tabla19[[#This Row],[Pagado]]</f>
        <v>0</v>
      </c>
      <c r="H1038" s="75" t="s">
        <v>10</v>
      </c>
    </row>
    <row r="1039" spans="1:8" x14ac:dyDescent="0.25">
      <c r="A1039" s="148">
        <v>44784</v>
      </c>
      <c r="B1039" s="149" t="s">
        <v>25731</v>
      </c>
      <c r="C1039" s="153" t="s">
        <v>31</v>
      </c>
      <c r="D1039" s="178">
        <v>876.8</v>
      </c>
      <c r="E1039" s="155">
        <v>44784</v>
      </c>
      <c r="F1039" s="178">
        <v>876.8</v>
      </c>
      <c r="G1039" s="179">
        <f>Tabla19[[#This Row],[Importe]]-Tabla19[[#This Row],[Pagado]]</f>
        <v>0</v>
      </c>
      <c r="H1039" s="153" t="s">
        <v>10</v>
      </c>
    </row>
    <row r="1040" spans="1:8" x14ac:dyDescent="0.25">
      <c r="A1040" s="73">
        <v>44784</v>
      </c>
      <c r="B1040" s="74" t="s">
        <v>25732</v>
      </c>
      <c r="C1040" s="75" t="s">
        <v>815</v>
      </c>
      <c r="D1040" s="176">
        <v>2612.4</v>
      </c>
      <c r="E1040" s="151">
        <v>44784</v>
      </c>
      <c r="F1040" s="176">
        <v>2612.4</v>
      </c>
      <c r="G1040" s="177">
        <f>Tabla19[[#This Row],[Importe]]-Tabla19[[#This Row],[Pagado]]</f>
        <v>0</v>
      </c>
      <c r="H1040" s="75" t="s">
        <v>10</v>
      </c>
    </row>
    <row r="1041" spans="1:8" x14ac:dyDescent="0.25">
      <c r="A1041" s="148">
        <v>44784</v>
      </c>
      <c r="B1041" s="149" t="s">
        <v>25733</v>
      </c>
      <c r="C1041" s="153" t="s">
        <v>815</v>
      </c>
      <c r="D1041" s="178">
        <v>1160</v>
      </c>
      <c r="E1041" s="155">
        <v>44784</v>
      </c>
      <c r="F1041" s="178">
        <v>1160</v>
      </c>
      <c r="G1041" s="179">
        <f>Tabla19[[#This Row],[Importe]]-Tabla19[[#This Row],[Pagado]]</f>
        <v>0</v>
      </c>
      <c r="H1041" s="153" t="s">
        <v>10</v>
      </c>
    </row>
    <row r="1042" spans="1:8" x14ac:dyDescent="0.25">
      <c r="A1042" s="73">
        <v>44784</v>
      </c>
      <c r="B1042" s="74" t="s">
        <v>25734</v>
      </c>
      <c r="C1042" s="75" t="s">
        <v>107</v>
      </c>
      <c r="D1042" s="176">
        <v>10496.5</v>
      </c>
      <c r="E1042" s="151">
        <v>44784</v>
      </c>
      <c r="F1042" s="176">
        <v>10496.5</v>
      </c>
      <c r="G1042" s="177">
        <f>Tabla19[[#This Row],[Importe]]-Tabla19[[#This Row],[Pagado]]</f>
        <v>0</v>
      </c>
      <c r="H1042" s="75" t="s">
        <v>10</v>
      </c>
    </row>
    <row r="1043" spans="1:8" x14ac:dyDescent="0.25">
      <c r="A1043" s="148">
        <v>44784</v>
      </c>
      <c r="B1043" s="149" t="s">
        <v>25735</v>
      </c>
      <c r="C1043" s="153" t="s">
        <v>470</v>
      </c>
      <c r="D1043" s="178">
        <v>15660.4</v>
      </c>
      <c r="E1043" s="155">
        <v>44784</v>
      </c>
      <c r="F1043" s="178">
        <v>15660.4</v>
      </c>
      <c r="G1043" s="179">
        <f>Tabla19[[#This Row],[Importe]]-Tabla19[[#This Row],[Pagado]]</f>
        <v>0</v>
      </c>
      <c r="H1043" s="153" t="s">
        <v>10</v>
      </c>
    </row>
    <row r="1044" spans="1:8" x14ac:dyDescent="0.25">
      <c r="A1044" s="73">
        <v>44784</v>
      </c>
      <c r="B1044" s="74" t="s">
        <v>25736</v>
      </c>
      <c r="C1044" s="75" t="s">
        <v>365</v>
      </c>
      <c r="D1044" s="176">
        <v>975</v>
      </c>
      <c r="E1044" s="151">
        <v>44784</v>
      </c>
      <c r="F1044" s="176">
        <v>975</v>
      </c>
      <c r="G1044" s="177">
        <f>Tabla19[[#This Row],[Importe]]-Tabla19[[#This Row],[Pagado]]</f>
        <v>0</v>
      </c>
      <c r="H1044" s="75" t="s">
        <v>10</v>
      </c>
    </row>
    <row r="1045" spans="1:8" x14ac:dyDescent="0.25">
      <c r="A1045" s="148">
        <v>44784</v>
      </c>
      <c r="B1045" s="149" t="s">
        <v>25737</v>
      </c>
      <c r="C1045" s="153" t="s">
        <v>49</v>
      </c>
      <c r="D1045" s="178">
        <v>5610</v>
      </c>
      <c r="E1045" s="155">
        <v>44784</v>
      </c>
      <c r="F1045" s="178">
        <v>5610</v>
      </c>
      <c r="G1045" s="179">
        <f>Tabla19[[#This Row],[Importe]]-Tabla19[[#This Row],[Pagado]]</f>
        <v>0</v>
      </c>
      <c r="H1045" s="153" t="s">
        <v>10</v>
      </c>
    </row>
    <row r="1046" spans="1:8" x14ac:dyDescent="0.25">
      <c r="A1046" s="73">
        <v>44784</v>
      </c>
      <c r="B1046" s="74" t="s">
        <v>25738</v>
      </c>
      <c r="C1046" s="75" t="s">
        <v>1505</v>
      </c>
      <c r="D1046" s="176">
        <v>7050.1</v>
      </c>
      <c r="E1046" s="151">
        <v>44784</v>
      </c>
      <c r="F1046" s="176">
        <v>7050.1</v>
      </c>
      <c r="G1046" s="177">
        <f>Tabla19[[#This Row],[Importe]]-Tabla19[[#This Row],[Pagado]]</f>
        <v>0</v>
      </c>
      <c r="H1046" s="75" t="s">
        <v>10</v>
      </c>
    </row>
    <row r="1047" spans="1:8" x14ac:dyDescent="0.25">
      <c r="A1047" s="148">
        <v>44784</v>
      </c>
      <c r="B1047" s="149" t="s">
        <v>25739</v>
      </c>
      <c r="C1047" s="153" t="s">
        <v>29</v>
      </c>
      <c r="D1047" s="178">
        <v>2990.4</v>
      </c>
      <c r="E1047" s="155">
        <v>44784</v>
      </c>
      <c r="F1047" s="178">
        <v>2990.4</v>
      </c>
      <c r="G1047" s="179">
        <f>Tabla19[[#This Row],[Importe]]-Tabla19[[#This Row],[Pagado]]</f>
        <v>0</v>
      </c>
      <c r="H1047" s="153" t="s">
        <v>10</v>
      </c>
    </row>
    <row r="1048" spans="1:8" x14ac:dyDescent="0.25">
      <c r="A1048" s="73">
        <v>44784</v>
      </c>
      <c r="B1048" s="74" t="s">
        <v>25740</v>
      </c>
      <c r="C1048" s="75" t="s">
        <v>382</v>
      </c>
      <c r="D1048" s="176">
        <v>4544.3999999999996</v>
      </c>
      <c r="E1048" s="151">
        <v>44784</v>
      </c>
      <c r="F1048" s="176">
        <v>4544.3999999999996</v>
      </c>
      <c r="G1048" s="177">
        <f>Tabla19[[#This Row],[Importe]]-Tabla19[[#This Row],[Pagado]]</f>
        <v>0</v>
      </c>
      <c r="H1048" s="75" t="s">
        <v>10</v>
      </c>
    </row>
    <row r="1049" spans="1:8" x14ac:dyDescent="0.25">
      <c r="A1049" s="148">
        <v>44784</v>
      </c>
      <c r="B1049" s="149" t="s">
        <v>25741</v>
      </c>
      <c r="C1049" s="153" t="s">
        <v>419</v>
      </c>
      <c r="D1049" s="178">
        <v>7581.4</v>
      </c>
      <c r="E1049" s="155">
        <v>44784</v>
      </c>
      <c r="F1049" s="178">
        <v>7581.4</v>
      </c>
      <c r="G1049" s="179">
        <f>Tabla19[[#This Row],[Importe]]-Tabla19[[#This Row],[Pagado]]</f>
        <v>0</v>
      </c>
      <c r="H1049" s="153" t="s">
        <v>10</v>
      </c>
    </row>
    <row r="1050" spans="1:8" x14ac:dyDescent="0.25">
      <c r="A1050" s="73">
        <v>44784</v>
      </c>
      <c r="B1050" s="74" t="s">
        <v>25742</v>
      </c>
      <c r="C1050" s="75" t="s">
        <v>191</v>
      </c>
      <c r="D1050" s="176">
        <v>1840.7</v>
      </c>
      <c r="E1050" s="151">
        <v>44784</v>
      </c>
      <c r="F1050" s="176">
        <v>1840.7</v>
      </c>
      <c r="G1050" s="177">
        <f>Tabla19[[#This Row],[Importe]]-Tabla19[[#This Row],[Pagado]]</f>
        <v>0</v>
      </c>
      <c r="H1050" s="75" t="s">
        <v>10</v>
      </c>
    </row>
    <row r="1051" spans="1:8" x14ac:dyDescent="0.25">
      <c r="A1051" s="148">
        <v>44784</v>
      </c>
      <c r="B1051" s="149" t="s">
        <v>25743</v>
      </c>
      <c r="C1051" s="153" t="s">
        <v>319</v>
      </c>
      <c r="D1051" s="178">
        <v>8983.2999999999993</v>
      </c>
      <c r="E1051" s="155">
        <v>44784</v>
      </c>
      <c r="F1051" s="178">
        <v>8983.2999999999993</v>
      </c>
      <c r="G1051" s="179">
        <f>Tabla19[[#This Row],[Importe]]-Tabla19[[#This Row],[Pagado]]</f>
        <v>0</v>
      </c>
      <c r="H1051" s="153" t="s">
        <v>10</v>
      </c>
    </row>
    <row r="1052" spans="1:8" x14ac:dyDescent="0.25">
      <c r="A1052" s="73">
        <v>44784</v>
      </c>
      <c r="B1052" s="74" t="s">
        <v>25744</v>
      </c>
      <c r="C1052" s="75" t="s">
        <v>934</v>
      </c>
      <c r="D1052" s="176">
        <v>2994</v>
      </c>
      <c r="E1052" s="151">
        <v>44784</v>
      </c>
      <c r="F1052" s="176">
        <v>2994</v>
      </c>
      <c r="G1052" s="177">
        <f>Tabla19[[#This Row],[Importe]]-Tabla19[[#This Row],[Pagado]]</f>
        <v>0</v>
      </c>
      <c r="H1052" s="75" t="s">
        <v>10</v>
      </c>
    </row>
    <row r="1053" spans="1:8" x14ac:dyDescent="0.25">
      <c r="A1053" s="148">
        <v>44784</v>
      </c>
      <c r="B1053" s="149" t="s">
        <v>25745</v>
      </c>
      <c r="C1053" s="153" t="s">
        <v>157</v>
      </c>
      <c r="D1053" s="178">
        <v>7573.3</v>
      </c>
      <c r="E1053" s="155">
        <v>44784</v>
      </c>
      <c r="F1053" s="178">
        <v>7573.3</v>
      </c>
      <c r="G1053" s="179">
        <f>Tabla19[[#This Row],[Importe]]-Tabla19[[#This Row],[Pagado]]</f>
        <v>0</v>
      </c>
      <c r="H1053" s="153" t="s">
        <v>10</v>
      </c>
    </row>
    <row r="1054" spans="1:8" x14ac:dyDescent="0.25">
      <c r="A1054" s="73">
        <v>44784</v>
      </c>
      <c r="B1054" s="74" t="s">
        <v>25746</v>
      </c>
      <c r="C1054" s="75" t="s">
        <v>151</v>
      </c>
      <c r="D1054" s="176">
        <v>15416.7</v>
      </c>
      <c r="E1054" s="151">
        <v>44784</v>
      </c>
      <c r="F1054" s="176">
        <v>15416.7</v>
      </c>
      <c r="G1054" s="177">
        <f>Tabla19[[#This Row],[Importe]]-Tabla19[[#This Row],[Pagado]]</f>
        <v>0</v>
      </c>
      <c r="H1054" s="75" t="s">
        <v>10</v>
      </c>
    </row>
    <row r="1055" spans="1:8" x14ac:dyDescent="0.25">
      <c r="A1055" s="148">
        <v>44784</v>
      </c>
      <c r="B1055" s="149" t="s">
        <v>25747</v>
      </c>
      <c r="C1055" s="153" t="s">
        <v>371</v>
      </c>
      <c r="D1055" s="178">
        <v>1554</v>
      </c>
      <c r="E1055" s="155">
        <v>44784</v>
      </c>
      <c r="F1055" s="178">
        <v>1554</v>
      </c>
      <c r="G1055" s="179">
        <f>Tabla19[[#This Row],[Importe]]-Tabla19[[#This Row],[Pagado]]</f>
        <v>0</v>
      </c>
      <c r="H1055" s="153" t="s">
        <v>10</v>
      </c>
    </row>
    <row r="1056" spans="1:8" x14ac:dyDescent="0.25">
      <c r="A1056" s="73">
        <v>44784</v>
      </c>
      <c r="B1056" s="74" t="s">
        <v>25748</v>
      </c>
      <c r="C1056" s="75" t="s">
        <v>31</v>
      </c>
      <c r="D1056" s="176">
        <v>739.2</v>
      </c>
      <c r="E1056" s="151">
        <v>44784</v>
      </c>
      <c r="F1056" s="176">
        <v>739.2</v>
      </c>
      <c r="G1056" s="177">
        <f>Tabla19[[#This Row],[Importe]]-Tabla19[[#This Row],[Pagado]]</f>
        <v>0</v>
      </c>
      <c r="H1056" s="75" t="s">
        <v>10</v>
      </c>
    </row>
    <row r="1057" spans="1:8" x14ac:dyDescent="0.25">
      <c r="A1057" s="148">
        <v>44784</v>
      </c>
      <c r="B1057" s="149" t="s">
        <v>25749</v>
      </c>
      <c r="C1057" s="153" t="s">
        <v>159</v>
      </c>
      <c r="D1057" s="178">
        <v>2224.4</v>
      </c>
      <c r="E1057" s="155">
        <v>44784</v>
      </c>
      <c r="F1057" s="178">
        <v>2224.4</v>
      </c>
      <c r="G1057" s="179">
        <f>Tabla19[[#This Row],[Importe]]-Tabla19[[#This Row],[Pagado]]</f>
        <v>0</v>
      </c>
      <c r="H1057" s="153" t="s">
        <v>10</v>
      </c>
    </row>
    <row r="1058" spans="1:8" x14ac:dyDescent="0.25">
      <c r="A1058" s="73">
        <v>44784</v>
      </c>
      <c r="B1058" s="74" t="s">
        <v>25750</v>
      </c>
      <c r="C1058" s="75" t="s">
        <v>24</v>
      </c>
      <c r="D1058" s="176">
        <v>573</v>
      </c>
      <c r="E1058" s="151">
        <v>44784</v>
      </c>
      <c r="F1058" s="176">
        <v>573</v>
      </c>
      <c r="G1058" s="177">
        <f>Tabla19[[#This Row],[Importe]]-Tabla19[[#This Row],[Pagado]]</f>
        <v>0</v>
      </c>
      <c r="H1058" s="75" t="s">
        <v>10</v>
      </c>
    </row>
    <row r="1059" spans="1:8" x14ac:dyDescent="0.25">
      <c r="A1059" s="148">
        <v>44784</v>
      </c>
      <c r="B1059" s="149" t="s">
        <v>25751</v>
      </c>
      <c r="C1059" s="153" t="s">
        <v>53</v>
      </c>
      <c r="D1059" s="178">
        <v>663</v>
      </c>
      <c r="E1059" s="155">
        <v>44784</v>
      </c>
      <c r="F1059" s="178">
        <v>663</v>
      </c>
      <c r="G1059" s="179">
        <f>Tabla19[[#This Row],[Importe]]-Tabla19[[#This Row],[Pagado]]</f>
        <v>0</v>
      </c>
      <c r="H1059" s="153" t="s">
        <v>10</v>
      </c>
    </row>
    <row r="1060" spans="1:8" x14ac:dyDescent="0.25">
      <c r="A1060" s="73">
        <v>44784</v>
      </c>
      <c r="B1060" s="74" t="s">
        <v>25752</v>
      </c>
      <c r="C1060" s="75" t="s">
        <v>142</v>
      </c>
      <c r="D1060" s="176">
        <v>60532.46</v>
      </c>
      <c r="E1060" s="151" t="s">
        <v>4813</v>
      </c>
      <c r="F1060" s="176">
        <v>0</v>
      </c>
      <c r="G1060" s="177">
        <f>Tabla19[[#This Row],[Importe]]-Tabla19[[#This Row],[Pagado]]</f>
        <v>60532.46</v>
      </c>
      <c r="H1060" s="75" t="s">
        <v>4814</v>
      </c>
    </row>
    <row r="1061" spans="1:8" x14ac:dyDescent="0.25">
      <c r="A1061" s="148">
        <v>44784</v>
      </c>
      <c r="B1061" s="149" t="s">
        <v>25753</v>
      </c>
      <c r="C1061" s="153" t="s">
        <v>222</v>
      </c>
      <c r="D1061" s="178">
        <v>11430.2</v>
      </c>
      <c r="E1061" s="155">
        <v>44784</v>
      </c>
      <c r="F1061" s="178">
        <v>11430.2</v>
      </c>
      <c r="G1061" s="179">
        <f>Tabla19[[#This Row],[Importe]]-Tabla19[[#This Row],[Pagado]]</f>
        <v>0</v>
      </c>
      <c r="H1061" s="153" t="s">
        <v>10</v>
      </c>
    </row>
    <row r="1062" spans="1:8" x14ac:dyDescent="0.25">
      <c r="A1062" s="73">
        <v>44784</v>
      </c>
      <c r="B1062" s="74" t="s">
        <v>25754</v>
      </c>
      <c r="C1062" s="75" t="s">
        <v>698</v>
      </c>
      <c r="D1062" s="176">
        <v>7071.8</v>
      </c>
      <c r="E1062" s="151">
        <v>44784</v>
      </c>
      <c r="F1062" s="176">
        <v>7071.8</v>
      </c>
      <c r="G1062" s="177">
        <f>Tabla19[[#This Row],[Importe]]-Tabla19[[#This Row],[Pagado]]</f>
        <v>0</v>
      </c>
      <c r="H1062" s="75" t="s">
        <v>10</v>
      </c>
    </row>
    <row r="1063" spans="1:8" x14ac:dyDescent="0.25">
      <c r="A1063" s="148">
        <v>44784</v>
      </c>
      <c r="B1063" s="149" t="s">
        <v>25755</v>
      </c>
      <c r="C1063" s="153" t="s">
        <v>296</v>
      </c>
      <c r="D1063" s="178">
        <v>6026.4</v>
      </c>
      <c r="E1063" s="155">
        <v>44784</v>
      </c>
      <c r="F1063" s="178">
        <v>6026.4</v>
      </c>
      <c r="G1063" s="179">
        <f>Tabla19[[#This Row],[Importe]]-Tabla19[[#This Row],[Pagado]]</f>
        <v>0</v>
      </c>
      <c r="H1063" s="153" t="s">
        <v>10</v>
      </c>
    </row>
    <row r="1064" spans="1:8" x14ac:dyDescent="0.25">
      <c r="A1064" s="73">
        <v>44784</v>
      </c>
      <c r="B1064" s="74" t="s">
        <v>25756</v>
      </c>
      <c r="C1064" s="75" t="s">
        <v>31</v>
      </c>
      <c r="D1064" s="176">
        <v>6400</v>
      </c>
      <c r="E1064" s="151">
        <v>44784</v>
      </c>
      <c r="F1064" s="176">
        <v>6400</v>
      </c>
      <c r="G1064" s="177">
        <f>Tabla19[[#This Row],[Importe]]-Tabla19[[#This Row],[Pagado]]</f>
        <v>0</v>
      </c>
      <c r="H1064" s="75" t="s">
        <v>10</v>
      </c>
    </row>
    <row r="1065" spans="1:8" x14ac:dyDescent="0.25">
      <c r="A1065" s="148">
        <v>44784</v>
      </c>
      <c r="B1065" s="149" t="s">
        <v>25757</v>
      </c>
      <c r="C1065" s="153" t="s">
        <v>5620</v>
      </c>
      <c r="D1065" s="178">
        <v>5519.5</v>
      </c>
      <c r="E1065" s="155">
        <v>44784</v>
      </c>
      <c r="F1065" s="178">
        <v>5519.5</v>
      </c>
      <c r="G1065" s="179">
        <f>Tabla19[[#This Row],[Importe]]-Tabla19[[#This Row],[Pagado]]</f>
        <v>0</v>
      </c>
      <c r="H1065" s="153" t="s">
        <v>10</v>
      </c>
    </row>
    <row r="1066" spans="1:8" x14ac:dyDescent="0.25">
      <c r="A1066" s="73">
        <v>44784</v>
      </c>
      <c r="B1066" s="74" t="s">
        <v>25758</v>
      </c>
      <c r="C1066" s="75" t="s">
        <v>9827</v>
      </c>
      <c r="D1066" s="176">
        <v>4082.4</v>
      </c>
      <c r="E1066" s="151">
        <v>44784</v>
      </c>
      <c r="F1066" s="176">
        <v>4082.4</v>
      </c>
      <c r="G1066" s="177">
        <f>Tabla19[[#This Row],[Importe]]-Tabla19[[#This Row],[Pagado]]</f>
        <v>0</v>
      </c>
      <c r="H1066" s="75" t="s">
        <v>10</v>
      </c>
    </row>
    <row r="1067" spans="1:8" x14ac:dyDescent="0.25">
      <c r="A1067" s="148">
        <v>44784</v>
      </c>
      <c r="B1067" s="149" t="s">
        <v>25759</v>
      </c>
      <c r="C1067" s="153" t="s">
        <v>426</v>
      </c>
      <c r="D1067" s="178">
        <v>3791</v>
      </c>
      <c r="E1067" s="155">
        <v>44784</v>
      </c>
      <c r="F1067" s="178">
        <v>3791</v>
      </c>
      <c r="G1067" s="179">
        <f>Tabla19[[#This Row],[Importe]]-Tabla19[[#This Row],[Pagado]]</f>
        <v>0</v>
      </c>
      <c r="H1067" s="153" t="s">
        <v>10</v>
      </c>
    </row>
    <row r="1068" spans="1:8" x14ac:dyDescent="0.25">
      <c r="A1068" s="73">
        <v>44784</v>
      </c>
      <c r="B1068" s="74" t="s">
        <v>25760</v>
      </c>
      <c r="C1068" s="75" t="s">
        <v>12</v>
      </c>
      <c r="D1068" s="176">
        <v>5682</v>
      </c>
      <c r="E1068" s="151">
        <v>44785</v>
      </c>
      <c r="F1068" s="176">
        <v>5682</v>
      </c>
      <c r="G1068" s="177">
        <f>Tabla19[[#This Row],[Importe]]-Tabla19[[#This Row],[Pagado]]</f>
        <v>0</v>
      </c>
      <c r="H1068" s="75" t="s">
        <v>10</v>
      </c>
    </row>
    <row r="1069" spans="1:8" x14ac:dyDescent="0.25">
      <c r="A1069" s="148">
        <v>44784</v>
      </c>
      <c r="B1069" s="149" t="s">
        <v>25761</v>
      </c>
      <c r="C1069" s="153" t="s">
        <v>175</v>
      </c>
      <c r="D1069" s="178">
        <v>18742.599999999999</v>
      </c>
      <c r="E1069" s="155">
        <v>44784</v>
      </c>
      <c r="F1069" s="178">
        <v>18742.599999999999</v>
      </c>
      <c r="G1069" s="179">
        <f>Tabla19[[#This Row],[Importe]]-Tabla19[[#This Row],[Pagado]]</f>
        <v>0</v>
      </c>
      <c r="H1069" s="153" t="s">
        <v>10</v>
      </c>
    </row>
    <row r="1070" spans="1:8" x14ac:dyDescent="0.25">
      <c r="A1070" s="73">
        <v>44784</v>
      </c>
      <c r="B1070" s="74" t="s">
        <v>25762</v>
      </c>
      <c r="C1070" s="75" t="s">
        <v>12</v>
      </c>
      <c r="D1070" s="176">
        <v>13635.2</v>
      </c>
      <c r="E1070" s="151">
        <v>44784</v>
      </c>
      <c r="F1070" s="176">
        <v>13635.2</v>
      </c>
      <c r="G1070" s="177">
        <f>Tabla19[[#This Row],[Importe]]-Tabla19[[#This Row],[Pagado]]</f>
        <v>0</v>
      </c>
      <c r="H1070" s="75" t="s">
        <v>10</v>
      </c>
    </row>
    <row r="1071" spans="1:8" x14ac:dyDescent="0.25">
      <c r="A1071" s="148">
        <v>44784</v>
      </c>
      <c r="B1071" s="149" t="s">
        <v>25763</v>
      </c>
      <c r="C1071" s="153" t="s">
        <v>31</v>
      </c>
      <c r="D1071" s="178">
        <v>730.8</v>
      </c>
      <c r="E1071" s="155">
        <v>44784</v>
      </c>
      <c r="F1071" s="178">
        <v>730.8</v>
      </c>
      <c r="G1071" s="179">
        <f>Tabla19[[#This Row],[Importe]]-Tabla19[[#This Row],[Pagado]]</f>
        <v>0</v>
      </c>
      <c r="H1071" s="153" t="s">
        <v>10</v>
      </c>
    </row>
    <row r="1072" spans="1:8" x14ac:dyDescent="0.25">
      <c r="A1072" s="73">
        <v>44784</v>
      </c>
      <c r="B1072" s="74" t="s">
        <v>25764</v>
      </c>
      <c r="C1072" s="75" t="s">
        <v>312</v>
      </c>
      <c r="D1072" s="176">
        <v>5546.6</v>
      </c>
      <c r="E1072" s="151">
        <v>44784</v>
      </c>
      <c r="F1072" s="176">
        <v>5546.6</v>
      </c>
      <c r="G1072" s="177">
        <f>Tabla19[[#This Row],[Importe]]-Tabla19[[#This Row],[Pagado]]</f>
        <v>0</v>
      </c>
      <c r="H1072" s="75" t="s">
        <v>10</v>
      </c>
    </row>
    <row r="1073" spans="1:8" x14ac:dyDescent="0.25">
      <c r="A1073" s="148">
        <v>44784</v>
      </c>
      <c r="B1073" s="149" t="s">
        <v>25765</v>
      </c>
      <c r="C1073" s="153" t="s">
        <v>167</v>
      </c>
      <c r="D1073" s="178">
        <v>114447.2</v>
      </c>
      <c r="E1073" s="155">
        <v>44784</v>
      </c>
      <c r="F1073" s="178">
        <v>114447.2</v>
      </c>
      <c r="G1073" s="179">
        <f>Tabla19[[#This Row],[Importe]]-Tabla19[[#This Row],[Pagado]]</f>
        <v>0</v>
      </c>
      <c r="H1073" s="153" t="s">
        <v>10</v>
      </c>
    </row>
    <row r="1074" spans="1:8" x14ac:dyDescent="0.25">
      <c r="A1074" s="73">
        <v>44784</v>
      </c>
      <c r="B1074" s="74" t="s">
        <v>25766</v>
      </c>
      <c r="C1074" s="75" t="s">
        <v>56</v>
      </c>
      <c r="D1074" s="176">
        <v>2691.8</v>
      </c>
      <c r="E1074" s="151">
        <v>44784</v>
      </c>
      <c r="F1074" s="176">
        <v>2691.8</v>
      </c>
      <c r="G1074" s="177">
        <f>Tabla19[[#This Row],[Importe]]-Tabla19[[#This Row],[Pagado]]</f>
        <v>0</v>
      </c>
      <c r="H1074" s="75" t="s">
        <v>10</v>
      </c>
    </row>
    <row r="1075" spans="1:8" x14ac:dyDescent="0.25">
      <c r="A1075" s="148">
        <v>44784</v>
      </c>
      <c r="B1075" s="149" t="s">
        <v>25767</v>
      </c>
      <c r="C1075" s="153" t="s">
        <v>226</v>
      </c>
      <c r="D1075" s="178">
        <v>12473.2</v>
      </c>
      <c r="E1075" s="155">
        <v>44784</v>
      </c>
      <c r="F1075" s="178">
        <v>12473.2</v>
      </c>
      <c r="G1075" s="179">
        <f>Tabla19[[#This Row],[Importe]]-Tabla19[[#This Row],[Pagado]]</f>
        <v>0</v>
      </c>
      <c r="H1075" s="153" t="s">
        <v>10</v>
      </c>
    </row>
    <row r="1076" spans="1:8" x14ac:dyDescent="0.25">
      <c r="A1076" s="73">
        <v>44784</v>
      </c>
      <c r="B1076" s="74" t="s">
        <v>25768</v>
      </c>
      <c r="C1076" s="75" t="s">
        <v>179</v>
      </c>
      <c r="D1076" s="176">
        <v>2184</v>
      </c>
      <c r="E1076" s="151">
        <v>44784</v>
      </c>
      <c r="F1076" s="176">
        <v>2184</v>
      </c>
      <c r="G1076" s="177">
        <f>Tabla19[[#This Row],[Importe]]-Tabla19[[#This Row],[Pagado]]</f>
        <v>0</v>
      </c>
      <c r="H1076" s="75" t="s">
        <v>10</v>
      </c>
    </row>
    <row r="1077" spans="1:8" x14ac:dyDescent="0.25">
      <c r="A1077" s="148">
        <v>44784</v>
      </c>
      <c r="B1077" s="149" t="s">
        <v>25769</v>
      </c>
      <c r="C1077" s="153" t="s">
        <v>244</v>
      </c>
      <c r="D1077" s="178">
        <v>714</v>
      </c>
      <c r="E1077" s="155">
        <v>44784</v>
      </c>
      <c r="F1077" s="178">
        <v>714</v>
      </c>
      <c r="G1077" s="179">
        <f>Tabla19[[#This Row],[Importe]]-Tabla19[[#This Row],[Pagado]]</f>
        <v>0</v>
      </c>
      <c r="H1077" s="153" t="s">
        <v>10</v>
      </c>
    </row>
    <row r="1078" spans="1:8" x14ac:dyDescent="0.25">
      <c r="A1078" s="73">
        <v>44784</v>
      </c>
      <c r="B1078" s="74" t="s">
        <v>25770</v>
      </c>
      <c r="C1078" s="75" t="s">
        <v>450</v>
      </c>
      <c r="D1078" s="176">
        <v>1870</v>
      </c>
      <c r="E1078" s="151">
        <v>44784</v>
      </c>
      <c r="F1078" s="176">
        <v>1870</v>
      </c>
      <c r="G1078" s="177">
        <f>Tabla19[[#This Row],[Importe]]-Tabla19[[#This Row],[Pagado]]</f>
        <v>0</v>
      </c>
      <c r="H1078" s="75" t="s">
        <v>10</v>
      </c>
    </row>
    <row r="1079" spans="1:8" x14ac:dyDescent="0.25">
      <c r="A1079" s="148">
        <v>44784</v>
      </c>
      <c r="B1079" s="149" t="s">
        <v>25771</v>
      </c>
      <c r="C1079" s="153" t="s">
        <v>31</v>
      </c>
      <c r="D1079" s="178">
        <v>722.4</v>
      </c>
      <c r="E1079" s="155">
        <v>44784</v>
      </c>
      <c r="F1079" s="178">
        <v>722.4</v>
      </c>
      <c r="G1079" s="179">
        <f>Tabla19[[#This Row],[Importe]]-Tabla19[[#This Row],[Pagado]]</f>
        <v>0</v>
      </c>
      <c r="H1079" s="153" t="s">
        <v>10</v>
      </c>
    </row>
    <row r="1080" spans="1:8" x14ac:dyDescent="0.25">
      <c r="A1080" s="73">
        <v>44784</v>
      </c>
      <c r="B1080" s="74" t="s">
        <v>25772</v>
      </c>
      <c r="C1080" s="75" t="s">
        <v>214</v>
      </c>
      <c r="D1080" s="176">
        <v>2007.6</v>
      </c>
      <c r="E1080" s="151">
        <v>44784</v>
      </c>
      <c r="F1080" s="176">
        <v>2007.6</v>
      </c>
      <c r="G1080" s="177">
        <f>Tabla19[[#This Row],[Importe]]-Tabla19[[#This Row],[Pagado]]</f>
        <v>0</v>
      </c>
      <c r="H1080" s="75" t="s">
        <v>10</v>
      </c>
    </row>
    <row r="1081" spans="1:8" x14ac:dyDescent="0.25">
      <c r="A1081" s="148">
        <v>44784</v>
      </c>
      <c r="B1081" s="149" t="s">
        <v>25773</v>
      </c>
      <c r="C1081" s="153" t="s">
        <v>95</v>
      </c>
      <c r="D1081" s="178">
        <v>3207.4</v>
      </c>
      <c r="E1081" s="155">
        <v>44784</v>
      </c>
      <c r="F1081" s="178">
        <v>3207.4</v>
      </c>
      <c r="G1081" s="179">
        <f>Tabla19[[#This Row],[Importe]]-Tabla19[[#This Row],[Pagado]]</f>
        <v>0</v>
      </c>
      <c r="H1081" s="153" t="s">
        <v>10</v>
      </c>
    </row>
    <row r="1082" spans="1:8" x14ac:dyDescent="0.25">
      <c r="A1082" s="73">
        <v>44784</v>
      </c>
      <c r="B1082" s="74" t="s">
        <v>25774</v>
      </c>
      <c r="C1082" s="75" t="s">
        <v>69</v>
      </c>
      <c r="D1082" s="176">
        <v>3520</v>
      </c>
      <c r="E1082" s="151" t="s">
        <v>25775</v>
      </c>
      <c r="F1082" s="176">
        <v>3520</v>
      </c>
      <c r="G1082" s="177">
        <f>Tabla19[[#This Row],[Importe]]-Tabla19[[#This Row],[Pagado]]</f>
        <v>0</v>
      </c>
      <c r="H1082" s="75" t="s">
        <v>10</v>
      </c>
    </row>
    <row r="1083" spans="1:8" x14ac:dyDescent="0.25">
      <c r="A1083" s="148">
        <v>44784</v>
      </c>
      <c r="B1083" s="149" t="s">
        <v>25776</v>
      </c>
      <c r="C1083" s="153" t="s">
        <v>275</v>
      </c>
      <c r="D1083" s="178">
        <v>222770.3</v>
      </c>
      <c r="E1083" s="155" t="s">
        <v>4813</v>
      </c>
      <c r="F1083" s="178">
        <v>158294.85</v>
      </c>
      <c r="G1083" s="179">
        <f>Tabla19[[#This Row],[Importe]]-Tabla19[[#This Row],[Pagado]]</f>
        <v>64475.449999999983</v>
      </c>
      <c r="H1083" s="153" t="s">
        <v>1695</v>
      </c>
    </row>
    <row r="1084" spans="1:8" x14ac:dyDescent="0.25">
      <c r="A1084" s="73">
        <v>44784</v>
      </c>
      <c r="B1084" s="74" t="s">
        <v>25777</v>
      </c>
      <c r="C1084" s="75" t="s">
        <v>16</v>
      </c>
      <c r="D1084" s="176">
        <v>2024</v>
      </c>
      <c r="E1084" s="151">
        <v>44784</v>
      </c>
      <c r="F1084" s="176">
        <v>2024</v>
      </c>
      <c r="G1084" s="177">
        <f>Tabla19[[#This Row],[Importe]]-Tabla19[[#This Row],[Pagado]]</f>
        <v>0</v>
      </c>
      <c r="H1084" s="75" t="s">
        <v>10</v>
      </c>
    </row>
    <row r="1085" spans="1:8" x14ac:dyDescent="0.25">
      <c r="A1085" s="148">
        <v>44784</v>
      </c>
      <c r="B1085" s="149" t="s">
        <v>25778</v>
      </c>
      <c r="C1085" s="153" t="s">
        <v>16</v>
      </c>
      <c r="D1085" s="178">
        <v>594</v>
      </c>
      <c r="E1085" s="155">
        <v>44784</v>
      </c>
      <c r="F1085" s="178">
        <v>594</v>
      </c>
      <c r="G1085" s="179">
        <f>Tabla19[[#This Row],[Importe]]-Tabla19[[#This Row],[Pagado]]</f>
        <v>0</v>
      </c>
      <c r="H1085" s="153" t="s">
        <v>10</v>
      </c>
    </row>
    <row r="1086" spans="1:8" x14ac:dyDescent="0.25">
      <c r="A1086" s="73">
        <v>44784</v>
      </c>
      <c r="B1086" s="74" t="s">
        <v>25779</v>
      </c>
      <c r="C1086" s="75" t="s">
        <v>407</v>
      </c>
      <c r="D1086" s="176">
        <v>27416.400000000001</v>
      </c>
      <c r="E1086" s="151">
        <v>44797</v>
      </c>
      <c r="F1086" s="176">
        <v>27416.400000000001</v>
      </c>
      <c r="G1086" s="177">
        <f>Tabla19[[#This Row],[Importe]]-Tabla19[[#This Row],[Pagado]]</f>
        <v>0</v>
      </c>
      <c r="H1086" s="75" t="s">
        <v>10</v>
      </c>
    </row>
    <row r="1087" spans="1:8" x14ac:dyDescent="0.25">
      <c r="A1087" s="148">
        <v>44784</v>
      </c>
      <c r="B1087" s="149" t="s">
        <v>25780</v>
      </c>
      <c r="C1087" s="153" t="s">
        <v>127</v>
      </c>
      <c r="D1087" s="178">
        <v>5130.8999999999996</v>
      </c>
      <c r="E1087" s="155">
        <v>44785</v>
      </c>
      <c r="F1087" s="178">
        <v>5130.8999999999996</v>
      </c>
      <c r="G1087" s="179">
        <f>Tabla19[[#This Row],[Importe]]-Tabla19[[#This Row],[Pagado]]</f>
        <v>0</v>
      </c>
      <c r="H1087" s="153" t="s">
        <v>10</v>
      </c>
    </row>
    <row r="1088" spans="1:8" x14ac:dyDescent="0.25">
      <c r="A1088" s="73">
        <v>44784</v>
      </c>
      <c r="B1088" s="74" t="s">
        <v>25781</v>
      </c>
      <c r="C1088" s="75" t="s">
        <v>129</v>
      </c>
      <c r="D1088" s="176">
        <v>4221.7</v>
      </c>
      <c r="E1088" s="151">
        <v>44785</v>
      </c>
      <c r="F1088" s="176">
        <v>4221.7</v>
      </c>
      <c r="G1088" s="177">
        <f>Tabla19[[#This Row],[Importe]]-Tabla19[[#This Row],[Pagado]]</f>
        <v>0</v>
      </c>
      <c r="H1088" s="75" t="s">
        <v>10</v>
      </c>
    </row>
    <row r="1089" spans="1:8" x14ac:dyDescent="0.25">
      <c r="A1089" s="148">
        <v>44784</v>
      </c>
      <c r="B1089" s="149" t="s">
        <v>25782</v>
      </c>
      <c r="C1089" s="153" t="s">
        <v>1362</v>
      </c>
      <c r="D1089" s="178">
        <v>6359.7</v>
      </c>
      <c r="E1089" s="155">
        <v>44785</v>
      </c>
      <c r="F1089" s="178">
        <v>6359.7</v>
      </c>
      <c r="G1089" s="179">
        <f>Tabla19[[#This Row],[Importe]]-Tabla19[[#This Row],[Pagado]]</f>
        <v>0</v>
      </c>
      <c r="H1089" s="153" t="s">
        <v>10</v>
      </c>
    </row>
    <row r="1090" spans="1:8" x14ac:dyDescent="0.25">
      <c r="A1090" s="73">
        <v>44784</v>
      </c>
      <c r="B1090" s="74" t="s">
        <v>25783</v>
      </c>
      <c r="C1090" s="75" t="s">
        <v>333</v>
      </c>
      <c r="D1090" s="176">
        <v>585</v>
      </c>
      <c r="E1090" s="151">
        <v>44785</v>
      </c>
      <c r="F1090" s="176">
        <v>585</v>
      </c>
      <c r="G1090" s="177">
        <f>Tabla19[[#This Row],[Importe]]-Tabla19[[#This Row],[Pagado]]</f>
        <v>0</v>
      </c>
      <c r="H1090" s="75" t="s">
        <v>10</v>
      </c>
    </row>
    <row r="1091" spans="1:8" x14ac:dyDescent="0.25">
      <c r="A1091" s="148">
        <v>44784</v>
      </c>
      <c r="B1091" s="149" t="s">
        <v>25784</v>
      </c>
      <c r="C1091" s="153" t="s">
        <v>31</v>
      </c>
      <c r="D1091" s="178">
        <v>273</v>
      </c>
      <c r="E1091" s="155">
        <v>44784</v>
      </c>
      <c r="F1091" s="178">
        <v>273</v>
      </c>
      <c r="G1091" s="179">
        <f>Tabla19[[#This Row],[Importe]]-Tabla19[[#This Row],[Pagado]]</f>
        <v>0</v>
      </c>
      <c r="H1091" s="153" t="s">
        <v>10</v>
      </c>
    </row>
    <row r="1092" spans="1:8" x14ac:dyDescent="0.25">
      <c r="A1092" s="73">
        <v>44784</v>
      </c>
      <c r="B1092" s="74" t="s">
        <v>25785</v>
      </c>
      <c r="C1092" s="75" t="s">
        <v>729</v>
      </c>
      <c r="D1092" s="176">
        <v>29529.200000000001</v>
      </c>
      <c r="E1092" s="151">
        <v>44785</v>
      </c>
      <c r="F1092" s="176">
        <v>29529.200000000001</v>
      </c>
      <c r="G1092" s="177">
        <f>Tabla19[[#This Row],[Importe]]-Tabla19[[#This Row],[Pagado]]</f>
        <v>0</v>
      </c>
      <c r="H1092" s="75" t="s">
        <v>10</v>
      </c>
    </row>
    <row r="1093" spans="1:8" x14ac:dyDescent="0.25">
      <c r="A1093" s="148">
        <v>44784</v>
      </c>
      <c r="B1093" s="149" t="s">
        <v>25786</v>
      </c>
      <c r="C1093" s="153" t="s">
        <v>10819</v>
      </c>
      <c r="D1093" s="178">
        <v>840</v>
      </c>
      <c r="E1093" s="155">
        <v>44785</v>
      </c>
      <c r="F1093" s="178">
        <v>840</v>
      </c>
      <c r="G1093" s="179">
        <f>Tabla19[[#This Row],[Importe]]-Tabla19[[#This Row],[Pagado]]</f>
        <v>0</v>
      </c>
      <c r="H1093" s="153" t="s">
        <v>10</v>
      </c>
    </row>
    <row r="1094" spans="1:8" x14ac:dyDescent="0.25">
      <c r="A1094" s="73">
        <v>44784</v>
      </c>
      <c r="B1094" s="74" t="s">
        <v>25787</v>
      </c>
      <c r="C1094" s="75" t="s">
        <v>5345</v>
      </c>
      <c r="D1094" s="176">
        <v>3544.8</v>
      </c>
      <c r="E1094" s="151">
        <v>44785</v>
      </c>
      <c r="F1094" s="176">
        <v>3544.8</v>
      </c>
      <c r="G1094" s="177">
        <f>Tabla19[[#This Row],[Importe]]-Tabla19[[#This Row],[Pagado]]</f>
        <v>0</v>
      </c>
      <c r="H1094" s="75" t="s">
        <v>10</v>
      </c>
    </row>
    <row r="1095" spans="1:8" x14ac:dyDescent="0.25">
      <c r="A1095" s="148">
        <v>44784</v>
      </c>
      <c r="B1095" s="149" t="s">
        <v>25788</v>
      </c>
      <c r="C1095" s="153" t="s">
        <v>280</v>
      </c>
      <c r="D1095" s="178">
        <v>1713.6</v>
      </c>
      <c r="E1095" s="155">
        <v>44785</v>
      </c>
      <c r="F1095" s="178">
        <v>1713.6</v>
      </c>
      <c r="G1095" s="179">
        <f>Tabla19[[#This Row],[Importe]]-Tabla19[[#This Row],[Pagado]]</f>
        <v>0</v>
      </c>
      <c r="H1095" s="153" t="s">
        <v>10</v>
      </c>
    </row>
    <row r="1096" spans="1:8" x14ac:dyDescent="0.25">
      <c r="A1096" s="73">
        <v>44784</v>
      </c>
      <c r="B1096" s="74" t="s">
        <v>25789</v>
      </c>
      <c r="C1096" s="75" t="s">
        <v>282</v>
      </c>
      <c r="D1096" s="176">
        <v>1705.2</v>
      </c>
      <c r="E1096" s="151">
        <v>44785</v>
      </c>
      <c r="F1096" s="176">
        <v>1705.2</v>
      </c>
      <c r="G1096" s="177">
        <f>Tabla19[[#This Row],[Importe]]-Tabla19[[#This Row],[Pagado]]</f>
        <v>0</v>
      </c>
      <c r="H1096" s="75" t="s">
        <v>10</v>
      </c>
    </row>
    <row r="1097" spans="1:8" x14ac:dyDescent="0.25">
      <c r="A1097" s="148">
        <v>44784</v>
      </c>
      <c r="B1097" s="149" t="s">
        <v>25790</v>
      </c>
      <c r="C1097" s="153" t="s">
        <v>284</v>
      </c>
      <c r="D1097" s="178">
        <v>10995.6</v>
      </c>
      <c r="E1097" s="155">
        <v>44785</v>
      </c>
      <c r="F1097" s="178">
        <v>10995.6</v>
      </c>
      <c r="G1097" s="179">
        <f>Tabla19[[#This Row],[Importe]]-Tabla19[[#This Row],[Pagado]]</f>
        <v>0</v>
      </c>
      <c r="H1097" s="153" t="s">
        <v>10</v>
      </c>
    </row>
    <row r="1098" spans="1:8" x14ac:dyDescent="0.25">
      <c r="A1098" s="73">
        <v>44784</v>
      </c>
      <c r="B1098" s="74" t="s">
        <v>25791</v>
      </c>
      <c r="C1098" s="75" t="s">
        <v>53</v>
      </c>
      <c r="D1098" s="176">
        <v>688.5</v>
      </c>
      <c r="E1098" s="151">
        <v>44784</v>
      </c>
      <c r="F1098" s="176">
        <v>688.5</v>
      </c>
      <c r="G1098" s="177">
        <f>Tabla19[[#This Row],[Importe]]-Tabla19[[#This Row],[Pagado]]</f>
        <v>0</v>
      </c>
      <c r="H1098" s="75" t="s">
        <v>10</v>
      </c>
    </row>
    <row r="1099" spans="1:8" x14ac:dyDescent="0.25">
      <c r="A1099" s="148">
        <v>44784</v>
      </c>
      <c r="B1099" s="149" t="s">
        <v>25792</v>
      </c>
      <c r="C1099" s="153" t="s">
        <v>226</v>
      </c>
      <c r="D1099" s="178">
        <v>650</v>
      </c>
      <c r="E1099" s="155">
        <v>44784</v>
      </c>
      <c r="F1099" s="178">
        <v>650</v>
      </c>
      <c r="G1099" s="179">
        <f>Tabla19[[#This Row],[Importe]]-Tabla19[[#This Row],[Pagado]]</f>
        <v>0</v>
      </c>
      <c r="H1099" s="153" t="s">
        <v>10</v>
      </c>
    </row>
    <row r="1100" spans="1:8" x14ac:dyDescent="0.25">
      <c r="A1100" s="73">
        <v>44784</v>
      </c>
      <c r="B1100" s="74" t="s">
        <v>25793</v>
      </c>
      <c r="C1100" s="75" t="s">
        <v>870</v>
      </c>
      <c r="D1100" s="176">
        <v>12000</v>
      </c>
      <c r="E1100" s="151">
        <v>44785</v>
      </c>
      <c r="F1100" s="176">
        <v>12000</v>
      </c>
      <c r="G1100" s="177">
        <f>Tabla19[[#This Row],[Importe]]-Tabla19[[#This Row],[Pagado]]</f>
        <v>0</v>
      </c>
      <c r="H1100" s="75" t="s">
        <v>10</v>
      </c>
    </row>
    <row r="1101" spans="1:8" x14ac:dyDescent="0.25">
      <c r="A1101" s="148">
        <v>44784</v>
      </c>
      <c r="B1101" s="149" t="s">
        <v>25794</v>
      </c>
      <c r="C1101" s="153" t="s">
        <v>191</v>
      </c>
      <c r="D1101" s="178">
        <v>276</v>
      </c>
      <c r="E1101" s="155">
        <v>44784</v>
      </c>
      <c r="F1101" s="178">
        <v>276</v>
      </c>
      <c r="G1101" s="179">
        <f>Tabla19[[#This Row],[Importe]]-Tabla19[[#This Row],[Pagado]]</f>
        <v>0</v>
      </c>
      <c r="H1101" s="153" t="s">
        <v>10</v>
      </c>
    </row>
    <row r="1102" spans="1:8" x14ac:dyDescent="0.25">
      <c r="A1102" s="73">
        <v>44784</v>
      </c>
      <c r="B1102" s="74" t="s">
        <v>25795</v>
      </c>
      <c r="C1102" s="75" t="s">
        <v>291</v>
      </c>
      <c r="D1102" s="176">
        <v>833</v>
      </c>
      <c r="E1102" s="151">
        <v>44785</v>
      </c>
      <c r="F1102" s="176">
        <v>833</v>
      </c>
      <c r="G1102" s="177">
        <f>Tabla19[[#This Row],[Importe]]-Tabla19[[#This Row],[Pagado]]</f>
        <v>0</v>
      </c>
      <c r="H1102" s="75" t="s">
        <v>10</v>
      </c>
    </row>
    <row r="1103" spans="1:8" x14ac:dyDescent="0.25">
      <c r="A1103" s="148">
        <v>44784</v>
      </c>
      <c r="B1103" s="149" t="s">
        <v>25796</v>
      </c>
      <c r="C1103" s="153" t="s">
        <v>442</v>
      </c>
      <c r="D1103" s="178">
        <v>13673.4</v>
      </c>
      <c r="E1103" s="155">
        <v>44785</v>
      </c>
      <c r="F1103" s="178">
        <v>13673.4</v>
      </c>
      <c r="G1103" s="179">
        <f>Tabla19[[#This Row],[Importe]]-Tabla19[[#This Row],[Pagado]]</f>
        <v>0</v>
      </c>
      <c r="H1103" s="153" t="s">
        <v>10</v>
      </c>
    </row>
    <row r="1104" spans="1:8" x14ac:dyDescent="0.25">
      <c r="A1104" s="73">
        <v>44785</v>
      </c>
      <c r="B1104" s="74" t="s">
        <v>25797</v>
      </c>
      <c r="C1104" s="75" t="s">
        <v>887</v>
      </c>
      <c r="D1104" s="176">
        <v>10493.9</v>
      </c>
      <c r="E1104" s="151">
        <v>44785</v>
      </c>
      <c r="F1104" s="176">
        <v>10493.9</v>
      </c>
      <c r="G1104" s="177">
        <f>Tabla19[[#This Row],[Importe]]-Tabla19[[#This Row],[Pagado]]</f>
        <v>0</v>
      </c>
      <c r="H1104" s="75" t="s">
        <v>10</v>
      </c>
    </row>
    <row r="1105" spans="1:8" ht="31.5" x14ac:dyDescent="0.25">
      <c r="A1105" s="148">
        <v>44785</v>
      </c>
      <c r="B1105" s="149" t="s">
        <v>25798</v>
      </c>
      <c r="C1105" s="153" t="s">
        <v>475</v>
      </c>
      <c r="D1105" s="178">
        <v>63118.5</v>
      </c>
      <c r="E1105" s="150" t="s">
        <v>25799</v>
      </c>
      <c r="F1105" s="178">
        <f>41000+22118.5</f>
        <v>63118.5</v>
      </c>
      <c r="G1105" s="179">
        <f>Tabla19[[#This Row],[Importe]]-Tabla19[[#This Row],[Pagado]]</f>
        <v>0</v>
      </c>
      <c r="H1105" s="153" t="s">
        <v>10</v>
      </c>
    </row>
    <row r="1106" spans="1:8" x14ac:dyDescent="0.25">
      <c r="A1106" s="73">
        <v>44785</v>
      </c>
      <c r="B1106" s="74" t="s">
        <v>25800</v>
      </c>
      <c r="C1106" s="75" t="s">
        <v>12</v>
      </c>
      <c r="D1106" s="176">
        <v>4321.8</v>
      </c>
      <c r="E1106" s="151">
        <v>44785</v>
      </c>
      <c r="F1106" s="176">
        <v>4321.8</v>
      </c>
      <c r="G1106" s="177">
        <f>Tabla19[[#This Row],[Importe]]-Tabla19[[#This Row],[Pagado]]</f>
        <v>0</v>
      </c>
      <c r="H1106" s="75" t="s">
        <v>10</v>
      </c>
    </row>
    <row r="1107" spans="1:8" x14ac:dyDescent="0.25">
      <c r="A1107" s="148">
        <v>44785</v>
      </c>
      <c r="B1107" s="149" t="s">
        <v>25801</v>
      </c>
      <c r="C1107" s="153" t="s">
        <v>473</v>
      </c>
      <c r="D1107" s="178">
        <v>5720.2</v>
      </c>
      <c r="E1107" s="155">
        <v>44785</v>
      </c>
      <c r="F1107" s="178">
        <v>5720.2</v>
      </c>
      <c r="G1107" s="179">
        <f>Tabla19[[#This Row],[Importe]]-Tabla19[[#This Row],[Pagado]]</f>
        <v>0</v>
      </c>
      <c r="H1107" s="153" t="s">
        <v>10</v>
      </c>
    </row>
    <row r="1108" spans="1:8" x14ac:dyDescent="0.25">
      <c r="A1108" s="73">
        <v>44785</v>
      </c>
      <c r="B1108" s="74" t="s">
        <v>25802</v>
      </c>
      <c r="C1108" s="75" t="s">
        <v>25803</v>
      </c>
      <c r="D1108" s="176">
        <v>0</v>
      </c>
      <c r="E1108" s="157" t="s">
        <v>189</v>
      </c>
      <c r="F1108" s="176">
        <v>0</v>
      </c>
      <c r="G1108" s="177">
        <f>Tabla19[[#This Row],[Importe]]-Tabla19[[#This Row],[Pagado]]</f>
        <v>0</v>
      </c>
      <c r="H1108" s="161" t="s">
        <v>25804</v>
      </c>
    </row>
    <row r="1109" spans="1:8" x14ac:dyDescent="0.25">
      <c r="A1109" s="148">
        <v>44785</v>
      </c>
      <c r="B1109" s="149" t="s">
        <v>25805</v>
      </c>
      <c r="C1109" s="153" t="s">
        <v>473</v>
      </c>
      <c r="D1109" s="178">
        <v>3148.4</v>
      </c>
      <c r="E1109" s="155">
        <v>44785</v>
      </c>
      <c r="F1109" s="178">
        <v>3148.4</v>
      </c>
      <c r="G1109" s="179">
        <f>Tabla19[[#This Row],[Importe]]-Tabla19[[#This Row],[Pagado]]</f>
        <v>0</v>
      </c>
      <c r="H1109" s="153" t="s">
        <v>10</v>
      </c>
    </row>
    <row r="1110" spans="1:8" x14ac:dyDescent="0.25">
      <c r="A1110" s="73">
        <v>44785</v>
      </c>
      <c r="B1110" s="74" t="s">
        <v>25806</v>
      </c>
      <c r="C1110" s="75" t="s">
        <v>75</v>
      </c>
      <c r="D1110" s="176">
        <v>10063.200000000001</v>
      </c>
      <c r="E1110" s="151">
        <v>44785</v>
      </c>
      <c r="F1110" s="176">
        <v>10063.200000000001</v>
      </c>
      <c r="G1110" s="177">
        <f>Tabla19[[#This Row],[Importe]]-Tabla19[[#This Row],[Pagado]]</f>
        <v>0</v>
      </c>
      <c r="H1110" s="75" t="s">
        <v>10</v>
      </c>
    </row>
    <row r="1111" spans="1:8" x14ac:dyDescent="0.25">
      <c r="A1111" s="148">
        <v>44785</v>
      </c>
      <c r="B1111" s="149" t="s">
        <v>25807</v>
      </c>
      <c r="C1111" s="153" t="s">
        <v>2563</v>
      </c>
      <c r="D1111" s="178">
        <v>4914</v>
      </c>
      <c r="E1111" s="155">
        <v>44786</v>
      </c>
      <c r="F1111" s="178">
        <v>4914</v>
      </c>
      <c r="G1111" s="179">
        <f>Tabla19[[#This Row],[Importe]]-Tabla19[[#This Row],[Pagado]]</f>
        <v>0</v>
      </c>
      <c r="H1111" s="153" t="s">
        <v>10</v>
      </c>
    </row>
    <row r="1112" spans="1:8" x14ac:dyDescent="0.25">
      <c r="A1112" s="73">
        <v>44785</v>
      </c>
      <c r="B1112" s="74" t="s">
        <v>25808</v>
      </c>
      <c r="C1112" s="75" t="s">
        <v>111</v>
      </c>
      <c r="D1112" s="176">
        <v>5323.5</v>
      </c>
      <c r="E1112" s="151">
        <v>44786</v>
      </c>
      <c r="F1112" s="176">
        <v>5323.5</v>
      </c>
      <c r="G1112" s="177">
        <f>Tabla19[[#This Row],[Importe]]-Tabla19[[#This Row],[Pagado]]</f>
        <v>0</v>
      </c>
      <c r="H1112" s="75" t="s">
        <v>10</v>
      </c>
    </row>
    <row r="1113" spans="1:8" ht="31.5" x14ac:dyDescent="0.25">
      <c r="A1113" s="148">
        <v>44785</v>
      </c>
      <c r="B1113" s="149" t="s">
        <v>25809</v>
      </c>
      <c r="C1113" s="153" t="s">
        <v>60</v>
      </c>
      <c r="D1113" s="178">
        <v>4901</v>
      </c>
      <c r="E1113" s="150" t="s">
        <v>25810</v>
      </c>
      <c r="F1113" s="178">
        <f>2500+2401</f>
        <v>4901</v>
      </c>
      <c r="G1113" s="179">
        <f>Tabla19[[#This Row],[Importe]]-Tabla19[[#This Row],[Pagado]]</f>
        <v>0</v>
      </c>
      <c r="H1113" s="153" t="s">
        <v>10</v>
      </c>
    </row>
    <row r="1114" spans="1:8" x14ac:dyDescent="0.25">
      <c r="A1114" s="73">
        <v>44785</v>
      </c>
      <c r="B1114" s="74" t="s">
        <v>25811</v>
      </c>
      <c r="C1114" s="75" t="s">
        <v>97</v>
      </c>
      <c r="D1114" s="176">
        <v>10166</v>
      </c>
      <c r="E1114" s="151">
        <v>44786</v>
      </c>
      <c r="F1114" s="176">
        <v>10166</v>
      </c>
      <c r="G1114" s="177">
        <f>Tabla19[[#This Row],[Importe]]-Tabla19[[#This Row],[Pagado]]</f>
        <v>0</v>
      </c>
      <c r="H1114" s="75" t="s">
        <v>10</v>
      </c>
    </row>
    <row r="1115" spans="1:8" x14ac:dyDescent="0.25">
      <c r="A1115" s="148">
        <v>44785</v>
      </c>
      <c r="B1115" s="149" t="s">
        <v>25812</v>
      </c>
      <c r="C1115" s="153" t="s">
        <v>348</v>
      </c>
      <c r="D1115" s="178">
        <v>2776.7</v>
      </c>
      <c r="E1115" s="155">
        <v>44785</v>
      </c>
      <c r="F1115" s="178">
        <v>2776.7</v>
      </c>
      <c r="G1115" s="179">
        <f>Tabla19[[#This Row],[Importe]]-Tabla19[[#This Row],[Pagado]]</f>
        <v>0</v>
      </c>
      <c r="H1115" s="153" t="s">
        <v>10</v>
      </c>
    </row>
    <row r="1116" spans="1:8" x14ac:dyDescent="0.25">
      <c r="A1116" s="73">
        <v>44785</v>
      </c>
      <c r="B1116" s="74" t="s">
        <v>25813</v>
      </c>
      <c r="C1116" s="75" t="s">
        <v>105</v>
      </c>
      <c r="D1116" s="176">
        <v>11756.1</v>
      </c>
      <c r="E1116" s="151">
        <v>44786</v>
      </c>
      <c r="F1116" s="176">
        <v>11756.1</v>
      </c>
      <c r="G1116" s="177">
        <f>Tabla19[[#This Row],[Importe]]-Tabla19[[#This Row],[Pagado]]</f>
        <v>0</v>
      </c>
      <c r="H1116" s="75" t="s">
        <v>10</v>
      </c>
    </row>
    <row r="1117" spans="1:8" x14ac:dyDescent="0.25">
      <c r="A1117" s="148">
        <v>44785</v>
      </c>
      <c r="B1117" s="149" t="s">
        <v>25814</v>
      </c>
      <c r="C1117" s="153" t="s">
        <v>114</v>
      </c>
      <c r="D1117" s="178">
        <v>13742.4</v>
      </c>
      <c r="E1117" s="155">
        <v>44786</v>
      </c>
      <c r="F1117" s="178">
        <v>13742.4</v>
      </c>
      <c r="G1117" s="179">
        <f>Tabla19[[#This Row],[Importe]]-Tabla19[[#This Row],[Pagado]]</f>
        <v>0</v>
      </c>
      <c r="H1117" s="153" t="s">
        <v>10</v>
      </c>
    </row>
    <row r="1118" spans="1:8" x14ac:dyDescent="0.25">
      <c r="A1118" s="73">
        <v>44785</v>
      </c>
      <c r="B1118" s="74" t="s">
        <v>25815</v>
      </c>
      <c r="C1118" s="75" t="s">
        <v>99</v>
      </c>
      <c r="D1118" s="176">
        <v>3309.8</v>
      </c>
      <c r="E1118" s="151">
        <v>44788</v>
      </c>
      <c r="F1118" s="176">
        <v>3309.8</v>
      </c>
      <c r="G1118" s="177">
        <f>Tabla19[[#This Row],[Importe]]-Tabla19[[#This Row],[Pagado]]</f>
        <v>0</v>
      </c>
      <c r="H1118" s="75" t="s">
        <v>10</v>
      </c>
    </row>
    <row r="1119" spans="1:8" ht="31.5" x14ac:dyDescent="0.25">
      <c r="A1119" s="148">
        <v>44785</v>
      </c>
      <c r="B1119" s="149" t="s">
        <v>25816</v>
      </c>
      <c r="C1119" s="153" t="s">
        <v>93</v>
      </c>
      <c r="D1119" s="178">
        <v>10272.9</v>
      </c>
      <c r="E1119" s="150" t="s">
        <v>25817</v>
      </c>
      <c r="F1119" s="178">
        <f>5000+5272.9</f>
        <v>10272.9</v>
      </c>
      <c r="G1119" s="179">
        <f>Tabla19[[#This Row],[Importe]]-Tabla19[[#This Row],[Pagado]]</f>
        <v>0</v>
      </c>
      <c r="H1119" s="153" t="s">
        <v>10</v>
      </c>
    </row>
    <row r="1120" spans="1:8" x14ac:dyDescent="0.25">
      <c r="A1120" s="73">
        <v>44785</v>
      </c>
      <c r="B1120" s="74" t="s">
        <v>25818</v>
      </c>
      <c r="C1120" s="75" t="s">
        <v>83</v>
      </c>
      <c r="D1120" s="176">
        <v>6064</v>
      </c>
      <c r="E1120" s="151">
        <v>44785</v>
      </c>
      <c r="F1120" s="176">
        <v>6064</v>
      </c>
      <c r="G1120" s="177">
        <f>Tabla19[[#This Row],[Importe]]-Tabla19[[#This Row],[Pagado]]</f>
        <v>0</v>
      </c>
      <c r="H1120" s="75" t="s">
        <v>10</v>
      </c>
    </row>
    <row r="1121" spans="1:8" x14ac:dyDescent="0.25">
      <c r="A1121" s="148">
        <v>44785</v>
      </c>
      <c r="B1121" s="149" t="s">
        <v>25819</v>
      </c>
      <c r="C1121" s="153" t="s">
        <v>89</v>
      </c>
      <c r="D1121" s="178">
        <v>17446.8</v>
      </c>
      <c r="E1121" s="155">
        <v>44786</v>
      </c>
      <c r="F1121" s="178">
        <v>17446.8</v>
      </c>
      <c r="G1121" s="179">
        <f>Tabla19[[#This Row],[Importe]]-Tabla19[[#This Row],[Pagado]]</f>
        <v>0</v>
      </c>
      <c r="H1121" s="153" t="s">
        <v>10</v>
      </c>
    </row>
    <row r="1122" spans="1:8" x14ac:dyDescent="0.25">
      <c r="A1122" s="73">
        <v>44785</v>
      </c>
      <c r="B1122" s="74" t="s">
        <v>25820</v>
      </c>
      <c r="C1122" s="75" t="s">
        <v>2151</v>
      </c>
      <c r="D1122" s="176">
        <v>24620.3</v>
      </c>
      <c r="E1122" s="151">
        <v>44785</v>
      </c>
      <c r="F1122" s="176">
        <v>24620.3</v>
      </c>
      <c r="G1122" s="177">
        <f>Tabla19[[#This Row],[Importe]]-Tabla19[[#This Row],[Pagado]]</f>
        <v>0</v>
      </c>
      <c r="H1122" s="75" t="s">
        <v>10</v>
      </c>
    </row>
    <row r="1123" spans="1:8" x14ac:dyDescent="0.25">
      <c r="A1123" s="148">
        <v>44785</v>
      </c>
      <c r="B1123" s="149" t="s">
        <v>25821</v>
      </c>
      <c r="C1123" s="153" t="s">
        <v>314</v>
      </c>
      <c r="D1123" s="178">
        <v>4300.3999999999996</v>
      </c>
      <c r="E1123" s="155">
        <v>44785</v>
      </c>
      <c r="F1123" s="178">
        <v>4300.3999999999996</v>
      </c>
      <c r="G1123" s="179">
        <f>Tabla19[[#This Row],[Importe]]-Tabla19[[#This Row],[Pagado]]</f>
        <v>0</v>
      </c>
      <c r="H1123" s="153" t="s">
        <v>10</v>
      </c>
    </row>
    <row r="1124" spans="1:8" x14ac:dyDescent="0.25">
      <c r="A1124" s="73">
        <v>44785</v>
      </c>
      <c r="B1124" s="74" t="s">
        <v>25822</v>
      </c>
      <c r="C1124" s="75" t="s">
        <v>64</v>
      </c>
      <c r="D1124" s="176">
        <v>10253.6</v>
      </c>
      <c r="E1124" s="151">
        <v>44786</v>
      </c>
      <c r="F1124" s="176">
        <v>10253.6</v>
      </c>
      <c r="G1124" s="177">
        <f>Tabla19[[#This Row],[Importe]]-Tabla19[[#This Row],[Pagado]]</f>
        <v>0</v>
      </c>
      <c r="H1124" s="75" t="s">
        <v>10</v>
      </c>
    </row>
    <row r="1125" spans="1:8" x14ac:dyDescent="0.25">
      <c r="A1125" s="148">
        <v>44785</v>
      </c>
      <c r="B1125" s="149" t="s">
        <v>25823</v>
      </c>
      <c r="C1125" s="153" t="s">
        <v>924</v>
      </c>
      <c r="D1125" s="178">
        <v>13801.5</v>
      </c>
      <c r="E1125" s="155">
        <v>44785</v>
      </c>
      <c r="F1125" s="178">
        <v>13801.5</v>
      </c>
      <c r="G1125" s="179">
        <f>Tabla19[[#This Row],[Importe]]-Tabla19[[#This Row],[Pagado]]</f>
        <v>0</v>
      </c>
      <c r="H1125" s="153" t="s">
        <v>10</v>
      </c>
    </row>
    <row r="1126" spans="1:8" x14ac:dyDescent="0.25">
      <c r="A1126" s="73">
        <v>44785</v>
      </c>
      <c r="B1126" s="74" t="s">
        <v>25824</v>
      </c>
      <c r="C1126" s="75" t="s">
        <v>87</v>
      </c>
      <c r="D1126" s="176">
        <v>4819.6000000000004</v>
      </c>
      <c r="E1126" s="151">
        <v>44785</v>
      </c>
      <c r="F1126" s="176">
        <v>4819.6000000000004</v>
      </c>
      <c r="G1126" s="177">
        <f>Tabla19[[#This Row],[Importe]]-Tabla19[[#This Row],[Pagado]]</f>
        <v>0</v>
      </c>
      <c r="H1126" s="75" t="s">
        <v>10</v>
      </c>
    </row>
    <row r="1127" spans="1:8" x14ac:dyDescent="0.25">
      <c r="A1127" s="148">
        <v>44785</v>
      </c>
      <c r="B1127" s="149" t="s">
        <v>25825</v>
      </c>
      <c r="C1127" s="153" t="s">
        <v>9</v>
      </c>
      <c r="D1127" s="178">
        <v>7078.7</v>
      </c>
      <c r="E1127" s="155">
        <v>44785</v>
      </c>
      <c r="F1127" s="178">
        <v>7078.7</v>
      </c>
      <c r="G1127" s="179">
        <f>Tabla19[[#This Row],[Importe]]-Tabla19[[#This Row],[Pagado]]</f>
        <v>0</v>
      </c>
      <c r="H1127" s="153" t="s">
        <v>10</v>
      </c>
    </row>
    <row r="1128" spans="1:8" x14ac:dyDescent="0.25">
      <c r="A1128" s="73">
        <v>44785</v>
      </c>
      <c r="B1128" s="74" t="s">
        <v>25826</v>
      </c>
      <c r="C1128" s="75" t="s">
        <v>924</v>
      </c>
      <c r="D1128" s="176">
        <v>4920</v>
      </c>
      <c r="E1128" s="151">
        <v>44785</v>
      </c>
      <c r="F1128" s="176">
        <v>4920</v>
      </c>
      <c r="G1128" s="177">
        <f>Tabla19[[#This Row],[Importe]]-Tabla19[[#This Row],[Pagado]]</f>
        <v>0</v>
      </c>
      <c r="H1128" s="75" t="s">
        <v>10</v>
      </c>
    </row>
    <row r="1129" spans="1:8" x14ac:dyDescent="0.25">
      <c r="A1129" s="148">
        <v>44785</v>
      </c>
      <c r="B1129" s="149" t="s">
        <v>25827</v>
      </c>
      <c r="C1129" s="153" t="s">
        <v>9</v>
      </c>
      <c r="D1129" s="178">
        <v>3789.2</v>
      </c>
      <c r="E1129" s="155">
        <v>44785</v>
      </c>
      <c r="F1129" s="178">
        <v>3789.2</v>
      </c>
      <c r="G1129" s="179">
        <f>Tabla19[[#This Row],[Importe]]-Tabla19[[#This Row],[Pagado]]</f>
        <v>0</v>
      </c>
      <c r="H1129" s="153" t="s">
        <v>10</v>
      </c>
    </row>
    <row r="1130" spans="1:8" x14ac:dyDescent="0.25">
      <c r="A1130" s="73">
        <v>44785</v>
      </c>
      <c r="B1130" s="74" t="s">
        <v>25828</v>
      </c>
      <c r="C1130" s="75" t="s">
        <v>29</v>
      </c>
      <c r="D1130" s="176">
        <v>6720</v>
      </c>
      <c r="E1130" s="151">
        <v>44785</v>
      </c>
      <c r="F1130" s="176">
        <v>6720</v>
      </c>
      <c r="G1130" s="177">
        <f>Tabla19[[#This Row],[Importe]]-Tabla19[[#This Row],[Pagado]]</f>
        <v>0</v>
      </c>
      <c r="H1130" s="75" t="s">
        <v>10</v>
      </c>
    </row>
    <row r="1131" spans="1:8" x14ac:dyDescent="0.25">
      <c r="A1131" s="148">
        <v>44785</v>
      </c>
      <c r="B1131" s="149" t="s">
        <v>25829</v>
      </c>
      <c r="C1131" s="153" t="s">
        <v>1187</v>
      </c>
      <c r="D1131" s="178">
        <v>2592.9</v>
      </c>
      <c r="E1131" s="155">
        <v>44785</v>
      </c>
      <c r="F1131" s="178">
        <v>2592.9</v>
      </c>
      <c r="G1131" s="179">
        <f>Tabla19[[#This Row],[Importe]]-Tabla19[[#This Row],[Pagado]]</f>
        <v>0</v>
      </c>
      <c r="H1131" s="153" t="s">
        <v>10</v>
      </c>
    </row>
    <row r="1132" spans="1:8" x14ac:dyDescent="0.25">
      <c r="A1132" s="73">
        <v>44785</v>
      </c>
      <c r="B1132" s="74" t="s">
        <v>25830</v>
      </c>
      <c r="C1132" s="75" t="s">
        <v>212</v>
      </c>
      <c r="D1132" s="176">
        <v>66209.2</v>
      </c>
      <c r="E1132" s="151">
        <v>44790</v>
      </c>
      <c r="F1132" s="176">
        <v>66209.2</v>
      </c>
      <c r="G1132" s="177">
        <f>Tabla19[[#This Row],[Importe]]-Tabla19[[#This Row],[Pagado]]</f>
        <v>0</v>
      </c>
      <c r="H1132" s="75" t="s">
        <v>10</v>
      </c>
    </row>
    <row r="1133" spans="1:8" x14ac:dyDescent="0.25">
      <c r="A1133" s="148">
        <v>44785</v>
      </c>
      <c r="B1133" s="149" t="s">
        <v>25831</v>
      </c>
      <c r="C1133" s="153" t="s">
        <v>4136</v>
      </c>
      <c r="D1133" s="178">
        <v>2845.6</v>
      </c>
      <c r="E1133" s="155">
        <v>44785</v>
      </c>
      <c r="F1133" s="178">
        <v>2845.6</v>
      </c>
      <c r="G1133" s="179">
        <f>Tabla19[[#This Row],[Importe]]-Tabla19[[#This Row],[Pagado]]</f>
        <v>0</v>
      </c>
      <c r="H1133" s="153" t="s">
        <v>10</v>
      </c>
    </row>
    <row r="1134" spans="1:8" x14ac:dyDescent="0.25">
      <c r="A1134" s="73">
        <v>44785</v>
      </c>
      <c r="B1134" s="74" t="s">
        <v>25832</v>
      </c>
      <c r="C1134" s="75" t="s">
        <v>348</v>
      </c>
      <c r="D1134" s="176">
        <v>4482.3</v>
      </c>
      <c r="E1134" s="151">
        <v>44785</v>
      </c>
      <c r="F1134" s="176">
        <v>4482.3</v>
      </c>
      <c r="G1134" s="177">
        <f>Tabla19[[#This Row],[Importe]]-Tabla19[[#This Row],[Pagado]]</f>
        <v>0</v>
      </c>
      <c r="H1134" s="75" t="s">
        <v>10</v>
      </c>
    </row>
    <row r="1135" spans="1:8" x14ac:dyDescent="0.25">
      <c r="A1135" s="148">
        <v>44785</v>
      </c>
      <c r="B1135" s="149" t="s">
        <v>25833</v>
      </c>
      <c r="C1135" s="153" t="s">
        <v>17556</v>
      </c>
      <c r="D1135" s="178">
        <v>4299.3999999999996</v>
      </c>
      <c r="E1135" s="155">
        <v>44785</v>
      </c>
      <c r="F1135" s="178">
        <v>4299.3999999999996</v>
      </c>
      <c r="G1135" s="179">
        <f>Tabla19[[#This Row],[Importe]]-Tabla19[[#This Row],[Pagado]]</f>
        <v>0</v>
      </c>
      <c r="H1135" s="153" t="s">
        <v>10</v>
      </c>
    </row>
    <row r="1136" spans="1:8" ht="31.5" x14ac:dyDescent="0.25">
      <c r="A1136" s="73">
        <v>44785</v>
      </c>
      <c r="B1136" s="74" t="s">
        <v>25834</v>
      </c>
      <c r="C1136" s="75" t="s">
        <v>22</v>
      </c>
      <c r="D1136" s="176">
        <v>77544.5</v>
      </c>
      <c r="E1136" s="147" t="s">
        <v>25799</v>
      </c>
      <c r="F1136" s="176">
        <f>64000+13544.5</f>
        <v>77544.5</v>
      </c>
      <c r="G1136" s="177">
        <f>Tabla19[[#This Row],[Importe]]-Tabla19[[#This Row],[Pagado]]</f>
        <v>0</v>
      </c>
      <c r="H1136" s="75" t="s">
        <v>10</v>
      </c>
    </row>
    <row r="1137" spans="1:8" x14ac:dyDescent="0.25">
      <c r="A1137" s="148">
        <v>44785</v>
      </c>
      <c r="B1137" s="149" t="s">
        <v>25835</v>
      </c>
      <c r="C1137" s="153" t="s">
        <v>27</v>
      </c>
      <c r="D1137" s="178">
        <v>4289.7</v>
      </c>
      <c r="E1137" s="155">
        <v>44785</v>
      </c>
      <c r="F1137" s="178">
        <v>4289.7</v>
      </c>
      <c r="G1137" s="179">
        <f>Tabla19[[#This Row],[Importe]]-Tabla19[[#This Row],[Pagado]]</f>
        <v>0</v>
      </c>
      <c r="H1137" s="153" t="s">
        <v>10</v>
      </c>
    </row>
    <row r="1138" spans="1:8" x14ac:dyDescent="0.25">
      <c r="A1138" s="73">
        <v>44785</v>
      </c>
      <c r="B1138" s="74" t="s">
        <v>25836</v>
      </c>
      <c r="C1138" s="75" t="s">
        <v>45</v>
      </c>
      <c r="D1138" s="176">
        <v>17538.8</v>
      </c>
      <c r="E1138" s="151">
        <v>44785</v>
      </c>
      <c r="F1138" s="176">
        <v>17538.8</v>
      </c>
      <c r="G1138" s="177">
        <f>Tabla19[[#This Row],[Importe]]-Tabla19[[#This Row],[Pagado]]</f>
        <v>0</v>
      </c>
      <c r="H1138" s="75" t="s">
        <v>10</v>
      </c>
    </row>
    <row r="1139" spans="1:8" x14ac:dyDescent="0.25">
      <c r="A1139" s="148">
        <v>44785</v>
      </c>
      <c r="B1139" s="149" t="s">
        <v>25837</v>
      </c>
      <c r="C1139" s="153" t="s">
        <v>196</v>
      </c>
      <c r="D1139" s="178">
        <v>37154</v>
      </c>
      <c r="E1139" s="155">
        <v>44786</v>
      </c>
      <c r="F1139" s="178">
        <v>37154</v>
      </c>
      <c r="G1139" s="179">
        <f>Tabla19[[#This Row],[Importe]]-Tabla19[[#This Row],[Pagado]]</f>
        <v>0</v>
      </c>
      <c r="H1139" s="153" t="s">
        <v>10</v>
      </c>
    </row>
    <row r="1140" spans="1:8" x14ac:dyDescent="0.25">
      <c r="A1140" s="73">
        <v>44785</v>
      </c>
      <c r="B1140" s="74" t="s">
        <v>25838</v>
      </c>
      <c r="C1140" s="75" t="s">
        <v>218</v>
      </c>
      <c r="D1140" s="176">
        <v>12444</v>
      </c>
      <c r="E1140" s="151">
        <v>44791</v>
      </c>
      <c r="F1140" s="176">
        <v>12444</v>
      </c>
      <c r="G1140" s="177">
        <f>Tabla19[[#This Row],[Importe]]-Tabla19[[#This Row],[Pagado]]</f>
        <v>0</v>
      </c>
      <c r="H1140" s="75" t="s">
        <v>10</v>
      </c>
    </row>
    <row r="1141" spans="1:8" x14ac:dyDescent="0.25">
      <c r="A1141" s="148">
        <v>44785</v>
      </c>
      <c r="B1141" s="149" t="s">
        <v>25839</v>
      </c>
      <c r="C1141" s="153" t="s">
        <v>647</v>
      </c>
      <c r="D1141" s="178">
        <v>3537</v>
      </c>
      <c r="E1141" s="155">
        <v>44785</v>
      </c>
      <c r="F1141" s="178">
        <v>3537</v>
      </c>
      <c r="G1141" s="179">
        <f>Tabla19[[#This Row],[Importe]]-Tabla19[[#This Row],[Pagado]]</f>
        <v>0</v>
      </c>
      <c r="H1141" s="153" t="s">
        <v>10</v>
      </c>
    </row>
    <row r="1142" spans="1:8" x14ac:dyDescent="0.25">
      <c r="A1142" s="73">
        <v>44785</v>
      </c>
      <c r="B1142" s="74" t="s">
        <v>25840</v>
      </c>
      <c r="C1142" s="75" t="s">
        <v>154</v>
      </c>
      <c r="D1142" s="176">
        <v>42448.1</v>
      </c>
      <c r="E1142" s="151">
        <v>44790</v>
      </c>
      <c r="F1142" s="176">
        <v>42448.1</v>
      </c>
      <c r="G1142" s="177">
        <f>Tabla19[[#This Row],[Importe]]-Tabla19[[#This Row],[Pagado]]</f>
        <v>0</v>
      </c>
      <c r="H1142" s="75" t="s">
        <v>10</v>
      </c>
    </row>
    <row r="1143" spans="1:8" x14ac:dyDescent="0.25">
      <c r="A1143" s="148">
        <v>44785</v>
      </c>
      <c r="B1143" s="149" t="s">
        <v>25841</v>
      </c>
      <c r="C1143" s="153" t="s">
        <v>218</v>
      </c>
      <c r="D1143" s="178">
        <v>12432</v>
      </c>
      <c r="E1143" s="155">
        <v>44791</v>
      </c>
      <c r="F1143" s="178">
        <v>12432</v>
      </c>
      <c r="G1143" s="179">
        <f>Tabla19[[#This Row],[Importe]]-Tabla19[[#This Row],[Pagado]]</f>
        <v>0</v>
      </c>
      <c r="H1143" s="153" t="s">
        <v>10</v>
      </c>
    </row>
    <row r="1144" spans="1:8" x14ac:dyDescent="0.25">
      <c r="A1144" s="73">
        <v>44785</v>
      </c>
      <c r="B1144" s="74" t="s">
        <v>25842</v>
      </c>
      <c r="C1144" s="75" t="s">
        <v>212</v>
      </c>
      <c r="D1144" s="176">
        <v>238.5</v>
      </c>
      <c r="E1144" s="151">
        <v>44786</v>
      </c>
      <c r="F1144" s="176">
        <v>238.5</v>
      </c>
      <c r="G1144" s="177">
        <f>Tabla19[[#This Row],[Importe]]-Tabla19[[#This Row],[Pagado]]</f>
        <v>0</v>
      </c>
      <c r="H1144" s="75" t="s">
        <v>10</v>
      </c>
    </row>
    <row r="1145" spans="1:8" x14ac:dyDescent="0.25">
      <c r="A1145" s="148">
        <v>44785</v>
      </c>
      <c r="B1145" s="149" t="s">
        <v>25843</v>
      </c>
      <c r="C1145" s="153" t="s">
        <v>206</v>
      </c>
      <c r="D1145" s="178">
        <v>29417.4</v>
      </c>
      <c r="E1145" s="155">
        <v>44790</v>
      </c>
      <c r="F1145" s="178">
        <v>29417.4</v>
      </c>
      <c r="G1145" s="179">
        <f>Tabla19[[#This Row],[Importe]]-Tabla19[[#This Row],[Pagado]]</f>
        <v>0</v>
      </c>
      <c r="H1145" s="153" t="s">
        <v>10</v>
      </c>
    </row>
    <row r="1146" spans="1:8" x14ac:dyDescent="0.25">
      <c r="A1146" s="73">
        <v>44785</v>
      </c>
      <c r="B1146" s="74" t="s">
        <v>25844</v>
      </c>
      <c r="C1146" s="75" t="s">
        <v>154</v>
      </c>
      <c r="D1146" s="176">
        <v>17434.400000000001</v>
      </c>
      <c r="E1146" s="151">
        <v>44790</v>
      </c>
      <c r="F1146" s="176">
        <v>17434.400000000001</v>
      </c>
      <c r="G1146" s="177">
        <f>Tabla19[[#This Row],[Importe]]-Tabla19[[#This Row],[Pagado]]</f>
        <v>0</v>
      </c>
      <c r="H1146" s="75" t="s">
        <v>10</v>
      </c>
    </row>
    <row r="1147" spans="1:8" x14ac:dyDescent="0.25">
      <c r="A1147" s="148">
        <v>44785</v>
      </c>
      <c r="B1147" s="149" t="s">
        <v>25845</v>
      </c>
      <c r="C1147" s="153" t="s">
        <v>392</v>
      </c>
      <c r="D1147" s="178">
        <v>25678.2</v>
      </c>
      <c r="E1147" s="155">
        <v>44792</v>
      </c>
      <c r="F1147" s="178">
        <v>25678.2</v>
      </c>
      <c r="G1147" s="179">
        <f>Tabla19[[#This Row],[Importe]]-Tabla19[[#This Row],[Pagado]]</f>
        <v>0</v>
      </c>
      <c r="H1147" s="153" t="s">
        <v>10</v>
      </c>
    </row>
    <row r="1148" spans="1:8" x14ac:dyDescent="0.25">
      <c r="A1148" s="73">
        <v>44785</v>
      </c>
      <c r="B1148" s="74" t="s">
        <v>25846</v>
      </c>
      <c r="C1148" s="75" t="s">
        <v>35</v>
      </c>
      <c r="D1148" s="176">
        <v>2080</v>
      </c>
      <c r="E1148" s="151">
        <v>44785</v>
      </c>
      <c r="F1148" s="176">
        <v>2080</v>
      </c>
      <c r="G1148" s="177">
        <f>Tabla19[[#This Row],[Importe]]-Tabla19[[#This Row],[Pagado]]</f>
        <v>0</v>
      </c>
      <c r="H1148" s="75" t="s">
        <v>10</v>
      </c>
    </row>
    <row r="1149" spans="1:8" x14ac:dyDescent="0.25">
      <c r="A1149" s="148">
        <v>44785</v>
      </c>
      <c r="B1149" s="149" t="s">
        <v>25847</v>
      </c>
      <c r="C1149" s="153" t="s">
        <v>2114</v>
      </c>
      <c r="D1149" s="178">
        <v>1672</v>
      </c>
      <c r="E1149" s="155">
        <v>44785</v>
      </c>
      <c r="F1149" s="178">
        <v>1672</v>
      </c>
      <c r="G1149" s="179">
        <f>Tabla19[[#This Row],[Importe]]-Tabla19[[#This Row],[Pagado]]</f>
        <v>0</v>
      </c>
      <c r="H1149" s="153" t="s">
        <v>10</v>
      </c>
    </row>
    <row r="1150" spans="1:8" x14ac:dyDescent="0.25">
      <c r="A1150" s="73">
        <v>44785</v>
      </c>
      <c r="B1150" s="74" t="s">
        <v>25848</v>
      </c>
      <c r="C1150" s="75" t="s">
        <v>151</v>
      </c>
      <c r="D1150" s="176">
        <v>42084</v>
      </c>
      <c r="E1150" s="151">
        <v>44785</v>
      </c>
      <c r="F1150" s="176">
        <v>42084</v>
      </c>
      <c r="G1150" s="177">
        <f>Tabla19[[#This Row],[Importe]]-Tabla19[[#This Row],[Pagado]]</f>
        <v>0</v>
      </c>
      <c r="H1150" s="75" t="s">
        <v>10</v>
      </c>
    </row>
    <row r="1151" spans="1:8" x14ac:dyDescent="0.25">
      <c r="A1151" s="148">
        <v>44785</v>
      </c>
      <c r="B1151" s="149" t="s">
        <v>25849</v>
      </c>
      <c r="C1151" s="153" t="s">
        <v>541</v>
      </c>
      <c r="D1151" s="178">
        <v>16771.400000000001</v>
      </c>
      <c r="E1151" s="155">
        <v>44786</v>
      </c>
      <c r="F1151" s="178">
        <v>16771.400000000001</v>
      </c>
      <c r="G1151" s="179">
        <f>Tabla19[[#This Row],[Importe]]-Tabla19[[#This Row],[Pagado]]</f>
        <v>0</v>
      </c>
      <c r="H1151" s="153" t="s">
        <v>10</v>
      </c>
    </row>
    <row r="1152" spans="1:8" x14ac:dyDescent="0.25">
      <c r="A1152" s="73">
        <v>44785</v>
      </c>
      <c r="B1152" s="74" t="s">
        <v>25850</v>
      </c>
      <c r="C1152" s="75" t="s">
        <v>484</v>
      </c>
      <c r="D1152" s="176">
        <v>3962.4</v>
      </c>
      <c r="E1152" s="151">
        <v>44785</v>
      </c>
      <c r="F1152" s="176">
        <v>3962.4</v>
      </c>
      <c r="G1152" s="177">
        <f>Tabla19[[#This Row],[Importe]]-Tabla19[[#This Row],[Pagado]]</f>
        <v>0</v>
      </c>
      <c r="H1152" s="75" t="s">
        <v>10</v>
      </c>
    </row>
    <row r="1153" spans="1:8" x14ac:dyDescent="0.25">
      <c r="A1153" s="148">
        <v>44785</v>
      </c>
      <c r="B1153" s="149" t="s">
        <v>25851</v>
      </c>
      <c r="C1153" s="153" t="s">
        <v>181</v>
      </c>
      <c r="D1153" s="178">
        <v>11396.7</v>
      </c>
      <c r="E1153" s="155">
        <v>44785</v>
      </c>
      <c r="F1153" s="178">
        <v>11396.7</v>
      </c>
      <c r="G1153" s="179">
        <f>Tabla19[[#This Row],[Importe]]-Tabla19[[#This Row],[Pagado]]</f>
        <v>0</v>
      </c>
      <c r="H1153" s="153" t="s">
        <v>10</v>
      </c>
    </row>
    <row r="1154" spans="1:8" x14ac:dyDescent="0.25">
      <c r="A1154" s="73">
        <v>44785</v>
      </c>
      <c r="B1154" s="74" t="s">
        <v>25852</v>
      </c>
      <c r="C1154" s="75" t="s">
        <v>200</v>
      </c>
      <c r="D1154" s="176">
        <v>1352.4</v>
      </c>
      <c r="E1154" s="151">
        <v>44785</v>
      </c>
      <c r="F1154" s="176">
        <v>1352.4</v>
      </c>
      <c r="G1154" s="177">
        <f>Tabla19[[#This Row],[Importe]]-Tabla19[[#This Row],[Pagado]]</f>
        <v>0</v>
      </c>
      <c r="H1154" s="75" t="s">
        <v>10</v>
      </c>
    </row>
    <row r="1155" spans="1:8" x14ac:dyDescent="0.25">
      <c r="A1155" s="148">
        <v>44785</v>
      </c>
      <c r="B1155" s="149" t="s">
        <v>25853</v>
      </c>
      <c r="C1155" s="153" t="s">
        <v>359</v>
      </c>
      <c r="D1155" s="178">
        <v>669.6</v>
      </c>
      <c r="E1155" s="155">
        <v>44785</v>
      </c>
      <c r="F1155" s="178">
        <v>669.6</v>
      </c>
      <c r="G1155" s="179">
        <f>Tabla19[[#This Row],[Importe]]-Tabla19[[#This Row],[Pagado]]</f>
        <v>0</v>
      </c>
      <c r="H1155" s="153" t="s">
        <v>10</v>
      </c>
    </row>
    <row r="1156" spans="1:8" x14ac:dyDescent="0.25">
      <c r="A1156" s="73">
        <v>44785</v>
      </c>
      <c r="B1156" s="74" t="s">
        <v>25854</v>
      </c>
      <c r="C1156" s="75" t="s">
        <v>56</v>
      </c>
      <c r="D1156" s="176">
        <v>9391.4</v>
      </c>
      <c r="E1156" s="151">
        <v>44785</v>
      </c>
      <c r="F1156" s="176">
        <v>9391.4</v>
      </c>
      <c r="G1156" s="177">
        <f>Tabla19[[#This Row],[Importe]]-Tabla19[[#This Row],[Pagado]]</f>
        <v>0</v>
      </c>
      <c r="H1156" s="75" t="s">
        <v>10</v>
      </c>
    </row>
    <row r="1157" spans="1:8" x14ac:dyDescent="0.25">
      <c r="A1157" s="148">
        <v>44785</v>
      </c>
      <c r="B1157" s="149" t="s">
        <v>25855</v>
      </c>
      <c r="C1157" s="153" t="s">
        <v>142</v>
      </c>
      <c r="D1157" s="178">
        <v>73336.13</v>
      </c>
      <c r="E1157" s="155" t="s">
        <v>4813</v>
      </c>
      <c r="F1157" s="178">
        <v>0</v>
      </c>
      <c r="G1157" s="179">
        <f>Tabla19[[#This Row],[Importe]]-Tabla19[[#This Row],[Pagado]]</f>
        <v>73336.13</v>
      </c>
      <c r="H1157" s="153" t="s">
        <v>4814</v>
      </c>
    </row>
    <row r="1158" spans="1:8" x14ac:dyDescent="0.25">
      <c r="A1158" s="73">
        <v>44785</v>
      </c>
      <c r="B1158" s="74" t="s">
        <v>25856</v>
      </c>
      <c r="C1158" s="75" t="s">
        <v>175</v>
      </c>
      <c r="D1158" s="176">
        <v>9644.2999999999993</v>
      </c>
      <c r="E1158" s="151">
        <v>44785</v>
      </c>
      <c r="F1158" s="176">
        <v>9644.2999999999993</v>
      </c>
      <c r="G1158" s="177">
        <f>Tabla19[[#This Row],[Importe]]-Tabla19[[#This Row],[Pagado]]</f>
        <v>0</v>
      </c>
      <c r="H1158" s="75" t="s">
        <v>10</v>
      </c>
    </row>
    <row r="1159" spans="1:8" x14ac:dyDescent="0.25">
      <c r="A1159" s="148">
        <v>44785</v>
      </c>
      <c r="B1159" s="149" t="s">
        <v>25857</v>
      </c>
      <c r="C1159" s="153" t="s">
        <v>198</v>
      </c>
      <c r="D1159" s="178">
        <v>1170.5999999999999</v>
      </c>
      <c r="E1159" s="155">
        <v>44785</v>
      </c>
      <c r="F1159" s="178">
        <v>1170.5999999999999</v>
      </c>
      <c r="G1159" s="179">
        <f>Tabla19[[#This Row],[Importe]]-Tabla19[[#This Row],[Pagado]]</f>
        <v>0</v>
      </c>
      <c r="H1159" s="153" t="s">
        <v>10</v>
      </c>
    </row>
    <row r="1160" spans="1:8" x14ac:dyDescent="0.25">
      <c r="A1160" s="73">
        <v>44785</v>
      </c>
      <c r="B1160" s="74" t="s">
        <v>25858</v>
      </c>
      <c r="C1160" s="75" t="s">
        <v>191</v>
      </c>
      <c r="D1160" s="176">
        <v>2551.6999999999998</v>
      </c>
      <c r="E1160" s="151">
        <v>44785</v>
      </c>
      <c r="F1160" s="176">
        <v>2551.6999999999998</v>
      </c>
      <c r="G1160" s="177">
        <f>Tabla19[[#This Row],[Importe]]-Tabla19[[#This Row],[Pagado]]</f>
        <v>0</v>
      </c>
      <c r="H1160" s="75" t="s">
        <v>10</v>
      </c>
    </row>
    <row r="1161" spans="1:8" x14ac:dyDescent="0.25">
      <c r="A1161" s="148">
        <v>44785</v>
      </c>
      <c r="B1161" s="149" t="s">
        <v>25859</v>
      </c>
      <c r="C1161" s="153" t="s">
        <v>1003</v>
      </c>
      <c r="D1161" s="178">
        <v>10712.9</v>
      </c>
      <c r="E1161" s="155">
        <v>44787</v>
      </c>
      <c r="F1161" s="178">
        <v>10712.9</v>
      </c>
      <c r="G1161" s="179">
        <f>Tabla19[[#This Row],[Importe]]-Tabla19[[#This Row],[Pagado]]</f>
        <v>0</v>
      </c>
      <c r="H1161" s="153" t="s">
        <v>10</v>
      </c>
    </row>
    <row r="1162" spans="1:8" x14ac:dyDescent="0.25">
      <c r="A1162" s="73">
        <v>44785</v>
      </c>
      <c r="B1162" s="74" t="s">
        <v>25860</v>
      </c>
      <c r="C1162" s="75" t="s">
        <v>452</v>
      </c>
      <c r="D1162" s="176">
        <v>7928</v>
      </c>
      <c r="E1162" s="151">
        <v>44785</v>
      </c>
      <c r="F1162" s="176">
        <v>7928</v>
      </c>
      <c r="G1162" s="177">
        <f>Tabla19[[#This Row],[Importe]]-Tabla19[[#This Row],[Pagado]]</f>
        <v>0</v>
      </c>
      <c r="H1162" s="75" t="s">
        <v>10</v>
      </c>
    </row>
    <row r="1163" spans="1:8" x14ac:dyDescent="0.25">
      <c r="A1163" s="148">
        <v>44785</v>
      </c>
      <c r="B1163" s="149" t="s">
        <v>25861</v>
      </c>
      <c r="C1163" s="153" t="s">
        <v>140</v>
      </c>
      <c r="D1163" s="178">
        <v>4447.5</v>
      </c>
      <c r="E1163" s="155">
        <v>44785</v>
      </c>
      <c r="F1163" s="178">
        <v>4447.5</v>
      </c>
      <c r="G1163" s="179">
        <f>Tabla19[[#This Row],[Importe]]-Tabla19[[#This Row],[Pagado]]</f>
        <v>0</v>
      </c>
      <c r="H1163" s="153" t="s">
        <v>10</v>
      </c>
    </row>
    <row r="1164" spans="1:8" x14ac:dyDescent="0.25">
      <c r="A1164" s="73">
        <v>44785</v>
      </c>
      <c r="B1164" s="74" t="s">
        <v>25862</v>
      </c>
      <c r="C1164" s="75" t="s">
        <v>357</v>
      </c>
      <c r="D1164" s="176">
        <v>756.5</v>
      </c>
      <c r="E1164" s="151">
        <v>44785</v>
      </c>
      <c r="F1164" s="176">
        <v>756.5</v>
      </c>
      <c r="G1164" s="177">
        <f>Tabla19[[#This Row],[Importe]]-Tabla19[[#This Row],[Pagado]]</f>
        <v>0</v>
      </c>
      <c r="H1164" s="75" t="s">
        <v>10</v>
      </c>
    </row>
    <row r="1165" spans="1:8" x14ac:dyDescent="0.25">
      <c r="A1165" s="148">
        <v>44785</v>
      </c>
      <c r="B1165" s="149" t="s">
        <v>25863</v>
      </c>
      <c r="C1165" s="153" t="s">
        <v>127</v>
      </c>
      <c r="D1165" s="178">
        <v>2239.1</v>
      </c>
      <c r="E1165" s="155">
        <v>44785</v>
      </c>
      <c r="F1165" s="178">
        <v>2239.1</v>
      </c>
      <c r="G1165" s="179">
        <f>Tabla19[[#This Row],[Importe]]-Tabla19[[#This Row],[Pagado]]</f>
        <v>0</v>
      </c>
      <c r="H1165" s="153" t="s">
        <v>10</v>
      </c>
    </row>
    <row r="1166" spans="1:8" x14ac:dyDescent="0.25">
      <c r="A1166" s="73">
        <v>44785</v>
      </c>
      <c r="B1166" s="74" t="s">
        <v>25864</v>
      </c>
      <c r="C1166" s="75" t="s">
        <v>129</v>
      </c>
      <c r="D1166" s="176">
        <v>1504.5</v>
      </c>
      <c r="E1166" s="151">
        <v>44785</v>
      </c>
      <c r="F1166" s="176">
        <v>1504.5</v>
      </c>
      <c r="G1166" s="177">
        <f>Tabla19[[#This Row],[Importe]]-Tabla19[[#This Row],[Pagado]]</f>
        <v>0</v>
      </c>
      <c r="H1166" s="75" t="s">
        <v>10</v>
      </c>
    </row>
    <row r="1167" spans="1:8" x14ac:dyDescent="0.25">
      <c r="A1167" s="148">
        <v>44785</v>
      </c>
      <c r="B1167" s="149" t="s">
        <v>25865</v>
      </c>
      <c r="C1167" s="153" t="s">
        <v>849</v>
      </c>
      <c r="D1167" s="178">
        <v>4104</v>
      </c>
      <c r="E1167" s="155">
        <v>44785</v>
      </c>
      <c r="F1167" s="178">
        <v>4104</v>
      </c>
      <c r="G1167" s="179">
        <f>Tabla19[[#This Row],[Importe]]-Tabla19[[#This Row],[Pagado]]</f>
        <v>0</v>
      </c>
      <c r="H1167" s="153" t="s">
        <v>10</v>
      </c>
    </row>
    <row r="1168" spans="1:8" x14ac:dyDescent="0.25">
      <c r="A1168" s="73">
        <v>44785</v>
      </c>
      <c r="B1168" s="74" t="s">
        <v>25866</v>
      </c>
      <c r="C1168" s="75" t="s">
        <v>1362</v>
      </c>
      <c r="D1168" s="176">
        <v>6116.1</v>
      </c>
      <c r="E1168" s="151">
        <v>44785</v>
      </c>
      <c r="F1168" s="176">
        <v>6116.1</v>
      </c>
      <c r="G1168" s="177">
        <f>Tabla19[[#This Row],[Importe]]-Tabla19[[#This Row],[Pagado]]</f>
        <v>0</v>
      </c>
      <c r="H1168" s="75" t="s">
        <v>10</v>
      </c>
    </row>
    <row r="1169" spans="1:8" x14ac:dyDescent="0.25">
      <c r="A1169" s="148">
        <v>44785</v>
      </c>
      <c r="B1169" s="149" t="s">
        <v>25867</v>
      </c>
      <c r="C1169" s="153" t="s">
        <v>146</v>
      </c>
      <c r="D1169" s="178">
        <v>6364</v>
      </c>
      <c r="E1169" s="155">
        <v>44785</v>
      </c>
      <c r="F1169" s="178">
        <v>6364</v>
      </c>
      <c r="G1169" s="179">
        <f>Tabla19[[#This Row],[Importe]]-Tabla19[[#This Row],[Pagado]]</f>
        <v>0</v>
      </c>
      <c r="H1169" s="153" t="s">
        <v>10</v>
      </c>
    </row>
    <row r="1170" spans="1:8" x14ac:dyDescent="0.25">
      <c r="A1170" s="73">
        <v>44785</v>
      </c>
      <c r="B1170" s="74" t="s">
        <v>25868</v>
      </c>
      <c r="C1170" s="75" t="s">
        <v>333</v>
      </c>
      <c r="D1170" s="176">
        <v>313.26</v>
      </c>
      <c r="E1170" s="151">
        <v>44785</v>
      </c>
      <c r="F1170" s="176">
        <v>313.26</v>
      </c>
      <c r="G1170" s="177">
        <f>Tabla19[[#This Row],[Importe]]-Tabla19[[#This Row],[Pagado]]</f>
        <v>0</v>
      </c>
      <c r="H1170" s="75" t="s">
        <v>10</v>
      </c>
    </row>
    <row r="1171" spans="1:8" x14ac:dyDescent="0.25">
      <c r="A1171" s="148">
        <v>44785</v>
      </c>
      <c r="B1171" s="149" t="s">
        <v>25869</v>
      </c>
      <c r="C1171" s="153" t="s">
        <v>555</v>
      </c>
      <c r="D1171" s="178">
        <v>19578</v>
      </c>
      <c r="E1171" s="155">
        <v>44786</v>
      </c>
      <c r="F1171" s="178">
        <v>19578</v>
      </c>
      <c r="G1171" s="179">
        <f>Tabla19[[#This Row],[Importe]]-Tabla19[[#This Row],[Pagado]]</f>
        <v>0</v>
      </c>
      <c r="H1171" s="153" t="s">
        <v>10</v>
      </c>
    </row>
    <row r="1172" spans="1:8" x14ac:dyDescent="0.25">
      <c r="A1172" s="73">
        <v>44785</v>
      </c>
      <c r="B1172" s="74" t="s">
        <v>25870</v>
      </c>
      <c r="C1172" s="75" t="s">
        <v>173</v>
      </c>
      <c r="D1172" s="176">
        <v>36072</v>
      </c>
      <c r="E1172" s="151">
        <v>44786</v>
      </c>
      <c r="F1172" s="176">
        <v>36072</v>
      </c>
      <c r="G1172" s="177">
        <f>Tabla19[[#This Row],[Importe]]-Tabla19[[#This Row],[Pagado]]</f>
        <v>0</v>
      </c>
      <c r="H1172" s="75" t="s">
        <v>10</v>
      </c>
    </row>
    <row r="1173" spans="1:8" x14ac:dyDescent="0.25">
      <c r="A1173" s="148">
        <v>44785</v>
      </c>
      <c r="B1173" s="149" t="s">
        <v>25871</v>
      </c>
      <c r="C1173" s="153" t="s">
        <v>24</v>
      </c>
      <c r="D1173" s="178">
        <v>700</v>
      </c>
      <c r="E1173" s="155">
        <v>44785</v>
      </c>
      <c r="F1173" s="178">
        <v>700</v>
      </c>
      <c r="G1173" s="179">
        <f>Tabla19[[#This Row],[Importe]]-Tabla19[[#This Row],[Pagado]]</f>
        <v>0</v>
      </c>
      <c r="H1173" s="153" t="s">
        <v>10</v>
      </c>
    </row>
    <row r="1174" spans="1:8" x14ac:dyDescent="0.25">
      <c r="A1174" s="73">
        <v>44785</v>
      </c>
      <c r="B1174" s="74" t="s">
        <v>25872</v>
      </c>
      <c r="C1174" s="75" t="s">
        <v>107</v>
      </c>
      <c r="D1174" s="176">
        <v>15588.4</v>
      </c>
      <c r="E1174" s="151">
        <v>44785</v>
      </c>
      <c r="F1174" s="176">
        <v>15588.4</v>
      </c>
      <c r="G1174" s="177">
        <f>Tabla19[[#This Row],[Importe]]-Tabla19[[#This Row],[Pagado]]</f>
        <v>0</v>
      </c>
      <c r="H1174" s="75" t="s">
        <v>10</v>
      </c>
    </row>
    <row r="1175" spans="1:8" x14ac:dyDescent="0.25">
      <c r="A1175" s="148">
        <v>44785</v>
      </c>
      <c r="B1175" s="149" t="s">
        <v>25873</v>
      </c>
      <c r="C1175" s="153" t="s">
        <v>1362</v>
      </c>
      <c r="D1175" s="178">
        <v>4071.6</v>
      </c>
      <c r="E1175" s="155">
        <v>44785</v>
      </c>
      <c r="F1175" s="178">
        <v>4071.6</v>
      </c>
      <c r="G1175" s="179">
        <f>Tabla19[[#This Row],[Importe]]-Tabla19[[#This Row],[Pagado]]</f>
        <v>0</v>
      </c>
      <c r="H1175" s="153" t="s">
        <v>10</v>
      </c>
    </row>
    <row r="1176" spans="1:8" x14ac:dyDescent="0.25">
      <c r="A1176" s="73">
        <v>44785</v>
      </c>
      <c r="B1176" s="74" t="s">
        <v>25874</v>
      </c>
      <c r="C1176" s="75" t="s">
        <v>51</v>
      </c>
      <c r="D1176" s="176">
        <v>3572</v>
      </c>
      <c r="E1176" s="151">
        <v>44785</v>
      </c>
      <c r="F1176" s="176">
        <v>3572</v>
      </c>
      <c r="G1176" s="177">
        <f>Tabla19[[#This Row],[Importe]]-Tabla19[[#This Row],[Pagado]]</f>
        <v>0</v>
      </c>
      <c r="H1176" s="75" t="s">
        <v>10</v>
      </c>
    </row>
    <row r="1177" spans="1:8" x14ac:dyDescent="0.25">
      <c r="A1177" s="148">
        <v>44785</v>
      </c>
      <c r="B1177" s="149" t="s">
        <v>25875</v>
      </c>
      <c r="C1177" s="153" t="s">
        <v>67</v>
      </c>
      <c r="D1177" s="178">
        <v>13236.6</v>
      </c>
      <c r="E1177" s="155">
        <v>44785</v>
      </c>
      <c r="F1177" s="178">
        <v>13236.6</v>
      </c>
      <c r="G1177" s="179">
        <f>Tabla19[[#This Row],[Importe]]-Tabla19[[#This Row],[Pagado]]</f>
        <v>0</v>
      </c>
      <c r="H1177" s="153" t="s">
        <v>10</v>
      </c>
    </row>
    <row r="1178" spans="1:8" x14ac:dyDescent="0.25">
      <c r="A1178" s="73">
        <v>44785</v>
      </c>
      <c r="B1178" s="74" t="s">
        <v>25876</v>
      </c>
      <c r="C1178" s="75" t="s">
        <v>173</v>
      </c>
      <c r="D1178" s="176">
        <v>16542.68</v>
      </c>
      <c r="E1178" s="151">
        <v>44786</v>
      </c>
      <c r="F1178" s="176">
        <v>16542.68</v>
      </c>
      <c r="G1178" s="177">
        <f>Tabla19[[#This Row],[Importe]]-Tabla19[[#This Row],[Pagado]]</f>
        <v>0</v>
      </c>
      <c r="H1178" s="75" t="s">
        <v>10</v>
      </c>
    </row>
    <row r="1179" spans="1:8" x14ac:dyDescent="0.25">
      <c r="A1179" s="148">
        <v>44785</v>
      </c>
      <c r="B1179" s="149" t="s">
        <v>25877</v>
      </c>
      <c r="C1179" s="153" t="s">
        <v>133</v>
      </c>
      <c r="D1179" s="178">
        <v>30458.400000000001</v>
      </c>
      <c r="E1179" s="155">
        <v>44786</v>
      </c>
      <c r="F1179" s="178">
        <f>1500+28958.4</f>
        <v>30458.400000000001</v>
      </c>
      <c r="G1179" s="179">
        <f>Tabla19[[#This Row],[Importe]]-Tabla19[[#This Row],[Pagado]]</f>
        <v>0</v>
      </c>
      <c r="H1179" s="153" t="s">
        <v>10</v>
      </c>
    </row>
    <row r="1180" spans="1:8" x14ac:dyDescent="0.25">
      <c r="A1180" s="73">
        <v>44785</v>
      </c>
      <c r="B1180" s="74" t="s">
        <v>25878</v>
      </c>
      <c r="C1180" s="75" t="s">
        <v>31</v>
      </c>
      <c r="D1180" s="176">
        <v>1285.2</v>
      </c>
      <c r="E1180" s="151">
        <v>44785</v>
      </c>
      <c r="F1180" s="176">
        <v>1285.2</v>
      </c>
      <c r="G1180" s="177">
        <f>Tabla19[[#This Row],[Importe]]-Tabla19[[#This Row],[Pagado]]</f>
        <v>0</v>
      </c>
      <c r="H1180" s="75" t="s">
        <v>10</v>
      </c>
    </row>
    <row r="1181" spans="1:8" x14ac:dyDescent="0.25">
      <c r="A1181" s="148">
        <v>44785</v>
      </c>
      <c r="B1181" s="149" t="s">
        <v>25879</v>
      </c>
      <c r="C1181" s="153" t="s">
        <v>414</v>
      </c>
      <c r="D1181" s="178">
        <v>25452</v>
      </c>
      <c r="E1181" s="155">
        <v>44791</v>
      </c>
      <c r="F1181" s="178">
        <v>25452</v>
      </c>
      <c r="G1181" s="179">
        <f>Tabla19[[#This Row],[Importe]]-Tabla19[[#This Row],[Pagado]]</f>
        <v>0</v>
      </c>
      <c r="H1181" s="153" t="s">
        <v>10</v>
      </c>
    </row>
    <row r="1182" spans="1:8" x14ac:dyDescent="0.25">
      <c r="A1182" s="73">
        <v>44785</v>
      </c>
      <c r="B1182" s="74" t="s">
        <v>25880</v>
      </c>
      <c r="C1182" s="75" t="s">
        <v>289</v>
      </c>
      <c r="D1182" s="176">
        <v>16801.900000000001</v>
      </c>
      <c r="E1182" s="151">
        <v>44785</v>
      </c>
      <c r="F1182" s="176">
        <v>16801.900000000001</v>
      </c>
      <c r="G1182" s="177">
        <f>Tabla19[[#This Row],[Importe]]-Tabla19[[#This Row],[Pagado]]</f>
        <v>0</v>
      </c>
      <c r="H1182" s="75" t="s">
        <v>10</v>
      </c>
    </row>
    <row r="1183" spans="1:8" x14ac:dyDescent="0.25">
      <c r="A1183" s="148">
        <v>44785</v>
      </c>
      <c r="B1183" s="149" t="s">
        <v>25881</v>
      </c>
      <c r="C1183" s="153" t="s">
        <v>1644</v>
      </c>
      <c r="D1183" s="178">
        <v>8744.4</v>
      </c>
      <c r="E1183" s="155">
        <v>44786</v>
      </c>
      <c r="F1183" s="178">
        <v>8744.4</v>
      </c>
      <c r="G1183" s="179">
        <f>Tabla19[[#This Row],[Importe]]-Tabla19[[#This Row],[Pagado]]</f>
        <v>0</v>
      </c>
      <c r="H1183" s="153" t="s">
        <v>10</v>
      </c>
    </row>
    <row r="1184" spans="1:8" x14ac:dyDescent="0.25">
      <c r="A1184" s="73">
        <v>44785</v>
      </c>
      <c r="B1184" s="74" t="s">
        <v>25882</v>
      </c>
      <c r="C1184" s="75" t="s">
        <v>31</v>
      </c>
      <c r="D1184" s="176">
        <v>4845</v>
      </c>
      <c r="E1184" s="151">
        <v>44785</v>
      </c>
      <c r="F1184" s="176">
        <v>4845</v>
      </c>
      <c r="G1184" s="177">
        <f>Tabla19[[#This Row],[Importe]]-Tabla19[[#This Row],[Pagado]]</f>
        <v>0</v>
      </c>
      <c r="H1184" s="75" t="s">
        <v>10</v>
      </c>
    </row>
    <row r="1185" spans="1:8" x14ac:dyDescent="0.25">
      <c r="A1185" s="148">
        <v>44785</v>
      </c>
      <c r="B1185" s="149" t="s">
        <v>25883</v>
      </c>
      <c r="C1185" s="153" t="s">
        <v>53</v>
      </c>
      <c r="D1185" s="178">
        <v>826.5</v>
      </c>
      <c r="E1185" s="155">
        <v>44785</v>
      </c>
      <c r="F1185" s="178">
        <v>826.5</v>
      </c>
      <c r="G1185" s="179">
        <f>Tabla19[[#This Row],[Importe]]-Tabla19[[#This Row],[Pagado]]</f>
        <v>0</v>
      </c>
      <c r="H1185" s="153" t="s">
        <v>10</v>
      </c>
    </row>
    <row r="1186" spans="1:8" x14ac:dyDescent="0.25">
      <c r="A1186" s="73">
        <v>44785</v>
      </c>
      <c r="B1186" s="74" t="s">
        <v>25884</v>
      </c>
      <c r="C1186" s="75" t="s">
        <v>9827</v>
      </c>
      <c r="D1186" s="176">
        <v>4317.6000000000004</v>
      </c>
      <c r="E1186" s="151">
        <v>44785</v>
      </c>
      <c r="F1186" s="176">
        <v>4317.6000000000004</v>
      </c>
      <c r="G1186" s="177">
        <f>Tabla19[[#This Row],[Importe]]-Tabla19[[#This Row],[Pagado]]</f>
        <v>0</v>
      </c>
      <c r="H1186" s="75" t="s">
        <v>10</v>
      </c>
    </row>
    <row r="1187" spans="1:8" x14ac:dyDescent="0.25">
      <c r="A1187" s="148">
        <v>44785</v>
      </c>
      <c r="B1187" s="149" t="s">
        <v>25885</v>
      </c>
      <c r="C1187" s="153" t="s">
        <v>698</v>
      </c>
      <c r="D1187" s="178">
        <v>3865</v>
      </c>
      <c r="E1187" s="155">
        <v>44785</v>
      </c>
      <c r="F1187" s="178">
        <v>3865</v>
      </c>
      <c r="G1187" s="179">
        <f>Tabla19[[#This Row],[Importe]]-Tabla19[[#This Row],[Pagado]]</f>
        <v>0</v>
      </c>
      <c r="H1187" s="153" t="s">
        <v>10</v>
      </c>
    </row>
    <row r="1188" spans="1:8" x14ac:dyDescent="0.25">
      <c r="A1188" s="73">
        <v>44785</v>
      </c>
      <c r="B1188" s="74" t="s">
        <v>25886</v>
      </c>
      <c r="C1188" s="75" t="s">
        <v>226</v>
      </c>
      <c r="D1188" s="176">
        <v>8690.9</v>
      </c>
      <c r="E1188" s="151">
        <v>44785</v>
      </c>
      <c r="F1188" s="176">
        <v>8690.9</v>
      </c>
      <c r="G1188" s="177">
        <f>Tabla19[[#This Row],[Importe]]-Tabla19[[#This Row],[Pagado]]</f>
        <v>0</v>
      </c>
      <c r="H1188" s="75" t="s">
        <v>10</v>
      </c>
    </row>
    <row r="1189" spans="1:8" x14ac:dyDescent="0.25">
      <c r="A1189" s="148">
        <v>44785</v>
      </c>
      <c r="B1189" s="149" t="s">
        <v>25887</v>
      </c>
      <c r="C1189" s="153" t="s">
        <v>843</v>
      </c>
      <c r="D1189" s="178">
        <v>19896</v>
      </c>
      <c r="E1189" s="155">
        <v>44785</v>
      </c>
      <c r="F1189" s="178">
        <v>19896</v>
      </c>
      <c r="G1189" s="179">
        <f>Tabla19[[#This Row],[Importe]]-Tabla19[[#This Row],[Pagado]]</f>
        <v>0</v>
      </c>
      <c r="H1189" s="153" t="s">
        <v>10</v>
      </c>
    </row>
    <row r="1190" spans="1:8" x14ac:dyDescent="0.25">
      <c r="A1190" s="73">
        <v>44785</v>
      </c>
      <c r="B1190" s="74" t="s">
        <v>25888</v>
      </c>
      <c r="C1190" s="75" t="s">
        <v>179</v>
      </c>
      <c r="D1190" s="176">
        <v>2730</v>
      </c>
      <c r="E1190" s="151">
        <v>44785</v>
      </c>
      <c r="F1190" s="176">
        <v>2730</v>
      </c>
      <c r="G1190" s="177">
        <f>Tabla19[[#This Row],[Importe]]-Tabla19[[#This Row],[Pagado]]</f>
        <v>0</v>
      </c>
      <c r="H1190" s="75" t="s">
        <v>10</v>
      </c>
    </row>
    <row r="1191" spans="1:8" x14ac:dyDescent="0.25">
      <c r="A1191" s="148">
        <v>44785</v>
      </c>
      <c r="B1191" s="149" t="s">
        <v>25889</v>
      </c>
      <c r="C1191" s="153" t="s">
        <v>31</v>
      </c>
      <c r="D1191" s="178">
        <v>4137.6000000000004</v>
      </c>
      <c r="E1191" s="155">
        <v>44785</v>
      </c>
      <c r="F1191" s="178">
        <v>4137.6000000000004</v>
      </c>
      <c r="G1191" s="179">
        <f>Tabla19[[#This Row],[Importe]]-Tabla19[[#This Row],[Pagado]]</f>
        <v>0</v>
      </c>
      <c r="H1191" s="153" t="s">
        <v>10</v>
      </c>
    </row>
    <row r="1192" spans="1:8" x14ac:dyDescent="0.25">
      <c r="A1192" s="73">
        <v>44785</v>
      </c>
      <c r="B1192" s="74" t="s">
        <v>25890</v>
      </c>
      <c r="C1192" s="75" t="s">
        <v>31</v>
      </c>
      <c r="D1192" s="176">
        <v>1520.4</v>
      </c>
      <c r="E1192" s="151">
        <v>44785</v>
      </c>
      <c r="F1192" s="176">
        <v>1520.4</v>
      </c>
      <c r="G1192" s="177">
        <f>Tabla19[[#This Row],[Importe]]-Tabla19[[#This Row],[Pagado]]</f>
        <v>0</v>
      </c>
      <c r="H1192" s="75" t="s">
        <v>10</v>
      </c>
    </row>
    <row r="1193" spans="1:8" x14ac:dyDescent="0.25">
      <c r="A1193" s="148">
        <v>44785</v>
      </c>
      <c r="B1193" s="149" t="s">
        <v>25891</v>
      </c>
      <c r="C1193" s="153" t="s">
        <v>9415</v>
      </c>
      <c r="D1193" s="178">
        <v>2126.6</v>
      </c>
      <c r="E1193" s="155">
        <v>44790</v>
      </c>
      <c r="F1193" s="178">
        <v>2126.6</v>
      </c>
      <c r="G1193" s="179">
        <f>Tabla19[[#This Row],[Importe]]-Tabla19[[#This Row],[Pagado]]</f>
        <v>0</v>
      </c>
      <c r="H1193" s="153" t="s">
        <v>10</v>
      </c>
    </row>
    <row r="1194" spans="1:8" x14ac:dyDescent="0.25">
      <c r="A1194" s="73">
        <v>44785</v>
      </c>
      <c r="B1194" s="74" t="s">
        <v>25892</v>
      </c>
      <c r="C1194" s="75" t="s">
        <v>244</v>
      </c>
      <c r="D1194" s="176">
        <v>2143.8000000000002</v>
      </c>
      <c r="E1194" s="151">
        <v>44785</v>
      </c>
      <c r="F1194" s="176">
        <v>2143.8000000000002</v>
      </c>
      <c r="G1194" s="177">
        <f>Tabla19[[#This Row],[Importe]]-Tabla19[[#This Row],[Pagado]]</f>
        <v>0</v>
      </c>
      <c r="H1194" s="75" t="s">
        <v>10</v>
      </c>
    </row>
    <row r="1195" spans="1:8" x14ac:dyDescent="0.25">
      <c r="A1195" s="148">
        <v>44785</v>
      </c>
      <c r="B1195" s="149" t="s">
        <v>25893</v>
      </c>
      <c r="C1195" s="153" t="s">
        <v>244</v>
      </c>
      <c r="D1195" s="178">
        <v>1663.2</v>
      </c>
      <c r="E1195" s="155">
        <v>44785</v>
      </c>
      <c r="F1195" s="178">
        <v>1663.2</v>
      </c>
      <c r="G1195" s="179">
        <f>Tabla19[[#This Row],[Importe]]-Tabla19[[#This Row],[Pagado]]</f>
        <v>0</v>
      </c>
      <c r="H1195" s="153" t="s">
        <v>10</v>
      </c>
    </row>
    <row r="1196" spans="1:8" x14ac:dyDescent="0.25">
      <c r="A1196" s="73">
        <v>44785</v>
      </c>
      <c r="B1196" s="74" t="s">
        <v>25894</v>
      </c>
      <c r="C1196" s="75" t="s">
        <v>31</v>
      </c>
      <c r="D1196" s="176">
        <v>7176</v>
      </c>
      <c r="E1196" s="151">
        <v>44785</v>
      </c>
      <c r="F1196" s="176">
        <v>7176</v>
      </c>
      <c r="G1196" s="177">
        <f>Tabla19[[#This Row],[Importe]]-Tabla19[[#This Row],[Pagado]]</f>
        <v>0</v>
      </c>
      <c r="H1196" s="75" t="s">
        <v>10</v>
      </c>
    </row>
    <row r="1197" spans="1:8" x14ac:dyDescent="0.25">
      <c r="A1197" s="148">
        <v>44785</v>
      </c>
      <c r="B1197" s="149" t="s">
        <v>25895</v>
      </c>
      <c r="C1197" s="153" t="s">
        <v>10678</v>
      </c>
      <c r="D1197" s="178">
        <v>5817.8</v>
      </c>
      <c r="E1197" s="155">
        <v>44785</v>
      </c>
      <c r="F1197" s="178">
        <v>5817.8</v>
      </c>
      <c r="G1197" s="179">
        <f>Tabla19[[#This Row],[Importe]]-Tabla19[[#This Row],[Pagado]]</f>
        <v>0</v>
      </c>
      <c r="H1197" s="153" t="s">
        <v>10</v>
      </c>
    </row>
    <row r="1198" spans="1:8" x14ac:dyDescent="0.25">
      <c r="A1198" s="73">
        <v>44785</v>
      </c>
      <c r="B1198" s="74" t="s">
        <v>25896</v>
      </c>
      <c r="C1198" s="75" t="s">
        <v>296</v>
      </c>
      <c r="D1198" s="176">
        <v>2252.1</v>
      </c>
      <c r="E1198" s="151">
        <v>44785</v>
      </c>
      <c r="F1198" s="176">
        <v>2252.1</v>
      </c>
      <c r="G1198" s="177">
        <f>Tabla19[[#This Row],[Importe]]-Tabla19[[#This Row],[Pagado]]</f>
        <v>0</v>
      </c>
      <c r="H1198" s="75" t="s">
        <v>10</v>
      </c>
    </row>
    <row r="1199" spans="1:8" x14ac:dyDescent="0.25">
      <c r="A1199" s="148">
        <v>44785</v>
      </c>
      <c r="B1199" s="149" t="s">
        <v>25897</v>
      </c>
      <c r="C1199" s="153" t="s">
        <v>5694</v>
      </c>
      <c r="D1199" s="178">
        <v>4267.2</v>
      </c>
      <c r="E1199" s="155">
        <v>44785</v>
      </c>
      <c r="F1199" s="178">
        <v>4267.2</v>
      </c>
      <c r="G1199" s="179">
        <f>Tabla19[[#This Row],[Importe]]-Tabla19[[#This Row],[Pagado]]</f>
        <v>0</v>
      </c>
      <c r="H1199" s="153" t="s">
        <v>10</v>
      </c>
    </row>
    <row r="1200" spans="1:8" x14ac:dyDescent="0.25">
      <c r="A1200" s="73">
        <v>44785</v>
      </c>
      <c r="B1200" s="74" t="s">
        <v>25898</v>
      </c>
      <c r="C1200" s="75" t="s">
        <v>301</v>
      </c>
      <c r="D1200" s="176">
        <v>24895.200000000001</v>
      </c>
      <c r="E1200" s="151">
        <v>44785</v>
      </c>
      <c r="F1200" s="176">
        <v>24895.200000000001</v>
      </c>
      <c r="G1200" s="177">
        <f>Tabla19[[#This Row],[Importe]]-Tabla19[[#This Row],[Pagado]]</f>
        <v>0</v>
      </c>
      <c r="H1200" s="75" t="s">
        <v>10</v>
      </c>
    </row>
    <row r="1201" spans="1:8" x14ac:dyDescent="0.25">
      <c r="A1201" s="148">
        <v>44785</v>
      </c>
      <c r="B1201" s="149" t="s">
        <v>25899</v>
      </c>
      <c r="C1201" s="153" t="s">
        <v>1008</v>
      </c>
      <c r="D1201" s="178">
        <v>3195</v>
      </c>
      <c r="E1201" s="155">
        <v>44785</v>
      </c>
      <c r="F1201" s="178">
        <v>3195</v>
      </c>
      <c r="G1201" s="179">
        <f>Tabla19[[#This Row],[Importe]]-Tabla19[[#This Row],[Pagado]]</f>
        <v>0</v>
      </c>
      <c r="H1201" s="153" t="s">
        <v>10</v>
      </c>
    </row>
    <row r="1202" spans="1:8" x14ac:dyDescent="0.25">
      <c r="A1202" s="73">
        <v>44785</v>
      </c>
      <c r="B1202" s="74" t="s">
        <v>25900</v>
      </c>
      <c r="C1202" s="75" t="s">
        <v>179</v>
      </c>
      <c r="D1202" s="176">
        <v>2192.4</v>
      </c>
      <c r="E1202" s="151">
        <v>44786</v>
      </c>
      <c r="F1202" s="176">
        <v>2192.4</v>
      </c>
      <c r="G1202" s="177">
        <f>Tabla19[[#This Row],[Importe]]-Tabla19[[#This Row],[Pagado]]</f>
        <v>0</v>
      </c>
      <c r="H1202" s="75" t="s">
        <v>10</v>
      </c>
    </row>
    <row r="1203" spans="1:8" x14ac:dyDescent="0.25">
      <c r="A1203" s="148">
        <v>44785</v>
      </c>
      <c r="B1203" s="149" t="s">
        <v>25901</v>
      </c>
      <c r="C1203" s="153" t="s">
        <v>135</v>
      </c>
      <c r="D1203" s="178">
        <v>3486.5</v>
      </c>
      <c r="E1203" s="155">
        <v>44786</v>
      </c>
      <c r="F1203" s="178">
        <v>3486.5</v>
      </c>
      <c r="G1203" s="179">
        <f>Tabla19[[#This Row],[Importe]]-Tabla19[[#This Row],[Pagado]]</f>
        <v>0</v>
      </c>
      <c r="H1203" s="153" t="s">
        <v>10</v>
      </c>
    </row>
    <row r="1204" spans="1:8" x14ac:dyDescent="0.25">
      <c r="A1204" s="73">
        <v>44785</v>
      </c>
      <c r="B1204" s="74" t="s">
        <v>25902</v>
      </c>
      <c r="C1204" s="75" t="s">
        <v>442</v>
      </c>
      <c r="D1204" s="176">
        <v>33128</v>
      </c>
      <c r="E1204" s="151">
        <v>44785</v>
      </c>
      <c r="F1204" s="176">
        <v>33128</v>
      </c>
      <c r="G1204" s="177">
        <f>Tabla19[[#This Row],[Importe]]-Tabla19[[#This Row],[Pagado]]</f>
        <v>0</v>
      </c>
      <c r="H1204" s="75" t="s">
        <v>10</v>
      </c>
    </row>
    <row r="1205" spans="1:8" x14ac:dyDescent="0.25">
      <c r="A1205" s="148">
        <v>44785</v>
      </c>
      <c r="B1205" s="149" t="s">
        <v>25903</v>
      </c>
      <c r="C1205" s="153" t="s">
        <v>19637</v>
      </c>
      <c r="D1205" s="178">
        <v>7165.9</v>
      </c>
      <c r="E1205" s="155">
        <v>44789</v>
      </c>
      <c r="F1205" s="178">
        <v>7165.9</v>
      </c>
      <c r="G1205" s="179">
        <f>Tabla19[[#This Row],[Importe]]-Tabla19[[#This Row],[Pagado]]</f>
        <v>0</v>
      </c>
      <c r="H1205" s="153" t="s">
        <v>10</v>
      </c>
    </row>
    <row r="1206" spans="1:8" x14ac:dyDescent="0.25">
      <c r="A1206" s="73">
        <v>44785</v>
      </c>
      <c r="B1206" s="74" t="s">
        <v>25904</v>
      </c>
      <c r="C1206" s="75" t="s">
        <v>400</v>
      </c>
      <c r="D1206" s="176">
        <v>11087</v>
      </c>
      <c r="E1206" s="151">
        <v>44790</v>
      </c>
      <c r="F1206" s="176">
        <v>11087</v>
      </c>
      <c r="G1206" s="177">
        <f>Tabla19[[#This Row],[Importe]]-Tabla19[[#This Row],[Pagado]]</f>
        <v>0</v>
      </c>
      <c r="H1206" s="75" t="s">
        <v>10</v>
      </c>
    </row>
    <row r="1207" spans="1:8" x14ac:dyDescent="0.25">
      <c r="A1207" s="148">
        <v>44785</v>
      </c>
      <c r="B1207" s="149" t="s">
        <v>25905</v>
      </c>
      <c r="C1207" s="153" t="s">
        <v>5345</v>
      </c>
      <c r="D1207" s="178">
        <v>6206</v>
      </c>
      <c r="E1207" s="155">
        <v>44786</v>
      </c>
      <c r="F1207" s="178">
        <v>6206</v>
      </c>
      <c r="G1207" s="179">
        <f>Tabla19[[#This Row],[Importe]]-Tabla19[[#This Row],[Pagado]]</f>
        <v>0</v>
      </c>
      <c r="H1207" s="153" t="s">
        <v>10</v>
      </c>
    </row>
    <row r="1208" spans="1:8" x14ac:dyDescent="0.25">
      <c r="A1208" s="73">
        <v>44785</v>
      </c>
      <c r="B1208" s="74" t="s">
        <v>25906</v>
      </c>
      <c r="C1208" s="75" t="s">
        <v>10819</v>
      </c>
      <c r="D1208" s="176">
        <v>1419.6</v>
      </c>
      <c r="E1208" s="151">
        <v>44786</v>
      </c>
      <c r="F1208" s="176">
        <v>1419.6</v>
      </c>
      <c r="G1208" s="177">
        <f>Tabla19[[#This Row],[Importe]]-Tabla19[[#This Row],[Pagado]]</f>
        <v>0</v>
      </c>
      <c r="H1208" s="75" t="s">
        <v>10</v>
      </c>
    </row>
    <row r="1209" spans="1:8" x14ac:dyDescent="0.25">
      <c r="A1209" s="148">
        <v>44785</v>
      </c>
      <c r="B1209" s="149" t="s">
        <v>25907</v>
      </c>
      <c r="C1209" s="153" t="s">
        <v>280</v>
      </c>
      <c r="D1209" s="178">
        <v>2335.1999999999998</v>
      </c>
      <c r="E1209" s="155">
        <v>44786</v>
      </c>
      <c r="F1209" s="178">
        <v>2335.1999999999998</v>
      </c>
      <c r="G1209" s="179">
        <f>Tabla19[[#This Row],[Importe]]-Tabla19[[#This Row],[Pagado]]</f>
        <v>0</v>
      </c>
      <c r="H1209" s="153" t="s">
        <v>10</v>
      </c>
    </row>
    <row r="1210" spans="1:8" x14ac:dyDescent="0.25">
      <c r="A1210" s="73">
        <v>44785</v>
      </c>
      <c r="B1210" s="74" t="s">
        <v>25908</v>
      </c>
      <c r="C1210" s="75" t="s">
        <v>282</v>
      </c>
      <c r="D1210" s="176">
        <v>1923.6</v>
      </c>
      <c r="E1210" s="151">
        <v>44786</v>
      </c>
      <c r="F1210" s="176">
        <v>1923.6</v>
      </c>
      <c r="G1210" s="177">
        <f>Tabla19[[#This Row],[Importe]]-Tabla19[[#This Row],[Pagado]]</f>
        <v>0</v>
      </c>
      <c r="H1210" s="75" t="s">
        <v>10</v>
      </c>
    </row>
    <row r="1211" spans="1:8" x14ac:dyDescent="0.25">
      <c r="A1211" s="148">
        <v>44785</v>
      </c>
      <c r="B1211" s="149" t="s">
        <v>25909</v>
      </c>
      <c r="C1211" s="153" t="s">
        <v>284</v>
      </c>
      <c r="D1211" s="178">
        <v>11172</v>
      </c>
      <c r="E1211" s="155">
        <v>44786</v>
      </c>
      <c r="F1211" s="178">
        <v>11172</v>
      </c>
      <c r="G1211" s="179">
        <f>Tabla19[[#This Row],[Importe]]-Tabla19[[#This Row],[Pagado]]</f>
        <v>0</v>
      </c>
      <c r="H1211" s="153" t="s">
        <v>10</v>
      </c>
    </row>
    <row r="1212" spans="1:8" x14ac:dyDescent="0.25">
      <c r="A1212" s="73">
        <v>44785</v>
      </c>
      <c r="B1212" s="74" t="s">
        <v>25910</v>
      </c>
      <c r="C1212" s="75" t="s">
        <v>31</v>
      </c>
      <c r="D1212" s="176">
        <v>966.4</v>
      </c>
      <c r="E1212" s="151">
        <v>44785</v>
      </c>
      <c r="F1212" s="176">
        <v>966.4</v>
      </c>
      <c r="G1212" s="177">
        <f>Tabla19[[#This Row],[Importe]]-Tabla19[[#This Row],[Pagado]]</f>
        <v>0</v>
      </c>
      <c r="H1212" s="75" t="s">
        <v>10</v>
      </c>
    </row>
    <row r="1213" spans="1:8" x14ac:dyDescent="0.25">
      <c r="A1213" s="148">
        <v>44785</v>
      </c>
      <c r="B1213" s="149" t="s">
        <v>25911</v>
      </c>
      <c r="C1213" s="153" t="s">
        <v>31</v>
      </c>
      <c r="D1213" s="178">
        <v>1444</v>
      </c>
      <c r="E1213" s="155">
        <v>44785</v>
      </c>
      <c r="F1213" s="178">
        <v>1444</v>
      </c>
      <c r="G1213" s="179">
        <f>Tabla19[[#This Row],[Importe]]-Tabla19[[#This Row],[Pagado]]</f>
        <v>0</v>
      </c>
      <c r="H1213" s="153" t="s">
        <v>10</v>
      </c>
    </row>
    <row r="1214" spans="1:8" x14ac:dyDescent="0.25">
      <c r="A1214" s="73">
        <v>44785</v>
      </c>
      <c r="B1214" s="74" t="s">
        <v>25912</v>
      </c>
      <c r="C1214" s="75" t="s">
        <v>365</v>
      </c>
      <c r="D1214" s="176">
        <v>891</v>
      </c>
      <c r="E1214" s="151">
        <v>44785</v>
      </c>
      <c r="F1214" s="176">
        <v>891</v>
      </c>
      <c r="G1214" s="177">
        <f>Tabla19[[#This Row],[Importe]]-Tabla19[[#This Row],[Pagado]]</f>
        <v>0</v>
      </c>
      <c r="H1214" s="75" t="s">
        <v>10</v>
      </c>
    </row>
    <row r="1215" spans="1:8" x14ac:dyDescent="0.25">
      <c r="A1215" s="148">
        <v>44785</v>
      </c>
      <c r="B1215" s="149" t="s">
        <v>25913</v>
      </c>
      <c r="C1215" s="153" t="s">
        <v>56</v>
      </c>
      <c r="D1215" s="178">
        <v>10495</v>
      </c>
      <c r="E1215" s="155">
        <v>44785</v>
      </c>
      <c r="F1215" s="178">
        <v>10495</v>
      </c>
      <c r="G1215" s="179">
        <f>Tabla19[[#This Row],[Importe]]-Tabla19[[#This Row],[Pagado]]</f>
        <v>0</v>
      </c>
      <c r="H1215" s="153" t="s">
        <v>10</v>
      </c>
    </row>
    <row r="1216" spans="1:8" x14ac:dyDescent="0.25">
      <c r="A1216" s="73">
        <v>44785</v>
      </c>
      <c r="B1216" s="74" t="s">
        <v>25914</v>
      </c>
      <c r="C1216" s="75" t="s">
        <v>857</v>
      </c>
      <c r="D1216" s="176">
        <v>988</v>
      </c>
      <c r="E1216" s="151">
        <v>44785</v>
      </c>
      <c r="F1216" s="176">
        <v>988</v>
      </c>
      <c r="G1216" s="177">
        <f>Tabla19[[#This Row],[Importe]]-Tabla19[[#This Row],[Pagado]]</f>
        <v>0</v>
      </c>
      <c r="H1216" s="75" t="s">
        <v>10</v>
      </c>
    </row>
    <row r="1217" spans="1:8" x14ac:dyDescent="0.25">
      <c r="A1217" s="148">
        <v>44785</v>
      </c>
      <c r="B1217" s="149" t="s">
        <v>25915</v>
      </c>
      <c r="C1217" s="153" t="s">
        <v>31</v>
      </c>
      <c r="D1217" s="178">
        <v>429</v>
      </c>
      <c r="E1217" s="155">
        <v>44785</v>
      </c>
      <c r="F1217" s="178">
        <v>429</v>
      </c>
      <c r="G1217" s="179">
        <f>Tabla19[[#This Row],[Importe]]-Tabla19[[#This Row],[Pagado]]</f>
        <v>0</v>
      </c>
      <c r="H1217" s="153" t="s">
        <v>10</v>
      </c>
    </row>
    <row r="1218" spans="1:8" x14ac:dyDescent="0.25">
      <c r="A1218" s="73">
        <v>44785</v>
      </c>
      <c r="B1218" s="74" t="s">
        <v>25916</v>
      </c>
      <c r="C1218" s="75" t="s">
        <v>22</v>
      </c>
      <c r="D1218" s="176">
        <v>4452.5</v>
      </c>
      <c r="E1218" s="151">
        <v>44786</v>
      </c>
      <c r="F1218" s="176">
        <v>4452.5</v>
      </c>
      <c r="G1218" s="177">
        <f>Tabla19[[#This Row],[Importe]]-Tabla19[[#This Row],[Pagado]]</f>
        <v>0</v>
      </c>
      <c r="H1218" s="75" t="s">
        <v>10</v>
      </c>
    </row>
    <row r="1219" spans="1:8" x14ac:dyDescent="0.25">
      <c r="A1219" s="148">
        <v>44785</v>
      </c>
      <c r="B1219" s="149" t="s">
        <v>25917</v>
      </c>
      <c r="C1219" s="153" t="s">
        <v>31</v>
      </c>
      <c r="D1219" s="178">
        <v>944</v>
      </c>
      <c r="E1219" s="155">
        <v>44785</v>
      </c>
      <c r="F1219" s="178">
        <v>944</v>
      </c>
      <c r="G1219" s="179">
        <f>Tabla19[[#This Row],[Importe]]-Tabla19[[#This Row],[Pagado]]</f>
        <v>0</v>
      </c>
      <c r="H1219" s="153" t="s">
        <v>10</v>
      </c>
    </row>
    <row r="1220" spans="1:8" ht="31.5" x14ac:dyDescent="0.25">
      <c r="A1220" s="73">
        <v>44785</v>
      </c>
      <c r="B1220" s="74" t="s">
        <v>25918</v>
      </c>
      <c r="C1220" s="75" t="s">
        <v>12</v>
      </c>
      <c r="D1220" s="176">
        <v>10040</v>
      </c>
      <c r="E1220" s="147" t="s">
        <v>25696</v>
      </c>
      <c r="F1220" s="176">
        <f>7500+2540</f>
        <v>10040</v>
      </c>
      <c r="G1220" s="177">
        <f>Tabla19[[#This Row],[Importe]]-Tabla19[[#This Row],[Pagado]]</f>
        <v>0</v>
      </c>
      <c r="H1220" s="75" t="s">
        <v>10</v>
      </c>
    </row>
    <row r="1221" spans="1:8" x14ac:dyDescent="0.25">
      <c r="A1221" s="148">
        <v>44785</v>
      </c>
      <c r="B1221" s="149" t="s">
        <v>25919</v>
      </c>
      <c r="C1221" s="153" t="s">
        <v>296</v>
      </c>
      <c r="D1221" s="178">
        <v>908</v>
      </c>
      <c r="E1221" s="155">
        <v>44786</v>
      </c>
      <c r="F1221" s="178">
        <v>908</v>
      </c>
      <c r="G1221" s="179">
        <f>Tabla19[[#This Row],[Importe]]-Tabla19[[#This Row],[Pagado]]</f>
        <v>0</v>
      </c>
      <c r="H1221" s="153" t="s">
        <v>10</v>
      </c>
    </row>
    <row r="1222" spans="1:8" x14ac:dyDescent="0.25">
      <c r="A1222" s="73">
        <v>44785</v>
      </c>
      <c r="B1222" s="74" t="s">
        <v>25920</v>
      </c>
      <c r="C1222" s="75" t="s">
        <v>409</v>
      </c>
      <c r="D1222" s="176">
        <v>11754</v>
      </c>
      <c r="E1222" s="151">
        <v>44789</v>
      </c>
      <c r="F1222" s="176">
        <v>11754</v>
      </c>
      <c r="G1222" s="177">
        <f>Tabla19[[#This Row],[Importe]]-Tabla19[[#This Row],[Pagado]]</f>
        <v>0</v>
      </c>
      <c r="H1222" s="75" t="s">
        <v>10</v>
      </c>
    </row>
    <row r="1223" spans="1:8" x14ac:dyDescent="0.25">
      <c r="A1223" s="148">
        <v>44785</v>
      </c>
      <c r="B1223" s="149" t="s">
        <v>25921</v>
      </c>
      <c r="C1223" s="153" t="s">
        <v>31</v>
      </c>
      <c r="D1223" s="178">
        <v>3177.46</v>
      </c>
      <c r="E1223" s="155">
        <v>44786</v>
      </c>
      <c r="F1223" s="178">
        <v>3177.46</v>
      </c>
      <c r="G1223" s="179">
        <f>Tabla19[[#This Row],[Importe]]-Tabla19[[#This Row],[Pagado]]</f>
        <v>0</v>
      </c>
      <c r="H1223" s="153" t="s">
        <v>10</v>
      </c>
    </row>
    <row r="1224" spans="1:8" x14ac:dyDescent="0.25">
      <c r="A1224" s="73">
        <v>44786</v>
      </c>
      <c r="B1224" s="74" t="s">
        <v>25922</v>
      </c>
      <c r="C1224" s="75" t="s">
        <v>887</v>
      </c>
      <c r="D1224" s="176">
        <v>19285.5</v>
      </c>
      <c r="E1224" s="151">
        <v>44786</v>
      </c>
      <c r="F1224" s="176">
        <v>19285.5</v>
      </c>
      <c r="G1224" s="177">
        <f>Tabla19[[#This Row],[Importe]]-Tabla19[[#This Row],[Pagado]]</f>
        <v>0</v>
      </c>
      <c r="H1224" s="75" t="s">
        <v>10</v>
      </c>
    </row>
    <row r="1225" spans="1:8" ht="31.5" x14ac:dyDescent="0.25">
      <c r="A1225" s="148">
        <v>44786</v>
      </c>
      <c r="B1225" s="149" t="s">
        <v>25923</v>
      </c>
      <c r="C1225" s="153" t="s">
        <v>475</v>
      </c>
      <c r="D1225" s="178">
        <v>41924.800000000003</v>
      </c>
      <c r="E1225" s="150" t="s">
        <v>25924</v>
      </c>
      <c r="F1225" s="178">
        <f>23000+18924.8</f>
        <v>41924.800000000003</v>
      </c>
      <c r="G1225" s="179">
        <f>Tabla19[[#This Row],[Importe]]-Tabla19[[#This Row],[Pagado]]</f>
        <v>0</v>
      </c>
      <c r="H1225" s="153" t="s">
        <v>10</v>
      </c>
    </row>
    <row r="1226" spans="1:8" x14ac:dyDescent="0.25">
      <c r="A1226" s="73">
        <v>44786</v>
      </c>
      <c r="B1226" s="74" t="s">
        <v>25925</v>
      </c>
      <c r="C1226" s="75" t="s">
        <v>12</v>
      </c>
      <c r="D1226" s="176">
        <v>14468.4</v>
      </c>
      <c r="E1226" s="151">
        <v>44786</v>
      </c>
      <c r="F1226" s="176">
        <v>14468.4</v>
      </c>
      <c r="G1226" s="177">
        <f>Tabla19[[#This Row],[Importe]]-Tabla19[[#This Row],[Pagado]]</f>
        <v>0</v>
      </c>
      <c r="H1226" s="75" t="s">
        <v>10</v>
      </c>
    </row>
    <row r="1227" spans="1:8" x14ac:dyDescent="0.25">
      <c r="A1227" s="148">
        <v>44786</v>
      </c>
      <c r="B1227" s="149" t="s">
        <v>25926</v>
      </c>
      <c r="C1227" s="153" t="s">
        <v>24768</v>
      </c>
      <c r="D1227" s="178">
        <v>5464.8</v>
      </c>
      <c r="E1227" s="155">
        <v>44786</v>
      </c>
      <c r="F1227" s="178">
        <v>5464.8</v>
      </c>
      <c r="G1227" s="179">
        <f>Tabla19[[#This Row],[Importe]]-Tabla19[[#This Row],[Pagado]]</f>
        <v>0</v>
      </c>
      <c r="H1227" s="153" t="s">
        <v>10</v>
      </c>
    </row>
    <row r="1228" spans="1:8" x14ac:dyDescent="0.25">
      <c r="A1228" s="73">
        <v>44786</v>
      </c>
      <c r="B1228" s="74" t="s">
        <v>25927</v>
      </c>
      <c r="C1228" s="75" t="s">
        <v>12</v>
      </c>
      <c r="D1228" s="176">
        <v>7152</v>
      </c>
      <c r="E1228" s="151">
        <v>44786</v>
      </c>
      <c r="F1228" s="176">
        <v>7152</v>
      </c>
      <c r="G1228" s="177">
        <f>Tabla19[[#This Row],[Importe]]-Tabla19[[#This Row],[Pagado]]</f>
        <v>0</v>
      </c>
      <c r="H1228" s="75" t="s">
        <v>10</v>
      </c>
    </row>
    <row r="1229" spans="1:8" x14ac:dyDescent="0.25">
      <c r="A1229" s="148">
        <v>44786</v>
      </c>
      <c r="B1229" s="149" t="s">
        <v>25928</v>
      </c>
      <c r="C1229" s="153" t="s">
        <v>407</v>
      </c>
      <c r="D1229" s="178">
        <v>19380.5</v>
      </c>
      <c r="E1229" s="155">
        <v>44789</v>
      </c>
      <c r="F1229" s="178">
        <v>19380.5</v>
      </c>
      <c r="G1229" s="179">
        <f>Tabla19[[#This Row],[Importe]]-Tabla19[[#This Row],[Pagado]]</f>
        <v>0</v>
      </c>
      <c r="H1229" s="153" t="s">
        <v>10</v>
      </c>
    </row>
    <row r="1230" spans="1:8" x14ac:dyDescent="0.25">
      <c r="A1230" s="73">
        <v>44786</v>
      </c>
      <c r="B1230" s="74" t="s">
        <v>25929</v>
      </c>
      <c r="C1230" s="75" t="s">
        <v>12</v>
      </c>
      <c r="D1230" s="176">
        <v>5465.6</v>
      </c>
      <c r="E1230" s="151">
        <v>44786</v>
      </c>
      <c r="F1230" s="176">
        <v>5465.6</v>
      </c>
      <c r="G1230" s="177">
        <f>Tabla19[[#This Row],[Importe]]-Tabla19[[#This Row],[Pagado]]</f>
        <v>0</v>
      </c>
      <c r="H1230" s="75" t="s">
        <v>10</v>
      </c>
    </row>
    <row r="1231" spans="1:8" x14ac:dyDescent="0.25">
      <c r="A1231" s="148">
        <v>44786</v>
      </c>
      <c r="B1231" s="149" t="s">
        <v>25930</v>
      </c>
      <c r="C1231" s="153" t="s">
        <v>481</v>
      </c>
      <c r="D1231" s="178">
        <v>1180.9000000000001</v>
      </c>
      <c r="E1231" s="155">
        <v>44786</v>
      </c>
      <c r="F1231" s="178">
        <v>1180.9000000000001</v>
      </c>
      <c r="G1231" s="179">
        <f>Tabla19[[#This Row],[Importe]]-Tabla19[[#This Row],[Pagado]]</f>
        <v>0</v>
      </c>
      <c r="H1231" s="153" t="s">
        <v>10</v>
      </c>
    </row>
    <row r="1232" spans="1:8" x14ac:dyDescent="0.25">
      <c r="A1232" s="73">
        <v>44786</v>
      </c>
      <c r="B1232" s="74" t="s">
        <v>25931</v>
      </c>
      <c r="C1232" s="75" t="s">
        <v>326</v>
      </c>
      <c r="D1232" s="176">
        <v>14690</v>
      </c>
      <c r="E1232" s="151">
        <v>44788</v>
      </c>
      <c r="F1232" s="176">
        <v>14690</v>
      </c>
      <c r="G1232" s="177">
        <f>Tabla19[[#This Row],[Importe]]-Tabla19[[#This Row],[Pagado]]</f>
        <v>0</v>
      </c>
      <c r="H1232" s="75" t="s">
        <v>10</v>
      </c>
    </row>
    <row r="1233" spans="1:8" x14ac:dyDescent="0.25">
      <c r="A1233" s="148">
        <v>44786</v>
      </c>
      <c r="B1233" s="149" t="s">
        <v>25932</v>
      </c>
      <c r="C1233" s="153" t="s">
        <v>105</v>
      </c>
      <c r="D1233" s="178">
        <v>6104.7</v>
      </c>
      <c r="E1233" s="155">
        <v>44788</v>
      </c>
      <c r="F1233" s="178">
        <v>6104.7</v>
      </c>
      <c r="G1233" s="179">
        <f>Tabla19[[#This Row],[Importe]]-Tabla19[[#This Row],[Pagado]]</f>
        <v>0</v>
      </c>
      <c r="H1233" s="153" t="s">
        <v>10</v>
      </c>
    </row>
    <row r="1234" spans="1:8" x14ac:dyDescent="0.25">
      <c r="A1234" s="73">
        <v>44786</v>
      </c>
      <c r="B1234" s="74" t="s">
        <v>25933</v>
      </c>
      <c r="C1234" s="75" t="s">
        <v>5043</v>
      </c>
      <c r="D1234" s="176">
        <v>14248</v>
      </c>
      <c r="E1234" s="151">
        <v>44788</v>
      </c>
      <c r="F1234" s="176">
        <v>14248</v>
      </c>
      <c r="G1234" s="177">
        <f>Tabla19[[#This Row],[Importe]]-Tabla19[[#This Row],[Pagado]]</f>
        <v>0</v>
      </c>
      <c r="H1234" s="75" t="s">
        <v>10</v>
      </c>
    </row>
    <row r="1235" spans="1:8" x14ac:dyDescent="0.25">
      <c r="A1235" s="148">
        <v>44786</v>
      </c>
      <c r="B1235" s="149" t="s">
        <v>25934</v>
      </c>
      <c r="C1235" s="153" t="s">
        <v>60</v>
      </c>
      <c r="D1235" s="178">
        <v>4972.5</v>
      </c>
      <c r="E1235" s="155">
        <v>44792</v>
      </c>
      <c r="F1235" s="178">
        <v>4972.5</v>
      </c>
      <c r="G1235" s="179">
        <f>Tabla19[[#This Row],[Importe]]-Tabla19[[#This Row],[Pagado]]</f>
        <v>0</v>
      </c>
      <c r="H1235" s="153" t="s">
        <v>10</v>
      </c>
    </row>
    <row r="1236" spans="1:8" x14ac:dyDescent="0.25">
      <c r="A1236" s="73">
        <v>44786</v>
      </c>
      <c r="B1236" s="74" t="s">
        <v>25935</v>
      </c>
      <c r="C1236" s="75" t="s">
        <v>64</v>
      </c>
      <c r="D1236" s="176">
        <v>10556</v>
      </c>
      <c r="E1236" s="151">
        <v>44789</v>
      </c>
      <c r="F1236" s="176">
        <v>10556</v>
      </c>
      <c r="G1236" s="177">
        <f>Tabla19[[#This Row],[Importe]]-Tabla19[[#This Row],[Pagado]]</f>
        <v>0</v>
      </c>
      <c r="H1236" s="75" t="s">
        <v>10</v>
      </c>
    </row>
    <row r="1237" spans="1:8" x14ac:dyDescent="0.25">
      <c r="A1237" s="148">
        <v>44786</v>
      </c>
      <c r="B1237" s="149" t="s">
        <v>25936</v>
      </c>
      <c r="C1237" s="153" t="s">
        <v>348</v>
      </c>
      <c r="D1237" s="178">
        <v>8427.7999999999993</v>
      </c>
      <c r="E1237" s="155">
        <v>44786</v>
      </c>
      <c r="F1237" s="178">
        <v>8427.7999999999993</v>
      </c>
      <c r="G1237" s="179">
        <f>Tabla19[[#This Row],[Importe]]-Tabla19[[#This Row],[Pagado]]</f>
        <v>0</v>
      </c>
      <c r="H1237" s="153" t="s">
        <v>10</v>
      </c>
    </row>
    <row r="1238" spans="1:8" x14ac:dyDescent="0.25">
      <c r="A1238" s="73">
        <v>44786</v>
      </c>
      <c r="B1238" s="74" t="s">
        <v>25937</v>
      </c>
      <c r="C1238" s="75" t="s">
        <v>75</v>
      </c>
      <c r="D1238" s="176">
        <v>16783.2</v>
      </c>
      <c r="E1238" s="151">
        <v>44786</v>
      </c>
      <c r="F1238" s="176">
        <v>16783.2</v>
      </c>
      <c r="G1238" s="177">
        <f>Tabla19[[#This Row],[Importe]]-Tabla19[[#This Row],[Pagado]]</f>
        <v>0</v>
      </c>
      <c r="H1238" s="75" t="s">
        <v>10</v>
      </c>
    </row>
    <row r="1239" spans="1:8" x14ac:dyDescent="0.25">
      <c r="A1239" s="148">
        <v>44786</v>
      </c>
      <c r="B1239" s="149" t="s">
        <v>25938</v>
      </c>
      <c r="C1239" s="153" t="s">
        <v>114</v>
      </c>
      <c r="D1239" s="178">
        <v>17150.5</v>
      </c>
      <c r="E1239" s="155">
        <v>44788</v>
      </c>
      <c r="F1239" s="178">
        <v>17150.5</v>
      </c>
      <c r="G1239" s="179">
        <f>Tabla19[[#This Row],[Importe]]-Tabla19[[#This Row],[Pagado]]</f>
        <v>0</v>
      </c>
      <c r="H1239" s="153" t="s">
        <v>10</v>
      </c>
    </row>
    <row r="1240" spans="1:8" ht="31.5" x14ac:dyDescent="0.25">
      <c r="A1240" s="73">
        <v>44786</v>
      </c>
      <c r="B1240" s="74" t="s">
        <v>25939</v>
      </c>
      <c r="C1240" s="75" t="s">
        <v>93</v>
      </c>
      <c r="D1240" s="176">
        <v>17844.3</v>
      </c>
      <c r="E1240" s="147" t="s">
        <v>25940</v>
      </c>
      <c r="F1240" s="176">
        <f>10000+7844.3</f>
        <v>17844.3</v>
      </c>
      <c r="G1240" s="177">
        <f>Tabla19[[#This Row],[Importe]]-Tabla19[[#This Row],[Pagado]]</f>
        <v>0</v>
      </c>
      <c r="H1240" s="75" t="s">
        <v>10</v>
      </c>
    </row>
    <row r="1241" spans="1:8" x14ac:dyDescent="0.25">
      <c r="A1241" s="148">
        <v>44786</v>
      </c>
      <c r="B1241" s="149" t="s">
        <v>25941</v>
      </c>
      <c r="C1241" s="153" t="s">
        <v>97</v>
      </c>
      <c r="D1241" s="178">
        <v>10140</v>
      </c>
      <c r="E1241" s="155">
        <v>44788</v>
      </c>
      <c r="F1241" s="178">
        <v>10140</v>
      </c>
      <c r="G1241" s="179">
        <f>Tabla19[[#This Row],[Importe]]-Tabla19[[#This Row],[Pagado]]</f>
        <v>0</v>
      </c>
      <c r="H1241" s="153" t="s">
        <v>10</v>
      </c>
    </row>
    <row r="1242" spans="1:8" x14ac:dyDescent="0.25">
      <c r="A1242" s="73">
        <v>44786</v>
      </c>
      <c r="B1242" s="74" t="s">
        <v>25942</v>
      </c>
      <c r="C1242" s="75" t="s">
        <v>2151</v>
      </c>
      <c r="D1242" s="176">
        <v>43437.8</v>
      </c>
      <c r="E1242" s="151">
        <v>44786</v>
      </c>
      <c r="F1242" s="176">
        <v>43437.8</v>
      </c>
      <c r="G1242" s="177">
        <f>Tabla19[[#This Row],[Importe]]-Tabla19[[#This Row],[Pagado]]</f>
        <v>0</v>
      </c>
      <c r="H1242" s="75" t="s">
        <v>10</v>
      </c>
    </row>
    <row r="1243" spans="1:8" ht="47.25" x14ac:dyDescent="0.25">
      <c r="A1243" s="148">
        <v>44786</v>
      </c>
      <c r="B1243" s="149" t="s">
        <v>25943</v>
      </c>
      <c r="C1243" s="153" t="s">
        <v>99</v>
      </c>
      <c r="D1243" s="178">
        <v>10483.200000000001</v>
      </c>
      <c r="E1243" s="150" t="s">
        <v>25944</v>
      </c>
      <c r="F1243" s="178">
        <f>2000+2500+3000+2983.2</f>
        <v>10483.200000000001</v>
      </c>
      <c r="G1243" s="179">
        <f>Tabla19[[#This Row],[Importe]]-Tabla19[[#This Row],[Pagado]]</f>
        <v>0</v>
      </c>
      <c r="H1243" s="153" t="s">
        <v>10</v>
      </c>
    </row>
    <row r="1244" spans="1:8" x14ac:dyDescent="0.25">
      <c r="A1244" s="73">
        <v>44786</v>
      </c>
      <c r="B1244" s="74" t="s">
        <v>25945</v>
      </c>
      <c r="C1244" s="75" t="s">
        <v>89</v>
      </c>
      <c r="D1244" s="176">
        <v>14597.1</v>
      </c>
      <c r="E1244" s="151">
        <v>44788</v>
      </c>
      <c r="F1244" s="176">
        <v>14597.1</v>
      </c>
      <c r="G1244" s="177">
        <f>Tabla19[[#This Row],[Importe]]-Tabla19[[#This Row],[Pagado]]</f>
        <v>0</v>
      </c>
      <c r="H1244" s="75" t="s">
        <v>10</v>
      </c>
    </row>
    <row r="1245" spans="1:8" x14ac:dyDescent="0.25">
      <c r="A1245" s="148">
        <v>44786</v>
      </c>
      <c r="B1245" s="149" t="s">
        <v>25946</v>
      </c>
      <c r="C1245" s="153" t="s">
        <v>111</v>
      </c>
      <c r="D1245" s="178">
        <v>12077.1</v>
      </c>
      <c r="E1245" s="155">
        <v>44788</v>
      </c>
      <c r="F1245" s="178">
        <v>12077.1</v>
      </c>
      <c r="G1245" s="179">
        <f>Tabla19[[#This Row],[Importe]]-Tabla19[[#This Row],[Pagado]]</f>
        <v>0</v>
      </c>
      <c r="H1245" s="153" t="s">
        <v>10</v>
      </c>
    </row>
    <row r="1246" spans="1:8" x14ac:dyDescent="0.25">
      <c r="A1246" s="73">
        <v>44786</v>
      </c>
      <c r="B1246" s="74" t="s">
        <v>25947</v>
      </c>
      <c r="C1246" s="75" t="s">
        <v>918</v>
      </c>
      <c r="D1246" s="176">
        <v>994</v>
      </c>
      <c r="E1246" s="151">
        <v>44786</v>
      </c>
      <c r="F1246" s="176">
        <v>994</v>
      </c>
      <c r="G1246" s="177">
        <f>Tabla19[[#This Row],[Importe]]-Tabla19[[#This Row],[Pagado]]</f>
        <v>0</v>
      </c>
      <c r="H1246" s="75" t="s">
        <v>10</v>
      </c>
    </row>
    <row r="1247" spans="1:8" ht="31.5" x14ac:dyDescent="0.25">
      <c r="A1247" s="148">
        <v>44786</v>
      </c>
      <c r="B1247" s="149" t="s">
        <v>25948</v>
      </c>
      <c r="C1247" s="153" t="s">
        <v>345</v>
      </c>
      <c r="D1247" s="178">
        <v>4940</v>
      </c>
      <c r="E1247" s="150" t="s">
        <v>25817</v>
      </c>
      <c r="F1247" s="178">
        <f>2000+2940</f>
        <v>4940</v>
      </c>
      <c r="G1247" s="179">
        <f>Tabla19[[#This Row],[Importe]]-Tabla19[[#This Row],[Pagado]]</f>
        <v>0</v>
      </c>
      <c r="H1247" s="153" t="s">
        <v>10</v>
      </c>
    </row>
    <row r="1248" spans="1:8" x14ac:dyDescent="0.25">
      <c r="A1248" s="73">
        <v>44786</v>
      </c>
      <c r="B1248" s="74" t="s">
        <v>25949</v>
      </c>
      <c r="C1248" s="75" t="s">
        <v>9</v>
      </c>
      <c r="D1248" s="176">
        <v>14842.9</v>
      </c>
      <c r="E1248" s="151">
        <v>44786</v>
      </c>
      <c r="F1248" s="176">
        <v>14842.9</v>
      </c>
      <c r="G1248" s="177">
        <f>Tabla19[[#This Row],[Importe]]-Tabla19[[#This Row],[Pagado]]</f>
        <v>0</v>
      </c>
      <c r="H1248" s="75" t="s">
        <v>10</v>
      </c>
    </row>
    <row r="1249" spans="1:8" x14ac:dyDescent="0.25">
      <c r="A1249" s="148">
        <v>44786</v>
      </c>
      <c r="B1249" s="149" t="s">
        <v>25950</v>
      </c>
      <c r="C1249" s="153" t="s">
        <v>918</v>
      </c>
      <c r="D1249" s="178">
        <v>1122</v>
      </c>
      <c r="E1249" s="155">
        <v>44786</v>
      </c>
      <c r="F1249" s="178">
        <v>1122</v>
      </c>
      <c r="G1249" s="179">
        <f>Tabla19[[#This Row],[Importe]]-Tabla19[[#This Row],[Pagado]]</f>
        <v>0</v>
      </c>
      <c r="H1249" s="153" t="s">
        <v>10</v>
      </c>
    </row>
    <row r="1250" spans="1:8" ht="31.5" x14ac:dyDescent="0.25">
      <c r="A1250" s="73">
        <v>44786</v>
      </c>
      <c r="B1250" s="74" t="s">
        <v>25951</v>
      </c>
      <c r="C1250" s="75" t="s">
        <v>22</v>
      </c>
      <c r="D1250" s="176">
        <v>81968.3</v>
      </c>
      <c r="E1250" s="147" t="s">
        <v>25924</v>
      </c>
      <c r="F1250" s="176">
        <f>57000+24968.3</f>
        <v>81968.3</v>
      </c>
      <c r="G1250" s="177">
        <f>Tabla19[[#This Row],[Importe]]-Tabla19[[#This Row],[Pagado]]</f>
        <v>0</v>
      </c>
      <c r="H1250" s="75" t="s">
        <v>10</v>
      </c>
    </row>
    <row r="1251" spans="1:8" x14ac:dyDescent="0.25">
      <c r="A1251" s="148">
        <v>44786</v>
      </c>
      <c r="B1251" s="149" t="s">
        <v>25952</v>
      </c>
      <c r="C1251" s="153" t="s">
        <v>29</v>
      </c>
      <c r="D1251" s="178">
        <v>8198.4</v>
      </c>
      <c r="E1251" s="155">
        <v>44786</v>
      </c>
      <c r="F1251" s="178">
        <v>8198.4</v>
      </c>
      <c r="G1251" s="179">
        <f>Tabla19[[#This Row],[Importe]]-Tabla19[[#This Row],[Pagado]]</f>
        <v>0</v>
      </c>
      <c r="H1251" s="153" t="s">
        <v>10</v>
      </c>
    </row>
    <row r="1252" spans="1:8" x14ac:dyDescent="0.25">
      <c r="A1252" s="73">
        <v>44786</v>
      </c>
      <c r="B1252" s="74" t="s">
        <v>25953</v>
      </c>
      <c r="C1252" s="75" t="s">
        <v>29</v>
      </c>
      <c r="D1252" s="176">
        <v>1344</v>
      </c>
      <c r="E1252" s="151">
        <v>44786</v>
      </c>
      <c r="F1252" s="176">
        <v>1344</v>
      </c>
      <c r="G1252" s="177">
        <f>Tabla19[[#This Row],[Importe]]-Tabla19[[#This Row],[Pagado]]</f>
        <v>0</v>
      </c>
      <c r="H1252" s="75" t="s">
        <v>10</v>
      </c>
    </row>
    <row r="1253" spans="1:8" x14ac:dyDescent="0.25">
      <c r="A1253" s="148">
        <v>44786</v>
      </c>
      <c r="B1253" s="149" t="s">
        <v>25954</v>
      </c>
      <c r="C1253" s="153" t="s">
        <v>1187</v>
      </c>
      <c r="D1253" s="178">
        <v>1073</v>
      </c>
      <c r="E1253" s="155">
        <v>44786</v>
      </c>
      <c r="F1253" s="178">
        <v>1073</v>
      </c>
      <c r="G1253" s="179">
        <f>Tabla19[[#This Row],[Importe]]-Tabla19[[#This Row],[Pagado]]</f>
        <v>0</v>
      </c>
      <c r="H1253" s="153" t="s">
        <v>10</v>
      </c>
    </row>
    <row r="1254" spans="1:8" x14ac:dyDescent="0.25">
      <c r="A1254" s="73">
        <v>44786</v>
      </c>
      <c r="B1254" s="74" t="s">
        <v>25955</v>
      </c>
      <c r="C1254" s="75" t="s">
        <v>16</v>
      </c>
      <c r="D1254" s="176">
        <v>6346</v>
      </c>
      <c r="E1254" s="151">
        <v>44786</v>
      </c>
      <c r="F1254" s="176">
        <v>6346</v>
      </c>
      <c r="G1254" s="177">
        <f>Tabla19[[#This Row],[Importe]]-Tabla19[[#This Row],[Pagado]]</f>
        <v>0</v>
      </c>
      <c r="H1254" s="75" t="s">
        <v>10</v>
      </c>
    </row>
    <row r="1255" spans="1:8" x14ac:dyDescent="0.25">
      <c r="A1255" s="148">
        <v>44786</v>
      </c>
      <c r="B1255" s="149" t="s">
        <v>25956</v>
      </c>
      <c r="C1255" s="153" t="s">
        <v>275</v>
      </c>
      <c r="D1255" s="178">
        <v>212413.8</v>
      </c>
      <c r="E1255" s="155" t="s">
        <v>4813</v>
      </c>
      <c r="F1255" s="178">
        <v>0</v>
      </c>
      <c r="G1255" s="179">
        <f>Tabla19[[#This Row],[Importe]]-Tabla19[[#This Row],[Pagado]]</f>
        <v>212413.8</v>
      </c>
      <c r="H1255" s="153" t="s">
        <v>4814</v>
      </c>
    </row>
    <row r="1256" spans="1:8" x14ac:dyDescent="0.25">
      <c r="A1256" s="73">
        <v>44786</v>
      </c>
      <c r="B1256" s="74" t="s">
        <v>25957</v>
      </c>
      <c r="C1256" s="75" t="s">
        <v>924</v>
      </c>
      <c r="D1256" s="176">
        <v>4945.5</v>
      </c>
      <c r="E1256" s="151">
        <v>44786</v>
      </c>
      <c r="F1256" s="176">
        <v>4945.5</v>
      </c>
      <c r="G1256" s="177">
        <f>Tabla19[[#This Row],[Importe]]-Tabla19[[#This Row],[Pagado]]</f>
        <v>0</v>
      </c>
      <c r="H1256" s="75" t="s">
        <v>10</v>
      </c>
    </row>
    <row r="1257" spans="1:8" x14ac:dyDescent="0.25">
      <c r="A1257" s="148">
        <v>44786</v>
      </c>
      <c r="B1257" s="149" t="s">
        <v>25958</v>
      </c>
      <c r="C1257" s="153" t="s">
        <v>161</v>
      </c>
      <c r="D1257" s="178">
        <v>4669.3999999999996</v>
      </c>
      <c r="E1257" s="155">
        <v>44786</v>
      </c>
      <c r="F1257" s="178">
        <v>4669.3999999999996</v>
      </c>
      <c r="G1257" s="179">
        <f>Tabla19[[#This Row],[Importe]]-Tabla19[[#This Row],[Pagado]]</f>
        <v>0</v>
      </c>
      <c r="H1257" s="153" t="s">
        <v>10</v>
      </c>
    </row>
    <row r="1258" spans="1:8" x14ac:dyDescent="0.25">
      <c r="A1258" s="73">
        <v>44786</v>
      </c>
      <c r="B1258" s="74" t="s">
        <v>25959</v>
      </c>
      <c r="C1258" s="75" t="s">
        <v>49</v>
      </c>
      <c r="D1258" s="176">
        <v>4491.8999999999996</v>
      </c>
      <c r="E1258" s="151">
        <v>44786</v>
      </c>
      <c r="F1258" s="176">
        <v>4491.8999999999996</v>
      </c>
      <c r="G1258" s="177">
        <f>Tabla19[[#This Row],[Importe]]-Tabla19[[#This Row],[Pagado]]</f>
        <v>0</v>
      </c>
      <c r="H1258" s="75" t="s">
        <v>10</v>
      </c>
    </row>
    <row r="1259" spans="1:8" x14ac:dyDescent="0.25">
      <c r="A1259" s="148">
        <v>44786</v>
      </c>
      <c r="B1259" s="149" t="s">
        <v>25960</v>
      </c>
      <c r="C1259" s="153" t="s">
        <v>161</v>
      </c>
      <c r="D1259" s="178">
        <v>574.20000000000005</v>
      </c>
      <c r="E1259" s="155">
        <v>44786</v>
      </c>
      <c r="F1259" s="178">
        <v>574.20000000000005</v>
      </c>
      <c r="G1259" s="179">
        <f>Tabla19[[#This Row],[Importe]]-Tabla19[[#This Row],[Pagado]]</f>
        <v>0</v>
      </c>
      <c r="H1259" s="153" t="s">
        <v>10</v>
      </c>
    </row>
    <row r="1260" spans="1:8" x14ac:dyDescent="0.25">
      <c r="A1260" s="73">
        <v>44786</v>
      </c>
      <c r="B1260" s="74" t="s">
        <v>25961</v>
      </c>
      <c r="C1260" s="75" t="s">
        <v>27</v>
      </c>
      <c r="D1260" s="176">
        <v>4202.5</v>
      </c>
      <c r="E1260" s="151">
        <v>44786</v>
      </c>
      <c r="F1260" s="176">
        <v>4202.5</v>
      </c>
      <c r="G1260" s="177">
        <f>Tabla19[[#This Row],[Importe]]-Tabla19[[#This Row],[Pagado]]</f>
        <v>0</v>
      </c>
      <c r="H1260" s="75" t="s">
        <v>10</v>
      </c>
    </row>
    <row r="1261" spans="1:8" x14ac:dyDescent="0.25">
      <c r="A1261" s="148">
        <v>44786</v>
      </c>
      <c r="B1261" s="149" t="s">
        <v>25962</v>
      </c>
      <c r="C1261" s="153" t="s">
        <v>14</v>
      </c>
      <c r="D1261" s="178">
        <v>35882</v>
      </c>
      <c r="E1261" s="155">
        <v>44786</v>
      </c>
      <c r="F1261" s="178">
        <v>35882</v>
      </c>
      <c r="G1261" s="179">
        <f>Tabla19[[#This Row],[Importe]]-Tabla19[[#This Row],[Pagado]]</f>
        <v>0</v>
      </c>
      <c r="H1261" s="153" t="s">
        <v>10</v>
      </c>
    </row>
    <row r="1262" spans="1:8" ht="31.5" x14ac:dyDescent="0.25">
      <c r="A1262" s="73">
        <v>44786</v>
      </c>
      <c r="B1262" s="74" t="s">
        <v>25963</v>
      </c>
      <c r="C1262" s="181" t="s">
        <v>5463</v>
      </c>
      <c r="D1262" s="176">
        <v>0</v>
      </c>
      <c r="E1262" s="157" t="s">
        <v>189</v>
      </c>
      <c r="F1262" s="176">
        <v>0</v>
      </c>
      <c r="G1262" s="177">
        <f>Tabla19[[#This Row],[Importe]]-Tabla19[[#This Row],[Pagado]]</f>
        <v>0</v>
      </c>
      <c r="H1262" s="161" t="s">
        <v>25964</v>
      </c>
    </row>
    <row r="1263" spans="1:8" x14ac:dyDescent="0.25">
      <c r="A1263" s="148">
        <v>44786</v>
      </c>
      <c r="B1263" s="149" t="s">
        <v>25965</v>
      </c>
      <c r="C1263" s="153" t="s">
        <v>31</v>
      </c>
      <c r="D1263" s="178">
        <v>2880</v>
      </c>
      <c r="E1263" s="155">
        <v>44786</v>
      </c>
      <c r="F1263" s="178">
        <v>2880</v>
      </c>
      <c r="G1263" s="179">
        <f>Tabla19[[#This Row],[Importe]]-Tabla19[[#This Row],[Pagado]]</f>
        <v>0</v>
      </c>
      <c r="H1263" s="153" t="s">
        <v>10</v>
      </c>
    </row>
    <row r="1264" spans="1:8" x14ac:dyDescent="0.25">
      <c r="A1264" s="73">
        <v>44786</v>
      </c>
      <c r="B1264" s="74" t="s">
        <v>25966</v>
      </c>
      <c r="C1264" s="75" t="s">
        <v>25967</v>
      </c>
      <c r="D1264" s="176">
        <v>0</v>
      </c>
      <c r="E1264" s="157" t="s">
        <v>189</v>
      </c>
      <c r="F1264" s="176">
        <v>0</v>
      </c>
      <c r="G1264" s="177">
        <f>Tabla19[[#This Row],[Importe]]-Tabla19[[#This Row],[Pagado]]</f>
        <v>0</v>
      </c>
      <c r="H1264" s="161" t="s">
        <v>25968</v>
      </c>
    </row>
    <row r="1265" spans="1:8" x14ac:dyDescent="0.25">
      <c r="A1265" s="148">
        <v>44786</v>
      </c>
      <c r="B1265" s="149" t="s">
        <v>25969</v>
      </c>
      <c r="C1265" s="153" t="s">
        <v>11033</v>
      </c>
      <c r="D1265" s="178">
        <v>1927.6</v>
      </c>
      <c r="E1265" s="155">
        <v>44786</v>
      </c>
      <c r="F1265" s="178">
        <v>1927.6</v>
      </c>
      <c r="G1265" s="179">
        <f>Tabla19[[#This Row],[Importe]]-Tabla19[[#This Row],[Pagado]]</f>
        <v>0</v>
      </c>
      <c r="H1265" s="153" t="s">
        <v>10</v>
      </c>
    </row>
    <row r="1266" spans="1:8" x14ac:dyDescent="0.25">
      <c r="A1266" s="73">
        <v>44786</v>
      </c>
      <c r="B1266" s="74" t="s">
        <v>25970</v>
      </c>
      <c r="C1266" s="75" t="s">
        <v>555</v>
      </c>
      <c r="D1266" s="176">
        <v>19500</v>
      </c>
      <c r="E1266" s="151">
        <v>44786</v>
      </c>
      <c r="F1266" s="176">
        <v>19500</v>
      </c>
      <c r="G1266" s="177">
        <f>Tabla19[[#This Row],[Importe]]-Tabla19[[#This Row],[Pagado]]</f>
        <v>0</v>
      </c>
      <c r="H1266" s="75" t="s">
        <v>10</v>
      </c>
    </row>
    <row r="1267" spans="1:8" x14ac:dyDescent="0.25">
      <c r="A1267" s="148">
        <v>44786</v>
      </c>
      <c r="B1267" s="149" t="s">
        <v>25971</v>
      </c>
      <c r="C1267" s="153" t="s">
        <v>196</v>
      </c>
      <c r="D1267" s="178">
        <v>160037.66</v>
      </c>
      <c r="E1267" s="155">
        <v>44792</v>
      </c>
      <c r="F1267" s="178">
        <v>160037.66</v>
      </c>
      <c r="G1267" s="179">
        <f>Tabla19[[#This Row],[Importe]]-Tabla19[[#This Row],[Pagado]]</f>
        <v>0</v>
      </c>
      <c r="H1267" s="153" t="s">
        <v>10</v>
      </c>
    </row>
    <row r="1268" spans="1:8" x14ac:dyDescent="0.25">
      <c r="A1268" s="73">
        <v>44786</v>
      </c>
      <c r="B1268" s="74" t="s">
        <v>25972</v>
      </c>
      <c r="C1268" s="75" t="s">
        <v>555</v>
      </c>
      <c r="D1268" s="176">
        <v>4000</v>
      </c>
      <c r="E1268" s="151">
        <v>44786</v>
      </c>
      <c r="F1268" s="176">
        <v>4000</v>
      </c>
      <c r="G1268" s="177">
        <f>Tabla19[[#This Row],[Importe]]-Tabla19[[#This Row],[Pagado]]</f>
        <v>0</v>
      </c>
      <c r="H1268" s="75" t="s">
        <v>10</v>
      </c>
    </row>
    <row r="1269" spans="1:8" x14ac:dyDescent="0.25">
      <c r="A1269" s="148">
        <v>44786</v>
      </c>
      <c r="B1269" s="149" t="s">
        <v>25973</v>
      </c>
      <c r="C1269" s="153" t="s">
        <v>1239</v>
      </c>
      <c r="D1269" s="178">
        <v>10987.2</v>
      </c>
      <c r="E1269" s="155">
        <v>44786</v>
      </c>
      <c r="F1269" s="178">
        <v>10987.2</v>
      </c>
      <c r="G1269" s="179">
        <f>Tabla19[[#This Row],[Importe]]-Tabla19[[#This Row],[Pagado]]</f>
        <v>0</v>
      </c>
      <c r="H1269" s="153" t="s">
        <v>10</v>
      </c>
    </row>
    <row r="1270" spans="1:8" x14ac:dyDescent="0.25">
      <c r="A1270" s="73">
        <v>44786</v>
      </c>
      <c r="B1270" s="74" t="s">
        <v>25974</v>
      </c>
      <c r="C1270" s="75" t="s">
        <v>31</v>
      </c>
      <c r="D1270" s="176">
        <v>747.6</v>
      </c>
      <c r="E1270" s="151">
        <v>44786</v>
      </c>
      <c r="F1270" s="176">
        <v>747.6</v>
      </c>
      <c r="G1270" s="177">
        <f>Tabla19[[#This Row],[Importe]]-Tabla19[[#This Row],[Pagado]]</f>
        <v>0</v>
      </c>
      <c r="H1270" s="75" t="s">
        <v>10</v>
      </c>
    </row>
    <row r="1271" spans="1:8" x14ac:dyDescent="0.25">
      <c r="A1271" s="148">
        <v>44786</v>
      </c>
      <c r="B1271" s="149" t="s">
        <v>25975</v>
      </c>
      <c r="C1271" s="153" t="s">
        <v>142</v>
      </c>
      <c r="D1271" s="178">
        <v>104138.62</v>
      </c>
      <c r="E1271" s="155" t="s">
        <v>4813</v>
      </c>
      <c r="F1271" s="178">
        <v>0</v>
      </c>
      <c r="G1271" s="179">
        <f>Tabla19[[#This Row],[Importe]]-Tabla19[[#This Row],[Pagado]]</f>
        <v>104138.62</v>
      </c>
      <c r="H1271" s="153" t="s">
        <v>4814</v>
      </c>
    </row>
    <row r="1272" spans="1:8" x14ac:dyDescent="0.25">
      <c r="A1272" s="73">
        <v>44786</v>
      </c>
      <c r="B1272" s="74" t="s">
        <v>25976</v>
      </c>
      <c r="C1272" s="75" t="s">
        <v>31</v>
      </c>
      <c r="D1272" s="176">
        <v>480</v>
      </c>
      <c r="E1272" s="151">
        <v>44786</v>
      </c>
      <c r="F1272" s="176">
        <v>480</v>
      </c>
      <c r="G1272" s="177">
        <f>Tabla19[[#This Row],[Importe]]-Tabla19[[#This Row],[Pagado]]</f>
        <v>0</v>
      </c>
      <c r="H1272" s="75" t="s">
        <v>10</v>
      </c>
    </row>
    <row r="1273" spans="1:8" x14ac:dyDescent="0.25">
      <c r="A1273" s="148">
        <v>44786</v>
      </c>
      <c r="B1273" s="149" t="s">
        <v>25977</v>
      </c>
      <c r="C1273" s="153" t="s">
        <v>11383</v>
      </c>
      <c r="D1273" s="178">
        <v>24412.5</v>
      </c>
      <c r="E1273" s="155">
        <v>44786</v>
      </c>
      <c r="F1273" s="178">
        <v>24412.5</v>
      </c>
      <c r="G1273" s="179">
        <f>Tabla19[[#This Row],[Importe]]-Tabla19[[#This Row],[Pagado]]</f>
        <v>0</v>
      </c>
      <c r="H1273" s="153" t="s">
        <v>10</v>
      </c>
    </row>
    <row r="1274" spans="1:8" x14ac:dyDescent="0.25">
      <c r="A1274" s="73">
        <v>44786</v>
      </c>
      <c r="B1274" s="74" t="s">
        <v>25978</v>
      </c>
      <c r="C1274" s="75" t="s">
        <v>45</v>
      </c>
      <c r="D1274" s="176">
        <v>13952.4</v>
      </c>
      <c r="E1274" s="151">
        <v>44786</v>
      </c>
      <c r="F1274" s="176">
        <v>13952.4</v>
      </c>
      <c r="G1274" s="177">
        <f>Tabla19[[#This Row],[Importe]]-Tabla19[[#This Row],[Pagado]]</f>
        <v>0</v>
      </c>
      <c r="H1274" s="75" t="s">
        <v>10</v>
      </c>
    </row>
    <row r="1275" spans="1:8" x14ac:dyDescent="0.25">
      <c r="A1275" s="148">
        <v>44786</v>
      </c>
      <c r="B1275" s="149" t="s">
        <v>25979</v>
      </c>
      <c r="C1275" s="153" t="s">
        <v>273</v>
      </c>
      <c r="D1275" s="178">
        <v>1900</v>
      </c>
      <c r="E1275" s="155">
        <v>44786</v>
      </c>
      <c r="F1275" s="178">
        <v>1900</v>
      </c>
      <c r="G1275" s="179">
        <f>Tabla19[[#This Row],[Importe]]-Tabla19[[#This Row],[Pagado]]</f>
        <v>0</v>
      </c>
      <c r="H1275" s="153" t="s">
        <v>10</v>
      </c>
    </row>
    <row r="1276" spans="1:8" x14ac:dyDescent="0.25">
      <c r="A1276" s="73">
        <v>44786</v>
      </c>
      <c r="B1276" s="74" t="s">
        <v>25980</v>
      </c>
      <c r="C1276" s="75" t="s">
        <v>146</v>
      </c>
      <c r="D1276" s="176">
        <v>10965</v>
      </c>
      <c r="E1276" s="151">
        <v>44786</v>
      </c>
      <c r="F1276" s="176">
        <v>10965</v>
      </c>
      <c r="G1276" s="177">
        <f>Tabla19[[#This Row],[Importe]]-Tabla19[[#This Row],[Pagado]]</f>
        <v>0</v>
      </c>
      <c r="H1276" s="75" t="s">
        <v>10</v>
      </c>
    </row>
    <row r="1277" spans="1:8" x14ac:dyDescent="0.25">
      <c r="A1277" s="148">
        <v>44786</v>
      </c>
      <c r="B1277" s="149" t="s">
        <v>25981</v>
      </c>
      <c r="C1277" s="153" t="s">
        <v>167</v>
      </c>
      <c r="D1277" s="178">
        <v>116454.8</v>
      </c>
      <c r="E1277" s="155">
        <v>44786</v>
      </c>
      <c r="F1277" s="178">
        <v>116454.8</v>
      </c>
      <c r="G1277" s="179">
        <f>Tabla19[[#This Row],[Importe]]-Tabla19[[#This Row],[Pagado]]</f>
        <v>0</v>
      </c>
      <c r="H1277" s="153" t="s">
        <v>10</v>
      </c>
    </row>
    <row r="1278" spans="1:8" x14ac:dyDescent="0.25">
      <c r="A1278" s="73">
        <v>44786</v>
      </c>
      <c r="B1278" s="74" t="s">
        <v>25982</v>
      </c>
      <c r="C1278" s="75" t="s">
        <v>25983</v>
      </c>
      <c r="D1278" s="176">
        <v>0</v>
      </c>
      <c r="E1278" s="157" t="s">
        <v>189</v>
      </c>
      <c r="F1278" s="176">
        <v>0</v>
      </c>
      <c r="G1278" s="177">
        <f>Tabla19[[#This Row],[Importe]]-Tabla19[[#This Row],[Pagado]]</f>
        <v>0</v>
      </c>
      <c r="H1278" s="161" t="s">
        <v>25984</v>
      </c>
    </row>
    <row r="1279" spans="1:8" x14ac:dyDescent="0.25">
      <c r="A1279" s="148">
        <v>44786</v>
      </c>
      <c r="B1279" s="149" t="s">
        <v>25985</v>
      </c>
      <c r="C1279" s="153" t="s">
        <v>181</v>
      </c>
      <c r="D1279" s="178">
        <v>17550.599999999999</v>
      </c>
      <c r="E1279" s="155">
        <v>44786</v>
      </c>
      <c r="F1279" s="178">
        <v>17550.599999999999</v>
      </c>
      <c r="G1279" s="179">
        <f>Tabla19[[#This Row],[Importe]]-Tabla19[[#This Row],[Pagado]]</f>
        <v>0</v>
      </c>
      <c r="H1279" s="153" t="s">
        <v>10</v>
      </c>
    </row>
    <row r="1280" spans="1:8" x14ac:dyDescent="0.25">
      <c r="A1280" s="73">
        <v>44786</v>
      </c>
      <c r="B1280" s="74" t="s">
        <v>25986</v>
      </c>
      <c r="C1280" s="75" t="s">
        <v>1362</v>
      </c>
      <c r="D1280" s="176">
        <v>8202.5</v>
      </c>
      <c r="E1280" s="151">
        <v>44786</v>
      </c>
      <c r="F1280" s="176">
        <v>8202.5</v>
      </c>
      <c r="G1280" s="177">
        <f>Tabla19[[#This Row],[Importe]]-Tabla19[[#This Row],[Pagado]]</f>
        <v>0</v>
      </c>
      <c r="H1280" s="75" t="s">
        <v>10</v>
      </c>
    </row>
    <row r="1281" spans="1:8" x14ac:dyDescent="0.25">
      <c r="A1281" s="148">
        <v>44786</v>
      </c>
      <c r="B1281" s="149" t="s">
        <v>25987</v>
      </c>
      <c r="C1281" s="153" t="s">
        <v>426</v>
      </c>
      <c r="D1281" s="178">
        <v>4777.5</v>
      </c>
      <c r="E1281" s="155">
        <v>44786</v>
      </c>
      <c r="F1281" s="178">
        <v>4777.5</v>
      </c>
      <c r="G1281" s="179">
        <f>Tabla19[[#This Row],[Importe]]-Tabla19[[#This Row],[Pagado]]</f>
        <v>0</v>
      </c>
      <c r="H1281" s="153" t="s">
        <v>10</v>
      </c>
    </row>
    <row r="1282" spans="1:8" x14ac:dyDescent="0.25">
      <c r="A1282" s="73">
        <v>44786</v>
      </c>
      <c r="B1282" s="74" t="s">
        <v>25988</v>
      </c>
      <c r="C1282" s="75" t="s">
        <v>79</v>
      </c>
      <c r="D1282" s="176">
        <v>45393.599999999999</v>
      </c>
      <c r="E1282" s="151">
        <v>44786</v>
      </c>
      <c r="F1282" s="176">
        <v>45393.599999999999</v>
      </c>
      <c r="G1282" s="177">
        <f>Tabla19[[#This Row],[Importe]]-Tabla19[[#This Row],[Pagado]]</f>
        <v>0</v>
      </c>
      <c r="H1282" s="75" t="s">
        <v>10</v>
      </c>
    </row>
    <row r="1283" spans="1:8" x14ac:dyDescent="0.25">
      <c r="A1283" s="148">
        <v>44786</v>
      </c>
      <c r="B1283" s="149" t="s">
        <v>25989</v>
      </c>
      <c r="C1283" s="153" t="s">
        <v>1350</v>
      </c>
      <c r="D1283" s="178">
        <v>1204.2</v>
      </c>
      <c r="E1283" s="155">
        <v>44786</v>
      </c>
      <c r="F1283" s="178">
        <v>1204.2</v>
      </c>
      <c r="G1283" s="179">
        <f>Tabla19[[#This Row],[Importe]]-Tabla19[[#This Row],[Pagado]]</f>
        <v>0</v>
      </c>
      <c r="H1283" s="153" t="s">
        <v>10</v>
      </c>
    </row>
    <row r="1284" spans="1:8" x14ac:dyDescent="0.25">
      <c r="A1284" s="73">
        <v>44786</v>
      </c>
      <c r="B1284" s="74" t="s">
        <v>25990</v>
      </c>
      <c r="C1284" s="75" t="s">
        <v>87</v>
      </c>
      <c r="D1284" s="176">
        <v>6185.2</v>
      </c>
      <c r="E1284" s="151">
        <v>44786</v>
      </c>
      <c r="F1284" s="176">
        <v>6185.2</v>
      </c>
      <c r="G1284" s="177">
        <f>Tabla19[[#This Row],[Importe]]-Tabla19[[#This Row],[Pagado]]</f>
        <v>0</v>
      </c>
      <c r="H1284" s="75" t="s">
        <v>10</v>
      </c>
    </row>
    <row r="1285" spans="1:8" x14ac:dyDescent="0.25">
      <c r="A1285" s="148">
        <v>44786</v>
      </c>
      <c r="B1285" s="149" t="s">
        <v>25991</v>
      </c>
      <c r="C1285" s="153" t="s">
        <v>25992</v>
      </c>
      <c r="D1285" s="178">
        <v>0</v>
      </c>
      <c r="E1285" s="158" t="s">
        <v>189</v>
      </c>
      <c r="F1285" s="178">
        <v>0</v>
      </c>
      <c r="G1285" s="179">
        <f>Tabla19[[#This Row],[Importe]]-Tabla19[[#This Row],[Pagado]]</f>
        <v>0</v>
      </c>
      <c r="H1285" s="153" t="s">
        <v>189</v>
      </c>
    </row>
    <row r="1286" spans="1:8" x14ac:dyDescent="0.25">
      <c r="A1286" s="73">
        <v>44786</v>
      </c>
      <c r="B1286" s="74" t="s">
        <v>25993</v>
      </c>
      <c r="C1286" s="75" t="s">
        <v>314</v>
      </c>
      <c r="D1286" s="176">
        <v>4855.2</v>
      </c>
      <c r="E1286" s="151">
        <v>44786</v>
      </c>
      <c r="F1286" s="176">
        <v>4855.2</v>
      </c>
      <c r="G1286" s="177">
        <f>Tabla19[[#This Row],[Importe]]-Tabla19[[#This Row],[Pagado]]</f>
        <v>0</v>
      </c>
      <c r="H1286" s="75" t="s">
        <v>10</v>
      </c>
    </row>
    <row r="1287" spans="1:8" x14ac:dyDescent="0.25">
      <c r="A1287" s="148">
        <v>44786</v>
      </c>
      <c r="B1287" s="149" t="s">
        <v>25994</v>
      </c>
      <c r="C1287" s="153" t="s">
        <v>69</v>
      </c>
      <c r="D1287" s="178">
        <v>3080</v>
      </c>
      <c r="E1287" s="155">
        <v>44786</v>
      </c>
      <c r="F1287" s="178">
        <v>3080</v>
      </c>
      <c r="G1287" s="179">
        <f>Tabla19[[#This Row],[Importe]]-Tabla19[[#This Row],[Pagado]]</f>
        <v>0</v>
      </c>
      <c r="H1287" s="153" t="s">
        <v>10</v>
      </c>
    </row>
    <row r="1288" spans="1:8" x14ac:dyDescent="0.25">
      <c r="A1288" s="73">
        <v>44786</v>
      </c>
      <c r="B1288" s="74" t="s">
        <v>25995</v>
      </c>
      <c r="C1288" s="75" t="s">
        <v>107</v>
      </c>
      <c r="D1288" s="176">
        <v>27457.4</v>
      </c>
      <c r="E1288" s="151">
        <v>44786</v>
      </c>
      <c r="F1288" s="176">
        <v>27457.4</v>
      </c>
      <c r="G1288" s="177">
        <f>Tabla19[[#This Row],[Importe]]-Tabla19[[#This Row],[Pagado]]</f>
        <v>0</v>
      </c>
      <c r="H1288" s="75" t="s">
        <v>10</v>
      </c>
    </row>
    <row r="1289" spans="1:8" x14ac:dyDescent="0.25">
      <c r="A1289" s="148">
        <v>44786</v>
      </c>
      <c r="B1289" s="149" t="s">
        <v>25996</v>
      </c>
      <c r="C1289" s="153" t="s">
        <v>140</v>
      </c>
      <c r="D1289" s="178">
        <v>1997.5</v>
      </c>
      <c r="E1289" s="155">
        <v>44786</v>
      </c>
      <c r="F1289" s="178">
        <v>1997.5</v>
      </c>
      <c r="G1289" s="179">
        <f>Tabla19[[#This Row],[Importe]]-Tabla19[[#This Row],[Pagado]]</f>
        <v>0</v>
      </c>
      <c r="H1289" s="153" t="s">
        <v>10</v>
      </c>
    </row>
    <row r="1290" spans="1:8" x14ac:dyDescent="0.25">
      <c r="A1290" s="73">
        <v>44786</v>
      </c>
      <c r="B1290" s="74" t="s">
        <v>25997</v>
      </c>
      <c r="C1290" s="75" t="s">
        <v>339</v>
      </c>
      <c r="D1290" s="176">
        <v>612</v>
      </c>
      <c r="E1290" s="151">
        <v>44786</v>
      </c>
      <c r="F1290" s="176">
        <v>612</v>
      </c>
      <c r="G1290" s="177">
        <f>Tabla19[[#This Row],[Importe]]-Tabla19[[#This Row],[Pagado]]</f>
        <v>0</v>
      </c>
      <c r="H1290" s="75" t="s">
        <v>10</v>
      </c>
    </row>
    <row r="1291" spans="1:8" x14ac:dyDescent="0.25">
      <c r="A1291" s="148">
        <v>44786</v>
      </c>
      <c r="B1291" s="149" t="s">
        <v>25998</v>
      </c>
      <c r="C1291" s="153" t="s">
        <v>24</v>
      </c>
      <c r="D1291" s="178">
        <v>668</v>
      </c>
      <c r="E1291" s="155">
        <v>44786</v>
      </c>
      <c r="F1291" s="178">
        <v>668</v>
      </c>
      <c r="G1291" s="179">
        <f>Tabla19[[#This Row],[Importe]]-Tabla19[[#This Row],[Pagado]]</f>
        <v>0</v>
      </c>
      <c r="H1291" s="153" t="s">
        <v>10</v>
      </c>
    </row>
    <row r="1292" spans="1:8" x14ac:dyDescent="0.25">
      <c r="A1292" s="73">
        <v>44786</v>
      </c>
      <c r="B1292" s="74" t="s">
        <v>25999</v>
      </c>
      <c r="C1292" s="75" t="s">
        <v>226</v>
      </c>
      <c r="D1292" s="176">
        <v>10397</v>
      </c>
      <c r="E1292" s="151">
        <v>44786</v>
      </c>
      <c r="F1292" s="176">
        <v>10397</v>
      </c>
      <c r="G1292" s="177">
        <f>Tabla19[[#This Row],[Importe]]-Tabla19[[#This Row],[Pagado]]</f>
        <v>0</v>
      </c>
      <c r="H1292" s="75" t="s">
        <v>10</v>
      </c>
    </row>
    <row r="1293" spans="1:8" x14ac:dyDescent="0.25">
      <c r="A1293" s="148">
        <v>44786</v>
      </c>
      <c r="B1293" s="149" t="s">
        <v>26000</v>
      </c>
      <c r="C1293" s="153" t="s">
        <v>698</v>
      </c>
      <c r="D1293" s="178">
        <v>5509</v>
      </c>
      <c r="E1293" s="155">
        <v>44786</v>
      </c>
      <c r="F1293" s="178">
        <v>5509</v>
      </c>
      <c r="G1293" s="179">
        <f>Tabla19[[#This Row],[Importe]]-Tabla19[[#This Row],[Pagado]]</f>
        <v>0</v>
      </c>
      <c r="H1293" s="153" t="s">
        <v>10</v>
      </c>
    </row>
    <row r="1294" spans="1:8" x14ac:dyDescent="0.25">
      <c r="A1294" s="73">
        <v>44786</v>
      </c>
      <c r="B1294" s="74" t="s">
        <v>26001</v>
      </c>
      <c r="C1294" s="75" t="s">
        <v>131</v>
      </c>
      <c r="D1294" s="176">
        <v>1962.5</v>
      </c>
      <c r="E1294" s="151">
        <v>44786</v>
      </c>
      <c r="F1294" s="176">
        <v>1962.5</v>
      </c>
      <c r="G1294" s="177">
        <f>Tabla19[[#This Row],[Importe]]-Tabla19[[#This Row],[Pagado]]</f>
        <v>0</v>
      </c>
      <c r="H1294" s="75" t="s">
        <v>10</v>
      </c>
    </row>
    <row r="1295" spans="1:8" x14ac:dyDescent="0.25">
      <c r="A1295" s="148">
        <v>44786</v>
      </c>
      <c r="B1295" s="149" t="s">
        <v>26002</v>
      </c>
      <c r="C1295" s="153" t="s">
        <v>127</v>
      </c>
      <c r="D1295" s="178">
        <v>5847.5</v>
      </c>
      <c r="E1295" s="155">
        <v>44786</v>
      </c>
      <c r="F1295" s="178">
        <v>5847.5</v>
      </c>
      <c r="G1295" s="179">
        <f>Tabla19[[#This Row],[Importe]]-Tabla19[[#This Row],[Pagado]]</f>
        <v>0</v>
      </c>
      <c r="H1295" s="153" t="s">
        <v>10</v>
      </c>
    </row>
    <row r="1296" spans="1:8" x14ac:dyDescent="0.25">
      <c r="A1296" s="73">
        <v>44786</v>
      </c>
      <c r="B1296" s="74" t="s">
        <v>26003</v>
      </c>
      <c r="C1296" s="75" t="s">
        <v>129</v>
      </c>
      <c r="D1296" s="176">
        <v>4983</v>
      </c>
      <c r="E1296" s="151">
        <v>44786</v>
      </c>
      <c r="F1296" s="176">
        <v>4983</v>
      </c>
      <c r="G1296" s="177">
        <f>Tabla19[[#This Row],[Importe]]-Tabla19[[#This Row],[Pagado]]</f>
        <v>0</v>
      </c>
      <c r="H1296" s="75" t="s">
        <v>10</v>
      </c>
    </row>
    <row r="1297" spans="1:8" x14ac:dyDescent="0.25">
      <c r="A1297" s="148">
        <v>44786</v>
      </c>
      <c r="B1297" s="149" t="s">
        <v>26004</v>
      </c>
      <c r="C1297" s="153" t="s">
        <v>191</v>
      </c>
      <c r="D1297" s="178">
        <v>2119.6999999999998</v>
      </c>
      <c r="E1297" s="155">
        <v>44786</v>
      </c>
      <c r="F1297" s="178">
        <v>2119.6999999999998</v>
      </c>
      <c r="G1297" s="179">
        <f>Tabla19[[#This Row],[Importe]]-Tabla19[[#This Row],[Pagado]]</f>
        <v>0</v>
      </c>
      <c r="H1297" s="153" t="s">
        <v>10</v>
      </c>
    </row>
    <row r="1298" spans="1:8" x14ac:dyDescent="0.25">
      <c r="A1298" s="73">
        <v>44786</v>
      </c>
      <c r="B1298" s="74" t="s">
        <v>26005</v>
      </c>
      <c r="C1298" s="75" t="s">
        <v>4273</v>
      </c>
      <c r="D1298" s="176">
        <v>16800</v>
      </c>
      <c r="E1298" s="151">
        <v>44786</v>
      </c>
      <c r="F1298" s="176">
        <v>16800</v>
      </c>
      <c r="G1298" s="177">
        <f>Tabla19[[#This Row],[Importe]]-Tabla19[[#This Row],[Pagado]]</f>
        <v>0</v>
      </c>
      <c r="H1298" s="75" t="s">
        <v>10</v>
      </c>
    </row>
    <row r="1299" spans="1:8" x14ac:dyDescent="0.25">
      <c r="A1299" s="148">
        <v>44786</v>
      </c>
      <c r="B1299" s="149" t="s">
        <v>26006</v>
      </c>
      <c r="C1299" s="153" t="s">
        <v>191</v>
      </c>
      <c r="D1299" s="178">
        <v>260.39999999999998</v>
      </c>
      <c r="E1299" s="155">
        <v>44786</v>
      </c>
      <c r="F1299" s="178">
        <v>260.39999999999998</v>
      </c>
      <c r="G1299" s="179">
        <f>Tabla19[[#This Row],[Importe]]-Tabla19[[#This Row],[Pagado]]</f>
        <v>0</v>
      </c>
      <c r="H1299" s="153" t="s">
        <v>10</v>
      </c>
    </row>
    <row r="1300" spans="1:8" x14ac:dyDescent="0.25">
      <c r="A1300" s="73">
        <v>44786</v>
      </c>
      <c r="B1300" s="74" t="s">
        <v>26007</v>
      </c>
      <c r="C1300" s="75" t="s">
        <v>9827</v>
      </c>
      <c r="D1300" s="176">
        <v>6022.8</v>
      </c>
      <c r="E1300" s="151">
        <v>44786</v>
      </c>
      <c r="F1300" s="176">
        <v>6022.8</v>
      </c>
      <c r="G1300" s="177">
        <f>Tabla19[[#This Row],[Importe]]-Tabla19[[#This Row],[Pagado]]</f>
        <v>0</v>
      </c>
      <c r="H1300" s="75" t="s">
        <v>10</v>
      </c>
    </row>
    <row r="1301" spans="1:8" x14ac:dyDescent="0.25">
      <c r="A1301" s="148">
        <v>44786</v>
      </c>
      <c r="B1301" s="149" t="s">
        <v>26008</v>
      </c>
      <c r="C1301" s="153" t="s">
        <v>31</v>
      </c>
      <c r="D1301" s="178">
        <v>1432</v>
      </c>
      <c r="E1301" s="155">
        <v>44786</v>
      </c>
      <c r="F1301" s="178">
        <v>1432</v>
      </c>
      <c r="G1301" s="179">
        <f>Tabla19[[#This Row],[Importe]]-Tabla19[[#This Row],[Pagado]]</f>
        <v>0</v>
      </c>
      <c r="H1301" s="153" t="s">
        <v>10</v>
      </c>
    </row>
    <row r="1302" spans="1:8" x14ac:dyDescent="0.25">
      <c r="A1302" s="73">
        <v>44786</v>
      </c>
      <c r="B1302" s="74" t="s">
        <v>26009</v>
      </c>
      <c r="C1302" s="75" t="s">
        <v>62</v>
      </c>
      <c r="D1302" s="176">
        <v>3232.5</v>
      </c>
      <c r="E1302" s="151">
        <v>44786</v>
      </c>
      <c r="F1302" s="176">
        <v>3232.5</v>
      </c>
      <c r="G1302" s="177">
        <f>Tabla19[[#This Row],[Importe]]-Tabla19[[#This Row],[Pagado]]</f>
        <v>0</v>
      </c>
      <c r="H1302" s="75" t="s">
        <v>10</v>
      </c>
    </row>
    <row r="1303" spans="1:8" x14ac:dyDescent="0.25">
      <c r="A1303" s="148">
        <v>44786</v>
      </c>
      <c r="B1303" s="149" t="s">
        <v>26010</v>
      </c>
      <c r="C1303" s="153" t="s">
        <v>12</v>
      </c>
      <c r="D1303" s="178">
        <v>5717.5</v>
      </c>
      <c r="E1303" s="155">
        <v>44786</v>
      </c>
      <c r="F1303" s="178">
        <v>5717.5</v>
      </c>
      <c r="G1303" s="179">
        <f>Tabla19[[#This Row],[Importe]]-Tabla19[[#This Row],[Pagado]]</f>
        <v>0</v>
      </c>
      <c r="H1303" s="153" t="s">
        <v>10</v>
      </c>
    </row>
    <row r="1304" spans="1:8" x14ac:dyDescent="0.25">
      <c r="A1304" s="73">
        <v>44786</v>
      </c>
      <c r="B1304" s="74" t="s">
        <v>26011</v>
      </c>
      <c r="C1304" s="75" t="s">
        <v>647</v>
      </c>
      <c r="D1304" s="176">
        <v>603.9</v>
      </c>
      <c r="E1304" s="151">
        <v>44786</v>
      </c>
      <c r="F1304" s="176">
        <v>603.9</v>
      </c>
      <c r="G1304" s="177">
        <f>Tabla19[[#This Row],[Importe]]-Tabla19[[#This Row],[Pagado]]</f>
        <v>0</v>
      </c>
      <c r="H1304" s="75" t="s">
        <v>10</v>
      </c>
    </row>
    <row r="1305" spans="1:8" x14ac:dyDescent="0.25">
      <c r="A1305" s="148">
        <v>44786</v>
      </c>
      <c r="B1305" s="149" t="s">
        <v>26012</v>
      </c>
      <c r="C1305" s="153" t="s">
        <v>12</v>
      </c>
      <c r="D1305" s="178">
        <v>1016</v>
      </c>
      <c r="E1305" s="155">
        <v>44786</v>
      </c>
      <c r="F1305" s="178">
        <v>1016</v>
      </c>
      <c r="G1305" s="179">
        <f>Tabla19[[#This Row],[Importe]]-Tabla19[[#This Row],[Pagado]]</f>
        <v>0</v>
      </c>
      <c r="H1305" s="153" t="s">
        <v>10</v>
      </c>
    </row>
    <row r="1306" spans="1:8" x14ac:dyDescent="0.25">
      <c r="A1306" s="73">
        <v>44786</v>
      </c>
      <c r="B1306" s="74" t="s">
        <v>26013</v>
      </c>
      <c r="C1306" s="75" t="s">
        <v>4136</v>
      </c>
      <c r="D1306" s="176">
        <v>1505.7</v>
      </c>
      <c r="E1306" s="151">
        <v>44786</v>
      </c>
      <c r="F1306" s="176">
        <v>1505.7</v>
      </c>
      <c r="G1306" s="177">
        <f>Tabla19[[#This Row],[Importe]]-Tabla19[[#This Row],[Pagado]]</f>
        <v>0</v>
      </c>
      <c r="H1306" s="75" t="s">
        <v>10</v>
      </c>
    </row>
    <row r="1307" spans="1:8" x14ac:dyDescent="0.25">
      <c r="A1307" s="148">
        <v>44786</v>
      </c>
      <c r="B1307" s="149" t="s">
        <v>26014</v>
      </c>
      <c r="C1307" s="153" t="s">
        <v>24284</v>
      </c>
      <c r="D1307" s="178">
        <v>1495.2</v>
      </c>
      <c r="E1307" s="155">
        <v>44786</v>
      </c>
      <c r="F1307" s="178">
        <v>1495.2</v>
      </c>
      <c r="G1307" s="179">
        <f>Tabla19[[#This Row],[Importe]]-Tabla19[[#This Row],[Pagado]]</f>
        <v>0</v>
      </c>
      <c r="H1307" s="153" t="s">
        <v>10</v>
      </c>
    </row>
    <row r="1308" spans="1:8" x14ac:dyDescent="0.25">
      <c r="A1308" s="73">
        <v>44786</v>
      </c>
      <c r="B1308" s="74" t="s">
        <v>26015</v>
      </c>
      <c r="C1308" s="75" t="s">
        <v>53</v>
      </c>
      <c r="D1308" s="176">
        <v>705.5</v>
      </c>
      <c r="E1308" s="151">
        <v>44786</v>
      </c>
      <c r="F1308" s="176">
        <v>705.5</v>
      </c>
      <c r="G1308" s="177">
        <f>Tabla19[[#This Row],[Importe]]-Tabla19[[#This Row],[Pagado]]</f>
        <v>0</v>
      </c>
      <c r="H1308" s="75" t="s">
        <v>10</v>
      </c>
    </row>
    <row r="1309" spans="1:8" x14ac:dyDescent="0.25">
      <c r="A1309" s="148">
        <v>44786</v>
      </c>
      <c r="B1309" s="149" t="s">
        <v>26016</v>
      </c>
      <c r="C1309" s="153" t="s">
        <v>16</v>
      </c>
      <c r="D1309" s="178">
        <v>147.19999999999999</v>
      </c>
      <c r="E1309" s="155">
        <v>44786</v>
      </c>
      <c r="F1309" s="178">
        <v>147.19999999999999</v>
      </c>
      <c r="G1309" s="179">
        <f>Tabla19[[#This Row],[Importe]]-Tabla19[[#This Row],[Pagado]]</f>
        <v>0</v>
      </c>
      <c r="H1309" s="153" t="s">
        <v>10</v>
      </c>
    </row>
    <row r="1310" spans="1:8" x14ac:dyDescent="0.25">
      <c r="A1310" s="73">
        <v>44786</v>
      </c>
      <c r="B1310" s="74" t="s">
        <v>26017</v>
      </c>
      <c r="C1310" s="75" t="s">
        <v>484</v>
      </c>
      <c r="D1310" s="176">
        <v>6384.3</v>
      </c>
      <c r="E1310" s="151">
        <v>44786</v>
      </c>
      <c r="F1310" s="176">
        <v>6384.3</v>
      </c>
      <c r="G1310" s="177">
        <f>Tabla19[[#This Row],[Importe]]-Tabla19[[#This Row],[Pagado]]</f>
        <v>0</v>
      </c>
      <c r="H1310" s="75" t="s">
        <v>10</v>
      </c>
    </row>
    <row r="1311" spans="1:8" x14ac:dyDescent="0.25">
      <c r="A1311" s="148">
        <v>44786</v>
      </c>
      <c r="B1311" s="149" t="s">
        <v>26018</v>
      </c>
      <c r="C1311" s="153" t="s">
        <v>419</v>
      </c>
      <c r="D1311" s="178">
        <v>5238.6000000000004</v>
      </c>
      <c r="E1311" s="155">
        <v>44786</v>
      </c>
      <c r="F1311" s="178">
        <v>5238.6000000000004</v>
      </c>
      <c r="G1311" s="179">
        <f>Tabla19[[#This Row],[Importe]]-Tabla19[[#This Row],[Pagado]]</f>
        <v>0</v>
      </c>
      <c r="H1311" s="153" t="s">
        <v>10</v>
      </c>
    </row>
    <row r="1312" spans="1:8" x14ac:dyDescent="0.25">
      <c r="A1312" s="73">
        <v>44786</v>
      </c>
      <c r="B1312" s="74" t="s">
        <v>26019</v>
      </c>
      <c r="C1312" s="75" t="s">
        <v>994</v>
      </c>
      <c r="D1312" s="176">
        <v>2397.8000000000002</v>
      </c>
      <c r="E1312" s="151">
        <v>44786</v>
      </c>
      <c r="F1312" s="176">
        <v>2397.8000000000002</v>
      </c>
      <c r="G1312" s="177">
        <f>Tabla19[[#This Row],[Importe]]-Tabla19[[#This Row],[Pagado]]</f>
        <v>0</v>
      </c>
      <c r="H1312" s="75" t="s">
        <v>10</v>
      </c>
    </row>
    <row r="1313" spans="1:8" x14ac:dyDescent="0.25">
      <c r="A1313" s="148">
        <v>44786</v>
      </c>
      <c r="B1313" s="149" t="s">
        <v>26020</v>
      </c>
      <c r="C1313" s="153" t="s">
        <v>67</v>
      </c>
      <c r="D1313" s="178">
        <v>3012.8</v>
      </c>
      <c r="E1313" s="155">
        <v>44786</v>
      </c>
      <c r="F1313" s="178">
        <v>3012.8</v>
      </c>
      <c r="G1313" s="179">
        <f>Tabla19[[#This Row],[Importe]]-Tabla19[[#This Row],[Pagado]]</f>
        <v>0</v>
      </c>
      <c r="H1313" s="153" t="s">
        <v>10</v>
      </c>
    </row>
    <row r="1314" spans="1:8" x14ac:dyDescent="0.25">
      <c r="A1314" s="73">
        <v>44786</v>
      </c>
      <c r="B1314" s="74" t="s">
        <v>26021</v>
      </c>
      <c r="C1314" s="75" t="s">
        <v>414</v>
      </c>
      <c r="D1314" s="176">
        <v>25183.200000000001</v>
      </c>
      <c r="E1314" s="151">
        <v>44791</v>
      </c>
      <c r="F1314" s="176">
        <v>25183.200000000001</v>
      </c>
      <c r="G1314" s="177">
        <f>Tabla19[[#This Row],[Importe]]-Tabla19[[#This Row],[Pagado]]</f>
        <v>0</v>
      </c>
      <c r="H1314" s="75" t="s">
        <v>10</v>
      </c>
    </row>
    <row r="1315" spans="1:8" x14ac:dyDescent="0.25">
      <c r="A1315" s="148">
        <v>44786</v>
      </c>
      <c r="B1315" s="149" t="s">
        <v>26022</v>
      </c>
      <c r="C1315" s="153" t="s">
        <v>414</v>
      </c>
      <c r="D1315" s="178">
        <v>560</v>
      </c>
      <c r="E1315" s="155">
        <v>44786</v>
      </c>
      <c r="F1315" s="178">
        <v>560</v>
      </c>
      <c r="G1315" s="179">
        <f>Tabla19[[#This Row],[Importe]]-Tabla19[[#This Row],[Pagado]]</f>
        <v>0</v>
      </c>
      <c r="H1315" s="153" t="s">
        <v>10</v>
      </c>
    </row>
    <row r="1316" spans="1:8" x14ac:dyDescent="0.25">
      <c r="A1316" s="73">
        <v>44786</v>
      </c>
      <c r="B1316" s="74" t="s">
        <v>26023</v>
      </c>
      <c r="C1316" s="75" t="s">
        <v>214</v>
      </c>
      <c r="D1316" s="176">
        <v>1747.2</v>
      </c>
      <c r="E1316" s="151" t="s">
        <v>26024</v>
      </c>
      <c r="F1316" s="176">
        <v>1747.2</v>
      </c>
      <c r="G1316" s="177">
        <f>Tabla19[[#This Row],[Importe]]-Tabla19[[#This Row],[Pagado]]</f>
        <v>0</v>
      </c>
      <c r="H1316" s="75" t="s">
        <v>10</v>
      </c>
    </row>
    <row r="1317" spans="1:8" x14ac:dyDescent="0.25">
      <c r="A1317" s="148">
        <v>44786</v>
      </c>
      <c r="B1317" s="149" t="s">
        <v>26025</v>
      </c>
      <c r="C1317" s="153" t="s">
        <v>681</v>
      </c>
      <c r="D1317" s="178">
        <v>18.8</v>
      </c>
      <c r="E1317" s="155">
        <v>44796</v>
      </c>
      <c r="F1317" s="178">
        <v>18.8</v>
      </c>
      <c r="G1317" s="179">
        <f>Tabla19[[#This Row],[Importe]]-Tabla19[[#This Row],[Pagado]]</f>
        <v>0</v>
      </c>
      <c r="H1317" s="153" t="s">
        <v>10</v>
      </c>
    </row>
    <row r="1318" spans="1:8" x14ac:dyDescent="0.25">
      <c r="A1318" s="73">
        <v>44786</v>
      </c>
      <c r="B1318" s="74" t="s">
        <v>26026</v>
      </c>
      <c r="C1318" s="75" t="s">
        <v>407</v>
      </c>
      <c r="D1318" s="176">
        <v>10800</v>
      </c>
      <c r="E1318" s="151">
        <v>44789</v>
      </c>
      <c r="F1318" s="176">
        <v>10800</v>
      </c>
      <c r="G1318" s="177">
        <f>Tabla19[[#This Row],[Importe]]-Tabla19[[#This Row],[Pagado]]</f>
        <v>0</v>
      </c>
      <c r="H1318" s="75" t="s">
        <v>10</v>
      </c>
    </row>
    <row r="1319" spans="1:8" x14ac:dyDescent="0.25">
      <c r="A1319" s="148">
        <v>44786</v>
      </c>
      <c r="B1319" s="149" t="s">
        <v>26027</v>
      </c>
      <c r="C1319" s="153" t="s">
        <v>612</v>
      </c>
      <c r="D1319" s="178">
        <v>939</v>
      </c>
      <c r="E1319" s="155">
        <v>44786</v>
      </c>
      <c r="F1319" s="178">
        <v>939</v>
      </c>
      <c r="G1319" s="179">
        <f>Tabla19[[#This Row],[Importe]]-Tabla19[[#This Row],[Pagado]]</f>
        <v>0</v>
      </c>
      <c r="H1319" s="153" t="s">
        <v>10</v>
      </c>
    </row>
    <row r="1320" spans="1:8" x14ac:dyDescent="0.25">
      <c r="A1320" s="73">
        <v>44786</v>
      </c>
      <c r="B1320" s="74" t="s">
        <v>26028</v>
      </c>
      <c r="C1320" s="75" t="s">
        <v>31</v>
      </c>
      <c r="D1320" s="176">
        <v>1659.8</v>
      </c>
      <c r="E1320" s="151">
        <v>44786</v>
      </c>
      <c r="F1320" s="176">
        <v>1659.8</v>
      </c>
      <c r="G1320" s="177">
        <f>Tabla19[[#This Row],[Importe]]-Tabla19[[#This Row],[Pagado]]</f>
        <v>0</v>
      </c>
      <c r="H1320" s="75" t="s">
        <v>10</v>
      </c>
    </row>
    <row r="1321" spans="1:8" x14ac:dyDescent="0.25">
      <c r="A1321" s="148">
        <v>44786</v>
      </c>
      <c r="B1321" s="149" t="s">
        <v>26029</v>
      </c>
      <c r="C1321" s="153" t="s">
        <v>31</v>
      </c>
      <c r="D1321" s="178">
        <v>1160</v>
      </c>
      <c r="E1321" s="155">
        <v>44786</v>
      </c>
      <c r="F1321" s="178">
        <v>1160</v>
      </c>
      <c r="G1321" s="179">
        <f>Tabla19[[#This Row],[Importe]]-Tabla19[[#This Row],[Pagado]]</f>
        <v>0</v>
      </c>
      <c r="H1321" s="153" t="s">
        <v>10</v>
      </c>
    </row>
    <row r="1322" spans="1:8" x14ac:dyDescent="0.25">
      <c r="A1322" s="73">
        <v>44786</v>
      </c>
      <c r="B1322" s="74" t="s">
        <v>26030</v>
      </c>
      <c r="C1322" s="75" t="s">
        <v>319</v>
      </c>
      <c r="D1322" s="176">
        <v>13523.6</v>
      </c>
      <c r="E1322" s="151">
        <v>44788</v>
      </c>
      <c r="F1322" s="176">
        <v>13523.6</v>
      </c>
      <c r="G1322" s="177">
        <f>Tabla19[[#This Row],[Importe]]-Tabla19[[#This Row],[Pagado]]</f>
        <v>0</v>
      </c>
      <c r="H1322" s="75" t="s">
        <v>10</v>
      </c>
    </row>
    <row r="1323" spans="1:8" x14ac:dyDescent="0.25">
      <c r="A1323" s="148">
        <v>44786</v>
      </c>
      <c r="B1323" s="149" t="s">
        <v>26031</v>
      </c>
      <c r="C1323" s="153" t="s">
        <v>159</v>
      </c>
      <c r="D1323" s="178">
        <v>2067.5</v>
      </c>
      <c r="E1323" s="155">
        <v>44788</v>
      </c>
      <c r="F1323" s="178">
        <v>2067.5</v>
      </c>
      <c r="G1323" s="179">
        <f>Tabla19[[#This Row],[Importe]]-Tabla19[[#This Row],[Pagado]]</f>
        <v>0</v>
      </c>
      <c r="H1323" s="153" t="s">
        <v>10</v>
      </c>
    </row>
    <row r="1324" spans="1:8" x14ac:dyDescent="0.25">
      <c r="A1324" s="73">
        <v>44786</v>
      </c>
      <c r="B1324" s="74" t="s">
        <v>26032</v>
      </c>
      <c r="C1324" s="75" t="s">
        <v>151</v>
      </c>
      <c r="D1324" s="176">
        <v>7624.74</v>
      </c>
      <c r="E1324" s="151">
        <v>44788</v>
      </c>
      <c r="F1324" s="176">
        <v>7624.74</v>
      </c>
      <c r="G1324" s="177">
        <f>Tabla19[[#This Row],[Importe]]-Tabla19[[#This Row],[Pagado]]</f>
        <v>0</v>
      </c>
      <c r="H1324" s="75" t="s">
        <v>10</v>
      </c>
    </row>
    <row r="1325" spans="1:8" x14ac:dyDescent="0.25">
      <c r="A1325" s="148">
        <v>44786</v>
      </c>
      <c r="B1325" s="149" t="s">
        <v>26033</v>
      </c>
      <c r="C1325" s="153" t="s">
        <v>966</v>
      </c>
      <c r="D1325" s="178">
        <v>3849.3</v>
      </c>
      <c r="E1325" s="155">
        <v>44788</v>
      </c>
      <c r="F1325" s="178">
        <v>3849.3</v>
      </c>
      <c r="G1325" s="179">
        <f>Tabla19[[#This Row],[Importe]]-Tabla19[[#This Row],[Pagado]]</f>
        <v>0</v>
      </c>
      <c r="H1325" s="153" t="s">
        <v>10</v>
      </c>
    </row>
    <row r="1326" spans="1:8" x14ac:dyDescent="0.25">
      <c r="A1326" s="73">
        <v>44786</v>
      </c>
      <c r="B1326" s="74" t="s">
        <v>26034</v>
      </c>
      <c r="C1326" s="75" t="s">
        <v>157</v>
      </c>
      <c r="D1326" s="176">
        <v>8943.4</v>
      </c>
      <c r="E1326" s="151">
        <v>44788</v>
      </c>
      <c r="F1326" s="176">
        <v>8943.4</v>
      </c>
      <c r="G1326" s="177">
        <f>Tabla19[[#This Row],[Importe]]-Tabla19[[#This Row],[Pagado]]</f>
        <v>0</v>
      </c>
      <c r="H1326" s="75" t="s">
        <v>10</v>
      </c>
    </row>
    <row r="1327" spans="1:8" x14ac:dyDescent="0.25">
      <c r="A1327" s="148">
        <v>44786</v>
      </c>
      <c r="B1327" s="149" t="s">
        <v>26035</v>
      </c>
      <c r="C1327" s="153" t="s">
        <v>31</v>
      </c>
      <c r="D1327" s="178">
        <v>261</v>
      </c>
      <c r="E1327" s="155">
        <v>44786</v>
      </c>
      <c r="F1327" s="178">
        <v>261</v>
      </c>
      <c r="G1327" s="179">
        <f>Tabla19[[#This Row],[Importe]]-Tabla19[[#This Row],[Pagado]]</f>
        <v>0</v>
      </c>
      <c r="H1327" s="153" t="s">
        <v>10</v>
      </c>
    </row>
    <row r="1328" spans="1:8" x14ac:dyDescent="0.25">
      <c r="A1328" s="73">
        <v>44786</v>
      </c>
      <c r="B1328" s="74" t="s">
        <v>26036</v>
      </c>
      <c r="C1328" s="75" t="s">
        <v>191</v>
      </c>
      <c r="D1328" s="176">
        <v>1548.4</v>
      </c>
      <c r="E1328" s="151">
        <v>44786</v>
      </c>
      <c r="F1328" s="176">
        <v>1548.4</v>
      </c>
      <c r="G1328" s="177">
        <f>Tabla19[[#This Row],[Importe]]-Tabla19[[#This Row],[Pagado]]</f>
        <v>0</v>
      </c>
      <c r="H1328" s="75" t="s">
        <v>10</v>
      </c>
    </row>
    <row r="1329" spans="1:8" x14ac:dyDescent="0.25">
      <c r="A1329" s="148">
        <v>44786</v>
      </c>
      <c r="B1329" s="149" t="s">
        <v>26037</v>
      </c>
      <c r="C1329" s="153" t="s">
        <v>9</v>
      </c>
      <c r="D1329" s="178">
        <v>1004</v>
      </c>
      <c r="E1329" s="155">
        <v>44786</v>
      </c>
      <c r="F1329" s="178">
        <v>1004</v>
      </c>
      <c r="G1329" s="179">
        <f>Tabla19[[#This Row],[Importe]]-Tabla19[[#This Row],[Pagado]]</f>
        <v>0</v>
      </c>
      <c r="H1329" s="153" t="s">
        <v>10</v>
      </c>
    </row>
    <row r="1330" spans="1:8" x14ac:dyDescent="0.25">
      <c r="A1330" s="73">
        <v>44786</v>
      </c>
      <c r="B1330" s="74" t="s">
        <v>26038</v>
      </c>
      <c r="C1330" s="75" t="s">
        <v>1421</v>
      </c>
      <c r="D1330" s="176">
        <v>56014.2</v>
      </c>
      <c r="E1330" s="151">
        <v>44786</v>
      </c>
      <c r="F1330" s="176">
        <v>56014.2</v>
      </c>
      <c r="G1330" s="177">
        <f>Tabla19[[#This Row],[Importe]]-Tabla19[[#This Row],[Pagado]]</f>
        <v>0</v>
      </c>
      <c r="H1330" s="75" t="s">
        <v>10</v>
      </c>
    </row>
    <row r="1331" spans="1:8" x14ac:dyDescent="0.25">
      <c r="A1331" s="148">
        <v>44786</v>
      </c>
      <c r="B1331" s="149" t="s">
        <v>26039</v>
      </c>
      <c r="C1331" s="153" t="s">
        <v>35</v>
      </c>
      <c r="D1331" s="178">
        <v>2739.2</v>
      </c>
      <c r="E1331" s="155">
        <v>44786</v>
      </c>
      <c r="F1331" s="178">
        <v>2739.2</v>
      </c>
      <c r="G1331" s="179">
        <f>Tabla19[[#This Row],[Importe]]-Tabla19[[#This Row],[Pagado]]</f>
        <v>0</v>
      </c>
      <c r="H1331" s="153" t="s">
        <v>10</v>
      </c>
    </row>
    <row r="1332" spans="1:8" x14ac:dyDescent="0.25">
      <c r="A1332" s="73">
        <v>44786</v>
      </c>
      <c r="B1332" s="74" t="s">
        <v>26040</v>
      </c>
      <c r="C1332" s="75" t="s">
        <v>31</v>
      </c>
      <c r="D1332" s="176">
        <v>294</v>
      </c>
      <c r="E1332" s="151">
        <v>44787</v>
      </c>
      <c r="F1332" s="176">
        <v>294</v>
      </c>
      <c r="G1332" s="177">
        <f>Tabla19[[#This Row],[Importe]]-Tabla19[[#This Row],[Pagado]]</f>
        <v>0</v>
      </c>
      <c r="H1332" s="75" t="s">
        <v>10</v>
      </c>
    </row>
    <row r="1333" spans="1:8" x14ac:dyDescent="0.25">
      <c r="A1333" s="148">
        <v>44786</v>
      </c>
      <c r="B1333" s="149" t="s">
        <v>26041</v>
      </c>
      <c r="C1333" s="153" t="s">
        <v>275</v>
      </c>
      <c r="D1333" s="178">
        <v>56575.65</v>
      </c>
      <c r="E1333" s="155" t="s">
        <v>4813</v>
      </c>
      <c r="F1333" s="178">
        <v>0</v>
      </c>
      <c r="G1333" s="179">
        <f>Tabla19[[#This Row],[Importe]]-Tabla19[[#This Row],[Pagado]]</f>
        <v>56575.65</v>
      </c>
      <c r="H1333" s="153" t="s">
        <v>4814</v>
      </c>
    </row>
    <row r="1334" spans="1:8" x14ac:dyDescent="0.25">
      <c r="A1334" s="73">
        <v>44786</v>
      </c>
      <c r="B1334" s="74" t="s">
        <v>26042</v>
      </c>
      <c r="C1334" s="75" t="s">
        <v>16</v>
      </c>
      <c r="D1334" s="176">
        <v>1505.7</v>
      </c>
      <c r="E1334" s="151">
        <v>44786</v>
      </c>
      <c r="F1334" s="176">
        <v>1505.7</v>
      </c>
      <c r="G1334" s="177">
        <f>Tabla19[[#This Row],[Importe]]-Tabla19[[#This Row],[Pagado]]</f>
        <v>0</v>
      </c>
      <c r="H1334" s="75" t="s">
        <v>10</v>
      </c>
    </row>
    <row r="1335" spans="1:8" x14ac:dyDescent="0.25">
      <c r="A1335" s="148">
        <v>44786</v>
      </c>
      <c r="B1335" s="149" t="s">
        <v>26043</v>
      </c>
      <c r="C1335" s="153" t="s">
        <v>282</v>
      </c>
      <c r="D1335" s="178">
        <v>3410.4</v>
      </c>
      <c r="E1335" s="155">
        <v>44788</v>
      </c>
      <c r="F1335" s="178">
        <v>3410.4</v>
      </c>
      <c r="G1335" s="179">
        <f>Tabla19[[#This Row],[Importe]]-Tabla19[[#This Row],[Pagado]]</f>
        <v>0</v>
      </c>
      <c r="H1335" s="153" t="s">
        <v>10</v>
      </c>
    </row>
    <row r="1336" spans="1:8" x14ac:dyDescent="0.25">
      <c r="A1336" s="73">
        <v>44786</v>
      </c>
      <c r="B1336" s="74" t="s">
        <v>26044</v>
      </c>
      <c r="C1336" s="75" t="s">
        <v>280</v>
      </c>
      <c r="D1336" s="176">
        <v>4090.8</v>
      </c>
      <c r="E1336" s="151">
        <v>44788</v>
      </c>
      <c r="F1336" s="176">
        <v>4090.8</v>
      </c>
      <c r="G1336" s="177">
        <f>Tabla19[[#This Row],[Importe]]-Tabla19[[#This Row],[Pagado]]</f>
        <v>0</v>
      </c>
      <c r="H1336" s="75" t="s">
        <v>10</v>
      </c>
    </row>
    <row r="1337" spans="1:8" x14ac:dyDescent="0.25">
      <c r="A1337" s="148">
        <v>44786</v>
      </c>
      <c r="B1337" s="149" t="s">
        <v>26045</v>
      </c>
      <c r="C1337" s="153" t="s">
        <v>10819</v>
      </c>
      <c r="D1337" s="178">
        <v>1636</v>
      </c>
      <c r="E1337" s="155">
        <v>44788</v>
      </c>
      <c r="F1337" s="178">
        <v>1636</v>
      </c>
      <c r="G1337" s="179">
        <f>Tabla19[[#This Row],[Importe]]-Tabla19[[#This Row],[Pagado]]</f>
        <v>0</v>
      </c>
      <c r="H1337" s="153" t="s">
        <v>10</v>
      </c>
    </row>
    <row r="1338" spans="1:8" x14ac:dyDescent="0.25">
      <c r="A1338" s="73">
        <v>44786</v>
      </c>
      <c r="B1338" s="74" t="s">
        <v>26046</v>
      </c>
      <c r="C1338" s="75" t="s">
        <v>284</v>
      </c>
      <c r="D1338" s="176">
        <v>14700</v>
      </c>
      <c r="E1338" s="151">
        <v>44788</v>
      </c>
      <c r="F1338" s="176">
        <v>14700</v>
      </c>
      <c r="G1338" s="177">
        <f>Tabla19[[#This Row],[Importe]]-Tabla19[[#This Row],[Pagado]]</f>
        <v>0</v>
      </c>
      <c r="H1338" s="75" t="s">
        <v>10</v>
      </c>
    </row>
    <row r="1339" spans="1:8" x14ac:dyDescent="0.25">
      <c r="A1339" s="148">
        <v>44786</v>
      </c>
      <c r="B1339" s="149" t="s">
        <v>26047</v>
      </c>
      <c r="C1339" s="153" t="s">
        <v>857</v>
      </c>
      <c r="D1339" s="178">
        <v>2513.1999999999998</v>
      </c>
      <c r="E1339" s="155">
        <v>44786</v>
      </c>
      <c r="F1339" s="178">
        <v>2513.1999999999998</v>
      </c>
      <c r="G1339" s="179">
        <f>Tabla19[[#This Row],[Importe]]-Tabla19[[#This Row],[Pagado]]</f>
        <v>0</v>
      </c>
      <c r="H1339" s="153" t="s">
        <v>10</v>
      </c>
    </row>
    <row r="1340" spans="1:8" x14ac:dyDescent="0.25">
      <c r="A1340" s="73">
        <v>44786</v>
      </c>
      <c r="B1340" s="74" t="s">
        <v>26048</v>
      </c>
      <c r="C1340" s="75" t="s">
        <v>5345</v>
      </c>
      <c r="D1340" s="176">
        <v>8744.4</v>
      </c>
      <c r="E1340" s="151">
        <v>44788</v>
      </c>
      <c r="F1340" s="176">
        <v>8744.4</v>
      </c>
      <c r="G1340" s="177">
        <f>Tabla19[[#This Row],[Importe]]-Tabla19[[#This Row],[Pagado]]</f>
        <v>0</v>
      </c>
      <c r="H1340" s="75" t="s">
        <v>10</v>
      </c>
    </row>
    <row r="1341" spans="1:8" x14ac:dyDescent="0.25">
      <c r="A1341" s="148">
        <v>44786</v>
      </c>
      <c r="B1341" s="149" t="s">
        <v>26049</v>
      </c>
      <c r="C1341" s="153" t="s">
        <v>22</v>
      </c>
      <c r="D1341" s="178">
        <v>5265</v>
      </c>
      <c r="E1341" s="155">
        <v>44787</v>
      </c>
      <c r="F1341" s="178">
        <v>5265</v>
      </c>
      <c r="G1341" s="179">
        <f>Tabla19[[#This Row],[Importe]]-Tabla19[[#This Row],[Pagado]]</f>
        <v>0</v>
      </c>
      <c r="H1341" s="153" t="s">
        <v>10</v>
      </c>
    </row>
    <row r="1342" spans="1:8" x14ac:dyDescent="0.25">
      <c r="A1342" s="73">
        <v>44786</v>
      </c>
      <c r="B1342" s="74" t="s">
        <v>26050</v>
      </c>
      <c r="C1342" s="75" t="s">
        <v>296</v>
      </c>
      <c r="D1342" s="176">
        <v>1428</v>
      </c>
      <c r="E1342" s="151">
        <v>44786</v>
      </c>
      <c r="F1342" s="176">
        <v>1428</v>
      </c>
      <c r="G1342" s="177">
        <f>Tabla19[[#This Row],[Importe]]-Tabla19[[#This Row],[Pagado]]</f>
        <v>0</v>
      </c>
      <c r="H1342" s="75" t="s">
        <v>10</v>
      </c>
    </row>
    <row r="1343" spans="1:8" x14ac:dyDescent="0.25">
      <c r="A1343" s="148">
        <v>44786</v>
      </c>
      <c r="B1343" s="149" t="s">
        <v>26051</v>
      </c>
      <c r="C1343" s="153" t="s">
        <v>12</v>
      </c>
      <c r="D1343" s="178">
        <v>7423.8</v>
      </c>
      <c r="E1343" s="155">
        <v>44786</v>
      </c>
      <c r="F1343" s="178">
        <v>7423.8</v>
      </c>
      <c r="G1343" s="179">
        <f>Tabla19[[#This Row],[Importe]]-Tabla19[[#This Row],[Pagado]]</f>
        <v>0</v>
      </c>
      <c r="H1343" s="153" t="s">
        <v>10</v>
      </c>
    </row>
    <row r="1344" spans="1:8" x14ac:dyDescent="0.25">
      <c r="A1344" s="73">
        <v>44786</v>
      </c>
      <c r="B1344" s="74" t="s">
        <v>26052</v>
      </c>
      <c r="C1344" s="75" t="s">
        <v>10190</v>
      </c>
      <c r="D1344" s="176">
        <v>31180.799999999999</v>
      </c>
      <c r="E1344" s="151">
        <v>44787</v>
      </c>
      <c r="F1344" s="176">
        <v>31180.799999999999</v>
      </c>
      <c r="G1344" s="177">
        <f>Tabla19[[#This Row],[Importe]]-Tabla19[[#This Row],[Pagado]]</f>
        <v>0</v>
      </c>
      <c r="H1344" s="75" t="s">
        <v>10</v>
      </c>
    </row>
    <row r="1345" spans="1:8" x14ac:dyDescent="0.25">
      <c r="A1345" s="148">
        <v>44786</v>
      </c>
      <c r="B1345" s="149" t="s">
        <v>26053</v>
      </c>
      <c r="C1345" s="153" t="s">
        <v>31</v>
      </c>
      <c r="D1345" s="178">
        <v>252</v>
      </c>
      <c r="E1345" s="155">
        <v>44786</v>
      </c>
      <c r="F1345" s="178">
        <v>252</v>
      </c>
      <c r="G1345" s="179">
        <f>Tabla19[[#This Row],[Importe]]-Tabla19[[#This Row],[Pagado]]</f>
        <v>0</v>
      </c>
      <c r="H1345" s="153" t="s">
        <v>10</v>
      </c>
    </row>
    <row r="1346" spans="1:8" x14ac:dyDescent="0.25">
      <c r="A1346" s="73">
        <v>44786</v>
      </c>
      <c r="B1346" s="74" t="s">
        <v>26054</v>
      </c>
      <c r="C1346" s="75" t="s">
        <v>31</v>
      </c>
      <c r="D1346" s="176">
        <v>2296</v>
      </c>
      <c r="E1346" s="151">
        <v>44786</v>
      </c>
      <c r="F1346" s="176">
        <v>2296</v>
      </c>
      <c r="G1346" s="177">
        <f>Tabla19[[#This Row],[Importe]]-Tabla19[[#This Row],[Pagado]]</f>
        <v>0</v>
      </c>
      <c r="H1346" s="75" t="s">
        <v>10</v>
      </c>
    </row>
    <row r="1347" spans="1:8" x14ac:dyDescent="0.25">
      <c r="A1347" s="148">
        <v>44786</v>
      </c>
      <c r="B1347" s="149" t="s">
        <v>26055</v>
      </c>
      <c r="C1347" s="153" t="s">
        <v>450</v>
      </c>
      <c r="D1347" s="178">
        <v>4530</v>
      </c>
      <c r="E1347" s="155">
        <v>44786</v>
      </c>
      <c r="F1347" s="178">
        <v>4530</v>
      </c>
      <c r="G1347" s="179">
        <f>Tabla19[[#This Row],[Importe]]-Tabla19[[#This Row],[Pagado]]</f>
        <v>0</v>
      </c>
      <c r="H1347" s="153" t="s">
        <v>10</v>
      </c>
    </row>
    <row r="1348" spans="1:8" x14ac:dyDescent="0.25">
      <c r="A1348" s="73">
        <v>44786</v>
      </c>
      <c r="B1348" s="74" t="s">
        <v>26056</v>
      </c>
      <c r="C1348" s="75" t="s">
        <v>459</v>
      </c>
      <c r="D1348" s="176">
        <v>213</v>
      </c>
      <c r="E1348" s="151">
        <v>44786</v>
      </c>
      <c r="F1348" s="176">
        <v>213</v>
      </c>
      <c r="G1348" s="177">
        <f>Tabla19[[#This Row],[Importe]]-Tabla19[[#This Row],[Pagado]]</f>
        <v>0</v>
      </c>
      <c r="H1348" s="75" t="s">
        <v>10</v>
      </c>
    </row>
    <row r="1349" spans="1:8" x14ac:dyDescent="0.25">
      <c r="A1349" s="148">
        <v>44786</v>
      </c>
      <c r="B1349" s="149" t="s">
        <v>26057</v>
      </c>
      <c r="C1349" s="153" t="s">
        <v>463</v>
      </c>
      <c r="D1349" s="178">
        <v>550</v>
      </c>
      <c r="E1349" s="155">
        <v>44788</v>
      </c>
      <c r="F1349" s="178">
        <v>550</v>
      </c>
      <c r="G1349" s="179">
        <f>Tabla19[[#This Row],[Importe]]-Tabla19[[#This Row],[Pagado]]</f>
        <v>0</v>
      </c>
      <c r="H1349" s="153" t="s">
        <v>10</v>
      </c>
    </row>
    <row r="1350" spans="1:8" x14ac:dyDescent="0.25">
      <c r="A1350" s="73">
        <v>44786</v>
      </c>
      <c r="B1350" s="74" t="s">
        <v>26058</v>
      </c>
      <c r="C1350" s="75" t="s">
        <v>461</v>
      </c>
      <c r="D1350" s="176">
        <v>394</v>
      </c>
      <c r="E1350" s="151">
        <v>44787</v>
      </c>
      <c r="F1350" s="176">
        <v>394</v>
      </c>
      <c r="G1350" s="177">
        <f>Tabla19[[#This Row],[Importe]]-Tabla19[[#This Row],[Pagado]]</f>
        <v>0</v>
      </c>
      <c r="H1350" s="75" t="s">
        <v>10</v>
      </c>
    </row>
    <row r="1351" spans="1:8" x14ac:dyDescent="0.25">
      <c r="A1351" s="148">
        <v>44786</v>
      </c>
      <c r="B1351" s="149" t="s">
        <v>26059</v>
      </c>
      <c r="C1351" s="153" t="s">
        <v>10840</v>
      </c>
      <c r="D1351" s="178">
        <v>4415.6000000000004</v>
      </c>
      <c r="E1351" s="155">
        <v>44786</v>
      </c>
      <c r="F1351" s="178">
        <v>4415.6000000000004</v>
      </c>
      <c r="G1351" s="179">
        <f>Tabla19[[#This Row],[Importe]]-Tabla19[[#This Row],[Pagado]]</f>
        <v>0</v>
      </c>
      <c r="H1351" s="153" t="s">
        <v>10</v>
      </c>
    </row>
    <row r="1352" spans="1:8" x14ac:dyDescent="0.25">
      <c r="A1352" s="73">
        <v>44786</v>
      </c>
      <c r="B1352" s="74" t="s">
        <v>26060</v>
      </c>
      <c r="C1352" s="75" t="s">
        <v>31</v>
      </c>
      <c r="D1352" s="176">
        <v>119</v>
      </c>
      <c r="E1352" s="151">
        <v>44793</v>
      </c>
      <c r="F1352" s="176">
        <v>119</v>
      </c>
      <c r="G1352" s="177">
        <f>Tabla19[[#This Row],[Importe]]-Tabla19[[#This Row],[Pagado]]</f>
        <v>0</v>
      </c>
      <c r="H1352" s="75" t="s">
        <v>10</v>
      </c>
    </row>
    <row r="1353" spans="1:8" x14ac:dyDescent="0.25">
      <c r="A1353" s="148">
        <v>44786</v>
      </c>
      <c r="B1353" s="149" t="s">
        <v>26061</v>
      </c>
      <c r="C1353" s="153" t="s">
        <v>1706</v>
      </c>
      <c r="D1353" s="178">
        <v>18241.599999999999</v>
      </c>
      <c r="E1353" s="155">
        <v>44786</v>
      </c>
      <c r="F1353" s="178">
        <v>18241.599999999999</v>
      </c>
      <c r="G1353" s="179">
        <f>Tabla19[[#This Row],[Importe]]-Tabla19[[#This Row],[Pagado]]</f>
        <v>0</v>
      </c>
      <c r="H1353" s="153" t="s">
        <v>10</v>
      </c>
    </row>
    <row r="1354" spans="1:8" x14ac:dyDescent="0.25">
      <c r="A1354" s="73">
        <v>44786</v>
      </c>
      <c r="B1354" s="74" t="s">
        <v>26062</v>
      </c>
      <c r="C1354" s="75" t="s">
        <v>51</v>
      </c>
      <c r="D1354" s="176">
        <v>4712</v>
      </c>
      <c r="E1354" s="151">
        <v>44786</v>
      </c>
      <c r="F1354" s="176">
        <v>4712</v>
      </c>
      <c r="G1354" s="177">
        <f>Tabla19[[#This Row],[Importe]]-Tabla19[[#This Row],[Pagado]]</f>
        <v>0</v>
      </c>
      <c r="H1354" s="75" t="s">
        <v>10</v>
      </c>
    </row>
    <row r="1355" spans="1:8" x14ac:dyDescent="0.25">
      <c r="A1355" s="148">
        <v>44786</v>
      </c>
      <c r="B1355" s="149" t="s">
        <v>26063</v>
      </c>
      <c r="C1355" s="153" t="s">
        <v>31</v>
      </c>
      <c r="D1355" s="178">
        <v>100</v>
      </c>
      <c r="E1355" s="155">
        <v>44789</v>
      </c>
      <c r="F1355" s="178">
        <v>100</v>
      </c>
      <c r="G1355" s="179">
        <f>Tabla19[[#This Row],[Importe]]-Tabla19[[#This Row],[Pagado]]</f>
        <v>0</v>
      </c>
      <c r="H1355" s="153" t="s">
        <v>10</v>
      </c>
    </row>
    <row r="1356" spans="1:8" x14ac:dyDescent="0.25">
      <c r="A1356" s="73">
        <v>44786</v>
      </c>
      <c r="B1356" s="74" t="s">
        <v>26064</v>
      </c>
      <c r="C1356" s="75" t="s">
        <v>31</v>
      </c>
      <c r="D1356" s="176">
        <v>351</v>
      </c>
      <c r="E1356" s="151">
        <v>44787</v>
      </c>
      <c r="F1356" s="176">
        <v>351</v>
      </c>
      <c r="G1356" s="177">
        <f>Tabla19[[#This Row],[Importe]]-Tabla19[[#This Row],[Pagado]]</f>
        <v>0</v>
      </c>
      <c r="H1356" s="75" t="s">
        <v>10</v>
      </c>
    </row>
    <row r="1357" spans="1:8" x14ac:dyDescent="0.25">
      <c r="A1357" s="148">
        <v>44787</v>
      </c>
      <c r="B1357" s="149" t="s">
        <v>26065</v>
      </c>
      <c r="C1357" s="153" t="s">
        <v>20</v>
      </c>
      <c r="D1357" s="178">
        <v>8572</v>
      </c>
      <c r="E1357" s="155">
        <v>44787</v>
      </c>
      <c r="F1357" s="178">
        <v>8572</v>
      </c>
      <c r="G1357" s="179">
        <f>Tabla19[[#This Row],[Importe]]-Tabla19[[#This Row],[Pagado]]</f>
        <v>0</v>
      </c>
      <c r="H1357" s="153" t="s">
        <v>10</v>
      </c>
    </row>
    <row r="1358" spans="1:8" x14ac:dyDescent="0.25">
      <c r="A1358" s="73">
        <v>44787</v>
      </c>
      <c r="B1358" s="74" t="s">
        <v>26066</v>
      </c>
      <c r="C1358" s="75" t="s">
        <v>9</v>
      </c>
      <c r="D1358" s="176">
        <v>13805.9</v>
      </c>
      <c r="E1358" s="151">
        <v>44787</v>
      </c>
      <c r="F1358" s="176">
        <v>13805.9</v>
      </c>
      <c r="G1358" s="177">
        <f>Tabla19[[#This Row],[Importe]]-Tabla19[[#This Row],[Pagado]]</f>
        <v>0</v>
      </c>
      <c r="H1358" s="75" t="s">
        <v>10</v>
      </c>
    </row>
    <row r="1359" spans="1:8" x14ac:dyDescent="0.25">
      <c r="A1359" s="148">
        <v>44787</v>
      </c>
      <c r="B1359" s="149" t="s">
        <v>26067</v>
      </c>
      <c r="C1359" s="153" t="s">
        <v>481</v>
      </c>
      <c r="D1359" s="178">
        <v>1137.7</v>
      </c>
      <c r="E1359" s="155">
        <v>44787</v>
      </c>
      <c r="F1359" s="178">
        <v>1137.7</v>
      </c>
      <c r="G1359" s="179">
        <f>Tabla19[[#This Row],[Importe]]-Tabla19[[#This Row],[Pagado]]</f>
        <v>0</v>
      </c>
      <c r="H1359" s="153" t="s">
        <v>10</v>
      </c>
    </row>
    <row r="1360" spans="1:8" x14ac:dyDescent="0.25">
      <c r="A1360" s="73">
        <v>44787</v>
      </c>
      <c r="B1360" s="74" t="s">
        <v>26068</v>
      </c>
      <c r="C1360" s="75" t="s">
        <v>1187</v>
      </c>
      <c r="D1360" s="176">
        <v>2760.4</v>
      </c>
      <c r="E1360" s="151">
        <v>44787</v>
      </c>
      <c r="F1360" s="176">
        <v>2760.4</v>
      </c>
      <c r="G1360" s="177">
        <f>Tabla19[[#This Row],[Importe]]-Tabla19[[#This Row],[Pagado]]</f>
        <v>0</v>
      </c>
      <c r="H1360" s="75" t="s">
        <v>10</v>
      </c>
    </row>
    <row r="1361" spans="1:8" x14ac:dyDescent="0.25">
      <c r="A1361" s="148">
        <v>44787</v>
      </c>
      <c r="B1361" s="149" t="s">
        <v>26069</v>
      </c>
      <c r="C1361" s="153" t="s">
        <v>12</v>
      </c>
      <c r="D1361" s="178">
        <v>13689.1</v>
      </c>
      <c r="E1361" s="155">
        <v>44787</v>
      </c>
      <c r="F1361" s="178">
        <v>13689.1</v>
      </c>
      <c r="G1361" s="179">
        <f>Tabla19[[#This Row],[Importe]]-Tabla19[[#This Row],[Pagado]]</f>
        <v>0</v>
      </c>
      <c r="H1361" s="153" t="s">
        <v>10</v>
      </c>
    </row>
    <row r="1362" spans="1:8" x14ac:dyDescent="0.25">
      <c r="A1362" s="73">
        <v>44787</v>
      </c>
      <c r="B1362" s="74" t="s">
        <v>26070</v>
      </c>
      <c r="C1362" s="75" t="s">
        <v>49</v>
      </c>
      <c r="D1362" s="176">
        <v>4076.8</v>
      </c>
      <c r="E1362" s="151">
        <v>44787</v>
      </c>
      <c r="F1362" s="176">
        <v>4076.8</v>
      </c>
      <c r="G1362" s="177">
        <f>Tabla19[[#This Row],[Importe]]-Tabla19[[#This Row],[Pagado]]</f>
        <v>0</v>
      </c>
      <c r="H1362" s="75" t="s">
        <v>10</v>
      </c>
    </row>
    <row r="1363" spans="1:8" ht="31.5" x14ac:dyDescent="0.25">
      <c r="A1363" s="148">
        <v>44787</v>
      </c>
      <c r="B1363" s="149" t="s">
        <v>26071</v>
      </c>
      <c r="C1363" s="153" t="s">
        <v>475</v>
      </c>
      <c r="D1363" s="178">
        <v>93598.9</v>
      </c>
      <c r="E1363" s="150" t="s">
        <v>26072</v>
      </c>
      <c r="F1363" s="178">
        <f>82100+11498.9</f>
        <v>93598.9</v>
      </c>
      <c r="G1363" s="179">
        <f>Tabla19[[#This Row],[Importe]]-Tabla19[[#This Row],[Pagado]]</f>
        <v>0</v>
      </c>
      <c r="H1363" s="153" t="s">
        <v>10</v>
      </c>
    </row>
    <row r="1364" spans="1:8" x14ac:dyDescent="0.25">
      <c r="A1364" s="73">
        <v>44787</v>
      </c>
      <c r="B1364" s="74" t="s">
        <v>26073</v>
      </c>
      <c r="C1364" s="75" t="s">
        <v>348</v>
      </c>
      <c r="D1364" s="176">
        <v>3049.2</v>
      </c>
      <c r="E1364" s="151">
        <v>44787</v>
      </c>
      <c r="F1364" s="176">
        <v>3049.2</v>
      </c>
      <c r="G1364" s="177">
        <f>Tabla19[[#This Row],[Importe]]-Tabla19[[#This Row],[Pagado]]</f>
        <v>0</v>
      </c>
      <c r="H1364" s="75" t="s">
        <v>10</v>
      </c>
    </row>
    <row r="1365" spans="1:8" x14ac:dyDescent="0.25">
      <c r="A1365" s="148">
        <v>44787</v>
      </c>
      <c r="B1365" s="149" t="s">
        <v>26074</v>
      </c>
      <c r="C1365" s="153" t="s">
        <v>16</v>
      </c>
      <c r="D1365" s="178">
        <v>10146.4</v>
      </c>
      <c r="E1365" s="155">
        <v>44787</v>
      </c>
      <c r="F1365" s="178">
        <v>10146.4</v>
      </c>
      <c r="G1365" s="179">
        <f>Tabla19[[#This Row],[Importe]]-Tabla19[[#This Row],[Pagado]]</f>
        <v>0</v>
      </c>
      <c r="H1365" s="153" t="s">
        <v>10</v>
      </c>
    </row>
    <row r="1366" spans="1:8" x14ac:dyDescent="0.25">
      <c r="A1366" s="73">
        <v>44787</v>
      </c>
      <c r="B1366" s="74" t="s">
        <v>26075</v>
      </c>
      <c r="C1366" s="75" t="s">
        <v>18</v>
      </c>
      <c r="D1366" s="176">
        <v>1753.8</v>
      </c>
      <c r="E1366" s="151">
        <v>44787</v>
      </c>
      <c r="F1366" s="176">
        <v>1753.8</v>
      </c>
      <c r="G1366" s="177">
        <f>Tabla19[[#This Row],[Importe]]-Tabla19[[#This Row],[Pagado]]</f>
        <v>0</v>
      </c>
      <c r="H1366" s="75" t="s">
        <v>10</v>
      </c>
    </row>
    <row r="1367" spans="1:8" ht="31.5" x14ac:dyDescent="0.25">
      <c r="A1367" s="148">
        <v>44787</v>
      </c>
      <c r="B1367" s="149" t="s">
        <v>26076</v>
      </c>
      <c r="C1367" s="153" t="s">
        <v>22</v>
      </c>
      <c r="D1367" s="178">
        <v>73821.8</v>
      </c>
      <c r="E1367" s="150" t="s">
        <v>25940</v>
      </c>
      <c r="F1367" s="178">
        <f>41000+32821.8</f>
        <v>73821.8</v>
      </c>
      <c r="G1367" s="179">
        <f>Tabla19[[#This Row],[Importe]]-Tabla19[[#This Row],[Pagado]]</f>
        <v>0</v>
      </c>
      <c r="H1367" s="153" t="s">
        <v>10</v>
      </c>
    </row>
    <row r="1368" spans="1:8" x14ac:dyDescent="0.25">
      <c r="A1368" s="73">
        <v>44787</v>
      </c>
      <c r="B1368" s="74" t="s">
        <v>26077</v>
      </c>
      <c r="C1368" s="75" t="s">
        <v>17556</v>
      </c>
      <c r="D1368" s="176">
        <v>5025</v>
      </c>
      <c r="E1368" s="151">
        <v>44787</v>
      </c>
      <c r="F1368" s="176">
        <v>5025</v>
      </c>
      <c r="G1368" s="177">
        <f>Tabla19[[#This Row],[Importe]]-Tabla19[[#This Row],[Pagado]]</f>
        <v>0</v>
      </c>
      <c r="H1368" s="75" t="s">
        <v>10</v>
      </c>
    </row>
    <row r="1369" spans="1:8" x14ac:dyDescent="0.25">
      <c r="A1369" s="148">
        <v>44787</v>
      </c>
      <c r="B1369" s="149" t="s">
        <v>26078</v>
      </c>
      <c r="C1369" s="153" t="s">
        <v>93</v>
      </c>
      <c r="D1369" s="178">
        <v>2973.6</v>
      </c>
      <c r="E1369" s="155">
        <v>44787</v>
      </c>
      <c r="F1369" s="178">
        <v>2973.6</v>
      </c>
      <c r="G1369" s="179">
        <f>Tabla19[[#This Row],[Importe]]-Tabla19[[#This Row],[Pagado]]</f>
        <v>0</v>
      </c>
      <c r="H1369" s="153" t="s">
        <v>10</v>
      </c>
    </row>
    <row r="1370" spans="1:8" x14ac:dyDescent="0.25">
      <c r="A1370" s="73">
        <v>44787</v>
      </c>
      <c r="B1370" s="74" t="s">
        <v>26079</v>
      </c>
      <c r="C1370" s="75" t="s">
        <v>37</v>
      </c>
      <c r="D1370" s="176">
        <v>3161.1</v>
      </c>
      <c r="E1370" s="151">
        <v>44787</v>
      </c>
      <c r="F1370" s="176">
        <v>3161.1</v>
      </c>
      <c r="G1370" s="177">
        <f>Tabla19[[#This Row],[Importe]]-Tabla19[[#This Row],[Pagado]]</f>
        <v>0</v>
      </c>
      <c r="H1370" s="75" t="s">
        <v>10</v>
      </c>
    </row>
    <row r="1371" spans="1:8" x14ac:dyDescent="0.25">
      <c r="A1371" s="148">
        <v>44787</v>
      </c>
      <c r="B1371" s="149" t="s">
        <v>26080</v>
      </c>
      <c r="C1371" s="153" t="s">
        <v>29</v>
      </c>
      <c r="D1371" s="178">
        <v>13826.4</v>
      </c>
      <c r="E1371" s="155">
        <v>44787</v>
      </c>
      <c r="F1371" s="178">
        <v>13826.4</v>
      </c>
      <c r="G1371" s="179">
        <f>Tabla19[[#This Row],[Importe]]-Tabla19[[#This Row],[Pagado]]</f>
        <v>0</v>
      </c>
      <c r="H1371" s="153" t="s">
        <v>10</v>
      </c>
    </row>
    <row r="1372" spans="1:8" x14ac:dyDescent="0.25">
      <c r="A1372" s="73">
        <v>44787</v>
      </c>
      <c r="B1372" s="74" t="s">
        <v>26081</v>
      </c>
      <c r="C1372" s="75" t="s">
        <v>51</v>
      </c>
      <c r="D1372" s="176">
        <v>2057</v>
      </c>
      <c r="E1372" s="151">
        <v>44787</v>
      </c>
      <c r="F1372" s="176">
        <v>2057</v>
      </c>
      <c r="G1372" s="177">
        <f>Tabla19[[#This Row],[Importe]]-Tabla19[[#This Row],[Pagado]]</f>
        <v>0</v>
      </c>
      <c r="H1372" s="75" t="s">
        <v>10</v>
      </c>
    </row>
    <row r="1373" spans="1:8" x14ac:dyDescent="0.25">
      <c r="A1373" s="148">
        <v>44787</v>
      </c>
      <c r="B1373" s="149" t="s">
        <v>26082</v>
      </c>
      <c r="C1373" s="153" t="s">
        <v>27</v>
      </c>
      <c r="D1373" s="178">
        <v>696.6</v>
      </c>
      <c r="E1373" s="155">
        <v>44787</v>
      </c>
      <c r="F1373" s="178">
        <v>696.6</v>
      </c>
      <c r="G1373" s="179">
        <f>Tabla19[[#This Row],[Importe]]-Tabla19[[#This Row],[Pagado]]</f>
        <v>0</v>
      </c>
      <c r="H1373" s="153" t="s">
        <v>10</v>
      </c>
    </row>
    <row r="1374" spans="1:8" x14ac:dyDescent="0.25">
      <c r="A1374" s="73">
        <v>44787</v>
      </c>
      <c r="B1374" s="74" t="s">
        <v>26083</v>
      </c>
      <c r="C1374" s="75" t="s">
        <v>849</v>
      </c>
      <c r="D1374" s="176">
        <v>976</v>
      </c>
      <c r="E1374" s="151">
        <v>44787</v>
      </c>
      <c r="F1374" s="176">
        <v>976</v>
      </c>
      <c r="G1374" s="177">
        <f>Tabla19[[#This Row],[Importe]]-Tabla19[[#This Row],[Pagado]]</f>
        <v>0</v>
      </c>
      <c r="H1374" s="75" t="s">
        <v>10</v>
      </c>
    </row>
    <row r="1375" spans="1:8" x14ac:dyDescent="0.25">
      <c r="A1375" s="148">
        <v>44787</v>
      </c>
      <c r="B1375" s="149" t="s">
        <v>26084</v>
      </c>
      <c r="C1375" s="153" t="s">
        <v>24</v>
      </c>
      <c r="D1375" s="178">
        <v>753</v>
      </c>
      <c r="E1375" s="155">
        <v>44787</v>
      </c>
      <c r="F1375" s="178">
        <v>753</v>
      </c>
      <c r="G1375" s="179">
        <f>Tabla19[[#This Row],[Importe]]-Tabla19[[#This Row],[Pagado]]</f>
        <v>0</v>
      </c>
      <c r="H1375" s="153" t="s">
        <v>10</v>
      </c>
    </row>
    <row r="1376" spans="1:8" x14ac:dyDescent="0.25">
      <c r="A1376" s="73">
        <v>44787</v>
      </c>
      <c r="B1376" s="74" t="s">
        <v>26085</v>
      </c>
      <c r="C1376" s="75" t="s">
        <v>35</v>
      </c>
      <c r="D1376" s="176">
        <v>2096</v>
      </c>
      <c r="E1376" s="151">
        <v>44787</v>
      </c>
      <c r="F1376" s="176">
        <v>2096</v>
      </c>
      <c r="G1376" s="177">
        <f>Tabla19[[#This Row],[Importe]]-Tabla19[[#This Row],[Pagado]]</f>
        <v>0</v>
      </c>
      <c r="H1376" s="75" t="s">
        <v>10</v>
      </c>
    </row>
    <row r="1377" spans="1:8" x14ac:dyDescent="0.25">
      <c r="A1377" s="148">
        <v>44787</v>
      </c>
      <c r="B1377" s="149" t="s">
        <v>26086</v>
      </c>
      <c r="C1377" s="153" t="s">
        <v>45</v>
      </c>
      <c r="D1377" s="178">
        <v>6363</v>
      </c>
      <c r="E1377" s="155">
        <v>44787</v>
      </c>
      <c r="F1377" s="178">
        <v>6363</v>
      </c>
      <c r="G1377" s="179">
        <f>Tabla19[[#This Row],[Importe]]-Tabla19[[#This Row],[Pagado]]</f>
        <v>0</v>
      </c>
      <c r="H1377" s="153" t="s">
        <v>10</v>
      </c>
    </row>
    <row r="1378" spans="1:8" x14ac:dyDescent="0.25">
      <c r="A1378" s="73">
        <v>44787</v>
      </c>
      <c r="B1378" s="74" t="s">
        <v>26087</v>
      </c>
      <c r="C1378" s="75" t="s">
        <v>24</v>
      </c>
      <c r="D1378" s="176">
        <v>2283.1999999999998</v>
      </c>
      <c r="E1378" s="151">
        <v>44787</v>
      </c>
      <c r="F1378" s="176">
        <v>2283.1999999999998</v>
      </c>
      <c r="G1378" s="177">
        <f>Tabla19[[#This Row],[Importe]]-Tabla19[[#This Row],[Pagado]]</f>
        <v>0</v>
      </c>
      <c r="H1378" s="75" t="s">
        <v>10</v>
      </c>
    </row>
    <row r="1379" spans="1:8" x14ac:dyDescent="0.25">
      <c r="A1379" s="148">
        <v>44787</v>
      </c>
      <c r="B1379" s="149" t="s">
        <v>26088</v>
      </c>
      <c r="C1379" s="153" t="s">
        <v>216</v>
      </c>
      <c r="D1379" s="178">
        <v>1755.6</v>
      </c>
      <c r="E1379" s="155">
        <v>44787</v>
      </c>
      <c r="F1379" s="178">
        <v>1755.6</v>
      </c>
      <c r="G1379" s="179">
        <f>Tabla19[[#This Row],[Importe]]-Tabla19[[#This Row],[Pagado]]</f>
        <v>0</v>
      </c>
      <c r="H1379" s="153" t="s">
        <v>10</v>
      </c>
    </row>
    <row r="1380" spans="1:8" x14ac:dyDescent="0.25">
      <c r="A1380" s="73">
        <v>44787</v>
      </c>
      <c r="B1380" s="74" t="s">
        <v>26089</v>
      </c>
      <c r="C1380" s="75" t="s">
        <v>4136</v>
      </c>
      <c r="D1380" s="176">
        <v>1650.8</v>
      </c>
      <c r="E1380" s="151">
        <v>44787</v>
      </c>
      <c r="F1380" s="176">
        <v>1650.8</v>
      </c>
      <c r="G1380" s="177">
        <f>Tabla19[[#This Row],[Importe]]-Tabla19[[#This Row],[Pagado]]</f>
        <v>0</v>
      </c>
      <c r="H1380" s="75" t="s">
        <v>10</v>
      </c>
    </row>
    <row r="1381" spans="1:8" x14ac:dyDescent="0.25">
      <c r="A1381" s="148">
        <v>44787</v>
      </c>
      <c r="B1381" s="149" t="s">
        <v>26090</v>
      </c>
      <c r="C1381" s="153" t="s">
        <v>233</v>
      </c>
      <c r="D1381" s="178">
        <v>6258</v>
      </c>
      <c r="E1381" s="155">
        <v>44787</v>
      </c>
      <c r="F1381" s="178">
        <v>6258</v>
      </c>
      <c r="G1381" s="179">
        <f>Tabla19[[#This Row],[Importe]]-Tabla19[[#This Row],[Pagado]]</f>
        <v>0</v>
      </c>
      <c r="H1381" s="153" t="s">
        <v>10</v>
      </c>
    </row>
    <row r="1382" spans="1:8" x14ac:dyDescent="0.25">
      <c r="A1382" s="73">
        <v>44787</v>
      </c>
      <c r="B1382" s="74" t="s">
        <v>26091</v>
      </c>
      <c r="C1382" s="75" t="s">
        <v>1003</v>
      </c>
      <c r="D1382" s="176">
        <v>13847.9</v>
      </c>
      <c r="E1382" s="151">
        <v>44789</v>
      </c>
      <c r="F1382" s="176">
        <v>13847.9</v>
      </c>
      <c r="G1382" s="177">
        <f>Tabla19[[#This Row],[Importe]]-Tabla19[[#This Row],[Pagado]]</f>
        <v>0</v>
      </c>
      <c r="H1382" s="75" t="s">
        <v>10</v>
      </c>
    </row>
    <row r="1383" spans="1:8" x14ac:dyDescent="0.25">
      <c r="A1383" s="148">
        <v>44787</v>
      </c>
      <c r="B1383" s="149" t="s">
        <v>26092</v>
      </c>
      <c r="C1383" s="153" t="s">
        <v>191</v>
      </c>
      <c r="D1383" s="178">
        <v>2299.8000000000002</v>
      </c>
      <c r="E1383" s="155">
        <v>44787</v>
      </c>
      <c r="F1383" s="178">
        <v>2299.8000000000002</v>
      </c>
      <c r="G1383" s="179">
        <f>Tabla19[[#This Row],[Importe]]-Tabla19[[#This Row],[Pagado]]</f>
        <v>0</v>
      </c>
      <c r="H1383" s="153" t="s">
        <v>10</v>
      </c>
    </row>
    <row r="1384" spans="1:8" x14ac:dyDescent="0.25">
      <c r="A1384" s="73">
        <v>44787</v>
      </c>
      <c r="B1384" s="74" t="s">
        <v>26093</v>
      </c>
      <c r="C1384" s="75" t="s">
        <v>31</v>
      </c>
      <c r="D1384" s="176">
        <v>1377</v>
      </c>
      <c r="E1384" s="151">
        <v>44787</v>
      </c>
      <c r="F1384" s="176">
        <v>1377</v>
      </c>
      <c r="G1384" s="177">
        <f>Tabla19[[#This Row],[Importe]]-Tabla19[[#This Row],[Pagado]]</f>
        <v>0</v>
      </c>
      <c r="H1384" s="75" t="s">
        <v>10</v>
      </c>
    </row>
    <row r="1385" spans="1:8" x14ac:dyDescent="0.25">
      <c r="A1385" s="148">
        <v>44787</v>
      </c>
      <c r="B1385" s="149" t="s">
        <v>26094</v>
      </c>
      <c r="C1385" s="153" t="s">
        <v>31</v>
      </c>
      <c r="D1385" s="178">
        <v>554.4</v>
      </c>
      <c r="E1385" s="155">
        <v>44787</v>
      </c>
      <c r="F1385" s="178">
        <v>554.4</v>
      </c>
      <c r="G1385" s="179">
        <f>Tabla19[[#This Row],[Importe]]-Tabla19[[#This Row],[Pagado]]</f>
        <v>0</v>
      </c>
      <c r="H1385" s="153" t="s">
        <v>10</v>
      </c>
    </row>
    <row r="1386" spans="1:8" x14ac:dyDescent="0.25">
      <c r="A1386" s="73">
        <v>44787</v>
      </c>
      <c r="B1386" s="74" t="s">
        <v>26095</v>
      </c>
      <c r="C1386" s="75" t="s">
        <v>31</v>
      </c>
      <c r="D1386" s="176">
        <v>1800.2</v>
      </c>
      <c r="E1386" s="151">
        <v>44787</v>
      </c>
      <c r="F1386" s="176">
        <v>1800.2</v>
      </c>
      <c r="G1386" s="177">
        <f>Tabla19[[#This Row],[Importe]]-Tabla19[[#This Row],[Pagado]]</f>
        <v>0</v>
      </c>
      <c r="H1386" s="75" t="s">
        <v>10</v>
      </c>
    </row>
    <row r="1387" spans="1:8" x14ac:dyDescent="0.25">
      <c r="A1387" s="148">
        <v>44787</v>
      </c>
      <c r="B1387" s="149" t="s">
        <v>26096</v>
      </c>
      <c r="C1387" s="153" t="s">
        <v>16</v>
      </c>
      <c r="D1387" s="178">
        <v>137.6</v>
      </c>
      <c r="E1387" s="155">
        <v>44787</v>
      </c>
      <c r="F1387" s="178">
        <v>137.6</v>
      </c>
      <c r="G1387" s="179">
        <f>Tabla19[[#This Row],[Importe]]-Tabla19[[#This Row],[Pagado]]</f>
        <v>0</v>
      </c>
      <c r="H1387" s="153" t="s">
        <v>10</v>
      </c>
    </row>
    <row r="1388" spans="1:8" x14ac:dyDescent="0.25">
      <c r="A1388" s="73">
        <v>44787</v>
      </c>
      <c r="B1388" s="74" t="s">
        <v>26097</v>
      </c>
      <c r="C1388" s="75" t="s">
        <v>56</v>
      </c>
      <c r="D1388" s="176">
        <v>2752</v>
      </c>
      <c r="E1388" s="151">
        <v>44787</v>
      </c>
      <c r="F1388" s="176">
        <v>2752</v>
      </c>
      <c r="G1388" s="177">
        <f>Tabla19[[#This Row],[Importe]]-Tabla19[[#This Row],[Pagado]]</f>
        <v>0</v>
      </c>
      <c r="H1388" s="75" t="s">
        <v>10</v>
      </c>
    </row>
    <row r="1389" spans="1:8" x14ac:dyDescent="0.25">
      <c r="A1389" s="148">
        <v>44787</v>
      </c>
      <c r="B1389" s="149" t="s">
        <v>26098</v>
      </c>
      <c r="C1389" s="153" t="s">
        <v>9827</v>
      </c>
      <c r="D1389" s="178">
        <v>5006.3999999999996</v>
      </c>
      <c r="E1389" s="155">
        <v>44787</v>
      </c>
      <c r="F1389" s="178">
        <v>5006.3999999999996</v>
      </c>
      <c r="G1389" s="179">
        <f>Tabla19[[#This Row],[Importe]]-Tabla19[[#This Row],[Pagado]]</f>
        <v>0</v>
      </c>
      <c r="H1389" s="153" t="s">
        <v>10</v>
      </c>
    </row>
    <row r="1390" spans="1:8" x14ac:dyDescent="0.25">
      <c r="A1390" s="73">
        <v>44787</v>
      </c>
      <c r="B1390" s="74" t="s">
        <v>26099</v>
      </c>
      <c r="C1390" s="75" t="s">
        <v>53</v>
      </c>
      <c r="D1390" s="176">
        <v>1326</v>
      </c>
      <c r="E1390" s="151">
        <v>44787</v>
      </c>
      <c r="F1390" s="176">
        <v>1326</v>
      </c>
      <c r="G1390" s="177">
        <f>Tabla19[[#This Row],[Importe]]-Tabla19[[#This Row],[Pagado]]</f>
        <v>0</v>
      </c>
      <c r="H1390" s="75" t="s">
        <v>10</v>
      </c>
    </row>
    <row r="1391" spans="1:8" x14ac:dyDescent="0.25">
      <c r="A1391" s="148">
        <v>44787</v>
      </c>
      <c r="B1391" s="149" t="s">
        <v>26100</v>
      </c>
      <c r="C1391" s="153" t="s">
        <v>24284</v>
      </c>
      <c r="D1391" s="178">
        <v>1411.2</v>
      </c>
      <c r="E1391" s="155">
        <v>44787</v>
      </c>
      <c r="F1391" s="178">
        <v>1411.2</v>
      </c>
      <c r="G1391" s="179">
        <f>Tabla19[[#This Row],[Importe]]-Tabla19[[#This Row],[Pagado]]</f>
        <v>0</v>
      </c>
      <c r="H1391" s="153" t="s">
        <v>10</v>
      </c>
    </row>
    <row r="1392" spans="1:8" x14ac:dyDescent="0.25">
      <c r="A1392" s="73">
        <v>44787</v>
      </c>
      <c r="B1392" s="74" t="s">
        <v>26101</v>
      </c>
      <c r="C1392" s="75" t="s">
        <v>67</v>
      </c>
      <c r="D1392" s="176">
        <v>2691.8</v>
      </c>
      <c r="E1392" s="151">
        <v>44787</v>
      </c>
      <c r="F1392" s="176">
        <v>2691.8</v>
      </c>
      <c r="G1392" s="177">
        <f>Tabla19[[#This Row],[Importe]]-Tabla19[[#This Row],[Pagado]]</f>
        <v>0</v>
      </c>
      <c r="H1392" s="75" t="s">
        <v>10</v>
      </c>
    </row>
    <row r="1393" spans="1:8" x14ac:dyDescent="0.25">
      <c r="A1393" s="148">
        <v>44787</v>
      </c>
      <c r="B1393" s="149" t="s">
        <v>26102</v>
      </c>
      <c r="C1393" s="153" t="s">
        <v>71</v>
      </c>
      <c r="D1393" s="178">
        <v>3784.8</v>
      </c>
      <c r="E1393" s="155">
        <v>44787</v>
      </c>
      <c r="F1393" s="178">
        <v>3784.8</v>
      </c>
      <c r="G1393" s="179">
        <f>Tabla19[[#This Row],[Importe]]-Tabla19[[#This Row],[Pagado]]</f>
        <v>0</v>
      </c>
      <c r="H1393" s="153" t="s">
        <v>10</v>
      </c>
    </row>
    <row r="1394" spans="1:8" x14ac:dyDescent="0.25">
      <c r="A1394" s="73">
        <v>44787</v>
      </c>
      <c r="B1394" s="74" t="s">
        <v>26103</v>
      </c>
      <c r="C1394" s="75" t="s">
        <v>214</v>
      </c>
      <c r="D1394" s="176">
        <v>2587.1999999999998</v>
      </c>
      <c r="E1394" s="151">
        <v>44787</v>
      </c>
      <c r="F1394" s="176">
        <v>2587.1999999999998</v>
      </c>
      <c r="G1394" s="177">
        <f>Tabla19[[#This Row],[Importe]]-Tabla19[[#This Row],[Pagado]]</f>
        <v>0</v>
      </c>
      <c r="H1394" s="75" t="s">
        <v>10</v>
      </c>
    </row>
    <row r="1395" spans="1:8" x14ac:dyDescent="0.25">
      <c r="A1395" s="148">
        <v>44787</v>
      </c>
      <c r="B1395" s="149" t="s">
        <v>26104</v>
      </c>
      <c r="C1395" s="153" t="s">
        <v>56</v>
      </c>
      <c r="D1395" s="178">
        <v>4642.5</v>
      </c>
      <c r="E1395" s="155">
        <v>44787</v>
      </c>
      <c r="F1395" s="178">
        <v>4642.5</v>
      </c>
      <c r="G1395" s="179">
        <f>Tabla19[[#This Row],[Importe]]-Tabla19[[#This Row],[Pagado]]</f>
        <v>0</v>
      </c>
      <c r="H1395" s="153" t="s">
        <v>10</v>
      </c>
    </row>
    <row r="1396" spans="1:8" x14ac:dyDescent="0.25">
      <c r="A1396" s="73">
        <v>44787</v>
      </c>
      <c r="B1396" s="74" t="s">
        <v>26105</v>
      </c>
      <c r="C1396" s="75" t="s">
        <v>191</v>
      </c>
      <c r="D1396" s="176">
        <v>894.4</v>
      </c>
      <c r="E1396" s="151">
        <v>44787</v>
      </c>
      <c r="F1396" s="176">
        <v>894.4</v>
      </c>
      <c r="G1396" s="177">
        <f>Tabla19[[#This Row],[Importe]]-Tabla19[[#This Row],[Pagado]]</f>
        <v>0</v>
      </c>
      <c r="H1396" s="75" t="s">
        <v>10</v>
      </c>
    </row>
    <row r="1397" spans="1:8" x14ac:dyDescent="0.25">
      <c r="A1397" s="148">
        <v>44787</v>
      </c>
      <c r="B1397" s="149" t="s">
        <v>26106</v>
      </c>
      <c r="C1397" s="153" t="s">
        <v>16</v>
      </c>
      <c r="D1397" s="178">
        <v>3179.1</v>
      </c>
      <c r="E1397" s="155">
        <v>44787</v>
      </c>
      <c r="F1397" s="178">
        <v>3179.1</v>
      </c>
      <c r="G1397" s="179">
        <f>Tabla19[[#This Row],[Importe]]-Tabla19[[#This Row],[Pagado]]</f>
        <v>0</v>
      </c>
      <c r="H1397" s="153" t="s">
        <v>10</v>
      </c>
    </row>
    <row r="1398" spans="1:8" x14ac:dyDescent="0.25">
      <c r="A1398" s="73">
        <v>44787</v>
      </c>
      <c r="B1398" s="74" t="s">
        <v>26107</v>
      </c>
      <c r="C1398" s="75" t="s">
        <v>31</v>
      </c>
      <c r="D1398" s="176">
        <v>12188.4</v>
      </c>
      <c r="E1398" s="151">
        <v>44787</v>
      </c>
      <c r="F1398" s="176">
        <v>12188.4</v>
      </c>
      <c r="G1398" s="177">
        <f>Tabla19[[#This Row],[Importe]]-Tabla19[[#This Row],[Pagado]]</f>
        <v>0</v>
      </c>
      <c r="H1398" s="75" t="s">
        <v>10</v>
      </c>
    </row>
    <row r="1399" spans="1:8" x14ac:dyDescent="0.25">
      <c r="A1399" s="148">
        <v>44787</v>
      </c>
      <c r="B1399" s="149" t="s">
        <v>26108</v>
      </c>
      <c r="C1399" s="153" t="s">
        <v>35</v>
      </c>
      <c r="D1399" s="178">
        <v>204</v>
      </c>
      <c r="E1399" s="155">
        <v>44787</v>
      </c>
      <c r="F1399" s="178">
        <v>204</v>
      </c>
      <c r="G1399" s="179">
        <f>Tabla19[[#This Row],[Importe]]-Tabla19[[#This Row],[Pagado]]</f>
        <v>0</v>
      </c>
      <c r="H1399" s="153" t="s">
        <v>10</v>
      </c>
    </row>
    <row r="1400" spans="1:8" x14ac:dyDescent="0.25">
      <c r="A1400" s="73">
        <v>44787</v>
      </c>
      <c r="B1400" s="74" t="s">
        <v>26109</v>
      </c>
      <c r="C1400" s="75" t="s">
        <v>1421</v>
      </c>
      <c r="D1400" s="176">
        <v>13983.2</v>
      </c>
      <c r="E1400" s="151">
        <v>44787</v>
      </c>
      <c r="F1400" s="176">
        <v>13983.2</v>
      </c>
      <c r="G1400" s="177">
        <f>Tabla19[[#This Row],[Importe]]-Tabla19[[#This Row],[Pagado]]</f>
        <v>0</v>
      </c>
      <c r="H1400" s="75" t="s">
        <v>10</v>
      </c>
    </row>
    <row r="1401" spans="1:8" x14ac:dyDescent="0.25">
      <c r="A1401" s="148">
        <v>44787</v>
      </c>
      <c r="B1401" s="149" t="s">
        <v>26110</v>
      </c>
      <c r="C1401" s="153" t="s">
        <v>296</v>
      </c>
      <c r="D1401" s="178">
        <v>4484</v>
      </c>
      <c r="E1401" s="155">
        <v>44787</v>
      </c>
      <c r="F1401" s="178">
        <v>4484</v>
      </c>
      <c r="G1401" s="179">
        <f>Tabla19[[#This Row],[Importe]]-Tabla19[[#This Row],[Pagado]]</f>
        <v>0</v>
      </c>
      <c r="H1401" s="153" t="s">
        <v>10</v>
      </c>
    </row>
    <row r="1402" spans="1:8" x14ac:dyDescent="0.25">
      <c r="A1402" s="73">
        <v>44787</v>
      </c>
      <c r="B1402" s="74" t="s">
        <v>26111</v>
      </c>
      <c r="C1402" s="75" t="s">
        <v>191</v>
      </c>
      <c r="D1402" s="176">
        <v>1801.2</v>
      </c>
      <c r="E1402" s="151">
        <v>44787</v>
      </c>
      <c r="F1402" s="176">
        <v>1801.2</v>
      </c>
      <c r="G1402" s="177">
        <f>Tabla19[[#This Row],[Importe]]-Tabla19[[#This Row],[Pagado]]</f>
        <v>0</v>
      </c>
      <c r="H1402" s="75" t="s">
        <v>10</v>
      </c>
    </row>
    <row r="1403" spans="1:8" x14ac:dyDescent="0.25">
      <c r="A1403" s="148">
        <v>44787</v>
      </c>
      <c r="B1403" s="149" t="s">
        <v>26112</v>
      </c>
      <c r="C1403" s="153" t="s">
        <v>296</v>
      </c>
      <c r="D1403" s="178">
        <v>2096.6999999999998</v>
      </c>
      <c r="E1403" s="155">
        <v>44787</v>
      </c>
      <c r="F1403" s="178">
        <v>2096.6999999999998</v>
      </c>
      <c r="G1403" s="179">
        <f>Tabla19[[#This Row],[Importe]]-Tabla19[[#This Row],[Pagado]]</f>
        <v>0</v>
      </c>
      <c r="H1403" s="153" t="s">
        <v>10</v>
      </c>
    </row>
    <row r="1404" spans="1:8" x14ac:dyDescent="0.25">
      <c r="A1404" s="73">
        <v>44787</v>
      </c>
      <c r="B1404" s="74" t="s">
        <v>26113</v>
      </c>
      <c r="C1404" s="75" t="s">
        <v>67</v>
      </c>
      <c r="D1404" s="176">
        <v>219</v>
      </c>
      <c r="E1404" s="151" t="s">
        <v>26114</v>
      </c>
      <c r="F1404" s="176">
        <v>219</v>
      </c>
      <c r="G1404" s="177">
        <f>Tabla19[[#This Row],[Importe]]-Tabla19[[#This Row],[Pagado]]</f>
        <v>0</v>
      </c>
      <c r="H1404" s="75" t="s">
        <v>10</v>
      </c>
    </row>
    <row r="1405" spans="1:8" x14ac:dyDescent="0.25">
      <c r="A1405" s="148">
        <v>44787</v>
      </c>
      <c r="B1405" s="149" t="s">
        <v>26115</v>
      </c>
      <c r="C1405" s="153" t="s">
        <v>69</v>
      </c>
      <c r="D1405" s="178">
        <v>1760</v>
      </c>
      <c r="E1405" s="155">
        <v>44788</v>
      </c>
      <c r="F1405" s="178">
        <v>1760</v>
      </c>
      <c r="G1405" s="179">
        <f>Tabla19[[#This Row],[Importe]]-Tabla19[[#This Row],[Pagado]]</f>
        <v>0</v>
      </c>
      <c r="H1405" s="153" t="s">
        <v>10</v>
      </c>
    </row>
    <row r="1406" spans="1:8" x14ac:dyDescent="0.25">
      <c r="A1406" s="73">
        <v>44788</v>
      </c>
      <c r="B1406" s="74" t="s">
        <v>26116</v>
      </c>
      <c r="C1406" s="75" t="s">
        <v>887</v>
      </c>
      <c r="D1406" s="176">
        <v>13162.5</v>
      </c>
      <c r="E1406" s="151">
        <v>44788</v>
      </c>
      <c r="F1406" s="176">
        <v>13162.5</v>
      </c>
      <c r="G1406" s="177">
        <f>Tabla19[[#This Row],[Importe]]-Tabla19[[#This Row],[Pagado]]</f>
        <v>0</v>
      </c>
      <c r="H1406" s="75" t="s">
        <v>10</v>
      </c>
    </row>
    <row r="1407" spans="1:8" ht="31.5" x14ac:dyDescent="0.25">
      <c r="A1407" s="148">
        <v>44788</v>
      </c>
      <c r="B1407" s="149" t="s">
        <v>26117</v>
      </c>
      <c r="C1407" s="153" t="s">
        <v>475</v>
      </c>
      <c r="D1407" s="178">
        <v>92492.3</v>
      </c>
      <c r="E1407" s="150" t="s">
        <v>26118</v>
      </c>
      <c r="F1407" s="178">
        <f>58000+34492.3</f>
        <v>92492.3</v>
      </c>
      <c r="G1407" s="179">
        <f>Tabla19[[#This Row],[Importe]]-Tabla19[[#This Row],[Pagado]]</f>
        <v>0</v>
      </c>
      <c r="H1407" s="153" t="s">
        <v>10</v>
      </c>
    </row>
    <row r="1408" spans="1:8" x14ac:dyDescent="0.25">
      <c r="A1408" s="73">
        <v>44788</v>
      </c>
      <c r="B1408" s="74" t="s">
        <v>26119</v>
      </c>
      <c r="C1408" s="75" t="s">
        <v>12</v>
      </c>
      <c r="D1408" s="176">
        <v>5570.9</v>
      </c>
      <c r="E1408" s="151">
        <v>44788</v>
      </c>
      <c r="F1408" s="176">
        <v>5570.9</v>
      </c>
      <c r="G1408" s="177">
        <f>Tabla19[[#This Row],[Importe]]-Tabla19[[#This Row],[Pagado]]</f>
        <v>0</v>
      </c>
      <c r="H1408" s="75" t="s">
        <v>10</v>
      </c>
    </row>
    <row r="1409" spans="1:8" x14ac:dyDescent="0.25">
      <c r="A1409" s="148">
        <v>44788</v>
      </c>
      <c r="B1409" s="149" t="s">
        <v>26120</v>
      </c>
      <c r="C1409" s="153" t="s">
        <v>12</v>
      </c>
      <c r="D1409" s="178">
        <v>454.5</v>
      </c>
      <c r="E1409" s="155">
        <v>44788</v>
      </c>
      <c r="F1409" s="178">
        <v>454.5</v>
      </c>
      <c r="G1409" s="179">
        <f>Tabla19[[#This Row],[Importe]]-Tabla19[[#This Row],[Pagado]]</f>
        <v>0</v>
      </c>
      <c r="H1409" s="153" t="s">
        <v>10</v>
      </c>
    </row>
    <row r="1410" spans="1:8" x14ac:dyDescent="0.25">
      <c r="A1410" s="73">
        <v>44788</v>
      </c>
      <c r="B1410" s="74" t="s">
        <v>26121</v>
      </c>
      <c r="C1410" s="75" t="s">
        <v>154</v>
      </c>
      <c r="D1410" s="176">
        <v>8672.7999999999993</v>
      </c>
      <c r="E1410" s="151">
        <v>44793</v>
      </c>
      <c r="F1410" s="176">
        <v>8672.7999999999993</v>
      </c>
      <c r="G1410" s="177">
        <f>Tabla19[[#This Row],[Importe]]-Tabla19[[#This Row],[Pagado]]</f>
        <v>0</v>
      </c>
      <c r="H1410" s="75" t="s">
        <v>10</v>
      </c>
    </row>
    <row r="1411" spans="1:8" x14ac:dyDescent="0.25">
      <c r="A1411" s="148">
        <v>44788</v>
      </c>
      <c r="B1411" s="149" t="s">
        <v>26122</v>
      </c>
      <c r="C1411" s="153" t="s">
        <v>9</v>
      </c>
      <c r="D1411" s="178">
        <v>8723.7000000000007</v>
      </c>
      <c r="E1411" s="155">
        <v>44788</v>
      </c>
      <c r="F1411" s="178">
        <v>8723.7000000000007</v>
      </c>
      <c r="G1411" s="179">
        <f>Tabla19[[#This Row],[Importe]]-Tabla19[[#This Row],[Pagado]]</f>
        <v>0</v>
      </c>
      <c r="H1411" s="153" t="s">
        <v>10</v>
      </c>
    </row>
    <row r="1412" spans="1:8" x14ac:dyDescent="0.25">
      <c r="A1412" s="73">
        <v>44788</v>
      </c>
      <c r="B1412" s="74" t="s">
        <v>26123</v>
      </c>
      <c r="C1412" s="75" t="s">
        <v>218</v>
      </c>
      <c r="D1412" s="176">
        <v>20694.2</v>
      </c>
      <c r="E1412" s="151">
        <v>44791</v>
      </c>
      <c r="F1412" s="176">
        <v>20694.2</v>
      </c>
      <c r="G1412" s="177">
        <f>Tabla19[[#This Row],[Importe]]-Tabla19[[#This Row],[Pagado]]</f>
        <v>0</v>
      </c>
      <c r="H1412" s="75" t="s">
        <v>10</v>
      </c>
    </row>
    <row r="1413" spans="1:8" x14ac:dyDescent="0.25">
      <c r="A1413" s="148">
        <v>44788</v>
      </c>
      <c r="B1413" s="149" t="s">
        <v>26124</v>
      </c>
      <c r="C1413" s="153" t="s">
        <v>99</v>
      </c>
      <c r="D1413" s="178">
        <v>3956.4</v>
      </c>
      <c r="E1413" s="155">
        <v>44789</v>
      </c>
      <c r="F1413" s="178">
        <v>3956.4</v>
      </c>
      <c r="G1413" s="179">
        <f>Tabla19[[#This Row],[Importe]]-Tabla19[[#This Row],[Pagado]]</f>
        <v>0</v>
      </c>
      <c r="H1413" s="153" t="s">
        <v>10</v>
      </c>
    </row>
    <row r="1414" spans="1:8" x14ac:dyDescent="0.25">
      <c r="A1414" s="73">
        <v>44788</v>
      </c>
      <c r="B1414" s="74" t="s">
        <v>26125</v>
      </c>
      <c r="C1414" s="75" t="s">
        <v>109</v>
      </c>
      <c r="D1414" s="176">
        <v>4737.6000000000004</v>
      </c>
      <c r="E1414" s="151">
        <v>44789</v>
      </c>
      <c r="F1414" s="176">
        <v>4737.6000000000004</v>
      </c>
      <c r="G1414" s="177">
        <f>Tabla19[[#This Row],[Importe]]-Tabla19[[#This Row],[Pagado]]</f>
        <v>0</v>
      </c>
      <c r="H1414" s="75" t="s">
        <v>10</v>
      </c>
    </row>
    <row r="1415" spans="1:8" x14ac:dyDescent="0.25">
      <c r="A1415" s="148">
        <v>44788</v>
      </c>
      <c r="B1415" s="149" t="s">
        <v>26126</v>
      </c>
      <c r="C1415" s="153" t="s">
        <v>93</v>
      </c>
      <c r="D1415" s="178">
        <v>7866.6</v>
      </c>
      <c r="E1415" s="155">
        <v>44790</v>
      </c>
      <c r="F1415" s="178">
        <v>7866.6</v>
      </c>
      <c r="G1415" s="179">
        <f>Tabla19[[#This Row],[Importe]]-Tabla19[[#This Row],[Pagado]]</f>
        <v>0</v>
      </c>
      <c r="H1415" s="153" t="s">
        <v>10</v>
      </c>
    </row>
    <row r="1416" spans="1:8" x14ac:dyDescent="0.25">
      <c r="A1416" s="73">
        <v>44788</v>
      </c>
      <c r="B1416" s="74" t="s">
        <v>26127</v>
      </c>
      <c r="C1416" s="75" t="s">
        <v>64</v>
      </c>
      <c r="D1416" s="176">
        <v>5967</v>
      </c>
      <c r="E1416" s="151">
        <v>44789</v>
      </c>
      <c r="F1416" s="176">
        <v>5967</v>
      </c>
      <c r="G1416" s="177">
        <f>Tabla19[[#This Row],[Importe]]-Tabla19[[#This Row],[Pagado]]</f>
        <v>0</v>
      </c>
      <c r="H1416" s="75" t="s">
        <v>10</v>
      </c>
    </row>
    <row r="1417" spans="1:8" x14ac:dyDescent="0.25">
      <c r="A1417" s="148">
        <v>44788</v>
      </c>
      <c r="B1417" s="149" t="s">
        <v>26128</v>
      </c>
      <c r="C1417" s="153" t="s">
        <v>93</v>
      </c>
      <c r="D1417" s="178">
        <v>3200.4</v>
      </c>
      <c r="E1417" s="155">
        <v>44789</v>
      </c>
      <c r="F1417" s="178">
        <v>3200.4</v>
      </c>
      <c r="G1417" s="179">
        <f>Tabla19[[#This Row],[Importe]]-Tabla19[[#This Row],[Pagado]]</f>
        <v>0</v>
      </c>
      <c r="H1417" s="153" t="s">
        <v>10</v>
      </c>
    </row>
    <row r="1418" spans="1:8" x14ac:dyDescent="0.25">
      <c r="A1418" s="73">
        <v>44788</v>
      </c>
      <c r="B1418" s="74" t="s">
        <v>26129</v>
      </c>
      <c r="C1418" s="75" t="s">
        <v>111</v>
      </c>
      <c r="D1418" s="176">
        <v>6249.6</v>
      </c>
      <c r="E1418" s="151">
        <v>44790</v>
      </c>
      <c r="F1418" s="176">
        <v>6249.6</v>
      </c>
      <c r="G1418" s="177">
        <f>Tabla19[[#This Row],[Importe]]-Tabla19[[#This Row],[Pagado]]</f>
        <v>0</v>
      </c>
      <c r="H1418" s="75" t="s">
        <v>10</v>
      </c>
    </row>
    <row r="1419" spans="1:8" x14ac:dyDescent="0.25">
      <c r="A1419" s="148">
        <v>44788</v>
      </c>
      <c r="B1419" s="149" t="s">
        <v>26130</v>
      </c>
      <c r="C1419" s="153" t="s">
        <v>105</v>
      </c>
      <c r="D1419" s="178">
        <v>9210.6</v>
      </c>
      <c r="E1419" s="155">
        <v>44790</v>
      </c>
      <c r="F1419" s="178">
        <v>9210.6</v>
      </c>
      <c r="G1419" s="179">
        <f>Tabla19[[#This Row],[Importe]]-Tabla19[[#This Row],[Pagado]]</f>
        <v>0</v>
      </c>
      <c r="H1419" s="153" t="s">
        <v>10</v>
      </c>
    </row>
    <row r="1420" spans="1:8" x14ac:dyDescent="0.25">
      <c r="A1420" s="73">
        <v>44788</v>
      </c>
      <c r="B1420" s="74" t="s">
        <v>26131</v>
      </c>
      <c r="C1420" s="75" t="s">
        <v>97</v>
      </c>
      <c r="D1420" s="176">
        <v>5642</v>
      </c>
      <c r="E1420" s="151">
        <v>44789</v>
      </c>
      <c r="F1420" s="176">
        <v>5642</v>
      </c>
      <c r="G1420" s="177">
        <f>Tabla19[[#This Row],[Importe]]-Tabla19[[#This Row],[Pagado]]</f>
        <v>0</v>
      </c>
      <c r="H1420" s="75" t="s">
        <v>10</v>
      </c>
    </row>
    <row r="1421" spans="1:8" x14ac:dyDescent="0.25">
      <c r="A1421" s="148">
        <v>44788</v>
      </c>
      <c r="B1421" s="149" t="s">
        <v>26132</v>
      </c>
      <c r="C1421" s="153" t="s">
        <v>2563</v>
      </c>
      <c r="D1421" s="178">
        <v>5460</v>
      </c>
      <c r="E1421" s="155">
        <v>44789</v>
      </c>
      <c r="F1421" s="178">
        <v>5460</v>
      </c>
      <c r="G1421" s="179">
        <f>Tabla19[[#This Row],[Importe]]-Tabla19[[#This Row],[Pagado]]</f>
        <v>0</v>
      </c>
      <c r="H1421" s="153" t="s">
        <v>10</v>
      </c>
    </row>
    <row r="1422" spans="1:8" x14ac:dyDescent="0.25">
      <c r="A1422" s="73">
        <v>44788</v>
      </c>
      <c r="B1422" s="74" t="s">
        <v>26133</v>
      </c>
      <c r="C1422" s="75" t="s">
        <v>111</v>
      </c>
      <c r="D1422" s="176">
        <v>863.1</v>
      </c>
      <c r="E1422" s="151">
        <v>44790</v>
      </c>
      <c r="F1422" s="176">
        <v>863.1</v>
      </c>
      <c r="G1422" s="177">
        <f>Tabla19[[#This Row],[Importe]]-Tabla19[[#This Row],[Pagado]]</f>
        <v>0</v>
      </c>
      <c r="H1422" s="75" t="s">
        <v>10</v>
      </c>
    </row>
    <row r="1423" spans="1:8" x14ac:dyDescent="0.25">
      <c r="A1423" s="148">
        <v>44788</v>
      </c>
      <c r="B1423" s="149" t="s">
        <v>26134</v>
      </c>
      <c r="C1423" s="153" t="s">
        <v>348</v>
      </c>
      <c r="D1423" s="178">
        <v>6093.1</v>
      </c>
      <c r="E1423" s="155">
        <v>44788</v>
      </c>
      <c r="F1423" s="178">
        <v>6093.1</v>
      </c>
      <c r="G1423" s="179">
        <f>Tabla19[[#This Row],[Importe]]-Tabla19[[#This Row],[Pagado]]</f>
        <v>0</v>
      </c>
      <c r="H1423" s="153" t="s">
        <v>10</v>
      </c>
    </row>
    <row r="1424" spans="1:8" x14ac:dyDescent="0.25">
      <c r="A1424" s="73">
        <v>44788</v>
      </c>
      <c r="B1424" s="74" t="s">
        <v>26135</v>
      </c>
      <c r="C1424" s="75" t="s">
        <v>114</v>
      </c>
      <c r="D1424" s="176">
        <v>6674</v>
      </c>
      <c r="E1424" s="151">
        <v>44789</v>
      </c>
      <c r="F1424" s="176">
        <v>6674</v>
      </c>
      <c r="G1424" s="177">
        <f>Tabla19[[#This Row],[Importe]]-Tabla19[[#This Row],[Pagado]]</f>
        <v>0</v>
      </c>
      <c r="H1424" s="75" t="s">
        <v>10</v>
      </c>
    </row>
    <row r="1425" spans="1:8" x14ac:dyDescent="0.25">
      <c r="A1425" s="148">
        <v>44788</v>
      </c>
      <c r="B1425" s="149" t="s">
        <v>26136</v>
      </c>
      <c r="C1425" s="153" t="s">
        <v>87</v>
      </c>
      <c r="D1425" s="178">
        <v>3854</v>
      </c>
      <c r="E1425" s="155">
        <v>44788</v>
      </c>
      <c r="F1425" s="178">
        <v>3854</v>
      </c>
      <c r="G1425" s="179">
        <f>Tabla19[[#This Row],[Importe]]-Tabla19[[#This Row],[Pagado]]</f>
        <v>0</v>
      </c>
      <c r="H1425" s="153" t="s">
        <v>10</v>
      </c>
    </row>
    <row r="1426" spans="1:8" x14ac:dyDescent="0.25">
      <c r="A1426" s="73">
        <v>44788</v>
      </c>
      <c r="B1426" s="74" t="s">
        <v>26137</v>
      </c>
      <c r="C1426" s="75" t="s">
        <v>473</v>
      </c>
      <c r="D1426" s="176">
        <v>13208.2</v>
      </c>
      <c r="E1426" s="151">
        <v>44788</v>
      </c>
      <c r="F1426" s="176">
        <v>13208.2</v>
      </c>
      <c r="G1426" s="177">
        <f>Tabla19[[#This Row],[Importe]]-Tabla19[[#This Row],[Pagado]]</f>
        <v>0</v>
      </c>
      <c r="H1426" s="75" t="s">
        <v>10</v>
      </c>
    </row>
    <row r="1427" spans="1:8" x14ac:dyDescent="0.25">
      <c r="A1427" s="148">
        <v>44788</v>
      </c>
      <c r="B1427" s="149" t="s">
        <v>26138</v>
      </c>
      <c r="C1427" s="153" t="s">
        <v>83</v>
      </c>
      <c r="D1427" s="178">
        <v>11776</v>
      </c>
      <c r="E1427" s="155">
        <v>44788</v>
      </c>
      <c r="F1427" s="178">
        <v>11776</v>
      </c>
      <c r="G1427" s="179">
        <f>Tabla19[[#This Row],[Importe]]-Tabla19[[#This Row],[Pagado]]</f>
        <v>0</v>
      </c>
      <c r="H1427" s="153" t="s">
        <v>10</v>
      </c>
    </row>
    <row r="1428" spans="1:8" x14ac:dyDescent="0.25">
      <c r="A1428" s="73">
        <v>44788</v>
      </c>
      <c r="B1428" s="74" t="s">
        <v>26139</v>
      </c>
      <c r="C1428" s="75" t="s">
        <v>89</v>
      </c>
      <c r="D1428" s="176">
        <v>13305.6</v>
      </c>
      <c r="E1428" s="151">
        <v>44789</v>
      </c>
      <c r="F1428" s="176">
        <v>13305.6</v>
      </c>
      <c r="G1428" s="177">
        <f>Tabla19[[#This Row],[Importe]]-Tabla19[[#This Row],[Pagado]]</f>
        <v>0</v>
      </c>
      <c r="H1428" s="75" t="s">
        <v>10</v>
      </c>
    </row>
    <row r="1429" spans="1:8" x14ac:dyDescent="0.25">
      <c r="A1429" s="148">
        <v>44788</v>
      </c>
      <c r="B1429" s="149" t="s">
        <v>26140</v>
      </c>
      <c r="C1429" s="153" t="s">
        <v>2151</v>
      </c>
      <c r="D1429" s="178">
        <v>20973.1</v>
      </c>
      <c r="E1429" s="155">
        <v>44788</v>
      </c>
      <c r="F1429" s="178">
        <v>20973.1</v>
      </c>
      <c r="G1429" s="179">
        <f>Tabla19[[#This Row],[Importe]]-Tabla19[[#This Row],[Pagado]]</f>
        <v>0</v>
      </c>
      <c r="H1429" s="153" t="s">
        <v>10</v>
      </c>
    </row>
    <row r="1430" spans="1:8" x14ac:dyDescent="0.25">
      <c r="A1430" s="73">
        <v>44788</v>
      </c>
      <c r="B1430" s="74" t="s">
        <v>26141</v>
      </c>
      <c r="C1430" s="75" t="s">
        <v>71</v>
      </c>
      <c r="D1430" s="176">
        <v>4605</v>
      </c>
      <c r="E1430" s="151">
        <v>44788</v>
      </c>
      <c r="F1430" s="176">
        <v>4605</v>
      </c>
      <c r="G1430" s="177">
        <f>Tabla19[[#This Row],[Importe]]-Tabla19[[#This Row],[Pagado]]</f>
        <v>0</v>
      </c>
      <c r="H1430" s="75" t="s">
        <v>10</v>
      </c>
    </row>
    <row r="1431" spans="1:8" x14ac:dyDescent="0.25">
      <c r="A1431" s="148">
        <v>44788</v>
      </c>
      <c r="B1431" s="149" t="s">
        <v>26142</v>
      </c>
      <c r="C1431" s="153" t="s">
        <v>348</v>
      </c>
      <c r="D1431" s="178">
        <v>3950.1</v>
      </c>
      <c r="E1431" s="155">
        <v>44788</v>
      </c>
      <c r="F1431" s="178">
        <v>3950.1</v>
      </c>
      <c r="G1431" s="179">
        <f>Tabla19[[#This Row],[Importe]]-Tabla19[[#This Row],[Pagado]]</f>
        <v>0</v>
      </c>
      <c r="H1431" s="153" t="s">
        <v>10</v>
      </c>
    </row>
    <row r="1432" spans="1:8" x14ac:dyDescent="0.25">
      <c r="A1432" s="73">
        <v>44788</v>
      </c>
      <c r="B1432" s="74" t="s">
        <v>26143</v>
      </c>
      <c r="C1432" s="75" t="s">
        <v>75</v>
      </c>
      <c r="D1432" s="176">
        <v>10096.799999999999</v>
      </c>
      <c r="E1432" s="151">
        <v>44788</v>
      </c>
      <c r="F1432" s="176">
        <v>10096.799999999999</v>
      </c>
      <c r="G1432" s="177">
        <f>Tabla19[[#This Row],[Importe]]-Tabla19[[#This Row],[Pagado]]</f>
        <v>0</v>
      </c>
      <c r="H1432" s="75" t="s">
        <v>10</v>
      </c>
    </row>
    <row r="1433" spans="1:8" x14ac:dyDescent="0.25">
      <c r="A1433" s="148">
        <v>44788</v>
      </c>
      <c r="B1433" s="149" t="s">
        <v>26144</v>
      </c>
      <c r="C1433" s="153" t="s">
        <v>12</v>
      </c>
      <c r="D1433" s="178">
        <v>6704</v>
      </c>
      <c r="E1433" s="155">
        <v>44788</v>
      </c>
      <c r="F1433" s="178">
        <v>6704</v>
      </c>
      <c r="G1433" s="179">
        <f>Tabla19[[#This Row],[Importe]]-Tabla19[[#This Row],[Pagado]]</f>
        <v>0</v>
      </c>
      <c r="H1433" s="153" t="s">
        <v>10</v>
      </c>
    </row>
    <row r="1434" spans="1:8" x14ac:dyDescent="0.25">
      <c r="A1434" s="73">
        <v>44788</v>
      </c>
      <c r="B1434" s="74" t="s">
        <v>26145</v>
      </c>
      <c r="C1434" s="75" t="s">
        <v>12</v>
      </c>
      <c r="D1434" s="176">
        <v>4493.5</v>
      </c>
      <c r="E1434" s="151">
        <v>44788</v>
      </c>
      <c r="F1434" s="176">
        <v>4493.5</v>
      </c>
      <c r="G1434" s="177">
        <f>Tabla19[[#This Row],[Importe]]-Tabla19[[#This Row],[Pagado]]</f>
        <v>0</v>
      </c>
      <c r="H1434" s="75" t="s">
        <v>10</v>
      </c>
    </row>
    <row r="1435" spans="1:8" x14ac:dyDescent="0.25">
      <c r="A1435" s="148">
        <v>44788</v>
      </c>
      <c r="B1435" s="149" t="s">
        <v>26146</v>
      </c>
      <c r="C1435" s="153" t="s">
        <v>16</v>
      </c>
      <c r="D1435" s="178">
        <v>5451.8</v>
      </c>
      <c r="E1435" s="155">
        <v>44788</v>
      </c>
      <c r="F1435" s="178">
        <v>5451.8</v>
      </c>
      <c r="G1435" s="179">
        <f>Tabla19[[#This Row],[Importe]]-Tabla19[[#This Row],[Pagado]]</f>
        <v>0</v>
      </c>
      <c r="H1435" s="153" t="s">
        <v>10</v>
      </c>
    </row>
    <row r="1436" spans="1:8" x14ac:dyDescent="0.25">
      <c r="A1436" s="73">
        <v>44788</v>
      </c>
      <c r="B1436" s="74" t="s">
        <v>26147</v>
      </c>
      <c r="C1436" s="75" t="s">
        <v>17556</v>
      </c>
      <c r="D1436" s="176">
        <v>4284.6000000000004</v>
      </c>
      <c r="E1436" s="151">
        <v>44788</v>
      </c>
      <c r="F1436" s="176">
        <v>4284.6000000000004</v>
      </c>
      <c r="G1436" s="177">
        <f>Tabla19[[#This Row],[Importe]]-Tabla19[[#This Row],[Pagado]]</f>
        <v>0</v>
      </c>
      <c r="H1436" s="75" t="s">
        <v>10</v>
      </c>
    </row>
    <row r="1437" spans="1:8" x14ac:dyDescent="0.25">
      <c r="A1437" s="148">
        <v>44788</v>
      </c>
      <c r="B1437" s="149" t="s">
        <v>26148</v>
      </c>
      <c r="C1437" s="153" t="s">
        <v>137</v>
      </c>
      <c r="D1437" s="178">
        <v>3807.2</v>
      </c>
      <c r="E1437" s="155">
        <v>44788</v>
      </c>
      <c r="F1437" s="178">
        <v>3807.2</v>
      </c>
      <c r="G1437" s="179">
        <f>Tabla19[[#This Row],[Importe]]-Tabla19[[#This Row],[Pagado]]</f>
        <v>0</v>
      </c>
      <c r="H1437" s="153" t="s">
        <v>10</v>
      </c>
    </row>
    <row r="1438" spans="1:8" x14ac:dyDescent="0.25">
      <c r="A1438" s="73">
        <v>44788</v>
      </c>
      <c r="B1438" s="74" t="s">
        <v>26149</v>
      </c>
      <c r="C1438" s="75" t="s">
        <v>481</v>
      </c>
      <c r="D1438" s="176">
        <v>986</v>
      </c>
      <c r="E1438" s="151">
        <v>44788</v>
      </c>
      <c r="F1438" s="176">
        <v>986</v>
      </c>
      <c r="G1438" s="177">
        <f>Tabla19[[#This Row],[Importe]]-Tabla19[[#This Row],[Pagado]]</f>
        <v>0</v>
      </c>
      <c r="H1438" s="75" t="s">
        <v>10</v>
      </c>
    </row>
    <row r="1439" spans="1:8" x14ac:dyDescent="0.25">
      <c r="A1439" s="148">
        <v>44788</v>
      </c>
      <c r="B1439" s="149" t="s">
        <v>26150</v>
      </c>
      <c r="C1439" s="153" t="s">
        <v>212</v>
      </c>
      <c r="D1439" s="178">
        <v>44504.34</v>
      </c>
      <c r="E1439" s="155">
        <v>44791</v>
      </c>
      <c r="F1439" s="178">
        <v>44504.34</v>
      </c>
      <c r="G1439" s="179">
        <f>Tabla19[[#This Row],[Importe]]-Tabla19[[#This Row],[Pagado]]</f>
        <v>0</v>
      </c>
      <c r="H1439" s="153" t="s">
        <v>10</v>
      </c>
    </row>
    <row r="1440" spans="1:8" x14ac:dyDescent="0.25">
      <c r="A1440" s="73">
        <v>44788</v>
      </c>
      <c r="B1440" s="74" t="s">
        <v>26151</v>
      </c>
      <c r="C1440" s="75" t="s">
        <v>1187</v>
      </c>
      <c r="D1440" s="176">
        <v>2726.9</v>
      </c>
      <c r="E1440" s="151">
        <v>44788</v>
      </c>
      <c r="F1440" s="176">
        <v>2726.9</v>
      </c>
      <c r="G1440" s="177">
        <f>Tabla19[[#This Row],[Importe]]-Tabla19[[#This Row],[Pagado]]</f>
        <v>0</v>
      </c>
      <c r="H1440" s="75" t="s">
        <v>10</v>
      </c>
    </row>
    <row r="1441" spans="1:8" x14ac:dyDescent="0.25">
      <c r="A1441" s="148">
        <v>44788</v>
      </c>
      <c r="B1441" s="149" t="s">
        <v>26152</v>
      </c>
      <c r="C1441" s="153" t="s">
        <v>353</v>
      </c>
      <c r="D1441" s="178">
        <v>1747.9</v>
      </c>
      <c r="E1441" s="155">
        <v>44788</v>
      </c>
      <c r="F1441" s="178">
        <v>1747.9</v>
      </c>
      <c r="G1441" s="179">
        <f>Tabla19[[#This Row],[Importe]]-Tabla19[[#This Row],[Pagado]]</f>
        <v>0</v>
      </c>
      <c r="H1441" s="153" t="s">
        <v>10</v>
      </c>
    </row>
    <row r="1442" spans="1:8" x14ac:dyDescent="0.25">
      <c r="A1442" s="73">
        <v>44788</v>
      </c>
      <c r="B1442" s="74" t="s">
        <v>26153</v>
      </c>
      <c r="C1442" s="75" t="s">
        <v>206</v>
      </c>
      <c r="D1442" s="176">
        <v>30432.9</v>
      </c>
      <c r="E1442" s="151">
        <v>44791</v>
      </c>
      <c r="F1442" s="176">
        <v>30432.9</v>
      </c>
      <c r="G1442" s="177">
        <f>Tabla19[[#This Row],[Importe]]-Tabla19[[#This Row],[Pagado]]</f>
        <v>0</v>
      </c>
      <c r="H1442" s="75" t="s">
        <v>10</v>
      </c>
    </row>
    <row r="1443" spans="1:8" ht="31.5" x14ac:dyDescent="0.25">
      <c r="A1443" s="148">
        <v>44788</v>
      </c>
      <c r="B1443" s="149" t="s">
        <v>26154</v>
      </c>
      <c r="C1443" s="153" t="s">
        <v>22</v>
      </c>
      <c r="D1443" s="178">
        <v>33241.300000000003</v>
      </c>
      <c r="E1443" s="150" t="s">
        <v>26155</v>
      </c>
      <c r="F1443" s="178">
        <f>15000+18241.3</f>
        <v>33241.300000000003</v>
      </c>
      <c r="G1443" s="179">
        <f>Tabla19[[#This Row],[Importe]]-Tabla19[[#This Row],[Pagado]]</f>
        <v>0</v>
      </c>
      <c r="H1443" s="153" t="s">
        <v>10</v>
      </c>
    </row>
    <row r="1444" spans="1:8" x14ac:dyDescent="0.25">
      <c r="A1444" s="73">
        <v>44788</v>
      </c>
      <c r="B1444" s="74" t="s">
        <v>26156</v>
      </c>
      <c r="C1444" s="75" t="s">
        <v>11033</v>
      </c>
      <c r="D1444" s="176">
        <v>1848</v>
      </c>
      <c r="E1444" s="151">
        <v>44788</v>
      </c>
      <c r="F1444" s="176">
        <v>1848</v>
      </c>
      <c r="G1444" s="177">
        <f>Tabla19[[#This Row],[Importe]]-Tabla19[[#This Row],[Pagado]]</f>
        <v>0</v>
      </c>
      <c r="H1444" s="75" t="s">
        <v>10</v>
      </c>
    </row>
    <row r="1445" spans="1:8" x14ac:dyDescent="0.25">
      <c r="A1445" s="148">
        <v>44788</v>
      </c>
      <c r="B1445" s="149" t="s">
        <v>26157</v>
      </c>
      <c r="C1445" s="153" t="s">
        <v>196</v>
      </c>
      <c r="D1445" s="178">
        <v>76183.64</v>
      </c>
      <c r="E1445" s="155">
        <v>44792</v>
      </c>
      <c r="F1445" s="178">
        <v>76183.64</v>
      </c>
      <c r="G1445" s="179">
        <f>Tabla19[[#This Row],[Importe]]-Tabla19[[#This Row],[Pagado]]</f>
        <v>0</v>
      </c>
      <c r="H1445" s="153" t="s">
        <v>10</v>
      </c>
    </row>
    <row r="1446" spans="1:8" x14ac:dyDescent="0.25">
      <c r="A1446" s="73">
        <v>44788</v>
      </c>
      <c r="B1446" s="74" t="s">
        <v>26158</v>
      </c>
      <c r="C1446" s="75" t="s">
        <v>196</v>
      </c>
      <c r="D1446" s="176">
        <v>9526.5</v>
      </c>
      <c r="E1446" s="151">
        <v>44792</v>
      </c>
      <c r="F1446" s="176">
        <v>9526.5</v>
      </c>
      <c r="G1446" s="177">
        <f>Tabla19[[#This Row],[Importe]]-Tabla19[[#This Row],[Pagado]]</f>
        <v>0</v>
      </c>
      <c r="H1446" s="75" t="s">
        <v>10</v>
      </c>
    </row>
    <row r="1447" spans="1:8" x14ac:dyDescent="0.25">
      <c r="A1447" s="148">
        <v>44788</v>
      </c>
      <c r="B1447" s="149" t="s">
        <v>26159</v>
      </c>
      <c r="C1447" s="153" t="s">
        <v>133</v>
      </c>
      <c r="D1447" s="178">
        <v>20630.400000000001</v>
      </c>
      <c r="E1447" s="155">
        <v>44789</v>
      </c>
      <c r="F1447" s="178">
        <v>20630.400000000001</v>
      </c>
      <c r="G1447" s="179">
        <f>Tabla19[[#This Row],[Importe]]-Tabla19[[#This Row],[Pagado]]</f>
        <v>0</v>
      </c>
      <c r="H1447" s="153" t="s">
        <v>10</v>
      </c>
    </row>
    <row r="1448" spans="1:8" x14ac:dyDescent="0.25">
      <c r="A1448" s="73">
        <v>44788</v>
      </c>
      <c r="B1448" s="74" t="s">
        <v>26160</v>
      </c>
      <c r="C1448" s="75" t="s">
        <v>27</v>
      </c>
      <c r="D1448" s="176">
        <v>3668.2</v>
      </c>
      <c r="E1448" s="151">
        <v>44788</v>
      </c>
      <c r="F1448" s="176">
        <v>3668.2</v>
      </c>
      <c r="G1448" s="177">
        <f>Tabla19[[#This Row],[Importe]]-Tabla19[[#This Row],[Pagado]]</f>
        <v>0</v>
      </c>
      <c r="H1448" s="75" t="s">
        <v>10</v>
      </c>
    </row>
    <row r="1449" spans="1:8" x14ac:dyDescent="0.25">
      <c r="A1449" s="148">
        <v>44788</v>
      </c>
      <c r="B1449" s="149" t="s">
        <v>26161</v>
      </c>
      <c r="C1449" s="153" t="s">
        <v>226</v>
      </c>
      <c r="D1449" s="178">
        <v>13783.2</v>
      </c>
      <c r="E1449" s="155">
        <v>44788</v>
      </c>
      <c r="F1449" s="178">
        <v>13783.2</v>
      </c>
      <c r="G1449" s="179">
        <f>Tabla19[[#This Row],[Importe]]-Tabla19[[#This Row],[Pagado]]</f>
        <v>0</v>
      </c>
      <c r="H1449" s="153" t="s">
        <v>10</v>
      </c>
    </row>
    <row r="1450" spans="1:8" x14ac:dyDescent="0.25">
      <c r="A1450" s="73">
        <v>44788</v>
      </c>
      <c r="B1450" s="74" t="s">
        <v>26162</v>
      </c>
      <c r="C1450" s="75" t="s">
        <v>167</v>
      </c>
      <c r="D1450" s="176">
        <v>115696</v>
      </c>
      <c r="E1450" s="151">
        <v>44788</v>
      </c>
      <c r="F1450" s="176">
        <v>115696</v>
      </c>
      <c r="G1450" s="177">
        <f>Tabla19[[#This Row],[Importe]]-Tabla19[[#This Row],[Pagado]]</f>
        <v>0</v>
      </c>
      <c r="H1450" s="75" t="s">
        <v>10</v>
      </c>
    </row>
    <row r="1451" spans="1:8" x14ac:dyDescent="0.25">
      <c r="A1451" s="148">
        <v>44788</v>
      </c>
      <c r="B1451" s="149" t="s">
        <v>26163</v>
      </c>
      <c r="C1451" s="153" t="s">
        <v>51</v>
      </c>
      <c r="D1451" s="178">
        <v>673.2</v>
      </c>
      <c r="E1451" s="155">
        <v>44788</v>
      </c>
      <c r="F1451" s="178">
        <v>673.2</v>
      </c>
      <c r="G1451" s="179">
        <f>Tabla19[[#This Row],[Importe]]-Tabla19[[#This Row],[Pagado]]</f>
        <v>0</v>
      </c>
      <c r="H1451" s="153" t="s">
        <v>10</v>
      </c>
    </row>
    <row r="1452" spans="1:8" x14ac:dyDescent="0.25">
      <c r="A1452" s="73">
        <v>44788</v>
      </c>
      <c r="B1452" s="74" t="s">
        <v>26164</v>
      </c>
      <c r="C1452" s="75" t="s">
        <v>45</v>
      </c>
      <c r="D1452" s="176">
        <v>10957.2</v>
      </c>
      <c r="E1452" s="151">
        <v>44788</v>
      </c>
      <c r="F1452" s="176">
        <v>10957.2</v>
      </c>
      <c r="G1452" s="177">
        <f>Tabla19[[#This Row],[Importe]]-Tabla19[[#This Row],[Pagado]]</f>
        <v>0</v>
      </c>
      <c r="H1452" s="75" t="s">
        <v>10</v>
      </c>
    </row>
    <row r="1453" spans="1:8" x14ac:dyDescent="0.25">
      <c r="A1453" s="148">
        <v>44788</v>
      </c>
      <c r="B1453" s="149" t="s">
        <v>26165</v>
      </c>
      <c r="C1453" s="153" t="s">
        <v>173</v>
      </c>
      <c r="D1453" s="178">
        <v>43972</v>
      </c>
      <c r="E1453" s="155">
        <v>44789</v>
      </c>
      <c r="F1453" s="178">
        <v>43972</v>
      </c>
      <c r="G1453" s="179">
        <f>Tabla19[[#This Row],[Importe]]-Tabla19[[#This Row],[Pagado]]</f>
        <v>0</v>
      </c>
      <c r="H1453" s="153" t="s">
        <v>10</v>
      </c>
    </row>
    <row r="1454" spans="1:8" x14ac:dyDescent="0.25">
      <c r="A1454" s="73">
        <v>44788</v>
      </c>
      <c r="B1454" s="74" t="s">
        <v>26166</v>
      </c>
      <c r="C1454" s="75" t="s">
        <v>179</v>
      </c>
      <c r="D1454" s="176">
        <v>2016</v>
      </c>
      <c r="E1454" s="151">
        <v>44788</v>
      </c>
      <c r="F1454" s="176">
        <v>2016</v>
      </c>
      <c r="G1454" s="177">
        <f>Tabla19[[#This Row],[Importe]]-Tabla19[[#This Row],[Pagado]]</f>
        <v>0</v>
      </c>
      <c r="H1454" s="75" t="s">
        <v>10</v>
      </c>
    </row>
    <row r="1455" spans="1:8" x14ac:dyDescent="0.25">
      <c r="A1455" s="148">
        <v>44788</v>
      </c>
      <c r="B1455" s="149" t="s">
        <v>26167</v>
      </c>
      <c r="C1455" s="153" t="s">
        <v>131</v>
      </c>
      <c r="D1455" s="178">
        <v>3960</v>
      </c>
      <c r="E1455" s="155">
        <v>44788</v>
      </c>
      <c r="F1455" s="178">
        <v>3960</v>
      </c>
      <c r="G1455" s="179">
        <f>Tabla19[[#This Row],[Importe]]-Tabla19[[#This Row],[Pagado]]</f>
        <v>0</v>
      </c>
      <c r="H1455" s="153" t="s">
        <v>10</v>
      </c>
    </row>
    <row r="1456" spans="1:8" x14ac:dyDescent="0.25">
      <c r="A1456" s="73">
        <v>44788</v>
      </c>
      <c r="B1456" s="74" t="s">
        <v>26168</v>
      </c>
      <c r="C1456" s="75" t="s">
        <v>1174</v>
      </c>
      <c r="D1456" s="176">
        <v>17609.2</v>
      </c>
      <c r="E1456" s="151">
        <v>44788</v>
      </c>
      <c r="F1456" s="176">
        <v>17609.2</v>
      </c>
      <c r="G1456" s="177">
        <f>Tabla19[[#This Row],[Importe]]-Tabla19[[#This Row],[Pagado]]</f>
        <v>0</v>
      </c>
      <c r="H1456" s="75" t="s">
        <v>10</v>
      </c>
    </row>
    <row r="1457" spans="1:8" x14ac:dyDescent="0.25">
      <c r="A1457" s="148">
        <v>44788</v>
      </c>
      <c r="B1457" s="149" t="s">
        <v>26169</v>
      </c>
      <c r="C1457" s="153" t="s">
        <v>142</v>
      </c>
      <c r="D1457" s="178">
        <v>120814.64</v>
      </c>
      <c r="E1457" s="155" t="s">
        <v>4813</v>
      </c>
      <c r="F1457" s="178">
        <v>0</v>
      </c>
      <c r="G1457" s="179">
        <f>Tabla19[[#This Row],[Importe]]-Tabla19[[#This Row],[Pagado]]</f>
        <v>120814.64</v>
      </c>
      <c r="H1457" s="153" t="s">
        <v>4814</v>
      </c>
    </row>
    <row r="1458" spans="1:8" x14ac:dyDescent="0.25">
      <c r="A1458" s="73">
        <v>44788</v>
      </c>
      <c r="B1458" s="74" t="s">
        <v>26170</v>
      </c>
      <c r="C1458" s="75" t="s">
        <v>10984</v>
      </c>
      <c r="D1458" s="176">
        <v>39000</v>
      </c>
      <c r="E1458" s="151">
        <v>44788</v>
      </c>
      <c r="F1458" s="176">
        <v>39000</v>
      </c>
      <c r="G1458" s="177">
        <f>Tabla19[[#This Row],[Importe]]-Tabla19[[#This Row],[Pagado]]</f>
        <v>0</v>
      </c>
      <c r="H1458" s="75" t="s">
        <v>10</v>
      </c>
    </row>
    <row r="1459" spans="1:8" x14ac:dyDescent="0.25">
      <c r="A1459" s="148">
        <v>44788</v>
      </c>
      <c r="B1459" s="149" t="s">
        <v>26171</v>
      </c>
      <c r="C1459" s="153" t="s">
        <v>14</v>
      </c>
      <c r="D1459" s="178">
        <v>25735.200000000001</v>
      </c>
      <c r="E1459" s="155">
        <v>44788</v>
      </c>
      <c r="F1459" s="178">
        <v>25735.200000000001</v>
      </c>
      <c r="G1459" s="179">
        <f>Tabla19[[#This Row],[Importe]]-Tabla19[[#This Row],[Pagado]]</f>
        <v>0</v>
      </c>
      <c r="H1459" s="153" t="s">
        <v>10</v>
      </c>
    </row>
    <row r="1460" spans="1:8" x14ac:dyDescent="0.25">
      <c r="A1460" s="73">
        <v>44788</v>
      </c>
      <c r="B1460" s="74" t="s">
        <v>26172</v>
      </c>
      <c r="C1460" s="75" t="s">
        <v>56</v>
      </c>
      <c r="D1460" s="176">
        <v>9109.7999999999993</v>
      </c>
      <c r="E1460" s="151">
        <v>44788</v>
      </c>
      <c r="F1460" s="176">
        <v>9109.7999999999993</v>
      </c>
      <c r="G1460" s="177">
        <f>Tabla19[[#This Row],[Importe]]-Tabla19[[#This Row],[Pagado]]</f>
        <v>0</v>
      </c>
      <c r="H1460" s="75" t="s">
        <v>10</v>
      </c>
    </row>
    <row r="1461" spans="1:8" x14ac:dyDescent="0.25">
      <c r="A1461" s="148">
        <v>44788</v>
      </c>
      <c r="B1461" s="149" t="s">
        <v>26173</v>
      </c>
      <c r="C1461" s="153" t="s">
        <v>3971</v>
      </c>
      <c r="D1461" s="178">
        <v>6327</v>
      </c>
      <c r="E1461" s="155">
        <v>44788</v>
      </c>
      <c r="F1461" s="178">
        <v>6327</v>
      </c>
      <c r="G1461" s="179">
        <f>Tabla19[[#This Row],[Importe]]-Tabla19[[#This Row],[Pagado]]</f>
        <v>0</v>
      </c>
      <c r="H1461" s="153" t="s">
        <v>10</v>
      </c>
    </row>
    <row r="1462" spans="1:8" x14ac:dyDescent="0.25">
      <c r="A1462" s="73">
        <v>44788</v>
      </c>
      <c r="B1462" s="74" t="s">
        <v>26174</v>
      </c>
      <c r="C1462" s="75" t="s">
        <v>359</v>
      </c>
      <c r="D1462" s="176">
        <v>2277.6999999999998</v>
      </c>
      <c r="E1462" s="151">
        <v>44788</v>
      </c>
      <c r="F1462" s="176">
        <v>2277.6999999999998</v>
      </c>
      <c r="G1462" s="177">
        <f>Tabla19[[#This Row],[Importe]]-Tabla19[[#This Row],[Pagado]]</f>
        <v>0</v>
      </c>
      <c r="H1462" s="75" t="s">
        <v>10</v>
      </c>
    </row>
    <row r="1463" spans="1:8" x14ac:dyDescent="0.25">
      <c r="A1463" s="148">
        <v>44788</v>
      </c>
      <c r="B1463" s="149" t="s">
        <v>26175</v>
      </c>
      <c r="C1463" s="153" t="s">
        <v>181</v>
      </c>
      <c r="D1463" s="178">
        <v>13054.6</v>
      </c>
      <c r="E1463" s="155">
        <v>44788</v>
      </c>
      <c r="F1463" s="178">
        <v>13054.6</v>
      </c>
      <c r="G1463" s="179">
        <f>Tabla19[[#This Row],[Importe]]-Tabla19[[#This Row],[Pagado]]</f>
        <v>0</v>
      </c>
      <c r="H1463" s="153" t="s">
        <v>10</v>
      </c>
    </row>
    <row r="1464" spans="1:8" x14ac:dyDescent="0.25">
      <c r="A1464" s="73">
        <v>44788</v>
      </c>
      <c r="B1464" s="74" t="s">
        <v>26176</v>
      </c>
      <c r="C1464" s="75" t="s">
        <v>181</v>
      </c>
      <c r="D1464" s="176">
        <v>550.4</v>
      </c>
      <c r="E1464" s="151">
        <v>44788</v>
      </c>
      <c r="F1464" s="176">
        <v>550.4</v>
      </c>
      <c r="G1464" s="177">
        <f>Tabla19[[#This Row],[Importe]]-Tabla19[[#This Row],[Pagado]]</f>
        <v>0</v>
      </c>
      <c r="H1464" s="75" t="s">
        <v>10</v>
      </c>
    </row>
    <row r="1465" spans="1:8" x14ac:dyDescent="0.25">
      <c r="A1465" s="148">
        <v>44788</v>
      </c>
      <c r="B1465" s="149" t="s">
        <v>26177</v>
      </c>
      <c r="C1465" s="153" t="s">
        <v>426</v>
      </c>
      <c r="D1465" s="178">
        <v>10302</v>
      </c>
      <c r="E1465" s="155">
        <v>44788</v>
      </c>
      <c r="F1465" s="178">
        <v>10302</v>
      </c>
      <c r="G1465" s="179">
        <f>Tabla19[[#This Row],[Importe]]-Tabla19[[#This Row],[Pagado]]</f>
        <v>0</v>
      </c>
      <c r="H1465" s="153" t="s">
        <v>10</v>
      </c>
    </row>
    <row r="1466" spans="1:8" x14ac:dyDescent="0.25">
      <c r="A1466" s="73">
        <v>44788</v>
      </c>
      <c r="B1466" s="74" t="s">
        <v>26178</v>
      </c>
      <c r="C1466" s="75" t="s">
        <v>12</v>
      </c>
      <c r="D1466" s="176">
        <v>383.5</v>
      </c>
      <c r="E1466" s="151">
        <v>44788</v>
      </c>
      <c r="F1466" s="176">
        <v>383.5</v>
      </c>
      <c r="G1466" s="177">
        <f>Tabla19[[#This Row],[Importe]]-Tabla19[[#This Row],[Pagado]]</f>
        <v>0</v>
      </c>
      <c r="H1466" s="75" t="s">
        <v>10</v>
      </c>
    </row>
    <row r="1467" spans="1:8" x14ac:dyDescent="0.25">
      <c r="A1467" s="148">
        <v>44788</v>
      </c>
      <c r="B1467" s="149" t="s">
        <v>26179</v>
      </c>
      <c r="C1467" s="153" t="s">
        <v>222</v>
      </c>
      <c r="D1467" s="178">
        <v>14427.2</v>
      </c>
      <c r="E1467" s="155">
        <v>44788</v>
      </c>
      <c r="F1467" s="178">
        <v>14427.2</v>
      </c>
      <c r="G1467" s="179">
        <f>Tabla19[[#This Row],[Importe]]-Tabla19[[#This Row],[Pagado]]</f>
        <v>0</v>
      </c>
      <c r="H1467" s="153" t="s">
        <v>10</v>
      </c>
    </row>
    <row r="1468" spans="1:8" x14ac:dyDescent="0.25">
      <c r="A1468" s="73">
        <v>44788</v>
      </c>
      <c r="B1468" s="74" t="s">
        <v>26180</v>
      </c>
      <c r="C1468" s="75" t="s">
        <v>175</v>
      </c>
      <c r="D1468" s="176">
        <v>16131</v>
      </c>
      <c r="E1468" s="151">
        <v>44788</v>
      </c>
      <c r="F1468" s="176">
        <v>16131</v>
      </c>
      <c r="G1468" s="177">
        <f>Tabla19[[#This Row],[Importe]]-Tabla19[[#This Row],[Pagado]]</f>
        <v>0</v>
      </c>
      <c r="H1468" s="75" t="s">
        <v>10</v>
      </c>
    </row>
    <row r="1469" spans="1:8" x14ac:dyDescent="0.25">
      <c r="A1469" s="148">
        <v>44788</v>
      </c>
      <c r="B1469" s="149" t="s">
        <v>26181</v>
      </c>
      <c r="C1469" s="153" t="s">
        <v>25432</v>
      </c>
      <c r="D1469" s="178">
        <v>0</v>
      </c>
      <c r="E1469" s="158" t="s">
        <v>189</v>
      </c>
      <c r="F1469" s="178">
        <v>0</v>
      </c>
      <c r="G1469" s="179">
        <f>Tabla19[[#This Row],[Importe]]-Tabla19[[#This Row],[Pagado]]</f>
        <v>0</v>
      </c>
      <c r="H1469" s="159" t="s">
        <v>26182</v>
      </c>
    </row>
    <row r="1470" spans="1:8" x14ac:dyDescent="0.25">
      <c r="A1470" s="73">
        <v>44788</v>
      </c>
      <c r="B1470" s="74" t="s">
        <v>26183</v>
      </c>
      <c r="C1470" s="75" t="s">
        <v>442</v>
      </c>
      <c r="D1470" s="176">
        <v>8290.7999999999993</v>
      </c>
      <c r="E1470" s="151">
        <v>44788</v>
      </c>
      <c r="F1470" s="176">
        <v>8290.7999999999993</v>
      </c>
      <c r="G1470" s="177">
        <f>Tabla19[[#This Row],[Importe]]-Tabla19[[#This Row],[Pagado]]</f>
        <v>0</v>
      </c>
      <c r="H1470" s="75" t="s">
        <v>10</v>
      </c>
    </row>
    <row r="1471" spans="1:8" x14ac:dyDescent="0.25">
      <c r="A1471" s="148">
        <v>44788</v>
      </c>
      <c r="B1471" s="149" t="s">
        <v>26184</v>
      </c>
      <c r="C1471" s="153" t="s">
        <v>144</v>
      </c>
      <c r="D1471" s="178">
        <v>2934</v>
      </c>
      <c r="E1471" s="155">
        <v>44789</v>
      </c>
      <c r="F1471" s="178">
        <v>2934</v>
      </c>
      <c r="G1471" s="179">
        <f>Tabla19[[#This Row],[Importe]]-Tabla19[[#This Row],[Pagado]]</f>
        <v>0</v>
      </c>
      <c r="H1471" s="153" t="s">
        <v>10</v>
      </c>
    </row>
    <row r="1472" spans="1:8" x14ac:dyDescent="0.25">
      <c r="A1472" s="73">
        <v>44788</v>
      </c>
      <c r="B1472" s="74" t="s">
        <v>26185</v>
      </c>
      <c r="C1472" s="75" t="s">
        <v>1378</v>
      </c>
      <c r="D1472" s="176">
        <v>81324</v>
      </c>
      <c r="E1472" s="151">
        <v>44789</v>
      </c>
      <c r="F1472" s="176">
        <v>81324</v>
      </c>
      <c r="G1472" s="177">
        <f>Tabla19[[#This Row],[Importe]]-Tabla19[[#This Row],[Pagado]]</f>
        <v>0</v>
      </c>
      <c r="H1472" s="75" t="s">
        <v>10</v>
      </c>
    </row>
    <row r="1473" spans="1:8" x14ac:dyDescent="0.25">
      <c r="A1473" s="148">
        <v>44788</v>
      </c>
      <c r="B1473" s="149" t="s">
        <v>26186</v>
      </c>
      <c r="C1473" s="153" t="s">
        <v>146</v>
      </c>
      <c r="D1473" s="178">
        <v>4618.2</v>
      </c>
      <c r="E1473" s="155">
        <v>44789</v>
      </c>
      <c r="F1473" s="178">
        <v>4618.2</v>
      </c>
      <c r="G1473" s="179">
        <f>Tabla19[[#This Row],[Importe]]-Tabla19[[#This Row],[Pagado]]</f>
        <v>0</v>
      </c>
      <c r="H1473" s="153" t="s">
        <v>10</v>
      </c>
    </row>
    <row r="1474" spans="1:8" x14ac:dyDescent="0.25">
      <c r="A1474" s="73">
        <v>44788</v>
      </c>
      <c r="B1474" s="74" t="s">
        <v>26187</v>
      </c>
      <c r="C1474" s="75" t="s">
        <v>240</v>
      </c>
      <c r="D1474" s="176">
        <v>13752</v>
      </c>
      <c r="E1474" s="151">
        <v>44788</v>
      </c>
      <c r="F1474" s="176">
        <v>13752</v>
      </c>
      <c r="G1474" s="177">
        <f>Tabla19[[#This Row],[Importe]]-Tabla19[[#This Row],[Pagado]]</f>
        <v>0</v>
      </c>
      <c r="H1474" s="75" t="s">
        <v>10</v>
      </c>
    </row>
    <row r="1475" spans="1:8" x14ac:dyDescent="0.25">
      <c r="A1475" s="148">
        <v>44788</v>
      </c>
      <c r="B1475" s="149" t="s">
        <v>26188</v>
      </c>
      <c r="C1475" s="153" t="s">
        <v>107</v>
      </c>
      <c r="D1475" s="178">
        <v>16832.5</v>
      </c>
      <c r="E1475" s="155">
        <v>44789</v>
      </c>
      <c r="F1475" s="178">
        <v>16832.5</v>
      </c>
      <c r="G1475" s="179">
        <f>Tabla19[[#This Row],[Importe]]-Tabla19[[#This Row],[Pagado]]</f>
        <v>0</v>
      </c>
      <c r="H1475" s="153" t="s">
        <v>10</v>
      </c>
    </row>
    <row r="1476" spans="1:8" x14ac:dyDescent="0.25">
      <c r="A1476" s="73">
        <v>44788</v>
      </c>
      <c r="B1476" s="74" t="s">
        <v>26189</v>
      </c>
      <c r="C1476" s="75" t="s">
        <v>140</v>
      </c>
      <c r="D1476" s="176">
        <v>4185</v>
      </c>
      <c r="E1476" s="151">
        <v>44789</v>
      </c>
      <c r="F1476" s="176">
        <v>4185</v>
      </c>
      <c r="G1476" s="177">
        <f>Tabla19[[#This Row],[Importe]]-Tabla19[[#This Row],[Pagado]]</f>
        <v>0</v>
      </c>
      <c r="H1476" s="75" t="s">
        <v>10</v>
      </c>
    </row>
    <row r="1477" spans="1:8" x14ac:dyDescent="0.25">
      <c r="A1477" s="148">
        <v>44788</v>
      </c>
      <c r="B1477" s="149" t="s">
        <v>26190</v>
      </c>
      <c r="C1477" s="153" t="s">
        <v>357</v>
      </c>
      <c r="D1477" s="178">
        <v>1698</v>
      </c>
      <c r="E1477" s="155">
        <v>44789</v>
      </c>
      <c r="F1477" s="178">
        <v>1698</v>
      </c>
      <c r="G1477" s="179">
        <f>Tabla19[[#This Row],[Importe]]-Tabla19[[#This Row],[Pagado]]</f>
        <v>0</v>
      </c>
      <c r="H1477" s="153" t="s">
        <v>10</v>
      </c>
    </row>
    <row r="1478" spans="1:8" x14ac:dyDescent="0.25">
      <c r="A1478" s="73">
        <v>44788</v>
      </c>
      <c r="B1478" s="74" t="s">
        <v>26191</v>
      </c>
      <c r="C1478" s="75" t="s">
        <v>333</v>
      </c>
      <c r="D1478" s="176">
        <v>1537.2</v>
      </c>
      <c r="E1478" s="151">
        <v>44789</v>
      </c>
      <c r="F1478" s="176">
        <v>1537.2</v>
      </c>
      <c r="G1478" s="177">
        <f>Tabla19[[#This Row],[Importe]]-Tabla19[[#This Row],[Pagado]]</f>
        <v>0</v>
      </c>
      <c r="H1478" s="75" t="s">
        <v>10</v>
      </c>
    </row>
    <row r="1479" spans="1:8" x14ac:dyDescent="0.25">
      <c r="A1479" s="148">
        <v>44788</v>
      </c>
      <c r="B1479" s="149" t="s">
        <v>26192</v>
      </c>
      <c r="C1479" s="153" t="s">
        <v>214</v>
      </c>
      <c r="D1479" s="178">
        <v>12821</v>
      </c>
      <c r="E1479" s="155">
        <v>44789</v>
      </c>
      <c r="F1479" s="178">
        <v>12821</v>
      </c>
      <c r="G1479" s="179">
        <f>Tabla19[[#This Row],[Importe]]-Tabla19[[#This Row],[Pagado]]</f>
        <v>0</v>
      </c>
      <c r="H1479" s="153" t="s">
        <v>10</v>
      </c>
    </row>
    <row r="1480" spans="1:8" x14ac:dyDescent="0.25">
      <c r="A1480" s="73">
        <v>44788</v>
      </c>
      <c r="B1480" s="74" t="s">
        <v>26193</v>
      </c>
      <c r="C1480" s="75" t="s">
        <v>107</v>
      </c>
      <c r="D1480" s="176">
        <v>442.8</v>
      </c>
      <c r="E1480" s="151">
        <v>44789</v>
      </c>
      <c r="F1480" s="176">
        <v>442.8</v>
      </c>
      <c r="G1480" s="177">
        <f>Tabla19[[#This Row],[Importe]]-Tabla19[[#This Row],[Pagado]]</f>
        <v>0</v>
      </c>
      <c r="H1480" s="75" t="s">
        <v>10</v>
      </c>
    </row>
    <row r="1481" spans="1:8" x14ac:dyDescent="0.25">
      <c r="A1481" s="148">
        <v>44788</v>
      </c>
      <c r="B1481" s="149" t="s">
        <v>26194</v>
      </c>
      <c r="C1481" s="153" t="s">
        <v>129</v>
      </c>
      <c r="D1481" s="178">
        <v>2658.8</v>
      </c>
      <c r="E1481" s="155">
        <v>44789</v>
      </c>
      <c r="F1481" s="178">
        <v>2658.8</v>
      </c>
      <c r="G1481" s="179">
        <f>Tabla19[[#This Row],[Importe]]-Tabla19[[#This Row],[Pagado]]</f>
        <v>0</v>
      </c>
      <c r="H1481" s="153" t="s">
        <v>10</v>
      </c>
    </row>
    <row r="1482" spans="1:8" x14ac:dyDescent="0.25">
      <c r="A1482" s="73">
        <v>44788</v>
      </c>
      <c r="B1482" s="74" t="s">
        <v>26195</v>
      </c>
      <c r="C1482" s="75" t="s">
        <v>224</v>
      </c>
      <c r="D1482" s="176">
        <v>13632</v>
      </c>
      <c r="E1482" s="151">
        <v>44802</v>
      </c>
      <c r="F1482" s="176">
        <v>13632</v>
      </c>
      <c r="G1482" s="177">
        <f>Tabla19[[#This Row],[Importe]]-Tabla19[[#This Row],[Pagado]]</f>
        <v>0</v>
      </c>
      <c r="H1482" s="75" t="s">
        <v>10</v>
      </c>
    </row>
    <row r="1483" spans="1:8" x14ac:dyDescent="0.25">
      <c r="A1483" s="148">
        <v>44788</v>
      </c>
      <c r="B1483" s="149" t="s">
        <v>26196</v>
      </c>
      <c r="C1483" s="153" t="s">
        <v>291</v>
      </c>
      <c r="D1483" s="178">
        <v>3144</v>
      </c>
      <c r="E1483" s="155">
        <v>44789</v>
      </c>
      <c r="F1483" s="178">
        <v>3144</v>
      </c>
      <c r="G1483" s="179">
        <f>Tabla19[[#This Row],[Importe]]-Tabla19[[#This Row],[Pagado]]</f>
        <v>0</v>
      </c>
      <c r="H1483" s="153" t="s">
        <v>10</v>
      </c>
    </row>
    <row r="1484" spans="1:8" x14ac:dyDescent="0.25">
      <c r="A1484" s="73">
        <v>44788</v>
      </c>
      <c r="B1484" s="74" t="s">
        <v>26197</v>
      </c>
      <c r="C1484" s="75" t="s">
        <v>127</v>
      </c>
      <c r="D1484" s="176">
        <v>5713.8</v>
      </c>
      <c r="E1484" s="151">
        <v>44789</v>
      </c>
      <c r="F1484" s="176">
        <v>5713.8</v>
      </c>
      <c r="G1484" s="177">
        <f>Tabla19[[#This Row],[Importe]]-Tabla19[[#This Row],[Pagado]]</f>
        <v>0</v>
      </c>
      <c r="H1484" s="75" t="s">
        <v>10</v>
      </c>
    </row>
    <row r="1485" spans="1:8" x14ac:dyDescent="0.25">
      <c r="A1485" s="148">
        <v>44788</v>
      </c>
      <c r="B1485" s="149" t="s">
        <v>26198</v>
      </c>
      <c r="C1485" s="153" t="s">
        <v>312</v>
      </c>
      <c r="D1485" s="178">
        <v>1415.2</v>
      </c>
      <c r="E1485" s="155">
        <v>44788</v>
      </c>
      <c r="F1485" s="178">
        <v>1415.2</v>
      </c>
      <c r="G1485" s="179">
        <f>Tabla19[[#This Row],[Importe]]-Tabla19[[#This Row],[Pagado]]</f>
        <v>0</v>
      </c>
      <c r="H1485" s="153" t="s">
        <v>10</v>
      </c>
    </row>
    <row r="1486" spans="1:8" x14ac:dyDescent="0.25">
      <c r="A1486" s="73">
        <v>44788</v>
      </c>
      <c r="B1486" s="74" t="s">
        <v>26199</v>
      </c>
      <c r="C1486" s="75" t="s">
        <v>289</v>
      </c>
      <c r="D1486" s="176">
        <v>15456</v>
      </c>
      <c r="E1486" s="151">
        <v>44788</v>
      </c>
      <c r="F1486" s="176">
        <v>15456</v>
      </c>
      <c r="G1486" s="177">
        <f>Tabla19[[#This Row],[Importe]]-Tabla19[[#This Row],[Pagado]]</f>
        <v>0</v>
      </c>
      <c r="H1486" s="75" t="s">
        <v>10</v>
      </c>
    </row>
    <row r="1487" spans="1:8" x14ac:dyDescent="0.25">
      <c r="A1487" s="148">
        <v>44788</v>
      </c>
      <c r="B1487" s="149" t="s">
        <v>26200</v>
      </c>
      <c r="C1487" s="153" t="s">
        <v>414</v>
      </c>
      <c r="D1487" s="178">
        <v>25620</v>
      </c>
      <c r="E1487" s="155">
        <v>44791</v>
      </c>
      <c r="F1487" s="178">
        <v>25620</v>
      </c>
      <c r="G1487" s="179">
        <f>Tabla19[[#This Row],[Importe]]-Tabla19[[#This Row],[Pagado]]</f>
        <v>0</v>
      </c>
      <c r="H1487" s="153" t="s">
        <v>10</v>
      </c>
    </row>
    <row r="1488" spans="1:8" ht="31.5" x14ac:dyDescent="0.25">
      <c r="A1488" s="73">
        <v>44788</v>
      </c>
      <c r="B1488" s="74" t="s">
        <v>26201</v>
      </c>
      <c r="C1488" s="181" t="s">
        <v>6106</v>
      </c>
      <c r="D1488" s="176">
        <v>0</v>
      </c>
      <c r="E1488" s="157" t="s">
        <v>189</v>
      </c>
      <c r="F1488" s="176">
        <v>0</v>
      </c>
      <c r="G1488" s="177">
        <f>Tabla19[[#This Row],[Importe]]-Tabla19[[#This Row],[Pagado]]</f>
        <v>0</v>
      </c>
      <c r="H1488" s="161" t="s">
        <v>26202</v>
      </c>
    </row>
    <row r="1489" spans="1:8" x14ac:dyDescent="0.25">
      <c r="A1489" s="148">
        <v>44788</v>
      </c>
      <c r="B1489" s="149" t="s">
        <v>26203</v>
      </c>
      <c r="C1489" s="153" t="s">
        <v>698</v>
      </c>
      <c r="D1489" s="178">
        <v>7459.6</v>
      </c>
      <c r="E1489" s="155">
        <v>44788</v>
      </c>
      <c r="F1489" s="178">
        <v>7459.6</v>
      </c>
      <c r="G1489" s="179">
        <f>Tabla19[[#This Row],[Importe]]-Tabla19[[#This Row],[Pagado]]</f>
        <v>0</v>
      </c>
      <c r="H1489" s="153" t="s">
        <v>10</v>
      </c>
    </row>
    <row r="1490" spans="1:8" x14ac:dyDescent="0.25">
      <c r="A1490" s="73">
        <v>44788</v>
      </c>
      <c r="B1490" s="74" t="s">
        <v>26204</v>
      </c>
      <c r="C1490" s="75" t="s">
        <v>67</v>
      </c>
      <c r="D1490" s="176">
        <v>2855.2</v>
      </c>
      <c r="E1490" s="151">
        <v>44788</v>
      </c>
      <c r="F1490" s="176">
        <v>2855.2</v>
      </c>
      <c r="G1490" s="177">
        <f>Tabla19[[#This Row],[Importe]]-Tabla19[[#This Row],[Pagado]]</f>
        <v>0</v>
      </c>
      <c r="H1490" s="75" t="s">
        <v>10</v>
      </c>
    </row>
    <row r="1491" spans="1:8" x14ac:dyDescent="0.25">
      <c r="A1491" s="148">
        <v>44788</v>
      </c>
      <c r="B1491" s="149" t="s">
        <v>26205</v>
      </c>
      <c r="C1491" s="153" t="s">
        <v>419</v>
      </c>
      <c r="D1491" s="178">
        <v>8226.6</v>
      </c>
      <c r="E1491" s="155">
        <v>44788</v>
      </c>
      <c r="F1491" s="178">
        <v>8226.6</v>
      </c>
      <c r="G1491" s="179">
        <f>Tabla19[[#This Row],[Importe]]-Tabla19[[#This Row],[Pagado]]</f>
        <v>0</v>
      </c>
      <c r="H1491" s="153" t="s">
        <v>10</v>
      </c>
    </row>
    <row r="1492" spans="1:8" x14ac:dyDescent="0.25">
      <c r="A1492" s="73">
        <v>44788</v>
      </c>
      <c r="B1492" s="74" t="s">
        <v>26206</v>
      </c>
      <c r="C1492" s="75" t="s">
        <v>214</v>
      </c>
      <c r="D1492" s="176">
        <v>1419.6</v>
      </c>
      <c r="E1492" s="151">
        <v>44788</v>
      </c>
      <c r="F1492" s="176">
        <v>1419.6</v>
      </c>
      <c r="G1492" s="177">
        <f>Tabla19[[#This Row],[Importe]]-Tabla19[[#This Row],[Pagado]]</f>
        <v>0</v>
      </c>
      <c r="H1492" s="75" t="s">
        <v>10</v>
      </c>
    </row>
    <row r="1493" spans="1:8" x14ac:dyDescent="0.25">
      <c r="A1493" s="148">
        <v>44788</v>
      </c>
      <c r="B1493" s="149" t="s">
        <v>26207</v>
      </c>
      <c r="C1493" s="153" t="s">
        <v>69</v>
      </c>
      <c r="D1493" s="178">
        <v>1360.8</v>
      </c>
      <c r="E1493" s="155">
        <v>44788</v>
      </c>
      <c r="F1493" s="178">
        <v>1360.8</v>
      </c>
      <c r="G1493" s="179">
        <f>Tabla19[[#This Row],[Importe]]-Tabla19[[#This Row],[Pagado]]</f>
        <v>0</v>
      </c>
      <c r="H1493" s="153" t="s">
        <v>10</v>
      </c>
    </row>
    <row r="1494" spans="1:8" x14ac:dyDescent="0.25">
      <c r="A1494" s="73">
        <v>44788</v>
      </c>
      <c r="B1494" s="74" t="s">
        <v>26208</v>
      </c>
      <c r="C1494" s="75" t="s">
        <v>9</v>
      </c>
      <c r="D1494" s="176">
        <v>1467.9</v>
      </c>
      <c r="E1494" s="151">
        <v>44788</v>
      </c>
      <c r="F1494" s="176">
        <v>1467.9</v>
      </c>
      <c r="G1494" s="177">
        <f>Tabla19[[#This Row],[Importe]]-Tabla19[[#This Row],[Pagado]]</f>
        <v>0</v>
      </c>
      <c r="H1494" s="75" t="s">
        <v>10</v>
      </c>
    </row>
    <row r="1495" spans="1:8" x14ac:dyDescent="0.25">
      <c r="A1495" s="148">
        <v>44788</v>
      </c>
      <c r="B1495" s="149" t="s">
        <v>26209</v>
      </c>
      <c r="C1495" s="153" t="s">
        <v>421</v>
      </c>
      <c r="D1495" s="178">
        <v>6925.9</v>
      </c>
      <c r="E1495" s="155">
        <v>44788</v>
      </c>
      <c r="F1495" s="178">
        <v>6925.9</v>
      </c>
      <c r="G1495" s="179">
        <f>Tabla19[[#This Row],[Importe]]-Tabla19[[#This Row],[Pagado]]</f>
        <v>0</v>
      </c>
      <c r="H1495" s="153" t="s">
        <v>10</v>
      </c>
    </row>
    <row r="1496" spans="1:8" x14ac:dyDescent="0.25">
      <c r="A1496" s="73">
        <v>44788</v>
      </c>
      <c r="B1496" s="74" t="s">
        <v>26210</v>
      </c>
      <c r="C1496" s="75" t="s">
        <v>296</v>
      </c>
      <c r="D1496" s="176">
        <v>2023.2</v>
      </c>
      <c r="E1496" s="151">
        <v>44788</v>
      </c>
      <c r="F1496" s="176">
        <v>2023.2</v>
      </c>
      <c r="G1496" s="177">
        <f>Tabla19[[#This Row],[Importe]]-Tabla19[[#This Row],[Pagado]]</f>
        <v>0</v>
      </c>
      <c r="H1496" s="75" t="s">
        <v>10</v>
      </c>
    </row>
    <row r="1497" spans="1:8" x14ac:dyDescent="0.25">
      <c r="A1497" s="148">
        <v>44788</v>
      </c>
      <c r="B1497" s="149" t="s">
        <v>26211</v>
      </c>
      <c r="C1497" s="153" t="s">
        <v>53</v>
      </c>
      <c r="D1497" s="178">
        <v>722.5</v>
      </c>
      <c r="E1497" s="155">
        <v>44788</v>
      </c>
      <c r="F1497" s="178">
        <v>722.5</v>
      </c>
      <c r="G1497" s="179">
        <f>Tabla19[[#This Row],[Importe]]-Tabla19[[#This Row],[Pagado]]</f>
        <v>0</v>
      </c>
      <c r="H1497" s="153" t="s">
        <v>10</v>
      </c>
    </row>
    <row r="1498" spans="1:8" x14ac:dyDescent="0.25">
      <c r="A1498" s="73">
        <v>44788</v>
      </c>
      <c r="B1498" s="74" t="s">
        <v>26212</v>
      </c>
      <c r="C1498" s="75" t="s">
        <v>31</v>
      </c>
      <c r="D1498" s="176">
        <v>5994</v>
      </c>
      <c r="E1498" s="151">
        <v>44788</v>
      </c>
      <c r="F1498" s="176">
        <v>5994</v>
      </c>
      <c r="G1498" s="177">
        <f>Tabla19[[#This Row],[Importe]]-Tabla19[[#This Row],[Pagado]]</f>
        <v>0</v>
      </c>
      <c r="H1498" s="75" t="s">
        <v>10</v>
      </c>
    </row>
    <row r="1499" spans="1:8" x14ac:dyDescent="0.25">
      <c r="A1499" s="148">
        <v>44788</v>
      </c>
      <c r="B1499" s="149" t="s">
        <v>26213</v>
      </c>
      <c r="C1499" s="153" t="s">
        <v>9827</v>
      </c>
      <c r="D1499" s="178">
        <v>4452</v>
      </c>
      <c r="E1499" s="155">
        <v>44788</v>
      </c>
      <c r="F1499" s="178">
        <v>4452</v>
      </c>
      <c r="G1499" s="179">
        <f>Tabla19[[#This Row],[Importe]]-Tabla19[[#This Row],[Pagado]]</f>
        <v>0</v>
      </c>
      <c r="H1499" s="153" t="s">
        <v>10</v>
      </c>
    </row>
    <row r="1500" spans="1:8" x14ac:dyDescent="0.25">
      <c r="A1500" s="73">
        <v>44788</v>
      </c>
      <c r="B1500" s="74" t="s">
        <v>26214</v>
      </c>
      <c r="C1500" s="75" t="s">
        <v>135</v>
      </c>
      <c r="D1500" s="176">
        <v>2403.3000000000002</v>
      </c>
      <c r="E1500" s="151">
        <v>44789</v>
      </c>
      <c r="F1500" s="176">
        <v>2403.3000000000002</v>
      </c>
      <c r="G1500" s="177">
        <f>Tabla19[[#This Row],[Importe]]-Tabla19[[#This Row],[Pagado]]</f>
        <v>0</v>
      </c>
      <c r="H1500" s="75" t="s">
        <v>10</v>
      </c>
    </row>
    <row r="1501" spans="1:8" x14ac:dyDescent="0.25">
      <c r="A1501" s="148">
        <v>44788</v>
      </c>
      <c r="B1501" s="149" t="s">
        <v>26215</v>
      </c>
      <c r="C1501" s="153" t="s">
        <v>280</v>
      </c>
      <c r="D1501" s="178">
        <v>873.6</v>
      </c>
      <c r="E1501" s="155">
        <v>44789</v>
      </c>
      <c r="F1501" s="178">
        <v>873.6</v>
      </c>
      <c r="G1501" s="179">
        <f>Tabla19[[#This Row],[Importe]]-Tabla19[[#This Row],[Pagado]]</f>
        <v>0</v>
      </c>
      <c r="H1501" s="153" t="s">
        <v>10</v>
      </c>
    </row>
    <row r="1502" spans="1:8" x14ac:dyDescent="0.25">
      <c r="A1502" s="73">
        <v>44788</v>
      </c>
      <c r="B1502" s="74" t="s">
        <v>26216</v>
      </c>
      <c r="C1502" s="75" t="s">
        <v>10819</v>
      </c>
      <c r="D1502" s="176">
        <v>1537.2</v>
      </c>
      <c r="E1502" s="151">
        <v>44789</v>
      </c>
      <c r="F1502" s="176">
        <v>1537.2</v>
      </c>
      <c r="G1502" s="177">
        <f>Tabla19[[#This Row],[Importe]]-Tabla19[[#This Row],[Pagado]]</f>
        <v>0</v>
      </c>
      <c r="H1502" s="75" t="s">
        <v>10</v>
      </c>
    </row>
    <row r="1503" spans="1:8" x14ac:dyDescent="0.25">
      <c r="A1503" s="148">
        <v>44788</v>
      </c>
      <c r="B1503" s="149" t="s">
        <v>26217</v>
      </c>
      <c r="C1503" s="153" t="s">
        <v>191</v>
      </c>
      <c r="D1503" s="178">
        <v>732.6</v>
      </c>
      <c r="E1503" s="155">
        <v>44788</v>
      </c>
      <c r="F1503" s="178">
        <v>732.6</v>
      </c>
      <c r="G1503" s="179">
        <f>Tabla19[[#This Row],[Importe]]-Tabla19[[#This Row],[Pagado]]</f>
        <v>0</v>
      </c>
      <c r="H1503" s="153" t="s">
        <v>10</v>
      </c>
    </row>
    <row r="1504" spans="1:8" x14ac:dyDescent="0.25">
      <c r="A1504" s="73">
        <v>44788</v>
      </c>
      <c r="B1504" s="74" t="s">
        <v>26218</v>
      </c>
      <c r="C1504" s="75" t="s">
        <v>10313</v>
      </c>
      <c r="D1504" s="176">
        <v>3864.8</v>
      </c>
      <c r="E1504" s="151">
        <v>44788</v>
      </c>
      <c r="F1504" s="176">
        <v>3864.8</v>
      </c>
      <c r="G1504" s="177">
        <f>Tabla19[[#This Row],[Importe]]-Tabla19[[#This Row],[Pagado]]</f>
        <v>0</v>
      </c>
      <c r="H1504" s="75" t="s">
        <v>10</v>
      </c>
    </row>
    <row r="1505" spans="1:8" x14ac:dyDescent="0.25">
      <c r="A1505" s="148">
        <v>44788</v>
      </c>
      <c r="B1505" s="149" t="s">
        <v>26219</v>
      </c>
      <c r="C1505" s="153" t="s">
        <v>296</v>
      </c>
      <c r="D1505" s="178">
        <v>1462</v>
      </c>
      <c r="E1505" s="155">
        <v>44788</v>
      </c>
      <c r="F1505" s="178">
        <v>1462</v>
      </c>
      <c r="G1505" s="179">
        <f>Tabla19[[#This Row],[Importe]]-Tabla19[[#This Row],[Pagado]]</f>
        <v>0</v>
      </c>
      <c r="H1505" s="153" t="s">
        <v>10</v>
      </c>
    </row>
    <row r="1506" spans="1:8" x14ac:dyDescent="0.25">
      <c r="A1506" s="73">
        <v>44788</v>
      </c>
      <c r="B1506" s="74" t="s">
        <v>26220</v>
      </c>
      <c r="C1506" s="75" t="s">
        <v>414</v>
      </c>
      <c r="D1506" s="176">
        <v>268762.5</v>
      </c>
      <c r="E1506" s="151" t="s">
        <v>26221</v>
      </c>
      <c r="F1506" s="176">
        <v>268762.5</v>
      </c>
      <c r="G1506" s="177">
        <f>Tabla19[[#This Row],[Importe]]-Tabla19[[#This Row],[Pagado]]</f>
        <v>0</v>
      </c>
      <c r="H1506" s="75" t="s">
        <v>10</v>
      </c>
    </row>
    <row r="1507" spans="1:8" x14ac:dyDescent="0.25">
      <c r="A1507" s="148">
        <v>44788</v>
      </c>
      <c r="B1507" s="149" t="s">
        <v>26222</v>
      </c>
      <c r="C1507" s="153" t="s">
        <v>18363</v>
      </c>
      <c r="D1507" s="178">
        <v>4565.8</v>
      </c>
      <c r="E1507" s="155">
        <v>44788</v>
      </c>
      <c r="F1507" s="178">
        <v>4565.8</v>
      </c>
      <c r="G1507" s="179">
        <f>Tabla19[[#This Row],[Importe]]-Tabla19[[#This Row],[Pagado]]</f>
        <v>0</v>
      </c>
      <c r="H1507" s="153" t="s">
        <v>10</v>
      </c>
    </row>
    <row r="1508" spans="1:8" x14ac:dyDescent="0.25">
      <c r="A1508" s="73">
        <v>44788</v>
      </c>
      <c r="B1508" s="74" t="s">
        <v>26223</v>
      </c>
      <c r="C1508" s="75" t="s">
        <v>31</v>
      </c>
      <c r="D1508" s="176">
        <v>193.6</v>
      </c>
      <c r="E1508" s="151">
        <v>44788</v>
      </c>
      <c r="F1508" s="176">
        <v>193.6</v>
      </c>
      <c r="G1508" s="177">
        <f>Tabla19[[#This Row],[Importe]]-Tabla19[[#This Row],[Pagado]]</f>
        <v>0</v>
      </c>
      <c r="H1508" s="75" t="s">
        <v>10</v>
      </c>
    </row>
    <row r="1509" spans="1:8" x14ac:dyDescent="0.25">
      <c r="A1509" s="148">
        <v>44788</v>
      </c>
      <c r="B1509" s="149" t="s">
        <v>26224</v>
      </c>
      <c r="C1509" s="153" t="s">
        <v>31</v>
      </c>
      <c r="D1509" s="178">
        <v>546</v>
      </c>
      <c r="E1509" s="155">
        <v>44788</v>
      </c>
      <c r="F1509" s="178">
        <v>546</v>
      </c>
      <c r="G1509" s="179">
        <f>Tabla19[[#This Row],[Importe]]-Tabla19[[#This Row],[Pagado]]</f>
        <v>0</v>
      </c>
      <c r="H1509" s="153" t="s">
        <v>10</v>
      </c>
    </row>
    <row r="1510" spans="1:8" x14ac:dyDescent="0.25">
      <c r="A1510" s="73">
        <v>44788</v>
      </c>
      <c r="B1510" s="74" t="s">
        <v>26225</v>
      </c>
      <c r="C1510" s="75" t="s">
        <v>31</v>
      </c>
      <c r="D1510" s="176">
        <v>7139.8</v>
      </c>
      <c r="E1510" s="151">
        <v>44789</v>
      </c>
      <c r="F1510" s="176">
        <v>7139.8</v>
      </c>
      <c r="G1510" s="177">
        <f>Tabla19[[#This Row],[Importe]]-Tabla19[[#This Row],[Pagado]]</f>
        <v>0</v>
      </c>
      <c r="H1510" s="75" t="s">
        <v>10</v>
      </c>
    </row>
    <row r="1511" spans="1:8" x14ac:dyDescent="0.25">
      <c r="A1511" s="148">
        <v>44788</v>
      </c>
      <c r="B1511" s="149" t="s">
        <v>26226</v>
      </c>
      <c r="C1511" s="153" t="s">
        <v>10190</v>
      </c>
      <c r="D1511" s="178">
        <v>23851</v>
      </c>
      <c r="E1511" s="155">
        <v>44789</v>
      </c>
      <c r="F1511" s="178">
        <v>23851</v>
      </c>
      <c r="G1511" s="179">
        <f>Tabla19[[#This Row],[Importe]]-Tabla19[[#This Row],[Pagado]]</f>
        <v>0</v>
      </c>
      <c r="H1511" s="153" t="s">
        <v>10</v>
      </c>
    </row>
    <row r="1512" spans="1:8" x14ac:dyDescent="0.25">
      <c r="A1512" s="73">
        <v>44788</v>
      </c>
      <c r="B1512" s="74" t="s">
        <v>26227</v>
      </c>
      <c r="C1512" s="75" t="s">
        <v>275</v>
      </c>
      <c r="D1512" s="176">
        <v>34290.35</v>
      </c>
      <c r="E1512" s="151" t="s">
        <v>4813</v>
      </c>
      <c r="F1512" s="176">
        <v>0</v>
      </c>
      <c r="G1512" s="177">
        <f>Tabla19[[#This Row],[Importe]]-Tabla19[[#This Row],[Pagado]]</f>
        <v>34290.35</v>
      </c>
      <c r="H1512" s="75" t="s">
        <v>4814</v>
      </c>
    </row>
    <row r="1513" spans="1:8" x14ac:dyDescent="0.25">
      <c r="A1513" s="148">
        <v>44788</v>
      </c>
      <c r="B1513" s="149" t="s">
        <v>26228</v>
      </c>
      <c r="C1513" s="153" t="s">
        <v>10840</v>
      </c>
      <c r="D1513" s="178">
        <v>32738.400000000001</v>
      </c>
      <c r="E1513" s="155">
        <v>44795</v>
      </c>
      <c r="F1513" s="178">
        <v>32738.400000000001</v>
      </c>
      <c r="G1513" s="179">
        <f>Tabla19[[#This Row],[Importe]]-Tabla19[[#This Row],[Pagado]]</f>
        <v>0</v>
      </c>
      <c r="H1513" s="153" t="s">
        <v>10</v>
      </c>
    </row>
    <row r="1514" spans="1:8" x14ac:dyDescent="0.25">
      <c r="A1514" s="73">
        <v>44788</v>
      </c>
      <c r="B1514" s="74" t="s">
        <v>26229</v>
      </c>
      <c r="C1514" s="75" t="s">
        <v>10840</v>
      </c>
      <c r="D1514" s="176">
        <v>1645.2</v>
      </c>
      <c r="E1514" s="151">
        <v>44800</v>
      </c>
      <c r="F1514" s="176">
        <v>1645.2</v>
      </c>
      <c r="G1514" s="177">
        <f>Tabla19[[#This Row],[Importe]]-Tabla19[[#This Row],[Pagado]]</f>
        <v>0</v>
      </c>
      <c r="H1514" s="75" t="s">
        <v>10</v>
      </c>
    </row>
    <row r="1515" spans="1:8" x14ac:dyDescent="0.25">
      <c r="A1515" s="148">
        <v>44788</v>
      </c>
      <c r="B1515" s="149" t="s">
        <v>26230</v>
      </c>
      <c r="C1515" s="153" t="s">
        <v>31</v>
      </c>
      <c r="D1515" s="178">
        <v>1456</v>
      </c>
      <c r="E1515" s="155">
        <v>44789</v>
      </c>
      <c r="F1515" s="178">
        <v>1456</v>
      </c>
      <c r="G1515" s="179">
        <f>Tabla19[[#This Row],[Importe]]-Tabla19[[#This Row],[Pagado]]</f>
        <v>0</v>
      </c>
      <c r="H1515" s="153" t="s">
        <v>10</v>
      </c>
    </row>
    <row r="1516" spans="1:8" x14ac:dyDescent="0.25">
      <c r="A1516" s="73">
        <v>44789</v>
      </c>
      <c r="B1516" s="74" t="s">
        <v>26231</v>
      </c>
      <c r="C1516" s="75" t="s">
        <v>12</v>
      </c>
      <c r="D1516" s="176">
        <v>6237.5</v>
      </c>
      <c r="E1516" s="151">
        <v>44789</v>
      </c>
      <c r="F1516" s="176">
        <v>6237.5</v>
      </c>
      <c r="G1516" s="177">
        <f>Tabla19[[#This Row],[Importe]]-Tabla19[[#This Row],[Pagado]]</f>
        <v>0</v>
      </c>
      <c r="H1516" s="75" t="s">
        <v>10</v>
      </c>
    </row>
    <row r="1517" spans="1:8" x14ac:dyDescent="0.25">
      <c r="A1517" s="148">
        <v>44789</v>
      </c>
      <c r="B1517" s="149" t="s">
        <v>26232</v>
      </c>
      <c r="C1517" s="153" t="s">
        <v>16</v>
      </c>
      <c r="D1517" s="178">
        <v>5146.7</v>
      </c>
      <c r="E1517" s="155">
        <v>44789</v>
      </c>
      <c r="F1517" s="178">
        <v>5146.7</v>
      </c>
      <c r="G1517" s="179">
        <f>Tabla19[[#This Row],[Importe]]-Tabla19[[#This Row],[Pagado]]</f>
        <v>0</v>
      </c>
      <c r="H1517" s="153" t="s">
        <v>10</v>
      </c>
    </row>
    <row r="1518" spans="1:8" x14ac:dyDescent="0.25">
      <c r="A1518" s="73">
        <v>44789</v>
      </c>
      <c r="B1518" s="74" t="s">
        <v>26233</v>
      </c>
      <c r="C1518" s="75" t="s">
        <v>481</v>
      </c>
      <c r="D1518" s="176">
        <v>526.20000000000005</v>
      </c>
      <c r="E1518" s="151">
        <v>44789</v>
      </c>
      <c r="F1518" s="176">
        <v>526.20000000000005</v>
      </c>
      <c r="G1518" s="177">
        <f>Tabla19[[#This Row],[Importe]]-Tabla19[[#This Row],[Pagado]]</f>
        <v>0</v>
      </c>
      <c r="H1518" s="75" t="s">
        <v>10</v>
      </c>
    </row>
    <row r="1519" spans="1:8" x14ac:dyDescent="0.25">
      <c r="A1519" s="148">
        <v>44789</v>
      </c>
      <c r="B1519" s="149" t="s">
        <v>26234</v>
      </c>
      <c r="C1519" s="153" t="s">
        <v>24768</v>
      </c>
      <c r="D1519" s="178">
        <v>4547.3999999999996</v>
      </c>
      <c r="E1519" s="155">
        <v>44789</v>
      </c>
      <c r="F1519" s="178">
        <v>4547.3999999999996</v>
      </c>
      <c r="G1519" s="179">
        <f>Tabla19[[#This Row],[Importe]]-Tabla19[[#This Row],[Pagado]]</f>
        <v>0</v>
      </c>
      <c r="H1519" s="153" t="s">
        <v>10</v>
      </c>
    </row>
    <row r="1520" spans="1:8" x14ac:dyDescent="0.25">
      <c r="A1520" s="73">
        <v>44789</v>
      </c>
      <c r="B1520" s="74" t="s">
        <v>26235</v>
      </c>
      <c r="C1520" s="75" t="s">
        <v>24768</v>
      </c>
      <c r="D1520" s="176">
        <v>70</v>
      </c>
      <c r="E1520" s="151">
        <v>44789</v>
      </c>
      <c r="F1520" s="176">
        <v>70</v>
      </c>
      <c r="G1520" s="177">
        <f>Tabla19[[#This Row],[Importe]]-Tabla19[[#This Row],[Pagado]]</f>
        <v>0</v>
      </c>
      <c r="H1520" s="75" t="s">
        <v>10</v>
      </c>
    </row>
    <row r="1521" spans="1:8" x14ac:dyDescent="0.25">
      <c r="A1521" s="148">
        <v>44789</v>
      </c>
      <c r="B1521" s="149" t="s">
        <v>26236</v>
      </c>
      <c r="C1521" s="153" t="s">
        <v>348</v>
      </c>
      <c r="D1521" s="178">
        <v>2142</v>
      </c>
      <c r="E1521" s="155">
        <v>44789</v>
      </c>
      <c r="F1521" s="178">
        <v>2142</v>
      </c>
      <c r="G1521" s="179">
        <f>Tabla19[[#This Row],[Importe]]-Tabla19[[#This Row],[Pagado]]</f>
        <v>0</v>
      </c>
      <c r="H1521" s="153" t="s">
        <v>10</v>
      </c>
    </row>
    <row r="1522" spans="1:8" x14ac:dyDescent="0.25">
      <c r="A1522" s="73">
        <v>44789</v>
      </c>
      <c r="B1522" s="74" t="s">
        <v>26237</v>
      </c>
      <c r="C1522" s="75" t="s">
        <v>2151</v>
      </c>
      <c r="D1522" s="176">
        <v>20995.8</v>
      </c>
      <c r="E1522" s="151">
        <v>44789</v>
      </c>
      <c r="F1522" s="176">
        <v>20995.8</v>
      </c>
      <c r="G1522" s="177">
        <f>Tabla19[[#This Row],[Importe]]-Tabla19[[#This Row],[Pagado]]</f>
        <v>0</v>
      </c>
      <c r="H1522" s="75" t="s">
        <v>10</v>
      </c>
    </row>
    <row r="1523" spans="1:8" x14ac:dyDescent="0.25">
      <c r="A1523" s="148">
        <v>44789</v>
      </c>
      <c r="B1523" s="149" t="s">
        <v>26238</v>
      </c>
      <c r="C1523" s="153" t="s">
        <v>105</v>
      </c>
      <c r="D1523" s="178">
        <v>8838.9</v>
      </c>
      <c r="E1523" s="155">
        <v>44789</v>
      </c>
      <c r="F1523" s="178">
        <v>8838.9</v>
      </c>
      <c r="G1523" s="179">
        <f>Tabla19[[#This Row],[Importe]]-Tabla19[[#This Row],[Pagado]]</f>
        <v>0</v>
      </c>
      <c r="H1523" s="153" t="s">
        <v>10</v>
      </c>
    </row>
    <row r="1524" spans="1:8" x14ac:dyDescent="0.25">
      <c r="A1524" s="73">
        <v>44789</v>
      </c>
      <c r="B1524" s="74" t="s">
        <v>26239</v>
      </c>
      <c r="C1524" s="75" t="s">
        <v>95</v>
      </c>
      <c r="D1524" s="176">
        <v>16809.599999999999</v>
      </c>
      <c r="E1524" s="151">
        <v>44789</v>
      </c>
      <c r="F1524" s="176">
        <v>16809.599999999999</v>
      </c>
      <c r="G1524" s="177">
        <f>Tabla19[[#This Row],[Importe]]-Tabla19[[#This Row],[Pagado]]</f>
        <v>0</v>
      </c>
      <c r="H1524" s="75" t="s">
        <v>10</v>
      </c>
    </row>
    <row r="1525" spans="1:8" x14ac:dyDescent="0.25">
      <c r="A1525" s="148">
        <v>44789</v>
      </c>
      <c r="B1525" s="149" t="s">
        <v>26240</v>
      </c>
      <c r="C1525" s="153" t="s">
        <v>93</v>
      </c>
      <c r="D1525" s="178">
        <v>9590.7000000000007</v>
      </c>
      <c r="E1525" s="155">
        <v>44791</v>
      </c>
      <c r="F1525" s="178">
        <v>9590.7000000000007</v>
      </c>
      <c r="G1525" s="179">
        <f>Tabla19[[#This Row],[Importe]]-Tabla19[[#This Row],[Pagado]]</f>
        <v>0</v>
      </c>
      <c r="H1525" s="153" t="s">
        <v>10</v>
      </c>
    </row>
    <row r="1526" spans="1:8" x14ac:dyDescent="0.25">
      <c r="A1526" s="73">
        <v>44789</v>
      </c>
      <c r="B1526" s="74" t="s">
        <v>26241</v>
      </c>
      <c r="C1526" s="75" t="s">
        <v>345</v>
      </c>
      <c r="D1526" s="176">
        <v>714</v>
      </c>
      <c r="E1526" s="151">
        <v>44789</v>
      </c>
      <c r="F1526" s="176">
        <v>714</v>
      </c>
      <c r="G1526" s="177">
        <f>Tabla19[[#This Row],[Importe]]-Tabla19[[#This Row],[Pagado]]</f>
        <v>0</v>
      </c>
      <c r="H1526" s="75" t="s">
        <v>10</v>
      </c>
    </row>
    <row r="1527" spans="1:8" x14ac:dyDescent="0.25">
      <c r="A1527" s="148">
        <v>44789</v>
      </c>
      <c r="B1527" s="149" t="s">
        <v>26242</v>
      </c>
      <c r="C1527" s="153" t="s">
        <v>114</v>
      </c>
      <c r="D1527" s="178">
        <v>17402.7</v>
      </c>
      <c r="E1527" s="155">
        <v>44791</v>
      </c>
      <c r="F1527" s="178">
        <v>17402.7</v>
      </c>
      <c r="G1527" s="179">
        <f>Tabla19[[#This Row],[Importe]]-Tabla19[[#This Row],[Pagado]]</f>
        <v>0</v>
      </c>
      <c r="H1527" s="153" t="s">
        <v>10</v>
      </c>
    </row>
    <row r="1528" spans="1:8" x14ac:dyDescent="0.25">
      <c r="A1528" s="73">
        <v>44789</v>
      </c>
      <c r="B1528" s="74" t="s">
        <v>26243</v>
      </c>
      <c r="C1528" s="75" t="s">
        <v>60</v>
      </c>
      <c r="D1528" s="176">
        <v>4901</v>
      </c>
      <c r="E1528" s="151">
        <v>44795</v>
      </c>
      <c r="F1528" s="176">
        <v>4901</v>
      </c>
      <c r="G1528" s="177">
        <f>Tabla19[[#This Row],[Importe]]-Tabla19[[#This Row],[Pagado]]</f>
        <v>0</v>
      </c>
      <c r="H1528" s="75" t="s">
        <v>10</v>
      </c>
    </row>
    <row r="1529" spans="1:8" x14ac:dyDescent="0.25">
      <c r="A1529" s="148">
        <v>44789</v>
      </c>
      <c r="B1529" s="149" t="s">
        <v>26244</v>
      </c>
      <c r="C1529" s="153" t="s">
        <v>64</v>
      </c>
      <c r="D1529" s="178">
        <v>4881.5</v>
      </c>
      <c r="E1529" s="155">
        <v>44790</v>
      </c>
      <c r="F1529" s="178">
        <v>4881.5</v>
      </c>
      <c r="G1529" s="179">
        <f>Tabla19[[#This Row],[Importe]]-Tabla19[[#This Row],[Pagado]]</f>
        <v>0</v>
      </c>
      <c r="H1529" s="153" t="s">
        <v>10</v>
      </c>
    </row>
    <row r="1530" spans="1:8" x14ac:dyDescent="0.25">
      <c r="A1530" s="73">
        <v>44789</v>
      </c>
      <c r="B1530" s="74" t="s">
        <v>26245</v>
      </c>
      <c r="C1530" s="75" t="s">
        <v>109</v>
      </c>
      <c r="D1530" s="176">
        <v>5166</v>
      </c>
      <c r="E1530" s="151">
        <v>44790</v>
      </c>
      <c r="F1530" s="176">
        <v>5166</v>
      </c>
      <c r="G1530" s="177">
        <f>Tabla19[[#This Row],[Importe]]-Tabla19[[#This Row],[Pagado]]</f>
        <v>0</v>
      </c>
      <c r="H1530" s="75" t="s">
        <v>10</v>
      </c>
    </row>
    <row r="1531" spans="1:8" x14ac:dyDescent="0.25">
      <c r="A1531" s="148">
        <v>44789</v>
      </c>
      <c r="B1531" s="149" t="s">
        <v>26246</v>
      </c>
      <c r="C1531" s="153" t="s">
        <v>97</v>
      </c>
      <c r="D1531" s="178">
        <v>4933.5</v>
      </c>
      <c r="E1531" s="155">
        <v>44790</v>
      </c>
      <c r="F1531" s="178">
        <v>4933.5</v>
      </c>
      <c r="G1531" s="179">
        <f>Tabla19[[#This Row],[Importe]]-Tabla19[[#This Row],[Pagado]]</f>
        <v>0</v>
      </c>
      <c r="H1531" s="153" t="s">
        <v>10</v>
      </c>
    </row>
    <row r="1532" spans="1:8" x14ac:dyDescent="0.25">
      <c r="A1532" s="73">
        <v>44789</v>
      </c>
      <c r="B1532" s="74" t="s">
        <v>26247</v>
      </c>
      <c r="C1532" s="75" t="s">
        <v>326</v>
      </c>
      <c r="D1532" s="176">
        <v>6019</v>
      </c>
      <c r="E1532" s="151">
        <v>44790</v>
      </c>
      <c r="F1532" s="176">
        <v>6019</v>
      </c>
      <c r="G1532" s="177">
        <f>Tabla19[[#This Row],[Importe]]-Tabla19[[#This Row],[Pagado]]</f>
        <v>0</v>
      </c>
      <c r="H1532" s="75" t="s">
        <v>10</v>
      </c>
    </row>
    <row r="1533" spans="1:8" x14ac:dyDescent="0.25">
      <c r="A1533" s="148">
        <v>44789</v>
      </c>
      <c r="B1533" s="149" t="s">
        <v>26248</v>
      </c>
      <c r="C1533" s="153" t="s">
        <v>89</v>
      </c>
      <c r="D1533" s="178">
        <v>13526.1</v>
      </c>
      <c r="E1533" s="155">
        <v>44790</v>
      </c>
      <c r="F1533" s="178">
        <v>13526.1</v>
      </c>
      <c r="G1533" s="179">
        <f>Tabla19[[#This Row],[Importe]]-Tabla19[[#This Row],[Pagado]]</f>
        <v>0</v>
      </c>
      <c r="H1533" s="153" t="s">
        <v>10</v>
      </c>
    </row>
    <row r="1534" spans="1:8" x14ac:dyDescent="0.25">
      <c r="A1534" s="73">
        <v>44789</v>
      </c>
      <c r="B1534" s="74" t="s">
        <v>26249</v>
      </c>
      <c r="C1534" s="75" t="s">
        <v>9</v>
      </c>
      <c r="D1534" s="176">
        <v>9107.7999999999993</v>
      </c>
      <c r="E1534" s="151">
        <v>44789</v>
      </c>
      <c r="F1534" s="176">
        <v>9107.7999999999993</v>
      </c>
      <c r="G1534" s="177">
        <f>Tabla19[[#This Row],[Importe]]-Tabla19[[#This Row],[Pagado]]</f>
        <v>0</v>
      </c>
      <c r="H1534" s="75" t="s">
        <v>10</v>
      </c>
    </row>
    <row r="1535" spans="1:8" x14ac:dyDescent="0.25">
      <c r="A1535" s="148">
        <v>44789</v>
      </c>
      <c r="B1535" s="149" t="s">
        <v>26250</v>
      </c>
      <c r="C1535" s="153" t="s">
        <v>31</v>
      </c>
      <c r="D1535" s="178">
        <v>4729.6000000000004</v>
      </c>
      <c r="E1535" s="155">
        <v>44789</v>
      </c>
      <c r="F1535" s="178">
        <v>4729.6000000000004</v>
      </c>
      <c r="G1535" s="179">
        <f>Tabla19[[#This Row],[Importe]]-Tabla19[[#This Row],[Pagado]]</f>
        <v>0</v>
      </c>
      <c r="H1535" s="153" t="s">
        <v>10</v>
      </c>
    </row>
    <row r="1536" spans="1:8" x14ac:dyDescent="0.25">
      <c r="A1536" s="73">
        <v>44789</v>
      </c>
      <c r="B1536" s="74" t="s">
        <v>26251</v>
      </c>
      <c r="C1536" s="75" t="s">
        <v>319</v>
      </c>
      <c r="D1536" s="176">
        <v>5064.8</v>
      </c>
      <c r="E1536" s="151">
        <v>44789</v>
      </c>
      <c r="F1536" s="176">
        <v>5064.8</v>
      </c>
      <c r="G1536" s="177">
        <f>Tabla19[[#This Row],[Importe]]-Tabla19[[#This Row],[Pagado]]</f>
        <v>0</v>
      </c>
      <c r="H1536" s="75" t="s">
        <v>10</v>
      </c>
    </row>
    <row r="1537" spans="1:8" x14ac:dyDescent="0.25">
      <c r="A1537" s="148">
        <v>44789</v>
      </c>
      <c r="B1537" s="149" t="s">
        <v>26252</v>
      </c>
      <c r="C1537" s="153" t="s">
        <v>31</v>
      </c>
      <c r="D1537" s="178">
        <v>8652</v>
      </c>
      <c r="E1537" s="155">
        <v>44789</v>
      </c>
      <c r="F1537" s="178">
        <v>8652</v>
      </c>
      <c r="G1537" s="179">
        <f>Tabla19[[#This Row],[Importe]]-Tabla19[[#This Row],[Pagado]]</f>
        <v>0</v>
      </c>
      <c r="H1537" s="153" t="s">
        <v>10</v>
      </c>
    </row>
    <row r="1538" spans="1:8" x14ac:dyDescent="0.25">
      <c r="A1538" s="73">
        <v>44789</v>
      </c>
      <c r="B1538" s="74" t="s">
        <v>26253</v>
      </c>
      <c r="C1538" s="75" t="s">
        <v>518</v>
      </c>
      <c r="D1538" s="176">
        <v>1838</v>
      </c>
      <c r="E1538" s="151">
        <v>44789</v>
      </c>
      <c r="F1538" s="176">
        <v>1838</v>
      </c>
      <c r="G1538" s="177">
        <f>Tabla19[[#This Row],[Importe]]-Tabla19[[#This Row],[Pagado]]</f>
        <v>0</v>
      </c>
      <c r="H1538" s="75" t="s">
        <v>10</v>
      </c>
    </row>
    <row r="1539" spans="1:8" x14ac:dyDescent="0.25">
      <c r="A1539" s="148">
        <v>44789</v>
      </c>
      <c r="B1539" s="149" t="s">
        <v>26254</v>
      </c>
      <c r="C1539" s="153" t="s">
        <v>157</v>
      </c>
      <c r="D1539" s="178">
        <v>8574.7999999999993</v>
      </c>
      <c r="E1539" s="155">
        <v>44789</v>
      </c>
      <c r="F1539" s="178">
        <v>8574.7999999999993</v>
      </c>
      <c r="G1539" s="179">
        <f>Tabla19[[#This Row],[Importe]]-Tabla19[[#This Row],[Pagado]]</f>
        <v>0</v>
      </c>
      <c r="H1539" s="153" t="s">
        <v>10</v>
      </c>
    </row>
    <row r="1540" spans="1:8" x14ac:dyDescent="0.25">
      <c r="A1540" s="73">
        <v>44789</v>
      </c>
      <c r="B1540" s="74" t="s">
        <v>26255</v>
      </c>
      <c r="C1540" s="75" t="s">
        <v>79</v>
      </c>
      <c r="D1540" s="176">
        <v>20344.8</v>
      </c>
      <c r="E1540" s="151">
        <v>44789</v>
      </c>
      <c r="F1540" s="176">
        <v>20344.8</v>
      </c>
      <c r="G1540" s="177">
        <f>Tabla19[[#This Row],[Importe]]-Tabla19[[#This Row],[Pagado]]</f>
        <v>0</v>
      </c>
      <c r="H1540" s="75" t="s">
        <v>10</v>
      </c>
    </row>
    <row r="1541" spans="1:8" x14ac:dyDescent="0.25">
      <c r="A1541" s="148">
        <v>44789</v>
      </c>
      <c r="B1541" s="149" t="s">
        <v>26256</v>
      </c>
      <c r="C1541" s="153" t="s">
        <v>49</v>
      </c>
      <c r="D1541" s="178">
        <v>4160</v>
      </c>
      <c r="E1541" s="155">
        <v>44789</v>
      </c>
      <c r="F1541" s="178">
        <v>4160</v>
      </c>
      <c r="G1541" s="179">
        <f>Tabla19[[#This Row],[Importe]]-Tabla19[[#This Row],[Pagado]]</f>
        <v>0</v>
      </c>
      <c r="H1541" s="153" t="s">
        <v>10</v>
      </c>
    </row>
    <row r="1542" spans="1:8" x14ac:dyDescent="0.25">
      <c r="A1542" s="73">
        <v>44789</v>
      </c>
      <c r="B1542" s="74" t="s">
        <v>26257</v>
      </c>
      <c r="C1542" s="75" t="s">
        <v>159</v>
      </c>
      <c r="D1542" s="176">
        <v>2541.6</v>
      </c>
      <c r="E1542" s="151">
        <v>44789</v>
      </c>
      <c r="F1542" s="176">
        <v>2541.6</v>
      </c>
      <c r="G1542" s="177">
        <f>Tabla19[[#This Row],[Importe]]-Tabla19[[#This Row],[Pagado]]</f>
        <v>0</v>
      </c>
      <c r="H1542" s="75" t="s">
        <v>10</v>
      </c>
    </row>
    <row r="1543" spans="1:8" x14ac:dyDescent="0.25">
      <c r="A1543" s="148">
        <v>44789</v>
      </c>
      <c r="B1543" s="149" t="s">
        <v>26258</v>
      </c>
      <c r="C1543" s="153" t="s">
        <v>79</v>
      </c>
      <c r="D1543" s="178">
        <v>3133.2</v>
      </c>
      <c r="E1543" s="155">
        <v>44789</v>
      </c>
      <c r="F1543" s="178">
        <v>3133.2</v>
      </c>
      <c r="G1543" s="179">
        <f>Tabla19[[#This Row],[Importe]]-Tabla19[[#This Row],[Pagado]]</f>
        <v>0</v>
      </c>
      <c r="H1543" s="153" t="s">
        <v>10</v>
      </c>
    </row>
    <row r="1544" spans="1:8" x14ac:dyDescent="0.25">
      <c r="A1544" s="73">
        <v>44789</v>
      </c>
      <c r="B1544" s="74" t="s">
        <v>26259</v>
      </c>
      <c r="C1544" s="75" t="s">
        <v>17556</v>
      </c>
      <c r="D1544" s="176">
        <v>4940</v>
      </c>
      <c r="E1544" s="151">
        <v>44789</v>
      </c>
      <c r="F1544" s="176">
        <v>4940</v>
      </c>
      <c r="G1544" s="177">
        <f>Tabla19[[#This Row],[Importe]]-Tabla19[[#This Row],[Pagado]]</f>
        <v>0</v>
      </c>
      <c r="H1544" s="75" t="s">
        <v>10</v>
      </c>
    </row>
    <row r="1545" spans="1:8" x14ac:dyDescent="0.25">
      <c r="A1545" s="148">
        <v>44789</v>
      </c>
      <c r="B1545" s="149" t="s">
        <v>26260</v>
      </c>
      <c r="C1545" s="153" t="s">
        <v>1302</v>
      </c>
      <c r="D1545" s="178">
        <v>10996.4</v>
      </c>
      <c r="E1545" s="155">
        <v>44789</v>
      </c>
      <c r="F1545" s="178">
        <v>10996.4</v>
      </c>
      <c r="G1545" s="179">
        <f>Tabla19[[#This Row],[Importe]]-Tabla19[[#This Row],[Pagado]]</f>
        <v>0</v>
      </c>
      <c r="H1545" s="153" t="s">
        <v>10</v>
      </c>
    </row>
    <row r="1546" spans="1:8" x14ac:dyDescent="0.25">
      <c r="A1546" s="73">
        <v>44789</v>
      </c>
      <c r="B1546" s="74" t="s">
        <v>26261</v>
      </c>
      <c r="C1546" s="75" t="s">
        <v>196</v>
      </c>
      <c r="D1546" s="176">
        <v>81325.56</v>
      </c>
      <c r="E1546" s="151">
        <v>44792</v>
      </c>
      <c r="F1546" s="176">
        <v>81325.56</v>
      </c>
      <c r="G1546" s="177">
        <f>Tabla19[[#This Row],[Importe]]-Tabla19[[#This Row],[Pagado]]</f>
        <v>0</v>
      </c>
      <c r="H1546" s="75" t="s">
        <v>10</v>
      </c>
    </row>
    <row r="1547" spans="1:8" x14ac:dyDescent="0.25">
      <c r="A1547" s="148">
        <v>44789</v>
      </c>
      <c r="B1547" s="149" t="s">
        <v>26262</v>
      </c>
      <c r="C1547" s="153" t="s">
        <v>151</v>
      </c>
      <c r="D1547" s="178">
        <v>9555.2999999999993</v>
      </c>
      <c r="E1547" s="155">
        <v>44789</v>
      </c>
      <c r="F1547" s="178">
        <v>9555.2999999999993</v>
      </c>
      <c r="G1547" s="179">
        <f>Tabla19[[#This Row],[Importe]]-Tabla19[[#This Row],[Pagado]]</f>
        <v>0</v>
      </c>
      <c r="H1547" s="153" t="s">
        <v>10</v>
      </c>
    </row>
    <row r="1548" spans="1:8" x14ac:dyDescent="0.25">
      <c r="A1548" s="73">
        <v>44789</v>
      </c>
      <c r="B1548" s="74" t="s">
        <v>26263</v>
      </c>
      <c r="C1548" s="75" t="s">
        <v>520</v>
      </c>
      <c r="D1548" s="176">
        <v>5747.7</v>
      </c>
      <c r="E1548" s="151">
        <v>44789</v>
      </c>
      <c r="F1548" s="176">
        <v>5747.7</v>
      </c>
      <c r="G1548" s="177">
        <f>Tabla19[[#This Row],[Importe]]-Tabla19[[#This Row],[Pagado]]</f>
        <v>0</v>
      </c>
      <c r="H1548" s="75" t="s">
        <v>10</v>
      </c>
    </row>
    <row r="1549" spans="1:8" x14ac:dyDescent="0.25">
      <c r="A1549" s="148">
        <v>44789</v>
      </c>
      <c r="B1549" s="149" t="s">
        <v>26264</v>
      </c>
      <c r="C1549" s="153" t="s">
        <v>11033</v>
      </c>
      <c r="D1549" s="178">
        <v>1896</v>
      </c>
      <c r="E1549" s="155">
        <v>44789</v>
      </c>
      <c r="F1549" s="178">
        <v>1896</v>
      </c>
      <c r="G1549" s="179">
        <f>Tabla19[[#This Row],[Importe]]-Tabla19[[#This Row],[Pagado]]</f>
        <v>0</v>
      </c>
      <c r="H1549" s="153" t="s">
        <v>10</v>
      </c>
    </row>
    <row r="1550" spans="1:8" x14ac:dyDescent="0.25">
      <c r="A1550" s="73">
        <v>44789</v>
      </c>
      <c r="B1550" s="74" t="s">
        <v>26265</v>
      </c>
      <c r="C1550" s="75" t="s">
        <v>924</v>
      </c>
      <c r="D1550" s="176">
        <v>21986.9</v>
      </c>
      <c r="E1550" s="151">
        <v>44789</v>
      </c>
      <c r="F1550" s="176">
        <v>21986.9</v>
      </c>
      <c r="G1550" s="177">
        <f>Tabla19[[#This Row],[Importe]]-Tabla19[[#This Row],[Pagado]]</f>
        <v>0</v>
      </c>
      <c r="H1550" s="75" t="s">
        <v>10</v>
      </c>
    </row>
    <row r="1551" spans="1:8" ht="31.5" x14ac:dyDescent="0.25">
      <c r="A1551" s="148">
        <v>44789</v>
      </c>
      <c r="B1551" s="149" t="s">
        <v>26266</v>
      </c>
      <c r="C1551" s="153" t="s">
        <v>22</v>
      </c>
      <c r="D1551" s="178">
        <v>30714.5</v>
      </c>
      <c r="E1551" s="150" t="s">
        <v>26267</v>
      </c>
      <c r="F1551" s="178">
        <f>22000+8714.5</f>
        <v>30714.5</v>
      </c>
      <c r="G1551" s="179">
        <f>Tabla19[[#This Row],[Importe]]-Tabla19[[#This Row],[Pagado]]</f>
        <v>0</v>
      </c>
      <c r="H1551" s="153" t="s">
        <v>10</v>
      </c>
    </row>
    <row r="1552" spans="1:8" x14ac:dyDescent="0.25">
      <c r="A1552" s="73">
        <v>44789</v>
      </c>
      <c r="B1552" s="74" t="s">
        <v>26268</v>
      </c>
      <c r="C1552" s="75" t="s">
        <v>31</v>
      </c>
      <c r="D1552" s="176">
        <v>884.8</v>
      </c>
      <c r="E1552" s="151">
        <v>44789</v>
      </c>
      <c r="F1552" s="176">
        <v>884.8</v>
      </c>
      <c r="G1552" s="177">
        <f>Tabla19[[#This Row],[Importe]]-Tabla19[[#This Row],[Pagado]]</f>
        <v>0</v>
      </c>
      <c r="H1552" s="75" t="s">
        <v>10</v>
      </c>
    </row>
    <row r="1553" spans="1:8" x14ac:dyDescent="0.25">
      <c r="A1553" s="148">
        <v>44789</v>
      </c>
      <c r="B1553" s="149" t="s">
        <v>26269</v>
      </c>
      <c r="C1553" s="153" t="s">
        <v>27</v>
      </c>
      <c r="D1553" s="178">
        <v>791.2</v>
      </c>
      <c r="E1553" s="155">
        <v>44789</v>
      </c>
      <c r="F1553" s="178">
        <v>791.2</v>
      </c>
      <c r="G1553" s="179">
        <f>Tabla19[[#This Row],[Importe]]-Tabla19[[#This Row],[Pagado]]</f>
        <v>0</v>
      </c>
      <c r="H1553" s="153" t="s">
        <v>10</v>
      </c>
    </row>
    <row r="1554" spans="1:8" x14ac:dyDescent="0.25">
      <c r="A1554" s="73">
        <v>44789</v>
      </c>
      <c r="B1554" s="74" t="s">
        <v>26270</v>
      </c>
      <c r="C1554" s="75" t="s">
        <v>129</v>
      </c>
      <c r="D1554" s="176">
        <v>5820</v>
      </c>
      <c r="E1554" s="151">
        <v>44789</v>
      </c>
      <c r="F1554" s="176">
        <v>5820</v>
      </c>
      <c r="G1554" s="177">
        <f>Tabla19[[#This Row],[Importe]]-Tabla19[[#This Row],[Pagado]]</f>
        <v>0</v>
      </c>
      <c r="H1554" s="75" t="s">
        <v>10</v>
      </c>
    </row>
    <row r="1555" spans="1:8" x14ac:dyDescent="0.25">
      <c r="A1555" s="148">
        <v>44789</v>
      </c>
      <c r="B1555" s="149" t="s">
        <v>26271</v>
      </c>
      <c r="C1555" s="153" t="s">
        <v>3683</v>
      </c>
      <c r="D1555" s="178">
        <v>0</v>
      </c>
      <c r="E1555" s="158" t="s">
        <v>189</v>
      </c>
      <c r="F1555" s="178">
        <v>0</v>
      </c>
      <c r="G1555" s="179">
        <f>Tabla19[[#This Row],[Importe]]-Tabla19[[#This Row],[Pagado]]</f>
        <v>0</v>
      </c>
      <c r="H1555" s="159" t="s">
        <v>26272</v>
      </c>
    </row>
    <row r="1556" spans="1:8" x14ac:dyDescent="0.25">
      <c r="A1556" s="73">
        <v>44789</v>
      </c>
      <c r="B1556" s="74" t="s">
        <v>26273</v>
      </c>
      <c r="C1556" s="75" t="s">
        <v>127</v>
      </c>
      <c r="D1556" s="176">
        <v>2876</v>
      </c>
      <c r="E1556" s="151">
        <v>44789</v>
      </c>
      <c r="F1556" s="176">
        <v>2876</v>
      </c>
      <c r="G1556" s="177">
        <f>Tabla19[[#This Row],[Importe]]-Tabla19[[#This Row],[Pagado]]</f>
        <v>0</v>
      </c>
      <c r="H1556" s="75" t="s">
        <v>10</v>
      </c>
    </row>
    <row r="1557" spans="1:8" x14ac:dyDescent="0.25">
      <c r="A1557" s="148">
        <v>44789</v>
      </c>
      <c r="B1557" s="149" t="s">
        <v>26274</v>
      </c>
      <c r="C1557" s="153" t="s">
        <v>357</v>
      </c>
      <c r="D1557" s="178">
        <v>1121</v>
      </c>
      <c r="E1557" s="155">
        <v>44789</v>
      </c>
      <c r="F1557" s="178">
        <v>1121</v>
      </c>
      <c r="G1557" s="179">
        <f>Tabla19[[#This Row],[Importe]]-Tabla19[[#This Row],[Pagado]]</f>
        <v>0</v>
      </c>
      <c r="H1557" s="153" t="s">
        <v>10</v>
      </c>
    </row>
    <row r="1558" spans="1:8" x14ac:dyDescent="0.25">
      <c r="A1558" s="73">
        <v>44789</v>
      </c>
      <c r="B1558" s="74" t="s">
        <v>26275</v>
      </c>
      <c r="C1558" s="75" t="s">
        <v>339</v>
      </c>
      <c r="D1558" s="176">
        <v>722.5</v>
      </c>
      <c r="E1558" s="151">
        <v>44789</v>
      </c>
      <c r="F1558" s="176">
        <v>722.5</v>
      </c>
      <c r="G1558" s="177">
        <f>Tabla19[[#This Row],[Importe]]-Tabla19[[#This Row],[Pagado]]</f>
        <v>0</v>
      </c>
      <c r="H1558" s="75" t="s">
        <v>10</v>
      </c>
    </row>
    <row r="1559" spans="1:8" x14ac:dyDescent="0.25">
      <c r="A1559" s="148">
        <v>44789</v>
      </c>
      <c r="B1559" s="149" t="s">
        <v>26276</v>
      </c>
      <c r="C1559" s="153" t="s">
        <v>146</v>
      </c>
      <c r="D1559" s="178">
        <v>5478.2</v>
      </c>
      <c r="E1559" s="155">
        <v>44789</v>
      </c>
      <c r="F1559" s="178">
        <v>5478.2</v>
      </c>
      <c r="G1559" s="179">
        <f>Tabla19[[#This Row],[Importe]]-Tabla19[[#This Row],[Pagado]]</f>
        <v>0</v>
      </c>
      <c r="H1559" s="153" t="s">
        <v>10</v>
      </c>
    </row>
    <row r="1560" spans="1:8" x14ac:dyDescent="0.25">
      <c r="A1560" s="73">
        <v>44789</v>
      </c>
      <c r="B1560" s="74" t="s">
        <v>26277</v>
      </c>
      <c r="C1560" s="75" t="s">
        <v>664</v>
      </c>
      <c r="D1560" s="176">
        <v>3871.5</v>
      </c>
      <c r="E1560" s="151">
        <v>44789</v>
      </c>
      <c r="F1560" s="176">
        <v>3871.5</v>
      </c>
      <c r="G1560" s="177">
        <f>Tabla19[[#This Row],[Importe]]-Tabla19[[#This Row],[Pagado]]</f>
        <v>0</v>
      </c>
      <c r="H1560" s="75" t="s">
        <v>10</v>
      </c>
    </row>
    <row r="1561" spans="1:8" x14ac:dyDescent="0.25">
      <c r="A1561" s="148">
        <v>44789</v>
      </c>
      <c r="B1561" s="149" t="s">
        <v>26278</v>
      </c>
      <c r="C1561" s="153" t="s">
        <v>1362</v>
      </c>
      <c r="D1561" s="178">
        <v>5367.9</v>
      </c>
      <c r="E1561" s="155">
        <v>44789</v>
      </c>
      <c r="F1561" s="178">
        <v>5367.9</v>
      </c>
      <c r="G1561" s="179">
        <f>Tabla19[[#This Row],[Importe]]-Tabla19[[#This Row],[Pagado]]</f>
        <v>0</v>
      </c>
      <c r="H1561" s="153" t="s">
        <v>10</v>
      </c>
    </row>
    <row r="1562" spans="1:8" x14ac:dyDescent="0.25">
      <c r="A1562" s="73">
        <v>44789</v>
      </c>
      <c r="B1562" s="74" t="s">
        <v>26279</v>
      </c>
      <c r="C1562" s="75" t="s">
        <v>466</v>
      </c>
      <c r="D1562" s="176">
        <v>25384</v>
      </c>
      <c r="E1562" s="151">
        <v>44789</v>
      </c>
      <c r="F1562" s="176">
        <v>25384</v>
      </c>
      <c r="G1562" s="177">
        <f>Tabla19[[#This Row],[Importe]]-Tabla19[[#This Row],[Pagado]]</f>
        <v>0</v>
      </c>
      <c r="H1562" s="75" t="s">
        <v>10</v>
      </c>
    </row>
    <row r="1563" spans="1:8" x14ac:dyDescent="0.25">
      <c r="A1563" s="148">
        <v>44789</v>
      </c>
      <c r="B1563" s="149" t="s">
        <v>26280</v>
      </c>
      <c r="C1563" s="153" t="s">
        <v>31</v>
      </c>
      <c r="D1563" s="178">
        <v>1344</v>
      </c>
      <c r="E1563" s="155">
        <v>44789</v>
      </c>
      <c r="F1563" s="178">
        <v>1344</v>
      </c>
      <c r="G1563" s="179">
        <f>Tabla19[[#This Row],[Importe]]-Tabla19[[#This Row],[Pagado]]</f>
        <v>0</v>
      </c>
      <c r="H1563" s="153" t="s">
        <v>10</v>
      </c>
    </row>
    <row r="1564" spans="1:8" x14ac:dyDescent="0.25">
      <c r="A1564" s="73">
        <v>44789</v>
      </c>
      <c r="B1564" s="74" t="s">
        <v>26281</v>
      </c>
      <c r="C1564" s="75" t="s">
        <v>83</v>
      </c>
      <c r="D1564" s="176">
        <v>12440</v>
      </c>
      <c r="E1564" s="151">
        <v>44789</v>
      </c>
      <c r="F1564" s="176">
        <v>12440</v>
      </c>
      <c r="G1564" s="177">
        <f>Tabla19[[#This Row],[Importe]]-Tabla19[[#This Row],[Pagado]]</f>
        <v>0</v>
      </c>
      <c r="H1564" s="75" t="s">
        <v>10</v>
      </c>
    </row>
    <row r="1565" spans="1:8" x14ac:dyDescent="0.25">
      <c r="A1565" s="148">
        <v>44789</v>
      </c>
      <c r="B1565" s="149" t="s">
        <v>26282</v>
      </c>
      <c r="C1565" s="153" t="s">
        <v>45</v>
      </c>
      <c r="D1565" s="178">
        <v>10941</v>
      </c>
      <c r="E1565" s="155">
        <v>44789</v>
      </c>
      <c r="F1565" s="178">
        <v>10941</v>
      </c>
      <c r="G1565" s="179">
        <f>Tabla19[[#This Row],[Importe]]-Tabla19[[#This Row],[Pagado]]</f>
        <v>0</v>
      </c>
      <c r="H1565" s="153" t="s">
        <v>10</v>
      </c>
    </row>
    <row r="1566" spans="1:8" x14ac:dyDescent="0.25">
      <c r="A1566" s="73">
        <v>44789</v>
      </c>
      <c r="B1566" s="74" t="s">
        <v>26283</v>
      </c>
      <c r="C1566" s="75" t="s">
        <v>107</v>
      </c>
      <c r="D1566" s="176">
        <v>15996.5</v>
      </c>
      <c r="E1566" s="151">
        <v>44789</v>
      </c>
      <c r="F1566" s="176">
        <v>15996.5</v>
      </c>
      <c r="G1566" s="177">
        <f>Tabla19[[#This Row],[Importe]]-Tabla19[[#This Row],[Pagado]]</f>
        <v>0</v>
      </c>
      <c r="H1566" s="75" t="s">
        <v>10</v>
      </c>
    </row>
    <row r="1567" spans="1:8" x14ac:dyDescent="0.25">
      <c r="A1567" s="148">
        <v>44789</v>
      </c>
      <c r="B1567" s="149" t="s">
        <v>26284</v>
      </c>
      <c r="C1567" s="153" t="s">
        <v>214</v>
      </c>
      <c r="D1567" s="178">
        <v>10910.5</v>
      </c>
      <c r="E1567" s="155">
        <v>44789</v>
      </c>
      <c r="F1567" s="178">
        <v>10910.5</v>
      </c>
      <c r="G1567" s="179">
        <f>Tabla19[[#This Row],[Importe]]-Tabla19[[#This Row],[Pagado]]</f>
        <v>0</v>
      </c>
      <c r="H1567" s="153" t="s">
        <v>10</v>
      </c>
    </row>
    <row r="1568" spans="1:8" x14ac:dyDescent="0.25">
      <c r="A1568" s="73">
        <v>44789</v>
      </c>
      <c r="B1568" s="74" t="s">
        <v>26285</v>
      </c>
      <c r="C1568" s="75" t="s">
        <v>226</v>
      </c>
      <c r="D1568" s="176">
        <v>13083.2</v>
      </c>
      <c r="E1568" s="151">
        <v>44789</v>
      </c>
      <c r="F1568" s="176">
        <v>13083.2</v>
      </c>
      <c r="G1568" s="177">
        <f>Tabla19[[#This Row],[Importe]]-Tabla19[[#This Row],[Pagado]]</f>
        <v>0</v>
      </c>
      <c r="H1568" s="75" t="s">
        <v>10</v>
      </c>
    </row>
    <row r="1569" spans="1:8" x14ac:dyDescent="0.25">
      <c r="A1569" s="148">
        <v>44789</v>
      </c>
      <c r="B1569" s="149" t="s">
        <v>26286</v>
      </c>
      <c r="C1569" s="153" t="s">
        <v>24</v>
      </c>
      <c r="D1569" s="178">
        <v>520</v>
      </c>
      <c r="E1569" s="155">
        <v>44789</v>
      </c>
      <c r="F1569" s="178">
        <v>520</v>
      </c>
      <c r="G1569" s="179">
        <f>Tabla19[[#This Row],[Importe]]-Tabla19[[#This Row],[Pagado]]</f>
        <v>0</v>
      </c>
      <c r="H1569" s="153" t="s">
        <v>10</v>
      </c>
    </row>
    <row r="1570" spans="1:8" x14ac:dyDescent="0.25">
      <c r="A1570" s="73">
        <v>44789</v>
      </c>
      <c r="B1570" s="74" t="s">
        <v>26287</v>
      </c>
      <c r="C1570" s="75" t="s">
        <v>224</v>
      </c>
      <c r="D1570" s="176">
        <v>1080</v>
      </c>
      <c r="E1570" s="151">
        <v>44789</v>
      </c>
      <c r="F1570" s="176">
        <v>1080</v>
      </c>
      <c r="G1570" s="177">
        <f>Tabla19[[#This Row],[Importe]]-Tabla19[[#This Row],[Pagado]]</f>
        <v>0</v>
      </c>
      <c r="H1570" s="75" t="s">
        <v>10</v>
      </c>
    </row>
    <row r="1571" spans="1:8" x14ac:dyDescent="0.25">
      <c r="A1571" s="148">
        <v>44789</v>
      </c>
      <c r="B1571" s="149" t="s">
        <v>26288</v>
      </c>
      <c r="C1571" s="153" t="s">
        <v>191</v>
      </c>
      <c r="D1571" s="178">
        <v>1840.3</v>
      </c>
      <c r="E1571" s="155">
        <v>44789</v>
      </c>
      <c r="F1571" s="178">
        <v>1840.3</v>
      </c>
      <c r="G1571" s="179">
        <f>Tabla19[[#This Row],[Importe]]-Tabla19[[#This Row],[Pagado]]</f>
        <v>0</v>
      </c>
      <c r="H1571" s="153" t="s">
        <v>10</v>
      </c>
    </row>
    <row r="1572" spans="1:8" x14ac:dyDescent="0.25">
      <c r="A1572" s="73">
        <v>44789</v>
      </c>
      <c r="B1572" s="74" t="s">
        <v>26289</v>
      </c>
      <c r="C1572" s="75" t="s">
        <v>191</v>
      </c>
      <c r="D1572" s="176">
        <v>418</v>
      </c>
      <c r="E1572" s="151">
        <v>44789</v>
      </c>
      <c r="F1572" s="176">
        <v>418</v>
      </c>
      <c r="G1572" s="177">
        <f>Tabla19[[#This Row],[Importe]]-Tabla19[[#This Row],[Pagado]]</f>
        <v>0</v>
      </c>
      <c r="H1572" s="75" t="s">
        <v>10</v>
      </c>
    </row>
    <row r="1573" spans="1:8" x14ac:dyDescent="0.25">
      <c r="A1573" s="148">
        <v>44789</v>
      </c>
      <c r="B1573" s="149" t="s">
        <v>26290</v>
      </c>
      <c r="C1573" s="153" t="s">
        <v>62</v>
      </c>
      <c r="D1573" s="178">
        <v>4170</v>
      </c>
      <c r="E1573" s="155">
        <v>44789</v>
      </c>
      <c r="F1573" s="178">
        <v>4170</v>
      </c>
      <c r="G1573" s="179">
        <f>Tabla19[[#This Row],[Importe]]-Tabla19[[#This Row],[Pagado]]</f>
        <v>0</v>
      </c>
      <c r="H1573" s="153" t="s">
        <v>10</v>
      </c>
    </row>
    <row r="1574" spans="1:8" x14ac:dyDescent="0.25">
      <c r="A1574" s="73">
        <v>44789</v>
      </c>
      <c r="B1574" s="74" t="s">
        <v>26291</v>
      </c>
      <c r="C1574" s="75" t="s">
        <v>1003</v>
      </c>
      <c r="D1574" s="176">
        <v>10622.8</v>
      </c>
      <c r="E1574" s="151">
        <v>44793</v>
      </c>
      <c r="F1574" s="176">
        <v>10622.8</v>
      </c>
      <c r="G1574" s="177">
        <f>Tabla19[[#This Row],[Importe]]-Tabla19[[#This Row],[Pagado]]</f>
        <v>0</v>
      </c>
      <c r="H1574" s="75" t="s">
        <v>10</v>
      </c>
    </row>
    <row r="1575" spans="1:8" x14ac:dyDescent="0.25">
      <c r="A1575" s="148">
        <v>44789</v>
      </c>
      <c r="B1575" s="149" t="s">
        <v>26292</v>
      </c>
      <c r="C1575" s="153" t="s">
        <v>407</v>
      </c>
      <c r="D1575" s="178">
        <v>25755.599999999999</v>
      </c>
      <c r="E1575" s="155">
        <v>44789</v>
      </c>
      <c r="F1575" s="178">
        <v>25755.599999999999</v>
      </c>
      <c r="G1575" s="179">
        <f>Tabla19[[#This Row],[Importe]]-Tabla19[[#This Row],[Pagado]]</f>
        <v>0</v>
      </c>
      <c r="H1575" s="153" t="s">
        <v>10</v>
      </c>
    </row>
    <row r="1576" spans="1:8" x14ac:dyDescent="0.25">
      <c r="A1576" s="73">
        <v>44789</v>
      </c>
      <c r="B1576" s="74" t="s">
        <v>26293</v>
      </c>
      <c r="C1576" s="75" t="s">
        <v>67</v>
      </c>
      <c r="D1576" s="176">
        <v>2570.4</v>
      </c>
      <c r="E1576" s="151">
        <v>44789</v>
      </c>
      <c r="F1576" s="176">
        <v>2570.4</v>
      </c>
      <c r="G1576" s="177">
        <f>Tabla19[[#This Row],[Importe]]-Tabla19[[#This Row],[Pagado]]</f>
        <v>0</v>
      </c>
      <c r="H1576" s="75" t="s">
        <v>10</v>
      </c>
    </row>
    <row r="1577" spans="1:8" x14ac:dyDescent="0.25">
      <c r="A1577" s="148">
        <v>44789</v>
      </c>
      <c r="B1577" s="149" t="s">
        <v>26294</v>
      </c>
      <c r="C1577" s="153" t="s">
        <v>167</v>
      </c>
      <c r="D1577" s="178">
        <v>126868</v>
      </c>
      <c r="E1577" s="155">
        <v>44789</v>
      </c>
      <c r="F1577" s="178">
        <v>126868</v>
      </c>
      <c r="G1577" s="179">
        <f>Tabla19[[#This Row],[Importe]]-Tabla19[[#This Row],[Pagado]]</f>
        <v>0</v>
      </c>
      <c r="H1577" s="153" t="s">
        <v>10</v>
      </c>
    </row>
    <row r="1578" spans="1:8" x14ac:dyDescent="0.25">
      <c r="A1578" s="73">
        <v>44789</v>
      </c>
      <c r="B1578" s="74" t="s">
        <v>26295</v>
      </c>
      <c r="C1578" s="75" t="s">
        <v>244</v>
      </c>
      <c r="D1578" s="176">
        <v>1268.4000000000001</v>
      </c>
      <c r="E1578" s="151">
        <v>44789</v>
      </c>
      <c r="F1578" s="176">
        <v>1268.4000000000001</v>
      </c>
      <c r="G1578" s="177">
        <f>Tabla19[[#This Row],[Importe]]-Tabla19[[#This Row],[Pagado]]</f>
        <v>0</v>
      </c>
      <c r="H1578" s="75" t="s">
        <v>10</v>
      </c>
    </row>
    <row r="1579" spans="1:8" x14ac:dyDescent="0.25">
      <c r="A1579" s="148">
        <v>44789</v>
      </c>
      <c r="B1579" s="149" t="s">
        <v>26296</v>
      </c>
      <c r="C1579" s="153" t="s">
        <v>53</v>
      </c>
      <c r="D1579" s="178">
        <v>716.5</v>
      </c>
      <c r="E1579" s="155">
        <v>44789</v>
      </c>
      <c r="F1579" s="178">
        <v>716.5</v>
      </c>
      <c r="G1579" s="179">
        <f>Tabla19[[#This Row],[Importe]]-Tabla19[[#This Row],[Pagado]]</f>
        <v>0</v>
      </c>
      <c r="H1579" s="153" t="s">
        <v>10</v>
      </c>
    </row>
    <row r="1580" spans="1:8" x14ac:dyDescent="0.25">
      <c r="A1580" s="73">
        <v>44789</v>
      </c>
      <c r="B1580" s="74" t="s">
        <v>26297</v>
      </c>
      <c r="C1580" s="75" t="s">
        <v>840</v>
      </c>
      <c r="D1580" s="176">
        <v>15985.5</v>
      </c>
      <c r="E1580" s="151">
        <v>44789</v>
      </c>
      <c r="F1580" s="176">
        <v>15985.5</v>
      </c>
      <c r="G1580" s="177">
        <f>Tabla19[[#This Row],[Importe]]-Tabla19[[#This Row],[Pagado]]</f>
        <v>0</v>
      </c>
      <c r="H1580" s="75" t="s">
        <v>10</v>
      </c>
    </row>
    <row r="1581" spans="1:8" x14ac:dyDescent="0.25">
      <c r="A1581" s="148">
        <v>44789</v>
      </c>
      <c r="B1581" s="149" t="s">
        <v>26298</v>
      </c>
      <c r="C1581" s="153" t="s">
        <v>296</v>
      </c>
      <c r="D1581" s="178">
        <v>4012.8</v>
      </c>
      <c r="E1581" s="155">
        <v>44789</v>
      </c>
      <c r="F1581" s="178">
        <v>4012.8</v>
      </c>
      <c r="G1581" s="179">
        <f>Tabla19[[#This Row],[Importe]]-Tabla19[[#This Row],[Pagado]]</f>
        <v>0</v>
      </c>
      <c r="H1581" s="153" t="s">
        <v>10</v>
      </c>
    </row>
    <row r="1582" spans="1:8" x14ac:dyDescent="0.25">
      <c r="A1582" s="73">
        <v>44789</v>
      </c>
      <c r="B1582" s="74" t="s">
        <v>26299</v>
      </c>
      <c r="C1582" s="75" t="s">
        <v>440</v>
      </c>
      <c r="D1582" s="176">
        <v>7038.36</v>
      </c>
      <c r="E1582" s="151">
        <v>44799</v>
      </c>
      <c r="F1582" s="176">
        <v>7038.36</v>
      </c>
      <c r="G1582" s="177">
        <f>Tabla19[[#This Row],[Importe]]-Tabla19[[#This Row],[Pagado]]</f>
        <v>0</v>
      </c>
      <c r="H1582" s="75" t="s">
        <v>10</v>
      </c>
    </row>
    <row r="1583" spans="1:8" x14ac:dyDescent="0.25">
      <c r="A1583" s="148">
        <v>44789</v>
      </c>
      <c r="B1583" s="149" t="s">
        <v>26300</v>
      </c>
      <c r="C1583" s="153" t="s">
        <v>198</v>
      </c>
      <c r="D1583" s="178">
        <v>5812.5</v>
      </c>
      <c r="E1583" s="155">
        <v>44790</v>
      </c>
      <c r="F1583" s="178">
        <v>5812.5</v>
      </c>
      <c r="G1583" s="179">
        <f>Tabla19[[#This Row],[Importe]]-Tabla19[[#This Row],[Pagado]]</f>
        <v>0</v>
      </c>
      <c r="H1583" s="153" t="s">
        <v>10</v>
      </c>
    </row>
    <row r="1584" spans="1:8" x14ac:dyDescent="0.25">
      <c r="A1584" s="73">
        <v>44789</v>
      </c>
      <c r="B1584" s="74" t="s">
        <v>26301</v>
      </c>
      <c r="C1584" s="75" t="s">
        <v>426</v>
      </c>
      <c r="D1584" s="176">
        <v>4089.6</v>
      </c>
      <c r="E1584" s="151">
        <v>44790</v>
      </c>
      <c r="F1584" s="176">
        <v>4089.6</v>
      </c>
      <c r="G1584" s="177">
        <f>Tabla19[[#This Row],[Importe]]-Tabla19[[#This Row],[Pagado]]</f>
        <v>0</v>
      </c>
      <c r="H1584" s="75" t="s">
        <v>10</v>
      </c>
    </row>
    <row r="1585" spans="1:8" x14ac:dyDescent="0.25">
      <c r="A1585" s="148">
        <v>44789</v>
      </c>
      <c r="B1585" s="149" t="s">
        <v>26302</v>
      </c>
      <c r="C1585" s="153" t="s">
        <v>10819</v>
      </c>
      <c r="D1585" s="178">
        <v>824</v>
      </c>
      <c r="E1585" s="155">
        <v>44790</v>
      </c>
      <c r="F1585" s="178">
        <v>824</v>
      </c>
      <c r="G1585" s="179">
        <f>Tabla19[[#This Row],[Importe]]-Tabla19[[#This Row],[Pagado]]</f>
        <v>0</v>
      </c>
      <c r="H1585" s="153" t="s">
        <v>10</v>
      </c>
    </row>
    <row r="1586" spans="1:8" x14ac:dyDescent="0.25">
      <c r="A1586" s="73">
        <v>44789</v>
      </c>
      <c r="B1586" s="74" t="s">
        <v>26303</v>
      </c>
      <c r="C1586" s="75" t="s">
        <v>282</v>
      </c>
      <c r="D1586" s="176">
        <v>3064</v>
      </c>
      <c r="E1586" s="151">
        <v>44790</v>
      </c>
      <c r="F1586" s="176">
        <v>3064</v>
      </c>
      <c r="G1586" s="177">
        <f>Tabla19[[#This Row],[Importe]]-Tabla19[[#This Row],[Pagado]]</f>
        <v>0</v>
      </c>
      <c r="H1586" s="75" t="s">
        <v>10</v>
      </c>
    </row>
    <row r="1587" spans="1:8" x14ac:dyDescent="0.25">
      <c r="A1587" s="148">
        <v>44789</v>
      </c>
      <c r="B1587" s="149" t="s">
        <v>26304</v>
      </c>
      <c r="C1587" s="153" t="s">
        <v>419</v>
      </c>
      <c r="D1587" s="178">
        <v>7645.2</v>
      </c>
      <c r="E1587" s="155">
        <v>44789</v>
      </c>
      <c r="F1587" s="178">
        <v>7645.2</v>
      </c>
      <c r="G1587" s="179">
        <f>Tabla19[[#This Row],[Importe]]-Tabla19[[#This Row],[Pagado]]</f>
        <v>0</v>
      </c>
      <c r="H1587" s="153" t="s">
        <v>10</v>
      </c>
    </row>
    <row r="1588" spans="1:8" x14ac:dyDescent="0.25">
      <c r="A1588" s="73">
        <v>44789</v>
      </c>
      <c r="B1588" s="74" t="s">
        <v>26305</v>
      </c>
      <c r="C1588" s="75" t="s">
        <v>419</v>
      </c>
      <c r="D1588" s="176">
        <v>4108.8999999999996</v>
      </c>
      <c r="E1588" s="151">
        <v>44789</v>
      </c>
      <c r="F1588" s="176">
        <v>4108.8999999999996</v>
      </c>
      <c r="G1588" s="177">
        <f>Tabla19[[#This Row],[Importe]]-Tabla19[[#This Row],[Pagado]]</f>
        <v>0</v>
      </c>
      <c r="H1588" s="75" t="s">
        <v>10</v>
      </c>
    </row>
    <row r="1589" spans="1:8" x14ac:dyDescent="0.25">
      <c r="A1589" s="148">
        <v>44789</v>
      </c>
      <c r="B1589" s="149" t="s">
        <v>26306</v>
      </c>
      <c r="C1589" s="153" t="s">
        <v>56</v>
      </c>
      <c r="D1589" s="178">
        <v>5272.5</v>
      </c>
      <c r="E1589" s="155">
        <v>44789</v>
      </c>
      <c r="F1589" s="178">
        <v>5272.5</v>
      </c>
      <c r="G1589" s="179">
        <f>Tabla19[[#This Row],[Importe]]-Tabla19[[#This Row],[Pagado]]</f>
        <v>0</v>
      </c>
      <c r="H1589" s="153" t="s">
        <v>10</v>
      </c>
    </row>
    <row r="1590" spans="1:8" x14ac:dyDescent="0.25">
      <c r="A1590" s="73">
        <v>44789</v>
      </c>
      <c r="B1590" s="74" t="s">
        <v>26307</v>
      </c>
      <c r="C1590" s="75" t="s">
        <v>142</v>
      </c>
      <c r="D1590" s="176">
        <v>19406.900000000001</v>
      </c>
      <c r="E1590" s="151" t="s">
        <v>4813</v>
      </c>
      <c r="F1590" s="176">
        <v>0</v>
      </c>
      <c r="G1590" s="177">
        <f>Tabla19[[#This Row],[Importe]]-Tabla19[[#This Row],[Pagado]]</f>
        <v>19406.900000000001</v>
      </c>
      <c r="H1590" s="75" t="s">
        <v>4814</v>
      </c>
    </row>
    <row r="1591" spans="1:8" x14ac:dyDescent="0.25">
      <c r="A1591" s="148">
        <v>44789</v>
      </c>
      <c r="B1591" s="149" t="s">
        <v>26308</v>
      </c>
      <c r="C1591" s="153" t="s">
        <v>179</v>
      </c>
      <c r="D1591" s="178">
        <v>1965.6</v>
      </c>
      <c r="E1591" s="155">
        <v>44790</v>
      </c>
      <c r="F1591" s="178">
        <v>1965.6</v>
      </c>
      <c r="G1591" s="179">
        <f>Tabla19[[#This Row],[Importe]]-Tabla19[[#This Row],[Pagado]]</f>
        <v>0</v>
      </c>
      <c r="H1591" s="153" t="s">
        <v>10</v>
      </c>
    </row>
    <row r="1592" spans="1:8" x14ac:dyDescent="0.25">
      <c r="A1592" s="73">
        <v>44789</v>
      </c>
      <c r="B1592" s="74" t="s">
        <v>26309</v>
      </c>
      <c r="C1592" s="75" t="s">
        <v>10819</v>
      </c>
      <c r="D1592" s="176">
        <v>40</v>
      </c>
      <c r="E1592" s="151">
        <v>44790</v>
      </c>
      <c r="F1592" s="176">
        <v>40</v>
      </c>
      <c r="G1592" s="177">
        <f>Tabla19[[#This Row],[Importe]]-Tabla19[[#This Row],[Pagado]]</f>
        <v>0</v>
      </c>
      <c r="H1592" s="75" t="s">
        <v>10</v>
      </c>
    </row>
    <row r="1593" spans="1:8" x14ac:dyDescent="0.25">
      <c r="A1593" s="148">
        <v>44789</v>
      </c>
      <c r="B1593" s="149" t="s">
        <v>26310</v>
      </c>
      <c r="C1593" s="153" t="s">
        <v>698</v>
      </c>
      <c r="D1593" s="178">
        <v>8100</v>
      </c>
      <c r="E1593" s="155">
        <v>44789</v>
      </c>
      <c r="F1593" s="178">
        <v>8100</v>
      </c>
      <c r="G1593" s="179">
        <f>Tabla19[[#This Row],[Importe]]-Tabla19[[#This Row],[Pagado]]</f>
        <v>0</v>
      </c>
      <c r="H1593" s="153" t="s">
        <v>10</v>
      </c>
    </row>
    <row r="1594" spans="1:8" x14ac:dyDescent="0.25">
      <c r="A1594" s="73">
        <v>44789</v>
      </c>
      <c r="B1594" s="74" t="s">
        <v>26311</v>
      </c>
      <c r="C1594" s="75" t="s">
        <v>31</v>
      </c>
      <c r="D1594" s="176">
        <v>5534</v>
      </c>
      <c r="E1594" s="151">
        <v>44789</v>
      </c>
      <c r="F1594" s="176">
        <v>5534</v>
      </c>
      <c r="G1594" s="177">
        <f>Tabla19[[#This Row],[Importe]]-Tabla19[[#This Row],[Pagado]]</f>
        <v>0</v>
      </c>
      <c r="H1594" s="75" t="s">
        <v>10</v>
      </c>
    </row>
    <row r="1595" spans="1:8" x14ac:dyDescent="0.25">
      <c r="A1595" s="148">
        <v>44789</v>
      </c>
      <c r="B1595" s="149" t="s">
        <v>26312</v>
      </c>
      <c r="C1595" s="153" t="s">
        <v>26313</v>
      </c>
      <c r="D1595" s="178">
        <v>0</v>
      </c>
      <c r="E1595" s="158" t="s">
        <v>189</v>
      </c>
      <c r="F1595" s="178">
        <v>0</v>
      </c>
      <c r="G1595" s="179">
        <f>Tabla19[[#This Row],[Importe]]-Tabla19[[#This Row],[Pagado]]</f>
        <v>0</v>
      </c>
      <c r="H1595" s="153" t="s">
        <v>189</v>
      </c>
    </row>
    <row r="1596" spans="1:8" x14ac:dyDescent="0.25">
      <c r="A1596" s="73">
        <v>44789</v>
      </c>
      <c r="B1596" s="74" t="s">
        <v>26314</v>
      </c>
      <c r="C1596" s="75" t="s">
        <v>8190</v>
      </c>
      <c r="D1596" s="176">
        <v>2664</v>
      </c>
      <c r="E1596" s="151">
        <v>44789</v>
      </c>
      <c r="F1596" s="176">
        <v>2664</v>
      </c>
      <c r="G1596" s="177">
        <f>Tabla19[[#This Row],[Importe]]-Tabla19[[#This Row],[Pagado]]</f>
        <v>0</v>
      </c>
      <c r="H1596" s="75" t="s">
        <v>10</v>
      </c>
    </row>
    <row r="1597" spans="1:8" x14ac:dyDescent="0.25">
      <c r="A1597" s="148">
        <v>44789</v>
      </c>
      <c r="B1597" s="149" t="s">
        <v>26315</v>
      </c>
      <c r="C1597" s="153" t="s">
        <v>31</v>
      </c>
      <c r="D1597" s="178">
        <v>13150.2</v>
      </c>
      <c r="E1597" s="155">
        <v>44789</v>
      </c>
      <c r="F1597" s="178">
        <v>13150.2</v>
      </c>
      <c r="G1597" s="179">
        <f>Tabla19[[#This Row],[Importe]]-Tabla19[[#This Row],[Pagado]]</f>
        <v>0</v>
      </c>
      <c r="H1597" s="153" t="s">
        <v>10</v>
      </c>
    </row>
    <row r="1598" spans="1:8" x14ac:dyDescent="0.25">
      <c r="A1598" s="73">
        <v>44789</v>
      </c>
      <c r="B1598" s="74" t="s">
        <v>26316</v>
      </c>
      <c r="C1598" s="75" t="s">
        <v>448</v>
      </c>
      <c r="D1598" s="176">
        <v>20448</v>
      </c>
      <c r="E1598" s="151">
        <v>44789</v>
      </c>
      <c r="F1598" s="176">
        <v>20448</v>
      </c>
      <c r="G1598" s="177">
        <f>Tabla19[[#This Row],[Importe]]-Tabla19[[#This Row],[Pagado]]</f>
        <v>0</v>
      </c>
      <c r="H1598" s="75" t="s">
        <v>10</v>
      </c>
    </row>
    <row r="1599" spans="1:8" x14ac:dyDescent="0.25">
      <c r="A1599" s="148">
        <v>44789</v>
      </c>
      <c r="B1599" s="149" t="s">
        <v>26317</v>
      </c>
      <c r="C1599" s="153" t="s">
        <v>5694</v>
      </c>
      <c r="D1599" s="178">
        <v>4309.2</v>
      </c>
      <c r="E1599" s="155">
        <v>44789</v>
      </c>
      <c r="F1599" s="178">
        <v>4309.2</v>
      </c>
      <c r="G1599" s="179">
        <f>Tabla19[[#This Row],[Importe]]-Tabla19[[#This Row],[Pagado]]</f>
        <v>0</v>
      </c>
      <c r="H1599" s="153" t="s">
        <v>10</v>
      </c>
    </row>
    <row r="1600" spans="1:8" x14ac:dyDescent="0.25">
      <c r="A1600" s="73">
        <v>44789</v>
      </c>
      <c r="B1600" s="74" t="s">
        <v>26318</v>
      </c>
      <c r="C1600" s="75" t="s">
        <v>452</v>
      </c>
      <c r="D1600" s="176">
        <v>4472</v>
      </c>
      <c r="E1600" s="151">
        <v>44789</v>
      </c>
      <c r="F1600" s="176">
        <v>4472</v>
      </c>
      <c r="G1600" s="177">
        <f>Tabla19[[#This Row],[Importe]]-Tabla19[[#This Row],[Pagado]]</f>
        <v>0</v>
      </c>
      <c r="H1600" s="75" t="s">
        <v>10</v>
      </c>
    </row>
    <row r="1601" spans="1:8" x14ac:dyDescent="0.25">
      <c r="A1601" s="148">
        <v>44789</v>
      </c>
      <c r="B1601" s="149" t="s">
        <v>26319</v>
      </c>
      <c r="C1601" s="153" t="s">
        <v>31</v>
      </c>
      <c r="D1601" s="178">
        <v>2040</v>
      </c>
      <c r="E1601" s="155">
        <v>44789</v>
      </c>
      <c r="F1601" s="178">
        <v>2040</v>
      </c>
      <c r="G1601" s="179">
        <f>Tabla19[[#This Row],[Importe]]-Tabla19[[#This Row],[Pagado]]</f>
        <v>0</v>
      </c>
      <c r="H1601" s="153" t="s">
        <v>10</v>
      </c>
    </row>
    <row r="1602" spans="1:8" x14ac:dyDescent="0.25">
      <c r="A1602" s="73">
        <v>44789</v>
      </c>
      <c r="B1602" s="74" t="s">
        <v>26320</v>
      </c>
      <c r="C1602" s="75" t="s">
        <v>22</v>
      </c>
      <c r="D1602" s="176">
        <v>3012</v>
      </c>
      <c r="E1602" s="151">
        <v>44789</v>
      </c>
      <c r="F1602" s="176">
        <v>3012</v>
      </c>
      <c r="G1602" s="177">
        <f>Tabla19[[#This Row],[Importe]]-Tabla19[[#This Row],[Pagado]]</f>
        <v>0</v>
      </c>
      <c r="H1602" s="75" t="s">
        <v>10</v>
      </c>
    </row>
    <row r="1603" spans="1:8" x14ac:dyDescent="0.25">
      <c r="A1603" s="148">
        <v>44789</v>
      </c>
      <c r="B1603" s="149" t="s">
        <v>26321</v>
      </c>
      <c r="C1603" s="153" t="s">
        <v>31</v>
      </c>
      <c r="D1603" s="178">
        <v>3000</v>
      </c>
      <c r="E1603" s="155">
        <v>44789</v>
      </c>
      <c r="F1603" s="178">
        <v>3000</v>
      </c>
      <c r="G1603" s="179">
        <f>Tabla19[[#This Row],[Importe]]-Tabla19[[#This Row],[Pagado]]</f>
        <v>0</v>
      </c>
      <c r="H1603" s="153" t="s">
        <v>10</v>
      </c>
    </row>
    <row r="1604" spans="1:8" x14ac:dyDescent="0.25">
      <c r="A1604" s="73">
        <v>44789</v>
      </c>
      <c r="B1604" s="74" t="s">
        <v>26322</v>
      </c>
      <c r="C1604" s="75" t="s">
        <v>31</v>
      </c>
      <c r="D1604" s="176">
        <v>6067.2</v>
      </c>
      <c r="E1604" s="151">
        <v>44789</v>
      </c>
      <c r="F1604" s="176">
        <v>6067.2</v>
      </c>
      <c r="G1604" s="177">
        <f>Tabla19[[#This Row],[Importe]]-Tabla19[[#This Row],[Pagado]]</f>
        <v>0</v>
      </c>
      <c r="H1604" s="75" t="s">
        <v>10</v>
      </c>
    </row>
    <row r="1605" spans="1:8" x14ac:dyDescent="0.25">
      <c r="A1605" s="148">
        <v>44789</v>
      </c>
      <c r="B1605" s="149" t="s">
        <v>26323</v>
      </c>
      <c r="C1605" s="153" t="s">
        <v>296</v>
      </c>
      <c r="D1605" s="178">
        <v>2048.5</v>
      </c>
      <c r="E1605" s="155">
        <v>44789</v>
      </c>
      <c r="F1605" s="178">
        <v>2048.5</v>
      </c>
      <c r="G1605" s="179">
        <f>Tabla19[[#This Row],[Importe]]-Tabla19[[#This Row],[Pagado]]</f>
        <v>0</v>
      </c>
      <c r="H1605" s="153" t="s">
        <v>10</v>
      </c>
    </row>
    <row r="1606" spans="1:8" x14ac:dyDescent="0.25">
      <c r="A1606" s="73">
        <v>44789</v>
      </c>
      <c r="B1606" s="74" t="s">
        <v>26324</v>
      </c>
      <c r="C1606" s="75" t="s">
        <v>407</v>
      </c>
      <c r="D1606" s="176">
        <v>10800</v>
      </c>
      <c r="E1606" s="151">
        <v>44790</v>
      </c>
      <c r="F1606" s="176">
        <v>10800</v>
      </c>
      <c r="G1606" s="177">
        <f>Tabla19[[#This Row],[Importe]]-Tabla19[[#This Row],[Pagado]]</f>
        <v>0</v>
      </c>
      <c r="H1606" s="75" t="s">
        <v>10</v>
      </c>
    </row>
    <row r="1607" spans="1:8" x14ac:dyDescent="0.25">
      <c r="A1607" s="148">
        <v>44789</v>
      </c>
      <c r="B1607" s="149" t="s">
        <v>26325</v>
      </c>
      <c r="C1607" s="153" t="s">
        <v>1174</v>
      </c>
      <c r="D1607" s="178">
        <v>8540</v>
      </c>
      <c r="E1607" s="155">
        <v>44789</v>
      </c>
      <c r="F1607" s="178">
        <v>8540</v>
      </c>
      <c r="G1607" s="179">
        <f>Tabla19[[#This Row],[Importe]]-Tabla19[[#This Row],[Pagado]]</f>
        <v>0</v>
      </c>
      <c r="H1607" s="153" t="s">
        <v>10</v>
      </c>
    </row>
    <row r="1608" spans="1:8" x14ac:dyDescent="0.25">
      <c r="A1608" s="73">
        <v>44789</v>
      </c>
      <c r="B1608" s="74" t="s">
        <v>26326</v>
      </c>
      <c r="C1608" s="75" t="s">
        <v>612</v>
      </c>
      <c r="D1608" s="176">
        <v>606</v>
      </c>
      <c r="E1608" s="151">
        <v>44789</v>
      </c>
      <c r="F1608" s="176">
        <v>606</v>
      </c>
      <c r="G1608" s="177">
        <f>Tabla19[[#This Row],[Importe]]-Tabla19[[#This Row],[Pagado]]</f>
        <v>0</v>
      </c>
      <c r="H1608" s="75" t="s">
        <v>10</v>
      </c>
    </row>
    <row r="1609" spans="1:8" x14ac:dyDescent="0.25">
      <c r="A1609" s="148">
        <v>44789</v>
      </c>
      <c r="B1609" s="149" t="s">
        <v>26327</v>
      </c>
      <c r="C1609" s="153" t="s">
        <v>140</v>
      </c>
      <c r="D1609" s="178">
        <v>5427.5</v>
      </c>
      <c r="E1609" s="155">
        <v>44789</v>
      </c>
      <c r="F1609" s="178">
        <v>5427.5</v>
      </c>
      <c r="G1609" s="179">
        <f>Tabla19[[#This Row],[Importe]]-Tabla19[[#This Row],[Pagado]]</f>
        <v>0</v>
      </c>
      <c r="H1609" s="153" t="s">
        <v>10</v>
      </c>
    </row>
    <row r="1610" spans="1:8" x14ac:dyDescent="0.25">
      <c r="A1610" s="73">
        <v>44789</v>
      </c>
      <c r="B1610" s="74" t="s">
        <v>26328</v>
      </c>
      <c r="C1610" s="75" t="s">
        <v>1008</v>
      </c>
      <c r="D1610" s="176">
        <v>1017</v>
      </c>
      <c r="E1610" s="151">
        <v>44789</v>
      </c>
      <c r="F1610" s="176">
        <v>1017</v>
      </c>
      <c r="G1610" s="177">
        <f>Tabla19[[#This Row],[Importe]]-Tabla19[[#This Row],[Pagado]]</f>
        <v>0</v>
      </c>
      <c r="H1610" s="75" t="s">
        <v>10</v>
      </c>
    </row>
    <row r="1611" spans="1:8" x14ac:dyDescent="0.25">
      <c r="A1611" s="148">
        <v>44789</v>
      </c>
      <c r="B1611" s="149" t="s">
        <v>26329</v>
      </c>
      <c r="C1611" s="153" t="s">
        <v>69</v>
      </c>
      <c r="D1611" s="178">
        <v>1742.4</v>
      </c>
      <c r="E1611" s="155">
        <v>44789</v>
      </c>
      <c r="F1611" s="178">
        <v>1742.4</v>
      </c>
      <c r="G1611" s="179">
        <f>Tabla19[[#This Row],[Importe]]-Tabla19[[#This Row],[Pagado]]</f>
        <v>0</v>
      </c>
      <c r="H1611" s="153" t="s">
        <v>10</v>
      </c>
    </row>
    <row r="1612" spans="1:8" x14ac:dyDescent="0.25">
      <c r="A1612" s="73">
        <v>44789</v>
      </c>
      <c r="B1612" s="74" t="s">
        <v>26330</v>
      </c>
      <c r="C1612" s="75" t="s">
        <v>12</v>
      </c>
      <c r="D1612" s="176">
        <v>525</v>
      </c>
      <c r="E1612" s="151">
        <v>44790</v>
      </c>
      <c r="F1612" s="176">
        <v>525</v>
      </c>
      <c r="G1612" s="177">
        <f>Tabla19[[#This Row],[Importe]]-Tabla19[[#This Row],[Pagado]]</f>
        <v>0</v>
      </c>
      <c r="H1612" s="75" t="s">
        <v>10</v>
      </c>
    </row>
    <row r="1613" spans="1:8" x14ac:dyDescent="0.25">
      <c r="A1613" s="148">
        <v>44789</v>
      </c>
      <c r="B1613" s="149" t="s">
        <v>26331</v>
      </c>
      <c r="C1613" s="153" t="s">
        <v>1706</v>
      </c>
      <c r="D1613" s="178">
        <v>8086</v>
      </c>
      <c r="E1613" s="155">
        <v>44786</v>
      </c>
      <c r="F1613" s="178">
        <v>8086</v>
      </c>
      <c r="G1613" s="179">
        <f>Tabla19[[#This Row],[Importe]]-Tabla19[[#This Row],[Pagado]]</f>
        <v>0</v>
      </c>
      <c r="H1613" s="153" t="s">
        <v>10</v>
      </c>
    </row>
    <row r="1614" spans="1:8" x14ac:dyDescent="0.25">
      <c r="A1614" s="73">
        <v>44789</v>
      </c>
      <c r="B1614" s="74" t="s">
        <v>26332</v>
      </c>
      <c r="C1614" s="75" t="s">
        <v>275</v>
      </c>
      <c r="D1614" s="176">
        <v>27045.599999999999</v>
      </c>
      <c r="E1614" s="151" t="s">
        <v>4813</v>
      </c>
      <c r="F1614" s="176">
        <v>0</v>
      </c>
      <c r="G1614" s="177">
        <f>Tabla19[[#This Row],[Importe]]-Tabla19[[#This Row],[Pagado]]</f>
        <v>27045.599999999999</v>
      </c>
      <c r="H1614" s="75" t="s">
        <v>4814</v>
      </c>
    </row>
    <row r="1615" spans="1:8" x14ac:dyDescent="0.25">
      <c r="A1615" s="148">
        <v>44789</v>
      </c>
      <c r="B1615" s="149" t="s">
        <v>26333</v>
      </c>
      <c r="C1615" s="153" t="s">
        <v>179</v>
      </c>
      <c r="D1615" s="178">
        <v>1760</v>
      </c>
      <c r="E1615" s="155">
        <v>44790</v>
      </c>
      <c r="F1615" s="178">
        <v>1760</v>
      </c>
      <c r="G1615" s="179">
        <f>Tabla19[[#This Row],[Importe]]-Tabla19[[#This Row],[Pagado]]</f>
        <v>0</v>
      </c>
      <c r="H1615" s="153" t="s">
        <v>10</v>
      </c>
    </row>
    <row r="1616" spans="1:8" x14ac:dyDescent="0.25">
      <c r="A1616" s="73">
        <v>44789</v>
      </c>
      <c r="B1616" s="74" t="s">
        <v>26334</v>
      </c>
      <c r="C1616" s="75" t="s">
        <v>135</v>
      </c>
      <c r="D1616" s="176">
        <v>2719.6</v>
      </c>
      <c r="E1616" s="151">
        <v>44790</v>
      </c>
      <c r="F1616" s="176">
        <v>2719.6</v>
      </c>
      <c r="G1616" s="177">
        <f>Tabla19[[#This Row],[Importe]]-Tabla19[[#This Row],[Pagado]]</f>
        <v>0</v>
      </c>
      <c r="H1616" s="75" t="s">
        <v>10</v>
      </c>
    </row>
    <row r="1617" spans="1:8" x14ac:dyDescent="0.25">
      <c r="A1617" s="148">
        <v>44789</v>
      </c>
      <c r="B1617" s="149" t="s">
        <v>26335</v>
      </c>
      <c r="C1617" s="153" t="s">
        <v>849</v>
      </c>
      <c r="D1617" s="178">
        <v>800</v>
      </c>
      <c r="E1617" s="155">
        <v>44789</v>
      </c>
      <c r="F1617" s="178">
        <v>800</v>
      </c>
      <c r="G1617" s="179">
        <f>Tabla19[[#This Row],[Importe]]-Tabla19[[#This Row],[Pagado]]</f>
        <v>0</v>
      </c>
      <c r="H1617" s="153" t="s">
        <v>10</v>
      </c>
    </row>
    <row r="1618" spans="1:8" x14ac:dyDescent="0.25">
      <c r="A1618" s="73">
        <v>44789</v>
      </c>
      <c r="B1618" s="74" t="s">
        <v>26336</v>
      </c>
      <c r="C1618" s="75" t="s">
        <v>450</v>
      </c>
      <c r="D1618" s="176">
        <v>8360</v>
      </c>
      <c r="E1618" s="151">
        <v>44789</v>
      </c>
      <c r="F1618" s="176">
        <v>8360</v>
      </c>
      <c r="G1618" s="177">
        <f>Tabla19[[#This Row],[Importe]]-Tabla19[[#This Row],[Pagado]]</f>
        <v>0</v>
      </c>
      <c r="H1618" s="75" t="s">
        <v>10</v>
      </c>
    </row>
    <row r="1619" spans="1:8" x14ac:dyDescent="0.25">
      <c r="A1619" s="148">
        <v>44790</v>
      </c>
      <c r="B1619" s="149" t="s">
        <v>26337</v>
      </c>
      <c r="C1619" s="153" t="s">
        <v>887</v>
      </c>
      <c r="D1619" s="178">
        <v>15444</v>
      </c>
      <c r="E1619" s="155">
        <v>44790</v>
      </c>
      <c r="F1619" s="178">
        <v>15444</v>
      </c>
      <c r="G1619" s="179">
        <f>Tabla19[[#This Row],[Importe]]-Tabla19[[#This Row],[Pagado]]</f>
        <v>0</v>
      </c>
      <c r="H1619" s="153" t="s">
        <v>10</v>
      </c>
    </row>
    <row r="1620" spans="1:8" ht="31.5" x14ac:dyDescent="0.25">
      <c r="A1620" s="73">
        <v>44790</v>
      </c>
      <c r="B1620" s="74" t="s">
        <v>26338</v>
      </c>
      <c r="C1620" s="75" t="s">
        <v>475</v>
      </c>
      <c r="D1620" s="176">
        <v>101548.5</v>
      </c>
      <c r="E1620" s="147" t="s">
        <v>26339</v>
      </c>
      <c r="F1620" s="176">
        <f>71000+30548.5</f>
        <v>101548.5</v>
      </c>
      <c r="G1620" s="177">
        <f>Tabla19[[#This Row],[Importe]]-Tabla19[[#This Row],[Pagado]]</f>
        <v>0</v>
      </c>
      <c r="H1620" s="75" t="s">
        <v>10</v>
      </c>
    </row>
    <row r="1621" spans="1:8" x14ac:dyDescent="0.25">
      <c r="A1621" s="148">
        <v>44790</v>
      </c>
      <c r="B1621" s="149" t="s">
        <v>26340</v>
      </c>
      <c r="C1621" s="153" t="s">
        <v>111</v>
      </c>
      <c r="D1621" s="178">
        <v>5424.3</v>
      </c>
      <c r="E1621" s="155">
        <v>44791</v>
      </c>
      <c r="F1621" s="178">
        <v>5424.3</v>
      </c>
      <c r="G1621" s="179">
        <f>Tabla19[[#This Row],[Importe]]-Tabla19[[#This Row],[Pagado]]</f>
        <v>0</v>
      </c>
      <c r="H1621" s="153" t="s">
        <v>10</v>
      </c>
    </row>
    <row r="1622" spans="1:8" x14ac:dyDescent="0.25">
      <c r="A1622" s="73">
        <v>44790</v>
      </c>
      <c r="B1622" s="74" t="s">
        <v>26341</v>
      </c>
      <c r="C1622" s="75" t="s">
        <v>114</v>
      </c>
      <c r="D1622" s="176">
        <v>6512</v>
      </c>
      <c r="E1622" s="151">
        <v>44791</v>
      </c>
      <c r="F1622" s="176">
        <v>6512</v>
      </c>
      <c r="G1622" s="177">
        <f>Tabla19[[#This Row],[Importe]]-Tabla19[[#This Row],[Pagado]]</f>
        <v>0</v>
      </c>
      <c r="H1622" s="75" t="s">
        <v>10</v>
      </c>
    </row>
    <row r="1623" spans="1:8" x14ac:dyDescent="0.25">
      <c r="A1623" s="148">
        <v>44790</v>
      </c>
      <c r="B1623" s="149" t="s">
        <v>26342</v>
      </c>
      <c r="C1623" s="153" t="s">
        <v>97</v>
      </c>
      <c r="D1623" s="178">
        <v>4868.5</v>
      </c>
      <c r="E1623" s="155">
        <v>44791</v>
      </c>
      <c r="F1623" s="178">
        <v>4868.5</v>
      </c>
      <c r="G1623" s="179">
        <f>Tabla19[[#This Row],[Importe]]-Tabla19[[#This Row],[Pagado]]</f>
        <v>0</v>
      </c>
      <c r="H1623" s="153" t="s">
        <v>10</v>
      </c>
    </row>
    <row r="1624" spans="1:8" x14ac:dyDescent="0.25">
      <c r="A1624" s="73">
        <v>44790</v>
      </c>
      <c r="B1624" s="74" t="s">
        <v>26343</v>
      </c>
      <c r="C1624" s="75" t="s">
        <v>109</v>
      </c>
      <c r="D1624" s="176">
        <v>5512.5</v>
      </c>
      <c r="E1624" s="151">
        <v>44791</v>
      </c>
      <c r="F1624" s="176">
        <v>5512.5</v>
      </c>
      <c r="G1624" s="177">
        <f>Tabla19[[#This Row],[Importe]]-Tabla19[[#This Row],[Pagado]]</f>
        <v>0</v>
      </c>
      <c r="H1624" s="75" t="s">
        <v>10</v>
      </c>
    </row>
    <row r="1625" spans="1:8" x14ac:dyDescent="0.25">
      <c r="A1625" s="148">
        <v>44790</v>
      </c>
      <c r="B1625" s="149" t="s">
        <v>26344</v>
      </c>
      <c r="C1625" s="153" t="s">
        <v>348</v>
      </c>
      <c r="D1625" s="178">
        <v>6079.5</v>
      </c>
      <c r="E1625" s="155">
        <v>44790</v>
      </c>
      <c r="F1625" s="178">
        <v>6079.5</v>
      </c>
      <c r="G1625" s="179">
        <f>Tabla19[[#This Row],[Importe]]-Tabla19[[#This Row],[Pagado]]</f>
        <v>0</v>
      </c>
      <c r="H1625" s="153" t="s">
        <v>10</v>
      </c>
    </row>
    <row r="1626" spans="1:8" x14ac:dyDescent="0.25">
      <c r="A1626" s="73">
        <v>44790</v>
      </c>
      <c r="B1626" s="74" t="s">
        <v>26345</v>
      </c>
      <c r="C1626" s="75" t="s">
        <v>326</v>
      </c>
      <c r="D1626" s="176">
        <v>5408</v>
      </c>
      <c r="E1626" s="151">
        <v>44792</v>
      </c>
      <c r="F1626" s="176">
        <v>5408</v>
      </c>
      <c r="G1626" s="177">
        <f>Tabla19[[#This Row],[Importe]]-Tabla19[[#This Row],[Pagado]]</f>
        <v>0</v>
      </c>
      <c r="H1626" s="75" t="s">
        <v>10</v>
      </c>
    </row>
    <row r="1627" spans="1:8" x14ac:dyDescent="0.25">
      <c r="A1627" s="148">
        <v>44790</v>
      </c>
      <c r="B1627" s="149" t="s">
        <v>26346</v>
      </c>
      <c r="C1627" s="153" t="s">
        <v>353</v>
      </c>
      <c r="D1627" s="178">
        <v>2915.5</v>
      </c>
      <c r="E1627" s="155">
        <v>44790</v>
      </c>
      <c r="F1627" s="178">
        <v>2915.5</v>
      </c>
      <c r="G1627" s="179">
        <f>Tabla19[[#This Row],[Importe]]-Tabla19[[#This Row],[Pagado]]</f>
        <v>0</v>
      </c>
      <c r="H1627" s="153" t="s">
        <v>10</v>
      </c>
    </row>
    <row r="1628" spans="1:8" x14ac:dyDescent="0.25">
      <c r="A1628" s="73">
        <v>44790</v>
      </c>
      <c r="B1628" s="74" t="s">
        <v>26347</v>
      </c>
      <c r="C1628" s="75" t="s">
        <v>89</v>
      </c>
      <c r="D1628" s="176">
        <v>9239.4</v>
      </c>
      <c r="E1628" s="151">
        <v>44791</v>
      </c>
      <c r="F1628" s="176">
        <v>9239.4</v>
      </c>
      <c r="G1628" s="177">
        <f>Tabla19[[#This Row],[Importe]]-Tabla19[[#This Row],[Pagado]]</f>
        <v>0</v>
      </c>
      <c r="H1628" s="75" t="s">
        <v>10</v>
      </c>
    </row>
    <row r="1629" spans="1:8" x14ac:dyDescent="0.25">
      <c r="A1629" s="148">
        <v>44790</v>
      </c>
      <c r="B1629" s="149" t="s">
        <v>26348</v>
      </c>
      <c r="C1629" s="153" t="s">
        <v>93</v>
      </c>
      <c r="D1629" s="178">
        <v>6180.3</v>
      </c>
      <c r="E1629" s="155">
        <v>44792</v>
      </c>
      <c r="F1629" s="178">
        <v>6180.3</v>
      </c>
      <c r="G1629" s="179">
        <f>Tabla19[[#This Row],[Importe]]-Tabla19[[#This Row],[Pagado]]</f>
        <v>0</v>
      </c>
      <c r="H1629" s="153" t="s">
        <v>10</v>
      </c>
    </row>
    <row r="1630" spans="1:8" x14ac:dyDescent="0.25">
      <c r="A1630" s="73">
        <v>44790</v>
      </c>
      <c r="B1630" s="74" t="s">
        <v>26349</v>
      </c>
      <c r="C1630" s="75" t="s">
        <v>64</v>
      </c>
      <c r="D1630" s="176">
        <v>5063.5</v>
      </c>
      <c r="E1630" s="151">
        <v>44792</v>
      </c>
      <c r="F1630" s="176">
        <v>5063.5</v>
      </c>
      <c r="G1630" s="177">
        <f>Tabla19[[#This Row],[Importe]]-Tabla19[[#This Row],[Pagado]]</f>
        <v>0</v>
      </c>
      <c r="H1630" s="75" t="s">
        <v>10</v>
      </c>
    </row>
    <row r="1631" spans="1:8" x14ac:dyDescent="0.25">
      <c r="A1631" s="148">
        <v>44790</v>
      </c>
      <c r="B1631" s="149" t="s">
        <v>26350</v>
      </c>
      <c r="C1631" s="153" t="s">
        <v>2151</v>
      </c>
      <c r="D1631" s="178">
        <v>17297</v>
      </c>
      <c r="E1631" s="155">
        <v>44790</v>
      </c>
      <c r="F1631" s="178">
        <v>17297</v>
      </c>
      <c r="G1631" s="179">
        <f>Tabla19[[#This Row],[Importe]]-Tabla19[[#This Row],[Pagado]]</f>
        <v>0</v>
      </c>
      <c r="H1631" s="153" t="s">
        <v>10</v>
      </c>
    </row>
    <row r="1632" spans="1:8" x14ac:dyDescent="0.25">
      <c r="A1632" s="73">
        <v>44790</v>
      </c>
      <c r="B1632" s="74" t="s">
        <v>26351</v>
      </c>
      <c r="C1632" s="75" t="s">
        <v>16</v>
      </c>
      <c r="D1632" s="176">
        <v>5412.8</v>
      </c>
      <c r="E1632" s="151">
        <v>44790</v>
      </c>
      <c r="F1632" s="176">
        <v>5412.8</v>
      </c>
      <c r="G1632" s="177">
        <f>Tabla19[[#This Row],[Importe]]-Tabla19[[#This Row],[Pagado]]</f>
        <v>0</v>
      </c>
      <c r="H1632" s="75" t="s">
        <v>10</v>
      </c>
    </row>
    <row r="1633" spans="1:8" x14ac:dyDescent="0.25">
      <c r="A1633" s="148">
        <v>44790</v>
      </c>
      <c r="B1633" s="149" t="s">
        <v>26352</v>
      </c>
      <c r="C1633" s="153" t="s">
        <v>17556</v>
      </c>
      <c r="D1633" s="178">
        <v>4129.2</v>
      </c>
      <c r="E1633" s="155">
        <v>44790</v>
      </c>
      <c r="F1633" s="178">
        <v>4129.2</v>
      </c>
      <c r="G1633" s="179">
        <f>Tabla19[[#This Row],[Importe]]-Tabla19[[#This Row],[Pagado]]</f>
        <v>0</v>
      </c>
      <c r="H1633" s="153" t="s">
        <v>10</v>
      </c>
    </row>
    <row r="1634" spans="1:8" x14ac:dyDescent="0.25">
      <c r="A1634" s="73">
        <v>44790</v>
      </c>
      <c r="B1634" s="74" t="s">
        <v>26353</v>
      </c>
      <c r="C1634" s="75" t="s">
        <v>161</v>
      </c>
      <c r="D1634" s="176">
        <v>4395.6000000000004</v>
      </c>
      <c r="E1634" s="151">
        <v>44790</v>
      </c>
      <c r="F1634" s="176">
        <v>4395.6000000000004</v>
      </c>
      <c r="G1634" s="177">
        <f>Tabla19[[#This Row],[Importe]]-Tabla19[[#This Row],[Pagado]]</f>
        <v>0</v>
      </c>
      <c r="H1634" s="75" t="s">
        <v>10</v>
      </c>
    </row>
    <row r="1635" spans="1:8" x14ac:dyDescent="0.25">
      <c r="A1635" s="148">
        <v>44790</v>
      </c>
      <c r="B1635" s="149" t="s">
        <v>26354</v>
      </c>
      <c r="C1635" s="153" t="s">
        <v>9</v>
      </c>
      <c r="D1635" s="178">
        <v>9780.2000000000007</v>
      </c>
      <c r="E1635" s="155">
        <v>44790</v>
      </c>
      <c r="F1635" s="178">
        <v>9780.2000000000007</v>
      </c>
      <c r="G1635" s="179">
        <f>Tabla19[[#This Row],[Importe]]-Tabla19[[#This Row],[Pagado]]</f>
        <v>0</v>
      </c>
      <c r="H1635" s="153" t="s">
        <v>10</v>
      </c>
    </row>
    <row r="1636" spans="1:8" x14ac:dyDescent="0.25">
      <c r="A1636" s="73">
        <v>44790</v>
      </c>
      <c r="B1636" s="74" t="s">
        <v>26355</v>
      </c>
      <c r="C1636" s="75" t="s">
        <v>1187</v>
      </c>
      <c r="D1636" s="176">
        <v>996</v>
      </c>
      <c r="E1636" s="151">
        <v>44790</v>
      </c>
      <c r="F1636" s="176">
        <v>996</v>
      </c>
      <c r="G1636" s="177">
        <f>Tabla19[[#This Row],[Importe]]-Tabla19[[#This Row],[Pagado]]</f>
        <v>0</v>
      </c>
      <c r="H1636" s="75" t="s">
        <v>10</v>
      </c>
    </row>
    <row r="1637" spans="1:8" x14ac:dyDescent="0.25">
      <c r="A1637" s="148">
        <v>44790</v>
      </c>
      <c r="B1637" s="149" t="s">
        <v>26356</v>
      </c>
      <c r="C1637" s="153" t="s">
        <v>105</v>
      </c>
      <c r="D1637" s="178">
        <v>16068.4</v>
      </c>
      <c r="E1637" s="155">
        <v>44791</v>
      </c>
      <c r="F1637" s="178">
        <v>16068.4</v>
      </c>
      <c r="G1637" s="179">
        <f>Tabla19[[#This Row],[Importe]]-Tabla19[[#This Row],[Pagado]]</f>
        <v>0</v>
      </c>
      <c r="H1637" s="153" t="s">
        <v>10</v>
      </c>
    </row>
    <row r="1638" spans="1:8" x14ac:dyDescent="0.25">
      <c r="A1638" s="73">
        <v>44790</v>
      </c>
      <c r="B1638" s="74" t="s">
        <v>26357</v>
      </c>
      <c r="C1638" s="75" t="s">
        <v>348</v>
      </c>
      <c r="D1638" s="176">
        <v>624</v>
      </c>
      <c r="E1638" s="151">
        <v>44790</v>
      </c>
      <c r="F1638" s="176">
        <v>624</v>
      </c>
      <c r="G1638" s="177">
        <f>Tabla19[[#This Row],[Importe]]-Tabla19[[#This Row],[Pagado]]</f>
        <v>0</v>
      </c>
      <c r="H1638" s="75" t="s">
        <v>10</v>
      </c>
    </row>
    <row r="1639" spans="1:8" x14ac:dyDescent="0.25">
      <c r="A1639" s="148">
        <v>44790</v>
      </c>
      <c r="B1639" s="149" t="s">
        <v>26358</v>
      </c>
      <c r="C1639" s="153" t="s">
        <v>484</v>
      </c>
      <c r="D1639" s="178">
        <v>4165.2</v>
      </c>
      <c r="E1639" s="155">
        <v>44790</v>
      </c>
      <c r="F1639" s="178">
        <v>4165.2</v>
      </c>
      <c r="G1639" s="179">
        <f>Tabla19[[#This Row],[Importe]]-Tabla19[[#This Row],[Pagado]]</f>
        <v>0</v>
      </c>
      <c r="H1639" s="153" t="s">
        <v>10</v>
      </c>
    </row>
    <row r="1640" spans="1:8" x14ac:dyDescent="0.25">
      <c r="A1640" s="73">
        <v>44790</v>
      </c>
      <c r="B1640" s="74" t="s">
        <v>26359</v>
      </c>
      <c r="C1640" s="75" t="s">
        <v>5126</v>
      </c>
      <c r="D1640" s="176">
        <v>50313.9</v>
      </c>
      <c r="E1640" s="151">
        <v>44790</v>
      </c>
      <c r="F1640" s="176">
        <v>50313.9</v>
      </c>
      <c r="G1640" s="177">
        <f>Tabla19[[#This Row],[Importe]]-Tabla19[[#This Row],[Pagado]]</f>
        <v>0</v>
      </c>
      <c r="H1640" s="75" t="s">
        <v>10</v>
      </c>
    </row>
    <row r="1641" spans="1:8" x14ac:dyDescent="0.25">
      <c r="A1641" s="148">
        <v>44790</v>
      </c>
      <c r="B1641" s="149" t="s">
        <v>26360</v>
      </c>
      <c r="C1641" s="153" t="s">
        <v>75</v>
      </c>
      <c r="D1641" s="178">
        <v>3439.8</v>
      </c>
      <c r="E1641" s="155">
        <v>44790</v>
      </c>
      <c r="F1641" s="178">
        <v>3439.8</v>
      </c>
      <c r="G1641" s="179">
        <f>Tabla19[[#This Row],[Importe]]-Tabla19[[#This Row],[Pagado]]</f>
        <v>0</v>
      </c>
      <c r="H1641" s="153" t="s">
        <v>10</v>
      </c>
    </row>
    <row r="1642" spans="1:8" x14ac:dyDescent="0.25">
      <c r="A1642" s="73">
        <v>44790</v>
      </c>
      <c r="B1642" s="74" t="s">
        <v>26361</v>
      </c>
      <c r="C1642" s="75" t="s">
        <v>263</v>
      </c>
      <c r="D1642" s="176">
        <v>104868.6</v>
      </c>
      <c r="E1642" s="151">
        <v>44790</v>
      </c>
      <c r="F1642" s="176">
        <v>104868.6</v>
      </c>
      <c r="G1642" s="177">
        <f>Tabla19[[#This Row],[Importe]]-Tabla19[[#This Row],[Pagado]]</f>
        <v>0</v>
      </c>
      <c r="H1642" s="75" t="s">
        <v>10</v>
      </c>
    </row>
    <row r="1643" spans="1:8" x14ac:dyDescent="0.25">
      <c r="A1643" s="148">
        <v>44790</v>
      </c>
      <c r="B1643" s="149" t="s">
        <v>26362</v>
      </c>
      <c r="C1643" s="153" t="s">
        <v>26363</v>
      </c>
      <c r="D1643" s="178">
        <v>0</v>
      </c>
      <c r="E1643" s="158" t="s">
        <v>189</v>
      </c>
      <c r="F1643" s="178">
        <v>0</v>
      </c>
      <c r="G1643" s="179">
        <f>Tabla19[[#This Row],[Importe]]-Tabla19[[#This Row],[Pagado]]</f>
        <v>0</v>
      </c>
      <c r="H1643" s="159" t="s">
        <v>26364</v>
      </c>
    </row>
    <row r="1644" spans="1:8" x14ac:dyDescent="0.25">
      <c r="A1644" s="73">
        <v>44790</v>
      </c>
      <c r="B1644" s="74" t="s">
        <v>26365</v>
      </c>
      <c r="C1644" s="75" t="s">
        <v>196</v>
      </c>
      <c r="D1644" s="176">
        <v>17944.2</v>
      </c>
      <c r="E1644" s="151">
        <v>44792</v>
      </c>
      <c r="F1644" s="176">
        <v>17944.2</v>
      </c>
      <c r="G1644" s="177">
        <f>Tabla19[[#This Row],[Importe]]-Tabla19[[#This Row],[Pagado]]</f>
        <v>0</v>
      </c>
      <c r="H1644" s="75" t="s">
        <v>10</v>
      </c>
    </row>
    <row r="1645" spans="1:8" x14ac:dyDescent="0.25">
      <c r="A1645" s="148">
        <v>44790</v>
      </c>
      <c r="B1645" s="149" t="s">
        <v>26366</v>
      </c>
      <c r="C1645" s="153" t="s">
        <v>27</v>
      </c>
      <c r="D1645" s="178">
        <v>5754.6</v>
      </c>
      <c r="E1645" s="155">
        <v>44790</v>
      </c>
      <c r="F1645" s="178">
        <v>5754.6</v>
      </c>
      <c r="G1645" s="179">
        <f>Tabla19[[#This Row],[Importe]]-Tabla19[[#This Row],[Pagado]]</f>
        <v>0</v>
      </c>
      <c r="H1645" s="153" t="s">
        <v>10</v>
      </c>
    </row>
    <row r="1646" spans="1:8" x14ac:dyDescent="0.25">
      <c r="A1646" s="73">
        <v>44790</v>
      </c>
      <c r="B1646" s="74" t="s">
        <v>26367</v>
      </c>
      <c r="C1646" s="75" t="s">
        <v>87</v>
      </c>
      <c r="D1646" s="176">
        <v>3983.2</v>
      </c>
      <c r="E1646" s="151">
        <v>44790</v>
      </c>
      <c r="F1646" s="176">
        <v>3983.2</v>
      </c>
      <c r="G1646" s="177">
        <f>Tabla19[[#This Row],[Importe]]-Tabla19[[#This Row],[Pagado]]</f>
        <v>0</v>
      </c>
      <c r="H1646" s="75" t="s">
        <v>10</v>
      </c>
    </row>
    <row r="1647" spans="1:8" x14ac:dyDescent="0.25">
      <c r="A1647" s="148">
        <v>44790</v>
      </c>
      <c r="B1647" s="149" t="s">
        <v>26368</v>
      </c>
      <c r="C1647" s="153" t="s">
        <v>83</v>
      </c>
      <c r="D1647" s="178">
        <v>12136</v>
      </c>
      <c r="E1647" s="155">
        <v>44790</v>
      </c>
      <c r="F1647" s="178">
        <v>12136</v>
      </c>
      <c r="G1647" s="179">
        <f>Tabla19[[#This Row],[Importe]]-Tabla19[[#This Row],[Pagado]]</f>
        <v>0</v>
      </c>
      <c r="H1647" s="153" t="s">
        <v>10</v>
      </c>
    </row>
    <row r="1648" spans="1:8" x14ac:dyDescent="0.25">
      <c r="A1648" s="73">
        <v>44790</v>
      </c>
      <c r="B1648" s="74" t="s">
        <v>26369</v>
      </c>
      <c r="C1648" s="75" t="s">
        <v>146</v>
      </c>
      <c r="D1648" s="176">
        <v>5848</v>
      </c>
      <c r="E1648" s="151">
        <v>44790</v>
      </c>
      <c r="F1648" s="176">
        <v>5848</v>
      </c>
      <c r="G1648" s="177">
        <f>Tabla19[[#This Row],[Importe]]-Tabla19[[#This Row],[Pagado]]</f>
        <v>0</v>
      </c>
      <c r="H1648" s="75" t="s">
        <v>10</v>
      </c>
    </row>
    <row r="1649" spans="1:8" x14ac:dyDescent="0.25">
      <c r="A1649" s="148">
        <v>44790</v>
      </c>
      <c r="B1649" s="149" t="s">
        <v>26370</v>
      </c>
      <c r="C1649" s="153" t="s">
        <v>13420</v>
      </c>
      <c r="D1649" s="178">
        <v>0</v>
      </c>
      <c r="E1649" s="158" t="s">
        <v>189</v>
      </c>
      <c r="F1649" s="178">
        <v>0</v>
      </c>
      <c r="G1649" s="179">
        <f>Tabla19[[#This Row],[Importe]]-Tabla19[[#This Row],[Pagado]]</f>
        <v>0</v>
      </c>
      <c r="H1649" s="153" t="s">
        <v>189</v>
      </c>
    </row>
    <row r="1650" spans="1:8" x14ac:dyDescent="0.25">
      <c r="A1650" s="73">
        <v>44790</v>
      </c>
      <c r="B1650" s="74" t="s">
        <v>26371</v>
      </c>
      <c r="C1650" s="75" t="s">
        <v>11033</v>
      </c>
      <c r="D1650" s="176">
        <v>1832.8</v>
      </c>
      <c r="E1650" s="151">
        <v>44790</v>
      </c>
      <c r="F1650" s="176">
        <v>1832.8</v>
      </c>
      <c r="G1650" s="177">
        <f>Tabla19[[#This Row],[Importe]]-Tabla19[[#This Row],[Pagado]]</f>
        <v>0</v>
      </c>
      <c r="H1650" s="75" t="s">
        <v>10</v>
      </c>
    </row>
    <row r="1651" spans="1:8" x14ac:dyDescent="0.25">
      <c r="A1651" s="148">
        <v>44790</v>
      </c>
      <c r="B1651" s="149" t="s">
        <v>26372</v>
      </c>
      <c r="C1651" s="153" t="s">
        <v>142</v>
      </c>
      <c r="D1651" s="178">
        <v>67461.399999999994</v>
      </c>
      <c r="E1651" s="155" t="s">
        <v>4813</v>
      </c>
      <c r="F1651" s="178">
        <v>0</v>
      </c>
      <c r="G1651" s="179">
        <f>Tabla19[[#This Row],[Importe]]-Tabla19[[#This Row],[Pagado]]</f>
        <v>67461.399999999994</v>
      </c>
      <c r="H1651" s="153" t="s">
        <v>4814</v>
      </c>
    </row>
    <row r="1652" spans="1:8" x14ac:dyDescent="0.25">
      <c r="A1652" s="73">
        <v>44790</v>
      </c>
      <c r="B1652" s="74" t="s">
        <v>26373</v>
      </c>
      <c r="C1652" s="75" t="s">
        <v>576</v>
      </c>
      <c r="D1652" s="176">
        <v>2499.1</v>
      </c>
      <c r="E1652" s="151">
        <v>44790</v>
      </c>
      <c r="F1652" s="176">
        <v>2499.1</v>
      </c>
      <c r="G1652" s="177">
        <f>Tabla19[[#This Row],[Importe]]-Tabla19[[#This Row],[Pagado]]</f>
        <v>0</v>
      </c>
      <c r="H1652" s="75" t="s">
        <v>10</v>
      </c>
    </row>
    <row r="1653" spans="1:8" x14ac:dyDescent="0.25">
      <c r="A1653" s="148">
        <v>44790</v>
      </c>
      <c r="B1653" s="149" t="s">
        <v>26374</v>
      </c>
      <c r="C1653" s="153" t="s">
        <v>348</v>
      </c>
      <c r="D1653" s="178">
        <v>2726</v>
      </c>
      <c r="E1653" s="155">
        <v>44790</v>
      </c>
      <c r="F1653" s="178">
        <v>2726</v>
      </c>
      <c r="G1653" s="179">
        <f>Tabla19[[#This Row],[Importe]]-Tabla19[[#This Row],[Pagado]]</f>
        <v>0</v>
      </c>
      <c r="H1653" s="153" t="s">
        <v>10</v>
      </c>
    </row>
    <row r="1654" spans="1:8" x14ac:dyDescent="0.25">
      <c r="A1654" s="73">
        <v>44790</v>
      </c>
      <c r="B1654" s="74" t="s">
        <v>26375</v>
      </c>
      <c r="C1654" s="75" t="s">
        <v>181</v>
      </c>
      <c r="D1654" s="176">
        <v>17961.599999999999</v>
      </c>
      <c r="E1654" s="151">
        <v>44790</v>
      </c>
      <c r="F1654" s="176">
        <v>17961.599999999999</v>
      </c>
      <c r="G1654" s="177">
        <f>Tabla19[[#This Row],[Importe]]-Tabla19[[#This Row],[Pagado]]</f>
        <v>0</v>
      </c>
      <c r="H1654" s="75" t="s">
        <v>10</v>
      </c>
    </row>
    <row r="1655" spans="1:8" x14ac:dyDescent="0.25">
      <c r="A1655" s="148">
        <v>44790</v>
      </c>
      <c r="B1655" s="149" t="s">
        <v>26376</v>
      </c>
      <c r="C1655" s="153" t="s">
        <v>175</v>
      </c>
      <c r="D1655" s="178">
        <v>5743.9</v>
      </c>
      <c r="E1655" s="155">
        <v>44790</v>
      </c>
      <c r="F1655" s="178">
        <v>5743.9</v>
      </c>
      <c r="G1655" s="179">
        <f>Tabla19[[#This Row],[Importe]]-Tabla19[[#This Row],[Pagado]]</f>
        <v>0</v>
      </c>
      <c r="H1655" s="153" t="s">
        <v>10</v>
      </c>
    </row>
    <row r="1656" spans="1:8" x14ac:dyDescent="0.25">
      <c r="A1656" s="73">
        <v>44790</v>
      </c>
      <c r="B1656" s="74" t="s">
        <v>26377</v>
      </c>
      <c r="C1656" s="75" t="s">
        <v>11383</v>
      </c>
      <c r="D1656" s="176">
        <v>12616.2</v>
      </c>
      <c r="E1656" s="151">
        <v>44790</v>
      </c>
      <c r="F1656" s="176">
        <v>12616.2</v>
      </c>
      <c r="G1656" s="177">
        <f>Tabla19[[#This Row],[Importe]]-Tabla19[[#This Row],[Pagado]]</f>
        <v>0</v>
      </c>
      <c r="H1656" s="75" t="s">
        <v>10</v>
      </c>
    </row>
    <row r="1657" spans="1:8" x14ac:dyDescent="0.25">
      <c r="A1657" s="148">
        <v>44790</v>
      </c>
      <c r="B1657" s="149" t="s">
        <v>26378</v>
      </c>
      <c r="C1657" s="153" t="s">
        <v>212</v>
      </c>
      <c r="D1657" s="178">
        <v>49627.8</v>
      </c>
      <c r="E1657" s="155">
        <v>44793</v>
      </c>
      <c r="F1657" s="178">
        <v>49627.8</v>
      </c>
      <c r="G1657" s="179">
        <f>Tabla19[[#This Row],[Importe]]-Tabla19[[#This Row],[Pagado]]</f>
        <v>0</v>
      </c>
      <c r="H1657" s="153" t="s">
        <v>10</v>
      </c>
    </row>
    <row r="1658" spans="1:8" x14ac:dyDescent="0.25">
      <c r="A1658" s="73">
        <v>44790</v>
      </c>
      <c r="B1658" s="74" t="s">
        <v>26379</v>
      </c>
      <c r="C1658" s="75" t="s">
        <v>426</v>
      </c>
      <c r="D1658" s="176">
        <v>2569.1999999999998</v>
      </c>
      <c r="E1658" s="151">
        <v>44790</v>
      </c>
      <c r="F1658" s="176">
        <v>2569.1999999999998</v>
      </c>
      <c r="G1658" s="177">
        <f>Tabla19[[#This Row],[Importe]]-Tabla19[[#This Row],[Pagado]]</f>
        <v>0</v>
      </c>
      <c r="H1658" s="75" t="s">
        <v>10</v>
      </c>
    </row>
    <row r="1659" spans="1:8" x14ac:dyDescent="0.25">
      <c r="A1659" s="148">
        <v>44790</v>
      </c>
      <c r="B1659" s="149" t="s">
        <v>26380</v>
      </c>
      <c r="C1659" s="153" t="s">
        <v>218</v>
      </c>
      <c r="D1659" s="178">
        <v>16051.6</v>
      </c>
      <c r="E1659" s="155">
        <v>44793</v>
      </c>
      <c r="F1659" s="178">
        <v>16051.6</v>
      </c>
      <c r="G1659" s="179">
        <f>Tabla19[[#This Row],[Importe]]-Tabla19[[#This Row],[Pagado]]</f>
        <v>0</v>
      </c>
      <c r="H1659" s="153" t="s">
        <v>10</v>
      </c>
    </row>
    <row r="1660" spans="1:8" x14ac:dyDescent="0.25">
      <c r="A1660" s="73">
        <v>44790</v>
      </c>
      <c r="B1660" s="74" t="s">
        <v>26381</v>
      </c>
      <c r="C1660" s="75" t="s">
        <v>206</v>
      </c>
      <c r="D1660" s="176">
        <v>14659.4</v>
      </c>
      <c r="E1660" s="151">
        <v>44793</v>
      </c>
      <c r="F1660" s="176">
        <v>14659.4</v>
      </c>
      <c r="G1660" s="177">
        <f>Tabla19[[#This Row],[Importe]]-Tabla19[[#This Row],[Pagado]]</f>
        <v>0</v>
      </c>
      <c r="H1660" s="75" t="s">
        <v>10</v>
      </c>
    </row>
    <row r="1661" spans="1:8" x14ac:dyDescent="0.25">
      <c r="A1661" s="148">
        <v>44790</v>
      </c>
      <c r="B1661" s="149" t="s">
        <v>26382</v>
      </c>
      <c r="C1661" s="153" t="s">
        <v>19637</v>
      </c>
      <c r="D1661" s="178">
        <v>4011</v>
      </c>
      <c r="E1661" s="155">
        <v>44798</v>
      </c>
      <c r="F1661" s="178">
        <v>4011</v>
      </c>
      <c r="G1661" s="179">
        <f>Tabla19[[#This Row],[Importe]]-Tabla19[[#This Row],[Pagado]]</f>
        <v>0</v>
      </c>
      <c r="H1661" s="153" t="s">
        <v>10</v>
      </c>
    </row>
    <row r="1662" spans="1:8" x14ac:dyDescent="0.25">
      <c r="A1662" s="73">
        <v>44790</v>
      </c>
      <c r="B1662" s="74" t="s">
        <v>26383</v>
      </c>
      <c r="C1662" s="75" t="s">
        <v>56</v>
      </c>
      <c r="D1662" s="176">
        <v>6202.5</v>
      </c>
      <c r="E1662" s="151">
        <v>44790</v>
      </c>
      <c r="F1662" s="176">
        <v>6202.5</v>
      </c>
      <c r="G1662" s="177">
        <f>Tabla19[[#This Row],[Importe]]-Tabla19[[#This Row],[Pagado]]</f>
        <v>0</v>
      </c>
      <c r="H1662" s="75" t="s">
        <v>10</v>
      </c>
    </row>
    <row r="1663" spans="1:8" x14ac:dyDescent="0.25">
      <c r="A1663" s="148">
        <v>44790</v>
      </c>
      <c r="B1663" s="149" t="s">
        <v>26384</v>
      </c>
      <c r="C1663" s="153" t="s">
        <v>173</v>
      </c>
      <c r="D1663" s="178">
        <v>8032</v>
      </c>
      <c r="E1663" s="155">
        <v>44791</v>
      </c>
      <c r="F1663" s="178">
        <v>8032</v>
      </c>
      <c r="G1663" s="179">
        <f>Tabla19[[#This Row],[Importe]]-Tabla19[[#This Row],[Pagado]]</f>
        <v>0</v>
      </c>
      <c r="H1663" s="153" t="s">
        <v>10</v>
      </c>
    </row>
    <row r="1664" spans="1:8" x14ac:dyDescent="0.25">
      <c r="A1664" s="73">
        <v>44790</v>
      </c>
      <c r="B1664" s="74" t="s">
        <v>26385</v>
      </c>
      <c r="C1664" s="75" t="s">
        <v>2139</v>
      </c>
      <c r="D1664" s="176">
        <v>6526.8</v>
      </c>
      <c r="E1664" s="151">
        <v>44790</v>
      </c>
      <c r="F1664" s="176">
        <v>6526.8</v>
      </c>
      <c r="G1664" s="177">
        <f>Tabla19[[#This Row],[Importe]]-Tabla19[[#This Row],[Pagado]]</f>
        <v>0</v>
      </c>
      <c r="H1664" s="75" t="s">
        <v>10</v>
      </c>
    </row>
    <row r="1665" spans="1:8" x14ac:dyDescent="0.25">
      <c r="A1665" s="148">
        <v>44790</v>
      </c>
      <c r="B1665" s="149" t="s">
        <v>26386</v>
      </c>
      <c r="C1665" s="153" t="s">
        <v>154</v>
      </c>
      <c r="D1665" s="178">
        <v>15688</v>
      </c>
      <c r="E1665" s="155">
        <v>44794</v>
      </c>
      <c r="F1665" s="178">
        <v>15688</v>
      </c>
      <c r="G1665" s="179">
        <f>Tabla19[[#This Row],[Importe]]-Tabla19[[#This Row],[Pagado]]</f>
        <v>0</v>
      </c>
      <c r="H1665" s="153" t="s">
        <v>10</v>
      </c>
    </row>
    <row r="1666" spans="1:8" x14ac:dyDescent="0.25">
      <c r="A1666" s="73">
        <v>44790</v>
      </c>
      <c r="B1666" s="74" t="s">
        <v>26387</v>
      </c>
      <c r="C1666" s="75" t="s">
        <v>133</v>
      </c>
      <c r="D1666" s="176">
        <v>16052.4</v>
      </c>
      <c r="E1666" s="151">
        <v>44791</v>
      </c>
      <c r="F1666" s="176">
        <v>16052.4</v>
      </c>
      <c r="G1666" s="177">
        <f>Tabla19[[#This Row],[Importe]]-Tabla19[[#This Row],[Pagado]]</f>
        <v>0</v>
      </c>
      <c r="H1666" s="75" t="s">
        <v>10</v>
      </c>
    </row>
    <row r="1667" spans="1:8" x14ac:dyDescent="0.25">
      <c r="A1667" s="148">
        <v>44790</v>
      </c>
      <c r="B1667" s="149" t="s">
        <v>26388</v>
      </c>
      <c r="C1667" s="153" t="s">
        <v>206</v>
      </c>
      <c r="D1667" s="178">
        <v>12558</v>
      </c>
      <c r="E1667" s="155">
        <v>44793</v>
      </c>
      <c r="F1667" s="178">
        <v>12558</v>
      </c>
      <c r="G1667" s="179">
        <f>Tabla19[[#This Row],[Importe]]-Tabla19[[#This Row],[Pagado]]</f>
        <v>0</v>
      </c>
      <c r="H1667" s="153" t="s">
        <v>10</v>
      </c>
    </row>
    <row r="1668" spans="1:8" x14ac:dyDescent="0.25">
      <c r="A1668" s="73">
        <v>44790</v>
      </c>
      <c r="B1668" s="74" t="s">
        <v>26389</v>
      </c>
      <c r="C1668" s="75" t="s">
        <v>14</v>
      </c>
      <c r="D1668" s="176">
        <v>26786.1</v>
      </c>
      <c r="E1668" s="151">
        <v>44790</v>
      </c>
      <c r="F1668" s="176">
        <v>26786.1</v>
      </c>
      <c r="G1668" s="177">
        <f>Tabla19[[#This Row],[Importe]]-Tabla19[[#This Row],[Pagado]]</f>
        <v>0</v>
      </c>
      <c r="H1668" s="75" t="s">
        <v>10</v>
      </c>
    </row>
    <row r="1669" spans="1:8" x14ac:dyDescent="0.25">
      <c r="A1669" s="148">
        <v>44790</v>
      </c>
      <c r="B1669" s="149" t="s">
        <v>26390</v>
      </c>
      <c r="C1669" s="153" t="s">
        <v>26391</v>
      </c>
      <c r="D1669" s="178">
        <v>0</v>
      </c>
      <c r="E1669" s="158" t="s">
        <v>189</v>
      </c>
      <c r="F1669" s="178">
        <v>0</v>
      </c>
      <c r="G1669" s="179">
        <f>Tabla19[[#This Row],[Importe]]-Tabla19[[#This Row],[Pagado]]</f>
        <v>0</v>
      </c>
      <c r="H1669" s="153" t="s">
        <v>26392</v>
      </c>
    </row>
    <row r="1670" spans="1:8" x14ac:dyDescent="0.25">
      <c r="A1670" s="73">
        <v>44790</v>
      </c>
      <c r="B1670" s="74" t="s">
        <v>26393</v>
      </c>
      <c r="C1670" s="75" t="s">
        <v>24</v>
      </c>
      <c r="D1670" s="176">
        <v>4243</v>
      </c>
      <c r="E1670" s="151">
        <v>44790</v>
      </c>
      <c r="F1670" s="176">
        <v>4243</v>
      </c>
      <c r="G1670" s="177">
        <f>Tabla19[[#This Row],[Importe]]-Tabla19[[#This Row],[Pagado]]</f>
        <v>0</v>
      </c>
      <c r="H1670" s="75" t="s">
        <v>10</v>
      </c>
    </row>
    <row r="1671" spans="1:8" x14ac:dyDescent="0.25">
      <c r="A1671" s="148">
        <v>44790</v>
      </c>
      <c r="B1671" s="149" t="s">
        <v>26394</v>
      </c>
      <c r="C1671" s="153" t="s">
        <v>191</v>
      </c>
      <c r="D1671" s="178">
        <v>1967.1</v>
      </c>
      <c r="E1671" s="155">
        <v>44790</v>
      </c>
      <c r="F1671" s="178">
        <v>1967.1</v>
      </c>
      <c r="G1671" s="179">
        <f>Tabla19[[#This Row],[Importe]]-Tabla19[[#This Row],[Pagado]]</f>
        <v>0</v>
      </c>
      <c r="H1671" s="153" t="s">
        <v>10</v>
      </c>
    </row>
    <row r="1672" spans="1:8" x14ac:dyDescent="0.25">
      <c r="A1672" s="73">
        <v>44790</v>
      </c>
      <c r="B1672" s="74" t="s">
        <v>26395</v>
      </c>
      <c r="C1672" s="75" t="s">
        <v>179</v>
      </c>
      <c r="D1672" s="176">
        <v>1762.8</v>
      </c>
      <c r="E1672" s="151">
        <v>44791</v>
      </c>
      <c r="F1672" s="176">
        <v>1762.8</v>
      </c>
      <c r="G1672" s="177">
        <f>Tabla19[[#This Row],[Importe]]-Tabla19[[#This Row],[Pagado]]</f>
        <v>0</v>
      </c>
      <c r="H1672" s="75" t="s">
        <v>10</v>
      </c>
    </row>
    <row r="1673" spans="1:8" x14ac:dyDescent="0.25">
      <c r="A1673" s="148">
        <v>44790</v>
      </c>
      <c r="B1673" s="149" t="s">
        <v>26396</v>
      </c>
      <c r="C1673" s="153" t="s">
        <v>31</v>
      </c>
      <c r="D1673" s="178">
        <v>585</v>
      </c>
      <c r="E1673" s="155">
        <v>44790</v>
      </c>
      <c r="F1673" s="178">
        <v>585</v>
      </c>
      <c r="G1673" s="179">
        <f>Tabla19[[#This Row],[Importe]]-Tabla19[[#This Row],[Pagado]]</f>
        <v>0</v>
      </c>
      <c r="H1673" s="153" t="s">
        <v>10</v>
      </c>
    </row>
    <row r="1674" spans="1:8" x14ac:dyDescent="0.25">
      <c r="A1674" s="73">
        <v>44790</v>
      </c>
      <c r="B1674" s="74" t="s">
        <v>26397</v>
      </c>
      <c r="C1674" s="75" t="s">
        <v>409</v>
      </c>
      <c r="D1674" s="176">
        <v>10685.4</v>
      </c>
      <c r="E1674" s="151">
        <v>44792</v>
      </c>
      <c r="F1674" s="176">
        <v>10685.4</v>
      </c>
      <c r="G1674" s="177">
        <f>Tabla19[[#This Row],[Importe]]-Tabla19[[#This Row],[Pagado]]</f>
        <v>0</v>
      </c>
      <c r="H1674" s="75" t="s">
        <v>10</v>
      </c>
    </row>
    <row r="1675" spans="1:8" x14ac:dyDescent="0.25">
      <c r="A1675" s="148">
        <v>44790</v>
      </c>
      <c r="B1675" s="149" t="s">
        <v>26398</v>
      </c>
      <c r="C1675" s="153" t="s">
        <v>587</v>
      </c>
      <c r="D1675" s="178">
        <v>6047.28</v>
      </c>
      <c r="E1675" s="155">
        <v>44790</v>
      </c>
      <c r="F1675" s="178">
        <v>6047.28</v>
      </c>
      <c r="G1675" s="179">
        <f>Tabla19[[#This Row],[Importe]]-Tabla19[[#This Row],[Pagado]]</f>
        <v>0</v>
      </c>
      <c r="H1675" s="153" t="s">
        <v>10</v>
      </c>
    </row>
    <row r="1676" spans="1:8" x14ac:dyDescent="0.25">
      <c r="A1676" s="73">
        <v>44790</v>
      </c>
      <c r="B1676" s="74" t="s">
        <v>26399</v>
      </c>
      <c r="C1676" s="75" t="s">
        <v>135</v>
      </c>
      <c r="D1676" s="176">
        <v>2589.6</v>
      </c>
      <c r="E1676" s="151">
        <v>44791</v>
      </c>
      <c r="F1676" s="176">
        <v>2589.6</v>
      </c>
      <c r="G1676" s="177">
        <f>Tabla19[[#This Row],[Importe]]-Tabla19[[#This Row],[Pagado]]</f>
        <v>0</v>
      </c>
      <c r="H1676" s="75" t="s">
        <v>10</v>
      </c>
    </row>
    <row r="1677" spans="1:8" x14ac:dyDescent="0.25">
      <c r="A1677" s="148">
        <v>44790</v>
      </c>
      <c r="B1677" s="149" t="s">
        <v>26400</v>
      </c>
      <c r="C1677" s="153" t="s">
        <v>339</v>
      </c>
      <c r="D1677" s="178">
        <v>702</v>
      </c>
      <c r="E1677" s="155">
        <v>44791</v>
      </c>
      <c r="F1677" s="178">
        <v>702</v>
      </c>
      <c r="G1677" s="179">
        <f>Tabla19[[#This Row],[Importe]]-Tabla19[[#This Row],[Pagado]]</f>
        <v>0</v>
      </c>
      <c r="H1677" s="153" t="s">
        <v>10</v>
      </c>
    </row>
    <row r="1678" spans="1:8" x14ac:dyDescent="0.25">
      <c r="A1678" s="73">
        <v>44790</v>
      </c>
      <c r="B1678" s="74" t="s">
        <v>26401</v>
      </c>
      <c r="C1678" s="75" t="s">
        <v>357</v>
      </c>
      <c r="D1678" s="176">
        <v>795.6</v>
      </c>
      <c r="E1678" s="151">
        <v>44791</v>
      </c>
      <c r="F1678" s="176">
        <v>795.6</v>
      </c>
      <c r="G1678" s="177">
        <f>Tabla19[[#This Row],[Importe]]-Tabla19[[#This Row],[Pagado]]</f>
        <v>0</v>
      </c>
      <c r="H1678" s="75" t="s">
        <v>10</v>
      </c>
    </row>
    <row r="1679" spans="1:8" x14ac:dyDescent="0.25">
      <c r="A1679" s="148">
        <v>44790</v>
      </c>
      <c r="B1679" s="149" t="s">
        <v>26402</v>
      </c>
      <c r="C1679" s="153" t="s">
        <v>127</v>
      </c>
      <c r="D1679" s="178">
        <v>7007.7</v>
      </c>
      <c r="E1679" s="155">
        <v>44791</v>
      </c>
      <c r="F1679" s="178">
        <v>7007.7</v>
      </c>
      <c r="G1679" s="179">
        <f>Tabla19[[#This Row],[Importe]]-Tabla19[[#This Row],[Pagado]]</f>
        <v>0</v>
      </c>
      <c r="H1679" s="153" t="s">
        <v>10</v>
      </c>
    </row>
    <row r="1680" spans="1:8" x14ac:dyDescent="0.25">
      <c r="A1680" s="73">
        <v>44790</v>
      </c>
      <c r="B1680" s="74" t="s">
        <v>26403</v>
      </c>
      <c r="C1680" s="75" t="s">
        <v>129</v>
      </c>
      <c r="D1680" s="176">
        <v>2511.6</v>
      </c>
      <c r="E1680" s="151">
        <v>44791</v>
      </c>
      <c r="F1680" s="176">
        <v>2511.6</v>
      </c>
      <c r="G1680" s="177">
        <f>Tabla19[[#This Row],[Importe]]-Tabla19[[#This Row],[Pagado]]</f>
        <v>0</v>
      </c>
      <c r="H1680" s="75" t="s">
        <v>10</v>
      </c>
    </row>
    <row r="1681" spans="1:8" x14ac:dyDescent="0.25">
      <c r="A1681" s="148">
        <v>44790</v>
      </c>
      <c r="B1681" s="149" t="s">
        <v>26404</v>
      </c>
      <c r="C1681" s="153" t="s">
        <v>333</v>
      </c>
      <c r="D1681" s="178">
        <v>709.8</v>
      </c>
      <c r="E1681" s="155">
        <v>44791</v>
      </c>
      <c r="F1681" s="178">
        <v>709.8</v>
      </c>
      <c r="G1681" s="179">
        <f>Tabla19[[#This Row],[Importe]]-Tabla19[[#This Row],[Pagado]]</f>
        <v>0</v>
      </c>
      <c r="H1681" s="153" t="s">
        <v>10</v>
      </c>
    </row>
    <row r="1682" spans="1:8" x14ac:dyDescent="0.25">
      <c r="A1682" s="73">
        <v>44790</v>
      </c>
      <c r="B1682" s="74" t="s">
        <v>26405</v>
      </c>
      <c r="C1682" s="75" t="s">
        <v>107</v>
      </c>
      <c r="D1682" s="176">
        <v>6794.5</v>
      </c>
      <c r="E1682" s="151">
        <v>44791</v>
      </c>
      <c r="F1682" s="176">
        <v>6794.5</v>
      </c>
      <c r="G1682" s="177">
        <f>Tabla19[[#This Row],[Importe]]-Tabla19[[#This Row],[Pagado]]</f>
        <v>0</v>
      </c>
      <c r="H1682" s="75" t="s">
        <v>10</v>
      </c>
    </row>
    <row r="1683" spans="1:8" x14ac:dyDescent="0.25">
      <c r="A1683" s="148">
        <v>44790</v>
      </c>
      <c r="B1683" s="149" t="s">
        <v>26406</v>
      </c>
      <c r="C1683" s="153" t="s">
        <v>226</v>
      </c>
      <c r="D1683" s="178">
        <v>4009.6</v>
      </c>
      <c r="E1683" s="155">
        <v>44790</v>
      </c>
      <c r="F1683" s="178">
        <v>4009.6</v>
      </c>
      <c r="G1683" s="179">
        <f>Tabla19[[#This Row],[Importe]]-Tabla19[[#This Row],[Pagado]]</f>
        <v>0</v>
      </c>
      <c r="H1683" s="153" t="s">
        <v>10</v>
      </c>
    </row>
    <row r="1684" spans="1:8" x14ac:dyDescent="0.25">
      <c r="A1684" s="73">
        <v>44790</v>
      </c>
      <c r="B1684" s="74" t="s">
        <v>26407</v>
      </c>
      <c r="C1684" s="75" t="s">
        <v>555</v>
      </c>
      <c r="D1684" s="176">
        <v>28699.84</v>
      </c>
      <c r="E1684" s="151">
        <v>44790</v>
      </c>
      <c r="F1684" s="176">
        <v>28699.84</v>
      </c>
      <c r="G1684" s="177">
        <f>Tabla19[[#This Row],[Importe]]-Tabla19[[#This Row],[Pagado]]</f>
        <v>0</v>
      </c>
      <c r="H1684" s="75" t="s">
        <v>10</v>
      </c>
    </row>
    <row r="1685" spans="1:8" x14ac:dyDescent="0.25">
      <c r="A1685" s="148">
        <v>44790</v>
      </c>
      <c r="B1685" s="149" t="s">
        <v>26408</v>
      </c>
      <c r="C1685" s="153" t="s">
        <v>69</v>
      </c>
      <c r="D1685" s="178">
        <v>1560</v>
      </c>
      <c r="E1685" s="155">
        <v>44790</v>
      </c>
      <c r="F1685" s="178">
        <v>1560</v>
      </c>
      <c r="G1685" s="179">
        <f>Tabla19[[#This Row],[Importe]]-Tabla19[[#This Row],[Pagado]]</f>
        <v>0</v>
      </c>
      <c r="H1685" s="153" t="s">
        <v>10</v>
      </c>
    </row>
    <row r="1686" spans="1:8" x14ac:dyDescent="0.25">
      <c r="A1686" s="73">
        <v>44790</v>
      </c>
      <c r="B1686" s="74" t="s">
        <v>26409</v>
      </c>
      <c r="C1686" s="75" t="s">
        <v>31</v>
      </c>
      <c r="D1686" s="176">
        <v>1404</v>
      </c>
      <c r="E1686" s="151">
        <v>44790</v>
      </c>
      <c r="F1686" s="176">
        <v>1404</v>
      </c>
      <c r="G1686" s="177">
        <f>Tabla19[[#This Row],[Importe]]-Tabla19[[#This Row],[Pagado]]</f>
        <v>0</v>
      </c>
      <c r="H1686" s="75" t="s">
        <v>10</v>
      </c>
    </row>
    <row r="1687" spans="1:8" x14ac:dyDescent="0.25">
      <c r="A1687" s="148">
        <v>44790</v>
      </c>
      <c r="B1687" s="149" t="s">
        <v>26410</v>
      </c>
      <c r="C1687" s="153" t="s">
        <v>296</v>
      </c>
      <c r="D1687" s="178">
        <v>3655.6</v>
      </c>
      <c r="E1687" s="155">
        <v>44790</v>
      </c>
      <c r="F1687" s="178">
        <v>3655.6</v>
      </c>
      <c r="G1687" s="179">
        <f>Tabla19[[#This Row],[Importe]]-Tabla19[[#This Row],[Pagado]]</f>
        <v>0</v>
      </c>
      <c r="H1687" s="153" t="s">
        <v>10</v>
      </c>
    </row>
    <row r="1688" spans="1:8" x14ac:dyDescent="0.25">
      <c r="A1688" s="73">
        <v>44790</v>
      </c>
      <c r="B1688" s="74" t="s">
        <v>26411</v>
      </c>
      <c r="C1688" s="75" t="s">
        <v>233</v>
      </c>
      <c r="D1688" s="176">
        <v>5569.2</v>
      </c>
      <c r="E1688" s="151">
        <v>44790</v>
      </c>
      <c r="F1688" s="176">
        <v>5569.2</v>
      </c>
      <c r="G1688" s="177">
        <f>Tabla19[[#This Row],[Importe]]-Tabla19[[#This Row],[Pagado]]</f>
        <v>0</v>
      </c>
      <c r="H1688" s="75" t="s">
        <v>10</v>
      </c>
    </row>
    <row r="1689" spans="1:8" x14ac:dyDescent="0.25">
      <c r="A1689" s="148">
        <v>44790</v>
      </c>
      <c r="B1689" s="149" t="s">
        <v>26412</v>
      </c>
      <c r="C1689" s="153" t="s">
        <v>214</v>
      </c>
      <c r="D1689" s="178">
        <v>1560</v>
      </c>
      <c r="E1689" s="155">
        <v>44790</v>
      </c>
      <c r="F1689" s="178">
        <v>1560</v>
      </c>
      <c r="G1689" s="179">
        <f>Tabla19[[#This Row],[Importe]]-Tabla19[[#This Row],[Pagado]]</f>
        <v>0</v>
      </c>
      <c r="H1689" s="153" t="s">
        <v>10</v>
      </c>
    </row>
    <row r="1690" spans="1:8" x14ac:dyDescent="0.25">
      <c r="A1690" s="73">
        <v>44790</v>
      </c>
      <c r="B1690" s="74" t="s">
        <v>26413</v>
      </c>
      <c r="C1690" s="75" t="s">
        <v>214</v>
      </c>
      <c r="D1690" s="176">
        <v>9515.2000000000007</v>
      </c>
      <c r="E1690" s="151">
        <v>44791</v>
      </c>
      <c r="F1690" s="176">
        <v>9515.2000000000007</v>
      </c>
      <c r="G1690" s="177">
        <f>Tabla19[[#This Row],[Importe]]-Tabla19[[#This Row],[Pagado]]</f>
        <v>0</v>
      </c>
      <c r="H1690" s="75" t="s">
        <v>10</v>
      </c>
    </row>
    <row r="1691" spans="1:8" x14ac:dyDescent="0.25">
      <c r="A1691" s="148">
        <v>44790</v>
      </c>
      <c r="B1691" s="149" t="s">
        <v>26414</v>
      </c>
      <c r="C1691" s="153" t="s">
        <v>664</v>
      </c>
      <c r="D1691" s="178">
        <v>4758</v>
      </c>
      <c r="E1691" s="155">
        <v>44791</v>
      </c>
      <c r="F1691" s="178">
        <v>4758</v>
      </c>
      <c r="G1691" s="179">
        <f>Tabla19[[#This Row],[Importe]]-Tabla19[[#This Row],[Pagado]]</f>
        <v>0</v>
      </c>
      <c r="H1691" s="153" t="s">
        <v>10</v>
      </c>
    </row>
    <row r="1692" spans="1:8" x14ac:dyDescent="0.25">
      <c r="A1692" s="73">
        <v>44790</v>
      </c>
      <c r="B1692" s="74" t="s">
        <v>26415</v>
      </c>
      <c r="C1692" s="75" t="s">
        <v>291</v>
      </c>
      <c r="D1692" s="176">
        <v>1061.5999999999999</v>
      </c>
      <c r="E1692" s="151">
        <v>44791</v>
      </c>
      <c r="F1692" s="176">
        <v>1061.5999999999999</v>
      </c>
      <c r="G1692" s="177">
        <f>Tabla19[[#This Row],[Importe]]-Tabla19[[#This Row],[Pagado]]</f>
        <v>0</v>
      </c>
      <c r="H1692" s="75" t="s">
        <v>10</v>
      </c>
    </row>
    <row r="1693" spans="1:8" x14ac:dyDescent="0.25">
      <c r="A1693" s="148">
        <v>44790</v>
      </c>
      <c r="B1693" s="149" t="s">
        <v>26416</v>
      </c>
      <c r="C1693" s="153" t="s">
        <v>214</v>
      </c>
      <c r="D1693" s="178">
        <v>78</v>
      </c>
      <c r="E1693" s="155">
        <v>44790</v>
      </c>
      <c r="F1693" s="178">
        <v>78</v>
      </c>
      <c r="G1693" s="179">
        <f>Tabla19[[#This Row],[Importe]]-Tabla19[[#This Row],[Pagado]]</f>
        <v>0</v>
      </c>
      <c r="H1693" s="153" t="s">
        <v>10</v>
      </c>
    </row>
    <row r="1694" spans="1:8" x14ac:dyDescent="0.25">
      <c r="A1694" s="73">
        <v>44790</v>
      </c>
      <c r="B1694" s="74" t="s">
        <v>26417</v>
      </c>
      <c r="C1694" s="75" t="s">
        <v>15868</v>
      </c>
      <c r="D1694" s="176">
        <v>49692.6</v>
      </c>
      <c r="E1694" s="151">
        <v>44791</v>
      </c>
      <c r="F1694" s="176">
        <v>49692.6</v>
      </c>
      <c r="G1694" s="177">
        <f>Tabla19[[#This Row],[Importe]]-Tabla19[[#This Row],[Pagado]]</f>
        <v>0</v>
      </c>
      <c r="H1694" s="75" t="s">
        <v>10</v>
      </c>
    </row>
    <row r="1695" spans="1:8" x14ac:dyDescent="0.25">
      <c r="A1695" s="148">
        <v>44790</v>
      </c>
      <c r="B1695" s="149" t="s">
        <v>26418</v>
      </c>
      <c r="C1695" s="153" t="s">
        <v>857</v>
      </c>
      <c r="D1695" s="178">
        <v>472</v>
      </c>
      <c r="E1695" s="155">
        <v>44790</v>
      </c>
      <c r="F1695" s="178">
        <v>472</v>
      </c>
      <c r="G1695" s="179">
        <f>Tabla19[[#This Row],[Importe]]-Tabla19[[#This Row],[Pagado]]</f>
        <v>0</v>
      </c>
      <c r="H1695" s="153" t="s">
        <v>10</v>
      </c>
    </row>
    <row r="1696" spans="1:8" x14ac:dyDescent="0.25">
      <c r="A1696" s="73">
        <v>44790</v>
      </c>
      <c r="B1696" s="74" t="s">
        <v>26419</v>
      </c>
      <c r="C1696" s="75" t="s">
        <v>4136</v>
      </c>
      <c r="D1696" s="176">
        <v>2596.1</v>
      </c>
      <c r="E1696" s="151">
        <v>44790</v>
      </c>
      <c r="F1696" s="176">
        <v>2596.1</v>
      </c>
      <c r="G1696" s="177">
        <f>Tabla19[[#This Row],[Importe]]-Tabla19[[#This Row],[Pagado]]</f>
        <v>0</v>
      </c>
      <c r="H1696" s="75" t="s">
        <v>10</v>
      </c>
    </row>
    <row r="1697" spans="1:8" x14ac:dyDescent="0.25">
      <c r="A1697" s="148">
        <v>44790</v>
      </c>
      <c r="B1697" s="149" t="s">
        <v>26420</v>
      </c>
      <c r="C1697" s="153" t="s">
        <v>9827</v>
      </c>
      <c r="D1697" s="178">
        <v>4290</v>
      </c>
      <c r="E1697" s="155">
        <v>44790</v>
      </c>
      <c r="F1697" s="178">
        <v>4290</v>
      </c>
      <c r="G1697" s="179">
        <f>Tabla19[[#This Row],[Importe]]-Tabla19[[#This Row],[Pagado]]</f>
        <v>0</v>
      </c>
      <c r="H1697" s="153" t="s">
        <v>10</v>
      </c>
    </row>
    <row r="1698" spans="1:8" x14ac:dyDescent="0.25">
      <c r="A1698" s="73">
        <v>44790</v>
      </c>
      <c r="B1698" s="74" t="s">
        <v>26421</v>
      </c>
      <c r="C1698" s="75" t="s">
        <v>562</v>
      </c>
      <c r="D1698" s="176">
        <v>4518</v>
      </c>
      <c r="E1698" s="151">
        <v>44790</v>
      </c>
      <c r="F1698" s="176">
        <v>4518</v>
      </c>
      <c r="G1698" s="177">
        <f>Tabla19[[#This Row],[Importe]]-Tabla19[[#This Row],[Pagado]]</f>
        <v>0</v>
      </c>
      <c r="H1698" s="75" t="s">
        <v>10</v>
      </c>
    </row>
    <row r="1699" spans="1:8" x14ac:dyDescent="0.25">
      <c r="A1699" s="148">
        <v>44790</v>
      </c>
      <c r="B1699" s="149" t="s">
        <v>26422</v>
      </c>
      <c r="C1699" s="153" t="s">
        <v>16</v>
      </c>
      <c r="D1699" s="178">
        <v>828.1</v>
      </c>
      <c r="E1699" s="155">
        <v>44790</v>
      </c>
      <c r="F1699" s="178">
        <v>828.1</v>
      </c>
      <c r="G1699" s="179">
        <f>Tabla19[[#This Row],[Importe]]-Tabla19[[#This Row],[Pagado]]</f>
        <v>0</v>
      </c>
      <c r="H1699" s="153" t="s">
        <v>10</v>
      </c>
    </row>
    <row r="1700" spans="1:8" x14ac:dyDescent="0.25">
      <c r="A1700" s="73">
        <v>44790</v>
      </c>
      <c r="B1700" s="74" t="s">
        <v>26423</v>
      </c>
      <c r="C1700" s="75" t="s">
        <v>541</v>
      </c>
      <c r="D1700" s="176">
        <v>12692</v>
      </c>
      <c r="E1700" s="151">
        <v>44793</v>
      </c>
      <c r="F1700" s="176">
        <v>12692</v>
      </c>
      <c r="G1700" s="177">
        <f>Tabla19[[#This Row],[Importe]]-Tabla19[[#This Row],[Pagado]]</f>
        <v>0</v>
      </c>
      <c r="H1700" s="75" t="s">
        <v>10</v>
      </c>
    </row>
    <row r="1701" spans="1:8" x14ac:dyDescent="0.25">
      <c r="A1701" s="148">
        <v>44790</v>
      </c>
      <c r="B1701" s="149" t="s">
        <v>26424</v>
      </c>
      <c r="C1701" s="153" t="s">
        <v>396</v>
      </c>
      <c r="D1701" s="178">
        <v>12752.8</v>
      </c>
      <c r="E1701" s="155">
        <v>44798</v>
      </c>
      <c r="F1701" s="178">
        <v>12752.8</v>
      </c>
      <c r="G1701" s="179">
        <f>Tabla19[[#This Row],[Importe]]-Tabla19[[#This Row],[Pagado]]</f>
        <v>0</v>
      </c>
      <c r="H1701" s="153" t="s">
        <v>10</v>
      </c>
    </row>
    <row r="1702" spans="1:8" x14ac:dyDescent="0.25">
      <c r="A1702" s="73">
        <v>44790</v>
      </c>
      <c r="B1702" s="74" t="s">
        <v>26425</v>
      </c>
      <c r="C1702" s="75" t="s">
        <v>79</v>
      </c>
      <c r="D1702" s="176">
        <v>10920</v>
      </c>
      <c r="E1702" s="151">
        <v>44790</v>
      </c>
      <c r="F1702" s="176">
        <v>10920</v>
      </c>
      <c r="G1702" s="177">
        <f>Tabla19[[#This Row],[Importe]]-Tabla19[[#This Row],[Pagado]]</f>
        <v>0</v>
      </c>
      <c r="H1702" s="75" t="s">
        <v>10</v>
      </c>
    </row>
    <row r="1703" spans="1:8" x14ac:dyDescent="0.25">
      <c r="A1703" s="148">
        <v>44790</v>
      </c>
      <c r="B1703" s="149" t="s">
        <v>26426</v>
      </c>
      <c r="C1703" s="153" t="s">
        <v>1421</v>
      </c>
      <c r="D1703" s="178">
        <v>79349.2</v>
      </c>
      <c r="E1703" s="155">
        <v>44790</v>
      </c>
      <c r="F1703" s="178">
        <v>79349.2</v>
      </c>
      <c r="G1703" s="179">
        <f>Tabla19[[#This Row],[Importe]]-Tabla19[[#This Row],[Pagado]]</f>
        <v>0</v>
      </c>
      <c r="H1703" s="153" t="s">
        <v>10</v>
      </c>
    </row>
    <row r="1704" spans="1:8" x14ac:dyDescent="0.25">
      <c r="A1704" s="73">
        <v>44790</v>
      </c>
      <c r="B1704" s="74" t="s">
        <v>26427</v>
      </c>
      <c r="C1704" s="75" t="s">
        <v>1421</v>
      </c>
      <c r="D1704" s="176">
        <v>21019.200000000001</v>
      </c>
      <c r="E1704" s="151">
        <v>44790</v>
      </c>
      <c r="F1704" s="176">
        <v>21019.200000000001</v>
      </c>
      <c r="G1704" s="177">
        <f>Tabla19[[#This Row],[Importe]]-Tabla19[[#This Row],[Pagado]]</f>
        <v>0</v>
      </c>
      <c r="H1704" s="75" t="s">
        <v>10</v>
      </c>
    </row>
    <row r="1705" spans="1:8" x14ac:dyDescent="0.25">
      <c r="A1705" s="148">
        <v>44790</v>
      </c>
      <c r="B1705" s="149" t="s">
        <v>26428</v>
      </c>
      <c r="C1705" s="153" t="s">
        <v>53</v>
      </c>
      <c r="D1705" s="178">
        <v>624.1</v>
      </c>
      <c r="E1705" s="155">
        <v>44790</v>
      </c>
      <c r="F1705" s="178">
        <v>624.1</v>
      </c>
      <c r="G1705" s="179">
        <f>Tabla19[[#This Row],[Importe]]-Tabla19[[#This Row],[Pagado]]</f>
        <v>0</v>
      </c>
      <c r="H1705" s="153" t="s">
        <v>10</v>
      </c>
    </row>
    <row r="1706" spans="1:8" x14ac:dyDescent="0.25">
      <c r="A1706" s="73">
        <v>44790</v>
      </c>
      <c r="B1706" s="74" t="s">
        <v>26429</v>
      </c>
      <c r="C1706" s="75" t="s">
        <v>2151</v>
      </c>
      <c r="D1706" s="176">
        <v>2969.6</v>
      </c>
      <c r="E1706" s="151">
        <v>44790</v>
      </c>
      <c r="F1706" s="176">
        <v>2969.6</v>
      </c>
      <c r="G1706" s="177">
        <f>Tabla19[[#This Row],[Importe]]-Tabla19[[#This Row],[Pagado]]</f>
        <v>0</v>
      </c>
      <c r="H1706" s="75" t="s">
        <v>10</v>
      </c>
    </row>
    <row r="1707" spans="1:8" x14ac:dyDescent="0.25">
      <c r="A1707" s="148">
        <v>44790</v>
      </c>
      <c r="B1707" s="149" t="s">
        <v>26430</v>
      </c>
      <c r="C1707" s="153" t="s">
        <v>698</v>
      </c>
      <c r="D1707" s="178">
        <v>8437.5</v>
      </c>
      <c r="E1707" s="155">
        <v>44790</v>
      </c>
      <c r="F1707" s="178">
        <v>8437.5</v>
      </c>
      <c r="G1707" s="179">
        <f>Tabla19[[#This Row],[Importe]]-Tabla19[[#This Row],[Pagado]]</f>
        <v>0</v>
      </c>
      <c r="H1707" s="153" t="s">
        <v>10</v>
      </c>
    </row>
    <row r="1708" spans="1:8" x14ac:dyDescent="0.25">
      <c r="A1708" s="73">
        <v>44790</v>
      </c>
      <c r="B1708" s="74" t="s">
        <v>26431</v>
      </c>
      <c r="C1708" s="75" t="s">
        <v>2151</v>
      </c>
      <c r="D1708" s="176">
        <v>193.5</v>
      </c>
      <c r="E1708" s="151">
        <v>44790</v>
      </c>
      <c r="F1708" s="176">
        <v>193.5</v>
      </c>
      <c r="G1708" s="177">
        <f>Tabla19[[#This Row],[Importe]]-Tabla19[[#This Row],[Pagado]]</f>
        <v>0</v>
      </c>
      <c r="H1708" s="75" t="s">
        <v>10</v>
      </c>
    </row>
    <row r="1709" spans="1:8" x14ac:dyDescent="0.25">
      <c r="A1709" s="148">
        <v>44790</v>
      </c>
      <c r="B1709" s="149" t="s">
        <v>26432</v>
      </c>
      <c r="C1709" s="153" t="s">
        <v>484</v>
      </c>
      <c r="D1709" s="178">
        <v>4219.8</v>
      </c>
      <c r="E1709" s="155">
        <v>44790</v>
      </c>
      <c r="F1709" s="178">
        <v>4219.8</v>
      </c>
      <c r="G1709" s="179">
        <f>Tabla19[[#This Row],[Importe]]-Tabla19[[#This Row],[Pagado]]</f>
        <v>0</v>
      </c>
      <c r="H1709" s="153" t="s">
        <v>10</v>
      </c>
    </row>
    <row r="1710" spans="1:8" x14ac:dyDescent="0.25">
      <c r="A1710" s="73">
        <v>44790</v>
      </c>
      <c r="B1710" s="74" t="s">
        <v>26433</v>
      </c>
      <c r="C1710" s="75" t="s">
        <v>421</v>
      </c>
      <c r="D1710" s="176">
        <v>8143.7</v>
      </c>
      <c r="E1710" s="151">
        <v>44790</v>
      </c>
      <c r="F1710" s="176">
        <v>8143.7</v>
      </c>
      <c r="G1710" s="177">
        <f>Tabla19[[#This Row],[Importe]]-Tabla19[[#This Row],[Pagado]]</f>
        <v>0</v>
      </c>
      <c r="H1710" s="75" t="s">
        <v>10</v>
      </c>
    </row>
    <row r="1711" spans="1:8" x14ac:dyDescent="0.25">
      <c r="A1711" s="148">
        <v>44790</v>
      </c>
      <c r="B1711" s="149" t="s">
        <v>26434</v>
      </c>
      <c r="C1711" s="153" t="s">
        <v>9993</v>
      </c>
      <c r="D1711" s="178">
        <v>58345.2</v>
      </c>
      <c r="E1711" s="155">
        <v>44790</v>
      </c>
      <c r="F1711" s="178">
        <v>58345.2</v>
      </c>
      <c r="G1711" s="179">
        <f>Tabla19[[#This Row],[Importe]]-Tabla19[[#This Row],[Pagado]]</f>
        <v>0</v>
      </c>
      <c r="H1711" s="153" t="s">
        <v>10</v>
      </c>
    </row>
    <row r="1712" spans="1:8" x14ac:dyDescent="0.25">
      <c r="A1712" s="73">
        <v>44790</v>
      </c>
      <c r="B1712" s="74" t="s">
        <v>26435</v>
      </c>
      <c r="C1712" s="75" t="s">
        <v>191</v>
      </c>
      <c r="D1712" s="176">
        <v>584.1</v>
      </c>
      <c r="E1712" s="151">
        <v>44790</v>
      </c>
      <c r="F1712" s="176">
        <v>584.1</v>
      </c>
      <c r="G1712" s="177">
        <f>Tabla19[[#This Row],[Importe]]-Tabla19[[#This Row],[Pagado]]</f>
        <v>0</v>
      </c>
      <c r="H1712" s="75" t="s">
        <v>10</v>
      </c>
    </row>
    <row r="1713" spans="1:8" x14ac:dyDescent="0.25">
      <c r="A1713" s="148">
        <v>44790</v>
      </c>
      <c r="B1713" s="149" t="s">
        <v>26436</v>
      </c>
      <c r="C1713" s="153" t="s">
        <v>26437</v>
      </c>
      <c r="D1713" s="178">
        <v>0</v>
      </c>
      <c r="E1713" s="158" t="s">
        <v>189</v>
      </c>
      <c r="F1713" s="178">
        <v>0</v>
      </c>
      <c r="G1713" s="179">
        <f>Tabla19[[#This Row],[Importe]]-Tabla19[[#This Row],[Pagado]]</f>
        <v>0</v>
      </c>
      <c r="H1713" s="153" t="s">
        <v>189</v>
      </c>
    </row>
    <row r="1714" spans="1:8" x14ac:dyDescent="0.25">
      <c r="A1714" s="73">
        <v>44790</v>
      </c>
      <c r="B1714" s="74" t="s">
        <v>26438</v>
      </c>
      <c r="C1714" s="75" t="s">
        <v>407</v>
      </c>
      <c r="D1714" s="176">
        <v>17679.2</v>
      </c>
      <c r="E1714" s="151">
        <v>44791</v>
      </c>
      <c r="F1714" s="176">
        <v>17679.2</v>
      </c>
      <c r="G1714" s="177">
        <f>Tabla19[[#This Row],[Importe]]-Tabla19[[#This Row],[Pagado]]</f>
        <v>0</v>
      </c>
      <c r="H1714" s="75" t="s">
        <v>10</v>
      </c>
    </row>
    <row r="1715" spans="1:8" x14ac:dyDescent="0.25">
      <c r="A1715" s="148">
        <v>44790</v>
      </c>
      <c r="B1715" s="149" t="s">
        <v>26439</v>
      </c>
      <c r="C1715" s="153" t="s">
        <v>296</v>
      </c>
      <c r="D1715" s="178">
        <v>1208.7</v>
      </c>
      <c r="E1715" s="155">
        <v>44790</v>
      </c>
      <c r="F1715" s="178">
        <v>1208.7</v>
      </c>
      <c r="G1715" s="179">
        <f>Tabla19[[#This Row],[Importe]]-Tabla19[[#This Row],[Pagado]]</f>
        <v>0</v>
      </c>
      <c r="H1715" s="153" t="s">
        <v>10</v>
      </c>
    </row>
    <row r="1716" spans="1:8" x14ac:dyDescent="0.25">
      <c r="A1716" s="73">
        <v>44790</v>
      </c>
      <c r="B1716" s="74" t="s">
        <v>26440</v>
      </c>
      <c r="C1716" s="75" t="s">
        <v>275</v>
      </c>
      <c r="D1716" s="176">
        <v>160063.78</v>
      </c>
      <c r="E1716" s="151" t="s">
        <v>4813</v>
      </c>
      <c r="F1716" s="176">
        <v>0</v>
      </c>
      <c r="G1716" s="177">
        <f>Tabla19[[#This Row],[Importe]]-Tabla19[[#This Row],[Pagado]]</f>
        <v>160063.78</v>
      </c>
      <c r="H1716" s="75" t="s">
        <v>4814</v>
      </c>
    </row>
    <row r="1717" spans="1:8" x14ac:dyDescent="0.25">
      <c r="A1717" s="148">
        <v>44790</v>
      </c>
      <c r="B1717" s="149" t="s">
        <v>26441</v>
      </c>
      <c r="C1717" s="153" t="s">
        <v>26442</v>
      </c>
      <c r="D1717" s="178">
        <v>3756</v>
      </c>
      <c r="E1717" s="155">
        <v>44790</v>
      </c>
      <c r="F1717" s="178">
        <v>3756</v>
      </c>
      <c r="G1717" s="179">
        <f>Tabla19[[#This Row],[Importe]]-Tabla19[[#This Row],[Pagado]]</f>
        <v>0</v>
      </c>
      <c r="H1717" s="153" t="s">
        <v>10</v>
      </c>
    </row>
    <row r="1718" spans="1:8" x14ac:dyDescent="0.25">
      <c r="A1718" s="73">
        <v>44790</v>
      </c>
      <c r="B1718" s="74" t="s">
        <v>26443</v>
      </c>
      <c r="C1718" s="75" t="s">
        <v>31</v>
      </c>
      <c r="D1718" s="176">
        <v>1168</v>
      </c>
      <c r="E1718" s="151">
        <v>44790</v>
      </c>
      <c r="F1718" s="176">
        <v>1168</v>
      </c>
      <c r="G1718" s="177">
        <f>Tabla19[[#This Row],[Importe]]-Tabla19[[#This Row],[Pagado]]</f>
        <v>0</v>
      </c>
      <c r="H1718" s="75" t="s">
        <v>10</v>
      </c>
    </row>
    <row r="1719" spans="1:8" x14ac:dyDescent="0.25">
      <c r="A1719" s="148">
        <v>44790</v>
      </c>
      <c r="B1719" s="149" t="s">
        <v>26444</v>
      </c>
      <c r="C1719" s="153" t="s">
        <v>31</v>
      </c>
      <c r="D1719" s="178">
        <v>4200</v>
      </c>
      <c r="E1719" s="155">
        <v>44790</v>
      </c>
      <c r="F1719" s="178">
        <v>4200</v>
      </c>
      <c r="G1719" s="179">
        <f>Tabla19[[#This Row],[Importe]]-Tabla19[[#This Row],[Pagado]]</f>
        <v>0</v>
      </c>
      <c r="H1719" s="153" t="s">
        <v>10</v>
      </c>
    </row>
    <row r="1720" spans="1:8" x14ac:dyDescent="0.25">
      <c r="A1720" s="73">
        <v>44790</v>
      </c>
      <c r="B1720" s="74" t="s">
        <v>26445</v>
      </c>
      <c r="C1720" s="75" t="s">
        <v>31</v>
      </c>
      <c r="D1720" s="176">
        <v>130</v>
      </c>
      <c r="E1720" s="151">
        <v>44790</v>
      </c>
      <c r="F1720" s="176">
        <v>130</v>
      </c>
      <c r="G1720" s="177">
        <f>Tabla19[[#This Row],[Importe]]-Tabla19[[#This Row],[Pagado]]</f>
        <v>0</v>
      </c>
      <c r="H1720" s="75" t="s">
        <v>10</v>
      </c>
    </row>
    <row r="1721" spans="1:8" x14ac:dyDescent="0.25">
      <c r="A1721" s="148">
        <v>44790</v>
      </c>
      <c r="B1721" s="149" t="s">
        <v>26446</v>
      </c>
      <c r="C1721" s="153" t="s">
        <v>605</v>
      </c>
      <c r="D1721" s="178">
        <v>54735.6</v>
      </c>
      <c r="E1721" s="155">
        <v>44791</v>
      </c>
      <c r="F1721" s="178">
        <v>54735.6</v>
      </c>
      <c r="G1721" s="179">
        <f>Tabla19[[#This Row],[Importe]]-Tabla19[[#This Row],[Pagado]]</f>
        <v>0</v>
      </c>
      <c r="H1721" s="153" t="s">
        <v>10</v>
      </c>
    </row>
    <row r="1722" spans="1:8" x14ac:dyDescent="0.25">
      <c r="A1722" s="73">
        <v>44790</v>
      </c>
      <c r="B1722" s="74" t="s">
        <v>26447</v>
      </c>
      <c r="C1722" s="75" t="s">
        <v>10819</v>
      </c>
      <c r="D1722" s="176">
        <v>858</v>
      </c>
      <c r="E1722" s="151">
        <v>44791</v>
      </c>
      <c r="F1722" s="176">
        <v>858</v>
      </c>
      <c r="G1722" s="177">
        <f>Tabla19[[#This Row],[Importe]]-Tabla19[[#This Row],[Pagado]]</f>
        <v>0</v>
      </c>
      <c r="H1722" s="75" t="s">
        <v>10</v>
      </c>
    </row>
    <row r="1723" spans="1:8" x14ac:dyDescent="0.25">
      <c r="A1723" s="148">
        <v>44790</v>
      </c>
      <c r="B1723" s="149" t="s">
        <v>26448</v>
      </c>
      <c r="C1723" s="153" t="s">
        <v>280</v>
      </c>
      <c r="D1723" s="178">
        <v>1302.5999999999999</v>
      </c>
      <c r="E1723" s="155">
        <v>44791</v>
      </c>
      <c r="F1723" s="178">
        <v>1302.5999999999999</v>
      </c>
      <c r="G1723" s="179">
        <f>Tabla19[[#This Row],[Importe]]-Tabla19[[#This Row],[Pagado]]</f>
        <v>0</v>
      </c>
      <c r="H1723" s="153" t="s">
        <v>10</v>
      </c>
    </row>
    <row r="1724" spans="1:8" x14ac:dyDescent="0.25">
      <c r="A1724" s="73">
        <v>44790</v>
      </c>
      <c r="B1724" s="74" t="s">
        <v>26449</v>
      </c>
      <c r="C1724" s="75" t="s">
        <v>5345</v>
      </c>
      <c r="D1724" s="176">
        <v>1872</v>
      </c>
      <c r="E1724" s="151">
        <v>44791</v>
      </c>
      <c r="F1724" s="176">
        <v>1872</v>
      </c>
      <c r="G1724" s="177">
        <f>Tabla19[[#This Row],[Importe]]-Tabla19[[#This Row],[Pagado]]</f>
        <v>0</v>
      </c>
      <c r="H1724" s="75" t="s">
        <v>10</v>
      </c>
    </row>
    <row r="1725" spans="1:8" x14ac:dyDescent="0.25">
      <c r="A1725" s="148">
        <v>44790</v>
      </c>
      <c r="B1725" s="149" t="s">
        <v>26450</v>
      </c>
      <c r="C1725" s="153" t="s">
        <v>10819</v>
      </c>
      <c r="D1725" s="178">
        <v>40</v>
      </c>
      <c r="E1725" s="155">
        <v>44791</v>
      </c>
      <c r="F1725" s="178">
        <v>40</v>
      </c>
      <c r="G1725" s="179">
        <f>Tabla19[[#This Row],[Importe]]-Tabla19[[#This Row],[Pagado]]</f>
        <v>0</v>
      </c>
      <c r="H1725" s="153" t="s">
        <v>10</v>
      </c>
    </row>
    <row r="1726" spans="1:8" x14ac:dyDescent="0.25">
      <c r="A1726" s="73">
        <v>44790</v>
      </c>
      <c r="B1726" s="74" t="s">
        <v>26451</v>
      </c>
      <c r="C1726" s="75" t="s">
        <v>610</v>
      </c>
      <c r="D1726" s="176">
        <v>30835.599999999999</v>
      </c>
      <c r="E1726" s="151">
        <v>44791</v>
      </c>
      <c r="F1726" s="176">
        <v>30835.599999999999</v>
      </c>
      <c r="G1726" s="177">
        <f>Tabla19[[#This Row],[Importe]]-Tabla19[[#This Row],[Pagado]]</f>
        <v>0</v>
      </c>
      <c r="H1726" s="75" t="s">
        <v>10</v>
      </c>
    </row>
    <row r="1727" spans="1:8" x14ac:dyDescent="0.25">
      <c r="A1727" s="148">
        <v>44790</v>
      </c>
      <c r="B1727" s="149" t="s">
        <v>26452</v>
      </c>
      <c r="C1727" s="153" t="s">
        <v>9577</v>
      </c>
      <c r="D1727" s="178">
        <v>26894</v>
      </c>
      <c r="E1727" s="155">
        <v>44791</v>
      </c>
      <c r="F1727" s="178">
        <v>26894</v>
      </c>
      <c r="G1727" s="179">
        <f>Tabla19[[#This Row],[Importe]]-Tabla19[[#This Row],[Pagado]]</f>
        <v>0</v>
      </c>
      <c r="H1727" s="153" t="s">
        <v>10</v>
      </c>
    </row>
    <row r="1728" spans="1:8" x14ac:dyDescent="0.25">
      <c r="A1728" s="73">
        <v>44790</v>
      </c>
      <c r="B1728" s="74" t="s">
        <v>26453</v>
      </c>
      <c r="C1728" s="75" t="s">
        <v>400</v>
      </c>
      <c r="D1728" s="176">
        <v>12162.66</v>
      </c>
      <c r="E1728" s="151">
        <v>44798</v>
      </c>
      <c r="F1728" s="176">
        <v>12162.66</v>
      </c>
      <c r="G1728" s="177">
        <f>Tabla19[[#This Row],[Importe]]-Tabla19[[#This Row],[Pagado]]</f>
        <v>0</v>
      </c>
      <c r="H1728" s="75" t="s">
        <v>10</v>
      </c>
    </row>
    <row r="1729" spans="1:8" x14ac:dyDescent="0.25">
      <c r="A1729" s="148">
        <v>44790</v>
      </c>
      <c r="B1729" s="149" t="s">
        <v>26454</v>
      </c>
      <c r="C1729" s="153" t="s">
        <v>1644</v>
      </c>
      <c r="D1729" s="178">
        <v>12090</v>
      </c>
      <c r="E1729" s="155">
        <v>44791</v>
      </c>
      <c r="F1729" s="178">
        <v>12090</v>
      </c>
      <c r="G1729" s="179">
        <f>Tabla19[[#This Row],[Importe]]-Tabla19[[#This Row],[Pagado]]</f>
        <v>0</v>
      </c>
      <c r="H1729" s="153" t="s">
        <v>10</v>
      </c>
    </row>
    <row r="1730" spans="1:8" x14ac:dyDescent="0.25">
      <c r="A1730" s="73">
        <v>44790</v>
      </c>
      <c r="B1730" s="74" t="s">
        <v>26455</v>
      </c>
      <c r="C1730" s="75" t="s">
        <v>400</v>
      </c>
      <c r="D1730" s="176">
        <v>1038.8</v>
      </c>
      <c r="E1730" s="151" t="s">
        <v>4813</v>
      </c>
      <c r="F1730" s="176">
        <v>0</v>
      </c>
      <c r="G1730" s="177">
        <f>Tabla19[[#This Row],[Importe]]-Tabla19[[#This Row],[Pagado]]</f>
        <v>1038.8</v>
      </c>
      <c r="H1730" s="75" t="s">
        <v>4814</v>
      </c>
    </row>
    <row r="1731" spans="1:8" x14ac:dyDescent="0.25">
      <c r="A1731" s="148">
        <v>44790</v>
      </c>
      <c r="B1731" s="149" t="s">
        <v>26456</v>
      </c>
      <c r="C1731" s="153" t="s">
        <v>402</v>
      </c>
      <c r="D1731" s="178">
        <v>20521.2</v>
      </c>
      <c r="E1731" s="155">
        <v>44798</v>
      </c>
      <c r="F1731" s="178">
        <v>20521.2</v>
      </c>
      <c r="G1731" s="179">
        <f>Tabla19[[#This Row],[Importe]]-Tabla19[[#This Row],[Pagado]]</f>
        <v>0</v>
      </c>
      <c r="H1731" s="153" t="s">
        <v>10</v>
      </c>
    </row>
    <row r="1732" spans="1:8" x14ac:dyDescent="0.25">
      <c r="A1732" s="73">
        <v>44790</v>
      </c>
      <c r="B1732" s="74" t="s">
        <v>26457</v>
      </c>
      <c r="C1732" s="75" t="s">
        <v>10190</v>
      </c>
      <c r="D1732" s="176">
        <v>23490</v>
      </c>
      <c r="E1732" s="151">
        <v>44792</v>
      </c>
      <c r="F1732" s="176">
        <v>23490</v>
      </c>
      <c r="G1732" s="177">
        <f>Tabla19[[#This Row],[Importe]]-Tabla19[[#This Row],[Pagado]]</f>
        <v>0</v>
      </c>
      <c r="H1732" s="75" t="s">
        <v>10</v>
      </c>
    </row>
    <row r="1733" spans="1:8" x14ac:dyDescent="0.25">
      <c r="A1733" s="148">
        <v>44791</v>
      </c>
      <c r="B1733" s="149" t="s">
        <v>26458</v>
      </c>
      <c r="C1733" s="153" t="s">
        <v>20</v>
      </c>
      <c r="D1733" s="178">
        <v>2800</v>
      </c>
      <c r="E1733" s="155">
        <v>44791</v>
      </c>
      <c r="F1733" s="178">
        <v>2800</v>
      </c>
      <c r="G1733" s="179">
        <f>Tabla19[[#This Row],[Importe]]-Tabla19[[#This Row],[Pagado]]</f>
        <v>0</v>
      </c>
      <c r="H1733" s="153" t="s">
        <v>10</v>
      </c>
    </row>
    <row r="1734" spans="1:8" x14ac:dyDescent="0.25">
      <c r="A1734" s="73">
        <v>44791</v>
      </c>
      <c r="B1734" s="74" t="s">
        <v>26459</v>
      </c>
      <c r="C1734" s="75" t="s">
        <v>473</v>
      </c>
      <c r="D1734" s="176">
        <v>5369</v>
      </c>
      <c r="E1734" s="151">
        <v>44791</v>
      </c>
      <c r="F1734" s="176">
        <v>5369</v>
      </c>
      <c r="G1734" s="177">
        <f>Tabla19[[#This Row],[Importe]]-Tabla19[[#This Row],[Pagado]]</f>
        <v>0</v>
      </c>
      <c r="H1734" s="75" t="s">
        <v>10</v>
      </c>
    </row>
    <row r="1735" spans="1:8" x14ac:dyDescent="0.25">
      <c r="A1735" s="148">
        <v>44791</v>
      </c>
      <c r="B1735" s="149" t="s">
        <v>26460</v>
      </c>
      <c r="C1735" s="153" t="s">
        <v>175</v>
      </c>
      <c r="D1735" s="178">
        <v>21884.2</v>
      </c>
      <c r="E1735" s="155">
        <v>44791</v>
      </c>
      <c r="F1735" s="178">
        <v>21884.2</v>
      </c>
      <c r="G1735" s="179">
        <f>Tabla19[[#This Row],[Importe]]-Tabla19[[#This Row],[Pagado]]</f>
        <v>0</v>
      </c>
      <c r="H1735" s="153" t="s">
        <v>10</v>
      </c>
    </row>
    <row r="1736" spans="1:8" x14ac:dyDescent="0.25">
      <c r="A1736" s="73">
        <v>44791</v>
      </c>
      <c r="B1736" s="74" t="s">
        <v>26461</v>
      </c>
      <c r="C1736" s="75" t="s">
        <v>618</v>
      </c>
      <c r="D1736" s="176">
        <v>10308.200000000001</v>
      </c>
      <c r="E1736" s="151">
        <v>44791</v>
      </c>
      <c r="F1736" s="176">
        <v>10308.200000000001</v>
      </c>
      <c r="G1736" s="177">
        <f>Tabla19[[#This Row],[Importe]]-Tabla19[[#This Row],[Pagado]]</f>
        <v>0</v>
      </c>
      <c r="H1736" s="75" t="s">
        <v>10</v>
      </c>
    </row>
    <row r="1737" spans="1:8" x14ac:dyDescent="0.25">
      <c r="A1737" s="148">
        <v>44791</v>
      </c>
      <c r="B1737" s="149" t="s">
        <v>26462</v>
      </c>
      <c r="C1737" s="153" t="s">
        <v>12</v>
      </c>
      <c r="D1737" s="178">
        <v>15119.3</v>
      </c>
      <c r="E1737" s="155">
        <v>44791</v>
      </c>
      <c r="F1737" s="178">
        <v>15119.3</v>
      </c>
      <c r="G1737" s="179">
        <f>Tabla19[[#This Row],[Importe]]-Tabla19[[#This Row],[Pagado]]</f>
        <v>0</v>
      </c>
      <c r="H1737" s="153" t="s">
        <v>10</v>
      </c>
    </row>
    <row r="1738" spans="1:8" x14ac:dyDescent="0.25">
      <c r="A1738" s="73">
        <v>44791</v>
      </c>
      <c r="B1738" s="74" t="s">
        <v>26463</v>
      </c>
      <c r="C1738" s="75" t="s">
        <v>966</v>
      </c>
      <c r="D1738" s="176">
        <v>5637.32</v>
      </c>
      <c r="E1738" s="151">
        <v>44791</v>
      </c>
      <c r="F1738" s="176">
        <v>5637.32</v>
      </c>
      <c r="G1738" s="177">
        <f>Tabla19[[#This Row],[Importe]]-Tabla19[[#This Row],[Pagado]]</f>
        <v>0</v>
      </c>
      <c r="H1738" s="75" t="s">
        <v>10</v>
      </c>
    </row>
    <row r="1739" spans="1:8" x14ac:dyDescent="0.25">
      <c r="A1739" s="148">
        <v>44791</v>
      </c>
      <c r="B1739" s="149" t="s">
        <v>26464</v>
      </c>
      <c r="C1739" s="153" t="s">
        <v>159</v>
      </c>
      <c r="D1739" s="178">
        <v>1421</v>
      </c>
      <c r="E1739" s="155">
        <v>44791</v>
      </c>
      <c r="F1739" s="178">
        <v>1421</v>
      </c>
      <c r="G1739" s="179">
        <f>Tabla19[[#This Row],[Importe]]-Tabla19[[#This Row],[Pagado]]</f>
        <v>0</v>
      </c>
      <c r="H1739" s="153" t="s">
        <v>10</v>
      </c>
    </row>
    <row r="1740" spans="1:8" x14ac:dyDescent="0.25">
      <c r="A1740" s="73">
        <v>44791</v>
      </c>
      <c r="B1740" s="74" t="s">
        <v>26465</v>
      </c>
      <c r="C1740" s="75" t="s">
        <v>89</v>
      </c>
      <c r="D1740" s="176">
        <v>11257.8</v>
      </c>
      <c r="E1740" s="151">
        <v>44792</v>
      </c>
      <c r="F1740" s="176">
        <v>11257.8</v>
      </c>
      <c r="G1740" s="177">
        <f>Tabla19[[#This Row],[Importe]]-Tabla19[[#This Row],[Pagado]]</f>
        <v>0</v>
      </c>
      <c r="H1740" s="75" t="s">
        <v>10</v>
      </c>
    </row>
    <row r="1741" spans="1:8" x14ac:dyDescent="0.25">
      <c r="A1741" s="148">
        <v>44791</v>
      </c>
      <c r="B1741" s="149" t="s">
        <v>26466</v>
      </c>
      <c r="C1741" s="153" t="s">
        <v>157</v>
      </c>
      <c r="D1741" s="178">
        <v>7444.2</v>
      </c>
      <c r="E1741" s="155">
        <v>44791</v>
      </c>
      <c r="F1741" s="178">
        <v>7444.2</v>
      </c>
      <c r="G1741" s="179">
        <f>Tabla19[[#This Row],[Importe]]-Tabla19[[#This Row],[Pagado]]</f>
        <v>0</v>
      </c>
      <c r="H1741" s="153" t="s">
        <v>10</v>
      </c>
    </row>
    <row r="1742" spans="1:8" x14ac:dyDescent="0.25">
      <c r="A1742" s="73">
        <v>44791</v>
      </c>
      <c r="B1742" s="74" t="s">
        <v>26467</v>
      </c>
      <c r="C1742" s="75" t="s">
        <v>93</v>
      </c>
      <c r="D1742" s="176">
        <v>10222.799999999999</v>
      </c>
      <c r="E1742" s="151">
        <v>44793</v>
      </c>
      <c r="F1742" s="176">
        <v>10222.799999999999</v>
      </c>
      <c r="G1742" s="177">
        <f>Tabla19[[#This Row],[Importe]]-Tabla19[[#This Row],[Pagado]]</f>
        <v>0</v>
      </c>
      <c r="H1742" s="75" t="s">
        <v>10</v>
      </c>
    </row>
    <row r="1743" spans="1:8" x14ac:dyDescent="0.25">
      <c r="A1743" s="148">
        <v>44791</v>
      </c>
      <c r="B1743" s="149" t="s">
        <v>26468</v>
      </c>
      <c r="C1743" s="153" t="s">
        <v>348</v>
      </c>
      <c r="D1743" s="178">
        <v>6733.8</v>
      </c>
      <c r="E1743" s="155">
        <v>44795</v>
      </c>
      <c r="F1743" s="178">
        <v>6733.8</v>
      </c>
      <c r="G1743" s="179">
        <f>Tabla19[[#This Row],[Importe]]-Tabla19[[#This Row],[Pagado]]</f>
        <v>0</v>
      </c>
      <c r="H1743" s="153" t="s">
        <v>10</v>
      </c>
    </row>
    <row r="1744" spans="1:8" x14ac:dyDescent="0.25">
      <c r="A1744" s="73">
        <v>44791</v>
      </c>
      <c r="B1744" s="74" t="s">
        <v>26469</v>
      </c>
      <c r="C1744" s="75" t="s">
        <v>105</v>
      </c>
      <c r="D1744" s="176">
        <v>9474.7000000000007</v>
      </c>
      <c r="E1744" s="151">
        <v>44792</v>
      </c>
      <c r="F1744" s="176">
        <v>9474.7000000000007</v>
      </c>
      <c r="G1744" s="177">
        <f>Tabla19[[#This Row],[Importe]]-Tabla19[[#This Row],[Pagado]]</f>
        <v>0</v>
      </c>
      <c r="H1744" s="75" t="s">
        <v>10</v>
      </c>
    </row>
    <row r="1745" spans="1:8" x14ac:dyDescent="0.25">
      <c r="A1745" s="148">
        <v>44791</v>
      </c>
      <c r="B1745" s="149" t="s">
        <v>26470</v>
      </c>
      <c r="C1745" s="153" t="s">
        <v>114</v>
      </c>
      <c r="D1745" s="178">
        <v>13191.7</v>
      </c>
      <c r="E1745" s="155">
        <v>44792</v>
      </c>
      <c r="F1745" s="178">
        <v>13191.7</v>
      </c>
      <c r="G1745" s="179">
        <f>Tabla19[[#This Row],[Importe]]-Tabla19[[#This Row],[Pagado]]</f>
        <v>0</v>
      </c>
      <c r="H1745" s="153" t="s">
        <v>10</v>
      </c>
    </row>
    <row r="1746" spans="1:8" x14ac:dyDescent="0.25">
      <c r="A1746" s="73">
        <v>44791</v>
      </c>
      <c r="B1746" s="74" t="s">
        <v>26471</v>
      </c>
      <c r="C1746" s="75" t="s">
        <v>2151</v>
      </c>
      <c r="D1746" s="176">
        <v>28137.1</v>
      </c>
      <c r="E1746" s="151">
        <v>44791</v>
      </c>
      <c r="F1746" s="176">
        <v>28137.1</v>
      </c>
      <c r="G1746" s="177">
        <f>Tabla19[[#This Row],[Importe]]-Tabla19[[#This Row],[Pagado]]</f>
        <v>0</v>
      </c>
      <c r="H1746" s="75" t="s">
        <v>10</v>
      </c>
    </row>
    <row r="1747" spans="1:8" x14ac:dyDescent="0.25">
      <c r="A1747" s="148">
        <v>44791</v>
      </c>
      <c r="B1747" s="149" t="s">
        <v>26472</v>
      </c>
      <c r="C1747" s="153" t="s">
        <v>109</v>
      </c>
      <c r="D1747" s="178">
        <v>6098.4</v>
      </c>
      <c r="E1747" s="155">
        <v>44792</v>
      </c>
      <c r="F1747" s="178">
        <v>6098.4</v>
      </c>
      <c r="G1747" s="179">
        <f>Tabla19[[#This Row],[Importe]]-Tabla19[[#This Row],[Pagado]]</f>
        <v>0</v>
      </c>
      <c r="H1747" s="153" t="s">
        <v>10</v>
      </c>
    </row>
    <row r="1748" spans="1:8" x14ac:dyDescent="0.25">
      <c r="A1748" s="73">
        <v>44791</v>
      </c>
      <c r="B1748" s="74" t="s">
        <v>26473</v>
      </c>
      <c r="C1748" s="75" t="s">
        <v>97</v>
      </c>
      <c r="D1748" s="176">
        <v>5447</v>
      </c>
      <c r="E1748" s="151">
        <v>44792</v>
      </c>
      <c r="F1748" s="176">
        <v>5447</v>
      </c>
      <c r="G1748" s="177">
        <f>Tabla19[[#This Row],[Importe]]-Tabla19[[#This Row],[Pagado]]</f>
        <v>0</v>
      </c>
      <c r="H1748" s="75" t="s">
        <v>10</v>
      </c>
    </row>
    <row r="1749" spans="1:8" x14ac:dyDescent="0.25">
      <c r="A1749" s="148">
        <v>44791</v>
      </c>
      <c r="B1749" s="149" t="s">
        <v>26474</v>
      </c>
      <c r="C1749" s="153" t="s">
        <v>111</v>
      </c>
      <c r="D1749" s="178">
        <v>5840.1</v>
      </c>
      <c r="E1749" s="155">
        <v>44792</v>
      </c>
      <c r="F1749" s="178">
        <v>5840.1</v>
      </c>
      <c r="G1749" s="179">
        <f>Tabla19[[#This Row],[Importe]]-Tabla19[[#This Row],[Pagado]]</f>
        <v>0</v>
      </c>
      <c r="H1749" s="153" t="s">
        <v>10</v>
      </c>
    </row>
    <row r="1750" spans="1:8" x14ac:dyDescent="0.25">
      <c r="A1750" s="73">
        <v>44791</v>
      </c>
      <c r="B1750" s="74" t="s">
        <v>26475</v>
      </c>
      <c r="C1750" s="75" t="s">
        <v>2563</v>
      </c>
      <c r="D1750" s="176">
        <v>5382</v>
      </c>
      <c r="E1750" s="151">
        <v>44792</v>
      </c>
      <c r="F1750" s="176">
        <v>5382</v>
      </c>
      <c r="G1750" s="177">
        <f>Tabla19[[#This Row],[Importe]]-Tabla19[[#This Row],[Pagado]]</f>
        <v>0</v>
      </c>
      <c r="H1750" s="75" t="s">
        <v>10</v>
      </c>
    </row>
    <row r="1751" spans="1:8" x14ac:dyDescent="0.25">
      <c r="A1751" s="148">
        <v>44791</v>
      </c>
      <c r="B1751" s="149" t="s">
        <v>26476</v>
      </c>
      <c r="C1751" s="153" t="s">
        <v>64</v>
      </c>
      <c r="D1751" s="178">
        <v>6097</v>
      </c>
      <c r="E1751" s="155">
        <v>44792</v>
      </c>
      <c r="F1751" s="178">
        <v>6097</v>
      </c>
      <c r="G1751" s="179">
        <f>Tabla19[[#This Row],[Importe]]-Tabla19[[#This Row],[Pagado]]</f>
        <v>0</v>
      </c>
      <c r="H1751" s="153" t="s">
        <v>10</v>
      </c>
    </row>
    <row r="1752" spans="1:8" x14ac:dyDescent="0.25">
      <c r="A1752" s="73">
        <v>44791</v>
      </c>
      <c r="B1752" s="74" t="s">
        <v>26477</v>
      </c>
      <c r="C1752" s="75" t="s">
        <v>142</v>
      </c>
      <c r="D1752" s="176">
        <v>79085.52</v>
      </c>
      <c r="E1752" s="151" t="s">
        <v>4813</v>
      </c>
      <c r="F1752" s="176">
        <v>0</v>
      </c>
      <c r="G1752" s="177">
        <f>Tabla19[[#This Row],[Importe]]-Tabla19[[#This Row],[Pagado]]</f>
        <v>79085.52</v>
      </c>
      <c r="H1752" s="75" t="s">
        <v>4814</v>
      </c>
    </row>
    <row r="1753" spans="1:8" x14ac:dyDescent="0.25">
      <c r="A1753" s="148">
        <v>44791</v>
      </c>
      <c r="B1753" s="149" t="s">
        <v>26478</v>
      </c>
      <c r="C1753" s="153" t="s">
        <v>93</v>
      </c>
      <c r="D1753" s="178">
        <v>432</v>
      </c>
      <c r="E1753" s="155">
        <v>44792</v>
      </c>
      <c r="F1753" s="178">
        <v>432</v>
      </c>
      <c r="G1753" s="179">
        <f>Tabla19[[#This Row],[Importe]]-Tabla19[[#This Row],[Pagado]]</f>
        <v>0</v>
      </c>
      <c r="H1753" s="153" t="s">
        <v>10</v>
      </c>
    </row>
    <row r="1754" spans="1:8" x14ac:dyDescent="0.25">
      <c r="A1754" s="73">
        <v>44791</v>
      </c>
      <c r="B1754" s="74" t="s">
        <v>26479</v>
      </c>
      <c r="C1754" s="75" t="s">
        <v>131</v>
      </c>
      <c r="D1754" s="176">
        <v>3865.4</v>
      </c>
      <c r="E1754" s="151">
        <v>44791</v>
      </c>
      <c r="F1754" s="176">
        <v>3865.4</v>
      </c>
      <c r="G1754" s="177">
        <f>Tabla19[[#This Row],[Importe]]-Tabla19[[#This Row],[Pagado]]</f>
        <v>0</v>
      </c>
      <c r="H1754" s="75" t="s">
        <v>10</v>
      </c>
    </row>
    <row r="1755" spans="1:8" x14ac:dyDescent="0.25">
      <c r="A1755" s="148">
        <v>44791</v>
      </c>
      <c r="B1755" s="149" t="s">
        <v>26480</v>
      </c>
      <c r="C1755" s="153" t="s">
        <v>31</v>
      </c>
      <c r="D1755" s="178">
        <v>1534.4</v>
      </c>
      <c r="E1755" s="155">
        <v>44791</v>
      </c>
      <c r="F1755" s="178">
        <v>1534.4</v>
      </c>
      <c r="G1755" s="179">
        <f>Tabla19[[#This Row],[Importe]]-Tabla19[[#This Row],[Pagado]]</f>
        <v>0</v>
      </c>
      <c r="H1755" s="153" t="s">
        <v>10</v>
      </c>
    </row>
    <row r="1756" spans="1:8" x14ac:dyDescent="0.25">
      <c r="A1756" s="73">
        <v>44791</v>
      </c>
      <c r="B1756" s="74" t="s">
        <v>26481</v>
      </c>
      <c r="C1756" s="75" t="s">
        <v>151</v>
      </c>
      <c r="D1756" s="176">
        <v>19641.439999999999</v>
      </c>
      <c r="E1756" s="151">
        <v>44791</v>
      </c>
      <c r="F1756" s="176">
        <v>19641.439999999999</v>
      </c>
      <c r="G1756" s="177">
        <f>Tabla19[[#This Row],[Importe]]-Tabla19[[#This Row],[Pagado]]</f>
        <v>0</v>
      </c>
      <c r="H1756" s="75" t="s">
        <v>10</v>
      </c>
    </row>
    <row r="1757" spans="1:8" x14ac:dyDescent="0.25">
      <c r="A1757" s="148">
        <v>44791</v>
      </c>
      <c r="B1757" s="149" t="s">
        <v>26482</v>
      </c>
      <c r="C1757" s="153" t="s">
        <v>1187</v>
      </c>
      <c r="D1757" s="178">
        <v>2492.4</v>
      </c>
      <c r="E1757" s="155">
        <v>44791</v>
      </c>
      <c r="F1757" s="178">
        <v>2492.4</v>
      </c>
      <c r="G1757" s="179">
        <f>Tabla19[[#This Row],[Importe]]-Tabla19[[#This Row],[Pagado]]</f>
        <v>0</v>
      </c>
      <c r="H1757" s="153" t="s">
        <v>10</v>
      </c>
    </row>
    <row r="1758" spans="1:8" x14ac:dyDescent="0.25">
      <c r="A1758" s="73">
        <v>44791</v>
      </c>
      <c r="B1758" s="74" t="s">
        <v>26483</v>
      </c>
      <c r="C1758" s="75" t="s">
        <v>142</v>
      </c>
      <c r="D1758" s="176">
        <v>543.20000000000005</v>
      </c>
      <c r="E1758" s="151" t="s">
        <v>4813</v>
      </c>
      <c r="F1758" s="176">
        <v>0</v>
      </c>
      <c r="G1758" s="177">
        <f>Tabla19[[#This Row],[Importe]]-Tabla19[[#This Row],[Pagado]]</f>
        <v>543.20000000000005</v>
      </c>
      <c r="H1758" s="75" t="s">
        <v>4814</v>
      </c>
    </row>
    <row r="1759" spans="1:8" x14ac:dyDescent="0.25">
      <c r="A1759" s="148">
        <v>44791</v>
      </c>
      <c r="B1759" s="149" t="s">
        <v>26484</v>
      </c>
      <c r="C1759" s="153" t="s">
        <v>9</v>
      </c>
      <c r="D1759" s="178">
        <v>8482.1</v>
      </c>
      <c r="E1759" s="155">
        <v>44791</v>
      </c>
      <c r="F1759" s="178">
        <v>8482.1</v>
      </c>
      <c r="G1759" s="179">
        <f>Tabla19[[#This Row],[Importe]]-Tabla19[[#This Row],[Pagado]]</f>
        <v>0</v>
      </c>
      <c r="H1759" s="153" t="s">
        <v>10</v>
      </c>
    </row>
    <row r="1760" spans="1:8" x14ac:dyDescent="0.25">
      <c r="A1760" s="73">
        <v>44791</v>
      </c>
      <c r="B1760" s="74" t="s">
        <v>26485</v>
      </c>
      <c r="C1760" s="75" t="s">
        <v>18</v>
      </c>
      <c r="D1760" s="176">
        <v>351.4</v>
      </c>
      <c r="E1760" s="151">
        <v>44791</v>
      </c>
      <c r="F1760" s="176">
        <v>351.4</v>
      </c>
      <c r="G1760" s="177">
        <f>Tabla19[[#This Row],[Importe]]-Tabla19[[#This Row],[Pagado]]</f>
        <v>0</v>
      </c>
      <c r="H1760" s="75" t="s">
        <v>10</v>
      </c>
    </row>
    <row r="1761" spans="1:8" x14ac:dyDescent="0.25">
      <c r="A1761" s="148">
        <v>44791</v>
      </c>
      <c r="B1761" s="149" t="s">
        <v>26486</v>
      </c>
      <c r="C1761" s="153" t="s">
        <v>83</v>
      </c>
      <c r="D1761" s="178">
        <v>10000</v>
      </c>
      <c r="E1761" s="155">
        <v>44791</v>
      </c>
      <c r="F1761" s="178">
        <v>10000</v>
      </c>
      <c r="G1761" s="179">
        <f>Tabla19[[#This Row],[Importe]]-Tabla19[[#This Row],[Pagado]]</f>
        <v>0</v>
      </c>
      <c r="H1761" s="153" t="s">
        <v>10</v>
      </c>
    </row>
    <row r="1762" spans="1:8" x14ac:dyDescent="0.25">
      <c r="A1762" s="73">
        <v>44791</v>
      </c>
      <c r="B1762" s="74" t="s">
        <v>26487</v>
      </c>
      <c r="C1762" s="75" t="s">
        <v>357</v>
      </c>
      <c r="D1762" s="176">
        <v>4650</v>
      </c>
      <c r="E1762" s="151">
        <v>44791</v>
      </c>
      <c r="F1762" s="176">
        <v>4650</v>
      </c>
      <c r="G1762" s="177">
        <f>Tabla19[[#This Row],[Importe]]-Tabla19[[#This Row],[Pagado]]</f>
        <v>0</v>
      </c>
      <c r="H1762" s="75" t="s">
        <v>10</v>
      </c>
    </row>
    <row r="1763" spans="1:8" x14ac:dyDescent="0.25">
      <c r="A1763" s="148">
        <v>44791</v>
      </c>
      <c r="B1763" s="149" t="s">
        <v>26488</v>
      </c>
      <c r="C1763" s="153" t="s">
        <v>127</v>
      </c>
      <c r="D1763" s="178">
        <v>4717.5</v>
      </c>
      <c r="E1763" s="155">
        <v>44791</v>
      </c>
      <c r="F1763" s="178">
        <v>4717.5</v>
      </c>
      <c r="G1763" s="179">
        <f>Tabla19[[#This Row],[Importe]]-Tabla19[[#This Row],[Pagado]]</f>
        <v>0</v>
      </c>
      <c r="H1763" s="153" t="s">
        <v>10</v>
      </c>
    </row>
    <row r="1764" spans="1:8" x14ac:dyDescent="0.25">
      <c r="A1764" s="73">
        <v>44791</v>
      </c>
      <c r="B1764" s="74" t="s">
        <v>26489</v>
      </c>
      <c r="C1764" s="75" t="s">
        <v>140</v>
      </c>
      <c r="D1764" s="176">
        <v>4882.5</v>
      </c>
      <c r="E1764" s="151">
        <v>44791</v>
      </c>
      <c r="F1764" s="176">
        <v>4882.5</v>
      </c>
      <c r="G1764" s="177">
        <f>Tabla19[[#This Row],[Importe]]-Tabla19[[#This Row],[Pagado]]</f>
        <v>0</v>
      </c>
      <c r="H1764" s="75" t="s">
        <v>10</v>
      </c>
    </row>
    <row r="1765" spans="1:8" x14ac:dyDescent="0.25">
      <c r="A1765" s="148">
        <v>44791</v>
      </c>
      <c r="B1765" s="149" t="s">
        <v>26490</v>
      </c>
      <c r="C1765" s="153" t="s">
        <v>339</v>
      </c>
      <c r="D1765" s="178">
        <v>616.20000000000005</v>
      </c>
      <c r="E1765" s="155">
        <v>44791</v>
      </c>
      <c r="F1765" s="178">
        <v>616.20000000000005</v>
      </c>
      <c r="G1765" s="179">
        <f>Tabla19[[#This Row],[Importe]]-Tabla19[[#This Row],[Pagado]]</f>
        <v>0</v>
      </c>
      <c r="H1765" s="153" t="s">
        <v>10</v>
      </c>
    </row>
    <row r="1766" spans="1:8" x14ac:dyDescent="0.25">
      <c r="A1766" s="73">
        <v>44791</v>
      </c>
      <c r="B1766" s="74" t="s">
        <v>26491</v>
      </c>
      <c r="C1766" s="75" t="s">
        <v>107</v>
      </c>
      <c r="D1766" s="176">
        <v>18084</v>
      </c>
      <c r="E1766" s="151">
        <v>44791</v>
      </c>
      <c r="F1766" s="176">
        <v>18084</v>
      </c>
      <c r="G1766" s="177">
        <f>Tabla19[[#This Row],[Importe]]-Tabla19[[#This Row],[Pagado]]</f>
        <v>0</v>
      </c>
      <c r="H1766" s="75" t="s">
        <v>10</v>
      </c>
    </row>
    <row r="1767" spans="1:8" x14ac:dyDescent="0.25">
      <c r="A1767" s="148">
        <v>44791</v>
      </c>
      <c r="B1767" s="149" t="s">
        <v>26492</v>
      </c>
      <c r="C1767" s="153" t="s">
        <v>87</v>
      </c>
      <c r="D1767" s="178">
        <v>2563.4</v>
      </c>
      <c r="E1767" s="155">
        <v>44791</v>
      </c>
      <c r="F1767" s="178">
        <v>2563.4</v>
      </c>
      <c r="G1767" s="179">
        <f>Tabla19[[#This Row],[Importe]]-Tabla19[[#This Row],[Pagado]]</f>
        <v>0</v>
      </c>
      <c r="H1767" s="153" t="s">
        <v>10</v>
      </c>
    </row>
    <row r="1768" spans="1:8" x14ac:dyDescent="0.25">
      <c r="A1768" s="73">
        <v>44791</v>
      </c>
      <c r="B1768" s="74" t="s">
        <v>26493</v>
      </c>
      <c r="C1768" s="75" t="s">
        <v>75</v>
      </c>
      <c r="D1768" s="176">
        <v>6848.4</v>
      </c>
      <c r="E1768" s="151">
        <v>44791</v>
      </c>
      <c r="F1768" s="176">
        <v>6848.4</v>
      </c>
      <c r="G1768" s="177">
        <f>Tabla19[[#This Row],[Importe]]-Tabla19[[#This Row],[Pagado]]</f>
        <v>0</v>
      </c>
      <c r="H1768" s="75" t="s">
        <v>10</v>
      </c>
    </row>
    <row r="1769" spans="1:8" x14ac:dyDescent="0.25">
      <c r="A1769" s="148">
        <v>44791</v>
      </c>
      <c r="B1769" s="149" t="s">
        <v>26494</v>
      </c>
      <c r="C1769" s="153" t="s">
        <v>312</v>
      </c>
      <c r="D1769" s="178">
        <v>5358.9</v>
      </c>
      <c r="E1769" s="155">
        <v>44791</v>
      </c>
      <c r="F1769" s="178">
        <v>5358.9</v>
      </c>
      <c r="G1769" s="179">
        <f>Tabla19[[#This Row],[Importe]]-Tabla19[[#This Row],[Pagado]]</f>
        <v>0</v>
      </c>
      <c r="H1769" s="153" t="s">
        <v>10</v>
      </c>
    </row>
    <row r="1770" spans="1:8" x14ac:dyDescent="0.25">
      <c r="A1770" s="73">
        <v>44791</v>
      </c>
      <c r="B1770" s="74" t="s">
        <v>26495</v>
      </c>
      <c r="C1770" s="75" t="s">
        <v>200</v>
      </c>
      <c r="D1770" s="176">
        <v>1420.8</v>
      </c>
      <c r="E1770" s="151">
        <v>44791</v>
      </c>
      <c r="F1770" s="176">
        <v>1420.8</v>
      </c>
      <c r="G1770" s="177">
        <f>Tabla19[[#This Row],[Importe]]-Tabla19[[#This Row],[Pagado]]</f>
        <v>0</v>
      </c>
      <c r="H1770" s="75" t="s">
        <v>10</v>
      </c>
    </row>
    <row r="1771" spans="1:8" x14ac:dyDescent="0.25">
      <c r="A1771" s="148">
        <v>44791</v>
      </c>
      <c r="B1771" s="149" t="s">
        <v>26496</v>
      </c>
      <c r="C1771" s="153" t="s">
        <v>79</v>
      </c>
      <c r="D1771" s="178">
        <v>21286.400000000001</v>
      </c>
      <c r="E1771" s="155">
        <v>44791</v>
      </c>
      <c r="F1771" s="178">
        <v>21286.400000000001</v>
      </c>
      <c r="G1771" s="179">
        <f>Tabla19[[#This Row],[Importe]]-Tabla19[[#This Row],[Pagado]]</f>
        <v>0</v>
      </c>
      <c r="H1771" s="153" t="s">
        <v>10</v>
      </c>
    </row>
    <row r="1772" spans="1:8" x14ac:dyDescent="0.25">
      <c r="A1772" s="73">
        <v>44791</v>
      </c>
      <c r="B1772" s="74" t="s">
        <v>26497</v>
      </c>
      <c r="C1772" s="75" t="s">
        <v>319</v>
      </c>
      <c r="D1772" s="176">
        <v>10156.299999999999</v>
      </c>
      <c r="E1772" s="151">
        <v>44791</v>
      </c>
      <c r="F1772" s="176">
        <v>10156.299999999999</v>
      </c>
      <c r="G1772" s="177">
        <f>Tabla19[[#This Row],[Importe]]-Tabla19[[#This Row],[Pagado]]</f>
        <v>0</v>
      </c>
      <c r="H1772" s="75" t="s">
        <v>10</v>
      </c>
    </row>
    <row r="1773" spans="1:8" x14ac:dyDescent="0.25">
      <c r="A1773" s="148">
        <v>44791</v>
      </c>
      <c r="B1773" s="149" t="s">
        <v>26498</v>
      </c>
      <c r="C1773" s="153" t="s">
        <v>22</v>
      </c>
      <c r="D1773" s="178">
        <v>7876.4</v>
      </c>
      <c r="E1773" s="155">
        <v>44792</v>
      </c>
      <c r="F1773" s="178">
        <v>7876.4</v>
      </c>
      <c r="G1773" s="179">
        <f>Tabla19[[#This Row],[Importe]]-Tabla19[[#This Row],[Pagado]]</f>
        <v>0</v>
      </c>
      <c r="H1773" s="153" t="s">
        <v>10</v>
      </c>
    </row>
    <row r="1774" spans="1:8" x14ac:dyDescent="0.25">
      <c r="A1774" s="73">
        <v>44791</v>
      </c>
      <c r="B1774" s="74" t="s">
        <v>26499</v>
      </c>
      <c r="C1774" s="75" t="s">
        <v>333</v>
      </c>
      <c r="D1774" s="176">
        <v>1264</v>
      </c>
      <c r="E1774" s="151">
        <v>44791</v>
      </c>
      <c r="F1774" s="176">
        <v>1264</v>
      </c>
      <c r="G1774" s="177">
        <f>Tabla19[[#This Row],[Importe]]-Tabla19[[#This Row],[Pagado]]</f>
        <v>0</v>
      </c>
      <c r="H1774" s="75" t="s">
        <v>10</v>
      </c>
    </row>
    <row r="1775" spans="1:8" x14ac:dyDescent="0.25">
      <c r="A1775" s="148">
        <v>44791</v>
      </c>
      <c r="B1775" s="149" t="s">
        <v>26500</v>
      </c>
      <c r="C1775" s="153" t="s">
        <v>196</v>
      </c>
      <c r="D1775" s="178">
        <v>139269.35999999999</v>
      </c>
      <c r="E1775" s="155">
        <v>44792</v>
      </c>
      <c r="F1775" s="178">
        <v>139269.35999999999</v>
      </c>
      <c r="G1775" s="179">
        <f>Tabla19[[#This Row],[Importe]]-Tabla19[[#This Row],[Pagado]]</f>
        <v>0</v>
      </c>
      <c r="H1775" s="153" t="s">
        <v>10</v>
      </c>
    </row>
    <row r="1776" spans="1:8" x14ac:dyDescent="0.25">
      <c r="A1776" s="73">
        <v>44791</v>
      </c>
      <c r="B1776" s="74" t="s">
        <v>26501</v>
      </c>
      <c r="C1776" s="75" t="s">
        <v>146</v>
      </c>
      <c r="D1776" s="176">
        <v>6364.8</v>
      </c>
      <c r="E1776" s="151">
        <v>44791</v>
      </c>
      <c r="F1776" s="176">
        <v>6364.8</v>
      </c>
      <c r="G1776" s="177">
        <f>Tabla19[[#This Row],[Importe]]-Tabla19[[#This Row],[Pagado]]</f>
        <v>0</v>
      </c>
      <c r="H1776" s="75" t="s">
        <v>10</v>
      </c>
    </row>
    <row r="1777" spans="1:8" x14ac:dyDescent="0.25">
      <c r="A1777" s="148">
        <v>44791</v>
      </c>
      <c r="B1777" s="149" t="s">
        <v>26502</v>
      </c>
      <c r="C1777" s="153" t="s">
        <v>9577</v>
      </c>
      <c r="D1777" s="178">
        <v>2900</v>
      </c>
      <c r="E1777" s="155">
        <v>44791</v>
      </c>
      <c r="F1777" s="178">
        <v>2900</v>
      </c>
      <c r="G1777" s="179">
        <f>Tabla19[[#This Row],[Importe]]-Tabla19[[#This Row],[Pagado]]</f>
        <v>0</v>
      </c>
      <c r="H1777" s="153" t="s">
        <v>10</v>
      </c>
    </row>
    <row r="1778" spans="1:8" x14ac:dyDescent="0.25">
      <c r="A1778" s="73">
        <v>44791</v>
      </c>
      <c r="B1778" s="74" t="s">
        <v>26503</v>
      </c>
      <c r="C1778" s="75" t="s">
        <v>647</v>
      </c>
      <c r="D1778" s="176">
        <v>7192.8</v>
      </c>
      <c r="E1778" s="151">
        <v>44791</v>
      </c>
      <c r="F1778" s="176">
        <v>7192.8</v>
      </c>
      <c r="G1778" s="177">
        <f>Tabla19[[#This Row],[Importe]]-Tabla19[[#This Row],[Pagado]]</f>
        <v>0</v>
      </c>
      <c r="H1778" s="75" t="s">
        <v>10</v>
      </c>
    </row>
    <row r="1779" spans="1:8" x14ac:dyDescent="0.25">
      <c r="A1779" s="148">
        <v>44791</v>
      </c>
      <c r="B1779" s="149" t="s">
        <v>26504</v>
      </c>
      <c r="C1779" s="153" t="s">
        <v>27</v>
      </c>
      <c r="D1779" s="178">
        <v>624</v>
      </c>
      <c r="E1779" s="155">
        <v>44791</v>
      </c>
      <c r="F1779" s="178">
        <v>624</v>
      </c>
      <c r="G1779" s="179">
        <f>Tabla19[[#This Row],[Importe]]-Tabla19[[#This Row],[Pagado]]</f>
        <v>0</v>
      </c>
      <c r="H1779" s="153" t="s">
        <v>10</v>
      </c>
    </row>
    <row r="1780" spans="1:8" x14ac:dyDescent="0.25">
      <c r="A1780" s="73">
        <v>44791</v>
      </c>
      <c r="B1780" s="74" t="s">
        <v>26505</v>
      </c>
      <c r="C1780" s="75" t="s">
        <v>45</v>
      </c>
      <c r="D1780" s="176">
        <v>14215.1</v>
      </c>
      <c r="E1780" s="151">
        <v>44791</v>
      </c>
      <c r="F1780" s="176">
        <v>14215.1</v>
      </c>
      <c r="G1780" s="177">
        <f>Tabla19[[#This Row],[Importe]]-Tabla19[[#This Row],[Pagado]]</f>
        <v>0</v>
      </c>
      <c r="H1780" s="75" t="s">
        <v>10</v>
      </c>
    </row>
    <row r="1781" spans="1:8" x14ac:dyDescent="0.25">
      <c r="A1781" s="148">
        <v>44791</v>
      </c>
      <c r="B1781" s="149" t="s">
        <v>26506</v>
      </c>
      <c r="C1781" s="153" t="s">
        <v>359</v>
      </c>
      <c r="D1781" s="178">
        <v>1371.2</v>
      </c>
      <c r="E1781" s="155">
        <v>44791</v>
      </c>
      <c r="F1781" s="178">
        <v>1371.2</v>
      </c>
      <c r="G1781" s="179">
        <f>Tabla19[[#This Row],[Importe]]-Tabla19[[#This Row],[Pagado]]</f>
        <v>0</v>
      </c>
      <c r="H1781" s="153" t="s">
        <v>10</v>
      </c>
    </row>
    <row r="1782" spans="1:8" x14ac:dyDescent="0.25">
      <c r="A1782" s="73">
        <v>44791</v>
      </c>
      <c r="B1782" s="74" t="s">
        <v>26507</v>
      </c>
      <c r="C1782" s="75" t="s">
        <v>45</v>
      </c>
      <c r="D1782" s="176">
        <v>661.2</v>
      </c>
      <c r="E1782" s="151">
        <v>44791</v>
      </c>
      <c r="F1782" s="176">
        <v>661.2</v>
      </c>
      <c r="G1782" s="177">
        <f>Tabla19[[#This Row],[Importe]]-Tabla19[[#This Row],[Pagado]]</f>
        <v>0</v>
      </c>
      <c r="H1782" s="75" t="s">
        <v>10</v>
      </c>
    </row>
    <row r="1783" spans="1:8" x14ac:dyDescent="0.25">
      <c r="A1783" s="148">
        <v>44791</v>
      </c>
      <c r="B1783" s="149" t="s">
        <v>26508</v>
      </c>
      <c r="C1783" s="153" t="s">
        <v>426</v>
      </c>
      <c r="D1783" s="178">
        <v>1260.4000000000001</v>
      </c>
      <c r="E1783" s="155">
        <v>44791</v>
      </c>
      <c r="F1783" s="178">
        <v>1260.4000000000001</v>
      </c>
      <c r="G1783" s="179">
        <f>Tabla19[[#This Row],[Importe]]-Tabla19[[#This Row],[Pagado]]</f>
        <v>0</v>
      </c>
      <c r="H1783" s="153" t="s">
        <v>10</v>
      </c>
    </row>
    <row r="1784" spans="1:8" x14ac:dyDescent="0.25">
      <c r="A1784" s="73">
        <v>44791</v>
      </c>
      <c r="B1784" s="74" t="s">
        <v>26509</v>
      </c>
      <c r="C1784" s="75" t="s">
        <v>37</v>
      </c>
      <c r="D1784" s="176">
        <v>2740.4</v>
      </c>
      <c r="E1784" s="151">
        <v>44791</v>
      </c>
      <c r="F1784" s="176">
        <v>2740.4</v>
      </c>
      <c r="G1784" s="177">
        <f>Tabla19[[#This Row],[Importe]]-Tabla19[[#This Row],[Pagado]]</f>
        <v>0</v>
      </c>
      <c r="H1784" s="75" t="s">
        <v>10</v>
      </c>
    </row>
    <row r="1785" spans="1:8" x14ac:dyDescent="0.25">
      <c r="A1785" s="148">
        <v>44791</v>
      </c>
      <c r="B1785" s="149" t="s">
        <v>26510</v>
      </c>
      <c r="C1785" s="153" t="s">
        <v>49</v>
      </c>
      <c r="D1785" s="178">
        <v>3490.7</v>
      </c>
      <c r="E1785" s="155">
        <v>44791</v>
      </c>
      <c r="F1785" s="178">
        <v>3490.7</v>
      </c>
      <c r="G1785" s="179">
        <f>Tabla19[[#This Row],[Importe]]-Tabla19[[#This Row],[Pagado]]</f>
        <v>0</v>
      </c>
      <c r="H1785" s="153" t="s">
        <v>10</v>
      </c>
    </row>
    <row r="1786" spans="1:8" x14ac:dyDescent="0.25">
      <c r="A1786" s="73">
        <v>44791</v>
      </c>
      <c r="B1786" s="74" t="s">
        <v>26511</v>
      </c>
      <c r="C1786" s="75" t="s">
        <v>56</v>
      </c>
      <c r="D1786" s="176">
        <v>7255.8</v>
      </c>
      <c r="E1786" s="151">
        <v>44791</v>
      </c>
      <c r="F1786" s="176">
        <v>7255.8</v>
      </c>
      <c r="G1786" s="177">
        <f>Tabla19[[#This Row],[Importe]]-Tabla19[[#This Row],[Pagado]]</f>
        <v>0</v>
      </c>
      <c r="H1786" s="75" t="s">
        <v>10</v>
      </c>
    </row>
    <row r="1787" spans="1:8" x14ac:dyDescent="0.25">
      <c r="A1787" s="148">
        <v>44791</v>
      </c>
      <c r="B1787" s="149" t="s">
        <v>26512</v>
      </c>
      <c r="C1787" s="153" t="s">
        <v>647</v>
      </c>
      <c r="D1787" s="178">
        <v>1376.6</v>
      </c>
      <c r="E1787" s="155">
        <v>44791</v>
      </c>
      <c r="F1787" s="178">
        <v>1376.6</v>
      </c>
      <c r="G1787" s="179">
        <f>Tabla19[[#This Row],[Importe]]-Tabla19[[#This Row],[Pagado]]</f>
        <v>0</v>
      </c>
      <c r="H1787" s="153" t="s">
        <v>10</v>
      </c>
    </row>
    <row r="1788" spans="1:8" x14ac:dyDescent="0.25">
      <c r="A1788" s="73">
        <v>44791</v>
      </c>
      <c r="B1788" s="74" t="s">
        <v>26513</v>
      </c>
      <c r="C1788" s="75" t="s">
        <v>698</v>
      </c>
      <c r="D1788" s="176">
        <v>5206.7</v>
      </c>
      <c r="E1788" s="151">
        <v>44791</v>
      </c>
      <c r="F1788" s="176">
        <v>5206.7</v>
      </c>
      <c r="G1788" s="177">
        <f>Tabla19[[#This Row],[Importe]]-Tabla19[[#This Row],[Pagado]]</f>
        <v>0</v>
      </c>
      <c r="H1788" s="75" t="s">
        <v>10</v>
      </c>
    </row>
    <row r="1789" spans="1:8" x14ac:dyDescent="0.25">
      <c r="A1789" s="148">
        <v>44791</v>
      </c>
      <c r="B1789" s="149" t="s">
        <v>26514</v>
      </c>
      <c r="C1789" s="153" t="s">
        <v>1003</v>
      </c>
      <c r="D1789" s="178">
        <v>3718.7</v>
      </c>
      <c r="E1789" s="155">
        <v>44791</v>
      </c>
      <c r="F1789" s="178">
        <v>3718.7</v>
      </c>
      <c r="G1789" s="179">
        <f>Tabla19[[#This Row],[Importe]]-Tabla19[[#This Row],[Pagado]]</f>
        <v>0</v>
      </c>
      <c r="H1789" s="153" t="s">
        <v>10</v>
      </c>
    </row>
    <row r="1790" spans="1:8" x14ac:dyDescent="0.25">
      <c r="A1790" s="73">
        <v>44791</v>
      </c>
      <c r="B1790" s="74" t="s">
        <v>26515</v>
      </c>
      <c r="C1790" s="75" t="s">
        <v>222</v>
      </c>
      <c r="D1790" s="176">
        <v>9848.6</v>
      </c>
      <c r="E1790" s="151">
        <v>44791</v>
      </c>
      <c r="F1790" s="176">
        <v>9848.6</v>
      </c>
      <c r="G1790" s="177">
        <f>Tabla19[[#This Row],[Importe]]-Tabla19[[#This Row],[Pagado]]</f>
        <v>0</v>
      </c>
      <c r="H1790" s="75" t="s">
        <v>10</v>
      </c>
    </row>
    <row r="1791" spans="1:8" x14ac:dyDescent="0.25">
      <c r="A1791" s="148">
        <v>44791</v>
      </c>
      <c r="B1791" s="149" t="s">
        <v>26516</v>
      </c>
      <c r="C1791" s="153" t="s">
        <v>191</v>
      </c>
      <c r="D1791" s="178">
        <v>1373.5</v>
      </c>
      <c r="E1791" s="155">
        <v>44791</v>
      </c>
      <c r="F1791" s="178">
        <v>1373.5</v>
      </c>
      <c r="G1791" s="179">
        <f>Tabla19[[#This Row],[Importe]]-Tabla19[[#This Row],[Pagado]]</f>
        <v>0</v>
      </c>
      <c r="H1791" s="153" t="s">
        <v>10</v>
      </c>
    </row>
    <row r="1792" spans="1:8" x14ac:dyDescent="0.25">
      <c r="A1792" s="73">
        <v>44791</v>
      </c>
      <c r="B1792" s="74" t="s">
        <v>26517</v>
      </c>
      <c r="C1792" s="75" t="s">
        <v>29</v>
      </c>
      <c r="D1792" s="176">
        <v>4453.8</v>
      </c>
      <c r="E1792" s="151">
        <v>44791</v>
      </c>
      <c r="F1792" s="176">
        <v>4453.8</v>
      </c>
      <c r="G1792" s="177">
        <f>Tabla19[[#This Row],[Importe]]-Tabla19[[#This Row],[Pagado]]</f>
        <v>0</v>
      </c>
      <c r="H1792" s="75" t="s">
        <v>10</v>
      </c>
    </row>
    <row r="1793" spans="1:8" x14ac:dyDescent="0.25">
      <c r="A1793" s="148">
        <v>44791</v>
      </c>
      <c r="B1793" s="149" t="s">
        <v>26518</v>
      </c>
      <c r="C1793" s="153" t="s">
        <v>414</v>
      </c>
      <c r="D1793" s="178">
        <v>24717</v>
      </c>
      <c r="E1793" s="155" t="s">
        <v>26221</v>
      </c>
      <c r="F1793" s="178">
        <v>24717</v>
      </c>
      <c r="G1793" s="179">
        <f>Tabla19[[#This Row],[Importe]]-Tabla19[[#This Row],[Pagado]]</f>
        <v>0</v>
      </c>
      <c r="H1793" s="153" t="s">
        <v>10</v>
      </c>
    </row>
    <row r="1794" spans="1:8" x14ac:dyDescent="0.25">
      <c r="A1794" s="73">
        <v>44791</v>
      </c>
      <c r="B1794" s="74" t="s">
        <v>26519</v>
      </c>
      <c r="C1794" s="75" t="s">
        <v>191</v>
      </c>
      <c r="D1794" s="176">
        <v>205</v>
      </c>
      <c r="E1794" s="151">
        <v>44791</v>
      </c>
      <c r="F1794" s="176">
        <v>205</v>
      </c>
      <c r="G1794" s="177">
        <f>Tabla19[[#This Row],[Importe]]-Tabla19[[#This Row],[Pagado]]</f>
        <v>0</v>
      </c>
      <c r="H1794" s="75" t="s">
        <v>10</v>
      </c>
    </row>
    <row r="1795" spans="1:8" x14ac:dyDescent="0.25">
      <c r="A1795" s="148">
        <v>44791</v>
      </c>
      <c r="B1795" s="149" t="s">
        <v>26520</v>
      </c>
      <c r="C1795" s="153" t="s">
        <v>296</v>
      </c>
      <c r="D1795" s="178">
        <v>6044.2</v>
      </c>
      <c r="E1795" s="155">
        <v>44791</v>
      </c>
      <c r="F1795" s="178">
        <v>6044.2</v>
      </c>
      <c r="G1795" s="179">
        <f>Tabla19[[#This Row],[Importe]]-Tabla19[[#This Row],[Pagado]]</f>
        <v>0</v>
      </c>
      <c r="H1795" s="153" t="s">
        <v>10</v>
      </c>
    </row>
    <row r="1796" spans="1:8" x14ac:dyDescent="0.25">
      <c r="A1796" s="73">
        <v>44791</v>
      </c>
      <c r="B1796" s="74" t="s">
        <v>26521</v>
      </c>
      <c r="C1796" s="75" t="s">
        <v>857</v>
      </c>
      <c r="D1796" s="176">
        <v>556</v>
      </c>
      <c r="E1796" s="151">
        <v>44791</v>
      </c>
      <c r="F1796" s="176">
        <v>556</v>
      </c>
      <c r="G1796" s="177">
        <f>Tabla19[[#This Row],[Importe]]-Tabla19[[#This Row],[Pagado]]</f>
        <v>0</v>
      </c>
      <c r="H1796" s="75" t="s">
        <v>10</v>
      </c>
    </row>
    <row r="1797" spans="1:8" x14ac:dyDescent="0.25">
      <c r="A1797" s="148">
        <v>44791</v>
      </c>
      <c r="B1797" s="149" t="s">
        <v>26522</v>
      </c>
      <c r="C1797" s="153" t="s">
        <v>58</v>
      </c>
      <c r="D1797" s="178">
        <v>2140.1999999999998</v>
      </c>
      <c r="E1797" s="155">
        <v>44791</v>
      </c>
      <c r="F1797" s="178">
        <v>2140.1999999999998</v>
      </c>
      <c r="G1797" s="179">
        <f>Tabla19[[#This Row],[Importe]]-Tabla19[[#This Row],[Pagado]]</f>
        <v>0</v>
      </c>
      <c r="H1797" s="153" t="s">
        <v>10</v>
      </c>
    </row>
    <row r="1798" spans="1:8" x14ac:dyDescent="0.25">
      <c r="A1798" s="73">
        <v>44791</v>
      </c>
      <c r="B1798" s="74" t="s">
        <v>26523</v>
      </c>
      <c r="C1798" s="75" t="s">
        <v>31</v>
      </c>
      <c r="D1798" s="176">
        <v>3500</v>
      </c>
      <c r="E1798" s="151">
        <v>44791</v>
      </c>
      <c r="F1798" s="176">
        <v>3500</v>
      </c>
      <c r="G1798" s="177">
        <f>Tabla19[[#This Row],[Importe]]-Tabla19[[#This Row],[Pagado]]</f>
        <v>0</v>
      </c>
      <c r="H1798" s="75" t="s">
        <v>10</v>
      </c>
    </row>
    <row r="1799" spans="1:8" x14ac:dyDescent="0.25">
      <c r="A1799" s="148">
        <v>44791</v>
      </c>
      <c r="B1799" s="149" t="s">
        <v>26524</v>
      </c>
      <c r="C1799" s="153" t="s">
        <v>2114</v>
      </c>
      <c r="D1799" s="178">
        <v>8393</v>
      </c>
      <c r="E1799" s="155">
        <v>44791</v>
      </c>
      <c r="F1799" s="178">
        <v>8393</v>
      </c>
      <c r="G1799" s="179">
        <f>Tabla19[[#This Row],[Importe]]-Tabla19[[#This Row],[Pagado]]</f>
        <v>0</v>
      </c>
      <c r="H1799" s="153" t="s">
        <v>10</v>
      </c>
    </row>
    <row r="1800" spans="1:8" x14ac:dyDescent="0.25">
      <c r="A1800" s="73">
        <v>44791</v>
      </c>
      <c r="B1800" s="74" t="s">
        <v>26525</v>
      </c>
      <c r="C1800" s="75" t="s">
        <v>31</v>
      </c>
      <c r="D1800" s="176">
        <v>368</v>
      </c>
      <c r="E1800" s="151">
        <v>44791</v>
      </c>
      <c r="F1800" s="176">
        <v>368</v>
      </c>
      <c r="G1800" s="177">
        <f>Tabla19[[#This Row],[Importe]]-Tabla19[[#This Row],[Pagado]]</f>
        <v>0</v>
      </c>
      <c r="H1800" s="75" t="s">
        <v>10</v>
      </c>
    </row>
    <row r="1801" spans="1:8" x14ac:dyDescent="0.25">
      <c r="A1801" s="148">
        <v>44791</v>
      </c>
      <c r="B1801" s="149" t="s">
        <v>26526</v>
      </c>
      <c r="C1801" s="153" t="s">
        <v>9827</v>
      </c>
      <c r="D1801" s="178">
        <v>4266.6000000000004</v>
      </c>
      <c r="E1801" s="155">
        <v>44791</v>
      </c>
      <c r="F1801" s="178">
        <v>4266.6000000000004</v>
      </c>
      <c r="G1801" s="179">
        <f>Tabla19[[#This Row],[Importe]]-Tabla19[[#This Row],[Pagado]]</f>
        <v>0</v>
      </c>
      <c r="H1801" s="153" t="s">
        <v>10</v>
      </c>
    </row>
    <row r="1802" spans="1:8" x14ac:dyDescent="0.25">
      <c r="A1802" s="73">
        <v>44791</v>
      </c>
      <c r="B1802" s="74" t="s">
        <v>26527</v>
      </c>
      <c r="C1802" s="75" t="s">
        <v>24284</v>
      </c>
      <c r="D1802" s="176">
        <v>1357.2</v>
      </c>
      <c r="E1802" s="151">
        <v>44791</v>
      </c>
      <c r="F1802" s="176">
        <v>1357.2</v>
      </c>
      <c r="G1802" s="177">
        <f>Tabla19[[#This Row],[Importe]]-Tabla19[[#This Row],[Pagado]]</f>
        <v>0</v>
      </c>
      <c r="H1802" s="75" t="s">
        <v>10</v>
      </c>
    </row>
    <row r="1803" spans="1:8" x14ac:dyDescent="0.25">
      <c r="A1803" s="148">
        <v>44791</v>
      </c>
      <c r="B1803" s="149" t="s">
        <v>26528</v>
      </c>
      <c r="C1803" s="153" t="s">
        <v>9415</v>
      </c>
      <c r="D1803" s="178">
        <v>3351.6</v>
      </c>
      <c r="E1803" s="155">
        <v>44793</v>
      </c>
      <c r="F1803" s="178">
        <v>3351.6</v>
      </c>
      <c r="G1803" s="179">
        <f>Tabla19[[#This Row],[Importe]]-Tabla19[[#This Row],[Pagado]]</f>
        <v>0</v>
      </c>
      <c r="H1803" s="153" t="s">
        <v>10</v>
      </c>
    </row>
    <row r="1804" spans="1:8" x14ac:dyDescent="0.25">
      <c r="A1804" s="73">
        <v>44791</v>
      </c>
      <c r="B1804" s="74" t="s">
        <v>26529</v>
      </c>
      <c r="C1804" s="75" t="s">
        <v>226</v>
      </c>
      <c r="D1804" s="176">
        <v>7829.2</v>
      </c>
      <c r="E1804" s="151">
        <v>44791</v>
      </c>
      <c r="F1804" s="176">
        <v>7829.2</v>
      </c>
      <c r="G1804" s="177">
        <f>Tabla19[[#This Row],[Importe]]-Tabla19[[#This Row],[Pagado]]</f>
        <v>0</v>
      </c>
      <c r="H1804" s="75" t="s">
        <v>10</v>
      </c>
    </row>
    <row r="1805" spans="1:8" x14ac:dyDescent="0.25">
      <c r="A1805" s="148">
        <v>44791</v>
      </c>
      <c r="B1805" s="149" t="s">
        <v>26530</v>
      </c>
      <c r="C1805" s="153" t="s">
        <v>419</v>
      </c>
      <c r="D1805" s="178">
        <v>6014</v>
      </c>
      <c r="E1805" s="155">
        <v>44791</v>
      </c>
      <c r="F1805" s="178">
        <v>6014</v>
      </c>
      <c r="G1805" s="179">
        <f>Tabla19[[#This Row],[Importe]]-Tabla19[[#This Row],[Pagado]]</f>
        <v>0</v>
      </c>
      <c r="H1805" s="153" t="s">
        <v>10</v>
      </c>
    </row>
    <row r="1806" spans="1:8" x14ac:dyDescent="0.25">
      <c r="A1806" s="73">
        <v>44791</v>
      </c>
      <c r="B1806" s="74" t="s">
        <v>26531</v>
      </c>
      <c r="C1806" s="75" t="s">
        <v>12</v>
      </c>
      <c r="D1806" s="176">
        <v>4024</v>
      </c>
      <c r="E1806" s="151">
        <v>44791</v>
      </c>
      <c r="F1806" s="176">
        <v>4024</v>
      </c>
      <c r="G1806" s="177">
        <f>Tabla19[[#This Row],[Importe]]-Tabla19[[#This Row],[Pagado]]</f>
        <v>0</v>
      </c>
      <c r="H1806" s="75" t="s">
        <v>10</v>
      </c>
    </row>
    <row r="1807" spans="1:8" x14ac:dyDescent="0.25">
      <c r="A1807" s="148">
        <v>44791</v>
      </c>
      <c r="B1807" s="149" t="s">
        <v>26532</v>
      </c>
      <c r="C1807" s="153" t="s">
        <v>12</v>
      </c>
      <c r="D1807" s="178">
        <v>7152</v>
      </c>
      <c r="E1807" s="155">
        <v>44791</v>
      </c>
      <c r="F1807" s="178">
        <v>7152</v>
      </c>
      <c r="G1807" s="179">
        <f>Tabla19[[#This Row],[Importe]]-Tabla19[[#This Row],[Pagado]]</f>
        <v>0</v>
      </c>
      <c r="H1807" s="153" t="s">
        <v>10</v>
      </c>
    </row>
    <row r="1808" spans="1:8" x14ac:dyDescent="0.25">
      <c r="A1808" s="73">
        <v>44791</v>
      </c>
      <c r="B1808" s="74" t="s">
        <v>26533</v>
      </c>
      <c r="C1808" s="75" t="s">
        <v>244</v>
      </c>
      <c r="D1808" s="176">
        <v>1108.8</v>
      </c>
      <c r="E1808" s="151">
        <v>44791</v>
      </c>
      <c r="F1808" s="176">
        <v>1108.8</v>
      </c>
      <c r="G1808" s="177">
        <f>Tabla19[[#This Row],[Importe]]-Tabla19[[#This Row],[Pagado]]</f>
        <v>0</v>
      </c>
      <c r="H1808" s="75" t="s">
        <v>10</v>
      </c>
    </row>
    <row r="1809" spans="1:8" x14ac:dyDescent="0.25">
      <c r="A1809" s="148">
        <v>44791</v>
      </c>
      <c r="B1809" s="149" t="s">
        <v>26534</v>
      </c>
      <c r="C1809" s="153" t="s">
        <v>204</v>
      </c>
      <c r="D1809" s="178">
        <v>1552</v>
      </c>
      <c r="E1809" s="155">
        <v>44791</v>
      </c>
      <c r="F1809" s="178">
        <v>1552</v>
      </c>
      <c r="G1809" s="179">
        <f>Tabla19[[#This Row],[Importe]]-Tabla19[[#This Row],[Pagado]]</f>
        <v>0</v>
      </c>
      <c r="H1809" s="153" t="s">
        <v>10</v>
      </c>
    </row>
    <row r="1810" spans="1:8" x14ac:dyDescent="0.25">
      <c r="A1810" s="73">
        <v>44791</v>
      </c>
      <c r="B1810" s="74" t="s">
        <v>26535</v>
      </c>
      <c r="C1810" s="75" t="s">
        <v>31</v>
      </c>
      <c r="D1810" s="176">
        <v>1512</v>
      </c>
      <c r="E1810" s="151">
        <v>44791</v>
      </c>
      <c r="F1810" s="176">
        <v>1512</v>
      </c>
      <c r="G1810" s="177">
        <f>Tabla19[[#This Row],[Importe]]-Tabla19[[#This Row],[Pagado]]</f>
        <v>0</v>
      </c>
      <c r="H1810" s="75" t="s">
        <v>10</v>
      </c>
    </row>
    <row r="1811" spans="1:8" x14ac:dyDescent="0.25">
      <c r="A1811" s="148">
        <v>44791</v>
      </c>
      <c r="B1811" s="149" t="s">
        <v>26536</v>
      </c>
      <c r="C1811" s="153" t="s">
        <v>67</v>
      </c>
      <c r="D1811" s="178">
        <v>2493.1999999999998</v>
      </c>
      <c r="E1811" s="155">
        <v>44791</v>
      </c>
      <c r="F1811" s="178">
        <v>2493.1999999999998</v>
      </c>
      <c r="G1811" s="179">
        <f>Tabla19[[#This Row],[Importe]]-Tabla19[[#This Row],[Pagado]]</f>
        <v>0</v>
      </c>
      <c r="H1811" s="153" t="s">
        <v>10</v>
      </c>
    </row>
    <row r="1812" spans="1:8" x14ac:dyDescent="0.25">
      <c r="A1812" s="73">
        <v>44791</v>
      </c>
      <c r="B1812" s="74" t="s">
        <v>26537</v>
      </c>
      <c r="C1812" s="75" t="s">
        <v>284</v>
      </c>
      <c r="D1812" s="176">
        <v>8205.6</v>
      </c>
      <c r="E1812" s="151">
        <v>44792</v>
      </c>
      <c r="F1812" s="176">
        <v>8205.6</v>
      </c>
      <c r="G1812" s="177">
        <f>Tabla19[[#This Row],[Importe]]-Tabla19[[#This Row],[Pagado]]</f>
        <v>0</v>
      </c>
      <c r="H1812" s="75" t="s">
        <v>10</v>
      </c>
    </row>
    <row r="1813" spans="1:8" x14ac:dyDescent="0.25">
      <c r="A1813" s="148">
        <v>44791</v>
      </c>
      <c r="B1813" s="149" t="s">
        <v>26538</v>
      </c>
      <c r="C1813" s="153" t="s">
        <v>53</v>
      </c>
      <c r="D1813" s="178">
        <v>647.79999999999995</v>
      </c>
      <c r="E1813" s="155">
        <v>44791</v>
      </c>
      <c r="F1813" s="178">
        <v>647.79999999999995</v>
      </c>
      <c r="G1813" s="179">
        <f>Tabla19[[#This Row],[Importe]]-Tabla19[[#This Row],[Pagado]]</f>
        <v>0</v>
      </c>
      <c r="H1813" s="153" t="s">
        <v>10</v>
      </c>
    </row>
    <row r="1814" spans="1:8" x14ac:dyDescent="0.25">
      <c r="A1814" s="73">
        <v>44791</v>
      </c>
      <c r="B1814" s="74" t="s">
        <v>26539</v>
      </c>
      <c r="C1814" s="75" t="s">
        <v>280</v>
      </c>
      <c r="D1814" s="176">
        <v>1536.6</v>
      </c>
      <c r="E1814" s="151">
        <v>44792</v>
      </c>
      <c r="F1814" s="176">
        <v>1536.6</v>
      </c>
      <c r="G1814" s="177">
        <f>Tabla19[[#This Row],[Importe]]-Tabla19[[#This Row],[Pagado]]</f>
        <v>0</v>
      </c>
      <c r="H1814" s="75" t="s">
        <v>10</v>
      </c>
    </row>
    <row r="1815" spans="1:8" x14ac:dyDescent="0.25">
      <c r="A1815" s="148">
        <v>44791</v>
      </c>
      <c r="B1815" s="149" t="s">
        <v>26540</v>
      </c>
      <c r="C1815" s="153" t="s">
        <v>273</v>
      </c>
      <c r="D1815" s="178">
        <v>2000</v>
      </c>
      <c r="E1815" s="155">
        <v>44792</v>
      </c>
      <c r="F1815" s="178">
        <v>2000</v>
      </c>
      <c r="G1815" s="179">
        <f>Tabla19[[#This Row],[Importe]]-Tabla19[[#This Row],[Pagado]]</f>
        <v>0</v>
      </c>
      <c r="H1815" s="153" t="s">
        <v>10</v>
      </c>
    </row>
    <row r="1816" spans="1:8" x14ac:dyDescent="0.25">
      <c r="A1816" s="73">
        <v>44791</v>
      </c>
      <c r="B1816" s="74" t="s">
        <v>26541</v>
      </c>
      <c r="C1816" s="75" t="s">
        <v>5345</v>
      </c>
      <c r="D1816" s="176">
        <v>3564.6</v>
      </c>
      <c r="E1816" s="151">
        <v>44792</v>
      </c>
      <c r="F1816" s="176">
        <v>3564.6</v>
      </c>
      <c r="G1816" s="177">
        <f>Tabla19[[#This Row],[Importe]]-Tabla19[[#This Row],[Pagado]]</f>
        <v>0</v>
      </c>
      <c r="H1816" s="75" t="s">
        <v>10</v>
      </c>
    </row>
    <row r="1817" spans="1:8" x14ac:dyDescent="0.25">
      <c r="A1817" s="148">
        <v>44791</v>
      </c>
      <c r="B1817" s="149" t="s">
        <v>26542</v>
      </c>
      <c r="C1817" s="153" t="s">
        <v>25518</v>
      </c>
      <c r="D1817" s="178">
        <v>289.8</v>
      </c>
      <c r="E1817" s="155">
        <v>44791</v>
      </c>
      <c r="F1817" s="178">
        <v>289.8</v>
      </c>
      <c r="G1817" s="179">
        <f>Tabla19[[#This Row],[Importe]]-Tabla19[[#This Row],[Pagado]]</f>
        <v>0</v>
      </c>
      <c r="H1817" s="153" t="s">
        <v>10</v>
      </c>
    </row>
    <row r="1818" spans="1:8" x14ac:dyDescent="0.25">
      <c r="A1818" s="73">
        <v>44791</v>
      </c>
      <c r="B1818" s="74" t="s">
        <v>26543</v>
      </c>
      <c r="C1818" s="75" t="s">
        <v>10819</v>
      </c>
      <c r="D1818" s="176">
        <v>788.8</v>
      </c>
      <c r="E1818" s="151">
        <v>44792</v>
      </c>
      <c r="F1818" s="176">
        <v>788.8</v>
      </c>
      <c r="G1818" s="177">
        <f>Tabla19[[#This Row],[Importe]]-Tabla19[[#This Row],[Pagado]]</f>
        <v>0</v>
      </c>
      <c r="H1818" s="75" t="s">
        <v>10</v>
      </c>
    </row>
    <row r="1819" spans="1:8" x14ac:dyDescent="0.25">
      <c r="A1819" s="148">
        <v>44791</v>
      </c>
      <c r="B1819" s="149" t="s">
        <v>26544</v>
      </c>
      <c r="C1819" s="153" t="s">
        <v>431</v>
      </c>
      <c r="D1819" s="178">
        <v>2605.1999999999998</v>
      </c>
      <c r="E1819" s="155">
        <v>44792</v>
      </c>
      <c r="F1819" s="178">
        <v>2605.1999999999998</v>
      </c>
      <c r="G1819" s="179">
        <f>Tabla19[[#This Row],[Importe]]-Tabla19[[#This Row],[Pagado]]</f>
        <v>0</v>
      </c>
      <c r="H1819" s="153" t="s">
        <v>10</v>
      </c>
    </row>
    <row r="1820" spans="1:8" x14ac:dyDescent="0.25">
      <c r="A1820" s="73">
        <v>44791</v>
      </c>
      <c r="B1820" s="74" t="s">
        <v>26545</v>
      </c>
      <c r="C1820" s="75" t="s">
        <v>729</v>
      </c>
      <c r="D1820" s="176">
        <v>28378.9</v>
      </c>
      <c r="E1820" s="151">
        <v>44792</v>
      </c>
      <c r="F1820" s="176">
        <v>28378.9</v>
      </c>
      <c r="G1820" s="177">
        <f>Tabla19[[#This Row],[Importe]]-Tabla19[[#This Row],[Pagado]]</f>
        <v>0</v>
      </c>
      <c r="H1820" s="75" t="s">
        <v>10</v>
      </c>
    </row>
    <row r="1821" spans="1:8" x14ac:dyDescent="0.25">
      <c r="A1821" s="148">
        <v>44791</v>
      </c>
      <c r="B1821" s="149" t="s">
        <v>26546</v>
      </c>
      <c r="C1821" s="153" t="s">
        <v>179</v>
      </c>
      <c r="D1821" s="178">
        <v>1606.8</v>
      </c>
      <c r="E1821" s="155">
        <v>44792</v>
      </c>
      <c r="F1821" s="178">
        <v>1606.8</v>
      </c>
      <c r="G1821" s="179">
        <f>Tabla19[[#This Row],[Importe]]-Tabla19[[#This Row],[Pagado]]</f>
        <v>0</v>
      </c>
      <c r="H1821" s="153" t="s">
        <v>10</v>
      </c>
    </row>
    <row r="1822" spans="1:8" x14ac:dyDescent="0.25">
      <c r="A1822" s="73">
        <v>44791</v>
      </c>
      <c r="B1822" s="74" t="s">
        <v>26547</v>
      </c>
      <c r="C1822" s="75" t="s">
        <v>56</v>
      </c>
      <c r="D1822" s="176">
        <v>5943.2</v>
      </c>
      <c r="E1822" s="151">
        <v>44791</v>
      </c>
      <c r="F1822" s="176">
        <v>5943.2</v>
      </c>
      <c r="G1822" s="177">
        <f>Tabla19[[#This Row],[Importe]]-Tabla19[[#This Row],[Pagado]]</f>
        <v>0</v>
      </c>
      <c r="H1822" s="75" t="s">
        <v>10</v>
      </c>
    </row>
    <row r="1823" spans="1:8" x14ac:dyDescent="0.25">
      <c r="A1823" s="148">
        <v>44791</v>
      </c>
      <c r="B1823" s="149" t="s">
        <v>26548</v>
      </c>
      <c r="C1823" s="153" t="s">
        <v>1350</v>
      </c>
      <c r="D1823" s="178">
        <v>544.20000000000005</v>
      </c>
      <c r="E1823" s="155">
        <v>44792</v>
      </c>
      <c r="F1823" s="178">
        <v>544.20000000000005</v>
      </c>
      <c r="G1823" s="179">
        <f>Tabla19[[#This Row],[Importe]]-Tabla19[[#This Row],[Pagado]]</f>
        <v>0</v>
      </c>
      <c r="H1823" s="153" t="s">
        <v>10</v>
      </c>
    </row>
    <row r="1824" spans="1:8" x14ac:dyDescent="0.25">
      <c r="A1824" s="73">
        <v>44791</v>
      </c>
      <c r="B1824" s="74" t="s">
        <v>26549</v>
      </c>
      <c r="C1824" s="75" t="s">
        <v>31</v>
      </c>
      <c r="D1824" s="176">
        <v>811.2</v>
      </c>
      <c r="E1824" s="151">
        <v>44791</v>
      </c>
      <c r="F1824" s="176">
        <v>811.2</v>
      </c>
      <c r="G1824" s="177">
        <f>Tabla19[[#This Row],[Importe]]-Tabla19[[#This Row],[Pagado]]</f>
        <v>0</v>
      </c>
      <c r="H1824" s="75" t="s">
        <v>10</v>
      </c>
    </row>
    <row r="1825" spans="1:8" x14ac:dyDescent="0.25">
      <c r="A1825" s="148">
        <v>44791</v>
      </c>
      <c r="B1825" s="149" t="s">
        <v>26550</v>
      </c>
      <c r="C1825" s="153" t="s">
        <v>583</v>
      </c>
      <c r="D1825" s="178">
        <v>2200</v>
      </c>
      <c r="E1825" s="155">
        <v>44791</v>
      </c>
      <c r="F1825" s="178">
        <v>2200</v>
      </c>
      <c r="G1825" s="179">
        <f>Tabla19[[#This Row],[Importe]]-Tabla19[[#This Row],[Pagado]]</f>
        <v>0</v>
      </c>
      <c r="H1825" s="153" t="s">
        <v>10</v>
      </c>
    </row>
    <row r="1826" spans="1:8" x14ac:dyDescent="0.25">
      <c r="A1826" s="73">
        <v>44791</v>
      </c>
      <c r="B1826" s="74" t="s">
        <v>26551</v>
      </c>
      <c r="C1826" s="75" t="s">
        <v>58</v>
      </c>
      <c r="D1826" s="176">
        <v>1322.4</v>
      </c>
      <c r="E1826" s="151">
        <v>44791</v>
      </c>
      <c r="F1826" s="176">
        <v>1322.4</v>
      </c>
      <c r="G1826" s="177">
        <f>Tabla19[[#This Row],[Importe]]-Tabla19[[#This Row],[Pagado]]</f>
        <v>0</v>
      </c>
      <c r="H1826" s="75" t="s">
        <v>10</v>
      </c>
    </row>
    <row r="1827" spans="1:8" x14ac:dyDescent="0.25">
      <c r="A1827" s="148">
        <v>44791</v>
      </c>
      <c r="B1827" s="149" t="s">
        <v>26552</v>
      </c>
      <c r="C1827" s="153" t="s">
        <v>214</v>
      </c>
      <c r="D1827" s="178">
        <v>1560</v>
      </c>
      <c r="E1827" s="155">
        <v>44791</v>
      </c>
      <c r="F1827" s="178">
        <v>1560</v>
      </c>
      <c r="G1827" s="179">
        <f>Tabla19[[#This Row],[Importe]]-Tabla19[[#This Row],[Pagado]]</f>
        <v>0</v>
      </c>
      <c r="H1827" s="153" t="s">
        <v>10</v>
      </c>
    </row>
    <row r="1828" spans="1:8" x14ac:dyDescent="0.25">
      <c r="A1828" s="73">
        <v>44791</v>
      </c>
      <c r="B1828" s="74" t="s">
        <v>26553</v>
      </c>
      <c r="C1828" s="75" t="s">
        <v>605</v>
      </c>
      <c r="D1828" s="176">
        <v>51968.04</v>
      </c>
      <c r="E1828" s="151">
        <v>44792</v>
      </c>
      <c r="F1828" s="176">
        <v>51968.04</v>
      </c>
      <c r="G1828" s="177">
        <f>Tabla19[[#This Row],[Importe]]-Tabla19[[#This Row],[Pagado]]</f>
        <v>0</v>
      </c>
      <c r="H1828" s="75" t="s">
        <v>10</v>
      </c>
    </row>
    <row r="1829" spans="1:8" x14ac:dyDescent="0.25">
      <c r="A1829" s="148">
        <v>44791</v>
      </c>
      <c r="B1829" s="149" t="s">
        <v>26554</v>
      </c>
      <c r="C1829" s="153" t="s">
        <v>69</v>
      </c>
      <c r="D1829" s="178">
        <v>1520</v>
      </c>
      <c r="E1829" s="155">
        <v>44791</v>
      </c>
      <c r="F1829" s="178">
        <v>1520</v>
      </c>
      <c r="G1829" s="179">
        <f>Tabla19[[#This Row],[Importe]]-Tabla19[[#This Row],[Pagado]]</f>
        <v>0</v>
      </c>
      <c r="H1829" s="153" t="s">
        <v>10</v>
      </c>
    </row>
    <row r="1830" spans="1:8" x14ac:dyDescent="0.25">
      <c r="A1830" s="73">
        <v>44791</v>
      </c>
      <c r="B1830" s="74" t="s">
        <v>26555</v>
      </c>
      <c r="C1830" s="75" t="s">
        <v>31</v>
      </c>
      <c r="D1830" s="176">
        <v>5250</v>
      </c>
      <c r="E1830" s="151">
        <v>44791</v>
      </c>
      <c r="F1830" s="176">
        <v>5250</v>
      </c>
      <c r="G1830" s="177">
        <f>Tabla19[[#This Row],[Importe]]-Tabla19[[#This Row],[Pagado]]</f>
        <v>0</v>
      </c>
      <c r="H1830" s="75" t="s">
        <v>10</v>
      </c>
    </row>
    <row r="1831" spans="1:8" x14ac:dyDescent="0.25">
      <c r="A1831" s="148">
        <v>44791</v>
      </c>
      <c r="B1831" s="149" t="s">
        <v>26556</v>
      </c>
      <c r="C1831" s="153" t="s">
        <v>8501</v>
      </c>
      <c r="D1831" s="178">
        <v>14075.4</v>
      </c>
      <c r="E1831" s="155">
        <v>44791</v>
      </c>
      <c r="F1831" s="178">
        <v>14075.4</v>
      </c>
      <c r="G1831" s="179">
        <f>Tabla19[[#This Row],[Importe]]-Tabla19[[#This Row],[Pagado]]</f>
        <v>0</v>
      </c>
      <c r="H1831" s="153" t="s">
        <v>10</v>
      </c>
    </row>
    <row r="1832" spans="1:8" x14ac:dyDescent="0.25">
      <c r="A1832" s="73">
        <v>44791</v>
      </c>
      <c r="B1832" s="74" t="s">
        <v>26557</v>
      </c>
      <c r="C1832" s="75" t="s">
        <v>191</v>
      </c>
      <c r="D1832" s="176">
        <v>643.5</v>
      </c>
      <c r="E1832" s="151">
        <v>44791</v>
      </c>
      <c r="F1832" s="176">
        <v>643.5</v>
      </c>
      <c r="G1832" s="177">
        <f>Tabla19[[#This Row],[Importe]]-Tabla19[[#This Row],[Pagado]]</f>
        <v>0</v>
      </c>
      <c r="H1832" s="75" t="s">
        <v>10</v>
      </c>
    </row>
    <row r="1833" spans="1:8" x14ac:dyDescent="0.25">
      <c r="A1833" s="148">
        <v>44791</v>
      </c>
      <c r="B1833" s="149" t="s">
        <v>26558</v>
      </c>
      <c r="C1833" s="153" t="s">
        <v>275</v>
      </c>
      <c r="D1833" s="178">
        <v>185550.33</v>
      </c>
      <c r="E1833" s="155" t="s">
        <v>4813</v>
      </c>
      <c r="F1833" s="178">
        <v>0</v>
      </c>
      <c r="G1833" s="179">
        <f>Tabla19[[#This Row],[Importe]]-Tabla19[[#This Row],[Pagado]]</f>
        <v>185550.33</v>
      </c>
      <c r="H1833" s="153" t="s">
        <v>4814</v>
      </c>
    </row>
    <row r="1834" spans="1:8" x14ac:dyDescent="0.25">
      <c r="A1834" s="73">
        <v>44791</v>
      </c>
      <c r="B1834" s="74" t="s">
        <v>26559</v>
      </c>
      <c r="C1834" s="75" t="s">
        <v>10678</v>
      </c>
      <c r="D1834" s="176">
        <v>4215.5</v>
      </c>
      <c r="E1834" s="151">
        <v>44791</v>
      </c>
      <c r="F1834" s="176">
        <v>4215.5</v>
      </c>
      <c r="G1834" s="177">
        <f>Tabla19[[#This Row],[Importe]]-Tabla19[[#This Row],[Pagado]]</f>
        <v>0</v>
      </c>
      <c r="H1834" s="75" t="s">
        <v>10</v>
      </c>
    </row>
    <row r="1835" spans="1:8" x14ac:dyDescent="0.25">
      <c r="A1835" s="148">
        <v>44791</v>
      </c>
      <c r="B1835" s="149" t="s">
        <v>26560</v>
      </c>
      <c r="C1835" s="153" t="s">
        <v>10324</v>
      </c>
      <c r="D1835" s="178">
        <v>3993.6</v>
      </c>
      <c r="E1835" s="155">
        <v>44791</v>
      </c>
      <c r="F1835" s="178">
        <v>3993.6</v>
      </c>
      <c r="G1835" s="179">
        <f>Tabla19[[#This Row],[Importe]]-Tabla19[[#This Row],[Pagado]]</f>
        <v>0</v>
      </c>
      <c r="H1835" s="153" t="s">
        <v>10</v>
      </c>
    </row>
    <row r="1836" spans="1:8" x14ac:dyDescent="0.25">
      <c r="A1836" s="73">
        <v>44791</v>
      </c>
      <c r="B1836" s="74" t="s">
        <v>26561</v>
      </c>
      <c r="C1836" s="75" t="s">
        <v>647</v>
      </c>
      <c r="D1836" s="176">
        <v>719</v>
      </c>
      <c r="E1836" s="151">
        <v>44791</v>
      </c>
      <c r="F1836" s="176">
        <v>719</v>
      </c>
      <c r="G1836" s="177">
        <f>Tabla19[[#This Row],[Importe]]-Tabla19[[#This Row],[Pagado]]</f>
        <v>0</v>
      </c>
      <c r="H1836" s="75" t="s">
        <v>10</v>
      </c>
    </row>
    <row r="1837" spans="1:8" x14ac:dyDescent="0.25">
      <c r="A1837" s="148">
        <v>44791</v>
      </c>
      <c r="B1837" s="149" t="s">
        <v>26562</v>
      </c>
      <c r="C1837" s="153" t="s">
        <v>275</v>
      </c>
      <c r="D1837" s="178">
        <v>52495.8</v>
      </c>
      <c r="E1837" s="155" t="s">
        <v>4813</v>
      </c>
      <c r="F1837" s="178">
        <v>0</v>
      </c>
      <c r="G1837" s="179">
        <f>Tabla19[[#This Row],[Importe]]-Tabla19[[#This Row],[Pagado]]</f>
        <v>52495.8</v>
      </c>
      <c r="H1837" s="153" t="s">
        <v>4814</v>
      </c>
    </row>
    <row r="1838" spans="1:8" x14ac:dyDescent="0.25">
      <c r="A1838" s="73">
        <v>44792</v>
      </c>
      <c r="B1838" s="74" t="s">
        <v>26563</v>
      </c>
      <c r="C1838" s="75" t="s">
        <v>887</v>
      </c>
      <c r="D1838" s="176">
        <v>15363.9</v>
      </c>
      <c r="E1838" s="151">
        <v>44792</v>
      </c>
      <c r="F1838" s="176">
        <v>15363.9</v>
      </c>
      <c r="G1838" s="177">
        <f>Tabla19[[#This Row],[Importe]]-Tabla19[[#This Row],[Pagado]]</f>
        <v>0</v>
      </c>
      <c r="H1838" s="75" t="s">
        <v>10</v>
      </c>
    </row>
    <row r="1839" spans="1:8" ht="31.5" x14ac:dyDescent="0.25">
      <c r="A1839" s="148">
        <v>44792</v>
      </c>
      <c r="B1839" s="149" t="s">
        <v>26564</v>
      </c>
      <c r="C1839" s="153" t="s">
        <v>475</v>
      </c>
      <c r="D1839" s="178">
        <v>51699.8</v>
      </c>
      <c r="E1839" s="150" t="s">
        <v>26565</v>
      </c>
      <c r="F1839" s="178">
        <f>45000+6699.8</f>
        <v>51699.8</v>
      </c>
      <c r="G1839" s="179">
        <f>Tabla19[[#This Row],[Importe]]-Tabla19[[#This Row],[Pagado]]</f>
        <v>0</v>
      </c>
      <c r="H1839" s="153" t="s">
        <v>10</v>
      </c>
    </row>
    <row r="1840" spans="1:8" x14ac:dyDescent="0.25">
      <c r="A1840" s="73">
        <v>44792</v>
      </c>
      <c r="B1840" s="74" t="s">
        <v>26566</v>
      </c>
      <c r="C1840" s="75" t="s">
        <v>99</v>
      </c>
      <c r="D1840" s="176">
        <v>5786.1</v>
      </c>
      <c r="E1840" s="151">
        <v>44792</v>
      </c>
      <c r="F1840" s="176">
        <v>5786.1</v>
      </c>
      <c r="G1840" s="177">
        <f>Tabla19[[#This Row],[Importe]]-Tabla19[[#This Row],[Pagado]]</f>
        <v>0</v>
      </c>
      <c r="H1840" s="75" t="s">
        <v>10</v>
      </c>
    </row>
    <row r="1841" spans="1:8" x14ac:dyDescent="0.25">
      <c r="A1841" s="148">
        <v>44792</v>
      </c>
      <c r="B1841" s="149" t="s">
        <v>26567</v>
      </c>
      <c r="C1841" s="153" t="s">
        <v>12</v>
      </c>
      <c r="D1841" s="178">
        <v>13115.4</v>
      </c>
      <c r="E1841" s="155">
        <v>44792</v>
      </c>
      <c r="F1841" s="178">
        <v>13115.4</v>
      </c>
      <c r="G1841" s="179">
        <f>Tabla19[[#This Row],[Importe]]-Tabla19[[#This Row],[Pagado]]</f>
        <v>0</v>
      </c>
      <c r="H1841" s="153" t="s">
        <v>10</v>
      </c>
    </row>
    <row r="1842" spans="1:8" x14ac:dyDescent="0.25">
      <c r="A1842" s="73">
        <v>44792</v>
      </c>
      <c r="B1842" s="74" t="s">
        <v>26568</v>
      </c>
      <c r="C1842" s="75" t="s">
        <v>314</v>
      </c>
      <c r="D1842" s="176">
        <v>1903.2</v>
      </c>
      <c r="E1842" s="151">
        <v>44792</v>
      </c>
      <c r="F1842" s="176">
        <v>1903.2</v>
      </c>
      <c r="G1842" s="177">
        <f>Tabla19[[#This Row],[Importe]]-Tabla19[[#This Row],[Pagado]]</f>
        <v>0</v>
      </c>
      <c r="H1842" s="75" t="s">
        <v>10</v>
      </c>
    </row>
    <row r="1843" spans="1:8" x14ac:dyDescent="0.25">
      <c r="A1843" s="148">
        <v>44792</v>
      </c>
      <c r="B1843" s="149" t="s">
        <v>26569</v>
      </c>
      <c r="C1843" s="153" t="s">
        <v>87</v>
      </c>
      <c r="D1843" s="178">
        <v>4848.8</v>
      </c>
      <c r="E1843" s="155">
        <v>44792</v>
      </c>
      <c r="F1843" s="178">
        <v>4848.8</v>
      </c>
      <c r="G1843" s="179">
        <f>Tabla19[[#This Row],[Importe]]-Tabla19[[#This Row],[Pagado]]</f>
        <v>0</v>
      </c>
      <c r="H1843" s="153" t="s">
        <v>10</v>
      </c>
    </row>
    <row r="1844" spans="1:8" x14ac:dyDescent="0.25">
      <c r="A1844" s="73">
        <v>44792</v>
      </c>
      <c r="B1844" s="74" t="s">
        <v>26570</v>
      </c>
      <c r="C1844" s="75" t="s">
        <v>4983</v>
      </c>
      <c r="D1844" s="176">
        <v>0</v>
      </c>
      <c r="E1844" s="157" t="s">
        <v>189</v>
      </c>
      <c r="F1844" s="176">
        <v>0</v>
      </c>
      <c r="G1844" s="177">
        <f>Tabla19[[#This Row],[Importe]]-Tabla19[[#This Row],[Pagado]]</f>
        <v>0</v>
      </c>
      <c r="H1844" s="75" t="s">
        <v>189</v>
      </c>
    </row>
    <row r="1845" spans="1:8" x14ac:dyDescent="0.25">
      <c r="A1845" s="148">
        <v>44792</v>
      </c>
      <c r="B1845" s="149" t="s">
        <v>26571</v>
      </c>
      <c r="C1845" s="153" t="s">
        <v>333</v>
      </c>
      <c r="D1845" s="178">
        <v>1108.8599999999999</v>
      </c>
      <c r="E1845" s="155">
        <v>44792</v>
      </c>
      <c r="F1845" s="178">
        <v>1108.8599999999999</v>
      </c>
      <c r="G1845" s="179">
        <f>Tabla19[[#This Row],[Importe]]-Tabla19[[#This Row],[Pagado]]</f>
        <v>0</v>
      </c>
      <c r="H1845" s="153" t="s">
        <v>10</v>
      </c>
    </row>
    <row r="1846" spans="1:8" x14ac:dyDescent="0.25">
      <c r="A1846" s="73">
        <v>44792</v>
      </c>
      <c r="B1846" s="74" t="s">
        <v>26572</v>
      </c>
      <c r="C1846" s="75" t="s">
        <v>481</v>
      </c>
      <c r="D1846" s="176">
        <v>809.2</v>
      </c>
      <c r="E1846" s="151">
        <v>44792</v>
      </c>
      <c r="F1846" s="176">
        <v>809.2</v>
      </c>
      <c r="G1846" s="177">
        <f>Tabla19[[#This Row],[Importe]]-Tabla19[[#This Row],[Pagado]]</f>
        <v>0</v>
      </c>
      <c r="H1846" s="75" t="s">
        <v>10</v>
      </c>
    </row>
    <row r="1847" spans="1:8" x14ac:dyDescent="0.25">
      <c r="A1847" s="148">
        <v>44792</v>
      </c>
      <c r="B1847" s="149" t="s">
        <v>26573</v>
      </c>
      <c r="C1847" s="153" t="s">
        <v>31</v>
      </c>
      <c r="D1847" s="178">
        <v>5200.8</v>
      </c>
      <c r="E1847" s="155">
        <v>44792</v>
      </c>
      <c r="F1847" s="178">
        <v>5200.8</v>
      </c>
      <c r="G1847" s="179">
        <f>Tabla19[[#This Row],[Importe]]-Tabla19[[#This Row],[Pagado]]</f>
        <v>0</v>
      </c>
      <c r="H1847" s="153" t="s">
        <v>10</v>
      </c>
    </row>
    <row r="1848" spans="1:8" x14ac:dyDescent="0.25">
      <c r="A1848" s="73">
        <v>44792</v>
      </c>
      <c r="B1848" s="74" t="s">
        <v>26574</v>
      </c>
      <c r="C1848" s="75" t="s">
        <v>131</v>
      </c>
      <c r="D1848" s="176">
        <v>5068.7</v>
      </c>
      <c r="E1848" s="151">
        <v>44792</v>
      </c>
      <c r="F1848" s="176">
        <v>5068.7</v>
      </c>
      <c r="G1848" s="177">
        <f>Tabla19[[#This Row],[Importe]]-Tabla19[[#This Row],[Pagado]]</f>
        <v>0</v>
      </c>
      <c r="H1848" s="75" t="s">
        <v>10</v>
      </c>
    </row>
    <row r="1849" spans="1:8" x14ac:dyDescent="0.25">
      <c r="A1849" s="148">
        <v>44792</v>
      </c>
      <c r="B1849" s="149" t="s">
        <v>26575</v>
      </c>
      <c r="C1849" s="153" t="s">
        <v>1187</v>
      </c>
      <c r="D1849" s="178">
        <v>2358.4</v>
      </c>
      <c r="E1849" s="155">
        <v>44792</v>
      </c>
      <c r="F1849" s="178">
        <v>2358.4</v>
      </c>
      <c r="G1849" s="179">
        <f>Tabla19[[#This Row],[Importe]]-Tabla19[[#This Row],[Pagado]]</f>
        <v>0</v>
      </c>
      <c r="H1849" s="153" t="s">
        <v>10</v>
      </c>
    </row>
    <row r="1850" spans="1:8" x14ac:dyDescent="0.25">
      <c r="A1850" s="73">
        <v>44792</v>
      </c>
      <c r="B1850" s="74" t="s">
        <v>26576</v>
      </c>
      <c r="C1850" s="75" t="s">
        <v>83</v>
      </c>
      <c r="D1850" s="176">
        <v>6208</v>
      </c>
      <c r="E1850" s="151">
        <v>44792</v>
      </c>
      <c r="F1850" s="176">
        <v>6208</v>
      </c>
      <c r="G1850" s="177">
        <f>Tabla19[[#This Row],[Importe]]-Tabla19[[#This Row],[Pagado]]</f>
        <v>0</v>
      </c>
      <c r="H1850" s="75" t="s">
        <v>10</v>
      </c>
    </row>
    <row r="1851" spans="1:8" x14ac:dyDescent="0.25">
      <c r="A1851" s="148">
        <v>44792</v>
      </c>
      <c r="B1851" s="149" t="s">
        <v>26577</v>
      </c>
      <c r="C1851" s="153" t="s">
        <v>135</v>
      </c>
      <c r="D1851" s="178">
        <v>5094.2</v>
      </c>
      <c r="E1851" s="155">
        <v>44792</v>
      </c>
      <c r="F1851" s="178">
        <v>5094.2</v>
      </c>
      <c r="G1851" s="179">
        <f>Tabla19[[#This Row],[Importe]]-Tabla19[[#This Row],[Pagado]]</f>
        <v>0</v>
      </c>
      <c r="H1851" s="153" t="s">
        <v>10</v>
      </c>
    </row>
    <row r="1852" spans="1:8" x14ac:dyDescent="0.25">
      <c r="A1852" s="73">
        <v>44792</v>
      </c>
      <c r="B1852" s="74" t="s">
        <v>26578</v>
      </c>
      <c r="C1852" s="75" t="s">
        <v>647</v>
      </c>
      <c r="D1852" s="176">
        <v>3993.2</v>
      </c>
      <c r="E1852" s="151">
        <v>44792</v>
      </c>
      <c r="F1852" s="176">
        <v>3993.2</v>
      </c>
      <c r="G1852" s="177">
        <f>Tabla19[[#This Row],[Importe]]-Tabla19[[#This Row],[Pagado]]</f>
        <v>0</v>
      </c>
      <c r="H1852" s="75" t="s">
        <v>10</v>
      </c>
    </row>
    <row r="1853" spans="1:8" x14ac:dyDescent="0.25">
      <c r="A1853" s="148">
        <v>44792</v>
      </c>
      <c r="B1853" s="149" t="s">
        <v>26579</v>
      </c>
      <c r="C1853" s="153" t="s">
        <v>60</v>
      </c>
      <c r="D1853" s="178">
        <v>4758</v>
      </c>
      <c r="E1853" s="155">
        <v>44795</v>
      </c>
      <c r="F1853" s="178">
        <v>4758</v>
      </c>
      <c r="G1853" s="179">
        <f>Tabla19[[#This Row],[Importe]]-Tabla19[[#This Row],[Pagado]]</f>
        <v>0</v>
      </c>
      <c r="H1853" s="153" t="s">
        <v>10</v>
      </c>
    </row>
    <row r="1854" spans="1:8" x14ac:dyDescent="0.25">
      <c r="A1854" s="73">
        <v>44792</v>
      </c>
      <c r="B1854" s="74" t="s">
        <v>26580</v>
      </c>
      <c r="C1854" s="75" t="s">
        <v>10742</v>
      </c>
      <c r="D1854" s="176">
        <v>5167.5</v>
      </c>
      <c r="E1854" s="151">
        <v>44793</v>
      </c>
      <c r="F1854" s="176">
        <v>5167.5</v>
      </c>
      <c r="G1854" s="177">
        <f>Tabla19[[#This Row],[Importe]]-Tabla19[[#This Row],[Pagado]]</f>
        <v>0</v>
      </c>
      <c r="H1854" s="75" t="s">
        <v>10</v>
      </c>
    </row>
    <row r="1855" spans="1:8" x14ac:dyDescent="0.25">
      <c r="A1855" s="148">
        <v>44792</v>
      </c>
      <c r="B1855" s="149" t="s">
        <v>26581</v>
      </c>
      <c r="C1855" s="153" t="s">
        <v>64</v>
      </c>
      <c r="D1855" s="178">
        <v>4602</v>
      </c>
      <c r="E1855" s="155">
        <v>44793</v>
      </c>
      <c r="F1855" s="178">
        <v>4602</v>
      </c>
      <c r="G1855" s="179">
        <f>Tabla19[[#This Row],[Importe]]-Tabla19[[#This Row],[Pagado]]</f>
        <v>0</v>
      </c>
      <c r="H1855" s="153" t="s">
        <v>10</v>
      </c>
    </row>
    <row r="1856" spans="1:8" x14ac:dyDescent="0.25">
      <c r="A1856" s="73">
        <v>44792</v>
      </c>
      <c r="B1856" s="74" t="s">
        <v>26582</v>
      </c>
      <c r="C1856" s="75" t="s">
        <v>97</v>
      </c>
      <c r="D1856" s="176">
        <v>7525.8</v>
      </c>
      <c r="E1856" s="151">
        <v>44793</v>
      </c>
      <c r="F1856" s="176">
        <v>7525.8</v>
      </c>
      <c r="G1856" s="177">
        <f>Tabla19[[#This Row],[Importe]]-Tabla19[[#This Row],[Pagado]]</f>
        <v>0</v>
      </c>
      <c r="H1856" s="75" t="s">
        <v>10</v>
      </c>
    </row>
    <row r="1857" spans="1:8" x14ac:dyDescent="0.25">
      <c r="A1857" s="148">
        <v>44792</v>
      </c>
      <c r="B1857" s="149" t="s">
        <v>26583</v>
      </c>
      <c r="C1857" s="153" t="s">
        <v>326</v>
      </c>
      <c r="D1857" s="178">
        <v>5044</v>
      </c>
      <c r="E1857" s="155">
        <v>44793</v>
      </c>
      <c r="F1857" s="178">
        <v>5044</v>
      </c>
      <c r="G1857" s="179">
        <f>Tabla19[[#This Row],[Importe]]-Tabla19[[#This Row],[Pagado]]</f>
        <v>0</v>
      </c>
      <c r="H1857" s="153" t="s">
        <v>10</v>
      </c>
    </row>
    <row r="1858" spans="1:8" x14ac:dyDescent="0.25">
      <c r="A1858" s="73">
        <v>44792</v>
      </c>
      <c r="B1858" s="74" t="s">
        <v>26584</v>
      </c>
      <c r="C1858" s="75" t="s">
        <v>105</v>
      </c>
      <c r="D1858" s="176">
        <v>8132.7</v>
      </c>
      <c r="E1858" s="151">
        <v>44793</v>
      </c>
      <c r="F1858" s="176">
        <v>8132.7</v>
      </c>
      <c r="G1858" s="177">
        <f>Tabla19[[#This Row],[Importe]]-Tabla19[[#This Row],[Pagado]]</f>
        <v>0</v>
      </c>
      <c r="H1858" s="75" t="s">
        <v>10</v>
      </c>
    </row>
    <row r="1859" spans="1:8" x14ac:dyDescent="0.25">
      <c r="A1859" s="148">
        <v>44792</v>
      </c>
      <c r="B1859" s="149" t="s">
        <v>26585</v>
      </c>
      <c r="C1859" s="153" t="s">
        <v>111</v>
      </c>
      <c r="D1859" s="178">
        <v>4788</v>
      </c>
      <c r="E1859" s="155">
        <v>44793</v>
      </c>
      <c r="F1859" s="178">
        <v>4788</v>
      </c>
      <c r="G1859" s="179">
        <f>Tabla19[[#This Row],[Importe]]-Tabla19[[#This Row],[Pagado]]</f>
        <v>0</v>
      </c>
      <c r="H1859" s="153" t="s">
        <v>10</v>
      </c>
    </row>
    <row r="1860" spans="1:8" x14ac:dyDescent="0.25">
      <c r="A1860" s="73">
        <v>44792</v>
      </c>
      <c r="B1860" s="74" t="s">
        <v>26586</v>
      </c>
      <c r="C1860" s="75" t="s">
        <v>114</v>
      </c>
      <c r="D1860" s="176">
        <v>12797.4</v>
      </c>
      <c r="E1860" s="151">
        <v>44793</v>
      </c>
      <c r="F1860" s="176">
        <v>12797.4</v>
      </c>
      <c r="G1860" s="177">
        <f>Tabla19[[#This Row],[Importe]]-Tabla19[[#This Row],[Pagado]]</f>
        <v>0</v>
      </c>
      <c r="H1860" s="75" t="s">
        <v>10</v>
      </c>
    </row>
    <row r="1861" spans="1:8" x14ac:dyDescent="0.25">
      <c r="A1861" s="148">
        <v>44792</v>
      </c>
      <c r="B1861" s="149" t="s">
        <v>26587</v>
      </c>
      <c r="C1861" s="153" t="s">
        <v>2151</v>
      </c>
      <c r="D1861" s="178">
        <v>23187.1</v>
      </c>
      <c r="E1861" s="155">
        <v>44792</v>
      </c>
      <c r="F1861" s="178">
        <v>23187.1</v>
      </c>
      <c r="G1861" s="179">
        <f>Tabla19[[#This Row],[Importe]]-Tabla19[[#This Row],[Pagado]]</f>
        <v>0</v>
      </c>
      <c r="H1861" s="153" t="s">
        <v>10</v>
      </c>
    </row>
    <row r="1862" spans="1:8" x14ac:dyDescent="0.25">
      <c r="A1862" s="73">
        <v>44792</v>
      </c>
      <c r="B1862" s="74" t="s">
        <v>26588</v>
      </c>
      <c r="C1862" s="75" t="s">
        <v>348</v>
      </c>
      <c r="D1862" s="176">
        <v>7528</v>
      </c>
      <c r="E1862" s="151">
        <v>44792</v>
      </c>
      <c r="F1862" s="176">
        <v>7528</v>
      </c>
      <c r="G1862" s="177">
        <f>Tabla19[[#This Row],[Importe]]-Tabla19[[#This Row],[Pagado]]</f>
        <v>0</v>
      </c>
      <c r="H1862" s="75" t="s">
        <v>10</v>
      </c>
    </row>
    <row r="1863" spans="1:8" x14ac:dyDescent="0.25">
      <c r="A1863" s="148">
        <v>44792</v>
      </c>
      <c r="B1863" s="149" t="s">
        <v>26589</v>
      </c>
      <c r="C1863" s="153" t="s">
        <v>89</v>
      </c>
      <c r="D1863" s="178">
        <v>13293.6</v>
      </c>
      <c r="E1863" s="155">
        <v>44793</v>
      </c>
      <c r="F1863" s="178">
        <v>13293.6</v>
      </c>
      <c r="G1863" s="179">
        <f>Tabla19[[#This Row],[Importe]]-Tabla19[[#This Row],[Pagado]]</f>
        <v>0</v>
      </c>
      <c r="H1863" s="153" t="s">
        <v>10</v>
      </c>
    </row>
    <row r="1864" spans="1:8" x14ac:dyDescent="0.25">
      <c r="A1864" s="73">
        <v>44792</v>
      </c>
      <c r="B1864" s="74" t="s">
        <v>26590</v>
      </c>
      <c r="C1864" s="75" t="s">
        <v>918</v>
      </c>
      <c r="D1864" s="176">
        <v>1428</v>
      </c>
      <c r="E1864" s="151">
        <v>44793</v>
      </c>
      <c r="F1864" s="176">
        <v>1428</v>
      </c>
      <c r="G1864" s="177">
        <f>Tabla19[[#This Row],[Importe]]-Tabla19[[#This Row],[Pagado]]</f>
        <v>0</v>
      </c>
      <c r="H1864" s="75" t="s">
        <v>10</v>
      </c>
    </row>
    <row r="1865" spans="1:8" x14ac:dyDescent="0.25">
      <c r="A1865" s="148">
        <v>44792</v>
      </c>
      <c r="B1865" s="149" t="s">
        <v>26591</v>
      </c>
      <c r="C1865" s="153" t="s">
        <v>9</v>
      </c>
      <c r="D1865" s="178">
        <v>10443</v>
      </c>
      <c r="E1865" s="155">
        <v>44792</v>
      </c>
      <c r="F1865" s="178">
        <v>10443</v>
      </c>
      <c r="G1865" s="179">
        <f>Tabla19[[#This Row],[Importe]]-Tabla19[[#This Row],[Pagado]]</f>
        <v>0</v>
      </c>
      <c r="H1865" s="153" t="s">
        <v>10</v>
      </c>
    </row>
    <row r="1866" spans="1:8" x14ac:dyDescent="0.25">
      <c r="A1866" s="73">
        <v>44792</v>
      </c>
      <c r="B1866" s="74" t="s">
        <v>26592</v>
      </c>
      <c r="C1866" s="75" t="s">
        <v>95</v>
      </c>
      <c r="D1866" s="176">
        <v>25300</v>
      </c>
      <c r="E1866" s="151">
        <v>44792</v>
      </c>
      <c r="F1866" s="176">
        <v>25300</v>
      </c>
      <c r="G1866" s="177">
        <f>Tabla19[[#This Row],[Importe]]-Tabla19[[#This Row],[Pagado]]</f>
        <v>0</v>
      </c>
      <c r="H1866" s="75" t="s">
        <v>10</v>
      </c>
    </row>
    <row r="1867" spans="1:8" x14ac:dyDescent="0.25">
      <c r="A1867" s="148">
        <v>44792</v>
      </c>
      <c r="B1867" s="149" t="s">
        <v>26593</v>
      </c>
      <c r="C1867" s="153" t="s">
        <v>93</v>
      </c>
      <c r="D1867" s="178">
        <v>7541.2</v>
      </c>
      <c r="E1867" s="155">
        <v>44795</v>
      </c>
      <c r="F1867" s="178">
        <v>7541.2</v>
      </c>
      <c r="G1867" s="179">
        <f>Tabla19[[#This Row],[Importe]]-Tabla19[[#This Row],[Pagado]]</f>
        <v>0</v>
      </c>
      <c r="H1867" s="153" t="s">
        <v>10</v>
      </c>
    </row>
    <row r="1868" spans="1:8" x14ac:dyDescent="0.25">
      <c r="A1868" s="73">
        <v>44792</v>
      </c>
      <c r="B1868" s="74" t="s">
        <v>26594</v>
      </c>
      <c r="C1868" s="75" t="s">
        <v>140</v>
      </c>
      <c r="D1868" s="176">
        <v>1137.5999999999999</v>
      </c>
      <c r="E1868" s="151">
        <v>44792</v>
      </c>
      <c r="F1868" s="176">
        <v>1137.5999999999999</v>
      </c>
      <c r="G1868" s="177">
        <f>Tabla19[[#This Row],[Importe]]-Tabla19[[#This Row],[Pagado]]</f>
        <v>0</v>
      </c>
      <c r="H1868" s="75" t="s">
        <v>10</v>
      </c>
    </row>
    <row r="1869" spans="1:8" x14ac:dyDescent="0.25">
      <c r="A1869" s="148">
        <v>44792</v>
      </c>
      <c r="B1869" s="149" t="s">
        <v>26595</v>
      </c>
      <c r="C1869" s="153" t="s">
        <v>127</v>
      </c>
      <c r="D1869" s="178">
        <v>856.2</v>
      </c>
      <c r="E1869" s="155">
        <v>44792</v>
      </c>
      <c r="F1869" s="178">
        <v>856.2</v>
      </c>
      <c r="G1869" s="179">
        <f>Tabla19[[#This Row],[Importe]]-Tabla19[[#This Row],[Pagado]]</f>
        <v>0</v>
      </c>
      <c r="H1869" s="153" t="s">
        <v>10</v>
      </c>
    </row>
    <row r="1870" spans="1:8" x14ac:dyDescent="0.25">
      <c r="A1870" s="73">
        <v>44792</v>
      </c>
      <c r="B1870" s="74" t="s">
        <v>26596</v>
      </c>
      <c r="C1870" s="75" t="s">
        <v>339</v>
      </c>
      <c r="D1870" s="176">
        <v>944.8</v>
      </c>
      <c r="E1870" s="151">
        <v>44792</v>
      </c>
      <c r="F1870" s="176">
        <v>944.8</v>
      </c>
      <c r="G1870" s="177">
        <f>Tabla19[[#This Row],[Importe]]-Tabla19[[#This Row],[Pagado]]</f>
        <v>0</v>
      </c>
      <c r="H1870" s="75" t="s">
        <v>10</v>
      </c>
    </row>
    <row r="1871" spans="1:8" x14ac:dyDescent="0.25">
      <c r="A1871" s="148">
        <v>44792</v>
      </c>
      <c r="B1871" s="149" t="s">
        <v>26597</v>
      </c>
      <c r="C1871" s="153" t="s">
        <v>107</v>
      </c>
      <c r="D1871" s="178">
        <v>11163</v>
      </c>
      <c r="E1871" s="155">
        <v>44792</v>
      </c>
      <c r="F1871" s="178">
        <v>11163</v>
      </c>
      <c r="G1871" s="179">
        <f>Tabla19[[#This Row],[Importe]]-Tabla19[[#This Row],[Pagado]]</f>
        <v>0</v>
      </c>
      <c r="H1871" s="153" t="s">
        <v>10</v>
      </c>
    </row>
    <row r="1872" spans="1:8" x14ac:dyDescent="0.25">
      <c r="A1872" s="73">
        <v>44792</v>
      </c>
      <c r="B1872" s="74" t="s">
        <v>26598</v>
      </c>
      <c r="C1872" s="75" t="s">
        <v>25007</v>
      </c>
      <c r="D1872" s="176">
        <v>0</v>
      </c>
      <c r="E1872" s="157" t="s">
        <v>189</v>
      </c>
      <c r="F1872" s="176">
        <v>0</v>
      </c>
      <c r="G1872" s="177">
        <f>Tabla19[[#This Row],[Importe]]-Tabla19[[#This Row],[Pagado]]</f>
        <v>0</v>
      </c>
      <c r="H1872" s="161" t="s">
        <v>26599</v>
      </c>
    </row>
    <row r="1873" spans="1:8" x14ac:dyDescent="0.25">
      <c r="A1873" s="148">
        <v>44792</v>
      </c>
      <c r="B1873" s="149" t="s">
        <v>26600</v>
      </c>
      <c r="C1873" s="153" t="s">
        <v>17556</v>
      </c>
      <c r="D1873" s="178">
        <v>8679.6</v>
      </c>
      <c r="E1873" s="155">
        <v>44792</v>
      </c>
      <c r="F1873" s="178">
        <v>8679.6</v>
      </c>
      <c r="G1873" s="179">
        <f>Tabla19[[#This Row],[Importe]]-Tabla19[[#This Row],[Pagado]]</f>
        <v>0</v>
      </c>
      <c r="H1873" s="153" t="s">
        <v>10</v>
      </c>
    </row>
    <row r="1874" spans="1:8" x14ac:dyDescent="0.25">
      <c r="A1874" s="73">
        <v>44792</v>
      </c>
      <c r="B1874" s="74" t="s">
        <v>26601</v>
      </c>
      <c r="C1874" s="75" t="s">
        <v>146</v>
      </c>
      <c r="D1874" s="176">
        <v>5764.2</v>
      </c>
      <c r="E1874" s="151">
        <v>44792</v>
      </c>
      <c r="F1874" s="176">
        <v>5764.2</v>
      </c>
      <c r="G1874" s="177">
        <f>Tabla19[[#This Row],[Importe]]-Tabla19[[#This Row],[Pagado]]</f>
        <v>0</v>
      </c>
      <c r="H1874" s="75" t="s">
        <v>10</v>
      </c>
    </row>
    <row r="1875" spans="1:8" x14ac:dyDescent="0.25">
      <c r="A1875" s="148">
        <v>44792</v>
      </c>
      <c r="B1875" s="149" t="s">
        <v>26602</v>
      </c>
      <c r="C1875" s="153" t="s">
        <v>433</v>
      </c>
      <c r="D1875" s="178">
        <v>27300</v>
      </c>
      <c r="E1875" s="155">
        <v>44792</v>
      </c>
      <c r="F1875" s="178">
        <v>27300</v>
      </c>
      <c r="G1875" s="179">
        <f>Tabla19[[#This Row],[Importe]]-Tabla19[[#This Row],[Pagado]]</f>
        <v>0</v>
      </c>
      <c r="H1875" s="153" t="s">
        <v>10</v>
      </c>
    </row>
    <row r="1876" spans="1:8" x14ac:dyDescent="0.25">
      <c r="A1876" s="73">
        <v>44792</v>
      </c>
      <c r="B1876" s="74" t="s">
        <v>26603</v>
      </c>
      <c r="C1876" s="75" t="s">
        <v>22786</v>
      </c>
      <c r="D1876" s="176">
        <v>0</v>
      </c>
      <c r="E1876" s="157" t="s">
        <v>189</v>
      </c>
      <c r="F1876" s="176">
        <v>0</v>
      </c>
      <c r="G1876" s="177">
        <f>Tabla19[[#This Row],[Importe]]-Tabla19[[#This Row],[Pagado]]</f>
        <v>0</v>
      </c>
      <c r="H1876" s="75" t="s">
        <v>189</v>
      </c>
    </row>
    <row r="1877" spans="1:8" x14ac:dyDescent="0.25">
      <c r="A1877" s="148">
        <v>44792</v>
      </c>
      <c r="B1877" s="149" t="s">
        <v>26604</v>
      </c>
      <c r="C1877" s="153" t="s">
        <v>407</v>
      </c>
      <c r="D1877" s="178">
        <v>24170.3</v>
      </c>
      <c r="E1877" s="155">
        <v>44792</v>
      </c>
      <c r="F1877" s="178">
        <v>24170.3</v>
      </c>
      <c r="G1877" s="179">
        <f>Tabla19[[#This Row],[Importe]]-Tabla19[[#This Row],[Pagado]]</f>
        <v>0</v>
      </c>
      <c r="H1877" s="153" t="s">
        <v>10</v>
      </c>
    </row>
    <row r="1878" spans="1:8" x14ac:dyDescent="0.25">
      <c r="A1878" s="73">
        <v>44792</v>
      </c>
      <c r="B1878" s="74" t="s">
        <v>26605</v>
      </c>
      <c r="C1878" s="75" t="s">
        <v>133</v>
      </c>
      <c r="D1878" s="176">
        <v>27424.799999999999</v>
      </c>
      <c r="E1878" s="151">
        <v>44793</v>
      </c>
      <c r="F1878" s="176">
        <v>27424.799999999999</v>
      </c>
      <c r="G1878" s="177">
        <f>Tabla19[[#This Row],[Importe]]-Tabla19[[#This Row],[Pagado]]</f>
        <v>0</v>
      </c>
      <c r="H1878" s="75" t="s">
        <v>10</v>
      </c>
    </row>
    <row r="1879" spans="1:8" x14ac:dyDescent="0.25">
      <c r="A1879" s="148">
        <v>44792</v>
      </c>
      <c r="B1879" s="149" t="s">
        <v>26606</v>
      </c>
      <c r="C1879" s="153" t="s">
        <v>484</v>
      </c>
      <c r="D1879" s="178">
        <v>7952.1</v>
      </c>
      <c r="E1879" s="155">
        <v>44792</v>
      </c>
      <c r="F1879" s="178">
        <v>7952.1</v>
      </c>
      <c r="G1879" s="179">
        <f>Tabla19[[#This Row],[Importe]]-Tabla19[[#This Row],[Pagado]]</f>
        <v>0</v>
      </c>
      <c r="H1879" s="153" t="s">
        <v>10</v>
      </c>
    </row>
    <row r="1880" spans="1:8" x14ac:dyDescent="0.25">
      <c r="A1880" s="73">
        <v>44792</v>
      </c>
      <c r="B1880" s="74" t="s">
        <v>26607</v>
      </c>
      <c r="C1880" s="75" t="s">
        <v>45</v>
      </c>
      <c r="D1880" s="176">
        <v>13921</v>
      </c>
      <c r="E1880" s="151">
        <v>44792</v>
      </c>
      <c r="F1880" s="176">
        <v>13921</v>
      </c>
      <c r="G1880" s="177">
        <f>Tabla19[[#This Row],[Importe]]-Tabla19[[#This Row],[Pagado]]</f>
        <v>0</v>
      </c>
      <c r="H1880" s="75" t="s">
        <v>10</v>
      </c>
    </row>
    <row r="1881" spans="1:8" x14ac:dyDescent="0.25">
      <c r="A1881" s="148">
        <v>44792</v>
      </c>
      <c r="B1881" s="149" t="s">
        <v>26608</v>
      </c>
      <c r="C1881" s="153" t="s">
        <v>275</v>
      </c>
      <c r="D1881" s="178">
        <v>4537.5</v>
      </c>
      <c r="E1881" s="155" t="s">
        <v>4813</v>
      </c>
      <c r="F1881" s="178">
        <v>0</v>
      </c>
      <c r="G1881" s="179">
        <f>Tabla19[[#This Row],[Importe]]-Tabla19[[#This Row],[Pagado]]</f>
        <v>4537.5</v>
      </c>
      <c r="H1881" s="153" t="s">
        <v>4814</v>
      </c>
    </row>
    <row r="1882" spans="1:8" x14ac:dyDescent="0.25">
      <c r="A1882" s="73">
        <v>44792</v>
      </c>
      <c r="B1882" s="74" t="s">
        <v>26609</v>
      </c>
      <c r="C1882" s="75" t="s">
        <v>196</v>
      </c>
      <c r="D1882" s="176">
        <v>152813.51999999999</v>
      </c>
      <c r="E1882" s="151">
        <v>44792</v>
      </c>
      <c r="F1882" s="176">
        <v>152813.51999999999</v>
      </c>
      <c r="G1882" s="177">
        <f>Tabla19[[#This Row],[Importe]]-Tabla19[[#This Row],[Pagado]]</f>
        <v>0</v>
      </c>
      <c r="H1882" s="75" t="s">
        <v>10</v>
      </c>
    </row>
    <row r="1883" spans="1:8" x14ac:dyDescent="0.25">
      <c r="A1883" s="148">
        <v>44792</v>
      </c>
      <c r="B1883" s="149" t="s">
        <v>26610</v>
      </c>
      <c r="C1883" s="153" t="s">
        <v>196</v>
      </c>
      <c r="D1883" s="178">
        <v>1251.8</v>
      </c>
      <c r="E1883" s="155">
        <v>44792</v>
      </c>
      <c r="F1883" s="178">
        <v>1251.8</v>
      </c>
      <c r="G1883" s="179">
        <f>Tabla19[[#This Row],[Importe]]-Tabla19[[#This Row],[Pagado]]</f>
        <v>0</v>
      </c>
      <c r="H1883" s="153" t="s">
        <v>10</v>
      </c>
    </row>
    <row r="1884" spans="1:8" x14ac:dyDescent="0.25">
      <c r="A1884" s="73">
        <v>44792</v>
      </c>
      <c r="B1884" s="74" t="s">
        <v>26611</v>
      </c>
      <c r="C1884" s="75" t="s">
        <v>22</v>
      </c>
      <c r="D1884" s="176">
        <v>76173.2</v>
      </c>
      <c r="E1884" s="151">
        <v>44793</v>
      </c>
      <c r="F1884" s="176">
        <f>70000+6173.2</f>
        <v>76173.2</v>
      </c>
      <c r="G1884" s="177">
        <f>Tabla19[[#This Row],[Importe]]-Tabla19[[#This Row],[Pagado]]</f>
        <v>0</v>
      </c>
      <c r="H1884" s="75" t="s">
        <v>10</v>
      </c>
    </row>
    <row r="1885" spans="1:8" x14ac:dyDescent="0.25">
      <c r="A1885" s="148">
        <v>44792</v>
      </c>
      <c r="B1885" s="149" t="s">
        <v>26612</v>
      </c>
      <c r="C1885" s="153" t="s">
        <v>11033</v>
      </c>
      <c r="D1885" s="178">
        <v>1730.1</v>
      </c>
      <c r="E1885" s="155">
        <v>44792</v>
      </c>
      <c r="F1885" s="178">
        <v>1730.1</v>
      </c>
      <c r="G1885" s="179">
        <f>Tabla19[[#This Row],[Importe]]-Tabla19[[#This Row],[Pagado]]</f>
        <v>0</v>
      </c>
      <c r="H1885" s="153" t="s">
        <v>10</v>
      </c>
    </row>
    <row r="1886" spans="1:8" x14ac:dyDescent="0.25">
      <c r="A1886" s="73">
        <v>44792</v>
      </c>
      <c r="B1886" s="74" t="s">
        <v>26613</v>
      </c>
      <c r="C1886" s="75" t="s">
        <v>592</v>
      </c>
      <c r="D1886" s="176">
        <v>41812.699999999997</v>
      </c>
      <c r="E1886" s="151">
        <v>44799</v>
      </c>
      <c r="F1886" s="176">
        <v>41812.699999999997</v>
      </c>
      <c r="G1886" s="177">
        <f>Tabla19[[#This Row],[Importe]]-Tabla19[[#This Row],[Pagado]]</f>
        <v>0</v>
      </c>
      <c r="H1886" s="75" t="s">
        <v>10</v>
      </c>
    </row>
    <row r="1887" spans="1:8" x14ac:dyDescent="0.25">
      <c r="A1887" s="148">
        <v>44792</v>
      </c>
      <c r="B1887" s="149" t="s">
        <v>26614</v>
      </c>
      <c r="C1887" s="153" t="s">
        <v>27</v>
      </c>
      <c r="D1887" s="178">
        <v>1941.8</v>
      </c>
      <c r="E1887" s="155">
        <v>44792</v>
      </c>
      <c r="F1887" s="178">
        <v>1941.8</v>
      </c>
      <c r="G1887" s="179">
        <f>Tabla19[[#This Row],[Importe]]-Tabla19[[#This Row],[Pagado]]</f>
        <v>0</v>
      </c>
      <c r="H1887" s="153" t="s">
        <v>10</v>
      </c>
    </row>
    <row r="1888" spans="1:8" x14ac:dyDescent="0.25">
      <c r="A1888" s="73">
        <v>44792</v>
      </c>
      <c r="B1888" s="74" t="s">
        <v>26615</v>
      </c>
      <c r="C1888" s="75" t="s">
        <v>173</v>
      </c>
      <c r="D1888" s="176">
        <v>55419</v>
      </c>
      <c r="E1888" s="151">
        <v>44793</v>
      </c>
      <c r="F1888" s="176">
        <v>55419</v>
      </c>
      <c r="G1888" s="177">
        <f>Tabla19[[#This Row],[Importe]]-Tabla19[[#This Row],[Pagado]]</f>
        <v>0</v>
      </c>
      <c r="H1888" s="75" t="s">
        <v>10</v>
      </c>
    </row>
    <row r="1889" spans="1:8" x14ac:dyDescent="0.25">
      <c r="A1889" s="148">
        <v>44792</v>
      </c>
      <c r="B1889" s="149" t="s">
        <v>26616</v>
      </c>
      <c r="C1889" s="153" t="s">
        <v>49</v>
      </c>
      <c r="D1889" s="178">
        <v>5360.6</v>
      </c>
      <c r="E1889" s="155">
        <v>44792</v>
      </c>
      <c r="F1889" s="178">
        <v>5360.6</v>
      </c>
      <c r="G1889" s="179">
        <f>Tabla19[[#This Row],[Importe]]-Tabla19[[#This Row],[Pagado]]</f>
        <v>0</v>
      </c>
      <c r="H1889" s="153" t="s">
        <v>10</v>
      </c>
    </row>
    <row r="1890" spans="1:8" x14ac:dyDescent="0.25">
      <c r="A1890" s="73">
        <v>44792</v>
      </c>
      <c r="B1890" s="74" t="s">
        <v>26617</v>
      </c>
      <c r="C1890" s="75" t="s">
        <v>1644</v>
      </c>
      <c r="D1890" s="176">
        <v>13650</v>
      </c>
      <c r="E1890" s="151">
        <v>44793</v>
      </c>
      <c r="F1890" s="176">
        <v>13650</v>
      </c>
      <c r="G1890" s="177">
        <f>Tabla19[[#This Row],[Importe]]-Tabla19[[#This Row],[Pagado]]</f>
        <v>0</v>
      </c>
      <c r="H1890" s="75" t="s">
        <v>10</v>
      </c>
    </row>
    <row r="1891" spans="1:8" x14ac:dyDescent="0.25">
      <c r="A1891" s="148">
        <v>44792</v>
      </c>
      <c r="B1891" s="149" t="s">
        <v>26618</v>
      </c>
      <c r="C1891" s="153" t="s">
        <v>11383</v>
      </c>
      <c r="D1891" s="178">
        <v>24381</v>
      </c>
      <c r="E1891" s="155">
        <v>44792</v>
      </c>
      <c r="F1891" s="178">
        <v>24381</v>
      </c>
      <c r="G1891" s="179">
        <f>Tabla19[[#This Row],[Importe]]-Tabla19[[#This Row],[Pagado]]</f>
        <v>0</v>
      </c>
      <c r="H1891" s="153" t="s">
        <v>10</v>
      </c>
    </row>
    <row r="1892" spans="1:8" x14ac:dyDescent="0.25">
      <c r="A1892" s="73">
        <v>44792</v>
      </c>
      <c r="B1892" s="74" t="s">
        <v>26619</v>
      </c>
      <c r="C1892" s="75" t="s">
        <v>154</v>
      </c>
      <c r="D1892" s="176">
        <v>31005.200000000001</v>
      </c>
      <c r="E1892" s="151">
        <v>44797</v>
      </c>
      <c r="F1892" s="176">
        <v>31005.200000000001</v>
      </c>
      <c r="G1892" s="177">
        <f>Tabla19[[#This Row],[Importe]]-Tabla19[[#This Row],[Pagado]]</f>
        <v>0</v>
      </c>
      <c r="H1892" s="75" t="s">
        <v>10</v>
      </c>
    </row>
    <row r="1893" spans="1:8" x14ac:dyDescent="0.25">
      <c r="A1893" s="148">
        <v>44792</v>
      </c>
      <c r="B1893" s="149" t="s">
        <v>26620</v>
      </c>
      <c r="C1893" s="153" t="s">
        <v>206</v>
      </c>
      <c r="D1893" s="178">
        <v>36494.199999999997</v>
      </c>
      <c r="E1893" s="155">
        <v>44796</v>
      </c>
      <c r="F1893" s="178">
        <v>36494.199999999997</v>
      </c>
      <c r="G1893" s="179">
        <f>Tabla19[[#This Row],[Importe]]-Tabla19[[#This Row],[Pagado]]</f>
        <v>0</v>
      </c>
      <c r="H1893" s="153" t="s">
        <v>10</v>
      </c>
    </row>
    <row r="1894" spans="1:8" x14ac:dyDescent="0.25">
      <c r="A1894" s="73">
        <v>44792</v>
      </c>
      <c r="B1894" s="74" t="s">
        <v>26621</v>
      </c>
      <c r="C1894" s="75" t="s">
        <v>218</v>
      </c>
      <c r="D1894" s="176">
        <v>31543.08</v>
      </c>
      <c r="E1894" s="151">
        <v>44796</v>
      </c>
      <c r="F1894" s="176">
        <v>31543.08</v>
      </c>
      <c r="G1894" s="177">
        <f>Tabla19[[#This Row],[Importe]]-Tabla19[[#This Row],[Pagado]]</f>
        <v>0</v>
      </c>
      <c r="H1894" s="75" t="s">
        <v>10</v>
      </c>
    </row>
    <row r="1895" spans="1:8" x14ac:dyDescent="0.25">
      <c r="A1895" s="148">
        <v>44792</v>
      </c>
      <c r="B1895" s="149" t="s">
        <v>26622</v>
      </c>
      <c r="C1895" s="153" t="s">
        <v>9827</v>
      </c>
      <c r="D1895" s="178">
        <v>5452.2</v>
      </c>
      <c r="E1895" s="155">
        <v>44792</v>
      </c>
      <c r="F1895" s="178">
        <v>5452.2</v>
      </c>
      <c r="G1895" s="179">
        <f>Tabla19[[#This Row],[Importe]]-Tabla19[[#This Row],[Pagado]]</f>
        <v>0</v>
      </c>
      <c r="H1895" s="153" t="s">
        <v>10</v>
      </c>
    </row>
    <row r="1896" spans="1:8" x14ac:dyDescent="0.25">
      <c r="A1896" s="73">
        <v>44792</v>
      </c>
      <c r="B1896" s="74" t="s">
        <v>26623</v>
      </c>
      <c r="C1896" s="75" t="s">
        <v>56</v>
      </c>
      <c r="D1896" s="176">
        <v>6353.2</v>
      </c>
      <c r="E1896" s="151">
        <v>44792</v>
      </c>
      <c r="F1896" s="176">
        <v>6353.2</v>
      </c>
      <c r="G1896" s="177">
        <f>Tabla19[[#This Row],[Importe]]-Tabla19[[#This Row],[Pagado]]</f>
        <v>0</v>
      </c>
      <c r="H1896" s="75" t="s">
        <v>10</v>
      </c>
    </row>
    <row r="1897" spans="1:8" x14ac:dyDescent="0.25">
      <c r="A1897" s="148">
        <v>44792</v>
      </c>
      <c r="B1897" s="149" t="s">
        <v>26624</v>
      </c>
      <c r="C1897" s="153" t="s">
        <v>53</v>
      </c>
      <c r="D1897" s="178">
        <v>758.4</v>
      </c>
      <c r="E1897" s="155">
        <v>44792</v>
      </c>
      <c r="F1897" s="178">
        <v>758.4</v>
      </c>
      <c r="G1897" s="179">
        <f>Tabla19[[#This Row],[Importe]]-Tabla19[[#This Row],[Pagado]]</f>
        <v>0</v>
      </c>
      <c r="H1897" s="153" t="s">
        <v>10</v>
      </c>
    </row>
    <row r="1898" spans="1:8" x14ac:dyDescent="0.25">
      <c r="A1898" s="73">
        <v>44792</v>
      </c>
      <c r="B1898" s="74" t="s">
        <v>26625</v>
      </c>
      <c r="C1898" s="75" t="s">
        <v>22783</v>
      </c>
      <c r="D1898" s="176">
        <v>2264.5</v>
      </c>
      <c r="E1898" s="151">
        <v>44792</v>
      </c>
      <c r="F1898" s="176">
        <v>2264.5</v>
      </c>
      <c r="G1898" s="177">
        <f>Tabla19[[#This Row],[Importe]]-Tabla19[[#This Row],[Pagado]]</f>
        <v>0</v>
      </c>
      <c r="H1898" s="75" t="s">
        <v>10</v>
      </c>
    </row>
    <row r="1899" spans="1:8" x14ac:dyDescent="0.25">
      <c r="A1899" s="148">
        <v>44792</v>
      </c>
      <c r="B1899" s="149" t="s">
        <v>26626</v>
      </c>
      <c r="C1899" s="153" t="s">
        <v>212</v>
      </c>
      <c r="D1899" s="178">
        <v>43337</v>
      </c>
      <c r="E1899" s="155">
        <v>44796</v>
      </c>
      <c r="F1899" s="178">
        <v>43337</v>
      </c>
      <c r="G1899" s="179">
        <f>Tabla19[[#This Row],[Importe]]-Tabla19[[#This Row],[Pagado]]</f>
        <v>0</v>
      </c>
      <c r="H1899" s="153" t="s">
        <v>10</v>
      </c>
    </row>
    <row r="1900" spans="1:8" x14ac:dyDescent="0.25">
      <c r="A1900" s="73">
        <v>44792</v>
      </c>
      <c r="B1900" s="74" t="s">
        <v>26627</v>
      </c>
      <c r="C1900" s="75" t="s">
        <v>29</v>
      </c>
      <c r="D1900" s="176">
        <v>5748.6</v>
      </c>
      <c r="E1900" s="151">
        <v>44792</v>
      </c>
      <c r="F1900" s="176">
        <v>5748.6</v>
      </c>
      <c r="G1900" s="177">
        <f>Tabla19[[#This Row],[Importe]]-Tabla19[[#This Row],[Pagado]]</f>
        <v>0</v>
      </c>
      <c r="H1900" s="75" t="s">
        <v>10</v>
      </c>
    </row>
    <row r="1901" spans="1:8" x14ac:dyDescent="0.25">
      <c r="A1901" s="148">
        <v>44792</v>
      </c>
      <c r="B1901" s="149" t="s">
        <v>26628</v>
      </c>
      <c r="C1901" s="153" t="s">
        <v>62</v>
      </c>
      <c r="D1901" s="178">
        <v>3885</v>
      </c>
      <c r="E1901" s="155">
        <v>44792</v>
      </c>
      <c r="F1901" s="178">
        <v>3885</v>
      </c>
      <c r="G1901" s="179">
        <f>Tabla19[[#This Row],[Importe]]-Tabla19[[#This Row],[Pagado]]</f>
        <v>0</v>
      </c>
      <c r="H1901" s="153" t="s">
        <v>10</v>
      </c>
    </row>
    <row r="1902" spans="1:8" x14ac:dyDescent="0.25">
      <c r="A1902" s="73">
        <v>44792</v>
      </c>
      <c r="B1902" s="74" t="s">
        <v>26629</v>
      </c>
      <c r="C1902" s="75" t="s">
        <v>849</v>
      </c>
      <c r="D1902" s="176">
        <v>5468</v>
      </c>
      <c r="E1902" s="151">
        <v>44792</v>
      </c>
      <c r="F1902" s="176">
        <v>5468</v>
      </c>
      <c r="G1902" s="177">
        <f>Tabla19[[#This Row],[Importe]]-Tabla19[[#This Row],[Pagado]]</f>
        <v>0</v>
      </c>
      <c r="H1902" s="75" t="s">
        <v>10</v>
      </c>
    </row>
    <row r="1903" spans="1:8" x14ac:dyDescent="0.25">
      <c r="A1903" s="148">
        <v>44792</v>
      </c>
      <c r="B1903" s="149" t="s">
        <v>26630</v>
      </c>
      <c r="C1903" s="153" t="s">
        <v>1265</v>
      </c>
      <c r="D1903" s="178">
        <v>639.9</v>
      </c>
      <c r="E1903" s="155">
        <v>44792</v>
      </c>
      <c r="F1903" s="178">
        <v>639.9</v>
      </c>
      <c r="G1903" s="179">
        <f>Tabla19[[#This Row],[Importe]]-Tabla19[[#This Row],[Pagado]]</f>
        <v>0</v>
      </c>
      <c r="H1903" s="153" t="s">
        <v>10</v>
      </c>
    </row>
    <row r="1904" spans="1:8" x14ac:dyDescent="0.25">
      <c r="A1904" s="73">
        <v>44792</v>
      </c>
      <c r="B1904" s="74" t="s">
        <v>26631</v>
      </c>
      <c r="C1904" s="75" t="s">
        <v>382</v>
      </c>
      <c r="D1904" s="176">
        <v>7675.2</v>
      </c>
      <c r="E1904" s="151">
        <v>44792</v>
      </c>
      <c r="F1904" s="176">
        <v>7675.2</v>
      </c>
      <c r="G1904" s="177">
        <f>Tabla19[[#This Row],[Importe]]-Tabla19[[#This Row],[Pagado]]</f>
        <v>0</v>
      </c>
      <c r="H1904" s="75" t="s">
        <v>10</v>
      </c>
    </row>
    <row r="1905" spans="1:8" x14ac:dyDescent="0.25">
      <c r="A1905" s="148">
        <v>44792</v>
      </c>
      <c r="B1905" s="149" t="s">
        <v>26632</v>
      </c>
      <c r="C1905" s="153" t="s">
        <v>31</v>
      </c>
      <c r="D1905" s="178">
        <v>748.8</v>
      </c>
      <c r="E1905" s="155">
        <v>44792</v>
      </c>
      <c r="F1905" s="178">
        <v>748.8</v>
      </c>
      <c r="G1905" s="179">
        <f>Tabla19[[#This Row],[Importe]]-Tabla19[[#This Row],[Pagado]]</f>
        <v>0</v>
      </c>
      <c r="H1905" s="153" t="s">
        <v>10</v>
      </c>
    </row>
    <row r="1906" spans="1:8" x14ac:dyDescent="0.25">
      <c r="A1906" s="73">
        <v>44792</v>
      </c>
      <c r="B1906" s="74" t="s">
        <v>26633</v>
      </c>
      <c r="C1906" s="75" t="s">
        <v>191</v>
      </c>
      <c r="D1906" s="176">
        <v>1911.8</v>
      </c>
      <c r="E1906" s="151">
        <v>44792</v>
      </c>
      <c r="F1906" s="176">
        <v>1911.8</v>
      </c>
      <c r="G1906" s="177">
        <f>Tabla19[[#This Row],[Importe]]-Tabla19[[#This Row],[Pagado]]</f>
        <v>0</v>
      </c>
      <c r="H1906" s="75" t="s">
        <v>10</v>
      </c>
    </row>
    <row r="1907" spans="1:8" x14ac:dyDescent="0.25">
      <c r="A1907" s="148">
        <v>44792</v>
      </c>
      <c r="B1907" s="149" t="s">
        <v>26634</v>
      </c>
      <c r="C1907" s="153" t="s">
        <v>31</v>
      </c>
      <c r="D1907" s="178">
        <v>639.9</v>
      </c>
      <c r="E1907" s="155">
        <v>44792</v>
      </c>
      <c r="F1907" s="178">
        <v>639.9</v>
      </c>
      <c r="G1907" s="179">
        <f>Tabla19[[#This Row],[Importe]]-Tabla19[[#This Row],[Pagado]]</f>
        <v>0</v>
      </c>
      <c r="H1907" s="153" t="s">
        <v>10</v>
      </c>
    </row>
    <row r="1908" spans="1:8" x14ac:dyDescent="0.25">
      <c r="A1908" s="73">
        <v>44792</v>
      </c>
      <c r="B1908" s="74" t="s">
        <v>26635</v>
      </c>
      <c r="C1908" s="75" t="s">
        <v>51</v>
      </c>
      <c r="D1908" s="176">
        <v>4952</v>
      </c>
      <c r="E1908" s="151">
        <v>44792</v>
      </c>
      <c r="F1908" s="176">
        <v>4952</v>
      </c>
      <c r="G1908" s="177">
        <f>Tabla19[[#This Row],[Importe]]-Tabla19[[#This Row],[Pagado]]</f>
        <v>0</v>
      </c>
      <c r="H1908" s="75" t="s">
        <v>10</v>
      </c>
    </row>
    <row r="1909" spans="1:8" x14ac:dyDescent="0.25">
      <c r="A1909" s="148">
        <v>44792</v>
      </c>
      <c r="B1909" s="149" t="s">
        <v>26636</v>
      </c>
      <c r="C1909" s="153" t="s">
        <v>67</v>
      </c>
      <c r="D1909" s="178">
        <v>13114.6</v>
      </c>
      <c r="E1909" s="155">
        <v>44792</v>
      </c>
      <c r="F1909" s="178">
        <v>13114.6</v>
      </c>
      <c r="G1909" s="179">
        <f>Tabla19[[#This Row],[Importe]]-Tabla19[[#This Row],[Pagado]]</f>
        <v>0</v>
      </c>
      <c r="H1909" s="153" t="s">
        <v>10</v>
      </c>
    </row>
    <row r="1910" spans="1:8" x14ac:dyDescent="0.25">
      <c r="A1910" s="73">
        <v>44792</v>
      </c>
      <c r="B1910" s="74" t="s">
        <v>26637</v>
      </c>
      <c r="C1910" s="75" t="s">
        <v>414</v>
      </c>
      <c r="D1910" s="176">
        <v>3000</v>
      </c>
      <c r="E1910" s="151">
        <v>44792</v>
      </c>
      <c r="F1910" s="176">
        <v>3000</v>
      </c>
      <c r="G1910" s="177">
        <f>Tabla19[[#This Row],[Importe]]-Tabla19[[#This Row],[Pagado]]</f>
        <v>0</v>
      </c>
      <c r="H1910" s="75" t="s">
        <v>10</v>
      </c>
    </row>
    <row r="1911" spans="1:8" x14ac:dyDescent="0.25">
      <c r="A1911" s="148">
        <v>44792</v>
      </c>
      <c r="B1911" s="149" t="s">
        <v>26638</v>
      </c>
      <c r="C1911" s="153" t="s">
        <v>31</v>
      </c>
      <c r="D1911" s="178">
        <v>1581.2</v>
      </c>
      <c r="E1911" s="155">
        <v>44792</v>
      </c>
      <c r="F1911" s="178">
        <v>1581.2</v>
      </c>
      <c r="G1911" s="179">
        <f>Tabla19[[#This Row],[Importe]]-Tabla19[[#This Row],[Pagado]]</f>
        <v>0</v>
      </c>
      <c r="H1911" s="153" t="s">
        <v>10</v>
      </c>
    </row>
    <row r="1912" spans="1:8" x14ac:dyDescent="0.25">
      <c r="A1912" s="73">
        <v>44792</v>
      </c>
      <c r="B1912" s="74" t="s">
        <v>26639</v>
      </c>
      <c r="C1912" s="75" t="s">
        <v>3747</v>
      </c>
      <c r="D1912" s="176">
        <v>27759.599999999999</v>
      </c>
      <c r="E1912" s="151">
        <v>44792</v>
      </c>
      <c r="F1912" s="176">
        <v>27759.599999999999</v>
      </c>
      <c r="G1912" s="177">
        <f>Tabla19[[#This Row],[Importe]]-Tabla19[[#This Row],[Pagado]]</f>
        <v>0</v>
      </c>
      <c r="H1912" s="75" t="s">
        <v>10</v>
      </c>
    </row>
    <row r="1913" spans="1:8" x14ac:dyDescent="0.25">
      <c r="A1913" s="148">
        <v>44792</v>
      </c>
      <c r="B1913" s="149" t="s">
        <v>26640</v>
      </c>
      <c r="C1913" s="153" t="s">
        <v>3747</v>
      </c>
      <c r="D1913" s="178">
        <v>3300</v>
      </c>
      <c r="E1913" s="155">
        <v>44792</v>
      </c>
      <c r="F1913" s="178">
        <v>3300</v>
      </c>
      <c r="G1913" s="179">
        <f>Tabla19[[#This Row],[Importe]]-Tabla19[[#This Row],[Pagado]]</f>
        <v>0</v>
      </c>
      <c r="H1913" s="153" t="s">
        <v>10</v>
      </c>
    </row>
    <row r="1914" spans="1:8" x14ac:dyDescent="0.25">
      <c r="A1914" s="73">
        <v>44792</v>
      </c>
      <c r="B1914" s="74" t="s">
        <v>26641</v>
      </c>
      <c r="C1914" s="75" t="s">
        <v>198</v>
      </c>
      <c r="D1914" s="176">
        <v>4679.5</v>
      </c>
      <c r="E1914" s="151">
        <v>44792</v>
      </c>
      <c r="F1914" s="176">
        <v>4679.5</v>
      </c>
      <c r="G1914" s="177">
        <f>Tabla19[[#This Row],[Importe]]-Tabla19[[#This Row],[Pagado]]</f>
        <v>0</v>
      </c>
      <c r="H1914" s="75" t="s">
        <v>10</v>
      </c>
    </row>
    <row r="1915" spans="1:8" x14ac:dyDescent="0.25">
      <c r="A1915" s="148">
        <v>44792</v>
      </c>
      <c r="B1915" s="149" t="s">
        <v>26642</v>
      </c>
      <c r="C1915" s="153" t="s">
        <v>175</v>
      </c>
      <c r="D1915" s="178">
        <v>7891.3</v>
      </c>
      <c r="E1915" s="155">
        <v>44792</v>
      </c>
      <c r="F1915" s="178">
        <v>7891.3</v>
      </c>
      <c r="G1915" s="179">
        <f>Tabla19[[#This Row],[Importe]]-Tabla19[[#This Row],[Pagado]]</f>
        <v>0</v>
      </c>
      <c r="H1915" s="153" t="s">
        <v>10</v>
      </c>
    </row>
    <row r="1916" spans="1:8" x14ac:dyDescent="0.25">
      <c r="A1916" s="73">
        <v>44792</v>
      </c>
      <c r="B1916" s="74" t="s">
        <v>26643</v>
      </c>
      <c r="C1916" s="75" t="s">
        <v>181</v>
      </c>
      <c r="D1916" s="176">
        <v>10481.4</v>
      </c>
      <c r="E1916" s="151">
        <v>44792</v>
      </c>
      <c r="F1916" s="176">
        <v>10481.4</v>
      </c>
      <c r="G1916" s="177">
        <f>Tabla19[[#This Row],[Importe]]-Tabla19[[#This Row],[Pagado]]</f>
        <v>0</v>
      </c>
      <c r="H1916" s="75" t="s">
        <v>10</v>
      </c>
    </row>
    <row r="1917" spans="1:8" x14ac:dyDescent="0.25">
      <c r="A1917" s="148">
        <v>44792</v>
      </c>
      <c r="B1917" s="149" t="s">
        <v>26644</v>
      </c>
      <c r="C1917" s="153" t="s">
        <v>142</v>
      </c>
      <c r="D1917" s="178">
        <v>22809.58</v>
      </c>
      <c r="E1917" s="155" t="s">
        <v>4813</v>
      </c>
      <c r="F1917" s="178">
        <v>0</v>
      </c>
      <c r="G1917" s="179">
        <f>Tabla19[[#This Row],[Importe]]-Tabla19[[#This Row],[Pagado]]</f>
        <v>22809.58</v>
      </c>
      <c r="H1917" s="153" t="s">
        <v>4814</v>
      </c>
    </row>
    <row r="1918" spans="1:8" x14ac:dyDescent="0.25">
      <c r="A1918" s="73">
        <v>44792</v>
      </c>
      <c r="B1918" s="74" t="s">
        <v>26645</v>
      </c>
      <c r="C1918" s="75" t="s">
        <v>426</v>
      </c>
      <c r="D1918" s="176">
        <v>9601.1</v>
      </c>
      <c r="E1918" s="151">
        <v>44792</v>
      </c>
      <c r="F1918" s="176">
        <v>9601.1</v>
      </c>
      <c r="G1918" s="177">
        <f>Tabla19[[#This Row],[Importe]]-Tabla19[[#This Row],[Pagado]]</f>
        <v>0</v>
      </c>
      <c r="H1918" s="75" t="s">
        <v>10</v>
      </c>
    </row>
    <row r="1919" spans="1:8" x14ac:dyDescent="0.25">
      <c r="A1919" s="148">
        <v>44792</v>
      </c>
      <c r="B1919" s="149" t="s">
        <v>26646</v>
      </c>
      <c r="C1919" s="153" t="s">
        <v>392</v>
      </c>
      <c r="D1919" s="178">
        <v>22458.3</v>
      </c>
      <c r="E1919" s="155">
        <v>44799</v>
      </c>
      <c r="F1919" s="178">
        <v>22458.3</v>
      </c>
      <c r="G1919" s="179">
        <f>Tabla19[[#This Row],[Importe]]-Tabla19[[#This Row],[Pagado]]</f>
        <v>0</v>
      </c>
      <c r="H1919" s="153" t="s">
        <v>10</v>
      </c>
    </row>
    <row r="1920" spans="1:8" x14ac:dyDescent="0.25">
      <c r="A1920" s="73">
        <v>44792</v>
      </c>
      <c r="B1920" s="74" t="s">
        <v>26647</v>
      </c>
      <c r="C1920" s="75" t="s">
        <v>24284</v>
      </c>
      <c r="D1920" s="176">
        <v>1482</v>
      </c>
      <c r="E1920" s="151">
        <v>44792</v>
      </c>
      <c r="F1920" s="176">
        <v>1482</v>
      </c>
      <c r="G1920" s="177">
        <f>Tabla19[[#This Row],[Importe]]-Tabla19[[#This Row],[Pagado]]</f>
        <v>0</v>
      </c>
      <c r="H1920" s="75" t="s">
        <v>10</v>
      </c>
    </row>
    <row r="1921" spans="1:8" x14ac:dyDescent="0.25">
      <c r="A1921" s="148">
        <v>44792</v>
      </c>
      <c r="B1921" s="149" t="s">
        <v>26648</v>
      </c>
      <c r="C1921" s="153" t="s">
        <v>58</v>
      </c>
      <c r="D1921" s="178">
        <v>2755</v>
      </c>
      <c r="E1921" s="155">
        <v>44792</v>
      </c>
      <c r="F1921" s="178">
        <v>2755</v>
      </c>
      <c r="G1921" s="179">
        <f>Tabla19[[#This Row],[Importe]]-Tabla19[[#This Row],[Pagado]]</f>
        <v>0</v>
      </c>
      <c r="H1921" s="153" t="s">
        <v>10</v>
      </c>
    </row>
    <row r="1922" spans="1:8" x14ac:dyDescent="0.25">
      <c r="A1922" s="73">
        <v>44792</v>
      </c>
      <c r="B1922" s="74" t="s">
        <v>26649</v>
      </c>
      <c r="C1922" s="75" t="s">
        <v>226</v>
      </c>
      <c r="D1922" s="176">
        <v>7200.2</v>
      </c>
      <c r="E1922" s="151">
        <v>44792</v>
      </c>
      <c r="F1922" s="176">
        <v>7200.2</v>
      </c>
      <c r="G1922" s="177">
        <f>Tabla19[[#This Row],[Importe]]-Tabla19[[#This Row],[Pagado]]</f>
        <v>0</v>
      </c>
      <c r="H1922" s="75" t="s">
        <v>10</v>
      </c>
    </row>
    <row r="1923" spans="1:8" x14ac:dyDescent="0.25">
      <c r="A1923" s="148">
        <v>44792</v>
      </c>
      <c r="B1923" s="149" t="s">
        <v>26650</v>
      </c>
      <c r="C1923" s="153" t="s">
        <v>226</v>
      </c>
      <c r="D1923" s="178">
        <v>238.5</v>
      </c>
      <c r="E1923" s="155">
        <v>44792</v>
      </c>
      <c r="F1923" s="178">
        <v>238.5</v>
      </c>
      <c r="G1923" s="179">
        <f>Tabla19[[#This Row],[Importe]]-Tabla19[[#This Row],[Pagado]]</f>
        <v>0</v>
      </c>
      <c r="H1923" s="153" t="s">
        <v>10</v>
      </c>
    </row>
    <row r="1924" spans="1:8" x14ac:dyDescent="0.25">
      <c r="A1924" s="73">
        <v>44792</v>
      </c>
      <c r="B1924" s="74" t="s">
        <v>26651</v>
      </c>
      <c r="C1924" s="75" t="s">
        <v>670</v>
      </c>
      <c r="D1924" s="176">
        <v>2006.2</v>
      </c>
      <c r="E1924" s="151">
        <v>44792</v>
      </c>
      <c r="F1924" s="176">
        <v>2006.2</v>
      </c>
      <c r="G1924" s="177">
        <f>Tabla19[[#This Row],[Importe]]-Tabla19[[#This Row],[Pagado]]</f>
        <v>0</v>
      </c>
      <c r="H1924" s="75" t="s">
        <v>10</v>
      </c>
    </row>
    <row r="1925" spans="1:8" x14ac:dyDescent="0.25">
      <c r="A1925" s="148">
        <v>44792</v>
      </c>
      <c r="B1925" s="149" t="s">
        <v>26652</v>
      </c>
      <c r="C1925" s="153" t="s">
        <v>79</v>
      </c>
      <c r="D1925" s="178">
        <v>10058.4</v>
      </c>
      <c r="E1925" s="155">
        <v>44792</v>
      </c>
      <c r="F1925" s="178">
        <v>10058.4</v>
      </c>
      <c r="G1925" s="179">
        <f>Tabla19[[#This Row],[Importe]]-Tabla19[[#This Row],[Pagado]]</f>
        <v>0</v>
      </c>
      <c r="H1925" s="153" t="s">
        <v>10</v>
      </c>
    </row>
    <row r="1926" spans="1:8" x14ac:dyDescent="0.25">
      <c r="A1926" s="73">
        <v>44792</v>
      </c>
      <c r="B1926" s="74" t="s">
        <v>26653</v>
      </c>
      <c r="C1926" s="75" t="s">
        <v>12</v>
      </c>
      <c r="D1926" s="176">
        <v>1117.2</v>
      </c>
      <c r="E1926" s="151">
        <v>44794</v>
      </c>
      <c r="F1926" s="176">
        <v>1117.2</v>
      </c>
      <c r="G1926" s="177">
        <f>Tabla19[[#This Row],[Importe]]-Tabla19[[#This Row],[Pagado]]</f>
        <v>0</v>
      </c>
      <c r="H1926" s="75" t="s">
        <v>10</v>
      </c>
    </row>
    <row r="1927" spans="1:8" x14ac:dyDescent="0.25">
      <c r="A1927" s="148">
        <v>44792</v>
      </c>
      <c r="B1927" s="149" t="s">
        <v>26654</v>
      </c>
      <c r="C1927" s="153" t="s">
        <v>12</v>
      </c>
      <c r="D1927" s="178">
        <v>444</v>
      </c>
      <c r="E1927" s="155">
        <v>44794</v>
      </c>
      <c r="F1927" s="178">
        <v>444</v>
      </c>
      <c r="G1927" s="179">
        <f>Tabla19[[#This Row],[Importe]]-Tabla19[[#This Row],[Pagado]]</f>
        <v>0</v>
      </c>
      <c r="H1927" s="153" t="s">
        <v>10</v>
      </c>
    </row>
    <row r="1928" spans="1:8" x14ac:dyDescent="0.25">
      <c r="A1928" s="73">
        <v>44792</v>
      </c>
      <c r="B1928" s="74" t="s">
        <v>26655</v>
      </c>
      <c r="C1928" s="75" t="s">
        <v>698</v>
      </c>
      <c r="D1928" s="176">
        <v>7491.6</v>
      </c>
      <c r="E1928" s="151">
        <v>44792</v>
      </c>
      <c r="F1928" s="176">
        <v>7491.6</v>
      </c>
      <c r="G1928" s="177">
        <f>Tabla19[[#This Row],[Importe]]-Tabla19[[#This Row],[Pagado]]</f>
        <v>0</v>
      </c>
      <c r="H1928" s="75" t="s">
        <v>10</v>
      </c>
    </row>
    <row r="1929" spans="1:8" x14ac:dyDescent="0.25">
      <c r="A1929" s="148">
        <v>44792</v>
      </c>
      <c r="B1929" s="149" t="s">
        <v>26656</v>
      </c>
      <c r="C1929" s="153" t="s">
        <v>2151</v>
      </c>
      <c r="D1929" s="178">
        <v>198</v>
      </c>
      <c r="E1929" s="155">
        <v>44792</v>
      </c>
      <c r="F1929" s="178">
        <v>198</v>
      </c>
      <c r="G1929" s="179">
        <f>Tabla19[[#This Row],[Importe]]-Tabla19[[#This Row],[Pagado]]</f>
        <v>0</v>
      </c>
      <c r="H1929" s="153" t="s">
        <v>10</v>
      </c>
    </row>
    <row r="1930" spans="1:8" x14ac:dyDescent="0.25">
      <c r="A1930" s="73">
        <v>44792</v>
      </c>
      <c r="B1930" s="74" t="s">
        <v>26657</v>
      </c>
      <c r="C1930" s="75" t="s">
        <v>214</v>
      </c>
      <c r="D1930" s="176">
        <v>1450.8</v>
      </c>
      <c r="E1930" s="151">
        <v>44792</v>
      </c>
      <c r="F1930" s="176">
        <v>1450.8</v>
      </c>
      <c r="G1930" s="177">
        <f>Tabla19[[#This Row],[Importe]]-Tabla19[[#This Row],[Pagado]]</f>
        <v>0</v>
      </c>
      <c r="H1930" s="75" t="s">
        <v>10</v>
      </c>
    </row>
    <row r="1931" spans="1:8" x14ac:dyDescent="0.25">
      <c r="A1931" s="148">
        <v>44792</v>
      </c>
      <c r="B1931" s="149" t="s">
        <v>26658</v>
      </c>
      <c r="C1931" s="153" t="s">
        <v>296</v>
      </c>
      <c r="D1931" s="178">
        <v>4609.2</v>
      </c>
      <c r="E1931" s="155">
        <v>44792</v>
      </c>
      <c r="F1931" s="178">
        <v>4609.2</v>
      </c>
      <c r="G1931" s="179">
        <f>Tabla19[[#This Row],[Importe]]-Tabla19[[#This Row],[Pagado]]</f>
        <v>0</v>
      </c>
      <c r="H1931" s="153" t="s">
        <v>10</v>
      </c>
    </row>
    <row r="1932" spans="1:8" x14ac:dyDescent="0.25">
      <c r="A1932" s="73">
        <v>44792</v>
      </c>
      <c r="B1932" s="74" t="s">
        <v>26659</v>
      </c>
      <c r="C1932" s="75" t="s">
        <v>994</v>
      </c>
      <c r="D1932" s="176">
        <v>1747.2</v>
      </c>
      <c r="E1932" s="151">
        <v>44792</v>
      </c>
      <c r="F1932" s="176">
        <v>1747.2</v>
      </c>
      <c r="G1932" s="177">
        <f>Tabla19[[#This Row],[Importe]]-Tabla19[[#This Row],[Pagado]]</f>
        <v>0</v>
      </c>
      <c r="H1932" s="75" t="s">
        <v>10</v>
      </c>
    </row>
    <row r="1933" spans="1:8" x14ac:dyDescent="0.25">
      <c r="A1933" s="148">
        <v>44792</v>
      </c>
      <c r="B1933" s="149" t="s">
        <v>26660</v>
      </c>
      <c r="C1933" s="153" t="s">
        <v>555</v>
      </c>
      <c r="D1933" s="178">
        <v>21791.200000000001</v>
      </c>
      <c r="E1933" s="155">
        <v>44795</v>
      </c>
      <c r="F1933" s="178">
        <v>21791.200000000001</v>
      </c>
      <c r="G1933" s="179">
        <f>Tabla19[[#This Row],[Importe]]-Tabla19[[#This Row],[Pagado]]</f>
        <v>0</v>
      </c>
      <c r="H1933" s="153" t="s">
        <v>10</v>
      </c>
    </row>
    <row r="1934" spans="1:8" x14ac:dyDescent="0.25">
      <c r="A1934" s="73">
        <v>44792</v>
      </c>
      <c r="B1934" s="74" t="s">
        <v>26661</v>
      </c>
      <c r="C1934" s="75" t="s">
        <v>71</v>
      </c>
      <c r="D1934" s="176">
        <v>1309.8</v>
      </c>
      <c r="E1934" s="151">
        <v>44792</v>
      </c>
      <c r="F1934" s="176">
        <v>1309.8</v>
      </c>
      <c r="G1934" s="177">
        <f>Tabla19[[#This Row],[Importe]]-Tabla19[[#This Row],[Pagado]]</f>
        <v>0</v>
      </c>
      <c r="H1934" s="75" t="s">
        <v>10</v>
      </c>
    </row>
    <row r="1935" spans="1:8" x14ac:dyDescent="0.25">
      <c r="A1935" s="148">
        <v>44792</v>
      </c>
      <c r="B1935" s="149" t="s">
        <v>26662</v>
      </c>
      <c r="C1935" s="153" t="s">
        <v>53</v>
      </c>
      <c r="D1935" s="178">
        <v>695.2</v>
      </c>
      <c r="E1935" s="155">
        <v>44792</v>
      </c>
      <c r="F1935" s="178">
        <v>695.2</v>
      </c>
      <c r="G1935" s="179">
        <f>Tabla19[[#This Row],[Importe]]-Tabla19[[#This Row],[Pagado]]</f>
        <v>0</v>
      </c>
      <c r="H1935" s="153" t="s">
        <v>10</v>
      </c>
    </row>
    <row r="1936" spans="1:8" x14ac:dyDescent="0.25">
      <c r="A1936" s="73">
        <v>44792</v>
      </c>
      <c r="B1936" s="74" t="s">
        <v>26663</v>
      </c>
      <c r="C1936" s="75" t="s">
        <v>284</v>
      </c>
      <c r="D1936" s="176">
        <v>4079.4</v>
      </c>
      <c r="E1936" s="151">
        <v>44793</v>
      </c>
      <c r="F1936" s="176">
        <v>4079.4</v>
      </c>
      <c r="G1936" s="177">
        <f>Tabla19[[#This Row],[Importe]]-Tabla19[[#This Row],[Pagado]]</f>
        <v>0</v>
      </c>
      <c r="H1936" s="75" t="s">
        <v>10</v>
      </c>
    </row>
    <row r="1937" spans="1:8" x14ac:dyDescent="0.25">
      <c r="A1937" s="148">
        <v>44792</v>
      </c>
      <c r="B1937" s="149" t="s">
        <v>26664</v>
      </c>
      <c r="C1937" s="153" t="s">
        <v>282</v>
      </c>
      <c r="D1937" s="178">
        <v>2558.4</v>
      </c>
      <c r="E1937" s="155">
        <v>44793</v>
      </c>
      <c r="F1937" s="178">
        <v>2558.4</v>
      </c>
      <c r="G1937" s="179">
        <f>Tabla19[[#This Row],[Importe]]-Tabla19[[#This Row],[Pagado]]</f>
        <v>0</v>
      </c>
      <c r="H1937" s="153" t="s">
        <v>10</v>
      </c>
    </row>
    <row r="1938" spans="1:8" x14ac:dyDescent="0.25">
      <c r="A1938" s="73">
        <v>44792</v>
      </c>
      <c r="B1938" s="74" t="s">
        <v>26665</v>
      </c>
      <c r="C1938" s="75" t="s">
        <v>5345</v>
      </c>
      <c r="D1938" s="176">
        <v>3088.8</v>
      </c>
      <c r="E1938" s="151">
        <v>44793</v>
      </c>
      <c r="F1938" s="176">
        <v>3088.8</v>
      </c>
      <c r="G1938" s="177">
        <f>Tabla19[[#This Row],[Importe]]-Tabla19[[#This Row],[Pagado]]</f>
        <v>0</v>
      </c>
      <c r="H1938" s="75" t="s">
        <v>10</v>
      </c>
    </row>
    <row r="1939" spans="1:8" x14ac:dyDescent="0.25">
      <c r="A1939" s="148">
        <v>44792</v>
      </c>
      <c r="B1939" s="149" t="s">
        <v>26666</v>
      </c>
      <c r="C1939" s="153" t="s">
        <v>280</v>
      </c>
      <c r="D1939" s="178">
        <v>1318.2</v>
      </c>
      <c r="E1939" s="155">
        <v>44793</v>
      </c>
      <c r="F1939" s="178">
        <v>1318.2</v>
      </c>
      <c r="G1939" s="179">
        <f>Tabla19[[#This Row],[Importe]]-Tabla19[[#This Row],[Pagado]]</f>
        <v>0</v>
      </c>
      <c r="H1939" s="153" t="s">
        <v>10</v>
      </c>
    </row>
    <row r="1940" spans="1:8" x14ac:dyDescent="0.25">
      <c r="A1940" s="73">
        <v>44792</v>
      </c>
      <c r="B1940" s="74" t="s">
        <v>26667</v>
      </c>
      <c r="C1940" s="75" t="s">
        <v>365</v>
      </c>
      <c r="D1940" s="176">
        <v>1251.2</v>
      </c>
      <c r="E1940" s="151">
        <v>44792</v>
      </c>
      <c r="F1940" s="176">
        <v>1251.2</v>
      </c>
      <c r="G1940" s="177">
        <f>Tabla19[[#This Row],[Importe]]-Tabla19[[#This Row],[Pagado]]</f>
        <v>0</v>
      </c>
      <c r="H1940" s="75" t="s">
        <v>10</v>
      </c>
    </row>
    <row r="1941" spans="1:8" x14ac:dyDescent="0.25">
      <c r="A1941" s="148">
        <v>44792</v>
      </c>
      <c r="B1941" s="149" t="s">
        <v>26668</v>
      </c>
      <c r="C1941" s="153" t="s">
        <v>365</v>
      </c>
      <c r="D1941" s="178">
        <v>1386.5</v>
      </c>
      <c r="E1941" s="155">
        <v>44792</v>
      </c>
      <c r="F1941" s="178">
        <v>1386.5</v>
      </c>
      <c r="G1941" s="179">
        <f>Tabla19[[#This Row],[Importe]]-Tabla19[[#This Row],[Pagado]]</f>
        <v>0</v>
      </c>
      <c r="H1941" s="153" t="s">
        <v>10</v>
      </c>
    </row>
    <row r="1942" spans="1:8" x14ac:dyDescent="0.25">
      <c r="A1942" s="73">
        <v>44792</v>
      </c>
      <c r="B1942" s="74" t="s">
        <v>26669</v>
      </c>
      <c r="C1942" s="75" t="s">
        <v>179</v>
      </c>
      <c r="D1942" s="176">
        <v>2199.6</v>
      </c>
      <c r="E1942" s="151">
        <v>44793</v>
      </c>
      <c r="F1942" s="176">
        <v>2199.6</v>
      </c>
      <c r="G1942" s="177">
        <f>Tabla19[[#This Row],[Importe]]-Tabla19[[#This Row],[Pagado]]</f>
        <v>0</v>
      </c>
      <c r="H1942" s="75" t="s">
        <v>10</v>
      </c>
    </row>
    <row r="1943" spans="1:8" x14ac:dyDescent="0.25">
      <c r="A1943" s="148">
        <v>44792</v>
      </c>
      <c r="B1943" s="149" t="s">
        <v>26670</v>
      </c>
      <c r="C1943" s="153" t="s">
        <v>10819</v>
      </c>
      <c r="D1943" s="178">
        <v>1038.4000000000001</v>
      </c>
      <c r="E1943" s="155">
        <v>44793</v>
      </c>
      <c r="F1943" s="178">
        <v>1038.4000000000001</v>
      </c>
      <c r="G1943" s="179">
        <f>Tabla19[[#This Row],[Importe]]-Tabla19[[#This Row],[Pagado]]</f>
        <v>0</v>
      </c>
      <c r="H1943" s="153" t="s">
        <v>10</v>
      </c>
    </row>
    <row r="1944" spans="1:8" x14ac:dyDescent="0.25">
      <c r="A1944" s="73">
        <v>44792</v>
      </c>
      <c r="B1944" s="74" t="s">
        <v>26671</v>
      </c>
      <c r="C1944" s="75" t="s">
        <v>1421</v>
      </c>
      <c r="D1944" s="176">
        <v>14850</v>
      </c>
      <c r="E1944" s="151">
        <v>44792</v>
      </c>
      <c r="F1944" s="176">
        <v>14850</v>
      </c>
      <c r="G1944" s="177">
        <f>Tabla19[[#This Row],[Importe]]-Tabla19[[#This Row],[Pagado]]</f>
        <v>0</v>
      </c>
      <c r="H1944" s="75" t="s">
        <v>10</v>
      </c>
    </row>
    <row r="1945" spans="1:8" x14ac:dyDescent="0.25">
      <c r="A1945" s="148">
        <v>44792</v>
      </c>
      <c r="B1945" s="149" t="s">
        <v>26672</v>
      </c>
      <c r="C1945" s="153" t="s">
        <v>612</v>
      </c>
      <c r="D1945" s="178">
        <v>450</v>
      </c>
      <c r="E1945" s="155">
        <v>44792</v>
      </c>
      <c r="F1945" s="178">
        <v>450</v>
      </c>
      <c r="G1945" s="179">
        <f>Tabla19[[#This Row],[Importe]]-Tabla19[[#This Row],[Pagado]]</f>
        <v>0</v>
      </c>
      <c r="H1945" s="153" t="s">
        <v>10</v>
      </c>
    </row>
    <row r="1946" spans="1:8" x14ac:dyDescent="0.25">
      <c r="A1946" s="73">
        <v>44792</v>
      </c>
      <c r="B1946" s="74" t="s">
        <v>26673</v>
      </c>
      <c r="C1946" s="75" t="s">
        <v>69</v>
      </c>
      <c r="D1946" s="176">
        <v>1396.2</v>
      </c>
      <c r="E1946" s="151">
        <v>44792</v>
      </c>
      <c r="F1946" s="176">
        <v>1396.2</v>
      </c>
      <c r="G1946" s="177">
        <f>Tabla19[[#This Row],[Importe]]-Tabla19[[#This Row],[Pagado]]</f>
        <v>0</v>
      </c>
      <c r="H1946" s="75" t="s">
        <v>10</v>
      </c>
    </row>
    <row r="1947" spans="1:8" x14ac:dyDescent="0.25">
      <c r="A1947" s="148">
        <v>44792</v>
      </c>
      <c r="B1947" s="149" t="s">
        <v>26674</v>
      </c>
      <c r="C1947" s="153" t="s">
        <v>421</v>
      </c>
      <c r="D1947" s="178">
        <v>2137.1999999999998</v>
      </c>
      <c r="E1947" s="155">
        <v>44792</v>
      </c>
      <c r="F1947" s="178">
        <v>2137.1999999999998</v>
      </c>
      <c r="G1947" s="179">
        <f>Tabla19[[#This Row],[Importe]]-Tabla19[[#This Row],[Pagado]]</f>
        <v>0</v>
      </c>
      <c r="H1947" s="153" t="s">
        <v>10</v>
      </c>
    </row>
    <row r="1948" spans="1:8" x14ac:dyDescent="0.25">
      <c r="A1948" s="73">
        <v>44792</v>
      </c>
      <c r="B1948" s="74" t="s">
        <v>26675</v>
      </c>
      <c r="C1948" s="75" t="s">
        <v>10678</v>
      </c>
      <c r="D1948" s="176">
        <v>3849.9</v>
      </c>
      <c r="E1948" s="151">
        <v>44792</v>
      </c>
      <c r="F1948" s="176">
        <v>3849.9</v>
      </c>
      <c r="G1948" s="177">
        <f>Tabla19[[#This Row],[Importe]]-Tabla19[[#This Row],[Pagado]]</f>
        <v>0</v>
      </c>
      <c r="H1948" s="75" t="s">
        <v>10</v>
      </c>
    </row>
    <row r="1949" spans="1:8" x14ac:dyDescent="0.25">
      <c r="A1949" s="148">
        <v>44792</v>
      </c>
      <c r="B1949" s="149" t="s">
        <v>26676</v>
      </c>
      <c r="C1949" s="153" t="s">
        <v>10678</v>
      </c>
      <c r="D1949" s="178">
        <v>1960.4</v>
      </c>
      <c r="E1949" s="155">
        <v>44792</v>
      </c>
      <c r="F1949" s="178">
        <v>1960.4</v>
      </c>
      <c r="G1949" s="179">
        <f>Tabla19[[#This Row],[Importe]]-Tabla19[[#This Row],[Pagado]]</f>
        <v>0</v>
      </c>
      <c r="H1949" s="153" t="s">
        <v>10</v>
      </c>
    </row>
    <row r="1950" spans="1:8" x14ac:dyDescent="0.25">
      <c r="A1950" s="73">
        <v>44792</v>
      </c>
      <c r="B1950" s="74" t="s">
        <v>26677</v>
      </c>
      <c r="C1950" s="75" t="s">
        <v>31</v>
      </c>
      <c r="D1950" s="176">
        <v>52</v>
      </c>
      <c r="E1950" s="151">
        <v>44793</v>
      </c>
      <c r="F1950" s="176">
        <v>52</v>
      </c>
      <c r="G1950" s="177">
        <f>Tabla19[[#This Row],[Importe]]-Tabla19[[#This Row],[Pagado]]</f>
        <v>0</v>
      </c>
      <c r="H1950" s="75" t="s">
        <v>10</v>
      </c>
    </row>
    <row r="1951" spans="1:8" x14ac:dyDescent="0.25">
      <c r="A1951" s="148">
        <v>44792</v>
      </c>
      <c r="B1951" s="149" t="s">
        <v>26678</v>
      </c>
      <c r="C1951" s="153" t="s">
        <v>857</v>
      </c>
      <c r="D1951" s="178">
        <v>828</v>
      </c>
      <c r="E1951" s="155">
        <v>44792</v>
      </c>
      <c r="F1951" s="178">
        <v>828</v>
      </c>
      <c r="G1951" s="179">
        <f>Tabla19[[#This Row],[Importe]]-Tabla19[[#This Row],[Pagado]]</f>
        <v>0</v>
      </c>
      <c r="H1951" s="153" t="s">
        <v>10</v>
      </c>
    </row>
    <row r="1952" spans="1:8" x14ac:dyDescent="0.25">
      <c r="A1952" s="73">
        <v>44792</v>
      </c>
      <c r="B1952" s="74" t="s">
        <v>26679</v>
      </c>
      <c r="C1952" s="75" t="s">
        <v>31</v>
      </c>
      <c r="D1952" s="176">
        <v>345</v>
      </c>
      <c r="E1952" s="151">
        <v>44792</v>
      </c>
      <c r="F1952" s="176">
        <v>345</v>
      </c>
      <c r="G1952" s="177">
        <f>Tabla19[[#This Row],[Importe]]-Tabla19[[#This Row],[Pagado]]</f>
        <v>0</v>
      </c>
      <c r="H1952" s="75" t="s">
        <v>10</v>
      </c>
    </row>
    <row r="1953" spans="1:8" x14ac:dyDescent="0.25">
      <c r="A1953" s="148">
        <v>44792</v>
      </c>
      <c r="B1953" s="149" t="s">
        <v>26680</v>
      </c>
      <c r="C1953" s="153" t="s">
        <v>373</v>
      </c>
      <c r="D1953" s="178">
        <v>70</v>
      </c>
      <c r="E1953" s="155">
        <v>44792</v>
      </c>
      <c r="F1953" s="178">
        <v>70</v>
      </c>
      <c r="G1953" s="179">
        <f>Tabla19[[#This Row],[Importe]]-Tabla19[[#This Row],[Pagado]]</f>
        <v>0</v>
      </c>
      <c r="H1953" s="153" t="s">
        <v>10</v>
      </c>
    </row>
    <row r="1954" spans="1:8" x14ac:dyDescent="0.25">
      <c r="A1954" s="73">
        <v>44792</v>
      </c>
      <c r="B1954" s="74" t="s">
        <v>26681</v>
      </c>
      <c r="C1954" s="75" t="s">
        <v>3747</v>
      </c>
      <c r="D1954" s="176">
        <v>18339</v>
      </c>
      <c r="E1954" s="151">
        <v>44792</v>
      </c>
      <c r="F1954" s="176">
        <v>18339</v>
      </c>
      <c r="G1954" s="177">
        <f>Tabla19[[#This Row],[Importe]]-Tabla19[[#This Row],[Pagado]]</f>
        <v>0</v>
      </c>
      <c r="H1954" s="75" t="s">
        <v>10</v>
      </c>
    </row>
    <row r="1955" spans="1:8" x14ac:dyDescent="0.25">
      <c r="A1955" s="148">
        <v>44792</v>
      </c>
      <c r="B1955" s="149" t="s">
        <v>26682</v>
      </c>
      <c r="C1955" s="153" t="s">
        <v>9827</v>
      </c>
      <c r="D1955" s="178">
        <v>4847.8</v>
      </c>
      <c r="E1955" s="155">
        <v>44792</v>
      </c>
      <c r="F1955" s="178">
        <v>4847.8</v>
      </c>
      <c r="G1955" s="179">
        <f>Tabla19[[#This Row],[Importe]]-Tabla19[[#This Row],[Pagado]]</f>
        <v>0</v>
      </c>
      <c r="H1955" s="153" t="s">
        <v>10</v>
      </c>
    </row>
    <row r="1956" spans="1:8" x14ac:dyDescent="0.25">
      <c r="A1956" s="73">
        <v>44792</v>
      </c>
      <c r="B1956" s="74" t="s">
        <v>26683</v>
      </c>
      <c r="C1956" s="75" t="s">
        <v>56</v>
      </c>
      <c r="D1956" s="176">
        <v>3525.6</v>
      </c>
      <c r="E1956" s="151">
        <v>44792</v>
      </c>
      <c r="F1956" s="176">
        <v>3525.6</v>
      </c>
      <c r="G1956" s="177">
        <f>Tabla19[[#This Row],[Importe]]-Tabla19[[#This Row],[Pagado]]</f>
        <v>0</v>
      </c>
      <c r="H1956" s="75" t="s">
        <v>10</v>
      </c>
    </row>
    <row r="1957" spans="1:8" x14ac:dyDescent="0.25">
      <c r="A1957" s="148">
        <v>44792</v>
      </c>
      <c r="B1957" s="149" t="s">
        <v>26684</v>
      </c>
      <c r="C1957" s="153" t="s">
        <v>224</v>
      </c>
      <c r="D1957" s="178">
        <v>1859.8</v>
      </c>
      <c r="E1957" s="155">
        <v>44792</v>
      </c>
      <c r="F1957" s="178">
        <v>1859.8</v>
      </c>
      <c r="G1957" s="179">
        <f>Tabla19[[#This Row],[Importe]]-Tabla19[[#This Row],[Pagado]]</f>
        <v>0</v>
      </c>
      <c r="H1957" s="153" t="s">
        <v>10</v>
      </c>
    </row>
    <row r="1958" spans="1:8" x14ac:dyDescent="0.25">
      <c r="A1958" s="73">
        <v>44792</v>
      </c>
      <c r="B1958" s="74" t="s">
        <v>26685</v>
      </c>
      <c r="C1958" s="75" t="s">
        <v>470</v>
      </c>
      <c r="D1958" s="176">
        <v>8761.2000000000007</v>
      </c>
      <c r="E1958" s="151">
        <v>44793</v>
      </c>
      <c r="F1958" s="176">
        <v>8761.2000000000007</v>
      </c>
      <c r="G1958" s="177">
        <f>Tabla19[[#This Row],[Importe]]-Tabla19[[#This Row],[Pagado]]</f>
        <v>0</v>
      </c>
      <c r="H1958" s="75" t="s">
        <v>10</v>
      </c>
    </row>
    <row r="1959" spans="1:8" x14ac:dyDescent="0.25">
      <c r="A1959" s="148">
        <v>44792</v>
      </c>
      <c r="B1959" s="149" t="s">
        <v>26686</v>
      </c>
      <c r="C1959" s="153" t="s">
        <v>275</v>
      </c>
      <c r="D1959" s="178">
        <v>210458.71</v>
      </c>
      <c r="E1959" s="155" t="s">
        <v>4813</v>
      </c>
      <c r="F1959" s="178">
        <v>0</v>
      </c>
      <c r="G1959" s="179">
        <f>Tabla19[[#This Row],[Importe]]-Tabla19[[#This Row],[Pagado]]</f>
        <v>210458.71</v>
      </c>
      <c r="H1959" s="153" t="s">
        <v>4814</v>
      </c>
    </row>
    <row r="1960" spans="1:8" x14ac:dyDescent="0.25">
      <c r="A1960" s="73">
        <v>44792</v>
      </c>
      <c r="B1960" s="74" t="s">
        <v>26687</v>
      </c>
      <c r="C1960" s="75" t="s">
        <v>26688</v>
      </c>
      <c r="D1960" s="176">
        <v>0</v>
      </c>
      <c r="E1960" s="157" t="s">
        <v>189</v>
      </c>
      <c r="F1960" s="176">
        <v>0</v>
      </c>
      <c r="G1960" s="177">
        <f>Tabla19[[#This Row],[Importe]]-Tabla19[[#This Row],[Pagado]]</f>
        <v>0</v>
      </c>
      <c r="H1960" s="161" t="s">
        <v>26689</v>
      </c>
    </row>
    <row r="1961" spans="1:8" x14ac:dyDescent="0.25">
      <c r="A1961" s="148">
        <v>44792</v>
      </c>
      <c r="B1961" s="149" t="s">
        <v>26690</v>
      </c>
      <c r="C1961" s="153" t="s">
        <v>4027</v>
      </c>
      <c r="D1961" s="178">
        <v>683</v>
      </c>
      <c r="E1961" s="155">
        <v>44793</v>
      </c>
      <c r="F1961" s="178">
        <v>683</v>
      </c>
      <c r="G1961" s="179">
        <f>Tabla19[[#This Row],[Importe]]-Tabla19[[#This Row],[Pagado]]</f>
        <v>0</v>
      </c>
      <c r="H1961" s="153" t="s">
        <v>10</v>
      </c>
    </row>
    <row r="1962" spans="1:8" x14ac:dyDescent="0.25">
      <c r="A1962" s="73">
        <v>44793</v>
      </c>
      <c r="B1962" s="74" t="s">
        <v>26691</v>
      </c>
      <c r="C1962" s="75" t="s">
        <v>887</v>
      </c>
      <c r="D1962" s="176">
        <v>21801</v>
      </c>
      <c r="E1962" s="151">
        <v>44793</v>
      </c>
      <c r="F1962" s="176">
        <v>21801</v>
      </c>
      <c r="G1962" s="177">
        <f>Tabla19[[#This Row],[Importe]]-Tabla19[[#This Row],[Pagado]]</f>
        <v>0</v>
      </c>
      <c r="H1962" s="75" t="s">
        <v>10</v>
      </c>
    </row>
    <row r="1963" spans="1:8" x14ac:dyDescent="0.25">
      <c r="A1963" s="148">
        <v>44793</v>
      </c>
      <c r="B1963" s="149" t="s">
        <v>26692</v>
      </c>
      <c r="C1963" s="153" t="s">
        <v>475</v>
      </c>
      <c r="D1963" s="178">
        <v>72013.899999999994</v>
      </c>
      <c r="E1963" s="155">
        <v>44795</v>
      </c>
      <c r="F1963" s="178">
        <v>72013.899999999994</v>
      </c>
      <c r="G1963" s="179">
        <f>Tabla19[[#This Row],[Importe]]-Tabla19[[#This Row],[Pagado]]</f>
        <v>0</v>
      </c>
      <c r="H1963" s="153" t="s">
        <v>10</v>
      </c>
    </row>
    <row r="1964" spans="1:8" x14ac:dyDescent="0.25">
      <c r="A1964" s="73">
        <v>44793</v>
      </c>
      <c r="B1964" s="74" t="s">
        <v>26693</v>
      </c>
      <c r="C1964" s="75" t="s">
        <v>12</v>
      </c>
      <c r="D1964" s="176">
        <v>27333.65</v>
      </c>
      <c r="E1964" s="151">
        <v>44793</v>
      </c>
      <c r="F1964" s="176">
        <v>27333.65</v>
      </c>
      <c r="G1964" s="177">
        <f>Tabla19[[#This Row],[Importe]]-Tabla19[[#This Row],[Pagado]]</f>
        <v>0</v>
      </c>
      <c r="H1964" s="75" t="s">
        <v>10</v>
      </c>
    </row>
    <row r="1965" spans="1:8" x14ac:dyDescent="0.25">
      <c r="A1965" s="148">
        <v>44793</v>
      </c>
      <c r="B1965" s="149" t="s">
        <v>26694</v>
      </c>
      <c r="C1965" s="153" t="s">
        <v>60</v>
      </c>
      <c r="D1965" s="178">
        <v>5674.5</v>
      </c>
      <c r="E1965" s="155">
        <v>44800</v>
      </c>
      <c r="F1965" s="178">
        <v>5674.5</v>
      </c>
      <c r="G1965" s="179">
        <f>Tabla19[[#This Row],[Importe]]-Tabla19[[#This Row],[Pagado]]</f>
        <v>0</v>
      </c>
      <c r="H1965" s="153" t="s">
        <v>10</v>
      </c>
    </row>
    <row r="1966" spans="1:8" x14ac:dyDescent="0.25">
      <c r="A1966" s="73">
        <v>44793</v>
      </c>
      <c r="B1966" s="74" t="s">
        <v>26695</v>
      </c>
      <c r="C1966" s="75" t="s">
        <v>2563</v>
      </c>
      <c r="D1966" s="176">
        <v>5109</v>
      </c>
      <c r="E1966" s="151">
        <v>44795</v>
      </c>
      <c r="F1966" s="176">
        <v>5109</v>
      </c>
      <c r="G1966" s="177">
        <f>Tabla19[[#This Row],[Importe]]-Tabla19[[#This Row],[Pagado]]</f>
        <v>0</v>
      </c>
      <c r="H1966" s="75" t="s">
        <v>10</v>
      </c>
    </row>
    <row r="1967" spans="1:8" x14ac:dyDescent="0.25">
      <c r="A1967" s="148">
        <v>44793</v>
      </c>
      <c r="B1967" s="149" t="s">
        <v>26696</v>
      </c>
      <c r="C1967" s="153" t="s">
        <v>5043</v>
      </c>
      <c r="D1967" s="178">
        <v>5083</v>
      </c>
      <c r="E1967" s="155">
        <v>44797</v>
      </c>
      <c r="F1967" s="178">
        <v>5083</v>
      </c>
      <c r="G1967" s="179">
        <f>Tabla19[[#This Row],[Importe]]-Tabla19[[#This Row],[Pagado]]</f>
        <v>0</v>
      </c>
      <c r="H1967" s="153" t="s">
        <v>10</v>
      </c>
    </row>
    <row r="1968" spans="1:8" x14ac:dyDescent="0.25">
      <c r="A1968" s="73">
        <v>44793</v>
      </c>
      <c r="B1968" s="74" t="s">
        <v>26697</v>
      </c>
      <c r="C1968" s="75" t="s">
        <v>109</v>
      </c>
      <c r="D1968" s="176">
        <v>11686.5</v>
      </c>
      <c r="E1968" s="151">
        <v>44795</v>
      </c>
      <c r="F1968" s="176">
        <v>11686.5</v>
      </c>
      <c r="G1968" s="177">
        <f>Tabla19[[#This Row],[Importe]]-Tabla19[[#This Row],[Pagado]]</f>
        <v>0</v>
      </c>
      <c r="H1968" s="75" t="s">
        <v>10</v>
      </c>
    </row>
    <row r="1969" spans="1:8" x14ac:dyDescent="0.25">
      <c r="A1969" s="148">
        <v>44793</v>
      </c>
      <c r="B1969" s="149" t="s">
        <v>26698</v>
      </c>
      <c r="C1969" s="153" t="s">
        <v>64</v>
      </c>
      <c r="D1969" s="178">
        <v>10900.5</v>
      </c>
      <c r="E1969" s="155">
        <v>44795</v>
      </c>
      <c r="F1969" s="178">
        <v>10900.5</v>
      </c>
      <c r="G1969" s="179">
        <f>Tabla19[[#This Row],[Importe]]-Tabla19[[#This Row],[Pagado]]</f>
        <v>0</v>
      </c>
      <c r="H1969" s="153" t="s">
        <v>10</v>
      </c>
    </row>
    <row r="1970" spans="1:8" x14ac:dyDescent="0.25">
      <c r="A1970" s="73">
        <v>44793</v>
      </c>
      <c r="B1970" s="74" t="s">
        <v>26699</v>
      </c>
      <c r="C1970" s="75" t="s">
        <v>93</v>
      </c>
      <c r="D1970" s="176">
        <v>18104.3</v>
      </c>
      <c r="E1970" s="151">
        <v>44796</v>
      </c>
      <c r="F1970" s="176">
        <v>18104.3</v>
      </c>
      <c r="G1970" s="177">
        <f>Tabla19[[#This Row],[Importe]]-Tabla19[[#This Row],[Pagado]]</f>
        <v>0</v>
      </c>
      <c r="H1970" s="75" t="s">
        <v>10</v>
      </c>
    </row>
    <row r="1971" spans="1:8" x14ac:dyDescent="0.25">
      <c r="A1971" s="148">
        <v>44793</v>
      </c>
      <c r="B1971" s="149" t="s">
        <v>26700</v>
      </c>
      <c r="C1971" s="153" t="s">
        <v>89</v>
      </c>
      <c r="D1971" s="178">
        <v>16866.400000000001</v>
      </c>
      <c r="E1971" s="155">
        <v>44795</v>
      </c>
      <c r="F1971" s="178">
        <v>16866.400000000001</v>
      </c>
      <c r="G1971" s="179">
        <f>Tabla19[[#This Row],[Importe]]-Tabla19[[#This Row],[Pagado]]</f>
        <v>0</v>
      </c>
      <c r="H1971" s="153" t="s">
        <v>10</v>
      </c>
    </row>
    <row r="1972" spans="1:8" x14ac:dyDescent="0.25">
      <c r="A1972" s="73">
        <v>44793</v>
      </c>
      <c r="B1972" s="74" t="s">
        <v>26701</v>
      </c>
      <c r="C1972" s="75" t="s">
        <v>326</v>
      </c>
      <c r="D1972" s="176">
        <v>15788.5</v>
      </c>
      <c r="E1972" s="151">
        <v>44795</v>
      </c>
      <c r="F1972" s="176">
        <v>15788.5</v>
      </c>
      <c r="G1972" s="177">
        <f>Tabla19[[#This Row],[Importe]]-Tabla19[[#This Row],[Pagado]]</f>
        <v>0</v>
      </c>
      <c r="H1972" s="75" t="s">
        <v>10</v>
      </c>
    </row>
    <row r="1973" spans="1:8" x14ac:dyDescent="0.25">
      <c r="A1973" s="148">
        <v>44793</v>
      </c>
      <c r="B1973" s="149" t="s">
        <v>26702</v>
      </c>
      <c r="C1973" s="153" t="s">
        <v>9</v>
      </c>
      <c r="D1973" s="178">
        <v>10510.8</v>
      </c>
      <c r="E1973" s="155">
        <v>44793</v>
      </c>
      <c r="F1973" s="178">
        <v>10510.8</v>
      </c>
      <c r="G1973" s="179">
        <f>Tabla19[[#This Row],[Importe]]-Tabla19[[#This Row],[Pagado]]</f>
        <v>0</v>
      </c>
      <c r="H1973" s="153" t="s">
        <v>10</v>
      </c>
    </row>
    <row r="1974" spans="1:8" x14ac:dyDescent="0.25">
      <c r="A1974" s="73">
        <v>44793</v>
      </c>
      <c r="B1974" s="74" t="s">
        <v>26703</v>
      </c>
      <c r="C1974" s="75" t="s">
        <v>345</v>
      </c>
      <c r="D1974" s="176">
        <v>1317</v>
      </c>
      <c r="E1974" s="151">
        <v>44793</v>
      </c>
      <c r="F1974" s="176">
        <v>1317</v>
      </c>
      <c r="G1974" s="177">
        <f>Tabla19[[#This Row],[Importe]]-Tabla19[[#This Row],[Pagado]]</f>
        <v>0</v>
      </c>
      <c r="H1974" s="75" t="s">
        <v>10</v>
      </c>
    </row>
    <row r="1975" spans="1:8" x14ac:dyDescent="0.25">
      <c r="A1975" s="148">
        <v>44793</v>
      </c>
      <c r="B1975" s="149" t="s">
        <v>26704</v>
      </c>
      <c r="C1975" s="153" t="s">
        <v>2151</v>
      </c>
      <c r="D1975" s="178">
        <v>45232.800000000003</v>
      </c>
      <c r="E1975" s="155">
        <v>44793</v>
      </c>
      <c r="F1975" s="178">
        <v>45232.800000000003</v>
      </c>
      <c r="G1975" s="179">
        <f>Tabla19[[#This Row],[Importe]]-Tabla19[[#This Row],[Pagado]]</f>
        <v>0</v>
      </c>
      <c r="H1975" s="153" t="s">
        <v>10</v>
      </c>
    </row>
    <row r="1976" spans="1:8" x14ac:dyDescent="0.25">
      <c r="A1976" s="73">
        <v>44793</v>
      </c>
      <c r="B1976" s="74" t="s">
        <v>26705</v>
      </c>
      <c r="C1976" s="75" t="s">
        <v>22</v>
      </c>
      <c r="D1976" s="176">
        <v>46060.3</v>
      </c>
      <c r="E1976" s="151">
        <v>44794</v>
      </c>
      <c r="F1976" s="176">
        <v>46060.3</v>
      </c>
      <c r="G1976" s="177">
        <f>Tabla19[[#This Row],[Importe]]-Tabla19[[#This Row],[Pagado]]</f>
        <v>0</v>
      </c>
      <c r="H1976" s="75" t="s">
        <v>10</v>
      </c>
    </row>
    <row r="1977" spans="1:8" x14ac:dyDescent="0.25">
      <c r="A1977" s="148">
        <v>44793</v>
      </c>
      <c r="B1977" s="149" t="s">
        <v>26706</v>
      </c>
      <c r="C1977" s="153" t="s">
        <v>1187</v>
      </c>
      <c r="D1977" s="178">
        <v>1097.0999999999999</v>
      </c>
      <c r="E1977" s="155">
        <v>44793</v>
      </c>
      <c r="F1977" s="178">
        <v>1097.0999999999999</v>
      </c>
      <c r="G1977" s="179">
        <f>Tabla19[[#This Row],[Importe]]-Tabla19[[#This Row],[Pagado]]</f>
        <v>0</v>
      </c>
      <c r="H1977" s="153" t="s">
        <v>10</v>
      </c>
    </row>
    <row r="1978" spans="1:8" x14ac:dyDescent="0.25">
      <c r="A1978" s="73">
        <v>44793</v>
      </c>
      <c r="B1978" s="74" t="s">
        <v>26707</v>
      </c>
      <c r="C1978" s="75" t="s">
        <v>114</v>
      </c>
      <c r="D1978" s="176">
        <v>19153.3</v>
      </c>
      <c r="E1978" s="151">
        <v>44795</v>
      </c>
      <c r="F1978" s="176">
        <v>19153.3</v>
      </c>
      <c r="G1978" s="177">
        <f>Tabla19[[#This Row],[Importe]]-Tabla19[[#This Row],[Pagado]]</f>
        <v>0</v>
      </c>
      <c r="H1978" s="75" t="s">
        <v>10</v>
      </c>
    </row>
    <row r="1979" spans="1:8" x14ac:dyDescent="0.25">
      <c r="A1979" s="148">
        <v>44793</v>
      </c>
      <c r="B1979" s="149" t="s">
        <v>26708</v>
      </c>
      <c r="C1979" s="153" t="s">
        <v>105</v>
      </c>
      <c r="D1979" s="178">
        <v>14035</v>
      </c>
      <c r="E1979" s="155">
        <v>44795</v>
      </c>
      <c r="F1979" s="178">
        <v>14035</v>
      </c>
      <c r="G1979" s="179">
        <f>Tabla19[[#This Row],[Importe]]-Tabla19[[#This Row],[Pagado]]</f>
        <v>0</v>
      </c>
      <c r="H1979" s="153" t="s">
        <v>10</v>
      </c>
    </row>
    <row r="1980" spans="1:8" x14ac:dyDescent="0.25">
      <c r="A1980" s="73">
        <v>44793</v>
      </c>
      <c r="B1980" s="74" t="s">
        <v>26709</v>
      </c>
      <c r="C1980" s="75" t="s">
        <v>111</v>
      </c>
      <c r="D1980" s="176">
        <v>11960.4</v>
      </c>
      <c r="E1980" s="151">
        <v>44795</v>
      </c>
      <c r="F1980" s="176">
        <v>11960.4</v>
      </c>
      <c r="G1980" s="177">
        <f>Tabla19[[#This Row],[Importe]]-Tabla19[[#This Row],[Pagado]]</f>
        <v>0</v>
      </c>
      <c r="H1980" s="75" t="s">
        <v>10</v>
      </c>
    </row>
    <row r="1981" spans="1:8" x14ac:dyDescent="0.25">
      <c r="A1981" s="148">
        <v>44793</v>
      </c>
      <c r="B1981" s="149" t="s">
        <v>26710</v>
      </c>
      <c r="C1981" s="153" t="s">
        <v>97</v>
      </c>
      <c r="D1981" s="178">
        <v>18690.5</v>
      </c>
      <c r="E1981" s="155">
        <v>44795</v>
      </c>
      <c r="F1981" s="178">
        <v>18690.5</v>
      </c>
      <c r="G1981" s="179">
        <f>Tabla19[[#This Row],[Importe]]-Tabla19[[#This Row],[Pagado]]</f>
        <v>0</v>
      </c>
      <c r="H1981" s="153" t="s">
        <v>10</v>
      </c>
    </row>
    <row r="1982" spans="1:8" x14ac:dyDescent="0.25">
      <c r="A1982" s="73">
        <v>44793</v>
      </c>
      <c r="B1982" s="74" t="s">
        <v>26711</v>
      </c>
      <c r="C1982" s="75" t="s">
        <v>348</v>
      </c>
      <c r="D1982" s="176">
        <v>14755.2</v>
      </c>
      <c r="E1982" s="151">
        <v>44793</v>
      </c>
      <c r="F1982" s="176">
        <v>14755.2</v>
      </c>
      <c r="G1982" s="177">
        <f>Tabla19[[#This Row],[Importe]]-Tabla19[[#This Row],[Pagado]]</f>
        <v>0</v>
      </c>
      <c r="H1982" s="75" t="s">
        <v>10</v>
      </c>
    </row>
    <row r="1983" spans="1:8" x14ac:dyDescent="0.25">
      <c r="A1983" s="148">
        <v>44793</v>
      </c>
      <c r="B1983" s="149" t="s">
        <v>26712</v>
      </c>
      <c r="C1983" s="153" t="s">
        <v>26713</v>
      </c>
      <c r="D1983" s="178">
        <v>0</v>
      </c>
      <c r="E1983" s="158" t="s">
        <v>189</v>
      </c>
      <c r="F1983" s="178">
        <v>0</v>
      </c>
      <c r="G1983" s="179">
        <f>Tabla19[[#This Row],[Importe]]-Tabla19[[#This Row],[Pagado]]</f>
        <v>0</v>
      </c>
      <c r="H1983" s="159" t="s">
        <v>26714</v>
      </c>
    </row>
    <row r="1984" spans="1:8" ht="31.5" x14ac:dyDescent="0.25">
      <c r="A1984" s="73">
        <v>44793</v>
      </c>
      <c r="B1984" s="74" t="s">
        <v>26715</v>
      </c>
      <c r="C1984" s="75" t="s">
        <v>99</v>
      </c>
      <c r="D1984" s="176">
        <v>17301.900000000001</v>
      </c>
      <c r="E1984" s="147" t="s">
        <v>26716</v>
      </c>
      <c r="F1984" s="176">
        <f>12000+5301.9</f>
        <v>17301.900000000001</v>
      </c>
      <c r="G1984" s="177">
        <f>Tabla19[[#This Row],[Importe]]-Tabla19[[#This Row],[Pagado]]</f>
        <v>0</v>
      </c>
      <c r="H1984" s="75" t="s">
        <v>10</v>
      </c>
    </row>
    <row r="1985" spans="1:8" x14ac:dyDescent="0.25">
      <c r="A1985" s="148">
        <v>44793</v>
      </c>
      <c r="B1985" s="149" t="s">
        <v>26717</v>
      </c>
      <c r="C1985" s="153" t="s">
        <v>924</v>
      </c>
      <c r="D1985" s="178">
        <v>17383.3</v>
      </c>
      <c r="E1985" s="155">
        <v>44793</v>
      </c>
      <c r="F1985" s="178">
        <v>17383.3</v>
      </c>
      <c r="G1985" s="179">
        <f>Tabla19[[#This Row],[Importe]]-Tabla19[[#This Row],[Pagado]]</f>
        <v>0</v>
      </c>
      <c r="H1985" s="153" t="s">
        <v>10</v>
      </c>
    </row>
    <row r="1986" spans="1:8" x14ac:dyDescent="0.25">
      <c r="A1986" s="73">
        <v>44793</v>
      </c>
      <c r="B1986" s="74" t="s">
        <v>26718</v>
      </c>
      <c r="C1986" s="75" t="s">
        <v>127</v>
      </c>
      <c r="D1986" s="176">
        <v>6696</v>
      </c>
      <c r="E1986" s="151">
        <v>44793</v>
      </c>
      <c r="F1986" s="176">
        <v>6696</v>
      </c>
      <c r="G1986" s="177">
        <f>Tabla19[[#This Row],[Importe]]-Tabla19[[#This Row],[Pagado]]</f>
        <v>0</v>
      </c>
      <c r="H1986" s="75" t="s">
        <v>10</v>
      </c>
    </row>
    <row r="1987" spans="1:8" x14ac:dyDescent="0.25">
      <c r="A1987" s="148">
        <v>44793</v>
      </c>
      <c r="B1987" s="149" t="s">
        <v>26719</v>
      </c>
      <c r="C1987" s="153" t="s">
        <v>129</v>
      </c>
      <c r="D1987" s="178">
        <v>6210.4</v>
      </c>
      <c r="E1987" s="155">
        <v>44793</v>
      </c>
      <c r="F1987" s="178">
        <v>6210.4</v>
      </c>
      <c r="G1987" s="179">
        <f>Tabla19[[#This Row],[Importe]]-Tabla19[[#This Row],[Pagado]]</f>
        <v>0</v>
      </c>
      <c r="H1987" s="153" t="s">
        <v>10</v>
      </c>
    </row>
    <row r="1988" spans="1:8" x14ac:dyDescent="0.25">
      <c r="A1988" s="73">
        <v>44793</v>
      </c>
      <c r="B1988" s="74" t="s">
        <v>26720</v>
      </c>
      <c r="C1988" s="75" t="s">
        <v>140</v>
      </c>
      <c r="D1988" s="176">
        <v>1177.0999999999999</v>
      </c>
      <c r="E1988" s="151">
        <v>44793</v>
      </c>
      <c r="F1988" s="176">
        <v>1177.0999999999999</v>
      </c>
      <c r="G1988" s="177">
        <f>Tabla19[[#This Row],[Importe]]-Tabla19[[#This Row],[Pagado]]</f>
        <v>0</v>
      </c>
      <c r="H1988" s="75" t="s">
        <v>10</v>
      </c>
    </row>
    <row r="1989" spans="1:8" x14ac:dyDescent="0.25">
      <c r="A1989" s="148">
        <v>44793</v>
      </c>
      <c r="B1989" s="149" t="s">
        <v>26721</v>
      </c>
      <c r="C1989" s="153" t="s">
        <v>17556</v>
      </c>
      <c r="D1989" s="178">
        <v>7899.1</v>
      </c>
      <c r="E1989" s="155">
        <v>44793</v>
      </c>
      <c r="F1989" s="178">
        <v>7899.1</v>
      </c>
      <c r="G1989" s="179">
        <f>Tabla19[[#This Row],[Importe]]-Tabla19[[#This Row],[Pagado]]</f>
        <v>0</v>
      </c>
      <c r="H1989" s="153" t="s">
        <v>10</v>
      </c>
    </row>
    <row r="1990" spans="1:8" x14ac:dyDescent="0.25">
      <c r="A1990" s="73">
        <v>44793</v>
      </c>
      <c r="B1990" s="74" t="s">
        <v>26722</v>
      </c>
      <c r="C1990" s="75" t="s">
        <v>18</v>
      </c>
      <c r="D1990" s="176">
        <v>584.6</v>
      </c>
      <c r="E1990" s="151">
        <v>44793</v>
      </c>
      <c r="F1990" s="176">
        <v>584.6</v>
      </c>
      <c r="G1990" s="177">
        <f>Tabla19[[#This Row],[Importe]]-Tabla19[[#This Row],[Pagado]]</f>
        <v>0</v>
      </c>
      <c r="H1990" s="75" t="s">
        <v>10</v>
      </c>
    </row>
    <row r="1991" spans="1:8" x14ac:dyDescent="0.25">
      <c r="A1991" s="148">
        <v>44793</v>
      </c>
      <c r="B1991" s="149" t="s">
        <v>26723</v>
      </c>
      <c r="C1991" s="153" t="s">
        <v>127</v>
      </c>
      <c r="D1991" s="178">
        <v>529.29999999999995</v>
      </c>
      <c r="E1991" s="155">
        <v>44793</v>
      </c>
      <c r="F1991" s="178">
        <v>529.29999999999995</v>
      </c>
      <c r="G1991" s="179">
        <f>Tabla19[[#This Row],[Importe]]-Tabla19[[#This Row],[Pagado]]</f>
        <v>0</v>
      </c>
      <c r="H1991" s="153" t="s">
        <v>10</v>
      </c>
    </row>
    <row r="1992" spans="1:8" x14ac:dyDescent="0.25">
      <c r="A1992" s="73">
        <v>44793</v>
      </c>
      <c r="B1992" s="74" t="s">
        <v>26724</v>
      </c>
      <c r="C1992" s="75" t="s">
        <v>79</v>
      </c>
      <c r="D1992" s="176">
        <v>25461.599999999999</v>
      </c>
      <c r="E1992" s="151">
        <v>44793</v>
      </c>
      <c r="F1992" s="176">
        <v>25461.599999999999</v>
      </c>
      <c r="G1992" s="177">
        <f>Tabla19[[#This Row],[Importe]]-Tabla19[[#This Row],[Pagado]]</f>
        <v>0</v>
      </c>
      <c r="H1992" s="75" t="s">
        <v>10</v>
      </c>
    </row>
    <row r="1993" spans="1:8" x14ac:dyDescent="0.25">
      <c r="A1993" s="148">
        <v>44793</v>
      </c>
      <c r="B1993" s="149" t="s">
        <v>26725</v>
      </c>
      <c r="C1993" s="153" t="s">
        <v>87</v>
      </c>
      <c r="D1993" s="178">
        <v>3340.2</v>
      </c>
      <c r="E1993" s="155">
        <v>44793</v>
      </c>
      <c r="F1993" s="178">
        <v>3340.2</v>
      </c>
      <c r="G1993" s="179">
        <f>Tabla19[[#This Row],[Importe]]-Tabla19[[#This Row],[Pagado]]</f>
        <v>0</v>
      </c>
      <c r="H1993" s="153" t="s">
        <v>10</v>
      </c>
    </row>
    <row r="1994" spans="1:8" x14ac:dyDescent="0.25">
      <c r="A1994" s="73">
        <v>44793</v>
      </c>
      <c r="B1994" s="74" t="s">
        <v>26726</v>
      </c>
      <c r="C1994" s="75" t="s">
        <v>79</v>
      </c>
      <c r="D1994" s="176">
        <v>880</v>
      </c>
      <c r="E1994" s="151">
        <v>44793</v>
      </c>
      <c r="F1994" s="176">
        <v>880</v>
      </c>
      <c r="G1994" s="177">
        <f>Tabla19[[#This Row],[Importe]]-Tabla19[[#This Row],[Pagado]]</f>
        <v>0</v>
      </c>
      <c r="H1994" s="75" t="s">
        <v>10</v>
      </c>
    </row>
    <row r="1995" spans="1:8" x14ac:dyDescent="0.25">
      <c r="A1995" s="148">
        <v>44793</v>
      </c>
      <c r="B1995" s="149" t="s">
        <v>26727</v>
      </c>
      <c r="C1995" s="153" t="s">
        <v>146</v>
      </c>
      <c r="D1995" s="178">
        <v>13275.6</v>
      </c>
      <c r="E1995" s="155">
        <v>44793</v>
      </c>
      <c r="F1995" s="178">
        <v>13275.6</v>
      </c>
      <c r="G1995" s="179">
        <f>Tabla19[[#This Row],[Importe]]-Tabla19[[#This Row],[Pagado]]</f>
        <v>0</v>
      </c>
      <c r="H1995" s="153" t="s">
        <v>10</v>
      </c>
    </row>
    <row r="1996" spans="1:8" x14ac:dyDescent="0.25">
      <c r="A1996" s="73">
        <v>44793</v>
      </c>
      <c r="B1996" s="74" t="s">
        <v>26728</v>
      </c>
      <c r="C1996" s="75" t="s">
        <v>161</v>
      </c>
      <c r="D1996" s="176">
        <v>4491.8</v>
      </c>
      <c r="E1996" s="151">
        <v>44793</v>
      </c>
      <c r="F1996" s="176">
        <v>4491.8</v>
      </c>
      <c r="G1996" s="177">
        <f>Tabla19[[#This Row],[Importe]]-Tabla19[[#This Row],[Pagado]]</f>
        <v>0</v>
      </c>
      <c r="H1996" s="75" t="s">
        <v>10</v>
      </c>
    </row>
    <row r="1997" spans="1:8" x14ac:dyDescent="0.25">
      <c r="A1997" s="148">
        <v>44793</v>
      </c>
      <c r="B1997" s="149" t="s">
        <v>26729</v>
      </c>
      <c r="C1997" s="153" t="s">
        <v>314</v>
      </c>
      <c r="D1997" s="178">
        <v>4758</v>
      </c>
      <c r="E1997" s="155">
        <v>44793</v>
      </c>
      <c r="F1997" s="178">
        <v>4758</v>
      </c>
      <c r="G1997" s="179">
        <f>Tabla19[[#This Row],[Importe]]-Tabla19[[#This Row],[Pagado]]</f>
        <v>0</v>
      </c>
      <c r="H1997" s="153" t="s">
        <v>10</v>
      </c>
    </row>
    <row r="1998" spans="1:8" x14ac:dyDescent="0.25">
      <c r="A1998" s="73">
        <v>44793</v>
      </c>
      <c r="B1998" s="74" t="s">
        <v>26730</v>
      </c>
      <c r="C1998" s="75" t="s">
        <v>11033</v>
      </c>
      <c r="D1998" s="176">
        <v>1785.4</v>
      </c>
      <c r="E1998" s="151">
        <v>44793</v>
      </c>
      <c r="F1998" s="176">
        <v>1785.4</v>
      </c>
      <c r="G1998" s="177">
        <f>Tabla19[[#This Row],[Importe]]-Tabla19[[#This Row],[Pagado]]</f>
        <v>0</v>
      </c>
      <c r="H1998" s="75" t="s">
        <v>10</v>
      </c>
    </row>
    <row r="1999" spans="1:8" x14ac:dyDescent="0.25">
      <c r="A1999" s="148">
        <v>44793</v>
      </c>
      <c r="B1999" s="149" t="s">
        <v>26731</v>
      </c>
      <c r="C1999" s="153" t="s">
        <v>75</v>
      </c>
      <c r="D1999" s="178">
        <v>11193</v>
      </c>
      <c r="E1999" s="155">
        <v>44793</v>
      </c>
      <c r="F1999" s="178">
        <v>11193</v>
      </c>
      <c r="G1999" s="179">
        <f>Tabla19[[#This Row],[Importe]]-Tabla19[[#This Row],[Pagado]]</f>
        <v>0</v>
      </c>
      <c r="H1999" s="153" t="s">
        <v>10</v>
      </c>
    </row>
    <row r="2000" spans="1:8" x14ac:dyDescent="0.25">
      <c r="A2000" s="73">
        <v>44793</v>
      </c>
      <c r="B2000" s="74" t="s">
        <v>26732</v>
      </c>
      <c r="C2000" s="75" t="s">
        <v>473</v>
      </c>
      <c r="D2000" s="176">
        <v>8254</v>
      </c>
      <c r="E2000" s="151">
        <v>44793</v>
      </c>
      <c r="F2000" s="176">
        <v>8254</v>
      </c>
      <c r="G2000" s="177">
        <f>Tabla19[[#This Row],[Importe]]-Tabla19[[#This Row],[Pagado]]</f>
        <v>0</v>
      </c>
      <c r="H2000" s="75" t="s">
        <v>10</v>
      </c>
    </row>
    <row r="2001" spans="1:8" x14ac:dyDescent="0.25">
      <c r="A2001" s="148">
        <v>44793</v>
      </c>
      <c r="B2001" s="149" t="s">
        <v>26733</v>
      </c>
      <c r="C2001" s="153" t="s">
        <v>16</v>
      </c>
      <c r="D2001" s="178">
        <v>6489</v>
      </c>
      <c r="E2001" s="155">
        <v>44793</v>
      </c>
      <c r="F2001" s="178">
        <v>6489</v>
      </c>
      <c r="G2001" s="179">
        <f>Tabla19[[#This Row],[Importe]]-Tabla19[[#This Row],[Pagado]]</f>
        <v>0</v>
      </c>
      <c r="H2001" s="153" t="s">
        <v>10</v>
      </c>
    </row>
    <row r="2002" spans="1:8" x14ac:dyDescent="0.25">
      <c r="A2002" s="73">
        <v>44793</v>
      </c>
      <c r="B2002" s="74" t="s">
        <v>26734</v>
      </c>
      <c r="C2002" s="75" t="s">
        <v>56</v>
      </c>
      <c r="D2002" s="176">
        <v>6451.9</v>
      </c>
      <c r="E2002" s="151">
        <v>44793</v>
      </c>
      <c r="F2002" s="176">
        <v>6451.9</v>
      </c>
      <c r="G2002" s="177">
        <f>Tabla19[[#This Row],[Importe]]-Tabla19[[#This Row],[Pagado]]</f>
        <v>0</v>
      </c>
      <c r="H2002" s="75" t="s">
        <v>10</v>
      </c>
    </row>
    <row r="2003" spans="1:8" x14ac:dyDescent="0.25">
      <c r="A2003" s="148">
        <v>44793</v>
      </c>
      <c r="B2003" s="149" t="s">
        <v>26735</v>
      </c>
      <c r="C2003" s="153" t="s">
        <v>29</v>
      </c>
      <c r="D2003" s="178">
        <v>7878</v>
      </c>
      <c r="E2003" s="155">
        <v>44793</v>
      </c>
      <c r="F2003" s="178">
        <v>7878</v>
      </c>
      <c r="G2003" s="179">
        <f>Tabla19[[#This Row],[Importe]]-Tabla19[[#This Row],[Pagado]]</f>
        <v>0</v>
      </c>
      <c r="H2003" s="153" t="s">
        <v>10</v>
      </c>
    </row>
    <row r="2004" spans="1:8" x14ac:dyDescent="0.25">
      <c r="A2004" s="73">
        <v>44793</v>
      </c>
      <c r="B2004" s="74" t="s">
        <v>26736</v>
      </c>
      <c r="C2004" s="75" t="s">
        <v>518</v>
      </c>
      <c r="D2004" s="176">
        <v>3040.7</v>
      </c>
      <c r="E2004" s="151">
        <v>44793</v>
      </c>
      <c r="F2004" s="176">
        <v>3040.7</v>
      </c>
      <c r="G2004" s="177">
        <f>Tabla19[[#This Row],[Importe]]-Tabla19[[#This Row],[Pagado]]</f>
        <v>0</v>
      </c>
      <c r="H2004" s="75" t="s">
        <v>10</v>
      </c>
    </row>
    <row r="2005" spans="1:8" x14ac:dyDescent="0.25">
      <c r="A2005" s="148">
        <v>44793</v>
      </c>
      <c r="B2005" s="149" t="s">
        <v>26737</v>
      </c>
      <c r="C2005" s="153" t="s">
        <v>142</v>
      </c>
      <c r="D2005" s="178">
        <v>95140.96</v>
      </c>
      <c r="E2005" s="155" t="s">
        <v>4813</v>
      </c>
      <c r="F2005" s="178">
        <v>0</v>
      </c>
      <c r="G2005" s="179">
        <f>Tabla19[[#This Row],[Importe]]-Tabla19[[#This Row],[Pagado]]</f>
        <v>95140.96</v>
      </c>
      <c r="H2005" s="153" t="s">
        <v>4814</v>
      </c>
    </row>
    <row r="2006" spans="1:8" x14ac:dyDescent="0.25">
      <c r="A2006" s="73">
        <v>44793</v>
      </c>
      <c r="B2006" s="74" t="s">
        <v>26738</v>
      </c>
      <c r="C2006" s="75" t="s">
        <v>31</v>
      </c>
      <c r="D2006" s="176">
        <v>1169.2</v>
      </c>
      <c r="E2006" s="151">
        <v>44793</v>
      </c>
      <c r="F2006" s="176">
        <v>1169.2</v>
      </c>
      <c r="G2006" s="177">
        <f>Tabla19[[#This Row],[Importe]]-Tabla19[[#This Row],[Pagado]]</f>
        <v>0</v>
      </c>
      <c r="H2006" s="75" t="s">
        <v>10</v>
      </c>
    </row>
    <row r="2007" spans="1:8" x14ac:dyDescent="0.25">
      <c r="A2007" s="148">
        <v>44793</v>
      </c>
      <c r="B2007" s="149" t="s">
        <v>26739</v>
      </c>
      <c r="C2007" s="153" t="s">
        <v>31</v>
      </c>
      <c r="D2007" s="178">
        <v>780</v>
      </c>
      <c r="E2007" s="155">
        <v>44793</v>
      </c>
      <c r="F2007" s="178">
        <v>780</v>
      </c>
      <c r="G2007" s="179">
        <f>Tabla19[[#This Row],[Importe]]-Tabla19[[#This Row],[Pagado]]</f>
        <v>0</v>
      </c>
      <c r="H2007" s="153" t="s">
        <v>10</v>
      </c>
    </row>
    <row r="2008" spans="1:8" x14ac:dyDescent="0.25">
      <c r="A2008" s="73">
        <v>44793</v>
      </c>
      <c r="B2008" s="74" t="s">
        <v>26740</v>
      </c>
      <c r="C2008" s="75" t="s">
        <v>31</v>
      </c>
      <c r="D2008" s="176">
        <v>3096.8</v>
      </c>
      <c r="E2008" s="151">
        <v>44793</v>
      </c>
      <c r="F2008" s="176">
        <v>3096.8</v>
      </c>
      <c r="G2008" s="177">
        <f>Tabla19[[#This Row],[Importe]]-Tabla19[[#This Row],[Pagado]]</f>
        <v>0</v>
      </c>
      <c r="H2008" s="75" t="s">
        <v>10</v>
      </c>
    </row>
    <row r="2009" spans="1:8" x14ac:dyDescent="0.25">
      <c r="A2009" s="148">
        <v>44793</v>
      </c>
      <c r="B2009" s="149" t="s">
        <v>26741</v>
      </c>
      <c r="C2009" s="153" t="s">
        <v>1362</v>
      </c>
      <c r="D2009" s="178">
        <v>12870</v>
      </c>
      <c r="E2009" s="155">
        <v>44793</v>
      </c>
      <c r="F2009" s="178">
        <v>12870</v>
      </c>
      <c r="G2009" s="179">
        <f>Tabla19[[#This Row],[Importe]]-Tabla19[[#This Row],[Pagado]]</f>
        <v>0</v>
      </c>
      <c r="H2009" s="153" t="s">
        <v>10</v>
      </c>
    </row>
    <row r="2010" spans="1:8" x14ac:dyDescent="0.25">
      <c r="A2010" s="73">
        <v>44793</v>
      </c>
      <c r="B2010" s="74" t="s">
        <v>26742</v>
      </c>
      <c r="C2010" s="75" t="s">
        <v>24284</v>
      </c>
      <c r="D2010" s="176">
        <v>1801.8</v>
      </c>
      <c r="E2010" s="151">
        <v>44793</v>
      </c>
      <c r="F2010" s="176">
        <v>1801.8</v>
      </c>
      <c r="G2010" s="177">
        <f>Tabla19[[#This Row],[Importe]]-Tabla19[[#This Row],[Pagado]]</f>
        <v>0</v>
      </c>
      <c r="H2010" s="75" t="s">
        <v>10</v>
      </c>
    </row>
    <row r="2011" spans="1:8" x14ac:dyDescent="0.25">
      <c r="A2011" s="148">
        <v>44793</v>
      </c>
      <c r="B2011" s="149" t="s">
        <v>26743</v>
      </c>
      <c r="C2011" s="153" t="s">
        <v>319</v>
      </c>
      <c r="D2011" s="178">
        <v>8919.18</v>
      </c>
      <c r="E2011" s="155">
        <v>44793</v>
      </c>
      <c r="F2011" s="178">
        <v>8919.18</v>
      </c>
      <c r="G2011" s="179">
        <f>Tabla19[[#This Row],[Importe]]-Tabla19[[#This Row],[Pagado]]</f>
        <v>0</v>
      </c>
      <c r="H2011" s="153" t="s">
        <v>10</v>
      </c>
    </row>
    <row r="2012" spans="1:8" x14ac:dyDescent="0.25">
      <c r="A2012" s="73">
        <v>44793</v>
      </c>
      <c r="B2012" s="74" t="s">
        <v>26744</v>
      </c>
      <c r="C2012" s="75" t="s">
        <v>518</v>
      </c>
      <c r="D2012" s="176">
        <v>1938</v>
      </c>
      <c r="E2012" s="151">
        <v>44793</v>
      </c>
      <c r="F2012" s="176">
        <v>1938</v>
      </c>
      <c r="G2012" s="177">
        <f>Tabla19[[#This Row],[Importe]]-Tabla19[[#This Row],[Pagado]]</f>
        <v>0</v>
      </c>
      <c r="H2012" s="75" t="s">
        <v>10</v>
      </c>
    </row>
    <row r="2013" spans="1:8" x14ac:dyDescent="0.25">
      <c r="A2013" s="148">
        <v>44793</v>
      </c>
      <c r="B2013" s="149" t="s">
        <v>26745</v>
      </c>
      <c r="C2013" s="153" t="s">
        <v>1003</v>
      </c>
      <c r="D2013" s="178">
        <v>6329.6</v>
      </c>
      <c r="E2013" s="155">
        <v>44794</v>
      </c>
      <c r="F2013" s="178">
        <v>6329.6</v>
      </c>
      <c r="G2013" s="179">
        <f>Tabla19[[#This Row],[Importe]]-Tabla19[[#This Row],[Pagado]]</f>
        <v>0</v>
      </c>
      <c r="H2013" s="153" t="s">
        <v>10</v>
      </c>
    </row>
    <row r="2014" spans="1:8" x14ac:dyDescent="0.25">
      <c r="A2014" s="73">
        <v>44793</v>
      </c>
      <c r="B2014" s="74" t="s">
        <v>26746</v>
      </c>
      <c r="C2014" s="75" t="s">
        <v>159</v>
      </c>
      <c r="D2014" s="176">
        <v>3211.2</v>
      </c>
      <c r="E2014" s="151">
        <v>44793</v>
      </c>
      <c r="F2014" s="176">
        <v>3211.2</v>
      </c>
      <c r="G2014" s="177">
        <f>Tabla19[[#This Row],[Importe]]-Tabla19[[#This Row],[Pagado]]</f>
        <v>0</v>
      </c>
      <c r="H2014" s="75" t="s">
        <v>10</v>
      </c>
    </row>
    <row r="2015" spans="1:8" x14ac:dyDescent="0.25">
      <c r="A2015" s="148">
        <v>44793</v>
      </c>
      <c r="B2015" s="149" t="s">
        <v>26747</v>
      </c>
      <c r="C2015" s="153" t="s">
        <v>275</v>
      </c>
      <c r="D2015" s="178">
        <v>31806.400000000001</v>
      </c>
      <c r="E2015" s="155" t="s">
        <v>4813</v>
      </c>
      <c r="F2015" s="178">
        <v>0</v>
      </c>
      <c r="G2015" s="179">
        <f>Tabla19[[#This Row],[Importe]]-Tabla19[[#This Row],[Pagado]]</f>
        <v>31806.400000000001</v>
      </c>
      <c r="H2015" s="153" t="s">
        <v>4814</v>
      </c>
    </row>
    <row r="2016" spans="1:8" x14ac:dyDescent="0.25">
      <c r="A2016" s="73">
        <v>44793</v>
      </c>
      <c r="B2016" s="74" t="s">
        <v>26748</v>
      </c>
      <c r="C2016" s="75" t="s">
        <v>520</v>
      </c>
      <c r="D2016" s="176">
        <v>1930.5</v>
      </c>
      <c r="E2016" s="151">
        <v>44793</v>
      </c>
      <c r="F2016" s="176">
        <v>1930.5</v>
      </c>
      <c r="G2016" s="177">
        <f>Tabla19[[#This Row],[Importe]]-Tabla19[[#This Row],[Pagado]]</f>
        <v>0</v>
      </c>
      <c r="H2016" s="75" t="s">
        <v>10</v>
      </c>
    </row>
    <row r="2017" spans="1:8" x14ac:dyDescent="0.25">
      <c r="A2017" s="148">
        <v>44793</v>
      </c>
      <c r="B2017" s="149" t="s">
        <v>26749</v>
      </c>
      <c r="C2017" s="153" t="s">
        <v>525</v>
      </c>
      <c r="D2017" s="178">
        <v>2767.1</v>
      </c>
      <c r="E2017" s="155">
        <v>44793</v>
      </c>
      <c r="F2017" s="178">
        <v>2767.1</v>
      </c>
      <c r="G2017" s="179">
        <f>Tabla19[[#This Row],[Importe]]-Tabla19[[#This Row],[Pagado]]</f>
        <v>0</v>
      </c>
      <c r="H2017" s="153" t="s">
        <v>10</v>
      </c>
    </row>
    <row r="2018" spans="1:8" x14ac:dyDescent="0.25">
      <c r="A2018" s="73">
        <v>44793</v>
      </c>
      <c r="B2018" s="74" t="s">
        <v>26750</v>
      </c>
      <c r="C2018" s="75" t="s">
        <v>1239</v>
      </c>
      <c r="D2018" s="176">
        <v>13173.6</v>
      </c>
      <c r="E2018" s="151">
        <v>44793</v>
      </c>
      <c r="F2018" s="176">
        <v>13173.6</v>
      </c>
      <c r="G2018" s="177">
        <f>Tabla19[[#This Row],[Importe]]-Tabla19[[#This Row],[Pagado]]</f>
        <v>0</v>
      </c>
      <c r="H2018" s="75" t="s">
        <v>10</v>
      </c>
    </row>
    <row r="2019" spans="1:8" x14ac:dyDescent="0.25">
      <c r="A2019" s="148">
        <v>44793</v>
      </c>
      <c r="B2019" s="149" t="s">
        <v>26751</v>
      </c>
      <c r="C2019" s="153" t="s">
        <v>157</v>
      </c>
      <c r="D2019" s="178">
        <v>5941.6</v>
      </c>
      <c r="E2019" s="155">
        <v>44793</v>
      </c>
      <c r="F2019" s="178">
        <v>5941.6</v>
      </c>
      <c r="G2019" s="179">
        <f>Tabla19[[#This Row],[Importe]]-Tabla19[[#This Row],[Pagado]]</f>
        <v>0</v>
      </c>
      <c r="H2019" s="153" t="s">
        <v>10</v>
      </c>
    </row>
    <row r="2020" spans="1:8" x14ac:dyDescent="0.25">
      <c r="A2020" s="73">
        <v>44793</v>
      </c>
      <c r="B2020" s="74" t="s">
        <v>26752</v>
      </c>
      <c r="C2020" s="75" t="s">
        <v>45</v>
      </c>
      <c r="D2020" s="176">
        <v>13614.1</v>
      </c>
      <c r="E2020" s="151">
        <v>44793</v>
      </c>
      <c r="F2020" s="176">
        <v>13614.1</v>
      </c>
      <c r="G2020" s="177">
        <f>Tabla19[[#This Row],[Importe]]-Tabla19[[#This Row],[Pagado]]</f>
        <v>0</v>
      </c>
      <c r="H2020" s="75" t="s">
        <v>10</v>
      </c>
    </row>
    <row r="2021" spans="1:8" x14ac:dyDescent="0.25">
      <c r="A2021" s="148">
        <v>44793</v>
      </c>
      <c r="B2021" s="149" t="s">
        <v>26753</v>
      </c>
      <c r="C2021" s="153" t="s">
        <v>49</v>
      </c>
      <c r="D2021" s="178">
        <v>7980</v>
      </c>
      <c r="E2021" s="155">
        <v>44793</v>
      </c>
      <c r="F2021" s="178">
        <v>7980</v>
      </c>
      <c r="G2021" s="179">
        <f>Tabla19[[#This Row],[Importe]]-Tabla19[[#This Row],[Pagado]]</f>
        <v>0</v>
      </c>
      <c r="H2021" s="153" t="s">
        <v>10</v>
      </c>
    </row>
    <row r="2022" spans="1:8" x14ac:dyDescent="0.25">
      <c r="A2022" s="73">
        <v>44793</v>
      </c>
      <c r="B2022" s="74" t="s">
        <v>26754</v>
      </c>
      <c r="C2022" s="75" t="s">
        <v>966</v>
      </c>
      <c r="D2022" s="176">
        <v>3265.4</v>
      </c>
      <c r="E2022" s="151">
        <v>44793</v>
      </c>
      <c r="F2022" s="176">
        <v>3265.4</v>
      </c>
      <c r="G2022" s="177">
        <f>Tabla19[[#This Row],[Importe]]-Tabla19[[#This Row],[Pagado]]</f>
        <v>0</v>
      </c>
      <c r="H2022" s="75" t="s">
        <v>10</v>
      </c>
    </row>
    <row r="2023" spans="1:8" x14ac:dyDescent="0.25">
      <c r="A2023" s="148">
        <v>44793</v>
      </c>
      <c r="B2023" s="149" t="s">
        <v>26755</v>
      </c>
      <c r="C2023" s="153" t="s">
        <v>24</v>
      </c>
      <c r="D2023" s="178">
        <v>1043.8</v>
      </c>
      <c r="E2023" s="155">
        <v>44793</v>
      </c>
      <c r="F2023" s="178">
        <v>1043.8</v>
      </c>
      <c r="G2023" s="179">
        <f>Tabla19[[#This Row],[Importe]]-Tabla19[[#This Row],[Pagado]]</f>
        <v>0</v>
      </c>
      <c r="H2023" s="153" t="s">
        <v>10</v>
      </c>
    </row>
    <row r="2024" spans="1:8" x14ac:dyDescent="0.25">
      <c r="A2024" s="73">
        <v>44793</v>
      </c>
      <c r="B2024" s="74" t="s">
        <v>26756</v>
      </c>
      <c r="C2024" s="75" t="s">
        <v>26757</v>
      </c>
      <c r="D2024" s="176">
        <v>0</v>
      </c>
      <c r="E2024" s="157" t="s">
        <v>189</v>
      </c>
      <c r="F2024" s="176">
        <v>0</v>
      </c>
      <c r="G2024" s="177">
        <f>Tabla19[[#This Row],[Importe]]-Tabla19[[#This Row],[Pagado]]</f>
        <v>0</v>
      </c>
      <c r="H2024" s="161" t="s">
        <v>26758</v>
      </c>
    </row>
    <row r="2025" spans="1:8" x14ac:dyDescent="0.25">
      <c r="A2025" s="148">
        <v>44793</v>
      </c>
      <c r="B2025" s="149" t="s">
        <v>26759</v>
      </c>
      <c r="C2025" s="153" t="s">
        <v>520</v>
      </c>
      <c r="D2025" s="178">
        <v>4964.8</v>
      </c>
      <c r="E2025" s="155">
        <v>44793</v>
      </c>
      <c r="F2025" s="178">
        <v>4964.8</v>
      </c>
      <c r="G2025" s="179">
        <f>Tabla19[[#This Row],[Importe]]-Tabla19[[#This Row],[Pagado]]</f>
        <v>0</v>
      </c>
      <c r="H2025" s="153" t="s">
        <v>10</v>
      </c>
    </row>
    <row r="2026" spans="1:8" x14ac:dyDescent="0.25">
      <c r="A2026" s="73">
        <v>44793</v>
      </c>
      <c r="B2026" s="74" t="s">
        <v>26760</v>
      </c>
      <c r="C2026" s="75" t="s">
        <v>289</v>
      </c>
      <c r="D2026" s="176">
        <v>16057.9</v>
      </c>
      <c r="E2026" s="151">
        <v>44793</v>
      </c>
      <c r="F2026" s="176">
        <v>16057.9</v>
      </c>
      <c r="G2026" s="177">
        <f>Tabla19[[#This Row],[Importe]]-Tabla19[[#This Row],[Pagado]]</f>
        <v>0</v>
      </c>
      <c r="H2026" s="75" t="s">
        <v>10</v>
      </c>
    </row>
    <row r="2027" spans="1:8" x14ac:dyDescent="0.25">
      <c r="A2027" s="148">
        <v>44793</v>
      </c>
      <c r="B2027" s="149" t="s">
        <v>26761</v>
      </c>
      <c r="C2027" s="153" t="s">
        <v>31</v>
      </c>
      <c r="D2027" s="178">
        <v>2795</v>
      </c>
      <c r="E2027" s="155">
        <v>44793</v>
      </c>
      <c r="F2027" s="178">
        <v>2795</v>
      </c>
      <c r="G2027" s="179">
        <f>Tabla19[[#This Row],[Importe]]-Tabla19[[#This Row],[Pagado]]</f>
        <v>0</v>
      </c>
      <c r="H2027" s="153" t="s">
        <v>10</v>
      </c>
    </row>
    <row r="2028" spans="1:8" x14ac:dyDescent="0.25">
      <c r="A2028" s="73">
        <v>44793</v>
      </c>
      <c r="B2028" s="74" t="s">
        <v>26762</v>
      </c>
      <c r="C2028" s="75" t="s">
        <v>414</v>
      </c>
      <c r="D2028" s="176">
        <v>31200.400000000001</v>
      </c>
      <c r="E2028" s="151" t="s">
        <v>26221</v>
      </c>
      <c r="F2028" s="176">
        <v>31200.400000000001</v>
      </c>
      <c r="G2028" s="177">
        <f>Tabla19[[#This Row],[Importe]]-Tabla19[[#This Row],[Pagado]]</f>
        <v>0</v>
      </c>
      <c r="H2028" s="75" t="s">
        <v>10</v>
      </c>
    </row>
    <row r="2029" spans="1:8" x14ac:dyDescent="0.25">
      <c r="A2029" s="148">
        <v>44793</v>
      </c>
      <c r="B2029" s="149" t="s">
        <v>26763</v>
      </c>
      <c r="C2029" s="153" t="s">
        <v>9827</v>
      </c>
      <c r="D2029" s="178">
        <v>6092.4</v>
      </c>
      <c r="E2029" s="155">
        <v>44793</v>
      </c>
      <c r="F2029" s="178">
        <v>6092.4</v>
      </c>
      <c r="G2029" s="179">
        <f>Tabla19[[#This Row],[Importe]]-Tabla19[[#This Row],[Pagado]]</f>
        <v>0</v>
      </c>
      <c r="H2029" s="153" t="s">
        <v>10</v>
      </c>
    </row>
    <row r="2030" spans="1:8" x14ac:dyDescent="0.25">
      <c r="A2030" s="73">
        <v>44793</v>
      </c>
      <c r="B2030" s="74" t="s">
        <v>26764</v>
      </c>
      <c r="C2030" s="75" t="s">
        <v>191</v>
      </c>
      <c r="D2030" s="176">
        <v>2117.1999999999998</v>
      </c>
      <c r="E2030" s="151">
        <v>44793</v>
      </c>
      <c r="F2030" s="176">
        <v>2117.1999999999998</v>
      </c>
      <c r="G2030" s="177">
        <f>Tabla19[[#This Row],[Importe]]-Tabla19[[#This Row],[Pagado]]</f>
        <v>0</v>
      </c>
      <c r="H2030" s="75" t="s">
        <v>10</v>
      </c>
    </row>
    <row r="2031" spans="1:8" x14ac:dyDescent="0.25">
      <c r="A2031" s="148">
        <v>44793</v>
      </c>
      <c r="B2031" s="149" t="s">
        <v>26765</v>
      </c>
      <c r="C2031" s="153" t="s">
        <v>4136</v>
      </c>
      <c r="D2031" s="178">
        <v>2447.8000000000002</v>
      </c>
      <c r="E2031" s="155">
        <v>44793</v>
      </c>
      <c r="F2031" s="178">
        <v>2447.8000000000002</v>
      </c>
      <c r="G2031" s="179">
        <f>Tabla19[[#This Row],[Importe]]-Tabla19[[#This Row],[Pagado]]</f>
        <v>0</v>
      </c>
      <c r="H2031" s="153" t="s">
        <v>10</v>
      </c>
    </row>
    <row r="2032" spans="1:8" x14ac:dyDescent="0.25">
      <c r="A2032" s="73">
        <v>44793</v>
      </c>
      <c r="B2032" s="74" t="s">
        <v>26766</v>
      </c>
      <c r="C2032" s="75" t="s">
        <v>698</v>
      </c>
      <c r="D2032" s="176">
        <v>7560.6</v>
      </c>
      <c r="E2032" s="151">
        <v>44793</v>
      </c>
      <c r="F2032" s="176">
        <v>7560.6</v>
      </c>
      <c r="G2032" s="177">
        <f>Tabla19[[#This Row],[Importe]]-Tabla19[[#This Row],[Pagado]]</f>
        <v>0</v>
      </c>
      <c r="H2032" s="75" t="s">
        <v>10</v>
      </c>
    </row>
    <row r="2033" spans="1:8" x14ac:dyDescent="0.25">
      <c r="A2033" s="148">
        <v>44793</v>
      </c>
      <c r="B2033" s="149" t="s">
        <v>26767</v>
      </c>
      <c r="C2033" s="153" t="s">
        <v>233</v>
      </c>
      <c r="D2033" s="178">
        <v>4719</v>
      </c>
      <c r="E2033" s="155">
        <v>44793</v>
      </c>
      <c r="F2033" s="178">
        <v>4719</v>
      </c>
      <c r="G2033" s="179">
        <f>Tabla19[[#This Row],[Importe]]-Tabla19[[#This Row],[Pagado]]</f>
        <v>0</v>
      </c>
      <c r="H2033" s="153" t="s">
        <v>10</v>
      </c>
    </row>
    <row r="2034" spans="1:8" x14ac:dyDescent="0.25">
      <c r="A2034" s="73">
        <v>44793</v>
      </c>
      <c r="B2034" s="74" t="s">
        <v>26768</v>
      </c>
      <c r="C2034" s="75" t="s">
        <v>179</v>
      </c>
      <c r="D2034" s="176">
        <v>1700.4</v>
      </c>
      <c r="E2034" s="151">
        <v>44793</v>
      </c>
      <c r="F2034" s="176">
        <v>1700.4</v>
      </c>
      <c r="G2034" s="177">
        <f>Tabla19[[#This Row],[Importe]]-Tabla19[[#This Row],[Pagado]]</f>
        <v>0</v>
      </c>
      <c r="H2034" s="75" t="s">
        <v>10</v>
      </c>
    </row>
    <row r="2035" spans="1:8" x14ac:dyDescent="0.25">
      <c r="A2035" s="148">
        <v>44793</v>
      </c>
      <c r="B2035" s="149" t="s">
        <v>26769</v>
      </c>
      <c r="C2035" s="153" t="s">
        <v>5694</v>
      </c>
      <c r="D2035" s="178">
        <v>3681.6</v>
      </c>
      <c r="E2035" s="155">
        <v>44793</v>
      </c>
      <c r="F2035" s="178">
        <v>3681.6</v>
      </c>
      <c r="G2035" s="179">
        <f>Tabla19[[#This Row],[Importe]]-Tabla19[[#This Row],[Pagado]]</f>
        <v>0</v>
      </c>
      <c r="H2035" s="153" t="s">
        <v>10</v>
      </c>
    </row>
    <row r="2036" spans="1:8" x14ac:dyDescent="0.25">
      <c r="A2036" s="73">
        <v>44793</v>
      </c>
      <c r="B2036" s="74" t="s">
        <v>26770</v>
      </c>
      <c r="C2036" s="75" t="s">
        <v>1174</v>
      </c>
      <c r="D2036" s="176">
        <v>19235.599999999999</v>
      </c>
      <c r="E2036" s="151">
        <v>44793</v>
      </c>
      <c r="F2036" s="176">
        <v>19235.599999999999</v>
      </c>
      <c r="G2036" s="177">
        <f>Tabla19[[#This Row],[Importe]]-Tabla19[[#This Row],[Pagado]]</f>
        <v>0</v>
      </c>
      <c r="H2036" s="75" t="s">
        <v>10</v>
      </c>
    </row>
    <row r="2037" spans="1:8" x14ac:dyDescent="0.25">
      <c r="A2037" s="148">
        <v>44793</v>
      </c>
      <c r="B2037" s="149" t="s">
        <v>26771</v>
      </c>
      <c r="C2037" s="153" t="s">
        <v>275</v>
      </c>
      <c r="D2037" s="178">
        <v>975</v>
      </c>
      <c r="E2037" s="155" t="s">
        <v>4813</v>
      </c>
      <c r="F2037" s="178">
        <v>0</v>
      </c>
      <c r="G2037" s="179">
        <f>Tabla19[[#This Row],[Importe]]-Tabla19[[#This Row],[Pagado]]</f>
        <v>975</v>
      </c>
      <c r="H2037" s="153" t="s">
        <v>4814</v>
      </c>
    </row>
    <row r="2038" spans="1:8" x14ac:dyDescent="0.25">
      <c r="A2038" s="73">
        <v>44793</v>
      </c>
      <c r="B2038" s="74" t="s">
        <v>26772</v>
      </c>
      <c r="C2038" s="75" t="s">
        <v>419</v>
      </c>
      <c r="D2038" s="176">
        <v>9952.7999999999993</v>
      </c>
      <c r="E2038" s="151">
        <v>44793</v>
      </c>
      <c r="F2038" s="176">
        <v>9952.7999999999993</v>
      </c>
      <c r="G2038" s="177">
        <f>Tabla19[[#This Row],[Importe]]-Tabla19[[#This Row],[Pagado]]</f>
        <v>0</v>
      </c>
      <c r="H2038" s="75" t="s">
        <v>10</v>
      </c>
    </row>
    <row r="2039" spans="1:8" x14ac:dyDescent="0.25">
      <c r="A2039" s="148">
        <v>44793</v>
      </c>
      <c r="B2039" s="149" t="s">
        <v>26773</v>
      </c>
      <c r="C2039" s="153" t="s">
        <v>409</v>
      </c>
      <c r="D2039" s="178">
        <v>9354</v>
      </c>
      <c r="E2039" s="155">
        <v>44796</v>
      </c>
      <c r="F2039" s="178">
        <v>9354</v>
      </c>
      <c r="G2039" s="179">
        <f>Tabla19[[#This Row],[Importe]]-Tabla19[[#This Row],[Pagado]]</f>
        <v>0</v>
      </c>
      <c r="H2039" s="153" t="s">
        <v>10</v>
      </c>
    </row>
    <row r="2040" spans="1:8" x14ac:dyDescent="0.25">
      <c r="A2040" s="73">
        <v>44793</v>
      </c>
      <c r="B2040" s="74" t="s">
        <v>26774</v>
      </c>
      <c r="C2040" s="75" t="s">
        <v>226</v>
      </c>
      <c r="D2040" s="176">
        <v>19254.8</v>
      </c>
      <c r="E2040" s="151">
        <v>44793</v>
      </c>
      <c r="F2040" s="176">
        <v>19254.8</v>
      </c>
      <c r="G2040" s="177">
        <f>Tabla19[[#This Row],[Importe]]-Tabla19[[#This Row],[Pagado]]</f>
        <v>0</v>
      </c>
      <c r="H2040" s="75" t="s">
        <v>10</v>
      </c>
    </row>
    <row r="2041" spans="1:8" x14ac:dyDescent="0.25">
      <c r="A2041" s="148">
        <v>44793</v>
      </c>
      <c r="B2041" s="149" t="s">
        <v>26775</v>
      </c>
      <c r="C2041" s="153" t="s">
        <v>26776</v>
      </c>
      <c r="D2041" s="178">
        <v>0</v>
      </c>
      <c r="E2041" s="158" t="s">
        <v>189</v>
      </c>
      <c r="F2041" s="178">
        <v>0</v>
      </c>
      <c r="G2041" s="179">
        <f>Tabla19[[#This Row],[Importe]]-Tabla19[[#This Row],[Pagado]]</f>
        <v>0</v>
      </c>
      <c r="H2041" s="159" t="s">
        <v>26777</v>
      </c>
    </row>
    <row r="2042" spans="1:8" x14ac:dyDescent="0.25">
      <c r="A2042" s="73">
        <v>44793</v>
      </c>
      <c r="B2042" s="74" t="s">
        <v>26778</v>
      </c>
      <c r="C2042" s="75" t="s">
        <v>97</v>
      </c>
      <c r="D2042" s="176">
        <v>3914.8</v>
      </c>
      <c r="E2042" s="151">
        <v>44793</v>
      </c>
      <c r="F2042" s="176">
        <v>3914.8</v>
      </c>
      <c r="G2042" s="177">
        <f>Tabla19[[#This Row],[Importe]]-Tabla19[[#This Row],[Pagado]]</f>
        <v>0</v>
      </c>
      <c r="H2042" s="75" t="s">
        <v>10</v>
      </c>
    </row>
    <row r="2043" spans="1:8" x14ac:dyDescent="0.25">
      <c r="A2043" s="148">
        <v>44793</v>
      </c>
      <c r="B2043" s="149" t="s">
        <v>26779</v>
      </c>
      <c r="C2043" s="153" t="s">
        <v>16</v>
      </c>
      <c r="D2043" s="178">
        <v>708</v>
      </c>
      <c r="E2043" s="155">
        <v>44793</v>
      </c>
      <c r="F2043" s="178">
        <v>708</v>
      </c>
      <c r="G2043" s="179">
        <f>Tabla19[[#This Row],[Importe]]-Tabla19[[#This Row],[Pagado]]</f>
        <v>0</v>
      </c>
      <c r="H2043" s="153" t="s">
        <v>10</v>
      </c>
    </row>
    <row r="2044" spans="1:8" x14ac:dyDescent="0.25">
      <c r="A2044" s="73">
        <v>44793</v>
      </c>
      <c r="B2044" s="74" t="s">
        <v>26780</v>
      </c>
      <c r="C2044" s="75" t="s">
        <v>407</v>
      </c>
      <c r="D2044" s="176">
        <v>23269.4</v>
      </c>
      <c r="E2044" s="151" t="s">
        <v>25549</v>
      </c>
      <c r="F2044" s="176">
        <v>23269.4</v>
      </c>
      <c r="G2044" s="177">
        <f>Tabla19[[#This Row],[Importe]]-Tabla19[[#This Row],[Pagado]]</f>
        <v>0</v>
      </c>
      <c r="H2044" s="75" t="s">
        <v>10</v>
      </c>
    </row>
    <row r="2045" spans="1:8" x14ac:dyDescent="0.25">
      <c r="A2045" s="148">
        <v>44793</v>
      </c>
      <c r="B2045" s="149" t="s">
        <v>26781</v>
      </c>
      <c r="C2045" s="153" t="s">
        <v>670</v>
      </c>
      <c r="D2045" s="178">
        <v>4395.6000000000004</v>
      </c>
      <c r="E2045" s="155">
        <v>44793</v>
      </c>
      <c r="F2045" s="178">
        <v>4395.6000000000004</v>
      </c>
      <c r="G2045" s="179">
        <f>Tabla19[[#This Row],[Importe]]-Tabla19[[#This Row],[Pagado]]</f>
        <v>0</v>
      </c>
      <c r="H2045" s="153" t="s">
        <v>10</v>
      </c>
    </row>
    <row r="2046" spans="1:8" x14ac:dyDescent="0.25">
      <c r="A2046" s="73">
        <v>44793</v>
      </c>
      <c r="B2046" s="74" t="s">
        <v>26782</v>
      </c>
      <c r="C2046" s="75" t="s">
        <v>244</v>
      </c>
      <c r="D2046" s="176">
        <v>1154.4000000000001</v>
      </c>
      <c r="E2046" s="151">
        <v>44793</v>
      </c>
      <c r="F2046" s="176">
        <v>1154.4000000000001</v>
      </c>
      <c r="G2046" s="177">
        <f>Tabla19[[#This Row],[Importe]]-Tabla19[[#This Row],[Pagado]]</f>
        <v>0</v>
      </c>
      <c r="H2046" s="75" t="s">
        <v>10</v>
      </c>
    </row>
    <row r="2047" spans="1:8" x14ac:dyDescent="0.25">
      <c r="A2047" s="148">
        <v>44793</v>
      </c>
      <c r="B2047" s="149" t="s">
        <v>26783</v>
      </c>
      <c r="C2047" s="153" t="s">
        <v>107</v>
      </c>
      <c r="D2047" s="178">
        <v>35139.300000000003</v>
      </c>
      <c r="E2047" s="155">
        <v>44794</v>
      </c>
      <c r="F2047" s="178">
        <v>35139.300000000003</v>
      </c>
      <c r="G2047" s="179">
        <f>Tabla19[[#This Row],[Importe]]-Tabla19[[#This Row],[Pagado]]</f>
        <v>0</v>
      </c>
      <c r="H2047" s="153" t="s">
        <v>10</v>
      </c>
    </row>
    <row r="2048" spans="1:8" x14ac:dyDescent="0.25">
      <c r="A2048" s="73">
        <v>44793</v>
      </c>
      <c r="B2048" s="74" t="s">
        <v>26784</v>
      </c>
      <c r="C2048" s="75" t="s">
        <v>31</v>
      </c>
      <c r="D2048" s="176">
        <v>3379.2</v>
      </c>
      <c r="E2048" s="151">
        <v>44794</v>
      </c>
      <c r="F2048" s="176">
        <v>3379.2</v>
      </c>
      <c r="G2048" s="177">
        <f>Tabla19[[#This Row],[Importe]]-Tabla19[[#This Row],[Pagado]]</f>
        <v>0</v>
      </c>
      <c r="H2048" s="75" t="s">
        <v>10</v>
      </c>
    </row>
    <row r="2049" spans="1:8" x14ac:dyDescent="0.25">
      <c r="A2049" s="148">
        <v>44793</v>
      </c>
      <c r="B2049" s="149" t="s">
        <v>26785</v>
      </c>
      <c r="C2049" s="153" t="s">
        <v>67</v>
      </c>
      <c r="D2049" s="178">
        <v>2653.4</v>
      </c>
      <c r="E2049" s="155">
        <v>44793</v>
      </c>
      <c r="F2049" s="178">
        <v>2653.4</v>
      </c>
      <c r="G2049" s="179">
        <f>Tabla19[[#This Row],[Importe]]-Tabla19[[#This Row],[Pagado]]</f>
        <v>0</v>
      </c>
      <c r="H2049" s="153" t="s">
        <v>10</v>
      </c>
    </row>
    <row r="2050" spans="1:8" x14ac:dyDescent="0.25">
      <c r="A2050" s="73">
        <v>44793</v>
      </c>
      <c r="B2050" s="74" t="s">
        <v>26786</v>
      </c>
      <c r="C2050" s="75" t="s">
        <v>67</v>
      </c>
      <c r="D2050" s="176">
        <v>247.5</v>
      </c>
      <c r="E2050" s="151">
        <v>44793</v>
      </c>
      <c r="F2050" s="176">
        <v>247.5</v>
      </c>
      <c r="G2050" s="177">
        <f>Tabla19[[#This Row],[Importe]]-Tabla19[[#This Row],[Pagado]]</f>
        <v>0</v>
      </c>
      <c r="H2050" s="75" t="s">
        <v>10</v>
      </c>
    </row>
    <row r="2051" spans="1:8" x14ac:dyDescent="0.25">
      <c r="A2051" s="148">
        <v>44793</v>
      </c>
      <c r="B2051" s="149" t="s">
        <v>26787</v>
      </c>
      <c r="C2051" s="153" t="s">
        <v>31</v>
      </c>
      <c r="D2051" s="178">
        <v>1240</v>
      </c>
      <c r="E2051" s="155">
        <v>44793</v>
      </c>
      <c r="F2051" s="178">
        <v>1240</v>
      </c>
      <c r="G2051" s="179">
        <f>Tabla19[[#This Row],[Importe]]-Tabla19[[#This Row],[Pagado]]</f>
        <v>0</v>
      </c>
      <c r="H2051" s="153" t="s">
        <v>10</v>
      </c>
    </row>
    <row r="2052" spans="1:8" x14ac:dyDescent="0.25">
      <c r="A2052" s="73">
        <v>44793</v>
      </c>
      <c r="B2052" s="74" t="s">
        <v>26788</v>
      </c>
      <c r="C2052" s="75" t="s">
        <v>214</v>
      </c>
      <c r="D2052" s="176">
        <v>1310.4000000000001</v>
      </c>
      <c r="E2052" s="151">
        <v>44793</v>
      </c>
      <c r="F2052" s="176">
        <v>1310.4000000000001</v>
      </c>
      <c r="G2052" s="177">
        <f>Tabla19[[#This Row],[Importe]]-Tabla19[[#This Row],[Pagado]]</f>
        <v>0</v>
      </c>
      <c r="H2052" s="75" t="s">
        <v>10</v>
      </c>
    </row>
    <row r="2053" spans="1:8" x14ac:dyDescent="0.25">
      <c r="A2053" s="148">
        <v>44793</v>
      </c>
      <c r="B2053" s="149" t="s">
        <v>26789</v>
      </c>
      <c r="C2053" s="153" t="s">
        <v>994</v>
      </c>
      <c r="D2053" s="178">
        <v>1239.7</v>
      </c>
      <c r="E2053" s="155">
        <v>44793</v>
      </c>
      <c r="F2053" s="178">
        <v>1239.7</v>
      </c>
      <c r="G2053" s="179">
        <f>Tabla19[[#This Row],[Importe]]-Tabla19[[#This Row],[Pagado]]</f>
        <v>0</v>
      </c>
      <c r="H2053" s="153" t="s">
        <v>10</v>
      </c>
    </row>
    <row r="2054" spans="1:8" x14ac:dyDescent="0.25">
      <c r="A2054" s="73">
        <v>44793</v>
      </c>
      <c r="B2054" s="74" t="s">
        <v>26790</v>
      </c>
      <c r="C2054" s="75" t="s">
        <v>69</v>
      </c>
      <c r="D2054" s="176">
        <v>1560</v>
      </c>
      <c r="E2054" s="151">
        <v>44793</v>
      </c>
      <c r="F2054" s="176">
        <v>1560</v>
      </c>
      <c r="G2054" s="177">
        <f>Tabla19[[#This Row],[Importe]]-Tabla19[[#This Row],[Pagado]]</f>
        <v>0</v>
      </c>
      <c r="H2054" s="75" t="s">
        <v>10</v>
      </c>
    </row>
    <row r="2055" spans="1:8" x14ac:dyDescent="0.25">
      <c r="A2055" s="148">
        <v>44793</v>
      </c>
      <c r="B2055" s="149" t="s">
        <v>26791</v>
      </c>
      <c r="C2055" s="153" t="s">
        <v>69</v>
      </c>
      <c r="D2055" s="178">
        <v>780</v>
      </c>
      <c r="E2055" s="155">
        <v>44793</v>
      </c>
      <c r="F2055" s="178">
        <v>780</v>
      </c>
      <c r="G2055" s="179">
        <f>Tabla19[[#This Row],[Importe]]-Tabla19[[#This Row],[Pagado]]</f>
        <v>0</v>
      </c>
      <c r="H2055" s="153" t="s">
        <v>10</v>
      </c>
    </row>
    <row r="2056" spans="1:8" x14ac:dyDescent="0.25">
      <c r="A2056" s="73">
        <v>44793</v>
      </c>
      <c r="B2056" s="74" t="s">
        <v>26792</v>
      </c>
      <c r="C2056" s="75" t="s">
        <v>9</v>
      </c>
      <c r="D2056" s="176">
        <v>1017.3</v>
      </c>
      <c r="E2056" s="151">
        <v>44793</v>
      </c>
      <c r="F2056" s="176">
        <v>1017.3</v>
      </c>
      <c r="G2056" s="177">
        <f>Tabla19[[#This Row],[Importe]]-Tabla19[[#This Row],[Pagado]]</f>
        <v>0</v>
      </c>
      <c r="H2056" s="75" t="s">
        <v>10</v>
      </c>
    </row>
    <row r="2057" spans="1:8" x14ac:dyDescent="0.25">
      <c r="A2057" s="148">
        <v>44793</v>
      </c>
      <c r="B2057" s="149" t="s">
        <v>26793</v>
      </c>
      <c r="C2057" s="153" t="s">
        <v>284</v>
      </c>
      <c r="D2057" s="178">
        <v>14492.4</v>
      </c>
      <c r="E2057" s="155">
        <v>44795</v>
      </c>
      <c r="F2057" s="178">
        <v>14492.4</v>
      </c>
      <c r="G2057" s="179">
        <f>Tabla19[[#This Row],[Importe]]-Tabla19[[#This Row],[Pagado]]</f>
        <v>0</v>
      </c>
      <c r="H2057" s="153" t="s">
        <v>10</v>
      </c>
    </row>
    <row r="2058" spans="1:8" x14ac:dyDescent="0.25">
      <c r="A2058" s="73">
        <v>44793</v>
      </c>
      <c r="B2058" s="74" t="s">
        <v>26794</v>
      </c>
      <c r="C2058" s="75" t="s">
        <v>26795</v>
      </c>
      <c r="D2058" s="176">
        <v>0</v>
      </c>
      <c r="E2058" s="157" t="s">
        <v>189</v>
      </c>
      <c r="F2058" s="176">
        <v>0</v>
      </c>
      <c r="G2058" s="177">
        <f>Tabla19[[#This Row],[Importe]]-Tabla19[[#This Row],[Pagado]]</f>
        <v>0</v>
      </c>
      <c r="H2058" s="161" t="s">
        <v>26796</v>
      </c>
    </row>
    <row r="2059" spans="1:8" x14ac:dyDescent="0.25">
      <c r="A2059" s="148">
        <v>44793</v>
      </c>
      <c r="B2059" s="149" t="s">
        <v>26797</v>
      </c>
      <c r="C2059" s="153" t="s">
        <v>53</v>
      </c>
      <c r="D2059" s="178">
        <v>600.4</v>
      </c>
      <c r="E2059" s="155">
        <v>44793</v>
      </c>
      <c r="F2059" s="178">
        <v>600.4</v>
      </c>
      <c r="G2059" s="179">
        <f>Tabla19[[#This Row],[Importe]]-Tabla19[[#This Row],[Pagado]]</f>
        <v>0</v>
      </c>
      <c r="H2059" s="153" t="s">
        <v>10</v>
      </c>
    </row>
    <row r="2060" spans="1:8" x14ac:dyDescent="0.25">
      <c r="A2060" s="73">
        <v>44793</v>
      </c>
      <c r="B2060" s="74" t="s">
        <v>26798</v>
      </c>
      <c r="C2060" s="75" t="s">
        <v>10819</v>
      </c>
      <c r="D2060" s="176">
        <v>1170</v>
      </c>
      <c r="E2060" s="151">
        <v>44795</v>
      </c>
      <c r="F2060" s="176">
        <v>1170</v>
      </c>
      <c r="G2060" s="177">
        <f>Tabla19[[#This Row],[Importe]]-Tabla19[[#This Row],[Pagado]]</f>
        <v>0</v>
      </c>
      <c r="H2060" s="75" t="s">
        <v>10</v>
      </c>
    </row>
    <row r="2061" spans="1:8" x14ac:dyDescent="0.25">
      <c r="A2061" s="148">
        <v>44793</v>
      </c>
      <c r="B2061" s="149" t="s">
        <v>26799</v>
      </c>
      <c r="C2061" s="153" t="s">
        <v>282</v>
      </c>
      <c r="D2061" s="178">
        <v>3127.8</v>
      </c>
      <c r="E2061" s="155">
        <v>44795</v>
      </c>
      <c r="F2061" s="178">
        <v>3127.8</v>
      </c>
      <c r="G2061" s="179">
        <f>Tabla19[[#This Row],[Importe]]-Tabla19[[#This Row],[Pagado]]</f>
        <v>0</v>
      </c>
      <c r="H2061" s="153" t="s">
        <v>10</v>
      </c>
    </row>
    <row r="2062" spans="1:8" x14ac:dyDescent="0.25">
      <c r="A2062" s="73">
        <v>44793</v>
      </c>
      <c r="B2062" s="74" t="s">
        <v>26800</v>
      </c>
      <c r="C2062" s="75" t="s">
        <v>31</v>
      </c>
      <c r="D2062" s="176">
        <v>19984</v>
      </c>
      <c r="E2062" s="151">
        <v>44793</v>
      </c>
      <c r="F2062" s="176">
        <v>19984</v>
      </c>
      <c r="G2062" s="177">
        <f>Tabla19[[#This Row],[Importe]]-Tabla19[[#This Row],[Pagado]]</f>
        <v>0</v>
      </c>
      <c r="H2062" s="75" t="s">
        <v>10</v>
      </c>
    </row>
    <row r="2063" spans="1:8" x14ac:dyDescent="0.25">
      <c r="A2063" s="148">
        <v>44793</v>
      </c>
      <c r="B2063" s="149" t="s">
        <v>26801</v>
      </c>
      <c r="C2063" s="153" t="s">
        <v>857</v>
      </c>
      <c r="D2063" s="178">
        <v>1706.1</v>
      </c>
      <c r="E2063" s="155">
        <v>44793</v>
      </c>
      <c r="F2063" s="178">
        <v>1706.1</v>
      </c>
      <c r="G2063" s="179">
        <f>Tabla19[[#This Row],[Importe]]-Tabla19[[#This Row],[Pagado]]</f>
        <v>0</v>
      </c>
      <c r="H2063" s="153" t="s">
        <v>10</v>
      </c>
    </row>
    <row r="2064" spans="1:8" x14ac:dyDescent="0.25">
      <c r="A2064" s="73">
        <v>44793</v>
      </c>
      <c r="B2064" s="74" t="s">
        <v>26802</v>
      </c>
      <c r="C2064" s="75" t="s">
        <v>426</v>
      </c>
      <c r="D2064" s="176">
        <v>2938.2</v>
      </c>
      <c r="E2064" s="151">
        <v>44795</v>
      </c>
      <c r="F2064" s="176">
        <v>2938.2</v>
      </c>
      <c r="G2064" s="177">
        <f>Tabla19[[#This Row],[Importe]]-Tabla19[[#This Row],[Pagado]]</f>
        <v>0</v>
      </c>
      <c r="H2064" s="75" t="s">
        <v>10</v>
      </c>
    </row>
    <row r="2065" spans="1:8" x14ac:dyDescent="0.25">
      <c r="A2065" s="148">
        <v>44793</v>
      </c>
      <c r="B2065" s="149" t="s">
        <v>26803</v>
      </c>
      <c r="C2065" s="153" t="s">
        <v>280</v>
      </c>
      <c r="D2065" s="178">
        <v>2106</v>
      </c>
      <c r="E2065" s="155">
        <v>44795</v>
      </c>
      <c r="F2065" s="178">
        <v>2106</v>
      </c>
      <c r="G2065" s="179">
        <f>Tabla19[[#This Row],[Importe]]-Tabla19[[#This Row],[Pagado]]</f>
        <v>0</v>
      </c>
      <c r="H2065" s="153" t="s">
        <v>10</v>
      </c>
    </row>
    <row r="2066" spans="1:8" x14ac:dyDescent="0.25">
      <c r="A2066" s="73">
        <v>44793</v>
      </c>
      <c r="B2066" s="74" t="s">
        <v>26804</v>
      </c>
      <c r="C2066" s="75" t="s">
        <v>31</v>
      </c>
      <c r="D2066" s="176">
        <v>7960</v>
      </c>
      <c r="E2066" s="151">
        <v>44793</v>
      </c>
      <c r="F2066" s="176">
        <v>7960</v>
      </c>
      <c r="G2066" s="177">
        <f>Tabla19[[#This Row],[Importe]]-Tabla19[[#This Row],[Pagado]]</f>
        <v>0</v>
      </c>
      <c r="H2066" s="75" t="s">
        <v>10</v>
      </c>
    </row>
    <row r="2067" spans="1:8" x14ac:dyDescent="0.25">
      <c r="A2067" s="148">
        <v>44793</v>
      </c>
      <c r="B2067" s="149" t="s">
        <v>26805</v>
      </c>
      <c r="C2067" s="153" t="s">
        <v>181</v>
      </c>
      <c r="D2067" s="178">
        <v>16808.400000000001</v>
      </c>
      <c r="E2067" s="155">
        <v>44795</v>
      </c>
      <c r="F2067" s="178">
        <v>16808.400000000001</v>
      </c>
      <c r="G2067" s="179">
        <f>Tabla19[[#This Row],[Importe]]-Tabla19[[#This Row],[Pagado]]</f>
        <v>0</v>
      </c>
      <c r="H2067" s="153" t="s">
        <v>10</v>
      </c>
    </row>
    <row r="2068" spans="1:8" x14ac:dyDescent="0.25">
      <c r="A2068" s="73">
        <v>44793</v>
      </c>
      <c r="B2068" s="74" t="s">
        <v>26806</v>
      </c>
      <c r="C2068" s="75" t="s">
        <v>142</v>
      </c>
      <c r="D2068" s="176">
        <v>1861.5</v>
      </c>
      <c r="E2068" s="151" t="s">
        <v>4813</v>
      </c>
      <c r="F2068" s="176">
        <v>0</v>
      </c>
      <c r="G2068" s="177">
        <f>Tabla19[[#This Row],[Importe]]-Tabla19[[#This Row],[Pagado]]</f>
        <v>1861.5</v>
      </c>
      <c r="H2068" s="75" t="s">
        <v>4814</v>
      </c>
    </row>
    <row r="2069" spans="1:8" x14ac:dyDescent="0.25">
      <c r="A2069" s="148">
        <v>44793</v>
      </c>
      <c r="B2069" s="149" t="s">
        <v>26807</v>
      </c>
      <c r="C2069" s="153" t="s">
        <v>448</v>
      </c>
      <c r="D2069" s="178">
        <v>19727.400000000001</v>
      </c>
      <c r="E2069" s="155">
        <v>44795</v>
      </c>
      <c r="F2069" s="178">
        <v>19727.400000000001</v>
      </c>
      <c r="G2069" s="179">
        <f>Tabla19[[#This Row],[Importe]]-Tabla19[[#This Row],[Pagado]]</f>
        <v>0</v>
      </c>
      <c r="H2069" s="153" t="s">
        <v>10</v>
      </c>
    </row>
    <row r="2070" spans="1:8" x14ac:dyDescent="0.25">
      <c r="A2070" s="73">
        <v>44793</v>
      </c>
      <c r="B2070" s="74" t="s">
        <v>26808</v>
      </c>
      <c r="C2070" s="75" t="s">
        <v>296</v>
      </c>
      <c r="D2070" s="176">
        <v>3046.2</v>
      </c>
      <c r="E2070" s="151">
        <v>44793</v>
      </c>
      <c r="F2070" s="176">
        <v>3046.2</v>
      </c>
      <c r="G2070" s="177">
        <f>Tabla19[[#This Row],[Importe]]-Tabla19[[#This Row],[Pagado]]</f>
        <v>0</v>
      </c>
      <c r="H2070" s="75" t="s">
        <v>10</v>
      </c>
    </row>
    <row r="2071" spans="1:8" x14ac:dyDescent="0.25">
      <c r="A2071" s="148">
        <v>44793</v>
      </c>
      <c r="B2071" s="149" t="s">
        <v>26809</v>
      </c>
      <c r="C2071" s="153" t="s">
        <v>555</v>
      </c>
      <c r="D2071" s="178">
        <v>19600</v>
      </c>
      <c r="E2071" s="155">
        <v>44795</v>
      </c>
      <c r="F2071" s="178">
        <v>19600</v>
      </c>
      <c r="G2071" s="179">
        <f>Tabla19[[#This Row],[Importe]]-Tabla19[[#This Row],[Pagado]]</f>
        <v>0</v>
      </c>
      <c r="H2071" s="153" t="s">
        <v>10</v>
      </c>
    </row>
    <row r="2072" spans="1:8" x14ac:dyDescent="0.25">
      <c r="A2072" s="73">
        <v>44793</v>
      </c>
      <c r="B2072" s="74" t="s">
        <v>26810</v>
      </c>
      <c r="C2072" s="75" t="s">
        <v>16</v>
      </c>
      <c r="D2072" s="176">
        <v>1439.6</v>
      </c>
      <c r="E2072" s="151">
        <v>44793</v>
      </c>
      <c r="F2072" s="176">
        <v>1439.6</v>
      </c>
      <c r="G2072" s="177">
        <f>Tabla19[[#This Row],[Importe]]-Tabla19[[#This Row],[Pagado]]</f>
        <v>0</v>
      </c>
      <c r="H2072" s="75" t="s">
        <v>10</v>
      </c>
    </row>
    <row r="2073" spans="1:8" x14ac:dyDescent="0.25">
      <c r="A2073" s="148">
        <v>44793</v>
      </c>
      <c r="B2073" s="149" t="s">
        <v>26811</v>
      </c>
      <c r="C2073" s="153" t="s">
        <v>191</v>
      </c>
      <c r="D2073" s="178">
        <v>1548.4</v>
      </c>
      <c r="E2073" s="155">
        <v>44793</v>
      </c>
      <c r="F2073" s="178">
        <v>1548.4</v>
      </c>
      <c r="G2073" s="179">
        <f>Tabla19[[#This Row],[Importe]]-Tabla19[[#This Row],[Pagado]]</f>
        <v>0</v>
      </c>
      <c r="H2073" s="153" t="s">
        <v>10</v>
      </c>
    </row>
    <row r="2074" spans="1:8" x14ac:dyDescent="0.25">
      <c r="A2074" s="73">
        <v>44793</v>
      </c>
      <c r="B2074" s="74" t="s">
        <v>26812</v>
      </c>
      <c r="C2074" s="75" t="s">
        <v>22</v>
      </c>
      <c r="D2074" s="176">
        <v>14192.9</v>
      </c>
      <c r="E2074" s="151">
        <v>44794</v>
      </c>
      <c r="F2074" s="176">
        <v>14192.9</v>
      </c>
      <c r="G2074" s="177">
        <f>Tabla19[[#This Row],[Importe]]-Tabla19[[#This Row],[Pagado]]</f>
        <v>0</v>
      </c>
      <c r="H2074" s="75" t="s">
        <v>10</v>
      </c>
    </row>
    <row r="2075" spans="1:8" x14ac:dyDescent="0.25">
      <c r="A2075" s="148">
        <v>44793</v>
      </c>
      <c r="B2075" s="149" t="s">
        <v>26813</v>
      </c>
      <c r="C2075" s="153" t="s">
        <v>51</v>
      </c>
      <c r="D2075" s="178">
        <v>5228</v>
      </c>
      <c r="E2075" s="155">
        <v>44793</v>
      </c>
      <c r="F2075" s="178">
        <v>5228</v>
      </c>
      <c r="G2075" s="179">
        <f>Tabla19[[#This Row],[Importe]]-Tabla19[[#This Row],[Pagado]]</f>
        <v>0</v>
      </c>
      <c r="H2075" s="153" t="s">
        <v>10</v>
      </c>
    </row>
    <row r="2076" spans="1:8" x14ac:dyDescent="0.25">
      <c r="A2076" s="73">
        <v>44793</v>
      </c>
      <c r="B2076" s="74" t="s">
        <v>26814</v>
      </c>
      <c r="C2076" s="75" t="s">
        <v>24768</v>
      </c>
      <c r="D2076" s="176">
        <v>5062.2</v>
      </c>
      <c r="E2076" s="151">
        <v>44793</v>
      </c>
      <c r="F2076" s="176">
        <v>5062.2</v>
      </c>
      <c r="G2076" s="177">
        <f>Tabla19[[#This Row],[Importe]]-Tabla19[[#This Row],[Pagado]]</f>
        <v>0</v>
      </c>
      <c r="H2076" s="75" t="s">
        <v>10</v>
      </c>
    </row>
    <row r="2077" spans="1:8" x14ac:dyDescent="0.25">
      <c r="A2077" s="148">
        <v>44793</v>
      </c>
      <c r="B2077" s="149" t="s">
        <v>26815</v>
      </c>
      <c r="C2077" s="153" t="s">
        <v>10840</v>
      </c>
      <c r="D2077" s="178">
        <v>379.2</v>
      </c>
      <c r="E2077" s="155">
        <v>44793</v>
      </c>
      <c r="F2077" s="178">
        <v>379.2</v>
      </c>
      <c r="G2077" s="179">
        <f>Tabla19[[#This Row],[Importe]]-Tabla19[[#This Row],[Pagado]]</f>
        <v>0</v>
      </c>
      <c r="H2077" s="153" t="s">
        <v>10</v>
      </c>
    </row>
    <row r="2078" spans="1:8" x14ac:dyDescent="0.25">
      <c r="A2078" s="73">
        <v>44793</v>
      </c>
      <c r="B2078" s="74" t="s">
        <v>26816</v>
      </c>
      <c r="C2078" s="75" t="s">
        <v>35</v>
      </c>
      <c r="D2078" s="176">
        <v>2920.8</v>
      </c>
      <c r="E2078" s="151">
        <v>44793</v>
      </c>
      <c r="F2078" s="176">
        <v>2920.8</v>
      </c>
      <c r="G2078" s="177">
        <f>Tabla19[[#This Row],[Importe]]-Tabla19[[#This Row],[Pagado]]</f>
        <v>0</v>
      </c>
      <c r="H2078" s="75" t="s">
        <v>10</v>
      </c>
    </row>
    <row r="2079" spans="1:8" x14ac:dyDescent="0.25">
      <c r="A2079" s="148">
        <v>44793</v>
      </c>
      <c r="B2079" s="149" t="s">
        <v>26817</v>
      </c>
      <c r="C2079" s="153" t="s">
        <v>224</v>
      </c>
      <c r="D2079" s="178">
        <v>2244</v>
      </c>
      <c r="E2079" s="155">
        <v>44793</v>
      </c>
      <c r="F2079" s="178">
        <v>2244</v>
      </c>
      <c r="G2079" s="179">
        <f>Tabla19[[#This Row],[Importe]]-Tabla19[[#This Row],[Pagado]]</f>
        <v>0</v>
      </c>
      <c r="H2079" s="153" t="s">
        <v>10</v>
      </c>
    </row>
    <row r="2080" spans="1:8" x14ac:dyDescent="0.25">
      <c r="A2080" s="73">
        <v>44793</v>
      </c>
      <c r="B2080" s="74" t="s">
        <v>26818</v>
      </c>
      <c r="C2080" s="75" t="s">
        <v>31</v>
      </c>
      <c r="D2080" s="176">
        <v>205.4</v>
      </c>
      <c r="E2080" s="151">
        <v>44793</v>
      </c>
      <c r="F2080" s="176">
        <v>205.4</v>
      </c>
      <c r="G2080" s="177">
        <f>Tabla19[[#This Row],[Importe]]-Tabla19[[#This Row],[Pagado]]</f>
        <v>0</v>
      </c>
      <c r="H2080" s="75" t="s">
        <v>10</v>
      </c>
    </row>
    <row r="2081" spans="1:8" x14ac:dyDescent="0.25">
      <c r="A2081" s="148">
        <v>44793</v>
      </c>
      <c r="B2081" s="149" t="s">
        <v>26819</v>
      </c>
      <c r="C2081" s="153" t="s">
        <v>296</v>
      </c>
      <c r="D2081" s="178">
        <v>75.5</v>
      </c>
      <c r="E2081" s="155">
        <v>44793</v>
      </c>
      <c r="F2081" s="178">
        <v>75.5</v>
      </c>
      <c r="G2081" s="179">
        <f>Tabla19[[#This Row],[Importe]]-Tabla19[[#This Row],[Pagado]]</f>
        <v>0</v>
      </c>
      <c r="H2081" s="153" t="s">
        <v>10</v>
      </c>
    </row>
    <row r="2082" spans="1:8" x14ac:dyDescent="0.25">
      <c r="A2082" s="73">
        <v>44793</v>
      </c>
      <c r="B2082" s="74" t="s">
        <v>26820</v>
      </c>
      <c r="C2082" s="75" t="s">
        <v>407</v>
      </c>
      <c r="D2082" s="176">
        <v>10800</v>
      </c>
      <c r="E2082" s="151" t="s">
        <v>26221</v>
      </c>
      <c r="F2082" s="176">
        <v>10800</v>
      </c>
      <c r="G2082" s="177">
        <f>Tabla19[[#This Row],[Importe]]-Tabla19[[#This Row],[Pagado]]</f>
        <v>0</v>
      </c>
      <c r="H2082" s="75" t="s">
        <v>10</v>
      </c>
    </row>
    <row r="2083" spans="1:8" x14ac:dyDescent="0.25">
      <c r="A2083" s="148">
        <v>44793</v>
      </c>
      <c r="B2083" s="149" t="s">
        <v>26821</v>
      </c>
      <c r="C2083" s="153" t="s">
        <v>10190</v>
      </c>
      <c r="D2083" s="178">
        <v>31233</v>
      </c>
      <c r="E2083" s="155">
        <v>44794</v>
      </c>
      <c r="F2083" s="178">
        <v>31233</v>
      </c>
      <c r="G2083" s="179">
        <f>Tabla19[[#This Row],[Importe]]-Tabla19[[#This Row],[Pagado]]</f>
        <v>0</v>
      </c>
      <c r="H2083" s="153" t="s">
        <v>10</v>
      </c>
    </row>
    <row r="2084" spans="1:8" x14ac:dyDescent="0.25">
      <c r="A2084" s="73">
        <v>44793</v>
      </c>
      <c r="B2084" s="74" t="s">
        <v>26822</v>
      </c>
      <c r="C2084" s="75" t="s">
        <v>14</v>
      </c>
      <c r="D2084" s="176">
        <v>35650.6</v>
      </c>
      <c r="E2084" s="151">
        <v>44793</v>
      </c>
      <c r="F2084" s="176">
        <v>35650.6</v>
      </c>
      <c r="G2084" s="177">
        <f>Tabla19[[#This Row],[Importe]]-Tabla19[[#This Row],[Pagado]]</f>
        <v>0</v>
      </c>
      <c r="H2084" s="75" t="s">
        <v>10</v>
      </c>
    </row>
    <row r="2085" spans="1:8" x14ac:dyDescent="0.25">
      <c r="A2085" s="148">
        <v>44793</v>
      </c>
      <c r="B2085" s="149" t="s">
        <v>26823</v>
      </c>
      <c r="C2085" s="153" t="s">
        <v>31</v>
      </c>
      <c r="D2085" s="178">
        <v>2316</v>
      </c>
      <c r="E2085" s="155">
        <v>44793</v>
      </c>
      <c r="F2085" s="178">
        <v>2316</v>
      </c>
      <c r="G2085" s="179">
        <f>Tabla19[[#This Row],[Importe]]-Tabla19[[#This Row],[Pagado]]</f>
        <v>0</v>
      </c>
      <c r="H2085" s="153" t="s">
        <v>10</v>
      </c>
    </row>
    <row r="2086" spans="1:8" x14ac:dyDescent="0.25">
      <c r="A2086" s="73">
        <v>44793</v>
      </c>
      <c r="B2086" s="74" t="s">
        <v>26824</v>
      </c>
      <c r="C2086" s="75" t="s">
        <v>31</v>
      </c>
      <c r="D2086" s="176">
        <v>211.2</v>
      </c>
      <c r="E2086" s="151">
        <v>44793</v>
      </c>
      <c r="F2086" s="176">
        <v>211.2</v>
      </c>
      <c r="G2086" s="177">
        <f>Tabla19[[#This Row],[Importe]]-Tabla19[[#This Row],[Pagado]]</f>
        <v>0</v>
      </c>
      <c r="H2086" s="75" t="s">
        <v>10</v>
      </c>
    </row>
    <row r="2087" spans="1:8" x14ac:dyDescent="0.25">
      <c r="A2087" s="148">
        <v>44793</v>
      </c>
      <c r="B2087" s="149" t="s">
        <v>26825</v>
      </c>
      <c r="C2087" s="153" t="s">
        <v>9993</v>
      </c>
      <c r="D2087" s="178">
        <v>58995</v>
      </c>
      <c r="E2087" s="155">
        <v>44793</v>
      </c>
      <c r="F2087" s="178">
        <v>58995</v>
      </c>
      <c r="G2087" s="179">
        <f>Tabla19[[#This Row],[Importe]]-Tabla19[[#This Row],[Pagado]]</f>
        <v>0</v>
      </c>
      <c r="H2087" s="153" t="s">
        <v>10</v>
      </c>
    </row>
    <row r="2088" spans="1:8" x14ac:dyDescent="0.25">
      <c r="A2088" s="73">
        <v>44793</v>
      </c>
      <c r="B2088" s="74" t="s">
        <v>26826</v>
      </c>
      <c r="C2088" s="75" t="s">
        <v>8190</v>
      </c>
      <c r="D2088" s="176">
        <v>3272</v>
      </c>
      <c r="E2088" s="151">
        <v>44793</v>
      </c>
      <c r="F2088" s="176">
        <v>3272</v>
      </c>
      <c r="G2088" s="177">
        <f>Tabla19[[#This Row],[Importe]]-Tabla19[[#This Row],[Pagado]]</f>
        <v>0</v>
      </c>
      <c r="H2088" s="75" t="s">
        <v>10</v>
      </c>
    </row>
    <row r="2089" spans="1:8" x14ac:dyDescent="0.25">
      <c r="A2089" s="148">
        <v>44793</v>
      </c>
      <c r="B2089" s="149" t="s">
        <v>26827</v>
      </c>
      <c r="C2089" s="153" t="s">
        <v>452</v>
      </c>
      <c r="D2089" s="178">
        <v>4800</v>
      </c>
      <c r="E2089" s="155">
        <v>44793</v>
      </c>
      <c r="F2089" s="178">
        <v>4800</v>
      </c>
      <c r="G2089" s="179">
        <f>Tabla19[[#This Row],[Importe]]-Tabla19[[#This Row],[Pagado]]</f>
        <v>0</v>
      </c>
      <c r="H2089" s="153" t="s">
        <v>10</v>
      </c>
    </row>
    <row r="2090" spans="1:8" x14ac:dyDescent="0.25">
      <c r="A2090" s="73">
        <v>44793</v>
      </c>
      <c r="B2090" s="74" t="s">
        <v>26828</v>
      </c>
      <c r="C2090" s="75" t="s">
        <v>31</v>
      </c>
      <c r="D2090" s="176">
        <v>315</v>
      </c>
      <c r="E2090" s="151">
        <v>44793</v>
      </c>
      <c r="F2090" s="176">
        <v>315</v>
      </c>
      <c r="G2090" s="177">
        <f>Tabla19[[#This Row],[Importe]]-Tabla19[[#This Row],[Pagado]]</f>
        <v>0</v>
      </c>
      <c r="H2090" s="75" t="s">
        <v>10</v>
      </c>
    </row>
    <row r="2091" spans="1:8" x14ac:dyDescent="0.25">
      <c r="A2091" s="148">
        <v>44793</v>
      </c>
      <c r="B2091" s="149" t="s">
        <v>26829</v>
      </c>
      <c r="C2091" s="153" t="s">
        <v>196</v>
      </c>
      <c r="D2091" s="178">
        <v>135851.88</v>
      </c>
      <c r="E2091" s="155">
        <v>44799</v>
      </c>
      <c r="F2091" s="178">
        <v>135851.88</v>
      </c>
      <c r="G2091" s="179">
        <f>Tabla19[[#This Row],[Importe]]-Tabla19[[#This Row],[Pagado]]</f>
        <v>0</v>
      </c>
      <c r="H2091" s="153" t="s">
        <v>10</v>
      </c>
    </row>
    <row r="2092" spans="1:8" x14ac:dyDescent="0.25">
      <c r="A2092" s="73">
        <v>44793</v>
      </c>
      <c r="B2092" s="74" t="s">
        <v>26830</v>
      </c>
      <c r="C2092" s="75" t="s">
        <v>31</v>
      </c>
      <c r="D2092" s="176">
        <v>40200</v>
      </c>
      <c r="E2092" s="151">
        <v>44794</v>
      </c>
      <c r="F2092" s="176">
        <v>40200</v>
      </c>
      <c r="G2092" s="177">
        <f>Tabla19[[#This Row],[Importe]]-Tabla19[[#This Row],[Pagado]]</f>
        <v>0</v>
      </c>
      <c r="H2092" s="75" t="s">
        <v>10</v>
      </c>
    </row>
    <row r="2093" spans="1:8" x14ac:dyDescent="0.25">
      <c r="A2093" s="148">
        <v>44794</v>
      </c>
      <c r="B2093" s="149" t="s">
        <v>26831</v>
      </c>
      <c r="C2093" s="153" t="s">
        <v>20</v>
      </c>
      <c r="D2093" s="178">
        <v>11784</v>
      </c>
      <c r="E2093" s="155">
        <v>44794</v>
      </c>
      <c r="F2093" s="178">
        <v>11784</v>
      </c>
      <c r="G2093" s="179">
        <f>Tabla19[[#This Row],[Importe]]-Tabla19[[#This Row],[Pagado]]</f>
        <v>0</v>
      </c>
      <c r="H2093" s="153" t="s">
        <v>10</v>
      </c>
    </row>
    <row r="2094" spans="1:8" x14ac:dyDescent="0.25">
      <c r="A2094" s="73">
        <v>44794</v>
      </c>
      <c r="B2094" s="74" t="s">
        <v>26832</v>
      </c>
      <c r="C2094" s="75" t="s">
        <v>365</v>
      </c>
      <c r="D2094" s="176">
        <v>1508.2</v>
      </c>
      <c r="E2094" s="151">
        <v>44794</v>
      </c>
      <c r="F2094" s="176">
        <v>1508.2</v>
      </c>
      <c r="G2094" s="177">
        <f>Tabla19[[#This Row],[Importe]]-Tabla19[[#This Row],[Pagado]]</f>
        <v>0</v>
      </c>
      <c r="H2094" s="75" t="s">
        <v>10</v>
      </c>
    </row>
    <row r="2095" spans="1:8" x14ac:dyDescent="0.25">
      <c r="A2095" s="148">
        <v>44794</v>
      </c>
      <c r="B2095" s="149" t="s">
        <v>26833</v>
      </c>
      <c r="C2095" s="153" t="s">
        <v>12</v>
      </c>
      <c r="D2095" s="178">
        <v>13758.25</v>
      </c>
      <c r="E2095" s="155">
        <v>44794</v>
      </c>
      <c r="F2095" s="178">
        <v>13758.25</v>
      </c>
      <c r="G2095" s="179">
        <f>Tabla19[[#This Row],[Importe]]-Tabla19[[#This Row],[Pagado]]</f>
        <v>0</v>
      </c>
      <c r="H2095" s="153" t="s">
        <v>10</v>
      </c>
    </row>
    <row r="2096" spans="1:8" x14ac:dyDescent="0.25">
      <c r="A2096" s="73">
        <v>44794</v>
      </c>
      <c r="B2096" s="74" t="s">
        <v>26834</v>
      </c>
      <c r="C2096" s="75" t="s">
        <v>17556</v>
      </c>
      <c r="D2096" s="176">
        <v>3049.4</v>
      </c>
      <c r="E2096" s="151">
        <v>44794</v>
      </c>
      <c r="F2096" s="176">
        <v>3049.4</v>
      </c>
      <c r="G2096" s="177">
        <f>Tabla19[[#This Row],[Importe]]-Tabla19[[#This Row],[Pagado]]</f>
        <v>0</v>
      </c>
      <c r="H2096" s="75" t="s">
        <v>10</v>
      </c>
    </row>
    <row r="2097" spans="1:8" x14ac:dyDescent="0.25">
      <c r="A2097" s="148">
        <v>44794</v>
      </c>
      <c r="B2097" s="149" t="s">
        <v>26835</v>
      </c>
      <c r="C2097" s="153" t="s">
        <v>1187</v>
      </c>
      <c r="D2097" s="178">
        <v>2391.9</v>
      </c>
      <c r="E2097" s="155">
        <v>44794</v>
      </c>
      <c r="F2097" s="178">
        <v>2391.9</v>
      </c>
      <c r="G2097" s="179">
        <f>Tabla19[[#This Row],[Importe]]-Tabla19[[#This Row],[Pagado]]</f>
        <v>0</v>
      </c>
      <c r="H2097" s="153" t="s">
        <v>10</v>
      </c>
    </row>
    <row r="2098" spans="1:8" x14ac:dyDescent="0.25">
      <c r="A2098" s="73">
        <v>44794</v>
      </c>
      <c r="B2098" s="74" t="s">
        <v>26836</v>
      </c>
      <c r="C2098" s="75" t="s">
        <v>9</v>
      </c>
      <c r="D2098" s="176">
        <v>8821.6</v>
      </c>
      <c r="E2098" s="151">
        <v>44794</v>
      </c>
      <c r="F2098" s="176">
        <v>8821.6</v>
      </c>
      <c r="G2098" s="177">
        <f>Tabla19[[#This Row],[Importe]]-Tabla19[[#This Row],[Pagado]]</f>
        <v>0</v>
      </c>
      <c r="H2098" s="75" t="s">
        <v>10</v>
      </c>
    </row>
    <row r="2099" spans="1:8" x14ac:dyDescent="0.25">
      <c r="A2099" s="148">
        <v>44794</v>
      </c>
      <c r="B2099" s="149" t="s">
        <v>26837</v>
      </c>
      <c r="C2099" s="153" t="s">
        <v>22</v>
      </c>
      <c r="D2099" s="178">
        <v>73899.5</v>
      </c>
      <c r="E2099" s="155">
        <v>44795</v>
      </c>
      <c r="F2099" s="178">
        <v>73899.5</v>
      </c>
      <c r="G2099" s="179">
        <f>Tabla19[[#This Row],[Importe]]-Tabla19[[#This Row],[Pagado]]</f>
        <v>0</v>
      </c>
      <c r="H2099" s="153" t="s">
        <v>10</v>
      </c>
    </row>
    <row r="2100" spans="1:8" x14ac:dyDescent="0.25">
      <c r="A2100" s="73">
        <v>44794</v>
      </c>
      <c r="B2100" s="74" t="s">
        <v>26838</v>
      </c>
      <c r="C2100" s="75" t="s">
        <v>450</v>
      </c>
      <c r="D2100" s="176">
        <v>395.6</v>
      </c>
      <c r="E2100" s="151">
        <v>44794</v>
      </c>
      <c r="F2100" s="176">
        <v>395.6</v>
      </c>
      <c r="G2100" s="177">
        <f>Tabla19[[#This Row],[Importe]]-Tabla19[[#This Row],[Pagado]]</f>
        <v>0</v>
      </c>
      <c r="H2100" s="75" t="s">
        <v>10</v>
      </c>
    </row>
    <row r="2101" spans="1:8" x14ac:dyDescent="0.25">
      <c r="A2101" s="148">
        <v>44794</v>
      </c>
      <c r="B2101" s="149" t="s">
        <v>26839</v>
      </c>
      <c r="C2101" s="153" t="s">
        <v>16</v>
      </c>
      <c r="D2101" s="178">
        <v>11668.7</v>
      </c>
      <c r="E2101" s="155">
        <v>44794</v>
      </c>
      <c r="F2101" s="178">
        <v>11668.7</v>
      </c>
      <c r="G2101" s="179">
        <f>Tabla19[[#This Row],[Importe]]-Tabla19[[#This Row],[Pagado]]</f>
        <v>0</v>
      </c>
      <c r="H2101" s="153" t="s">
        <v>10</v>
      </c>
    </row>
    <row r="2102" spans="1:8" x14ac:dyDescent="0.25">
      <c r="A2102" s="73">
        <v>44794</v>
      </c>
      <c r="B2102" s="74" t="s">
        <v>26840</v>
      </c>
      <c r="C2102" s="75" t="s">
        <v>56</v>
      </c>
      <c r="D2102" s="176">
        <v>9648.9</v>
      </c>
      <c r="E2102" s="151">
        <v>44794</v>
      </c>
      <c r="F2102" s="176">
        <v>9648.9</v>
      </c>
      <c r="G2102" s="177">
        <f>Tabla19[[#This Row],[Importe]]-Tabla19[[#This Row],[Pagado]]</f>
        <v>0</v>
      </c>
      <c r="H2102" s="75" t="s">
        <v>10</v>
      </c>
    </row>
    <row r="2103" spans="1:8" x14ac:dyDescent="0.25">
      <c r="A2103" s="148">
        <v>44794</v>
      </c>
      <c r="B2103" s="149" t="s">
        <v>26841</v>
      </c>
      <c r="C2103" s="153" t="s">
        <v>37</v>
      </c>
      <c r="D2103" s="178">
        <v>3334.8</v>
      </c>
      <c r="E2103" s="155">
        <v>44794</v>
      </c>
      <c r="F2103" s="178">
        <v>3334.8</v>
      </c>
      <c r="G2103" s="179">
        <f>Tabla19[[#This Row],[Importe]]-Tabla19[[#This Row],[Pagado]]</f>
        <v>0</v>
      </c>
      <c r="H2103" s="153" t="s">
        <v>10</v>
      </c>
    </row>
    <row r="2104" spans="1:8" x14ac:dyDescent="0.25">
      <c r="A2104" s="73">
        <v>44794</v>
      </c>
      <c r="B2104" s="74" t="s">
        <v>26842</v>
      </c>
      <c r="C2104" s="75" t="s">
        <v>29</v>
      </c>
      <c r="D2104" s="176">
        <v>12012</v>
      </c>
      <c r="E2104" s="151">
        <v>44794</v>
      </c>
      <c r="F2104" s="176">
        <v>12012</v>
      </c>
      <c r="G2104" s="177">
        <f>Tabla19[[#This Row],[Importe]]-Tabla19[[#This Row],[Pagado]]</f>
        <v>0</v>
      </c>
      <c r="H2104" s="75" t="s">
        <v>10</v>
      </c>
    </row>
    <row r="2105" spans="1:8" x14ac:dyDescent="0.25">
      <c r="A2105" s="148">
        <v>44794</v>
      </c>
      <c r="B2105" s="149" t="s">
        <v>26843</v>
      </c>
      <c r="C2105" s="153" t="s">
        <v>1003</v>
      </c>
      <c r="D2105" s="178">
        <v>6265.6</v>
      </c>
      <c r="E2105" s="155">
        <v>44796</v>
      </c>
      <c r="F2105" s="178">
        <v>6265.6</v>
      </c>
      <c r="G2105" s="179">
        <f>Tabla19[[#This Row],[Importe]]-Tabla19[[#This Row],[Pagado]]</f>
        <v>0</v>
      </c>
      <c r="H2105" s="153" t="s">
        <v>10</v>
      </c>
    </row>
    <row r="2106" spans="1:8" x14ac:dyDescent="0.25">
      <c r="A2106" s="73">
        <v>44794</v>
      </c>
      <c r="B2106" s="74" t="s">
        <v>26844</v>
      </c>
      <c r="C2106" s="75" t="s">
        <v>49</v>
      </c>
      <c r="D2106" s="176">
        <v>5156.6000000000004</v>
      </c>
      <c r="E2106" s="151">
        <v>44794</v>
      </c>
      <c r="F2106" s="176">
        <v>5156.6000000000004</v>
      </c>
      <c r="G2106" s="177">
        <f>Tabla19[[#This Row],[Importe]]-Tabla19[[#This Row],[Pagado]]</f>
        <v>0</v>
      </c>
      <c r="H2106" s="75" t="s">
        <v>10</v>
      </c>
    </row>
    <row r="2107" spans="1:8" x14ac:dyDescent="0.25">
      <c r="A2107" s="148">
        <v>44794</v>
      </c>
      <c r="B2107" s="149" t="s">
        <v>26845</v>
      </c>
      <c r="C2107" s="153" t="s">
        <v>45</v>
      </c>
      <c r="D2107" s="178">
        <v>7961.6</v>
      </c>
      <c r="E2107" s="155">
        <v>44794</v>
      </c>
      <c r="F2107" s="178">
        <v>7961.6</v>
      </c>
      <c r="G2107" s="179">
        <f>Tabla19[[#This Row],[Importe]]-Tabla19[[#This Row],[Pagado]]</f>
        <v>0</v>
      </c>
      <c r="H2107" s="153" t="s">
        <v>10</v>
      </c>
    </row>
    <row r="2108" spans="1:8" x14ac:dyDescent="0.25">
      <c r="A2108" s="73">
        <v>44794</v>
      </c>
      <c r="B2108" s="74" t="s">
        <v>26846</v>
      </c>
      <c r="C2108" s="75" t="s">
        <v>31</v>
      </c>
      <c r="D2108" s="176">
        <v>2747</v>
      </c>
      <c r="E2108" s="151">
        <v>44794</v>
      </c>
      <c r="F2108" s="176">
        <v>2747</v>
      </c>
      <c r="G2108" s="177">
        <f>Tabla19[[#This Row],[Importe]]-Tabla19[[#This Row],[Pagado]]</f>
        <v>0</v>
      </c>
      <c r="H2108" s="75" t="s">
        <v>10</v>
      </c>
    </row>
    <row r="2109" spans="1:8" x14ac:dyDescent="0.25">
      <c r="A2109" s="148">
        <v>44794</v>
      </c>
      <c r="B2109" s="149" t="s">
        <v>26847</v>
      </c>
      <c r="C2109" s="153" t="s">
        <v>31</v>
      </c>
      <c r="D2109" s="178">
        <v>546</v>
      </c>
      <c r="E2109" s="155">
        <v>44794</v>
      </c>
      <c r="F2109" s="178">
        <v>546</v>
      </c>
      <c r="G2109" s="179">
        <f>Tabla19[[#This Row],[Importe]]-Tabla19[[#This Row],[Pagado]]</f>
        <v>0</v>
      </c>
      <c r="H2109" s="153" t="s">
        <v>10</v>
      </c>
    </row>
    <row r="2110" spans="1:8" x14ac:dyDescent="0.25">
      <c r="A2110" s="73">
        <v>44794</v>
      </c>
      <c r="B2110" s="74" t="s">
        <v>26848</v>
      </c>
      <c r="C2110" s="75" t="s">
        <v>224</v>
      </c>
      <c r="D2110" s="176">
        <v>4102</v>
      </c>
      <c r="E2110" s="151">
        <v>44794</v>
      </c>
      <c r="F2110" s="176">
        <v>4102</v>
      </c>
      <c r="G2110" s="177">
        <f>Tabla19[[#This Row],[Importe]]-Tabla19[[#This Row],[Pagado]]</f>
        <v>0</v>
      </c>
      <c r="H2110" s="75" t="s">
        <v>10</v>
      </c>
    </row>
    <row r="2111" spans="1:8" x14ac:dyDescent="0.25">
      <c r="A2111" s="148">
        <v>44794</v>
      </c>
      <c r="B2111" s="149" t="s">
        <v>26849</v>
      </c>
      <c r="C2111" s="153" t="s">
        <v>35</v>
      </c>
      <c r="D2111" s="178">
        <v>700</v>
      </c>
      <c r="E2111" s="155">
        <v>44794</v>
      </c>
      <c r="F2111" s="178">
        <v>700</v>
      </c>
      <c r="G2111" s="179">
        <f>Tabla19[[#This Row],[Importe]]-Tabla19[[#This Row],[Pagado]]</f>
        <v>0</v>
      </c>
      <c r="H2111" s="153" t="s">
        <v>10</v>
      </c>
    </row>
    <row r="2112" spans="1:8" x14ac:dyDescent="0.25">
      <c r="A2112" s="73">
        <v>44794</v>
      </c>
      <c r="B2112" s="74" t="s">
        <v>26850</v>
      </c>
      <c r="C2112" s="75" t="s">
        <v>216</v>
      </c>
      <c r="D2112" s="176">
        <v>3166.8</v>
      </c>
      <c r="E2112" s="151">
        <v>44794</v>
      </c>
      <c r="F2112" s="176">
        <v>3166.8</v>
      </c>
      <c r="G2112" s="177">
        <f>Tabla19[[#This Row],[Importe]]-Tabla19[[#This Row],[Pagado]]</f>
        <v>0</v>
      </c>
      <c r="H2112" s="75" t="s">
        <v>10</v>
      </c>
    </row>
    <row r="2113" spans="1:8" x14ac:dyDescent="0.25">
      <c r="A2113" s="148">
        <v>44794</v>
      </c>
      <c r="B2113" s="149" t="s">
        <v>26851</v>
      </c>
      <c r="C2113" s="153" t="s">
        <v>501</v>
      </c>
      <c r="D2113" s="178">
        <v>10057.200000000001</v>
      </c>
      <c r="E2113" s="155">
        <v>44794</v>
      </c>
      <c r="F2113" s="178">
        <v>10057.200000000001</v>
      </c>
      <c r="G2113" s="179">
        <f>Tabla19[[#This Row],[Importe]]-Tabla19[[#This Row],[Pagado]]</f>
        <v>0</v>
      </c>
      <c r="H2113" s="153" t="s">
        <v>10</v>
      </c>
    </row>
    <row r="2114" spans="1:8" x14ac:dyDescent="0.25">
      <c r="A2114" s="73">
        <v>44794</v>
      </c>
      <c r="B2114" s="74" t="s">
        <v>26852</v>
      </c>
      <c r="C2114" s="75" t="s">
        <v>62</v>
      </c>
      <c r="D2114" s="176">
        <v>4125</v>
      </c>
      <c r="E2114" s="151">
        <v>44794</v>
      </c>
      <c r="F2114" s="176">
        <v>4125</v>
      </c>
      <c r="G2114" s="177">
        <f>Tabla19[[#This Row],[Importe]]-Tabla19[[#This Row],[Pagado]]</f>
        <v>0</v>
      </c>
      <c r="H2114" s="75" t="s">
        <v>10</v>
      </c>
    </row>
    <row r="2115" spans="1:8" x14ac:dyDescent="0.25">
      <c r="A2115" s="148">
        <v>44794</v>
      </c>
      <c r="B2115" s="149" t="s">
        <v>26853</v>
      </c>
      <c r="C2115" s="153" t="s">
        <v>296</v>
      </c>
      <c r="D2115" s="178">
        <v>7542.8</v>
      </c>
      <c r="E2115" s="155">
        <v>44794</v>
      </c>
      <c r="F2115" s="178">
        <v>7542.8</v>
      </c>
      <c r="G2115" s="179">
        <f>Tabla19[[#This Row],[Importe]]-Tabla19[[#This Row],[Pagado]]</f>
        <v>0</v>
      </c>
      <c r="H2115" s="153" t="s">
        <v>10</v>
      </c>
    </row>
    <row r="2116" spans="1:8" x14ac:dyDescent="0.25">
      <c r="A2116" s="73">
        <v>44794</v>
      </c>
      <c r="B2116" s="74" t="s">
        <v>26854</v>
      </c>
      <c r="C2116" s="75" t="s">
        <v>58</v>
      </c>
      <c r="D2116" s="176">
        <v>2992.8</v>
      </c>
      <c r="E2116" s="151">
        <v>44794</v>
      </c>
      <c r="F2116" s="176">
        <v>2992.8</v>
      </c>
      <c r="G2116" s="177">
        <f>Tabla19[[#This Row],[Importe]]-Tabla19[[#This Row],[Pagado]]</f>
        <v>0</v>
      </c>
      <c r="H2116" s="75" t="s">
        <v>10</v>
      </c>
    </row>
    <row r="2117" spans="1:8" x14ac:dyDescent="0.25">
      <c r="A2117" s="148">
        <v>44794</v>
      </c>
      <c r="B2117" s="149" t="s">
        <v>26855</v>
      </c>
      <c r="C2117" s="153" t="s">
        <v>9827</v>
      </c>
      <c r="D2117" s="178">
        <v>4313.3999999999996</v>
      </c>
      <c r="E2117" s="155">
        <v>44794</v>
      </c>
      <c r="F2117" s="178">
        <v>4313.3999999999996</v>
      </c>
      <c r="G2117" s="179">
        <f>Tabla19[[#This Row],[Importe]]-Tabla19[[#This Row],[Pagado]]</f>
        <v>0</v>
      </c>
      <c r="H2117" s="153" t="s">
        <v>10</v>
      </c>
    </row>
    <row r="2118" spans="1:8" x14ac:dyDescent="0.25">
      <c r="A2118" s="73">
        <v>44794</v>
      </c>
      <c r="B2118" s="74" t="s">
        <v>26856</v>
      </c>
      <c r="C2118" s="75" t="s">
        <v>24284</v>
      </c>
      <c r="D2118" s="176">
        <v>1279.2</v>
      </c>
      <c r="E2118" s="151">
        <v>44794</v>
      </c>
      <c r="F2118" s="176">
        <v>1279.2</v>
      </c>
      <c r="G2118" s="177">
        <f>Tabla19[[#This Row],[Importe]]-Tabla19[[#This Row],[Pagado]]</f>
        <v>0</v>
      </c>
      <c r="H2118" s="75" t="s">
        <v>10</v>
      </c>
    </row>
    <row r="2119" spans="1:8" x14ac:dyDescent="0.25">
      <c r="A2119" s="148">
        <v>44794</v>
      </c>
      <c r="B2119" s="149" t="s">
        <v>26857</v>
      </c>
      <c r="C2119" s="153" t="s">
        <v>22</v>
      </c>
      <c r="D2119" s="178">
        <v>9217</v>
      </c>
      <c r="E2119" s="155">
        <v>44796</v>
      </c>
      <c r="F2119" s="178">
        <v>9217</v>
      </c>
      <c r="G2119" s="179">
        <f>Tabla19[[#This Row],[Importe]]-Tabla19[[#This Row],[Pagado]]</f>
        <v>0</v>
      </c>
      <c r="H2119" s="153" t="s">
        <v>10</v>
      </c>
    </row>
    <row r="2120" spans="1:8" x14ac:dyDescent="0.25">
      <c r="A2120" s="73">
        <v>44794</v>
      </c>
      <c r="B2120" s="74" t="s">
        <v>26858</v>
      </c>
      <c r="C2120" s="75" t="s">
        <v>857</v>
      </c>
      <c r="D2120" s="176">
        <v>516</v>
      </c>
      <c r="E2120" s="151">
        <v>44794</v>
      </c>
      <c r="F2120" s="176">
        <v>516</v>
      </c>
      <c r="G2120" s="177">
        <f>Tabla19[[#This Row],[Importe]]-Tabla19[[#This Row],[Pagado]]</f>
        <v>0</v>
      </c>
      <c r="H2120" s="75" t="s">
        <v>10</v>
      </c>
    </row>
    <row r="2121" spans="1:8" x14ac:dyDescent="0.25">
      <c r="A2121" s="148">
        <v>44794</v>
      </c>
      <c r="B2121" s="149" t="s">
        <v>26859</v>
      </c>
      <c r="C2121" s="153" t="s">
        <v>67</v>
      </c>
      <c r="D2121" s="178">
        <v>2138.6</v>
      </c>
      <c r="E2121" s="155">
        <v>44794</v>
      </c>
      <c r="F2121" s="178">
        <v>2138.6</v>
      </c>
      <c r="G2121" s="179">
        <f>Tabla19[[#This Row],[Importe]]-Tabla19[[#This Row],[Pagado]]</f>
        <v>0</v>
      </c>
      <c r="H2121" s="153" t="s">
        <v>10</v>
      </c>
    </row>
    <row r="2122" spans="1:8" x14ac:dyDescent="0.25">
      <c r="A2122" s="73">
        <v>44794</v>
      </c>
      <c r="B2122" s="74" t="s">
        <v>26860</v>
      </c>
      <c r="C2122" s="75" t="s">
        <v>2139</v>
      </c>
      <c r="D2122" s="176">
        <v>4852.5</v>
      </c>
      <c r="E2122" s="151">
        <v>44794</v>
      </c>
      <c r="F2122" s="176">
        <v>4852.5</v>
      </c>
      <c r="G2122" s="177">
        <f>Tabla19[[#This Row],[Importe]]-Tabla19[[#This Row],[Pagado]]</f>
        <v>0</v>
      </c>
      <c r="H2122" s="75" t="s">
        <v>10</v>
      </c>
    </row>
    <row r="2123" spans="1:8" x14ac:dyDescent="0.25">
      <c r="A2123" s="148">
        <v>44794</v>
      </c>
      <c r="B2123" s="149" t="s">
        <v>26861</v>
      </c>
      <c r="C2123" s="153" t="s">
        <v>214</v>
      </c>
      <c r="D2123" s="178">
        <v>1786.2</v>
      </c>
      <c r="E2123" s="155">
        <v>44794</v>
      </c>
      <c r="F2123" s="178">
        <v>1786.2</v>
      </c>
      <c r="G2123" s="179">
        <f>Tabla19[[#This Row],[Importe]]-Tabla19[[#This Row],[Pagado]]</f>
        <v>0</v>
      </c>
      <c r="H2123" s="153" t="s">
        <v>10</v>
      </c>
    </row>
    <row r="2124" spans="1:8" x14ac:dyDescent="0.25">
      <c r="A2124" s="73">
        <v>44794</v>
      </c>
      <c r="B2124" s="74" t="s">
        <v>26862</v>
      </c>
      <c r="C2124" s="75" t="s">
        <v>31</v>
      </c>
      <c r="D2124" s="176">
        <v>484</v>
      </c>
      <c r="E2124" s="151">
        <v>44794</v>
      </c>
      <c r="F2124" s="176">
        <v>484</v>
      </c>
      <c r="G2124" s="177">
        <f>Tabla19[[#This Row],[Importe]]-Tabla19[[#This Row],[Pagado]]</f>
        <v>0</v>
      </c>
      <c r="H2124" s="75" t="s">
        <v>10</v>
      </c>
    </row>
    <row r="2125" spans="1:8" x14ac:dyDescent="0.25">
      <c r="A2125" s="148">
        <v>44794</v>
      </c>
      <c r="B2125" s="149" t="s">
        <v>26863</v>
      </c>
      <c r="C2125" s="153" t="s">
        <v>670</v>
      </c>
      <c r="D2125" s="178">
        <v>1314.2</v>
      </c>
      <c r="E2125" s="155">
        <v>44794</v>
      </c>
      <c r="F2125" s="178">
        <v>1314.2</v>
      </c>
      <c r="G2125" s="179">
        <f>Tabla19[[#This Row],[Importe]]-Tabla19[[#This Row],[Pagado]]</f>
        <v>0</v>
      </c>
      <c r="H2125" s="153" t="s">
        <v>10</v>
      </c>
    </row>
    <row r="2126" spans="1:8" x14ac:dyDescent="0.25">
      <c r="A2126" s="73">
        <v>44794</v>
      </c>
      <c r="B2126" s="74" t="s">
        <v>26864</v>
      </c>
      <c r="C2126" s="75" t="s">
        <v>53</v>
      </c>
      <c r="D2126" s="176">
        <v>616.20000000000005</v>
      </c>
      <c r="E2126" s="151">
        <v>44794</v>
      </c>
      <c r="F2126" s="176">
        <v>616.20000000000005</v>
      </c>
      <c r="G2126" s="177">
        <f>Tabla19[[#This Row],[Importe]]-Tabla19[[#This Row],[Pagado]]</f>
        <v>0</v>
      </c>
      <c r="H2126" s="75" t="s">
        <v>10</v>
      </c>
    </row>
    <row r="2127" spans="1:8" x14ac:dyDescent="0.25">
      <c r="A2127" s="148">
        <v>44794</v>
      </c>
      <c r="B2127" s="149" t="s">
        <v>26865</v>
      </c>
      <c r="C2127" s="153" t="s">
        <v>53</v>
      </c>
      <c r="D2127" s="178">
        <v>71.099999999999994</v>
      </c>
      <c r="E2127" s="155">
        <v>44794</v>
      </c>
      <c r="F2127" s="178">
        <v>71.099999999999994</v>
      </c>
      <c r="G2127" s="179">
        <f>Tabla19[[#This Row],[Importe]]-Tabla19[[#This Row],[Pagado]]</f>
        <v>0</v>
      </c>
      <c r="H2127" s="153" t="s">
        <v>10</v>
      </c>
    </row>
    <row r="2128" spans="1:8" x14ac:dyDescent="0.25">
      <c r="A2128" s="73">
        <v>44794</v>
      </c>
      <c r="B2128" s="74" t="s">
        <v>26866</v>
      </c>
      <c r="C2128" s="75" t="s">
        <v>16</v>
      </c>
      <c r="D2128" s="176">
        <v>1982.4</v>
      </c>
      <c r="E2128" s="151">
        <v>44794</v>
      </c>
      <c r="F2128" s="176">
        <v>1982.4</v>
      </c>
      <c r="G2128" s="177">
        <f>Tabla19[[#This Row],[Importe]]-Tabla19[[#This Row],[Pagado]]</f>
        <v>0</v>
      </c>
      <c r="H2128" s="75" t="s">
        <v>10</v>
      </c>
    </row>
    <row r="2129" spans="1:8" x14ac:dyDescent="0.25">
      <c r="A2129" s="148">
        <v>44794</v>
      </c>
      <c r="B2129" s="149" t="s">
        <v>26867</v>
      </c>
      <c r="C2129" s="153" t="s">
        <v>69</v>
      </c>
      <c r="D2129" s="178">
        <v>1287</v>
      </c>
      <c r="E2129" s="155">
        <v>44794</v>
      </c>
      <c r="F2129" s="178">
        <v>1287</v>
      </c>
      <c r="G2129" s="179">
        <f>Tabla19[[#This Row],[Importe]]-Tabla19[[#This Row],[Pagado]]</f>
        <v>0</v>
      </c>
      <c r="H2129" s="153" t="s">
        <v>10</v>
      </c>
    </row>
    <row r="2130" spans="1:8" x14ac:dyDescent="0.25">
      <c r="A2130" s="73">
        <v>44794</v>
      </c>
      <c r="B2130" s="74" t="s">
        <v>26868</v>
      </c>
      <c r="C2130" s="75" t="s">
        <v>75</v>
      </c>
      <c r="D2130" s="176">
        <v>12870</v>
      </c>
      <c r="E2130" s="151">
        <v>44794</v>
      </c>
      <c r="F2130" s="176">
        <v>12870</v>
      </c>
      <c r="G2130" s="177">
        <f>Tabla19[[#This Row],[Importe]]-Tabla19[[#This Row],[Pagado]]</f>
        <v>0</v>
      </c>
      <c r="H2130" s="75" t="s">
        <v>10</v>
      </c>
    </row>
    <row r="2131" spans="1:8" x14ac:dyDescent="0.25">
      <c r="A2131" s="148">
        <v>44794</v>
      </c>
      <c r="B2131" s="149" t="s">
        <v>26869</v>
      </c>
      <c r="C2131" s="153" t="s">
        <v>31</v>
      </c>
      <c r="D2131" s="178">
        <v>608.29999999999995</v>
      </c>
      <c r="E2131" s="155">
        <v>44794</v>
      </c>
      <c r="F2131" s="178">
        <v>608.29999999999995</v>
      </c>
      <c r="G2131" s="179">
        <f>Tabla19[[#This Row],[Importe]]-Tabla19[[#This Row],[Pagado]]</f>
        <v>0</v>
      </c>
      <c r="H2131" s="153" t="s">
        <v>10</v>
      </c>
    </row>
    <row r="2132" spans="1:8" x14ac:dyDescent="0.25">
      <c r="A2132" s="73">
        <v>44794</v>
      </c>
      <c r="B2132" s="74" t="s">
        <v>26870</v>
      </c>
      <c r="C2132" s="75" t="s">
        <v>31</v>
      </c>
      <c r="D2132" s="176">
        <v>1528.1</v>
      </c>
      <c r="E2132" s="151">
        <v>44794</v>
      </c>
      <c r="F2132" s="176">
        <v>1528.1</v>
      </c>
      <c r="G2132" s="177">
        <f>Tabla19[[#This Row],[Importe]]-Tabla19[[#This Row],[Pagado]]</f>
        <v>0</v>
      </c>
      <c r="H2132" s="75" t="s">
        <v>10</v>
      </c>
    </row>
    <row r="2133" spans="1:8" x14ac:dyDescent="0.25">
      <c r="A2133" s="148">
        <v>44794</v>
      </c>
      <c r="B2133" s="149" t="s">
        <v>26871</v>
      </c>
      <c r="C2133" s="153" t="s">
        <v>16</v>
      </c>
      <c r="D2133" s="178">
        <v>595.9</v>
      </c>
      <c r="E2133" s="155">
        <v>44794</v>
      </c>
      <c r="F2133" s="178">
        <v>595.9</v>
      </c>
      <c r="G2133" s="179">
        <f>Tabla19[[#This Row],[Importe]]-Tabla19[[#This Row],[Pagado]]</f>
        <v>0</v>
      </c>
      <c r="H2133" s="153" t="s">
        <v>10</v>
      </c>
    </row>
    <row r="2134" spans="1:8" x14ac:dyDescent="0.25">
      <c r="A2134" s="73">
        <v>44794</v>
      </c>
      <c r="B2134" s="74" t="s">
        <v>26872</v>
      </c>
      <c r="C2134" s="75" t="s">
        <v>67</v>
      </c>
      <c r="D2134" s="176">
        <v>1184</v>
      </c>
      <c r="E2134" s="151">
        <v>44794</v>
      </c>
      <c r="F2134" s="176">
        <v>1184</v>
      </c>
      <c r="G2134" s="177">
        <f>Tabla19[[#This Row],[Importe]]-Tabla19[[#This Row],[Pagado]]</f>
        <v>0</v>
      </c>
      <c r="H2134" s="75" t="s">
        <v>10</v>
      </c>
    </row>
    <row r="2135" spans="1:8" x14ac:dyDescent="0.25">
      <c r="A2135" s="148">
        <v>44795</v>
      </c>
      <c r="B2135" s="149" t="s">
        <v>26873</v>
      </c>
      <c r="C2135" s="153" t="s">
        <v>75</v>
      </c>
      <c r="D2135" s="178">
        <v>9289.7999999999993</v>
      </c>
      <c r="E2135" s="155">
        <v>44795</v>
      </c>
      <c r="F2135" s="178">
        <v>9289.7999999999993</v>
      </c>
      <c r="G2135" s="179">
        <f>Tabla19[[#This Row],[Importe]]-Tabla19[[#This Row],[Pagado]]</f>
        <v>0</v>
      </c>
      <c r="H2135" s="153" t="s">
        <v>10</v>
      </c>
    </row>
    <row r="2136" spans="1:8" x14ac:dyDescent="0.25">
      <c r="A2136" s="73">
        <v>44795</v>
      </c>
      <c r="B2136" s="74" t="s">
        <v>26874</v>
      </c>
      <c r="C2136" s="75" t="s">
        <v>49</v>
      </c>
      <c r="D2136" s="176">
        <v>3669.8</v>
      </c>
      <c r="E2136" s="151">
        <v>44795</v>
      </c>
      <c r="F2136" s="176">
        <v>3669.8</v>
      </c>
      <c r="G2136" s="177">
        <f>Tabla19[[#This Row],[Importe]]-Tabla19[[#This Row],[Pagado]]</f>
        <v>0</v>
      </c>
      <c r="H2136" s="75" t="s">
        <v>10</v>
      </c>
    </row>
    <row r="2137" spans="1:8" x14ac:dyDescent="0.25">
      <c r="A2137" s="148">
        <v>44795</v>
      </c>
      <c r="B2137" s="149" t="s">
        <v>26875</v>
      </c>
      <c r="C2137" s="153" t="s">
        <v>60</v>
      </c>
      <c r="D2137" s="178">
        <v>4784</v>
      </c>
      <c r="E2137" s="155">
        <v>44797</v>
      </c>
      <c r="F2137" s="178">
        <v>4784</v>
      </c>
      <c r="G2137" s="179">
        <f>Tabla19[[#This Row],[Importe]]-Tabla19[[#This Row],[Pagado]]</f>
        <v>0</v>
      </c>
      <c r="H2137" s="153" t="s">
        <v>10</v>
      </c>
    </row>
    <row r="2138" spans="1:8" x14ac:dyDescent="0.25">
      <c r="A2138" s="73">
        <v>44795</v>
      </c>
      <c r="B2138" s="74" t="s">
        <v>26876</v>
      </c>
      <c r="C2138" s="75" t="s">
        <v>2563</v>
      </c>
      <c r="D2138" s="176">
        <v>5635.5</v>
      </c>
      <c r="E2138" s="151">
        <v>44796</v>
      </c>
      <c r="F2138" s="176">
        <v>5635.5</v>
      </c>
      <c r="G2138" s="177">
        <f>Tabla19[[#This Row],[Importe]]-Tabla19[[#This Row],[Pagado]]</f>
        <v>0</v>
      </c>
      <c r="H2138" s="75" t="s">
        <v>10</v>
      </c>
    </row>
    <row r="2139" spans="1:8" x14ac:dyDescent="0.25">
      <c r="A2139" s="148">
        <v>44795</v>
      </c>
      <c r="B2139" s="149" t="s">
        <v>26877</v>
      </c>
      <c r="C2139" s="153" t="s">
        <v>64</v>
      </c>
      <c r="D2139" s="178">
        <v>5726.5</v>
      </c>
      <c r="E2139" s="155">
        <v>44796</v>
      </c>
      <c r="F2139" s="178">
        <v>5726.5</v>
      </c>
      <c r="G2139" s="179">
        <f>Tabla19[[#This Row],[Importe]]-Tabla19[[#This Row],[Pagado]]</f>
        <v>0</v>
      </c>
      <c r="H2139" s="153" t="s">
        <v>10</v>
      </c>
    </row>
    <row r="2140" spans="1:8" x14ac:dyDescent="0.25">
      <c r="A2140" s="73">
        <v>44795</v>
      </c>
      <c r="B2140" s="74" t="s">
        <v>26878</v>
      </c>
      <c r="C2140" s="75" t="s">
        <v>111</v>
      </c>
      <c r="D2140" s="176">
        <v>6501.6</v>
      </c>
      <c r="E2140" s="151">
        <v>44796</v>
      </c>
      <c r="F2140" s="176">
        <v>6501.6</v>
      </c>
      <c r="G2140" s="177">
        <f>Tabla19[[#This Row],[Importe]]-Tabla19[[#This Row],[Pagado]]</f>
        <v>0</v>
      </c>
      <c r="H2140" s="75" t="s">
        <v>10</v>
      </c>
    </row>
    <row r="2141" spans="1:8" x14ac:dyDescent="0.25">
      <c r="A2141" s="148">
        <v>44795</v>
      </c>
      <c r="B2141" s="149" t="s">
        <v>26879</v>
      </c>
      <c r="C2141" s="153" t="s">
        <v>348</v>
      </c>
      <c r="D2141" s="178">
        <v>4094.2</v>
      </c>
      <c r="E2141" s="155">
        <v>44795</v>
      </c>
      <c r="F2141" s="178">
        <v>4094.2</v>
      </c>
      <c r="G2141" s="179">
        <f>Tabla19[[#This Row],[Importe]]-Tabla19[[#This Row],[Pagado]]</f>
        <v>0</v>
      </c>
      <c r="H2141" s="153" t="s">
        <v>10</v>
      </c>
    </row>
    <row r="2142" spans="1:8" x14ac:dyDescent="0.25">
      <c r="A2142" s="73">
        <v>44795</v>
      </c>
      <c r="B2142" s="74" t="s">
        <v>26880</v>
      </c>
      <c r="C2142" s="75" t="s">
        <v>16819</v>
      </c>
      <c r="D2142" s="176">
        <v>5265</v>
      </c>
      <c r="E2142" s="151">
        <v>44795</v>
      </c>
      <c r="F2142" s="176">
        <v>5265</v>
      </c>
      <c r="G2142" s="177">
        <f>Tabla19[[#This Row],[Importe]]-Tabla19[[#This Row],[Pagado]]</f>
        <v>0</v>
      </c>
      <c r="H2142" s="75" t="s">
        <v>10</v>
      </c>
    </row>
    <row r="2143" spans="1:8" x14ac:dyDescent="0.25">
      <c r="A2143" s="148">
        <v>44795</v>
      </c>
      <c r="B2143" s="149" t="s">
        <v>26881</v>
      </c>
      <c r="C2143" s="153" t="s">
        <v>89</v>
      </c>
      <c r="D2143" s="178">
        <v>8427.4</v>
      </c>
      <c r="E2143" s="155">
        <v>44796</v>
      </c>
      <c r="F2143" s="178">
        <v>8427.4</v>
      </c>
      <c r="G2143" s="179">
        <f>Tabla19[[#This Row],[Importe]]-Tabla19[[#This Row],[Pagado]]</f>
        <v>0</v>
      </c>
      <c r="H2143" s="153" t="s">
        <v>10</v>
      </c>
    </row>
    <row r="2144" spans="1:8" x14ac:dyDescent="0.25">
      <c r="A2144" s="73">
        <v>44795</v>
      </c>
      <c r="B2144" s="74" t="s">
        <v>26882</v>
      </c>
      <c r="C2144" s="75" t="s">
        <v>105</v>
      </c>
      <c r="D2144" s="176">
        <v>10132.6</v>
      </c>
      <c r="E2144" s="151">
        <v>44796</v>
      </c>
      <c r="F2144" s="176">
        <v>10132.6</v>
      </c>
      <c r="G2144" s="177">
        <f>Tabla19[[#This Row],[Importe]]-Tabla19[[#This Row],[Pagado]]</f>
        <v>0</v>
      </c>
      <c r="H2144" s="75" t="s">
        <v>10</v>
      </c>
    </row>
    <row r="2145" spans="1:8" x14ac:dyDescent="0.25">
      <c r="A2145" s="148">
        <v>44795</v>
      </c>
      <c r="B2145" s="149" t="s">
        <v>26883</v>
      </c>
      <c r="C2145" s="153" t="s">
        <v>2151</v>
      </c>
      <c r="D2145" s="178">
        <v>17655</v>
      </c>
      <c r="E2145" s="155">
        <v>44795</v>
      </c>
      <c r="F2145" s="178">
        <v>17655</v>
      </c>
      <c r="G2145" s="179">
        <f>Tabla19[[#This Row],[Importe]]-Tabla19[[#This Row],[Pagado]]</f>
        <v>0</v>
      </c>
      <c r="H2145" s="153" t="s">
        <v>10</v>
      </c>
    </row>
    <row r="2146" spans="1:8" x14ac:dyDescent="0.25">
      <c r="A2146" s="73">
        <v>44795</v>
      </c>
      <c r="B2146" s="74" t="s">
        <v>26884</v>
      </c>
      <c r="C2146" s="75" t="s">
        <v>53</v>
      </c>
      <c r="D2146" s="176">
        <v>1200.8</v>
      </c>
      <c r="E2146" s="151">
        <v>44795</v>
      </c>
      <c r="F2146" s="176">
        <v>1200.8</v>
      </c>
      <c r="G2146" s="177">
        <f>Tabla19[[#This Row],[Importe]]-Tabla19[[#This Row],[Pagado]]</f>
        <v>0</v>
      </c>
      <c r="H2146" s="75" t="s">
        <v>10</v>
      </c>
    </row>
    <row r="2147" spans="1:8" x14ac:dyDescent="0.25">
      <c r="A2147" s="148">
        <v>44795</v>
      </c>
      <c r="B2147" s="149" t="s">
        <v>26885</v>
      </c>
      <c r="C2147" s="153" t="s">
        <v>114</v>
      </c>
      <c r="D2147" s="178">
        <v>7238.8</v>
      </c>
      <c r="E2147" s="155">
        <v>44796</v>
      </c>
      <c r="F2147" s="178">
        <v>7238.8</v>
      </c>
      <c r="G2147" s="179">
        <f>Tabla19[[#This Row],[Importe]]-Tabla19[[#This Row],[Pagado]]</f>
        <v>0</v>
      </c>
      <c r="H2147" s="153" t="s">
        <v>10</v>
      </c>
    </row>
    <row r="2148" spans="1:8" x14ac:dyDescent="0.25">
      <c r="A2148" s="73">
        <v>44795</v>
      </c>
      <c r="B2148" s="74" t="s">
        <v>26886</v>
      </c>
      <c r="C2148" s="75" t="s">
        <v>9</v>
      </c>
      <c r="D2148" s="176">
        <v>8191.7</v>
      </c>
      <c r="E2148" s="151">
        <v>44795</v>
      </c>
      <c r="F2148" s="176">
        <v>8191.7</v>
      </c>
      <c r="G2148" s="177">
        <f>Tabla19[[#This Row],[Importe]]-Tabla19[[#This Row],[Pagado]]</f>
        <v>0</v>
      </c>
      <c r="H2148" s="75" t="s">
        <v>10</v>
      </c>
    </row>
    <row r="2149" spans="1:8" ht="31.5" x14ac:dyDescent="0.25">
      <c r="A2149" s="148">
        <v>44795</v>
      </c>
      <c r="B2149" s="149" t="s">
        <v>26887</v>
      </c>
      <c r="C2149" s="153" t="s">
        <v>93</v>
      </c>
      <c r="D2149" s="178">
        <v>10024.4</v>
      </c>
      <c r="E2149" s="150" t="s">
        <v>26888</v>
      </c>
      <c r="F2149" s="178">
        <f>4000+6024.4</f>
        <v>10024.4</v>
      </c>
      <c r="G2149" s="179">
        <f>Tabla19[[#This Row],[Importe]]-Tabla19[[#This Row],[Pagado]]</f>
        <v>0</v>
      </c>
      <c r="H2149" s="153" t="s">
        <v>10</v>
      </c>
    </row>
    <row r="2150" spans="1:8" ht="31.5" x14ac:dyDescent="0.25">
      <c r="A2150" s="73">
        <v>44795</v>
      </c>
      <c r="B2150" s="74" t="s">
        <v>26889</v>
      </c>
      <c r="C2150" s="75" t="s">
        <v>12</v>
      </c>
      <c r="D2150" s="176">
        <v>7090.8</v>
      </c>
      <c r="E2150" s="147" t="s">
        <v>26890</v>
      </c>
      <c r="F2150" s="176">
        <f>6250+840.8</f>
        <v>7090.8</v>
      </c>
      <c r="G2150" s="177">
        <f>Tabla19[[#This Row],[Importe]]-Tabla19[[#This Row],[Pagado]]</f>
        <v>0</v>
      </c>
      <c r="H2150" s="75" t="s">
        <v>10</v>
      </c>
    </row>
    <row r="2151" spans="1:8" x14ac:dyDescent="0.25">
      <c r="A2151" s="148">
        <v>44795</v>
      </c>
      <c r="B2151" s="149" t="s">
        <v>26891</v>
      </c>
      <c r="C2151" s="153" t="s">
        <v>12</v>
      </c>
      <c r="D2151" s="178">
        <v>324.89999999999998</v>
      </c>
      <c r="E2151" s="155">
        <v>44797</v>
      </c>
      <c r="F2151" s="178">
        <v>324.89999999999998</v>
      </c>
      <c r="G2151" s="179">
        <f>Tabla19[[#This Row],[Importe]]-Tabla19[[#This Row],[Pagado]]</f>
        <v>0</v>
      </c>
      <c r="H2151" s="153" t="s">
        <v>10</v>
      </c>
    </row>
    <row r="2152" spans="1:8" x14ac:dyDescent="0.25">
      <c r="A2152" s="73">
        <v>44795</v>
      </c>
      <c r="B2152" s="74" t="s">
        <v>26892</v>
      </c>
      <c r="C2152" s="75" t="s">
        <v>17556</v>
      </c>
      <c r="D2152" s="176">
        <v>4395.6000000000004</v>
      </c>
      <c r="E2152" s="151">
        <v>44795</v>
      </c>
      <c r="F2152" s="176">
        <v>4395.6000000000004</v>
      </c>
      <c r="G2152" s="177">
        <f>Tabla19[[#This Row],[Importe]]-Tabla19[[#This Row],[Pagado]]</f>
        <v>0</v>
      </c>
      <c r="H2152" s="75" t="s">
        <v>10</v>
      </c>
    </row>
    <row r="2153" spans="1:8" x14ac:dyDescent="0.25">
      <c r="A2153" s="148">
        <v>44795</v>
      </c>
      <c r="B2153" s="149" t="s">
        <v>26893</v>
      </c>
      <c r="C2153" s="153" t="s">
        <v>1187</v>
      </c>
      <c r="D2153" s="178">
        <v>922.7</v>
      </c>
      <c r="E2153" s="155">
        <v>44795</v>
      </c>
      <c r="F2153" s="178">
        <v>922.7</v>
      </c>
      <c r="G2153" s="179">
        <f>Tabla19[[#This Row],[Importe]]-Tabla19[[#This Row],[Pagado]]</f>
        <v>0</v>
      </c>
      <c r="H2153" s="153" t="s">
        <v>10</v>
      </c>
    </row>
    <row r="2154" spans="1:8" x14ac:dyDescent="0.25">
      <c r="A2154" s="73">
        <v>44795</v>
      </c>
      <c r="B2154" s="74" t="s">
        <v>26894</v>
      </c>
      <c r="C2154" s="75" t="s">
        <v>484</v>
      </c>
      <c r="D2154" s="176">
        <v>4020.9</v>
      </c>
      <c r="E2154" s="151">
        <v>44795</v>
      </c>
      <c r="F2154" s="176">
        <v>4020.9</v>
      </c>
      <c r="G2154" s="177">
        <f>Tabla19[[#This Row],[Importe]]-Tabla19[[#This Row],[Pagado]]</f>
        <v>0</v>
      </c>
      <c r="H2154" s="75" t="s">
        <v>10</v>
      </c>
    </row>
    <row r="2155" spans="1:8" x14ac:dyDescent="0.25">
      <c r="A2155" s="148">
        <v>44795</v>
      </c>
      <c r="B2155" s="149" t="s">
        <v>26895</v>
      </c>
      <c r="C2155" s="153" t="s">
        <v>450</v>
      </c>
      <c r="D2155" s="178">
        <v>6373.7</v>
      </c>
      <c r="E2155" s="155">
        <v>44795</v>
      </c>
      <c r="F2155" s="178">
        <v>6373.7</v>
      </c>
      <c r="G2155" s="179">
        <f>Tabla19[[#This Row],[Importe]]-Tabla19[[#This Row],[Pagado]]</f>
        <v>0</v>
      </c>
      <c r="H2155" s="153" t="s">
        <v>10</v>
      </c>
    </row>
    <row r="2156" spans="1:8" x14ac:dyDescent="0.25">
      <c r="A2156" s="73">
        <v>44795</v>
      </c>
      <c r="B2156" s="74" t="s">
        <v>26896</v>
      </c>
      <c r="C2156" s="75" t="s">
        <v>27</v>
      </c>
      <c r="D2156" s="176">
        <v>2711.6</v>
      </c>
      <c r="E2156" s="151">
        <v>44795</v>
      </c>
      <c r="F2156" s="176">
        <v>2711.6</v>
      </c>
      <c r="G2156" s="177">
        <f>Tabla19[[#This Row],[Importe]]-Tabla19[[#This Row],[Pagado]]</f>
        <v>0</v>
      </c>
      <c r="H2156" s="75" t="s">
        <v>10</v>
      </c>
    </row>
    <row r="2157" spans="1:8" x14ac:dyDescent="0.25">
      <c r="A2157" s="148">
        <v>44795</v>
      </c>
      <c r="B2157" s="149" t="s">
        <v>26897</v>
      </c>
      <c r="C2157" s="153" t="s">
        <v>16</v>
      </c>
      <c r="D2157" s="178">
        <v>3645.6</v>
      </c>
      <c r="E2157" s="155">
        <v>44795</v>
      </c>
      <c r="F2157" s="178">
        <v>3645.6</v>
      </c>
      <c r="G2157" s="179">
        <f>Tabla19[[#This Row],[Importe]]-Tabla19[[#This Row],[Pagado]]</f>
        <v>0</v>
      </c>
      <c r="H2157" s="153" t="s">
        <v>10</v>
      </c>
    </row>
    <row r="2158" spans="1:8" x14ac:dyDescent="0.25">
      <c r="A2158" s="73">
        <v>44795</v>
      </c>
      <c r="B2158" s="74" t="s">
        <v>26898</v>
      </c>
      <c r="C2158" s="75" t="s">
        <v>16</v>
      </c>
      <c r="D2158" s="176">
        <v>3655.6</v>
      </c>
      <c r="E2158" s="151">
        <v>44795</v>
      </c>
      <c r="F2158" s="176">
        <v>3655.6</v>
      </c>
      <c r="G2158" s="177">
        <f>Tabla19[[#This Row],[Importe]]-Tabla19[[#This Row],[Pagado]]</f>
        <v>0</v>
      </c>
      <c r="H2158" s="75" t="s">
        <v>10</v>
      </c>
    </row>
    <row r="2159" spans="1:8" x14ac:dyDescent="0.25">
      <c r="A2159" s="148">
        <v>44795</v>
      </c>
      <c r="B2159" s="149" t="s">
        <v>26899</v>
      </c>
      <c r="C2159" s="153" t="s">
        <v>107</v>
      </c>
      <c r="D2159" s="178">
        <v>10444</v>
      </c>
      <c r="E2159" s="155">
        <v>44795</v>
      </c>
      <c r="F2159" s="178">
        <v>10444</v>
      </c>
      <c r="G2159" s="179">
        <f>Tabla19[[#This Row],[Importe]]-Tabla19[[#This Row],[Pagado]]</f>
        <v>0</v>
      </c>
      <c r="H2159" s="153" t="s">
        <v>10</v>
      </c>
    </row>
    <row r="2160" spans="1:8" x14ac:dyDescent="0.25">
      <c r="A2160" s="73">
        <v>44795</v>
      </c>
      <c r="B2160" s="74" t="s">
        <v>26900</v>
      </c>
      <c r="C2160" s="75" t="s">
        <v>11033</v>
      </c>
      <c r="D2160" s="176">
        <v>1840.7</v>
      </c>
      <c r="E2160" s="151">
        <v>44795</v>
      </c>
      <c r="F2160" s="176">
        <v>1840.7</v>
      </c>
      <c r="G2160" s="177">
        <f>Tabla19[[#This Row],[Importe]]-Tabla19[[#This Row],[Pagado]]</f>
        <v>0</v>
      </c>
      <c r="H2160" s="75" t="s">
        <v>10</v>
      </c>
    </row>
    <row r="2161" spans="1:8" x14ac:dyDescent="0.25">
      <c r="A2161" s="148">
        <v>44795</v>
      </c>
      <c r="B2161" s="149" t="s">
        <v>26901</v>
      </c>
      <c r="C2161" s="153" t="s">
        <v>127</v>
      </c>
      <c r="D2161" s="178">
        <v>1567.2</v>
      </c>
      <c r="E2161" s="155">
        <v>44795</v>
      </c>
      <c r="F2161" s="178">
        <v>1567.2</v>
      </c>
      <c r="G2161" s="179">
        <f>Tabla19[[#This Row],[Importe]]-Tabla19[[#This Row],[Pagado]]</f>
        <v>0</v>
      </c>
      <c r="H2161" s="153" t="s">
        <v>10</v>
      </c>
    </row>
    <row r="2162" spans="1:8" x14ac:dyDescent="0.25">
      <c r="A2162" s="73">
        <v>44795</v>
      </c>
      <c r="B2162" s="74" t="s">
        <v>26902</v>
      </c>
      <c r="C2162" s="75" t="s">
        <v>339</v>
      </c>
      <c r="D2162" s="176">
        <v>553</v>
      </c>
      <c r="E2162" s="151">
        <v>44795</v>
      </c>
      <c r="F2162" s="176">
        <v>553</v>
      </c>
      <c r="G2162" s="177">
        <f>Tabla19[[#This Row],[Importe]]-Tabla19[[#This Row],[Pagado]]</f>
        <v>0</v>
      </c>
      <c r="H2162" s="75" t="s">
        <v>10</v>
      </c>
    </row>
    <row r="2163" spans="1:8" x14ac:dyDescent="0.25">
      <c r="A2163" s="148">
        <v>44795</v>
      </c>
      <c r="B2163" s="149" t="s">
        <v>26903</v>
      </c>
      <c r="C2163" s="153" t="s">
        <v>357</v>
      </c>
      <c r="D2163" s="178">
        <v>584.6</v>
      </c>
      <c r="E2163" s="155">
        <v>44795</v>
      </c>
      <c r="F2163" s="178">
        <v>584.6</v>
      </c>
      <c r="G2163" s="179">
        <f>Tabla19[[#This Row],[Importe]]-Tabla19[[#This Row],[Pagado]]</f>
        <v>0</v>
      </c>
      <c r="H2163" s="153" t="s">
        <v>10</v>
      </c>
    </row>
    <row r="2164" spans="1:8" x14ac:dyDescent="0.25">
      <c r="A2164" s="73">
        <v>44795</v>
      </c>
      <c r="B2164" s="74" t="s">
        <v>26904</v>
      </c>
      <c r="C2164" s="75" t="s">
        <v>226</v>
      </c>
      <c r="D2164" s="176">
        <v>12084.8</v>
      </c>
      <c r="E2164" s="151">
        <v>44795</v>
      </c>
      <c r="F2164" s="176">
        <v>12084.8</v>
      </c>
      <c r="G2164" s="177">
        <f>Tabla19[[#This Row],[Importe]]-Tabla19[[#This Row],[Pagado]]</f>
        <v>0</v>
      </c>
      <c r="H2164" s="75" t="s">
        <v>10</v>
      </c>
    </row>
    <row r="2165" spans="1:8" x14ac:dyDescent="0.25">
      <c r="A2165" s="148">
        <v>44795</v>
      </c>
      <c r="B2165" s="149" t="s">
        <v>26905</v>
      </c>
      <c r="C2165" s="153" t="s">
        <v>275</v>
      </c>
      <c r="D2165" s="178">
        <v>46637.02</v>
      </c>
      <c r="E2165" s="155" t="s">
        <v>4813</v>
      </c>
      <c r="F2165" s="178">
        <v>0</v>
      </c>
      <c r="G2165" s="179">
        <f>Tabla19[[#This Row],[Importe]]-Tabla19[[#This Row],[Pagado]]</f>
        <v>46637.02</v>
      </c>
      <c r="H2165" s="153" t="s">
        <v>4814</v>
      </c>
    </row>
    <row r="2166" spans="1:8" x14ac:dyDescent="0.25">
      <c r="A2166" s="73">
        <v>44795</v>
      </c>
      <c r="B2166" s="74" t="s">
        <v>26906</v>
      </c>
      <c r="C2166" s="75" t="s">
        <v>83</v>
      </c>
      <c r="D2166" s="176">
        <v>12416</v>
      </c>
      <c r="E2166" s="151">
        <v>44795</v>
      </c>
      <c r="F2166" s="176">
        <v>12416</v>
      </c>
      <c r="G2166" s="177">
        <f>Tabla19[[#This Row],[Importe]]-Tabla19[[#This Row],[Pagado]]</f>
        <v>0</v>
      </c>
      <c r="H2166" s="75" t="s">
        <v>10</v>
      </c>
    </row>
    <row r="2167" spans="1:8" x14ac:dyDescent="0.25">
      <c r="A2167" s="148">
        <v>44795</v>
      </c>
      <c r="B2167" s="149" t="s">
        <v>26907</v>
      </c>
      <c r="C2167" s="153" t="s">
        <v>87</v>
      </c>
      <c r="D2167" s="178">
        <v>2906.6</v>
      </c>
      <c r="E2167" s="155">
        <v>44795</v>
      </c>
      <c r="F2167" s="178">
        <v>2906.6</v>
      </c>
      <c r="G2167" s="179">
        <f>Tabla19[[#This Row],[Importe]]-Tabla19[[#This Row],[Pagado]]</f>
        <v>0</v>
      </c>
      <c r="H2167" s="153" t="s">
        <v>10</v>
      </c>
    </row>
    <row r="2168" spans="1:8" x14ac:dyDescent="0.25">
      <c r="A2168" s="73">
        <v>44795</v>
      </c>
      <c r="B2168" s="74" t="s">
        <v>26908</v>
      </c>
      <c r="C2168" s="75" t="s">
        <v>275</v>
      </c>
      <c r="D2168" s="176">
        <v>1457</v>
      </c>
      <c r="E2168" s="151" t="s">
        <v>4813</v>
      </c>
      <c r="F2168" s="176">
        <v>0</v>
      </c>
      <c r="G2168" s="177">
        <f>Tabla19[[#This Row],[Importe]]-Tabla19[[#This Row],[Pagado]]</f>
        <v>1457</v>
      </c>
      <c r="H2168" s="75" t="s">
        <v>4814</v>
      </c>
    </row>
    <row r="2169" spans="1:8" x14ac:dyDescent="0.25">
      <c r="A2169" s="148">
        <v>44795</v>
      </c>
      <c r="B2169" s="149" t="s">
        <v>26909</v>
      </c>
      <c r="C2169" s="153" t="s">
        <v>146</v>
      </c>
      <c r="D2169" s="178">
        <v>5740.8</v>
      </c>
      <c r="E2169" s="155">
        <v>44795</v>
      </c>
      <c r="F2169" s="178">
        <v>5740.8</v>
      </c>
      <c r="G2169" s="179">
        <f>Tabla19[[#This Row],[Importe]]-Tabla19[[#This Row],[Pagado]]</f>
        <v>0</v>
      </c>
      <c r="H2169" s="153" t="s">
        <v>10</v>
      </c>
    </row>
    <row r="2170" spans="1:8" x14ac:dyDescent="0.25">
      <c r="A2170" s="73">
        <v>44795</v>
      </c>
      <c r="B2170" s="74" t="s">
        <v>26910</v>
      </c>
      <c r="C2170" s="75" t="s">
        <v>129</v>
      </c>
      <c r="D2170" s="176">
        <v>6030</v>
      </c>
      <c r="E2170" s="151">
        <v>44795</v>
      </c>
      <c r="F2170" s="176">
        <v>6030</v>
      </c>
      <c r="G2170" s="177">
        <f>Tabla19[[#This Row],[Importe]]-Tabla19[[#This Row],[Pagado]]</f>
        <v>0</v>
      </c>
      <c r="H2170" s="75" t="s">
        <v>10</v>
      </c>
    </row>
    <row r="2171" spans="1:8" x14ac:dyDescent="0.25">
      <c r="A2171" s="148">
        <v>44795</v>
      </c>
      <c r="B2171" s="149" t="s">
        <v>26911</v>
      </c>
      <c r="C2171" s="153" t="s">
        <v>140</v>
      </c>
      <c r="D2171" s="178">
        <v>5823.7</v>
      </c>
      <c r="E2171" s="155">
        <v>44795</v>
      </c>
      <c r="F2171" s="178">
        <v>5823.7</v>
      </c>
      <c r="G2171" s="179">
        <f>Tabla19[[#This Row],[Importe]]-Tabla19[[#This Row],[Pagado]]</f>
        <v>0</v>
      </c>
      <c r="H2171" s="153" t="s">
        <v>10</v>
      </c>
    </row>
    <row r="2172" spans="1:8" x14ac:dyDescent="0.25">
      <c r="A2172" s="73">
        <v>44795</v>
      </c>
      <c r="B2172" s="74" t="s">
        <v>26912</v>
      </c>
      <c r="C2172" s="75" t="s">
        <v>1362</v>
      </c>
      <c r="D2172" s="176">
        <v>5932.9</v>
      </c>
      <c r="E2172" s="151">
        <v>44795</v>
      </c>
      <c r="F2172" s="176">
        <v>5932.9</v>
      </c>
      <c r="G2172" s="177">
        <f>Tabla19[[#This Row],[Importe]]-Tabla19[[#This Row],[Pagado]]</f>
        <v>0</v>
      </c>
      <c r="H2172" s="75" t="s">
        <v>10</v>
      </c>
    </row>
    <row r="2173" spans="1:8" x14ac:dyDescent="0.25">
      <c r="A2173" s="148">
        <v>44795</v>
      </c>
      <c r="B2173" s="149" t="s">
        <v>26913</v>
      </c>
      <c r="C2173" s="153" t="s">
        <v>664</v>
      </c>
      <c r="D2173" s="178">
        <v>2804.5</v>
      </c>
      <c r="E2173" s="155">
        <v>44795</v>
      </c>
      <c r="F2173" s="178">
        <v>2804.5</v>
      </c>
      <c r="G2173" s="179">
        <f>Tabla19[[#This Row],[Importe]]-Tabla19[[#This Row],[Pagado]]</f>
        <v>0</v>
      </c>
      <c r="H2173" s="153" t="s">
        <v>10</v>
      </c>
    </row>
    <row r="2174" spans="1:8" x14ac:dyDescent="0.25">
      <c r="A2174" s="73">
        <v>44795</v>
      </c>
      <c r="B2174" s="74" t="s">
        <v>26914</v>
      </c>
      <c r="C2174" s="75" t="s">
        <v>14</v>
      </c>
      <c r="D2174" s="176">
        <v>19907.099999999999</v>
      </c>
      <c r="E2174" s="151">
        <v>44795</v>
      </c>
      <c r="F2174" s="176">
        <v>19907.099999999999</v>
      </c>
      <c r="G2174" s="177">
        <f>Tabla19[[#This Row],[Importe]]-Tabla19[[#This Row],[Pagado]]</f>
        <v>0</v>
      </c>
      <c r="H2174" s="75" t="s">
        <v>10</v>
      </c>
    </row>
    <row r="2175" spans="1:8" x14ac:dyDescent="0.25">
      <c r="A2175" s="148">
        <v>44795</v>
      </c>
      <c r="B2175" s="149" t="s">
        <v>26915</v>
      </c>
      <c r="C2175" s="153" t="s">
        <v>275</v>
      </c>
      <c r="D2175" s="178">
        <v>232742</v>
      </c>
      <c r="E2175" s="155" t="s">
        <v>4813</v>
      </c>
      <c r="F2175" s="178">
        <v>0</v>
      </c>
      <c r="G2175" s="179">
        <f>Tabla19[[#This Row],[Importe]]-Tabla19[[#This Row],[Pagado]]</f>
        <v>232742</v>
      </c>
      <c r="H2175" s="153" t="s">
        <v>4814</v>
      </c>
    </row>
    <row r="2176" spans="1:8" x14ac:dyDescent="0.25">
      <c r="A2176" s="73">
        <v>44795</v>
      </c>
      <c r="B2176" s="74" t="s">
        <v>26916</v>
      </c>
      <c r="C2176" s="75" t="s">
        <v>777</v>
      </c>
      <c r="D2176" s="176">
        <v>2349</v>
      </c>
      <c r="E2176" s="151">
        <v>44795</v>
      </c>
      <c r="F2176" s="176">
        <v>2349</v>
      </c>
      <c r="G2176" s="177">
        <f>Tabla19[[#This Row],[Importe]]-Tabla19[[#This Row],[Pagado]]</f>
        <v>0</v>
      </c>
      <c r="H2176" s="75" t="s">
        <v>10</v>
      </c>
    </row>
    <row r="2177" spans="1:8" x14ac:dyDescent="0.25">
      <c r="A2177" s="148">
        <v>44795</v>
      </c>
      <c r="B2177" s="149" t="s">
        <v>26917</v>
      </c>
      <c r="C2177" s="153" t="s">
        <v>14</v>
      </c>
      <c r="D2177" s="178">
        <v>3315</v>
      </c>
      <c r="E2177" s="155">
        <v>44795</v>
      </c>
      <c r="F2177" s="178">
        <v>3315</v>
      </c>
      <c r="G2177" s="179">
        <f>Tabla19[[#This Row],[Importe]]-Tabla19[[#This Row],[Pagado]]</f>
        <v>0</v>
      </c>
      <c r="H2177" s="153" t="s">
        <v>10</v>
      </c>
    </row>
    <row r="2178" spans="1:8" x14ac:dyDescent="0.25">
      <c r="A2178" s="73">
        <v>44795</v>
      </c>
      <c r="B2178" s="74" t="s">
        <v>26918</v>
      </c>
      <c r="C2178" s="75" t="s">
        <v>142</v>
      </c>
      <c r="D2178" s="176">
        <v>108419.36</v>
      </c>
      <c r="E2178" s="151" t="s">
        <v>4813</v>
      </c>
      <c r="F2178" s="176">
        <v>0</v>
      </c>
      <c r="G2178" s="177">
        <f>Tabla19[[#This Row],[Importe]]-Tabla19[[#This Row],[Pagado]]</f>
        <v>108419.36</v>
      </c>
      <c r="H2178" s="75" t="s">
        <v>4814</v>
      </c>
    </row>
    <row r="2179" spans="1:8" x14ac:dyDescent="0.25">
      <c r="A2179" s="148">
        <v>44795</v>
      </c>
      <c r="B2179" s="149" t="s">
        <v>26919</v>
      </c>
      <c r="C2179" s="153" t="s">
        <v>214</v>
      </c>
      <c r="D2179" s="178">
        <v>10474.200000000001</v>
      </c>
      <c r="E2179" s="155">
        <v>44795</v>
      </c>
      <c r="F2179" s="178">
        <v>10474.200000000001</v>
      </c>
      <c r="G2179" s="179">
        <f>Tabla19[[#This Row],[Importe]]-Tabla19[[#This Row],[Pagado]]</f>
        <v>0</v>
      </c>
      <c r="H2179" s="153" t="s">
        <v>10</v>
      </c>
    </row>
    <row r="2180" spans="1:8" x14ac:dyDescent="0.25">
      <c r="A2180" s="73">
        <v>44795</v>
      </c>
      <c r="B2180" s="74" t="s">
        <v>26920</v>
      </c>
      <c r="C2180" s="75" t="s">
        <v>275</v>
      </c>
      <c r="D2180" s="176">
        <v>3411</v>
      </c>
      <c r="E2180" s="151" t="s">
        <v>4813</v>
      </c>
      <c r="F2180" s="176">
        <v>0</v>
      </c>
      <c r="G2180" s="177">
        <f>Tabla19[[#This Row],[Importe]]-Tabla19[[#This Row],[Pagado]]</f>
        <v>3411</v>
      </c>
      <c r="H2180" s="75" t="s">
        <v>4814</v>
      </c>
    </row>
    <row r="2181" spans="1:8" x14ac:dyDescent="0.25">
      <c r="A2181" s="148">
        <v>44795</v>
      </c>
      <c r="B2181" s="149" t="s">
        <v>26921</v>
      </c>
      <c r="C2181" s="153" t="s">
        <v>45</v>
      </c>
      <c r="D2181" s="178">
        <v>10888.2</v>
      </c>
      <c r="E2181" s="155">
        <v>44795</v>
      </c>
      <c r="F2181" s="178">
        <v>10888.2</v>
      </c>
      <c r="G2181" s="179">
        <f>Tabla19[[#This Row],[Importe]]-Tabla19[[#This Row],[Pagado]]</f>
        <v>0</v>
      </c>
      <c r="H2181" s="153" t="s">
        <v>10</v>
      </c>
    </row>
    <row r="2182" spans="1:8" x14ac:dyDescent="0.25">
      <c r="A2182" s="73">
        <v>44795</v>
      </c>
      <c r="B2182" s="74" t="s">
        <v>26922</v>
      </c>
      <c r="C2182" s="75" t="s">
        <v>31</v>
      </c>
      <c r="D2182" s="176">
        <v>5032</v>
      </c>
      <c r="E2182" s="151">
        <v>44795</v>
      </c>
      <c r="F2182" s="176">
        <v>5032</v>
      </c>
      <c r="G2182" s="177">
        <f>Tabla19[[#This Row],[Importe]]-Tabla19[[#This Row],[Pagado]]</f>
        <v>0</v>
      </c>
      <c r="H2182" s="75" t="s">
        <v>10</v>
      </c>
    </row>
    <row r="2183" spans="1:8" x14ac:dyDescent="0.25">
      <c r="A2183" s="148">
        <v>44795</v>
      </c>
      <c r="B2183" s="149" t="s">
        <v>26923</v>
      </c>
      <c r="C2183" s="153" t="s">
        <v>58</v>
      </c>
      <c r="D2183" s="178">
        <v>3434.8</v>
      </c>
      <c r="E2183" s="155">
        <v>44795</v>
      </c>
      <c r="F2183" s="178">
        <v>3434.8</v>
      </c>
      <c r="G2183" s="179">
        <f>Tabla19[[#This Row],[Importe]]-Tabla19[[#This Row],[Pagado]]</f>
        <v>0</v>
      </c>
      <c r="H2183" s="153" t="s">
        <v>10</v>
      </c>
    </row>
    <row r="2184" spans="1:8" x14ac:dyDescent="0.25">
      <c r="A2184" s="73">
        <v>44795</v>
      </c>
      <c r="B2184" s="74" t="s">
        <v>26924</v>
      </c>
      <c r="C2184" s="75" t="s">
        <v>222</v>
      </c>
      <c r="D2184" s="176">
        <v>11673.4</v>
      </c>
      <c r="E2184" s="151">
        <v>44795</v>
      </c>
      <c r="F2184" s="176">
        <v>11673.4</v>
      </c>
      <c r="G2184" s="177">
        <f>Tabla19[[#This Row],[Importe]]-Tabla19[[#This Row],[Pagado]]</f>
        <v>0</v>
      </c>
      <c r="H2184" s="75" t="s">
        <v>10</v>
      </c>
    </row>
    <row r="2185" spans="1:8" x14ac:dyDescent="0.25">
      <c r="A2185" s="148">
        <v>44795</v>
      </c>
      <c r="B2185" s="149" t="s">
        <v>26925</v>
      </c>
      <c r="C2185" s="153" t="s">
        <v>196</v>
      </c>
      <c r="D2185" s="178">
        <v>68026.320000000007</v>
      </c>
      <c r="E2185" s="155">
        <v>44799</v>
      </c>
      <c r="F2185" s="178">
        <v>68026.320000000007</v>
      </c>
      <c r="G2185" s="179">
        <f>Tabla19[[#This Row],[Importe]]-Tabla19[[#This Row],[Pagado]]</f>
        <v>0</v>
      </c>
      <c r="H2185" s="153" t="s">
        <v>10</v>
      </c>
    </row>
    <row r="2186" spans="1:8" x14ac:dyDescent="0.25">
      <c r="A2186" s="73">
        <v>44795</v>
      </c>
      <c r="B2186" s="74" t="s">
        <v>26926</v>
      </c>
      <c r="C2186" s="75" t="s">
        <v>56</v>
      </c>
      <c r="D2186" s="176">
        <v>8317.5</v>
      </c>
      <c r="E2186" s="151">
        <v>44795</v>
      </c>
      <c r="F2186" s="176">
        <v>8317.5</v>
      </c>
      <c r="G2186" s="177">
        <f>Tabla19[[#This Row],[Importe]]-Tabla19[[#This Row],[Pagado]]</f>
        <v>0</v>
      </c>
      <c r="H2186" s="75" t="s">
        <v>10</v>
      </c>
    </row>
    <row r="2187" spans="1:8" x14ac:dyDescent="0.25">
      <c r="A2187" s="148">
        <v>44795</v>
      </c>
      <c r="B2187" s="149" t="s">
        <v>26927</v>
      </c>
      <c r="C2187" s="153" t="s">
        <v>196</v>
      </c>
      <c r="D2187" s="178">
        <v>1920</v>
      </c>
      <c r="E2187" s="155">
        <v>44799</v>
      </c>
      <c r="F2187" s="178">
        <v>1920</v>
      </c>
      <c r="G2187" s="179">
        <f>Tabla19[[#This Row],[Importe]]-Tabla19[[#This Row],[Pagado]]</f>
        <v>0</v>
      </c>
      <c r="H2187" s="153" t="s">
        <v>10</v>
      </c>
    </row>
    <row r="2188" spans="1:8" x14ac:dyDescent="0.25">
      <c r="A2188" s="73">
        <v>44795</v>
      </c>
      <c r="B2188" s="74" t="s">
        <v>26928</v>
      </c>
      <c r="C2188" s="75" t="s">
        <v>31</v>
      </c>
      <c r="D2188" s="176">
        <v>600.4</v>
      </c>
      <c r="E2188" s="151">
        <v>44795</v>
      </c>
      <c r="F2188" s="176">
        <v>600.4</v>
      </c>
      <c r="G2188" s="177">
        <f>Tabla19[[#This Row],[Importe]]-Tabla19[[#This Row],[Pagado]]</f>
        <v>0</v>
      </c>
      <c r="H2188" s="75" t="s">
        <v>10</v>
      </c>
    </row>
    <row r="2189" spans="1:8" x14ac:dyDescent="0.25">
      <c r="A2189" s="148">
        <v>44795</v>
      </c>
      <c r="B2189" s="149" t="s">
        <v>26929</v>
      </c>
      <c r="C2189" s="153" t="s">
        <v>289</v>
      </c>
      <c r="D2189" s="178">
        <v>14149.2</v>
      </c>
      <c r="E2189" s="155">
        <v>44795</v>
      </c>
      <c r="F2189" s="178">
        <v>14149.2</v>
      </c>
      <c r="G2189" s="179">
        <f>Tabla19[[#This Row],[Importe]]-Tabla19[[#This Row],[Pagado]]</f>
        <v>0</v>
      </c>
      <c r="H2189" s="153" t="s">
        <v>10</v>
      </c>
    </row>
    <row r="2190" spans="1:8" x14ac:dyDescent="0.25">
      <c r="A2190" s="73">
        <v>44795</v>
      </c>
      <c r="B2190" s="74" t="s">
        <v>26930</v>
      </c>
      <c r="C2190" s="75" t="s">
        <v>24</v>
      </c>
      <c r="D2190" s="176">
        <v>639.9</v>
      </c>
      <c r="E2190" s="151">
        <v>44795</v>
      </c>
      <c r="F2190" s="176">
        <v>639.9</v>
      </c>
      <c r="G2190" s="177">
        <f>Tabla19[[#This Row],[Importe]]-Tabla19[[#This Row],[Pagado]]</f>
        <v>0</v>
      </c>
      <c r="H2190" s="75" t="s">
        <v>10</v>
      </c>
    </row>
    <row r="2191" spans="1:8" x14ac:dyDescent="0.25">
      <c r="A2191" s="148">
        <v>44795</v>
      </c>
      <c r="B2191" s="149" t="s">
        <v>26931</v>
      </c>
      <c r="C2191" s="153" t="s">
        <v>450</v>
      </c>
      <c r="D2191" s="178">
        <v>3976</v>
      </c>
      <c r="E2191" s="155">
        <v>44795</v>
      </c>
      <c r="F2191" s="178">
        <v>3976</v>
      </c>
      <c r="G2191" s="179">
        <f>Tabla19[[#This Row],[Importe]]-Tabla19[[#This Row],[Pagado]]</f>
        <v>0</v>
      </c>
      <c r="H2191" s="153" t="s">
        <v>10</v>
      </c>
    </row>
    <row r="2192" spans="1:8" x14ac:dyDescent="0.25">
      <c r="A2192" s="73">
        <v>44795</v>
      </c>
      <c r="B2192" s="74" t="s">
        <v>26932</v>
      </c>
      <c r="C2192" s="75" t="s">
        <v>133</v>
      </c>
      <c r="D2192" s="176">
        <v>23290.799999999999</v>
      </c>
      <c r="E2192" s="151">
        <v>44796</v>
      </c>
      <c r="F2192" s="176">
        <v>23290.799999999999</v>
      </c>
      <c r="G2192" s="177">
        <f>Tabla19[[#This Row],[Importe]]-Tabla19[[#This Row],[Pagado]]</f>
        <v>0</v>
      </c>
      <c r="H2192" s="75" t="s">
        <v>10</v>
      </c>
    </row>
    <row r="2193" spans="1:8" x14ac:dyDescent="0.25">
      <c r="A2193" s="148">
        <v>44795</v>
      </c>
      <c r="B2193" s="149" t="s">
        <v>26933</v>
      </c>
      <c r="C2193" s="153" t="s">
        <v>154</v>
      </c>
      <c r="D2193" s="178">
        <v>15188.2</v>
      </c>
      <c r="E2193" s="155">
        <v>44798</v>
      </c>
      <c r="F2193" s="178">
        <v>15188.2</v>
      </c>
      <c r="G2193" s="179">
        <f>Tabla19[[#This Row],[Importe]]-Tabla19[[#This Row],[Pagado]]</f>
        <v>0</v>
      </c>
      <c r="H2193" s="153" t="s">
        <v>10</v>
      </c>
    </row>
    <row r="2194" spans="1:8" x14ac:dyDescent="0.25">
      <c r="A2194" s="73">
        <v>44795</v>
      </c>
      <c r="B2194" s="74" t="s">
        <v>26934</v>
      </c>
      <c r="C2194" s="75" t="s">
        <v>296</v>
      </c>
      <c r="D2194" s="176">
        <v>7412.8</v>
      </c>
      <c r="E2194" s="151">
        <v>44795</v>
      </c>
      <c r="F2194" s="176">
        <v>7412.8</v>
      </c>
      <c r="G2194" s="177">
        <f>Tabla19[[#This Row],[Importe]]-Tabla19[[#This Row],[Pagado]]</f>
        <v>0</v>
      </c>
      <c r="H2194" s="75" t="s">
        <v>10</v>
      </c>
    </row>
    <row r="2195" spans="1:8" x14ac:dyDescent="0.25">
      <c r="A2195" s="148">
        <v>44795</v>
      </c>
      <c r="B2195" s="149" t="s">
        <v>26935</v>
      </c>
      <c r="C2195" s="153" t="s">
        <v>1644</v>
      </c>
      <c r="D2195" s="178">
        <v>15631.2</v>
      </c>
      <c r="E2195" s="155">
        <v>44796</v>
      </c>
      <c r="F2195" s="178">
        <v>15631.2</v>
      </c>
      <c r="G2195" s="179">
        <f>Tabla19[[#This Row],[Importe]]-Tabla19[[#This Row],[Pagado]]</f>
        <v>0</v>
      </c>
      <c r="H2195" s="153" t="s">
        <v>10</v>
      </c>
    </row>
    <row r="2196" spans="1:8" x14ac:dyDescent="0.25">
      <c r="A2196" s="73">
        <v>44795</v>
      </c>
      <c r="B2196" s="74" t="s">
        <v>26936</v>
      </c>
      <c r="C2196" s="75" t="s">
        <v>12</v>
      </c>
      <c r="D2196" s="176">
        <v>16170.7</v>
      </c>
      <c r="E2196" s="151">
        <v>44795</v>
      </c>
      <c r="F2196" s="176">
        <v>16170.7</v>
      </c>
      <c r="G2196" s="177">
        <f>Tabla19[[#This Row],[Importe]]-Tabla19[[#This Row],[Pagado]]</f>
        <v>0</v>
      </c>
      <c r="H2196" s="75" t="s">
        <v>10</v>
      </c>
    </row>
    <row r="2197" spans="1:8" x14ac:dyDescent="0.25">
      <c r="A2197" s="148">
        <v>44795</v>
      </c>
      <c r="B2197" s="149" t="s">
        <v>26937</v>
      </c>
      <c r="C2197" s="153" t="s">
        <v>206</v>
      </c>
      <c r="D2197" s="178">
        <v>29337</v>
      </c>
      <c r="E2197" s="155">
        <v>44798</v>
      </c>
      <c r="F2197" s="178">
        <v>29337</v>
      </c>
      <c r="G2197" s="179">
        <f>Tabla19[[#This Row],[Importe]]-Tabla19[[#This Row],[Pagado]]</f>
        <v>0</v>
      </c>
      <c r="H2197" s="153" t="s">
        <v>10</v>
      </c>
    </row>
    <row r="2198" spans="1:8" x14ac:dyDescent="0.25">
      <c r="A2198" s="73">
        <v>44795</v>
      </c>
      <c r="B2198" s="74" t="s">
        <v>26938</v>
      </c>
      <c r="C2198" s="75" t="s">
        <v>212</v>
      </c>
      <c r="D2198" s="176">
        <v>30335.200000000001</v>
      </c>
      <c r="E2198" s="151">
        <v>44798</v>
      </c>
      <c r="F2198" s="176">
        <v>30335.200000000001</v>
      </c>
      <c r="G2198" s="177">
        <f>Tabla19[[#This Row],[Importe]]-Tabla19[[#This Row],[Pagado]]</f>
        <v>0</v>
      </c>
      <c r="H2198" s="75" t="s">
        <v>10</v>
      </c>
    </row>
    <row r="2199" spans="1:8" x14ac:dyDescent="0.25">
      <c r="A2199" s="148">
        <v>44795</v>
      </c>
      <c r="B2199" s="149" t="s">
        <v>26939</v>
      </c>
      <c r="C2199" s="153" t="s">
        <v>240</v>
      </c>
      <c r="D2199" s="178">
        <v>12048</v>
      </c>
      <c r="E2199" s="155">
        <v>44795</v>
      </c>
      <c r="F2199" s="178">
        <v>12048</v>
      </c>
      <c r="G2199" s="179">
        <f>Tabla19[[#This Row],[Importe]]-Tabla19[[#This Row],[Pagado]]</f>
        <v>0</v>
      </c>
      <c r="H2199" s="153" t="s">
        <v>10</v>
      </c>
    </row>
    <row r="2200" spans="1:8" x14ac:dyDescent="0.25">
      <c r="A2200" s="73">
        <v>44795</v>
      </c>
      <c r="B2200" s="74" t="s">
        <v>26940</v>
      </c>
      <c r="C2200" s="75" t="s">
        <v>244</v>
      </c>
      <c r="D2200" s="176">
        <v>1217.7</v>
      </c>
      <c r="E2200" s="151">
        <v>44795</v>
      </c>
      <c r="F2200" s="176">
        <v>1217.7</v>
      </c>
      <c r="G2200" s="177">
        <f>Tabla19[[#This Row],[Importe]]-Tabla19[[#This Row],[Pagado]]</f>
        <v>0</v>
      </c>
      <c r="H2200" s="75" t="s">
        <v>10</v>
      </c>
    </row>
    <row r="2201" spans="1:8" x14ac:dyDescent="0.25">
      <c r="A2201" s="148">
        <v>44795</v>
      </c>
      <c r="B2201" s="149" t="s">
        <v>26941</v>
      </c>
      <c r="C2201" s="153" t="s">
        <v>9827</v>
      </c>
      <c r="D2201" s="178">
        <v>1497.6</v>
      </c>
      <c r="E2201" s="155">
        <v>44795</v>
      </c>
      <c r="F2201" s="178">
        <v>1497.6</v>
      </c>
      <c r="G2201" s="179">
        <f>Tabla19[[#This Row],[Importe]]-Tabla19[[#This Row],[Pagado]]</f>
        <v>0</v>
      </c>
      <c r="H2201" s="153" t="s">
        <v>10</v>
      </c>
    </row>
    <row r="2202" spans="1:8" x14ac:dyDescent="0.25">
      <c r="A2202" s="73">
        <v>44795</v>
      </c>
      <c r="B2202" s="74" t="s">
        <v>26942</v>
      </c>
      <c r="C2202" s="75" t="s">
        <v>179</v>
      </c>
      <c r="D2202" s="176">
        <v>1521</v>
      </c>
      <c r="E2202" s="151">
        <v>44795</v>
      </c>
      <c r="F2202" s="176">
        <v>1521</v>
      </c>
      <c r="G2202" s="177">
        <f>Tabla19[[#This Row],[Importe]]-Tabla19[[#This Row],[Pagado]]</f>
        <v>0</v>
      </c>
      <c r="H2202" s="75" t="s">
        <v>10</v>
      </c>
    </row>
    <row r="2203" spans="1:8" x14ac:dyDescent="0.25">
      <c r="A2203" s="148">
        <v>44795</v>
      </c>
      <c r="B2203" s="149" t="s">
        <v>26943</v>
      </c>
      <c r="C2203" s="153" t="s">
        <v>9827</v>
      </c>
      <c r="D2203" s="178">
        <v>3736.2</v>
      </c>
      <c r="E2203" s="155">
        <v>44795</v>
      </c>
      <c r="F2203" s="178">
        <v>3736.2</v>
      </c>
      <c r="G2203" s="179">
        <f>Tabla19[[#This Row],[Importe]]-Tabla19[[#This Row],[Pagado]]</f>
        <v>0</v>
      </c>
      <c r="H2203" s="153" t="s">
        <v>10</v>
      </c>
    </row>
    <row r="2204" spans="1:8" x14ac:dyDescent="0.25">
      <c r="A2204" s="73">
        <v>44795</v>
      </c>
      <c r="B2204" s="74" t="s">
        <v>26944</v>
      </c>
      <c r="C2204" s="75" t="s">
        <v>26945</v>
      </c>
      <c r="D2204" s="176">
        <v>0</v>
      </c>
      <c r="E2204" s="157" t="s">
        <v>189</v>
      </c>
      <c r="F2204" s="176">
        <v>0</v>
      </c>
      <c r="G2204" s="177">
        <f>Tabla19[[#This Row],[Importe]]-Tabla19[[#This Row],[Pagado]]</f>
        <v>0</v>
      </c>
      <c r="H2204" s="161" t="s">
        <v>26946</v>
      </c>
    </row>
    <row r="2205" spans="1:8" x14ac:dyDescent="0.25">
      <c r="A2205" s="148">
        <v>44795</v>
      </c>
      <c r="B2205" s="149" t="s">
        <v>26947</v>
      </c>
      <c r="C2205" s="153" t="s">
        <v>67</v>
      </c>
      <c r="D2205" s="178">
        <v>4790.6000000000004</v>
      </c>
      <c r="E2205" s="155">
        <v>44795</v>
      </c>
      <c r="F2205" s="178">
        <v>4790.6000000000004</v>
      </c>
      <c r="G2205" s="179">
        <f>Tabla19[[#This Row],[Importe]]-Tabla19[[#This Row],[Pagado]]</f>
        <v>0</v>
      </c>
      <c r="H2205" s="153" t="s">
        <v>10</v>
      </c>
    </row>
    <row r="2206" spans="1:8" x14ac:dyDescent="0.25">
      <c r="A2206" s="73">
        <v>44795</v>
      </c>
      <c r="B2206" s="74" t="s">
        <v>26948</v>
      </c>
      <c r="C2206" s="75" t="s">
        <v>173</v>
      </c>
      <c r="D2206" s="176">
        <v>41730</v>
      </c>
      <c r="E2206" s="151">
        <v>44796</v>
      </c>
      <c r="F2206" s="176">
        <v>41730</v>
      </c>
      <c r="G2206" s="177">
        <f>Tabla19[[#This Row],[Importe]]-Tabla19[[#This Row],[Pagado]]</f>
        <v>0</v>
      </c>
      <c r="H2206" s="75" t="s">
        <v>10</v>
      </c>
    </row>
    <row r="2207" spans="1:8" x14ac:dyDescent="0.25">
      <c r="A2207" s="148">
        <v>44795</v>
      </c>
      <c r="B2207" s="149" t="s">
        <v>26949</v>
      </c>
      <c r="C2207" s="153" t="s">
        <v>214</v>
      </c>
      <c r="D2207" s="178">
        <v>1419.6</v>
      </c>
      <c r="E2207" s="155">
        <v>44795</v>
      </c>
      <c r="F2207" s="178">
        <v>1419.6</v>
      </c>
      <c r="G2207" s="179">
        <f>Tabla19[[#This Row],[Importe]]-Tabla19[[#This Row],[Pagado]]</f>
        <v>0</v>
      </c>
      <c r="H2207" s="153" t="s">
        <v>10</v>
      </c>
    </row>
    <row r="2208" spans="1:8" x14ac:dyDescent="0.25">
      <c r="A2208" s="73">
        <v>44795</v>
      </c>
      <c r="B2208" s="74" t="s">
        <v>26950</v>
      </c>
      <c r="C2208" s="75" t="s">
        <v>7745</v>
      </c>
      <c r="D2208" s="176">
        <v>36999.93</v>
      </c>
      <c r="E2208" s="151">
        <v>44795</v>
      </c>
      <c r="F2208" s="176">
        <v>36999.93</v>
      </c>
      <c r="G2208" s="177">
        <f>Tabla19[[#This Row],[Importe]]-Tabla19[[#This Row],[Pagado]]</f>
        <v>0</v>
      </c>
      <c r="H2208" s="75" t="s">
        <v>10</v>
      </c>
    </row>
    <row r="2209" spans="1:8" x14ac:dyDescent="0.25">
      <c r="A2209" s="148">
        <v>44795</v>
      </c>
      <c r="B2209" s="149" t="s">
        <v>26951</v>
      </c>
      <c r="C2209" s="153" t="s">
        <v>16</v>
      </c>
      <c r="D2209" s="178">
        <v>128</v>
      </c>
      <c r="E2209" s="155">
        <v>44795</v>
      </c>
      <c r="F2209" s="178">
        <v>128</v>
      </c>
      <c r="G2209" s="179">
        <f>Tabla19[[#This Row],[Importe]]-Tabla19[[#This Row],[Pagado]]</f>
        <v>0</v>
      </c>
      <c r="H2209" s="153" t="s">
        <v>10</v>
      </c>
    </row>
    <row r="2210" spans="1:8" x14ac:dyDescent="0.25">
      <c r="A2210" s="73">
        <v>44795</v>
      </c>
      <c r="B2210" s="74" t="s">
        <v>26952</v>
      </c>
      <c r="C2210" s="75" t="s">
        <v>1378</v>
      </c>
      <c r="D2210" s="176">
        <v>52214.400000000001</v>
      </c>
      <c r="E2210" s="151">
        <v>44796</v>
      </c>
      <c r="F2210" s="176">
        <v>52214.400000000001</v>
      </c>
      <c r="G2210" s="177">
        <f>Tabla19[[#This Row],[Importe]]-Tabla19[[#This Row],[Pagado]]</f>
        <v>0</v>
      </c>
      <c r="H2210" s="75" t="s">
        <v>10</v>
      </c>
    </row>
    <row r="2211" spans="1:8" x14ac:dyDescent="0.25">
      <c r="A2211" s="148">
        <v>44795</v>
      </c>
      <c r="B2211" s="149" t="s">
        <v>26953</v>
      </c>
      <c r="C2211" s="153" t="s">
        <v>528</v>
      </c>
      <c r="D2211" s="178">
        <v>38280</v>
      </c>
      <c r="E2211" s="155">
        <v>44796</v>
      </c>
      <c r="F2211" s="178">
        <v>38280</v>
      </c>
      <c r="G2211" s="179">
        <f>Tabla19[[#This Row],[Importe]]-Tabla19[[#This Row],[Pagado]]</f>
        <v>0</v>
      </c>
      <c r="H2211" s="153" t="s">
        <v>10</v>
      </c>
    </row>
    <row r="2212" spans="1:8" x14ac:dyDescent="0.25">
      <c r="A2212" s="73">
        <v>44795</v>
      </c>
      <c r="B2212" s="74" t="s">
        <v>26954</v>
      </c>
      <c r="C2212" s="75" t="s">
        <v>365</v>
      </c>
      <c r="D2212" s="176">
        <v>1323.3</v>
      </c>
      <c r="E2212" s="151">
        <v>44795</v>
      </c>
      <c r="F2212" s="176">
        <v>1323.3</v>
      </c>
      <c r="G2212" s="177">
        <f>Tabla19[[#This Row],[Importe]]-Tabla19[[#This Row],[Pagado]]</f>
        <v>0</v>
      </c>
      <c r="H2212" s="75" t="s">
        <v>10</v>
      </c>
    </row>
    <row r="2213" spans="1:8" x14ac:dyDescent="0.25">
      <c r="A2213" s="148">
        <v>44795</v>
      </c>
      <c r="B2213" s="149" t="s">
        <v>26955</v>
      </c>
      <c r="C2213" s="153" t="s">
        <v>698</v>
      </c>
      <c r="D2213" s="178">
        <v>6756.3</v>
      </c>
      <c r="E2213" s="155">
        <v>44795</v>
      </c>
      <c r="F2213" s="178">
        <v>6756.3</v>
      </c>
      <c r="G2213" s="179">
        <f>Tabla19[[#This Row],[Importe]]-Tabla19[[#This Row],[Pagado]]</f>
        <v>0</v>
      </c>
      <c r="H2213" s="153" t="s">
        <v>10</v>
      </c>
    </row>
    <row r="2214" spans="1:8" x14ac:dyDescent="0.25">
      <c r="A2214" s="73">
        <v>44795</v>
      </c>
      <c r="B2214" s="74" t="s">
        <v>26956</v>
      </c>
      <c r="C2214" s="75" t="s">
        <v>407</v>
      </c>
      <c r="D2214" s="176">
        <v>28243.599999999999</v>
      </c>
      <c r="E2214" s="151" t="s">
        <v>26221</v>
      </c>
      <c r="F2214" s="176">
        <v>28243.599999999999</v>
      </c>
      <c r="G2214" s="177">
        <f>Tabla19[[#This Row],[Importe]]-Tabla19[[#This Row],[Pagado]]</f>
        <v>0</v>
      </c>
      <c r="H2214" s="75" t="s">
        <v>10</v>
      </c>
    </row>
    <row r="2215" spans="1:8" x14ac:dyDescent="0.25">
      <c r="A2215" s="148">
        <v>44795</v>
      </c>
      <c r="B2215" s="149" t="s">
        <v>26957</v>
      </c>
      <c r="C2215" s="153" t="s">
        <v>31</v>
      </c>
      <c r="D2215" s="178">
        <v>8762</v>
      </c>
      <c r="E2215" s="155">
        <v>44795</v>
      </c>
      <c r="F2215" s="178">
        <v>8762</v>
      </c>
      <c r="G2215" s="179">
        <f>Tabla19[[#This Row],[Importe]]-Tabla19[[#This Row],[Pagado]]</f>
        <v>0</v>
      </c>
      <c r="H2215" s="153" t="s">
        <v>10</v>
      </c>
    </row>
    <row r="2216" spans="1:8" x14ac:dyDescent="0.25">
      <c r="A2216" s="73">
        <v>44795</v>
      </c>
      <c r="B2216" s="74" t="s">
        <v>26958</v>
      </c>
      <c r="C2216" s="75" t="s">
        <v>312</v>
      </c>
      <c r="D2216" s="176">
        <v>6301.8</v>
      </c>
      <c r="E2216" s="151">
        <v>44796</v>
      </c>
      <c r="F2216" s="176">
        <v>6301.8</v>
      </c>
      <c r="G2216" s="177">
        <f>Tabla19[[#This Row],[Importe]]-Tabla19[[#This Row],[Pagado]]</f>
        <v>0</v>
      </c>
      <c r="H2216" s="75" t="s">
        <v>10</v>
      </c>
    </row>
    <row r="2217" spans="1:8" x14ac:dyDescent="0.25">
      <c r="A2217" s="148">
        <v>44795</v>
      </c>
      <c r="B2217" s="149" t="s">
        <v>26959</v>
      </c>
      <c r="C2217" s="153" t="s">
        <v>175</v>
      </c>
      <c r="D2217" s="178">
        <v>18781.7</v>
      </c>
      <c r="E2217" s="155">
        <v>44796</v>
      </c>
      <c r="F2217" s="178">
        <v>18781.7</v>
      </c>
      <c r="G2217" s="179">
        <f>Tabla19[[#This Row],[Importe]]-Tabla19[[#This Row],[Pagado]]</f>
        <v>0</v>
      </c>
      <c r="H2217" s="153" t="s">
        <v>10</v>
      </c>
    </row>
    <row r="2218" spans="1:8" x14ac:dyDescent="0.25">
      <c r="A2218" s="73">
        <v>44795</v>
      </c>
      <c r="B2218" s="74" t="s">
        <v>26960</v>
      </c>
      <c r="C2218" s="75" t="s">
        <v>181</v>
      </c>
      <c r="D2218" s="176">
        <v>14452.2</v>
      </c>
      <c r="E2218" s="151">
        <v>44796</v>
      </c>
      <c r="F2218" s="176">
        <v>14452.2</v>
      </c>
      <c r="G2218" s="177">
        <f>Tabla19[[#This Row],[Importe]]-Tabla19[[#This Row],[Pagado]]</f>
        <v>0</v>
      </c>
      <c r="H2218" s="75" t="s">
        <v>10</v>
      </c>
    </row>
    <row r="2219" spans="1:8" x14ac:dyDescent="0.25">
      <c r="A2219" s="148">
        <v>44795</v>
      </c>
      <c r="B2219" s="149" t="s">
        <v>26961</v>
      </c>
      <c r="C2219" s="153" t="s">
        <v>359</v>
      </c>
      <c r="D2219" s="178">
        <v>777</v>
      </c>
      <c r="E2219" s="155">
        <v>44796</v>
      </c>
      <c r="F2219" s="178">
        <v>777</v>
      </c>
      <c r="G2219" s="179">
        <f>Tabla19[[#This Row],[Importe]]-Tabla19[[#This Row],[Pagado]]</f>
        <v>0</v>
      </c>
      <c r="H2219" s="153" t="s">
        <v>10</v>
      </c>
    </row>
    <row r="2220" spans="1:8" x14ac:dyDescent="0.25">
      <c r="A2220" s="73">
        <v>44795</v>
      </c>
      <c r="B2220" s="74" t="s">
        <v>26962</v>
      </c>
      <c r="C2220" s="75" t="s">
        <v>426</v>
      </c>
      <c r="D2220" s="176">
        <v>6842.7</v>
      </c>
      <c r="E2220" s="151">
        <v>44796</v>
      </c>
      <c r="F2220" s="176">
        <v>6842.7</v>
      </c>
      <c r="G2220" s="177">
        <f>Tabla19[[#This Row],[Importe]]-Tabla19[[#This Row],[Pagado]]</f>
        <v>0</v>
      </c>
      <c r="H2220" s="75" t="s">
        <v>10</v>
      </c>
    </row>
    <row r="2221" spans="1:8" x14ac:dyDescent="0.25">
      <c r="A2221" s="148">
        <v>44795</v>
      </c>
      <c r="B2221" s="149" t="s">
        <v>26963</v>
      </c>
      <c r="C2221" s="153" t="s">
        <v>198</v>
      </c>
      <c r="D2221" s="178">
        <v>5296.8</v>
      </c>
      <c r="E2221" s="155">
        <v>44796</v>
      </c>
      <c r="F2221" s="178">
        <v>5296.8</v>
      </c>
      <c r="G2221" s="179">
        <f>Tabla19[[#This Row],[Importe]]-Tabla19[[#This Row],[Pagado]]</f>
        <v>0</v>
      </c>
      <c r="H2221" s="153" t="s">
        <v>10</v>
      </c>
    </row>
    <row r="2222" spans="1:8" x14ac:dyDescent="0.25">
      <c r="A2222" s="73">
        <v>44795</v>
      </c>
      <c r="B2222" s="74" t="s">
        <v>26964</v>
      </c>
      <c r="C2222" s="75" t="s">
        <v>2020</v>
      </c>
      <c r="D2222" s="176">
        <v>19500</v>
      </c>
      <c r="E2222" s="151">
        <v>44795</v>
      </c>
      <c r="F2222" s="176">
        <v>19500</v>
      </c>
      <c r="G2222" s="177">
        <f>Tabla19[[#This Row],[Importe]]-Tabla19[[#This Row],[Pagado]]</f>
        <v>0</v>
      </c>
      <c r="H2222" s="75" t="s">
        <v>10</v>
      </c>
    </row>
    <row r="2223" spans="1:8" x14ac:dyDescent="0.25">
      <c r="A2223" s="148">
        <v>44795</v>
      </c>
      <c r="B2223" s="149" t="s">
        <v>26965</v>
      </c>
      <c r="C2223" s="153" t="s">
        <v>31</v>
      </c>
      <c r="D2223" s="178">
        <v>1295.5999999999999</v>
      </c>
      <c r="E2223" s="155">
        <v>44795</v>
      </c>
      <c r="F2223" s="178">
        <v>1295.5999999999999</v>
      </c>
      <c r="G2223" s="179">
        <f>Tabla19[[#This Row],[Importe]]-Tabla19[[#This Row],[Pagado]]</f>
        <v>0</v>
      </c>
      <c r="H2223" s="153" t="s">
        <v>10</v>
      </c>
    </row>
    <row r="2224" spans="1:8" x14ac:dyDescent="0.25">
      <c r="A2224" s="73">
        <v>44795</v>
      </c>
      <c r="B2224" s="74" t="s">
        <v>26966</v>
      </c>
      <c r="C2224" s="75" t="s">
        <v>26967</v>
      </c>
      <c r="D2224" s="176">
        <v>0</v>
      </c>
      <c r="E2224" s="157" t="s">
        <v>189</v>
      </c>
      <c r="F2224" s="176">
        <v>0</v>
      </c>
      <c r="G2224" s="177">
        <f>Tabla19[[#This Row],[Importe]]-Tabla19[[#This Row],[Pagado]]</f>
        <v>0</v>
      </c>
      <c r="H2224" s="161" t="s">
        <v>26968</v>
      </c>
    </row>
    <row r="2225" spans="1:8" x14ac:dyDescent="0.25">
      <c r="A2225" s="148">
        <v>44795</v>
      </c>
      <c r="B2225" s="149" t="s">
        <v>26969</v>
      </c>
      <c r="C2225" s="153" t="s">
        <v>135</v>
      </c>
      <c r="D2225" s="178">
        <v>2509.4</v>
      </c>
      <c r="E2225" s="155">
        <v>44795</v>
      </c>
      <c r="F2225" s="178">
        <v>2509.4</v>
      </c>
      <c r="G2225" s="179">
        <f>Tabla19[[#This Row],[Importe]]-Tabla19[[#This Row],[Pagado]]</f>
        <v>0</v>
      </c>
      <c r="H2225" s="153" t="s">
        <v>10</v>
      </c>
    </row>
    <row r="2226" spans="1:8" x14ac:dyDescent="0.25">
      <c r="A2226" s="73">
        <v>44795</v>
      </c>
      <c r="B2226" s="74" t="s">
        <v>26970</v>
      </c>
      <c r="C2226" s="75" t="s">
        <v>421</v>
      </c>
      <c r="D2226" s="176">
        <v>5786.8</v>
      </c>
      <c r="E2226" s="151">
        <v>44795</v>
      </c>
      <c r="F2226" s="176">
        <v>5786.8</v>
      </c>
      <c r="G2226" s="177">
        <f>Tabla19[[#This Row],[Importe]]-Tabla19[[#This Row],[Pagado]]</f>
        <v>0</v>
      </c>
      <c r="H2226" s="75" t="s">
        <v>10</v>
      </c>
    </row>
    <row r="2227" spans="1:8" x14ac:dyDescent="0.25">
      <c r="A2227" s="148">
        <v>44795</v>
      </c>
      <c r="B2227" s="149" t="s">
        <v>26971</v>
      </c>
      <c r="C2227" s="153" t="s">
        <v>421</v>
      </c>
      <c r="D2227" s="178">
        <v>4130.3999999999996</v>
      </c>
      <c r="E2227" s="155">
        <v>44795</v>
      </c>
      <c r="F2227" s="178">
        <v>4130.3999999999996</v>
      </c>
      <c r="G2227" s="179">
        <f>Tabla19[[#This Row],[Importe]]-Tabla19[[#This Row],[Pagado]]</f>
        <v>0</v>
      </c>
      <c r="H2227" s="153" t="s">
        <v>10</v>
      </c>
    </row>
    <row r="2228" spans="1:8" x14ac:dyDescent="0.25">
      <c r="A2228" s="73">
        <v>44795</v>
      </c>
      <c r="B2228" s="74" t="s">
        <v>26972</v>
      </c>
      <c r="C2228" s="75" t="s">
        <v>69</v>
      </c>
      <c r="D2228" s="176">
        <v>2010</v>
      </c>
      <c r="E2228" s="151">
        <v>44795</v>
      </c>
      <c r="F2228" s="176">
        <v>2010</v>
      </c>
      <c r="G2228" s="177">
        <f>Tabla19[[#This Row],[Importe]]-Tabla19[[#This Row],[Pagado]]</f>
        <v>0</v>
      </c>
      <c r="H2228" s="75" t="s">
        <v>10</v>
      </c>
    </row>
    <row r="2229" spans="1:8" x14ac:dyDescent="0.25">
      <c r="A2229" s="148">
        <v>44795</v>
      </c>
      <c r="B2229" s="149" t="s">
        <v>26973</v>
      </c>
      <c r="C2229" s="153" t="s">
        <v>286</v>
      </c>
      <c r="D2229" s="178">
        <v>37650</v>
      </c>
      <c r="E2229" s="155">
        <v>44796</v>
      </c>
      <c r="F2229" s="178">
        <v>37650</v>
      </c>
      <c r="G2229" s="179">
        <f>Tabla19[[#This Row],[Importe]]-Tabla19[[#This Row],[Pagado]]</f>
        <v>0</v>
      </c>
      <c r="H2229" s="153" t="s">
        <v>10</v>
      </c>
    </row>
    <row r="2230" spans="1:8" x14ac:dyDescent="0.25">
      <c r="A2230" s="73">
        <v>44795</v>
      </c>
      <c r="B2230" s="74" t="s">
        <v>26974</v>
      </c>
      <c r="C2230" s="75" t="s">
        <v>10678</v>
      </c>
      <c r="D2230" s="176">
        <v>5036.6000000000004</v>
      </c>
      <c r="E2230" s="151">
        <v>44795</v>
      </c>
      <c r="F2230" s="176">
        <v>5036.6000000000004</v>
      </c>
      <c r="G2230" s="177">
        <f>Tabla19[[#This Row],[Importe]]-Tabla19[[#This Row],[Pagado]]</f>
        <v>0</v>
      </c>
      <c r="H2230" s="75" t="s">
        <v>10</v>
      </c>
    </row>
    <row r="2231" spans="1:8" x14ac:dyDescent="0.25">
      <c r="A2231" s="148">
        <v>44795</v>
      </c>
      <c r="B2231" s="149" t="s">
        <v>26975</v>
      </c>
      <c r="C2231" s="153" t="s">
        <v>12</v>
      </c>
      <c r="D2231" s="178">
        <v>5482.5</v>
      </c>
      <c r="E2231" s="155">
        <v>44797</v>
      </c>
      <c r="F2231" s="178">
        <v>5482.5</v>
      </c>
      <c r="G2231" s="179">
        <f>Tabla19[[#This Row],[Importe]]-Tabla19[[#This Row],[Pagado]]</f>
        <v>0</v>
      </c>
      <c r="H2231" s="153" t="s">
        <v>10</v>
      </c>
    </row>
    <row r="2232" spans="1:8" x14ac:dyDescent="0.25">
      <c r="A2232" s="73">
        <v>44795</v>
      </c>
      <c r="B2232" s="74" t="s">
        <v>26976</v>
      </c>
      <c r="C2232" s="75" t="s">
        <v>53</v>
      </c>
      <c r="D2232" s="176">
        <v>734.7</v>
      </c>
      <c r="E2232" s="151">
        <v>44795</v>
      </c>
      <c r="F2232" s="176">
        <v>734.7</v>
      </c>
      <c r="G2232" s="177">
        <f>Tabla19[[#This Row],[Importe]]-Tabla19[[#This Row],[Pagado]]</f>
        <v>0</v>
      </c>
      <c r="H2232" s="75" t="s">
        <v>10</v>
      </c>
    </row>
    <row r="2233" spans="1:8" x14ac:dyDescent="0.25">
      <c r="A2233" s="148">
        <v>44795</v>
      </c>
      <c r="B2233" s="149" t="s">
        <v>26977</v>
      </c>
      <c r="C2233" s="153" t="s">
        <v>373</v>
      </c>
      <c r="D2233" s="178">
        <v>43.5</v>
      </c>
      <c r="E2233" s="155">
        <v>44795</v>
      </c>
      <c r="F2233" s="178">
        <v>43.5</v>
      </c>
      <c r="G2233" s="179">
        <f>Tabla19[[#This Row],[Importe]]-Tabla19[[#This Row],[Pagado]]</f>
        <v>0</v>
      </c>
      <c r="H2233" s="153" t="s">
        <v>10</v>
      </c>
    </row>
    <row r="2234" spans="1:8" x14ac:dyDescent="0.25">
      <c r="A2234" s="73">
        <v>44795</v>
      </c>
      <c r="B2234" s="74" t="s">
        <v>26978</v>
      </c>
      <c r="C2234" s="75" t="s">
        <v>459</v>
      </c>
      <c r="D2234" s="176">
        <v>213</v>
      </c>
      <c r="E2234" s="151">
        <v>44795</v>
      </c>
      <c r="F2234" s="176">
        <v>213</v>
      </c>
      <c r="G2234" s="177">
        <f>Tabla19[[#This Row],[Importe]]-Tabla19[[#This Row],[Pagado]]</f>
        <v>0</v>
      </c>
      <c r="H2234" s="75" t="s">
        <v>10</v>
      </c>
    </row>
    <row r="2235" spans="1:8" x14ac:dyDescent="0.25">
      <c r="A2235" s="148">
        <v>44795</v>
      </c>
      <c r="B2235" s="149" t="s">
        <v>26979</v>
      </c>
      <c r="C2235" s="153" t="s">
        <v>463</v>
      </c>
      <c r="D2235" s="178">
        <v>550</v>
      </c>
      <c r="E2235" s="155">
        <v>44795</v>
      </c>
      <c r="F2235" s="178">
        <v>550</v>
      </c>
      <c r="G2235" s="179">
        <f>Tabla19[[#This Row],[Importe]]-Tabla19[[#This Row],[Pagado]]</f>
        <v>0</v>
      </c>
      <c r="H2235" s="153" t="s">
        <v>10</v>
      </c>
    </row>
    <row r="2236" spans="1:8" x14ac:dyDescent="0.25">
      <c r="A2236" s="73">
        <v>44795</v>
      </c>
      <c r="B2236" s="74" t="s">
        <v>26980</v>
      </c>
      <c r="C2236" s="75" t="s">
        <v>461</v>
      </c>
      <c r="D2236" s="176">
        <v>394</v>
      </c>
      <c r="E2236" s="151">
        <v>44795</v>
      </c>
      <c r="F2236" s="176">
        <v>394</v>
      </c>
      <c r="G2236" s="177">
        <f>Tabla19[[#This Row],[Importe]]-Tabla19[[#This Row],[Pagado]]</f>
        <v>0</v>
      </c>
      <c r="H2236" s="75" t="s">
        <v>10</v>
      </c>
    </row>
    <row r="2237" spans="1:8" x14ac:dyDescent="0.25">
      <c r="A2237" s="148">
        <v>44795</v>
      </c>
      <c r="B2237" s="149" t="s">
        <v>26981</v>
      </c>
      <c r="C2237" s="153" t="s">
        <v>31</v>
      </c>
      <c r="D2237" s="178">
        <v>295</v>
      </c>
      <c r="E2237" s="155">
        <v>44795</v>
      </c>
      <c r="F2237" s="178">
        <v>295</v>
      </c>
      <c r="G2237" s="179">
        <f>Tabla19[[#This Row],[Importe]]-Tabla19[[#This Row],[Pagado]]</f>
        <v>0</v>
      </c>
      <c r="H2237" s="153" t="s">
        <v>10</v>
      </c>
    </row>
    <row r="2238" spans="1:8" x14ac:dyDescent="0.25">
      <c r="A2238" s="73">
        <v>44795</v>
      </c>
      <c r="B2238" s="74" t="s">
        <v>26982</v>
      </c>
      <c r="C2238" s="75" t="s">
        <v>280</v>
      </c>
      <c r="D2238" s="176">
        <v>647.4</v>
      </c>
      <c r="E2238" s="151">
        <v>44796</v>
      </c>
      <c r="F2238" s="176">
        <v>647.4</v>
      </c>
      <c r="G2238" s="177">
        <f>Tabla19[[#This Row],[Importe]]-Tabla19[[#This Row],[Pagado]]</f>
        <v>0</v>
      </c>
      <c r="H2238" s="75" t="s">
        <v>10</v>
      </c>
    </row>
    <row r="2239" spans="1:8" x14ac:dyDescent="0.25">
      <c r="A2239" s="148">
        <v>44795</v>
      </c>
      <c r="B2239" s="149" t="s">
        <v>26983</v>
      </c>
      <c r="C2239" s="153" t="s">
        <v>282</v>
      </c>
      <c r="D2239" s="178">
        <v>3315</v>
      </c>
      <c r="E2239" s="155">
        <v>44796</v>
      </c>
      <c r="F2239" s="178">
        <v>3315</v>
      </c>
      <c r="G2239" s="179">
        <f>Tabla19[[#This Row],[Importe]]-Tabla19[[#This Row],[Pagado]]</f>
        <v>0</v>
      </c>
      <c r="H2239" s="153" t="s">
        <v>10</v>
      </c>
    </row>
    <row r="2240" spans="1:8" x14ac:dyDescent="0.25">
      <c r="A2240" s="73">
        <v>44795</v>
      </c>
      <c r="B2240" s="74" t="s">
        <v>26984</v>
      </c>
      <c r="C2240" s="75" t="s">
        <v>1421</v>
      </c>
      <c r="D2240" s="176">
        <v>32953.800000000003</v>
      </c>
      <c r="E2240" s="151">
        <v>44795</v>
      </c>
      <c r="F2240" s="176">
        <v>32953.800000000003</v>
      </c>
      <c r="G2240" s="177">
        <f>Tabla19[[#This Row],[Importe]]-Tabla19[[#This Row],[Pagado]]</f>
        <v>0</v>
      </c>
      <c r="H2240" s="75" t="s">
        <v>10</v>
      </c>
    </row>
    <row r="2241" spans="1:8" x14ac:dyDescent="0.25">
      <c r="A2241" s="148">
        <v>44795</v>
      </c>
      <c r="B2241" s="149" t="s">
        <v>26985</v>
      </c>
      <c r="C2241" s="153" t="s">
        <v>5345</v>
      </c>
      <c r="D2241" s="178">
        <v>1404</v>
      </c>
      <c r="E2241" s="155">
        <v>44796</v>
      </c>
      <c r="F2241" s="178">
        <v>1404</v>
      </c>
      <c r="G2241" s="179">
        <f>Tabla19[[#This Row],[Importe]]-Tabla19[[#This Row],[Pagado]]</f>
        <v>0</v>
      </c>
      <c r="H2241" s="153" t="s">
        <v>10</v>
      </c>
    </row>
    <row r="2242" spans="1:8" x14ac:dyDescent="0.25">
      <c r="A2242" s="73">
        <v>44795</v>
      </c>
      <c r="B2242" s="74" t="s">
        <v>26986</v>
      </c>
      <c r="C2242" s="75" t="s">
        <v>10819</v>
      </c>
      <c r="D2242" s="176">
        <v>725.4</v>
      </c>
      <c r="E2242" s="151">
        <v>44796</v>
      </c>
      <c r="F2242" s="176">
        <v>725.4</v>
      </c>
      <c r="G2242" s="177">
        <f>Tabla19[[#This Row],[Importe]]-Tabla19[[#This Row],[Pagado]]</f>
        <v>0</v>
      </c>
      <c r="H2242" s="75" t="s">
        <v>10</v>
      </c>
    </row>
    <row r="2243" spans="1:8" ht="31.5" x14ac:dyDescent="0.25">
      <c r="A2243" s="148">
        <v>44795</v>
      </c>
      <c r="B2243" s="149" t="s">
        <v>26987</v>
      </c>
      <c r="C2243" s="153" t="s">
        <v>10840</v>
      </c>
      <c r="D2243" s="178">
        <v>33196.199999999997</v>
      </c>
      <c r="E2243" s="150" t="s">
        <v>26988</v>
      </c>
      <c r="F2243" s="178">
        <f>31000</f>
        <v>31000</v>
      </c>
      <c r="G2243" s="179">
        <f>Tabla19[[#This Row],[Importe]]-Tabla19[[#This Row],[Pagado]]</f>
        <v>2196.1999999999971</v>
      </c>
      <c r="H2243" s="153" t="s">
        <v>10</v>
      </c>
    </row>
    <row r="2244" spans="1:8" x14ac:dyDescent="0.25">
      <c r="A2244" s="73">
        <v>44795</v>
      </c>
      <c r="B2244" s="74" t="s">
        <v>26989</v>
      </c>
      <c r="C2244" s="75" t="s">
        <v>284</v>
      </c>
      <c r="D2244" s="176">
        <v>4057.4</v>
      </c>
      <c r="E2244" s="151">
        <v>44796</v>
      </c>
      <c r="F2244" s="176">
        <v>4057.4</v>
      </c>
      <c r="G2244" s="177">
        <f>Tabla19[[#This Row],[Importe]]-Tabla19[[#This Row],[Pagado]]</f>
        <v>0</v>
      </c>
      <c r="H2244" s="75" t="s">
        <v>10</v>
      </c>
    </row>
    <row r="2245" spans="1:8" x14ac:dyDescent="0.25">
      <c r="A2245" s="148">
        <v>44795</v>
      </c>
      <c r="B2245" s="149" t="s">
        <v>26990</v>
      </c>
      <c r="C2245" s="153" t="s">
        <v>1275</v>
      </c>
      <c r="D2245" s="178">
        <v>28099.7</v>
      </c>
      <c r="E2245" s="155">
        <v>44796</v>
      </c>
      <c r="F2245" s="178">
        <v>28099.7</v>
      </c>
      <c r="G2245" s="179">
        <f>Tabla19[[#This Row],[Importe]]-Tabla19[[#This Row],[Pagado]]</f>
        <v>0</v>
      </c>
      <c r="H2245" s="153" t="s">
        <v>10</v>
      </c>
    </row>
    <row r="2246" spans="1:8" x14ac:dyDescent="0.25">
      <c r="A2246" s="73">
        <v>44795</v>
      </c>
      <c r="B2246" s="74" t="s">
        <v>26991</v>
      </c>
      <c r="C2246" s="75" t="s">
        <v>31</v>
      </c>
      <c r="D2246" s="176">
        <v>275.39999999999998</v>
      </c>
      <c r="E2246" s="151">
        <v>44796</v>
      </c>
      <c r="F2246" s="176">
        <v>275.39999999999998</v>
      </c>
      <c r="G2246" s="177">
        <f>Tabla19[[#This Row],[Importe]]-Tabla19[[#This Row],[Pagado]]</f>
        <v>0</v>
      </c>
      <c r="H2246" s="75" t="s">
        <v>10</v>
      </c>
    </row>
    <row r="2247" spans="1:8" x14ac:dyDescent="0.25">
      <c r="A2247" s="148">
        <v>44796</v>
      </c>
      <c r="B2247" s="149" t="s">
        <v>26992</v>
      </c>
      <c r="C2247" s="153" t="s">
        <v>414</v>
      </c>
      <c r="D2247" s="178">
        <v>176375</v>
      </c>
      <c r="E2247" s="155" t="s">
        <v>4813</v>
      </c>
      <c r="F2247" s="178">
        <v>0</v>
      </c>
      <c r="G2247" s="179">
        <f>Tabla19[[#This Row],[Importe]]-Tabla19[[#This Row],[Pagado]]</f>
        <v>176375</v>
      </c>
      <c r="H2247" s="153" t="s">
        <v>4814</v>
      </c>
    </row>
    <row r="2248" spans="1:8" x14ac:dyDescent="0.25">
      <c r="A2248" s="73">
        <v>44796</v>
      </c>
      <c r="B2248" s="74" t="s">
        <v>26993</v>
      </c>
      <c r="C2248" s="75" t="s">
        <v>109</v>
      </c>
      <c r="D2248" s="176">
        <v>5235.3</v>
      </c>
      <c r="E2248" s="151">
        <v>44797</v>
      </c>
      <c r="F2248" s="176">
        <v>5235.3</v>
      </c>
      <c r="G2248" s="177">
        <f>Tabla19[[#This Row],[Importe]]-Tabla19[[#This Row],[Pagado]]</f>
        <v>0</v>
      </c>
      <c r="H2248" s="75" t="s">
        <v>10</v>
      </c>
    </row>
    <row r="2249" spans="1:8" ht="31.5" x14ac:dyDescent="0.25">
      <c r="A2249" s="148">
        <v>44796</v>
      </c>
      <c r="B2249" s="149" t="s">
        <v>26994</v>
      </c>
      <c r="C2249" s="153" t="s">
        <v>5043</v>
      </c>
      <c r="D2249" s="178">
        <v>5167.5</v>
      </c>
      <c r="E2249" s="150" t="s">
        <v>26995</v>
      </c>
      <c r="F2249" s="178">
        <f>3000+2167.5</f>
        <v>5167.5</v>
      </c>
      <c r="G2249" s="179">
        <f>Tabla19[[#This Row],[Importe]]-Tabla19[[#This Row],[Pagado]]</f>
        <v>0</v>
      </c>
      <c r="H2249" s="153" t="s">
        <v>10</v>
      </c>
    </row>
    <row r="2250" spans="1:8" x14ac:dyDescent="0.25">
      <c r="A2250" s="73">
        <v>44796</v>
      </c>
      <c r="B2250" s="74" t="s">
        <v>26996</v>
      </c>
      <c r="C2250" s="75" t="s">
        <v>64</v>
      </c>
      <c r="D2250" s="176">
        <v>5180.5</v>
      </c>
      <c r="E2250" s="151">
        <v>44797</v>
      </c>
      <c r="F2250" s="176">
        <v>5180.5</v>
      </c>
      <c r="G2250" s="177">
        <f>Tabla19[[#This Row],[Importe]]-Tabla19[[#This Row],[Pagado]]</f>
        <v>0</v>
      </c>
      <c r="H2250" s="75" t="s">
        <v>10</v>
      </c>
    </row>
    <row r="2251" spans="1:8" x14ac:dyDescent="0.25">
      <c r="A2251" s="148">
        <v>44796</v>
      </c>
      <c r="B2251" s="149" t="s">
        <v>26997</v>
      </c>
      <c r="C2251" s="153" t="s">
        <v>97</v>
      </c>
      <c r="D2251" s="178">
        <v>4660.5</v>
      </c>
      <c r="E2251" s="155">
        <v>44797</v>
      </c>
      <c r="F2251" s="178">
        <v>4660.5</v>
      </c>
      <c r="G2251" s="179">
        <f>Tabla19[[#This Row],[Importe]]-Tabla19[[#This Row],[Pagado]]</f>
        <v>0</v>
      </c>
      <c r="H2251" s="153" t="s">
        <v>10</v>
      </c>
    </row>
    <row r="2252" spans="1:8" x14ac:dyDescent="0.25">
      <c r="A2252" s="73">
        <v>44796</v>
      </c>
      <c r="B2252" s="74" t="s">
        <v>26998</v>
      </c>
      <c r="C2252" s="75" t="s">
        <v>111</v>
      </c>
      <c r="D2252" s="176">
        <v>5317.2</v>
      </c>
      <c r="E2252" s="151">
        <v>44797</v>
      </c>
      <c r="F2252" s="176">
        <v>5317.2</v>
      </c>
      <c r="G2252" s="177">
        <f>Tabla19[[#This Row],[Importe]]-Tabla19[[#This Row],[Pagado]]</f>
        <v>0</v>
      </c>
      <c r="H2252" s="75" t="s">
        <v>10</v>
      </c>
    </row>
    <row r="2253" spans="1:8" x14ac:dyDescent="0.25">
      <c r="A2253" s="148">
        <v>44796</v>
      </c>
      <c r="B2253" s="149" t="s">
        <v>26999</v>
      </c>
      <c r="C2253" s="153" t="s">
        <v>348</v>
      </c>
      <c r="D2253" s="178">
        <v>5394</v>
      </c>
      <c r="E2253" s="155">
        <v>44796</v>
      </c>
      <c r="F2253" s="178">
        <v>5394</v>
      </c>
      <c r="G2253" s="179">
        <f>Tabla19[[#This Row],[Importe]]-Tabla19[[#This Row],[Pagado]]</f>
        <v>0</v>
      </c>
      <c r="H2253" s="153" t="s">
        <v>10</v>
      </c>
    </row>
    <row r="2254" spans="1:8" x14ac:dyDescent="0.25">
      <c r="A2254" s="73">
        <v>44796</v>
      </c>
      <c r="B2254" s="74" t="s">
        <v>27000</v>
      </c>
      <c r="C2254" s="75" t="s">
        <v>75</v>
      </c>
      <c r="D2254" s="176">
        <v>8127.6</v>
      </c>
      <c r="E2254" s="151">
        <v>44796</v>
      </c>
      <c r="F2254" s="176">
        <v>8127.6</v>
      </c>
      <c r="G2254" s="177">
        <f>Tabla19[[#This Row],[Importe]]-Tabla19[[#This Row],[Pagado]]</f>
        <v>0</v>
      </c>
      <c r="H2254" s="75" t="s">
        <v>10</v>
      </c>
    </row>
    <row r="2255" spans="1:8" x14ac:dyDescent="0.25">
      <c r="A2255" s="148">
        <v>44796</v>
      </c>
      <c r="B2255" s="149" t="s">
        <v>27001</v>
      </c>
      <c r="C2255" s="153" t="s">
        <v>473</v>
      </c>
      <c r="D2255" s="178">
        <v>4401.3999999999996</v>
      </c>
      <c r="E2255" s="155">
        <v>44796</v>
      </c>
      <c r="F2255" s="178">
        <v>4401.3999999999996</v>
      </c>
      <c r="G2255" s="179">
        <f>Tabla19[[#This Row],[Importe]]-Tabla19[[#This Row],[Pagado]]</f>
        <v>0</v>
      </c>
      <c r="H2255" s="153" t="s">
        <v>10</v>
      </c>
    </row>
    <row r="2256" spans="1:8" ht="31.5" x14ac:dyDescent="0.25">
      <c r="A2256" s="73">
        <v>44796</v>
      </c>
      <c r="B2256" s="74" t="s">
        <v>27002</v>
      </c>
      <c r="C2256" s="75" t="s">
        <v>93</v>
      </c>
      <c r="D2256" s="176">
        <v>11486.6</v>
      </c>
      <c r="E2256" s="147" t="s">
        <v>27003</v>
      </c>
      <c r="F2256" s="176">
        <f>6000+5486.6</f>
        <v>11486.6</v>
      </c>
      <c r="G2256" s="177">
        <f>Tabla19[[#This Row],[Importe]]-Tabla19[[#This Row],[Pagado]]</f>
        <v>0</v>
      </c>
      <c r="H2256" s="75" t="s">
        <v>10</v>
      </c>
    </row>
    <row r="2257" spans="1:8" x14ac:dyDescent="0.25">
      <c r="A2257" s="148">
        <v>44796</v>
      </c>
      <c r="B2257" s="149" t="s">
        <v>27004</v>
      </c>
      <c r="C2257" s="153" t="s">
        <v>481</v>
      </c>
      <c r="D2257" s="178">
        <v>774.7</v>
      </c>
      <c r="E2257" s="155">
        <v>44796</v>
      </c>
      <c r="F2257" s="178">
        <v>774.7</v>
      </c>
      <c r="G2257" s="179">
        <f>Tabla19[[#This Row],[Importe]]-Tabla19[[#This Row],[Pagado]]</f>
        <v>0</v>
      </c>
      <c r="H2257" s="153" t="s">
        <v>10</v>
      </c>
    </row>
    <row r="2258" spans="1:8" x14ac:dyDescent="0.25">
      <c r="A2258" s="73">
        <v>44796</v>
      </c>
      <c r="B2258" s="74" t="s">
        <v>27005</v>
      </c>
      <c r="C2258" s="75" t="s">
        <v>114</v>
      </c>
      <c r="D2258" s="176">
        <v>12370</v>
      </c>
      <c r="E2258" s="151">
        <v>44797</v>
      </c>
      <c r="F2258" s="176">
        <v>12370</v>
      </c>
      <c r="G2258" s="177">
        <f>Tabla19[[#This Row],[Importe]]-Tabla19[[#This Row],[Pagado]]</f>
        <v>0</v>
      </c>
      <c r="H2258" s="75" t="s">
        <v>10</v>
      </c>
    </row>
    <row r="2259" spans="1:8" x14ac:dyDescent="0.25">
      <c r="A2259" s="148">
        <v>44796</v>
      </c>
      <c r="B2259" s="149" t="s">
        <v>27006</v>
      </c>
      <c r="C2259" s="153" t="s">
        <v>2151</v>
      </c>
      <c r="D2259" s="178">
        <v>16724.900000000001</v>
      </c>
      <c r="E2259" s="155">
        <v>44796</v>
      </c>
      <c r="F2259" s="178">
        <v>16724.900000000001</v>
      </c>
      <c r="G2259" s="179">
        <f>Tabla19[[#This Row],[Importe]]-Tabla19[[#This Row],[Pagado]]</f>
        <v>0</v>
      </c>
      <c r="H2259" s="153" t="s">
        <v>10</v>
      </c>
    </row>
    <row r="2260" spans="1:8" x14ac:dyDescent="0.25">
      <c r="A2260" s="73">
        <v>44796</v>
      </c>
      <c r="B2260" s="74" t="s">
        <v>27007</v>
      </c>
      <c r="C2260" s="75" t="s">
        <v>105</v>
      </c>
      <c r="D2260" s="176">
        <v>5544</v>
      </c>
      <c r="E2260" s="151">
        <v>44797</v>
      </c>
      <c r="F2260" s="176">
        <v>5544</v>
      </c>
      <c r="G2260" s="177">
        <f>Tabla19[[#This Row],[Importe]]-Tabla19[[#This Row],[Pagado]]</f>
        <v>0</v>
      </c>
      <c r="H2260" s="75" t="s">
        <v>10</v>
      </c>
    </row>
    <row r="2261" spans="1:8" x14ac:dyDescent="0.25">
      <c r="A2261" s="148">
        <v>44796</v>
      </c>
      <c r="B2261" s="149" t="s">
        <v>27008</v>
      </c>
      <c r="C2261" s="153" t="s">
        <v>105</v>
      </c>
      <c r="D2261" s="178">
        <v>1455.8</v>
      </c>
      <c r="E2261" s="155">
        <v>44797</v>
      </c>
      <c r="F2261" s="178">
        <v>1455.8</v>
      </c>
      <c r="G2261" s="179">
        <f>Tabla19[[#This Row],[Importe]]-Tabla19[[#This Row],[Pagado]]</f>
        <v>0</v>
      </c>
      <c r="H2261" s="153" t="s">
        <v>10</v>
      </c>
    </row>
    <row r="2262" spans="1:8" x14ac:dyDescent="0.25">
      <c r="A2262" s="73">
        <v>44796</v>
      </c>
      <c r="B2262" s="74" t="s">
        <v>27009</v>
      </c>
      <c r="C2262" s="75" t="s">
        <v>99</v>
      </c>
      <c r="D2262" s="176">
        <v>3996.2</v>
      </c>
      <c r="E2262" s="151">
        <v>44798</v>
      </c>
      <c r="F2262" s="176">
        <v>3996.2</v>
      </c>
      <c r="G2262" s="177">
        <f>Tabla19[[#This Row],[Importe]]-Tabla19[[#This Row],[Pagado]]</f>
        <v>0</v>
      </c>
      <c r="H2262" s="75" t="s">
        <v>10</v>
      </c>
    </row>
    <row r="2263" spans="1:8" x14ac:dyDescent="0.25">
      <c r="A2263" s="148">
        <v>44796</v>
      </c>
      <c r="B2263" s="149" t="s">
        <v>27010</v>
      </c>
      <c r="C2263" s="153" t="s">
        <v>89</v>
      </c>
      <c r="D2263" s="178">
        <v>5834.8</v>
      </c>
      <c r="E2263" s="155">
        <v>44797</v>
      </c>
      <c r="F2263" s="178">
        <v>5834.8</v>
      </c>
      <c r="G2263" s="179">
        <f>Tabla19[[#This Row],[Importe]]-Tabla19[[#This Row],[Pagado]]</f>
        <v>0</v>
      </c>
      <c r="H2263" s="153" t="s">
        <v>10</v>
      </c>
    </row>
    <row r="2264" spans="1:8" x14ac:dyDescent="0.25">
      <c r="A2264" s="73">
        <v>44796</v>
      </c>
      <c r="B2264" s="74" t="s">
        <v>27011</v>
      </c>
      <c r="C2264" s="75" t="s">
        <v>9</v>
      </c>
      <c r="D2264" s="176">
        <v>8007.3</v>
      </c>
      <c r="E2264" s="151">
        <v>44796</v>
      </c>
      <c r="F2264" s="176">
        <v>8007.3</v>
      </c>
      <c r="G2264" s="177">
        <f>Tabla19[[#This Row],[Importe]]-Tabla19[[#This Row],[Pagado]]</f>
        <v>0</v>
      </c>
      <c r="H2264" s="75" t="s">
        <v>10</v>
      </c>
    </row>
    <row r="2265" spans="1:8" x14ac:dyDescent="0.25">
      <c r="A2265" s="148">
        <v>44796</v>
      </c>
      <c r="B2265" s="149" t="s">
        <v>27012</v>
      </c>
      <c r="C2265" s="153" t="s">
        <v>17556</v>
      </c>
      <c r="D2265" s="178">
        <v>4921</v>
      </c>
      <c r="E2265" s="155">
        <v>44796</v>
      </c>
      <c r="F2265" s="178">
        <v>4921</v>
      </c>
      <c r="G2265" s="179">
        <f>Tabla19[[#This Row],[Importe]]-Tabla19[[#This Row],[Pagado]]</f>
        <v>0</v>
      </c>
      <c r="H2265" s="153" t="s">
        <v>10</v>
      </c>
    </row>
    <row r="2266" spans="1:8" x14ac:dyDescent="0.25">
      <c r="A2266" s="73">
        <v>44796</v>
      </c>
      <c r="B2266" s="74" t="s">
        <v>27013</v>
      </c>
      <c r="C2266" s="75" t="s">
        <v>924</v>
      </c>
      <c r="D2266" s="176">
        <v>22688.2</v>
      </c>
      <c r="E2266" s="151">
        <v>44796</v>
      </c>
      <c r="F2266" s="176">
        <v>22688.2</v>
      </c>
      <c r="G2266" s="177">
        <f>Tabla19[[#This Row],[Importe]]-Tabla19[[#This Row],[Pagado]]</f>
        <v>0</v>
      </c>
      <c r="H2266" s="75" t="s">
        <v>10</v>
      </c>
    </row>
    <row r="2267" spans="1:8" x14ac:dyDescent="0.25">
      <c r="A2267" s="148">
        <v>44796</v>
      </c>
      <c r="B2267" s="149" t="s">
        <v>27014</v>
      </c>
      <c r="C2267" s="153" t="s">
        <v>16</v>
      </c>
      <c r="D2267" s="178">
        <v>6562.9</v>
      </c>
      <c r="E2267" s="155">
        <v>44796</v>
      </c>
      <c r="F2267" s="178">
        <v>6562.9</v>
      </c>
      <c r="G2267" s="179">
        <f>Tabla19[[#This Row],[Importe]]-Tabla19[[#This Row],[Pagado]]</f>
        <v>0</v>
      </c>
      <c r="H2267" s="153" t="s">
        <v>10</v>
      </c>
    </row>
    <row r="2268" spans="1:8" x14ac:dyDescent="0.25">
      <c r="A2268" s="73">
        <v>44796</v>
      </c>
      <c r="B2268" s="74" t="s">
        <v>27015</v>
      </c>
      <c r="C2268" s="75" t="s">
        <v>11033</v>
      </c>
      <c r="D2268" s="176">
        <v>1856.5</v>
      </c>
      <c r="E2268" s="151">
        <v>44796</v>
      </c>
      <c r="F2268" s="176">
        <v>1856.5</v>
      </c>
      <c r="G2268" s="177">
        <f>Tabla19[[#This Row],[Importe]]-Tabla19[[#This Row],[Pagado]]</f>
        <v>0</v>
      </c>
      <c r="H2268" s="75" t="s">
        <v>10</v>
      </c>
    </row>
    <row r="2269" spans="1:8" x14ac:dyDescent="0.25">
      <c r="A2269" s="148">
        <v>44796</v>
      </c>
      <c r="B2269" s="149" t="s">
        <v>27016</v>
      </c>
      <c r="C2269" s="153" t="s">
        <v>56</v>
      </c>
      <c r="D2269" s="178">
        <v>5954.7</v>
      </c>
      <c r="E2269" s="155">
        <v>44796</v>
      </c>
      <c r="F2269" s="178">
        <v>5954.7</v>
      </c>
      <c r="G2269" s="179">
        <f>Tabla19[[#This Row],[Importe]]-Tabla19[[#This Row],[Pagado]]</f>
        <v>0</v>
      </c>
      <c r="H2269" s="153" t="s">
        <v>10</v>
      </c>
    </row>
    <row r="2270" spans="1:8" x14ac:dyDescent="0.25">
      <c r="A2270" s="73">
        <v>44796</v>
      </c>
      <c r="B2270" s="74" t="s">
        <v>27017</v>
      </c>
      <c r="C2270" s="75" t="s">
        <v>49</v>
      </c>
      <c r="D2270" s="176">
        <v>3405</v>
      </c>
      <c r="E2270" s="151">
        <v>44796</v>
      </c>
      <c r="F2270" s="176">
        <v>3405</v>
      </c>
      <c r="G2270" s="177">
        <f>Tabla19[[#This Row],[Importe]]-Tabla19[[#This Row],[Pagado]]</f>
        <v>0</v>
      </c>
      <c r="H2270" s="75" t="s">
        <v>10</v>
      </c>
    </row>
    <row r="2271" spans="1:8" x14ac:dyDescent="0.25">
      <c r="A2271" s="148">
        <v>44796</v>
      </c>
      <c r="B2271" s="149" t="s">
        <v>27018</v>
      </c>
      <c r="C2271" s="153" t="s">
        <v>45</v>
      </c>
      <c r="D2271" s="178">
        <v>11217.35</v>
      </c>
      <c r="E2271" s="155">
        <v>44796</v>
      </c>
      <c r="F2271" s="178">
        <v>11217.35</v>
      </c>
      <c r="G2271" s="179">
        <f>Tabla19[[#This Row],[Importe]]-Tabla19[[#This Row],[Pagado]]</f>
        <v>0</v>
      </c>
      <c r="H2271" s="153" t="s">
        <v>10</v>
      </c>
    </row>
    <row r="2272" spans="1:8" x14ac:dyDescent="0.25">
      <c r="A2272" s="73">
        <v>44796</v>
      </c>
      <c r="B2272" s="74" t="s">
        <v>27019</v>
      </c>
      <c r="C2272" s="75" t="s">
        <v>37</v>
      </c>
      <c r="D2272" s="176">
        <v>2987.4</v>
      </c>
      <c r="E2272" s="151">
        <v>44796</v>
      </c>
      <c r="F2272" s="176">
        <v>2987.4</v>
      </c>
      <c r="G2272" s="177">
        <f>Tabla19[[#This Row],[Importe]]-Tabla19[[#This Row],[Pagado]]</f>
        <v>0</v>
      </c>
      <c r="H2272" s="75" t="s">
        <v>10</v>
      </c>
    </row>
    <row r="2273" spans="1:8" x14ac:dyDescent="0.25">
      <c r="A2273" s="148">
        <v>44796</v>
      </c>
      <c r="B2273" s="149" t="s">
        <v>27020</v>
      </c>
      <c r="C2273" s="153" t="s">
        <v>37</v>
      </c>
      <c r="D2273" s="178">
        <v>515.20000000000005</v>
      </c>
      <c r="E2273" s="155">
        <v>44796</v>
      </c>
      <c r="F2273" s="178">
        <v>515.20000000000005</v>
      </c>
      <c r="G2273" s="179">
        <f>Tabla19[[#This Row],[Importe]]-Tabla19[[#This Row],[Pagado]]</f>
        <v>0</v>
      </c>
      <c r="H2273" s="153" t="s">
        <v>10</v>
      </c>
    </row>
    <row r="2274" spans="1:8" x14ac:dyDescent="0.25">
      <c r="A2274" s="73">
        <v>44796</v>
      </c>
      <c r="B2274" s="74" t="s">
        <v>27021</v>
      </c>
      <c r="C2274" s="75" t="s">
        <v>407</v>
      </c>
      <c r="D2274" s="176">
        <v>31512</v>
      </c>
      <c r="E2274" s="151" t="s">
        <v>4813</v>
      </c>
      <c r="F2274" s="176">
        <v>0</v>
      </c>
      <c r="G2274" s="177">
        <f>Tabla19[[#This Row],[Importe]]-Tabla19[[#This Row],[Pagado]]</f>
        <v>31512</v>
      </c>
      <c r="H2274" s="75" t="s">
        <v>4814</v>
      </c>
    </row>
    <row r="2275" spans="1:8" x14ac:dyDescent="0.25">
      <c r="A2275" s="148">
        <v>44796</v>
      </c>
      <c r="B2275" s="149" t="s">
        <v>27022</v>
      </c>
      <c r="C2275" s="153" t="s">
        <v>79</v>
      </c>
      <c r="D2275" s="178">
        <v>14747.8</v>
      </c>
      <c r="E2275" s="155">
        <v>44797</v>
      </c>
      <c r="F2275" s="178">
        <v>14747.8</v>
      </c>
      <c r="G2275" s="179">
        <f>Tabla19[[#This Row],[Importe]]-Tabla19[[#This Row],[Pagado]]</f>
        <v>0</v>
      </c>
      <c r="H2275" s="153" t="s">
        <v>10</v>
      </c>
    </row>
    <row r="2276" spans="1:8" x14ac:dyDescent="0.25">
      <c r="A2276" s="73">
        <v>44796</v>
      </c>
      <c r="B2276" s="74" t="s">
        <v>27023</v>
      </c>
      <c r="C2276" s="75" t="s">
        <v>58</v>
      </c>
      <c r="D2276" s="176">
        <v>1537</v>
      </c>
      <c r="E2276" s="151">
        <v>44796</v>
      </c>
      <c r="F2276" s="176">
        <v>1537</v>
      </c>
      <c r="G2276" s="177">
        <f>Tabla19[[#This Row],[Importe]]-Tabla19[[#This Row],[Pagado]]</f>
        <v>0</v>
      </c>
      <c r="H2276" s="75" t="s">
        <v>10</v>
      </c>
    </row>
    <row r="2277" spans="1:8" x14ac:dyDescent="0.25">
      <c r="A2277" s="148">
        <v>44796</v>
      </c>
      <c r="B2277" s="149" t="s">
        <v>27024</v>
      </c>
      <c r="C2277" s="153" t="s">
        <v>214</v>
      </c>
      <c r="D2277" s="178">
        <v>10319.6</v>
      </c>
      <c r="E2277" s="155">
        <v>44797</v>
      </c>
      <c r="F2277" s="178">
        <v>10319.6</v>
      </c>
      <c r="G2277" s="179">
        <f>Tabla19[[#This Row],[Importe]]-Tabla19[[#This Row],[Pagado]]</f>
        <v>0</v>
      </c>
      <c r="H2277" s="153" t="s">
        <v>10</v>
      </c>
    </row>
    <row r="2278" spans="1:8" x14ac:dyDescent="0.25">
      <c r="A2278" s="73">
        <v>44796</v>
      </c>
      <c r="B2278" s="74" t="s">
        <v>27025</v>
      </c>
      <c r="C2278" s="75" t="s">
        <v>1302</v>
      </c>
      <c r="D2278" s="176">
        <v>13180.6</v>
      </c>
      <c r="E2278" s="151">
        <v>44797</v>
      </c>
      <c r="F2278" s="176">
        <v>13180.6</v>
      </c>
      <c r="G2278" s="177">
        <f>Tabla19[[#This Row],[Importe]]-Tabla19[[#This Row],[Pagado]]</f>
        <v>0</v>
      </c>
      <c r="H2278" s="75" t="s">
        <v>10</v>
      </c>
    </row>
    <row r="2279" spans="1:8" x14ac:dyDescent="0.25">
      <c r="A2279" s="148">
        <v>44796</v>
      </c>
      <c r="B2279" s="149" t="s">
        <v>27026</v>
      </c>
      <c r="C2279" s="153" t="s">
        <v>226</v>
      </c>
      <c r="D2279" s="178">
        <v>10309.6</v>
      </c>
      <c r="E2279" s="155">
        <v>44796</v>
      </c>
      <c r="F2279" s="178">
        <v>10309.6</v>
      </c>
      <c r="G2279" s="179">
        <f>Tabla19[[#This Row],[Importe]]-Tabla19[[#This Row],[Pagado]]</f>
        <v>0</v>
      </c>
      <c r="H2279" s="153" t="s">
        <v>10</v>
      </c>
    </row>
    <row r="2280" spans="1:8" x14ac:dyDescent="0.25">
      <c r="A2280" s="73">
        <v>44796</v>
      </c>
      <c r="B2280" s="74" t="s">
        <v>27027</v>
      </c>
      <c r="C2280" s="75" t="s">
        <v>27028</v>
      </c>
      <c r="D2280" s="176">
        <v>0</v>
      </c>
      <c r="E2280" s="157" t="s">
        <v>189</v>
      </c>
      <c r="F2280" s="176">
        <v>0</v>
      </c>
      <c r="G2280" s="177">
        <f>Tabla19[[#This Row],[Importe]]-Tabla19[[#This Row],[Pagado]]</f>
        <v>0</v>
      </c>
      <c r="H2280" s="161" t="s">
        <v>27029</v>
      </c>
    </row>
    <row r="2281" spans="1:8" x14ac:dyDescent="0.25">
      <c r="A2281" s="148">
        <v>44796</v>
      </c>
      <c r="B2281" s="149" t="s">
        <v>27030</v>
      </c>
      <c r="C2281" s="153" t="s">
        <v>357</v>
      </c>
      <c r="D2281" s="178">
        <v>4530</v>
      </c>
      <c r="E2281" s="155">
        <v>44797</v>
      </c>
      <c r="F2281" s="178">
        <v>4530</v>
      </c>
      <c r="G2281" s="179">
        <f>Tabla19[[#This Row],[Importe]]-Tabla19[[#This Row],[Pagado]]</f>
        <v>0</v>
      </c>
      <c r="H2281" s="153" t="s">
        <v>10</v>
      </c>
    </row>
    <row r="2282" spans="1:8" x14ac:dyDescent="0.25">
      <c r="A2282" s="73">
        <v>44796</v>
      </c>
      <c r="B2282" s="74" t="s">
        <v>27031</v>
      </c>
      <c r="C2282" s="75" t="s">
        <v>83</v>
      </c>
      <c r="D2282" s="176">
        <v>11808</v>
      </c>
      <c r="E2282" s="151">
        <v>44797</v>
      </c>
      <c r="F2282" s="176">
        <v>11808</v>
      </c>
      <c r="G2282" s="177">
        <f>Tabla19[[#This Row],[Importe]]-Tabla19[[#This Row],[Pagado]]</f>
        <v>0</v>
      </c>
      <c r="H2282" s="75" t="s">
        <v>10</v>
      </c>
    </row>
    <row r="2283" spans="1:8" x14ac:dyDescent="0.25">
      <c r="A2283" s="148">
        <v>44796</v>
      </c>
      <c r="B2283" s="149" t="s">
        <v>27032</v>
      </c>
      <c r="C2283" s="153" t="s">
        <v>107</v>
      </c>
      <c r="D2283" s="178">
        <v>15223</v>
      </c>
      <c r="E2283" s="155">
        <v>44797</v>
      </c>
      <c r="F2283" s="178">
        <v>15223</v>
      </c>
      <c r="G2283" s="179">
        <f>Tabla19[[#This Row],[Importe]]-Tabla19[[#This Row],[Pagado]]</f>
        <v>0</v>
      </c>
      <c r="H2283" s="153" t="s">
        <v>10</v>
      </c>
    </row>
    <row r="2284" spans="1:8" x14ac:dyDescent="0.25">
      <c r="A2284" s="73">
        <v>44796</v>
      </c>
      <c r="B2284" s="74" t="s">
        <v>27033</v>
      </c>
      <c r="C2284" s="75" t="s">
        <v>87</v>
      </c>
      <c r="D2284" s="176">
        <v>3304.4</v>
      </c>
      <c r="E2284" s="151">
        <v>44797</v>
      </c>
      <c r="F2284" s="176">
        <v>3304.4</v>
      </c>
      <c r="G2284" s="177">
        <f>Tabla19[[#This Row],[Importe]]-Tabla19[[#This Row],[Pagado]]</f>
        <v>0</v>
      </c>
      <c r="H2284" s="75" t="s">
        <v>10</v>
      </c>
    </row>
    <row r="2285" spans="1:8" x14ac:dyDescent="0.25">
      <c r="A2285" s="148">
        <v>44796</v>
      </c>
      <c r="B2285" s="149" t="s">
        <v>27034</v>
      </c>
      <c r="C2285" s="153" t="s">
        <v>333</v>
      </c>
      <c r="D2285" s="178">
        <v>1912.5</v>
      </c>
      <c r="E2285" s="155">
        <v>44797</v>
      </c>
      <c r="F2285" s="178">
        <v>1912.5</v>
      </c>
      <c r="G2285" s="179">
        <f>Tabla19[[#This Row],[Importe]]-Tabla19[[#This Row],[Pagado]]</f>
        <v>0</v>
      </c>
      <c r="H2285" s="153" t="s">
        <v>10</v>
      </c>
    </row>
    <row r="2286" spans="1:8" x14ac:dyDescent="0.25">
      <c r="A2286" s="73">
        <v>44796</v>
      </c>
      <c r="B2286" s="74" t="s">
        <v>27035</v>
      </c>
      <c r="C2286" s="75" t="s">
        <v>129</v>
      </c>
      <c r="D2286" s="176">
        <v>1302.5999999999999</v>
      </c>
      <c r="E2286" s="151">
        <v>44797</v>
      </c>
      <c r="F2286" s="176">
        <v>1302.5999999999999</v>
      </c>
      <c r="G2286" s="177">
        <f>Tabla19[[#This Row],[Importe]]-Tabla19[[#This Row],[Pagado]]</f>
        <v>0</v>
      </c>
      <c r="H2286" s="75" t="s">
        <v>10</v>
      </c>
    </row>
    <row r="2287" spans="1:8" x14ac:dyDescent="0.25">
      <c r="A2287" s="148">
        <v>44796</v>
      </c>
      <c r="B2287" s="149" t="s">
        <v>27036</v>
      </c>
      <c r="C2287" s="153" t="s">
        <v>146</v>
      </c>
      <c r="D2287" s="178">
        <v>4765.8</v>
      </c>
      <c r="E2287" s="155">
        <v>44797</v>
      </c>
      <c r="F2287" s="178">
        <v>4765.8</v>
      </c>
      <c r="G2287" s="179">
        <f>Tabla19[[#This Row],[Importe]]-Tabla19[[#This Row],[Pagado]]</f>
        <v>0</v>
      </c>
      <c r="H2287" s="153" t="s">
        <v>10</v>
      </c>
    </row>
    <row r="2288" spans="1:8" x14ac:dyDescent="0.25">
      <c r="A2288" s="73">
        <v>44796</v>
      </c>
      <c r="B2288" s="74" t="s">
        <v>27037</v>
      </c>
      <c r="C2288" s="75" t="s">
        <v>24</v>
      </c>
      <c r="D2288" s="176">
        <v>2400</v>
      </c>
      <c r="E2288" s="151">
        <v>44796</v>
      </c>
      <c r="F2288" s="176">
        <v>2400</v>
      </c>
      <c r="G2288" s="177">
        <f>Tabla19[[#This Row],[Importe]]-Tabla19[[#This Row],[Pagado]]</f>
        <v>0</v>
      </c>
      <c r="H2288" s="75" t="s">
        <v>10</v>
      </c>
    </row>
    <row r="2289" spans="1:8" x14ac:dyDescent="0.25">
      <c r="A2289" s="148">
        <v>44796</v>
      </c>
      <c r="B2289" s="149" t="s">
        <v>27038</v>
      </c>
      <c r="C2289" s="153" t="s">
        <v>296</v>
      </c>
      <c r="D2289" s="178">
        <v>1177.0999999999999</v>
      </c>
      <c r="E2289" s="155">
        <v>44796</v>
      </c>
      <c r="F2289" s="178">
        <v>1177.0999999999999</v>
      </c>
      <c r="G2289" s="179">
        <f>Tabla19[[#This Row],[Importe]]-Tabla19[[#This Row],[Pagado]]</f>
        <v>0</v>
      </c>
      <c r="H2289" s="153" t="s">
        <v>10</v>
      </c>
    </row>
    <row r="2290" spans="1:8" x14ac:dyDescent="0.25">
      <c r="A2290" s="73">
        <v>44796</v>
      </c>
      <c r="B2290" s="74" t="s">
        <v>27039</v>
      </c>
      <c r="C2290" s="75" t="s">
        <v>1362</v>
      </c>
      <c r="D2290" s="176">
        <v>8044.5</v>
      </c>
      <c r="E2290" s="151">
        <v>44797</v>
      </c>
      <c r="F2290" s="176">
        <v>8044.5</v>
      </c>
      <c r="G2290" s="177">
        <f>Tabla19[[#This Row],[Importe]]-Tabla19[[#This Row],[Pagado]]</f>
        <v>0</v>
      </c>
      <c r="H2290" s="75" t="s">
        <v>10</v>
      </c>
    </row>
    <row r="2291" spans="1:8" x14ac:dyDescent="0.25">
      <c r="A2291" s="148">
        <v>44796</v>
      </c>
      <c r="B2291" s="149" t="s">
        <v>27040</v>
      </c>
      <c r="C2291" s="153" t="s">
        <v>407</v>
      </c>
      <c r="D2291" s="178">
        <v>2920</v>
      </c>
      <c r="E2291" s="155" t="s">
        <v>4813</v>
      </c>
      <c r="F2291" s="178">
        <v>0</v>
      </c>
      <c r="G2291" s="179">
        <f>Tabla19[[#This Row],[Importe]]-Tabla19[[#This Row],[Pagado]]</f>
        <v>2920</v>
      </c>
      <c r="H2291" s="153" t="s">
        <v>4814</v>
      </c>
    </row>
    <row r="2292" spans="1:8" x14ac:dyDescent="0.25">
      <c r="A2292" s="73">
        <v>44796</v>
      </c>
      <c r="B2292" s="74" t="s">
        <v>27041</v>
      </c>
      <c r="C2292" s="75" t="s">
        <v>407</v>
      </c>
      <c r="D2292" s="176">
        <v>120</v>
      </c>
      <c r="E2292" s="151" t="s">
        <v>4813</v>
      </c>
      <c r="F2292" s="176">
        <v>0</v>
      </c>
      <c r="G2292" s="177">
        <f>Tabla19[[#This Row],[Importe]]-Tabla19[[#This Row],[Pagado]]</f>
        <v>120</v>
      </c>
      <c r="H2292" s="75" t="s">
        <v>4814</v>
      </c>
    </row>
    <row r="2293" spans="1:8" x14ac:dyDescent="0.25">
      <c r="A2293" s="148">
        <v>44796</v>
      </c>
      <c r="B2293" s="149" t="s">
        <v>27042</v>
      </c>
      <c r="C2293" s="153" t="s">
        <v>27043</v>
      </c>
      <c r="D2293" s="178">
        <v>0</v>
      </c>
      <c r="E2293" s="158" t="s">
        <v>189</v>
      </c>
      <c r="F2293" s="178">
        <v>0</v>
      </c>
      <c r="G2293" s="179">
        <f>Tabla19[[#This Row],[Importe]]-Tabla19[[#This Row],[Pagado]]</f>
        <v>0</v>
      </c>
      <c r="H2293" s="159" t="s">
        <v>27044</v>
      </c>
    </row>
    <row r="2294" spans="1:8" x14ac:dyDescent="0.25">
      <c r="A2294" s="73">
        <v>44796</v>
      </c>
      <c r="B2294" s="74" t="s">
        <v>27045</v>
      </c>
      <c r="C2294" s="75" t="s">
        <v>1003</v>
      </c>
      <c r="D2294" s="176">
        <v>3353.8</v>
      </c>
      <c r="E2294" s="151">
        <v>44799</v>
      </c>
      <c r="F2294" s="176">
        <v>3353.8</v>
      </c>
      <c r="G2294" s="177">
        <f>Tabla19[[#This Row],[Importe]]-Tabla19[[#This Row],[Pagado]]</f>
        <v>0</v>
      </c>
      <c r="H2294" s="75" t="s">
        <v>10</v>
      </c>
    </row>
    <row r="2295" spans="1:8" x14ac:dyDescent="0.25">
      <c r="A2295" s="148">
        <v>44796</v>
      </c>
      <c r="B2295" s="149" t="s">
        <v>27046</v>
      </c>
      <c r="C2295" s="153" t="s">
        <v>291</v>
      </c>
      <c r="D2295" s="178">
        <v>2900</v>
      </c>
      <c r="E2295" s="155">
        <v>44797</v>
      </c>
      <c r="F2295" s="178">
        <v>2900</v>
      </c>
      <c r="G2295" s="179">
        <f>Tabla19[[#This Row],[Importe]]-Tabla19[[#This Row],[Pagado]]</f>
        <v>0</v>
      </c>
      <c r="H2295" s="153" t="s">
        <v>10</v>
      </c>
    </row>
    <row r="2296" spans="1:8" x14ac:dyDescent="0.25">
      <c r="A2296" s="73">
        <v>44796</v>
      </c>
      <c r="B2296" s="74" t="s">
        <v>27047</v>
      </c>
      <c r="C2296" s="75" t="s">
        <v>4136</v>
      </c>
      <c r="D2296" s="176">
        <v>2080</v>
      </c>
      <c r="E2296" s="151">
        <v>44796</v>
      </c>
      <c r="F2296" s="176">
        <v>2080</v>
      </c>
      <c r="G2296" s="177">
        <f>Tabla19[[#This Row],[Importe]]-Tabla19[[#This Row],[Pagado]]</f>
        <v>0</v>
      </c>
      <c r="H2296" s="75" t="s">
        <v>10</v>
      </c>
    </row>
    <row r="2297" spans="1:8" x14ac:dyDescent="0.25">
      <c r="A2297" s="148">
        <v>44796</v>
      </c>
      <c r="B2297" s="149" t="s">
        <v>27048</v>
      </c>
      <c r="C2297" s="153" t="s">
        <v>151</v>
      </c>
      <c r="D2297" s="178">
        <v>15091.6</v>
      </c>
      <c r="E2297" s="155">
        <v>44797</v>
      </c>
      <c r="F2297" s="178">
        <v>15091.6</v>
      </c>
      <c r="G2297" s="179">
        <f>Tabla19[[#This Row],[Importe]]-Tabla19[[#This Row],[Pagado]]</f>
        <v>0</v>
      </c>
      <c r="H2297" s="153" t="s">
        <v>10</v>
      </c>
    </row>
    <row r="2298" spans="1:8" x14ac:dyDescent="0.25">
      <c r="A2298" s="73">
        <v>44796</v>
      </c>
      <c r="B2298" s="74" t="s">
        <v>27049</v>
      </c>
      <c r="C2298" s="75" t="s">
        <v>414</v>
      </c>
      <c r="D2298" s="176">
        <v>2160</v>
      </c>
      <c r="E2298" s="151">
        <v>44796</v>
      </c>
      <c r="F2298" s="176">
        <v>2160</v>
      </c>
      <c r="G2298" s="177">
        <f>Tabla19[[#This Row],[Importe]]-Tabla19[[#This Row],[Pagado]]</f>
        <v>0</v>
      </c>
      <c r="H2298" s="75" t="s">
        <v>10</v>
      </c>
    </row>
    <row r="2299" spans="1:8" x14ac:dyDescent="0.25">
      <c r="A2299" s="148">
        <v>44796</v>
      </c>
      <c r="B2299" s="149" t="s">
        <v>27050</v>
      </c>
      <c r="C2299" s="153" t="s">
        <v>233</v>
      </c>
      <c r="D2299" s="178">
        <v>5647.2</v>
      </c>
      <c r="E2299" s="155">
        <v>44796</v>
      </c>
      <c r="F2299" s="178">
        <v>5647.2</v>
      </c>
      <c r="G2299" s="179">
        <f>Tabla19[[#This Row],[Importe]]-Tabla19[[#This Row],[Pagado]]</f>
        <v>0</v>
      </c>
      <c r="H2299" s="153" t="s">
        <v>10</v>
      </c>
    </row>
    <row r="2300" spans="1:8" x14ac:dyDescent="0.25">
      <c r="A2300" s="73">
        <v>44796</v>
      </c>
      <c r="B2300" s="74" t="s">
        <v>27051</v>
      </c>
      <c r="C2300" s="75" t="s">
        <v>319</v>
      </c>
      <c r="D2300" s="176">
        <v>11544.06</v>
      </c>
      <c r="E2300" s="151">
        <v>44797</v>
      </c>
      <c r="F2300" s="176">
        <v>11544.06</v>
      </c>
      <c r="G2300" s="177">
        <f>Tabla19[[#This Row],[Importe]]-Tabla19[[#This Row],[Pagado]]</f>
        <v>0</v>
      </c>
      <c r="H2300" s="75" t="s">
        <v>10</v>
      </c>
    </row>
    <row r="2301" spans="1:8" x14ac:dyDescent="0.25">
      <c r="A2301" s="148">
        <v>44796</v>
      </c>
      <c r="B2301" s="149" t="s">
        <v>27052</v>
      </c>
      <c r="C2301" s="153" t="s">
        <v>159</v>
      </c>
      <c r="D2301" s="178">
        <v>2180.8000000000002</v>
      </c>
      <c r="E2301" s="155">
        <v>44797</v>
      </c>
      <c r="F2301" s="178">
        <v>2180.8000000000002</v>
      </c>
      <c r="G2301" s="179">
        <f>Tabla19[[#This Row],[Importe]]-Tabla19[[#This Row],[Pagado]]</f>
        <v>0</v>
      </c>
      <c r="H2301" s="153" t="s">
        <v>10</v>
      </c>
    </row>
    <row r="2302" spans="1:8" x14ac:dyDescent="0.25">
      <c r="A2302" s="73">
        <v>44796</v>
      </c>
      <c r="B2302" s="74" t="s">
        <v>27053</v>
      </c>
      <c r="C2302" s="75" t="s">
        <v>396</v>
      </c>
      <c r="D2302" s="176">
        <v>11841.7</v>
      </c>
      <c r="E2302" s="151">
        <v>44805</v>
      </c>
      <c r="F2302" s="176">
        <v>11841.7</v>
      </c>
      <c r="G2302" s="177">
        <f>Tabla19[[#This Row],[Importe]]-Tabla19[[#This Row],[Pagado]]</f>
        <v>0</v>
      </c>
      <c r="H2302" s="75" t="s">
        <v>10</v>
      </c>
    </row>
    <row r="2303" spans="1:8" x14ac:dyDescent="0.25">
      <c r="A2303" s="148">
        <v>44796</v>
      </c>
      <c r="B2303" s="149" t="s">
        <v>27054</v>
      </c>
      <c r="C2303" s="153" t="s">
        <v>275</v>
      </c>
      <c r="D2303" s="178">
        <v>13179</v>
      </c>
      <c r="E2303" s="155" t="s">
        <v>4813</v>
      </c>
      <c r="F2303" s="178">
        <v>0</v>
      </c>
      <c r="G2303" s="179">
        <f>Tabla19[[#This Row],[Importe]]-Tabla19[[#This Row],[Pagado]]</f>
        <v>13179</v>
      </c>
      <c r="H2303" s="153" t="s">
        <v>4814</v>
      </c>
    </row>
    <row r="2304" spans="1:8" x14ac:dyDescent="0.25">
      <c r="A2304" s="73">
        <v>44796</v>
      </c>
      <c r="B2304" s="74" t="s">
        <v>27055</v>
      </c>
      <c r="C2304" s="75" t="s">
        <v>392</v>
      </c>
      <c r="D2304" s="176">
        <v>1349.4</v>
      </c>
      <c r="E2304" s="151">
        <v>44796</v>
      </c>
      <c r="F2304" s="176">
        <v>1349.4</v>
      </c>
      <c r="G2304" s="177">
        <f>Tabla19[[#This Row],[Importe]]-Tabla19[[#This Row],[Pagado]]</f>
        <v>0</v>
      </c>
      <c r="H2304" s="75" t="s">
        <v>10</v>
      </c>
    </row>
    <row r="2305" spans="1:8" x14ac:dyDescent="0.25">
      <c r="A2305" s="148">
        <v>44796</v>
      </c>
      <c r="B2305" s="149" t="s">
        <v>27056</v>
      </c>
      <c r="C2305" s="153" t="s">
        <v>7801</v>
      </c>
      <c r="D2305" s="178">
        <v>15412</v>
      </c>
      <c r="E2305" s="155">
        <v>44796</v>
      </c>
      <c r="F2305" s="178">
        <v>15412</v>
      </c>
      <c r="G2305" s="179">
        <f>Tabla19[[#This Row],[Importe]]-Tabla19[[#This Row],[Pagado]]</f>
        <v>0</v>
      </c>
      <c r="H2305" s="153" t="s">
        <v>10</v>
      </c>
    </row>
    <row r="2306" spans="1:8" x14ac:dyDescent="0.25">
      <c r="A2306" s="73">
        <v>44796</v>
      </c>
      <c r="B2306" s="74" t="s">
        <v>27057</v>
      </c>
      <c r="C2306" s="75" t="s">
        <v>520</v>
      </c>
      <c r="D2306" s="176">
        <v>4083.2</v>
      </c>
      <c r="E2306" s="151">
        <v>44797</v>
      </c>
      <c r="F2306" s="176">
        <v>4083.2</v>
      </c>
      <c r="G2306" s="177">
        <f>Tabla19[[#This Row],[Importe]]-Tabla19[[#This Row],[Pagado]]</f>
        <v>0</v>
      </c>
      <c r="H2306" s="75" t="s">
        <v>10</v>
      </c>
    </row>
    <row r="2307" spans="1:8" x14ac:dyDescent="0.25">
      <c r="A2307" s="148">
        <v>44796</v>
      </c>
      <c r="B2307" s="149" t="s">
        <v>27058</v>
      </c>
      <c r="C2307" s="153" t="s">
        <v>157</v>
      </c>
      <c r="D2307" s="178">
        <v>5571.2</v>
      </c>
      <c r="E2307" s="155">
        <v>44797</v>
      </c>
      <c r="F2307" s="178">
        <v>5571.2</v>
      </c>
      <c r="G2307" s="179">
        <f>Tabla19[[#This Row],[Importe]]-Tabla19[[#This Row],[Pagado]]</f>
        <v>0</v>
      </c>
      <c r="H2307" s="153" t="s">
        <v>10</v>
      </c>
    </row>
    <row r="2308" spans="1:8" x14ac:dyDescent="0.25">
      <c r="A2308" s="73">
        <v>44796</v>
      </c>
      <c r="B2308" s="74" t="s">
        <v>27059</v>
      </c>
      <c r="C2308" s="75" t="s">
        <v>1350</v>
      </c>
      <c r="D2308" s="176">
        <v>1263.8</v>
      </c>
      <c r="E2308" s="151">
        <v>44796</v>
      </c>
      <c r="F2308" s="176">
        <v>1263.8</v>
      </c>
      <c r="G2308" s="177">
        <f>Tabla19[[#This Row],[Importe]]-Tabla19[[#This Row],[Pagado]]</f>
        <v>0</v>
      </c>
      <c r="H2308" s="75" t="s">
        <v>10</v>
      </c>
    </row>
    <row r="2309" spans="1:8" x14ac:dyDescent="0.25">
      <c r="A2309" s="148">
        <v>44796</v>
      </c>
      <c r="B2309" s="149" t="s">
        <v>27060</v>
      </c>
      <c r="C2309" s="153" t="s">
        <v>179</v>
      </c>
      <c r="D2309" s="178">
        <v>1326</v>
      </c>
      <c r="E2309" s="155">
        <v>44796</v>
      </c>
      <c r="F2309" s="178">
        <v>1326</v>
      </c>
      <c r="G2309" s="179">
        <f>Tabla19[[#This Row],[Importe]]-Tabla19[[#This Row],[Pagado]]</f>
        <v>0</v>
      </c>
      <c r="H2309" s="153" t="s">
        <v>10</v>
      </c>
    </row>
    <row r="2310" spans="1:8" x14ac:dyDescent="0.25">
      <c r="A2310" s="73">
        <v>44796</v>
      </c>
      <c r="B2310" s="74" t="s">
        <v>27061</v>
      </c>
      <c r="C2310" s="75" t="s">
        <v>135</v>
      </c>
      <c r="D2310" s="176">
        <v>2541.8000000000002</v>
      </c>
      <c r="E2310" s="151">
        <v>44796</v>
      </c>
      <c r="F2310" s="176">
        <v>2541.8000000000002</v>
      </c>
      <c r="G2310" s="177">
        <f>Tabla19[[#This Row],[Importe]]-Tabla19[[#This Row],[Pagado]]</f>
        <v>0</v>
      </c>
      <c r="H2310" s="75" t="s">
        <v>10</v>
      </c>
    </row>
    <row r="2311" spans="1:8" x14ac:dyDescent="0.25">
      <c r="A2311" s="148">
        <v>44796</v>
      </c>
      <c r="B2311" s="149" t="s">
        <v>27062</v>
      </c>
      <c r="C2311" s="153" t="s">
        <v>525</v>
      </c>
      <c r="D2311" s="178">
        <v>2778.9</v>
      </c>
      <c r="E2311" s="155">
        <v>44797</v>
      </c>
      <c r="F2311" s="178">
        <v>2778.9</v>
      </c>
      <c r="G2311" s="179">
        <f>Tabla19[[#This Row],[Importe]]-Tabla19[[#This Row],[Pagado]]</f>
        <v>0</v>
      </c>
      <c r="H2311" s="153" t="s">
        <v>10</v>
      </c>
    </row>
    <row r="2312" spans="1:8" x14ac:dyDescent="0.25">
      <c r="A2312" s="73">
        <v>44796</v>
      </c>
      <c r="B2312" s="74" t="s">
        <v>27063</v>
      </c>
      <c r="C2312" s="75" t="s">
        <v>698</v>
      </c>
      <c r="D2312" s="176">
        <v>8760.9</v>
      </c>
      <c r="E2312" s="151">
        <v>44796</v>
      </c>
      <c r="F2312" s="176">
        <v>8760.9</v>
      </c>
      <c r="G2312" s="177">
        <f>Tabla19[[#This Row],[Importe]]-Tabla19[[#This Row],[Pagado]]</f>
        <v>0</v>
      </c>
      <c r="H2312" s="75" t="s">
        <v>10</v>
      </c>
    </row>
    <row r="2313" spans="1:8" x14ac:dyDescent="0.25">
      <c r="A2313" s="148">
        <v>44796</v>
      </c>
      <c r="B2313" s="149" t="s">
        <v>27064</v>
      </c>
      <c r="C2313" s="153" t="s">
        <v>142</v>
      </c>
      <c r="D2313" s="178">
        <v>17118</v>
      </c>
      <c r="E2313" s="155" t="s">
        <v>4813</v>
      </c>
      <c r="F2313" s="178">
        <v>0</v>
      </c>
      <c r="G2313" s="179">
        <f>Tabla19[[#This Row],[Importe]]-Tabla19[[#This Row],[Pagado]]</f>
        <v>17118</v>
      </c>
      <c r="H2313" s="153" t="s">
        <v>4814</v>
      </c>
    </row>
    <row r="2314" spans="1:8" x14ac:dyDescent="0.25">
      <c r="A2314" s="73">
        <v>44796</v>
      </c>
      <c r="B2314" s="74" t="s">
        <v>27065</v>
      </c>
      <c r="C2314" s="75" t="s">
        <v>934</v>
      </c>
      <c r="D2314" s="176">
        <v>4031.52</v>
      </c>
      <c r="E2314" s="151">
        <v>44797</v>
      </c>
      <c r="F2314" s="176">
        <v>4031.52</v>
      </c>
      <c r="G2314" s="177">
        <f>Tabla19[[#This Row],[Importe]]-Tabla19[[#This Row],[Pagado]]</f>
        <v>0</v>
      </c>
      <c r="H2314" s="75" t="s">
        <v>10</v>
      </c>
    </row>
    <row r="2315" spans="1:8" x14ac:dyDescent="0.25">
      <c r="A2315" s="148">
        <v>44796</v>
      </c>
      <c r="B2315" s="149" t="s">
        <v>27066</v>
      </c>
      <c r="C2315" s="153" t="s">
        <v>562</v>
      </c>
      <c r="D2315" s="178">
        <v>4950</v>
      </c>
      <c r="E2315" s="155">
        <v>44796</v>
      </c>
      <c r="F2315" s="178">
        <v>4950</v>
      </c>
      <c r="G2315" s="179">
        <f>Tabla19[[#This Row],[Importe]]-Tabla19[[#This Row],[Pagado]]</f>
        <v>0</v>
      </c>
      <c r="H2315" s="153" t="s">
        <v>10</v>
      </c>
    </row>
    <row r="2316" spans="1:8" x14ac:dyDescent="0.25">
      <c r="A2316" s="73">
        <v>44796</v>
      </c>
      <c r="B2316" s="74" t="s">
        <v>27067</v>
      </c>
      <c r="C2316" s="75" t="s">
        <v>200</v>
      </c>
      <c r="D2316" s="176">
        <v>1162.2</v>
      </c>
      <c r="E2316" s="151">
        <v>44796</v>
      </c>
      <c r="F2316" s="176">
        <v>1162.2</v>
      </c>
      <c r="G2316" s="177">
        <f>Tabla19[[#This Row],[Importe]]-Tabla19[[#This Row],[Pagado]]</f>
        <v>0</v>
      </c>
      <c r="H2316" s="75" t="s">
        <v>10</v>
      </c>
    </row>
    <row r="2317" spans="1:8" x14ac:dyDescent="0.25">
      <c r="A2317" s="148">
        <v>44796</v>
      </c>
      <c r="B2317" s="149" t="s">
        <v>27068</v>
      </c>
      <c r="C2317" s="153" t="s">
        <v>419</v>
      </c>
      <c r="D2317" s="178">
        <v>12973.5</v>
      </c>
      <c r="E2317" s="155">
        <v>44796</v>
      </c>
      <c r="F2317" s="178">
        <v>12973.5</v>
      </c>
      <c r="G2317" s="179">
        <f>Tabla19[[#This Row],[Importe]]-Tabla19[[#This Row],[Pagado]]</f>
        <v>0</v>
      </c>
      <c r="H2317" s="153" t="s">
        <v>10</v>
      </c>
    </row>
    <row r="2318" spans="1:8" x14ac:dyDescent="0.25">
      <c r="A2318" s="73">
        <v>44796</v>
      </c>
      <c r="B2318" s="74" t="s">
        <v>27069</v>
      </c>
      <c r="C2318" s="75" t="s">
        <v>359</v>
      </c>
      <c r="D2318" s="176">
        <v>1302.4000000000001</v>
      </c>
      <c r="E2318" s="151">
        <v>44796</v>
      </c>
      <c r="F2318" s="176">
        <v>1302.4000000000001</v>
      </c>
      <c r="G2318" s="177">
        <f>Tabla19[[#This Row],[Importe]]-Tabla19[[#This Row],[Pagado]]</f>
        <v>0</v>
      </c>
      <c r="H2318" s="75" t="s">
        <v>10</v>
      </c>
    </row>
    <row r="2319" spans="1:8" x14ac:dyDescent="0.25">
      <c r="A2319" s="148">
        <v>44796</v>
      </c>
      <c r="B2319" s="149" t="s">
        <v>27070</v>
      </c>
      <c r="C2319" s="153" t="s">
        <v>31</v>
      </c>
      <c r="D2319" s="178">
        <v>10519.2</v>
      </c>
      <c r="E2319" s="155">
        <v>44796</v>
      </c>
      <c r="F2319" s="178">
        <v>10519.2</v>
      </c>
      <c r="G2319" s="179">
        <f>Tabla19[[#This Row],[Importe]]-Tabla19[[#This Row],[Pagado]]</f>
        <v>0</v>
      </c>
      <c r="H2319" s="153" t="s">
        <v>10</v>
      </c>
    </row>
    <row r="2320" spans="1:8" x14ac:dyDescent="0.25">
      <c r="A2320" s="73">
        <v>44796</v>
      </c>
      <c r="B2320" s="74" t="s">
        <v>27071</v>
      </c>
      <c r="C2320" s="75" t="s">
        <v>24284</v>
      </c>
      <c r="D2320" s="176">
        <v>1240.2</v>
      </c>
      <c r="E2320" s="151">
        <v>44796</v>
      </c>
      <c r="F2320" s="176">
        <v>1240.2</v>
      </c>
      <c r="G2320" s="177">
        <f>Tabla19[[#This Row],[Importe]]-Tabla19[[#This Row],[Pagado]]</f>
        <v>0</v>
      </c>
      <c r="H2320" s="75" t="s">
        <v>10</v>
      </c>
    </row>
    <row r="2321" spans="1:8" x14ac:dyDescent="0.25">
      <c r="A2321" s="148">
        <v>44796</v>
      </c>
      <c r="B2321" s="149" t="s">
        <v>27072</v>
      </c>
      <c r="C2321" s="153" t="s">
        <v>273</v>
      </c>
      <c r="D2321" s="178">
        <v>2000</v>
      </c>
      <c r="E2321" s="155">
        <v>44796</v>
      </c>
      <c r="F2321" s="178">
        <v>2000</v>
      </c>
      <c r="G2321" s="179">
        <f>Tabla19[[#This Row],[Importe]]-Tabla19[[#This Row],[Pagado]]</f>
        <v>0</v>
      </c>
      <c r="H2321" s="153" t="s">
        <v>10</v>
      </c>
    </row>
    <row r="2322" spans="1:8" x14ac:dyDescent="0.25">
      <c r="A2322" s="73">
        <v>44796</v>
      </c>
      <c r="B2322" s="74" t="s">
        <v>27073</v>
      </c>
      <c r="C2322" s="75" t="s">
        <v>214</v>
      </c>
      <c r="D2322" s="176">
        <v>1575.6</v>
      </c>
      <c r="E2322" s="151">
        <v>44796</v>
      </c>
      <c r="F2322" s="176">
        <v>1575.6</v>
      </c>
      <c r="G2322" s="177">
        <f>Tabla19[[#This Row],[Importe]]-Tabla19[[#This Row],[Pagado]]</f>
        <v>0</v>
      </c>
      <c r="H2322" s="75" t="s">
        <v>10</v>
      </c>
    </row>
    <row r="2323" spans="1:8" x14ac:dyDescent="0.25">
      <c r="A2323" s="148">
        <v>44796</v>
      </c>
      <c r="B2323" s="149" t="s">
        <v>27074</v>
      </c>
      <c r="C2323" s="153" t="s">
        <v>670</v>
      </c>
      <c r="D2323" s="178">
        <v>4876.6000000000004</v>
      </c>
      <c r="E2323" s="155">
        <v>44796</v>
      </c>
      <c r="F2323" s="178">
        <v>4876.6000000000004</v>
      </c>
      <c r="G2323" s="179">
        <f>Tabla19[[#This Row],[Importe]]-Tabla19[[#This Row],[Pagado]]</f>
        <v>0</v>
      </c>
      <c r="H2323" s="153" t="s">
        <v>10</v>
      </c>
    </row>
    <row r="2324" spans="1:8" x14ac:dyDescent="0.25">
      <c r="A2324" s="73">
        <v>44796</v>
      </c>
      <c r="B2324" s="74" t="s">
        <v>27075</v>
      </c>
      <c r="C2324" s="75" t="s">
        <v>53</v>
      </c>
      <c r="D2324" s="176">
        <v>1722.2</v>
      </c>
      <c r="E2324" s="151">
        <v>44796</v>
      </c>
      <c r="F2324" s="176">
        <v>1722.2</v>
      </c>
      <c r="G2324" s="177">
        <f>Tabla19[[#This Row],[Importe]]-Tabla19[[#This Row],[Pagado]]</f>
        <v>0</v>
      </c>
      <c r="H2324" s="75" t="s">
        <v>10</v>
      </c>
    </row>
    <row r="2325" spans="1:8" x14ac:dyDescent="0.25">
      <c r="A2325" s="148">
        <v>44796</v>
      </c>
      <c r="B2325" s="149" t="s">
        <v>27076</v>
      </c>
      <c r="C2325" s="153" t="s">
        <v>994</v>
      </c>
      <c r="D2325" s="178">
        <v>2152.5</v>
      </c>
      <c r="E2325" s="155">
        <v>44796</v>
      </c>
      <c r="F2325" s="178">
        <v>2152.5</v>
      </c>
      <c r="G2325" s="179">
        <f>Tabla19[[#This Row],[Importe]]-Tabla19[[#This Row],[Pagado]]</f>
        <v>0</v>
      </c>
      <c r="H2325" s="153" t="s">
        <v>10</v>
      </c>
    </row>
    <row r="2326" spans="1:8" x14ac:dyDescent="0.25">
      <c r="A2326" s="73">
        <v>44796</v>
      </c>
      <c r="B2326" s="74" t="s">
        <v>27077</v>
      </c>
      <c r="C2326" s="75" t="s">
        <v>51</v>
      </c>
      <c r="D2326" s="176">
        <v>553</v>
      </c>
      <c r="E2326" s="151">
        <v>44796</v>
      </c>
      <c r="F2326" s="176">
        <v>553</v>
      </c>
      <c r="G2326" s="177">
        <f>Tabla19[[#This Row],[Importe]]-Tabla19[[#This Row],[Pagado]]</f>
        <v>0</v>
      </c>
      <c r="H2326" s="75" t="s">
        <v>10</v>
      </c>
    </row>
    <row r="2327" spans="1:8" x14ac:dyDescent="0.25">
      <c r="A2327" s="148">
        <v>44796</v>
      </c>
      <c r="B2327" s="149" t="s">
        <v>27078</v>
      </c>
      <c r="C2327" s="153" t="s">
        <v>1706</v>
      </c>
      <c r="D2327" s="178">
        <v>3941.6</v>
      </c>
      <c r="E2327" s="155">
        <v>44796</v>
      </c>
      <c r="F2327" s="178">
        <v>3941.6</v>
      </c>
      <c r="G2327" s="179">
        <f>Tabla19[[#This Row],[Importe]]-Tabla19[[#This Row],[Pagado]]</f>
        <v>0</v>
      </c>
      <c r="H2327" s="153" t="s">
        <v>10</v>
      </c>
    </row>
    <row r="2328" spans="1:8" x14ac:dyDescent="0.25">
      <c r="A2328" s="73">
        <v>44796</v>
      </c>
      <c r="B2328" s="74" t="s">
        <v>27079</v>
      </c>
      <c r="C2328" s="75" t="s">
        <v>450</v>
      </c>
      <c r="D2328" s="176">
        <v>8272</v>
      </c>
      <c r="E2328" s="151">
        <v>44796</v>
      </c>
      <c r="F2328" s="176">
        <v>8272</v>
      </c>
      <c r="G2328" s="177">
        <f>Tabla19[[#This Row],[Importe]]-Tabla19[[#This Row],[Pagado]]</f>
        <v>0</v>
      </c>
      <c r="H2328" s="75" t="s">
        <v>10</v>
      </c>
    </row>
    <row r="2329" spans="1:8" x14ac:dyDescent="0.25">
      <c r="A2329" s="148">
        <v>44796</v>
      </c>
      <c r="B2329" s="149" t="s">
        <v>27080</v>
      </c>
      <c r="C2329" s="153" t="s">
        <v>440</v>
      </c>
      <c r="D2329" s="178">
        <v>9886.84</v>
      </c>
      <c r="E2329" s="155" t="s">
        <v>26221</v>
      </c>
      <c r="F2329" s="178">
        <v>9886.84</v>
      </c>
      <c r="G2329" s="179">
        <f>Tabla19[[#This Row],[Importe]]-Tabla19[[#This Row],[Pagado]]</f>
        <v>0</v>
      </c>
      <c r="H2329" s="153" t="s">
        <v>10</v>
      </c>
    </row>
    <row r="2330" spans="1:8" x14ac:dyDescent="0.25">
      <c r="A2330" s="73">
        <v>44796</v>
      </c>
      <c r="B2330" s="74" t="s">
        <v>27081</v>
      </c>
      <c r="C2330" s="75" t="s">
        <v>10819</v>
      </c>
      <c r="D2330" s="176">
        <v>717.6</v>
      </c>
      <c r="E2330" s="151">
        <v>44799</v>
      </c>
      <c r="F2330" s="176">
        <v>717.6</v>
      </c>
      <c r="G2330" s="177">
        <f>Tabla19[[#This Row],[Importe]]-Tabla19[[#This Row],[Pagado]]</f>
        <v>0</v>
      </c>
      <c r="H2330" s="75" t="s">
        <v>10</v>
      </c>
    </row>
    <row r="2331" spans="1:8" x14ac:dyDescent="0.25">
      <c r="A2331" s="148">
        <v>44796</v>
      </c>
      <c r="B2331" s="149" t="s">
        <v>27082</v>
      </c>
      <c r="C2331" s="153" t="s">
        <v>280</v>
      </c>
      <c r="D2331" s="178">
        <v>733.2</v>
      </c>
      <c r="E2331" s="155">
        <v>44799</v>
      </c>
      <c r="F2331" s="178">
        <v>733.2</v>
      </c>
      <c r="G2331" s="179">
        <f>Tabla19[[#This Row],[Importe]]-Tabla19[[#This Row],[Pagado]]</f>
        <v>0</v>
      </c>
      <c r="H2331" s="153" t="s">
        <v>10</v>
      </c>
    </row>
    <row r="2332" spans="1:8" x14ac:dyDescent="0.25">
      <c r="A2332" s="73">
        <v>44796</v>
      </c>
      <c r="B2332" s="74" t="s">
        <v>27083</v>
      </c>
      <c r="C2332" s="75" t="s">
        <v>9</v>
      </c>
      <c r="D2332" s="176">
        <v>4857.2</v>
      </c>
      <c r="E2332" s="151">
        <v>44796</v>
      </c>
      <c r="F2332" s="176">
        <v>4857.2</v>
      </c>
      <c r="G2332" s="177">
        <f>Tabla19[[#This Row],[Importe]]-Tabla19[[#This Row],[Pagado]]</f>
        <v>0</v>
      </c>
      <c r="H2332" s="75" t="s">
        <v>10</v>
      </c>
    </row>
    <row r="2333" spans="1:8" x14ac:dyDescent="0.25">
      <c r="A2333" s="148">
        <v>44796</v>
      </c>
      <c r="B2333" s="149" t="s">
        <v>27084</v>
      </c>
      <c r="C2333" s="153" t="s">
        <v>282</v>
      </c>
      <c r="D2333" s="178">
        <v>1848.6</v>
      </c>
      <c r="E2333" s="155">
        <v>44799</v>
      </c>
      <c r="F2333" s="178">
        <v>1848.6</v>
      </c>
      <c r="G2333" s="179">
        <f>Tabla19[[#This Row],[Importe]]-Tabla19[[#This Row],[Pagado]]</f>
        <v>0</v>
      </c>
      <c r="H2333" s="153" t="s">
        <v>10</v>
      </c>
    </row>
    <row r="2334" spans="1:8" x14ac:dyDescent="0.25">
      <c r="A2334" s="73">
        <v>44796</v>
      </c>
      <c r="B2334" s="74" t="s">
        <v>27085</v>
      </c>
      <c r="C2334" s="75" t="s">
        <v>284</v>
      </c>
      <c r="D2334" s="176">
        <v>8065.2</v>
      </c>
      <c r="E2334" s="151">
        <v>44799</v>
      </c>
      <c r="F2334" s="176">
        <v>8065.2</v>
      </c>
      <c r="G2334" s="177">
        <f>Tabla19[[#This Row],[Importe]]-Tabla19[[#This Row],[Pagado]]</f>
        <v>0</v>
      </c>
      <c r="H2334" s="75" t="s">
        <v>10</v>
      </c>
    </row>
    <row r="2335" spans="1:8" x14ac:dyDescent="0.25">
      <c r="A2335" s="148">
        <v>44796</v>
      </c>
      <c r="B2335" s="149" t="s">
        <v>27086</v>
      </c>
      <c r="C2335" s="153" t="s">
        <v>31</v>
      </c>
      <c r="D2335" s="178">
        <v>289.8</v>
      </c>
      <c r="E2335" s="155">
        <v>44796</v>
      </c>
      <c r="F2335" s="178">
        <v>289.8</v>
      </c>
      <c r="G2335" s="179">
        <f>Tabla19[[#This Row],[Importe]]-Tabla19[[#This Row],[Pagado]]</f>
        <v>0</v>
      </c>
      <c r="H2335" s="153" t="s">
        <v>10</v>
      </c>
    </row>
    <row r="2336" spans="1:8" x14ac:dyDescent="0.25">
      <c r="A2336" s="73">
        <v>44796</v>
      </c>
      <c r="B2336" s="74" t="s">
        <v>27087</v>
      </c>
      <c r="C2336" s="75" t="s">
        <v>296</v>
      </c>
      <c r="D2336" s="176">
        <v>4620</v>
      </c>
      <c r="E2336" s="151">
        <v>44796</v>
      </c>
      <c r="F2336" s="176">
        <v>4620</v>
      </c>
      <c r="G2336" s="177">
        <f>Tabla19[[#This Row],[Importe]]-Tabla19[[#This Row],[Pagado]]</f>
        <v>0</v>
      </c>
      <c r="H2336" s="75" t="s">
        <v>10</v>
      </c>
    </row>
    <row r="2337" spans="1:8" x14ac:dyDescent="0.25">
      <c r="A2337" s="148">
        <v>44796</v>
      </c>
      <c r="B2337" s="149" t="s">
        <v>27088</v>
      </c>
      <c r="C2337" s="153" t="s">
        <v>10190</v>
      </c>
      <c r="D2337" s="178">
        <v>22167.599999999999</v>
      </c>
      <c r="E2337" s="155">
        <v>44799</v>
      </c>
      <c r="F2337" s="178">
        <v>22167.599999999999</v>
      </c>
      <c r="G2337" s="179">
        <f>Tabla19[[#This Row],[Importe]]-Tabla19[[#This Row],[Pagado]]</f>
        <v>0</v>
      </c>
      <c r="H2337" s="153" t="s">
        <v>10</v>
      </c>
    </row>
    <row r="2338" spans="1:8" x14ac:dyDescent="0.25">
      <c r="A2338" s="73">
        <v>44796</v>
      </c>
      <c r="B2338" s="74" t="s">
        <v>27089</v>
      </c>
      <c r="C2338" s="75" t="s">
        <v>58</v>
      </c>
      <c r="D2338" s="176">
        <v>2320</v>
      </c>
      <c r="E2338" s="151">
        <v>44796</v>
      </c>
      <c r="F2338" s="176">
        <v>2320</v>
      </c>
      <c r="G2338" s="177">
        <f>Tabla19[[#This Row],[Importe]]-Tabla19[[#This Row],[Pagado]]</f>
        <v>0</v>
      </c>
      <c r="H2338" s="75" t="s">
        <v>10</v>
      </c>
    </row>
    <row r="2339" spans="1:8" x14ac:dyDescent="0.25">
      <c r="A2339" s="148">
        <v>44796</v>
      </c>
      <c r="B2339" s="149" t="s">
        <v>27090</v>
      </c>
      <c r="C2339" s="153" t="s">
        <v>421</v>
      </c>
      <c r="D2339" s="178">
        <v>9601.5</v>
      </c>
      <c r="E2339" s="155">
        <v>44802</v>
      </c>
      <c r="F2339" s="178">
        <v>9601.5</v>
      </c>
      <c r="G2339" s="179">
        <f>Tabla19[[#This Row],[Importe]]-Tabla19[[#This Row],[Pagado]]</f>
        <v>0</v>
      </c>
      <c r="H2339" s="153" t="s">
        <v>10</v>
      </c>
    </row>
    <row r="2340" spans="1:8" x14ac:dyDescent="0.25">
      <c r="A2340" s="73">
        <v>44796</v>
      </c>
      <c r="B2340" s="74" t="s">
        <v>27091</v>
      </c>
      <c r="C2340" s="75" t="s">
        <v>433</v>
      </c>
      <c r="D2340" s="176">
        <v>27300</v>
      </c>
      <c r="E2340" s="151">
        <v>44796</v>
      </c>
      <c r="F2340" s="176">
        <v>27300</v>
      </c>
      <c r="G2340" s="177">
        <f>Tabla19[[#This Row],[Importe]]-Tabla19[[#This Row],[Pagado]]</f>
        <v>0</v>
      </c>
      <c r="H2340" s="75" t="s">
        <v>10</v>
      </c>
    </row>
    <row r="2341" spans="1:8" x14ac:dyDescent="0.25">
      <c r="A2341" s="148">
        <v>44796</v>
      </c>
      <c r="B2341" s="149" t="s">
        <v>27092</v>
      </c>
      <c r="C2341" s="153" t="s">
        <v>849</v>
      </c>
      <c r="D2341" s="178">
        <v>800</v>
      </c>
      <c r="E2341" s="155">
        <v>44796</v>
      </c>
      <c r="F2341" s="178">
        <v>800</v>
      </c>
      <c r="G2341" s="179">
        <f>Tabla19[[#This Row],[Importe]]-Tabla19[[#This Row],[Pagado]]</f>
        <v>0</v>
      </c>
      <c r="H2341" s="153" t="s">
        <v>10</v>
      </c>
    </row>
    <row r="2342" spans="1:8" x14ac:dyDescent="0.25">
      <c r="A2342" s="73">
        <v>44796</v>
      </c>
      <c r="B2342" s="74" t="s">
        <v>27093</v>
      </c>
      <c r="C2342" s="75" t="s">
        <v>16</v>
      </c>
      <c r="D2342" s="176">
        <v>790.6</v>
      </c>
      <c r="E2342" s="151">
        <v>44796</v>
      </c>
      <c r="F2342" s="176">
        <v>790.6</v>
      </c>
      <c r="G2342" s="177">
        <f>Tabla19[[#This Row],[Importe]]-Tabla19[[#This Row],[Pagado]]</f>
        <v>0</v>
      </c>
      <c r="H2342" s="75" t="s">
        <v>10</v>
      </c>
    </row>
    <row r="2343" spans="1:8" x14ac:dyDescent="0.25">
      <c r="A2343" s="148">
        <v>44796</v>
      </c>
      <c r="B2343" s="149" t="s">
        <v>27094</v>
      </c>
      <c r="C2343" s="153" t="s">
        <v>3747</v>
      </c>
      <c r="D2343" s="178">
        <v>16500</v>
      </c>
      <c r="E2343" s="155">
        <v>44796</v>
      </c>
      <c r="F2343" s="178">
        <v>16500</v>
      </c>
      <c r="G2343" s="179">
        <f>Tabla19[[#This Row],[Importe]]-Tabla19[[#This Row],[Pagado]]</f>
        <v>0</v>
      </c>
      <c r="H2343" s="153" t="s">
        <v>10</v>
      </c>
    </row>
    <row r="2344" spans="1:8" x14ac:dyDescent="0.25">
      <c r="A2344" s="73">
        <v>44796</v>
      </c>
      <c r="B2344" s="74" t="s">
        <v>27095</v>
      </c>
      <c r="C2344" s="75" t="s">
        <v>15524</v>
      </c>
      <c r="D2344" s="176">
        <v>0</v>
      </c>
      <c r="E2344" s="157" t="s">
        <v>189</v>
      </c>
      <c r="F2344" s="176">
        <v>0</v>
      </c>
      <c r="G2344" s="177">
        <f>Tabla19[[#This Row],[Importe]]-Tabla19[[#This Row],[Pagado]]</f>
        <v>0</v>
      </c>
      <c r="H2344" s="161" t="s">
        <v>27096</v>
      </c>
    </row>
    <row r="2345" spans="1:8" x14ac:dyDescent="0.25">
      <c r="A2345" s="148">
        <v>44796</v>
      </c>
      <c r="B2345" s="149" t="s">
        <v>27097</v>
      </c>
      <c r="C2345" s="153" t="s">
        <v>62</v>
      </c>
      <c r="D2345" s="178">
        <v>4320</v>
      </c>
      <c r="E2345" s="155">
        <v>44796</v>
      </c>
      <c r="F2345" s="178">
        <v>4320</v>
      </c>
      <c r="G2345" s="179">
        <f>Tabla19[[#This Row],[Importe]]-Tabla19[[#This Row],[Pagado]]</f>
        <v>0</v>
      </c>
      <c r="H2345" s="153" t="s">
        <v>10</v>
      </c>
    </row>
    <row r="2346" spans="1:8" x14ac:dyDescent="0.25">
      <c r="A2346" s="73">
        <v>44796</v>
      </c>
      <c r="B2346" s="74" t="s">
        <v>27098</v>
      </c>
      <c r="C2346" s="75" t="s">
        <v>2020</v>
      </c>
      <c r="D2346" s="176">
        <v>19500</v>
      </c>
      <c r="E2346" s="151">
        <v>44796</v>
      </c>
      <c r="F2346" s="176">
        <v>19500</v>
      </c>
      <c r="G2346" s="177">
        <f>Tabla19[[#This Row],[Importe]]-Tabla19[[#This Row],[Pagado]]</f>
        <v>0</v>
      </c>
      <c r="H2346" s="75" t="s">
        <v>10</v>
      </c>
    </row>
    <row r="2347" spans="1:8" x14ac:dyDescent="0.25">
      <c r="A2347" s="148">
        <v>44796</v>
      </c>
      <c r="B2347" s="149" t="s">
        <v>27099</v>
      </c>
      <c r="C2347" s="153" t="s">
        <v>452</v>
      </c>
      <c r="D2347" s="178">
        <v>1836</v>
      </c>
      <c r="E2347" s="155">
        <v>44796</v>
      </c>
      <c r="F2347" s="178">
        <v>1836</v>
      </c>
      <c r="G2347" s="179">
        <f>Tabla19[[#This Row],[Importe]]-Tabla19[[#This Row],[Pagado]]</f>
        <v>0</v>
      </c>
      <c r="H2347" s="153" t="s">
        <v>10</v>
      </c>
    </row>
    <row r="2348" spans="1:8" x14ac:dyDescent="0.25">
      <c r="A2348" s="73">
        <v>44796</v>
      </c>
      <c r="B2348" s="74" t="s">
        <v>27100</v>
      </c>
      <c r="C2348" s="75" t="s">
        <v>1421</v>
      </c>
      <c r="D2348" s="176">
        <v>48615.6</v>
      </c>
      <c r="E2348" s="151">
        <v>44796</v>
      </c>
      <c r="F2348" s="176">
        <v>48615.6</v>
      </c>
      <c r="G2348" s="177">
        <f>Tabla19[[#This Row],[Importe]]-Tabla19[[#This Row],[Pagado]]</f>
        <v>0</v>
      </c>
      <c r="H2348" s="75" t="s">
        <v>10</v>
      </c>
    </row>
    <row r="2349" spans="1:8" x14ac:dyDescent="0.25">
      <c r="A2349" s="148">
        <v>44796</v>
      </c>
      <c r="B2349" s="149" t="s">
        <v>27101</v>
      </c>
      <c r="C2349" s="153" t="s">
        <v>31</v>
      </c>
      <c r="D2349" s="178">
        <v>267</v>
      </c>
      <c r="E2349" s="155">
        <v>44796</v>
      </c>
      <c r="F2349" s="178">
        <v>267</v>
      </c>
      <c r="G2349" s="179">
        <f>Tabla19[[#This Row],[Importe]]-Tabla19[[#This Row],[Pagado]]</f>
        <v>0</v>
      </c>
      <c r="H2349" s="153" t="s">
        <v>10</v>
      </c>
    </row>
    <row r="2350" spans="1:8" x14ac:dyDescent="0.25">
      <c r="A2350" s="73">
        <v>44796</v>
      </c>
      <c r="B2350" s="74" t="s">
        <v>27102</v>
      </c>
      <c r="C2350" s="75" t="s">
        <v>196</v>
      </c>
      <c r="D2350" s="176">
        <v>11649</v>
      </c>
      <c r="E2350" s="151">
        <v>44799</v>
      </c>
      <c r="F2350" s="176">
        <v>11649</v>
      </c>
      <c r="G2350" s="177">
        <f>Tabla19[[#This Row],[Importe]]-Tabla19[[#This Row],[Pagado]]</f>
        <v>0</v>
      </c>
      <c r="H2350" s="75" t="s">
        <v>10</v>
      </c>
    </row>
    <row r="2351" spans="1:8" x14ac:dyDescent="0.25">
      <c r="A2351" s="148">
        <v>44796</v>
      </c>
      <c r="B2351" s="149" t="s">
        <v>27103</v>
      </c>
      <c r="C2351" s="153" t="s">
        <v>296</v>
      </c>
      <c r="D2351" s="178">
        <v>2056.1</v>
      </c>
      <c r="E2351" s="155">
        <v>44796</v>
      </c>
      <c r="F2351" s="178">
        <v>2056.1</v>
      </c>
      <c r="G2351" s="179">
        <f>Tabla19[[#This Row],[Importe]]-Tabla19[[#This Row],[Pagado]]</f>
        <v>0</v>
      </c>
      <c r="H2351" s="153" t="s">
        <v>10</v>
      </c>
    </row>
    <row r="2352" spans="1:8" x14ac:dyDescent="0.25">
      <c r="A2352" s="73">
        <v>44796</v>
      </c>
      <c r="B2352" s="74" t="s">
        <v>27104</v>
      </c>
      <c r="C2352" s="75" t="s">
        <v>10273</v>
      </c>
      <c r="D2352" s="176">
        <v>59</v>
      </c>
      <c r="E2352" s="151" t="s">
        <v>27105</v>
      </c>
      <c r="F2352" s="176">
        <v>59</v>
      </c>
      <c r="G2352" s="177">
        <f>Tabla19[[#This Row],[Importe]]-Tabla19[[#This Row],[Pagado]]</f>
        <v>0</v>
      </c>
      <c r="H2352" s="75" t="s">
        <v>10</v>
      </c>
    </row>
    <row r="2353" spans="1:8" x14ac:dyDescent="0.25">
      <c r="A2353" s="148">
        <v>44796</v>
      </c>
      <c r="B2353" s="149" t="s">
        <v>27106</v>
      </c>
      <c r="C2353" s="153" t="s">
        <v>196</v>
      </c>
      <c r="D2353" s="178">
        <v>13548.8</v>
      </c>
      <c r="E2353" s="155">
        <v>44799</v>
      </c>
      <c r="F2353" s="178">
        <v>13548.8</v>
      </c>
      <c r="G2353" s="179">
        <f>Tabla19[[#This Row],[Importe]]-Tabla19[[#This Row],[Pagado]]</f>
        <v>0</v>
      </c>
      <c r="H2353" s="153" t="s">
        <v>10</v>
      </c>
    </row>
    <row r="2354" spans="1:8" x14ac:dyDescent="0.25">
      <c r="A2354" s="73">
        <v>44796</v>
      </c>
      <c r="B2354" s="74" t="s">
        <v>27107</v>
      </c>
      <c r="C2354" s="75" t="s">
        <v>69</v>
      </c>
      <c r="D2354" s="176">
        <v>1560</v>
      </c>
      <c r="E2354" s="151">
        <v>44797</v>
      </c>
      <c r="F2354" s="176">
        <v>1560</v>
      </c>
      <c r="G2354" s="177">
        <f>Tabla19[[#This Row],[Importe]]-Tabla19[[#This Row],[Pagado]]</f>
        <v>0</v>
      </c>
      <c r="H2354" s="75" t="s">
        <v>10</v>
      </c>
    </row>
    <row r="2355" spans="1:8" x14ac:dyDescent="0.25">
      <c r="A2355" s="148">
        <v>44796</v>
      </c>
      <c r="B2355" s="149" t="s">
        <v>27108</v>
      </c>
      <c r="C2355" s="153" t="s">
        <v>31</v>
      </c>
      <c r="D2355" s="178">
        <v>20</v>
      </c>
      <c r="E2355" s="155">
        <v>44797</v>
      </c>
      <c r="F2355" s="178">
        <v>20</v>
      </c>
      <c r="G2355" s="179">
        <f>Tabla19[[#This Row],[Importe]]-Tabla19[[#This Row],[Pagado]]</f>
        <v>0</v>
      </c>
      <c r="H2355" s="153" t="s">
        <v>10</v>
      </c>
    </row>
    <row r="2356" spans="1:8" x14ac:dyDescent="0.25">
      <c r="A2356" s="73">
        <v>44796</v>
      </c>
      <c r="B2356" s="74" t="s">
        <v>27109</v>
      </c>
      <c r="C2356" s="75" t="s">
        <v>31</v>
      </c>
      <c r="D2356" s="176">
        <v>1252</v>
      </c>
      <c r="E2356" s="151">
        <v>44797</v>
      </c>
      <c r="F2356" s="176">
        <v>1252</v>
      </c>
      <c r="G2356" s="177">
        <f>Tabla19[[#This Row],[Importe]]-Tabla19[[#This Row],[Pagado]]</f>
        <v>0</v>
      </c>
      <c r="H2356" s="75" t="s">
        <v>10</v>
      </c>
    </row>
    <row r="2357" spans="1:8" x14ac:dyDescent="0.25">
      <c r="A2357" s="148">
        <v>44796</v>
      </c>
      <c r="B2357" s="149" t="s">
        <v>27110</v>
      </c>
      <c r="C2357" s="153" t="s">
        <v>414</v>
      </c>
      <c r="D2357" s="178">
        <v>119218.75</v>
      </c>
      <c r="E2357" s="155" t="s">
        <v>26221</v>
      </c>
      <c r="F2357" s="178">
        <v>119218.75</v>
      </c>
      <c r="G2357" s="179">
        <f>Tabla19[[#This Row],[Importe]]-Tabla19[[#This Row],[Pagado]]</f>
        <v>0</v>
      </c>
      <c r="H2357" s="153" t="s">
        <v>10</v>
      </c>
    </row>
    <row r="2358" spans="1:8" x14ac:dyDescent="0.25">
      <c r="A2358" s="73">
        <v>44797</v>
      </c>
      <c r="B2358" s="74" t="s">
        <v>27111</v>
      </c>
      <c r="C2358" s="75" t="s">
        <v>475</v>
      </c>
      <c r="D2358" s="176">
        <v>71118.600000000006</v>
      </c>
      <c r="E2358" s="151">
        <v>44798</v>
      </c>
      <c r="F2358" s="176">
        <v>71118.600000000006</v>
      </c>
      <c r="G2358" s="177">
        <f>Tabla19[[#This Row],[Importe]]-Tabla19[[#This Row],[Pagado]]</f>
        <v>0</v>
      </c>
      <c r="H2358" s="75" t="s">
        <v>10</v>
      </c>
    </row>
    <row r="2359" spans="1:8" x14ac:dyDescent="0.25">
      <c r="A2359" s="148">
        <v>44797</v>
      </c>
      <c r="B2359" s="149" t="s">
        <v>27112</v>
      </c>
      <c r="C2359" s="153" t="s">
        <v>60</v>
      </c>
      <c r="D2359" s="178">
        <v>5356</v>
      </c>
      <c r="E2359" s="155">
        <v>44802</v>
      </c>
      <c r="F2359" s="178">
        <v>5356</v>
      </c>
      <c r="G2359" s="179">
        <f>Tabla19[[#This Row],[Importe]]-Tabla19[[#This Row],[Pagado]]</f>
        <v>0</v>
      </c>
      <c r="H2359" s="153" t="s">
        <v>10</v>
      </c>
    </row>
    <row r="2360" spans="1:8" x14ac:dyDescent="0.25">
      <c r="A2360" s="73">
        <v>44797</v>
      </c>
      <c r="B2360" s="74" t="s">
        <v>27113</v>
      </c>
      <c r="C2360" s="75" t="s">
        <v>97</v>
      </c>
      <c r="D2360" s="176">
        <v>4790.5</v>
      </c>
      <c r="E2360" s="151">
        <v>44798</v>
      </c>
      <c r="F2360" s="176">
        <v>4790.5</v>
      </c>
      <c r="G2360" s="177">
        <f>Tabla19[[#This Row],[Importe]]-Tabla19[[#This Row],[Pagado]]</f>
        <v>0</v>
      </c>
      <c r="H2360" s="75" t="s">
        <v>10</v>
      </c>
    </row>
    <row r="2361" spans="1:8" x14ac:dyDescent="0.25">
      <c r="A2361" s="148">
        <v>44797</v>
      </c>
      <c r="B2361" s="149" t="s">
        <v>27114</v>
      </c>
      <c r="C2361" s="153" t="s">
        <v>24768</v>
      </c>
      <c r="D2361" s="178">
        <v>5088.6000000000004</v>
      </c>
      <c r="E2361" s="155">
        <v>44797</v>
      </c>
      <c r="F2361" s="178">
        <v>5088.6000000000004</v>
      </c>
      <c r="G2361" s="179">
        <f>Tabla19[[#This Row],[Importe]]-Tabla19[[#This Row],[Pagado]]</f>
        <v>0</v>
      </c>
      <c r="H2361" s="153" t="s">
        <v>10</v>
      </c>
    </row>
    <row r="2362" spans="1:8" x14ac:dyDescent="0.25">
      <c r="A2362" s="73">
        <v>44797</v>
      </c>
      <c r="B2362" s="74" t="s">
        <v>27115</v>
      </c>
      <c r="C2362" s="75" t="s">
        <v>2563</v>
      </c>
      <c r="D2362" s="176">
        <v>5154.5</v>
      </c>
      <c r="E2362" s="151">
        <v>44798</v>
      </c>
      <c r="F2362" s="176">
        <v>5154.5</v>
      </c>
      <c r="G2362" s="177">
        <f>Tabla19[[#This Row],[Importe]]-Tabla19[[#This Row],[Pagado]]</f>
        <v>0</v>
      </c>
      <c r="H2362" s="75" t="s">
        <v>10</v>
      </c>
    </row>
    <row r="2363" spans="1:8" x14ac:dyDescent="0.25">
      <c r="A2363" s="148">
        <v>44797</v>
      </c>
      <c r="B2363" s="149" t="s">
        <v>27116</v>
      </c>
      <c r="C2363" s="153" t="s">
        <v>79</v>
      </c>
      <c r="D2363" s="178">
        <v>9648.6</v>
      </c>
      <c r="E2363" s="155">
        <v>44797</v>
      </c>
      <c r="F2363" s="178">
        <v>9648.6</v>
      </c>
      <c r="G2363" s="179">
        <f>Tabla19[[#This Row],[Importe]]-Tabla19[[#This Row],[Pagado]]</f>
        <v>0</v>
      </c>
      <c r="H2363" s="153" t="s">
        <v>10</v>
      </c>
    </row>
    <row r="2364" spans="1:8" x14ac:dyDescent="0.25">
      <c r="A2364" s="73">
        <v>44797</v>
      </c>
      <c r="B2364" s="74" t="s">
        <v>27117</v>
      </c>
      <c r="C2364" s="75" t="s">
        <v>275</v>
      </c>
      <c r="D2364" s="176">
        <v>4496.8</v>
      </c>
      <c r="E2364" s="151" t="s">
        <v>4813</v>
      </c>
      <c r="F2364" s="176">
        <v>0</v>
      </c>
      <c r="G2364" s="177">
        <f>Tabla19[[#This Row],[Importe]]-Tabla19[[#This Row],[Pagado]]</f>
        <v>4496.8</v>
      </c>
      <c r="H2364" s="75" t="s">
        <v>4814</v>
      </c>
    </row>
    <row r="2365" spans="1:8" x14ac:dyDescent="0.25">
      <c r="A2365" s="148">
        <v>44797</v>
      </c>
      <c r="B2365" s="149" t="s">
        <v>27118</v>
      </c>
      <c r="C2365" s="153" t="s">
        <v>348</v>
      </c>
      <c r="D2365" s="178">
        <v>6943.6</v>
      </c>
      <c r="E2365" s="155">
        <v>44797</v>
      </c>
      <c r="F2365" s="178">
        <v>6943.6</v>
      </c>
      <c r="G2365" s="179">
        <f>Tabla19[[#This Row],[Importe]]-Tabla19[[#This Row],[Pagado]]</f>
        <v>0</v>
      </c>
      <c r="H2365" s="153" t="s">
        <v>10</v>
      </c>
    </row>
    <row r="2366" spans="1:8" x14ac:dyDescent="0.25">
      <c r="A2366" s="73">
        <v>44797</v>
      </c>
      <c r="B2366" s="74" t="s">
        <v>27119</v>
      </c>
      <c r="C2366" s="75" t="s">
        <v>2151</v>
      </c>
      <c r="D2366" s="176">
        <v>17703.099999999999</v>
      </c>
      <c r="E2366" s="151">
        <v>44797</v>
      </c>
      <c r="F2366" s="176">
        <v>17703.099999999999</v>
      </c>
      <c r="G2366" s="177">
        <f>Tabla19[[#This Row],[Importe]]-Tabla19[[#This Row],[Pagado]]</f>
        <v>0</v>
      </c>
      <c r="H2366" s="75" t="s">
        <v>10</v>
      </c>
    </row>
    <row r="2367" spans="1:8" x14ac:dyDescent="0.25">
      <c r="A2367" s="148">
        <v>44797</v>
      </c>
      <c r="B2367" s="149" t="s">
        <v>27120</v>
      </c>
      <c r="C2367" s="153" t="s">
        <v>93</v>
      </c>
      <c r="D2367" s="178">
        <v>2720.2</v>
      </c>
      <c r="E2367" s="155">
        <v>44799</v>
      </c>
      <c r="F2367" s="178">
        <v>2720.2</v>
      </c>
      <c r="G2367" s="179">
        <f>Tabla19[[#This Row],[Importe]]-Tabla19[[#This Row],[Pagado]]</f>
        <v>0</v>
      </c>
      <c r="H2367" s="153" t="s">
        <v>10</v>
      </c>
    </row>
    <row r="2368" spans="1:8" x14ac:dyDescent="0.25">
      <c r="A2368" s="73">
        <v>44797</v>
      </c>
      <c r="B2368" s="74" t="s">
        <v>27121</v>
      </c>
      <c r="C2368" s="75" t="s">
        <v>109</v>
      </c>
      <c r="D2368" s="176">
        <v>4756.5</v>
      </c>
      <c r="E2368" s="151">
        <v>44798</v>
      </c>
      <c r="F2368" s="176">
        <v>4756.5</v>
      </c>
      <c r="G2368" s="177">
        <f>Tabla19[[#This Row],[Importe]]-Tabla19[[#This Row],[Pagado]]</f>
        <v>0</v>
      </c>
      <c r="H2368" s="75" t="s">
        <v>10</v>
      </c>
    </row>
    <row r="2369" spans="1:8" x14ac:dyDescent="0.25">
      <c r="A2369" s="148">
        <v>44797</v>
      </c>
      <c r="B2369" s="149" t="s">
        <v>27122</v>
      </c>
      <c r="C2369" s="153" t="s">
        <v>105</v>
      </c>
      <c r="D2369" s="178">
        <v>7406.8</v>
      </c>
      <c r="E2369" s="155">
        <v>44798</v>
      </c>
      <c r="F2369" s="178">
        <v>7406.8</v>
      </c>
      <c r="G2369" s="179">
        <f>Tabla19[[#This Row],[Importe]]-Tabla19[[#This Row],[Pagado]]</f>
        <v>0</v>
      </c>
      <c r="H2369" s="153" t="s">
        <v>10</v>
      </c>
    </row>
    <row r="2370" spans="1:8" x14ac:dyDescent="0.25">
      <c r="A2370" s="73">
        <v>44797</v>
      </c>
      <c r="B2370" s="74" t="s">
        <v>27123</v>
      </c>
      <c r="C2370" s="75" t="s">
        <v>89</v>
      </c>
      <c r="D2370" s="176">
        <v>2494</v>
      </c>
      <c r="E2370" s="151">
        <v>44798</v>
      </c>
      <c r="F2370" s="176">
        <v>2494</v>
      </c>
      <c r="G2370" s="177">
        <f>Tabla19[[#This Row],[Importe]]-Tabla19[[#This Row],[Pagado]]</f>
        <v>0</v>
      </c>
      <c r="H2370" s="75" t="s">
        <v>10</v>
      </c>
    </row>
    <row r="2371" spans="1:8" x14ac:dyDescent="0.25">
      <c r="A2371" s="148">
        <v>44797</v>
      </c>
      <c r="B2371" s="149" t="s">
        <v>27124</v>
      </c>
      <c r="C2371" s="153" t="s">
        <v>99</v>
      </c>
      <c r="D2371" s="178">
        <v>3248</v>
      </c>
      <c r="E2371" s="155">
        <v>44800</v>
      </c>
      <c r="F2371" s="178">
        <v>3248</v>
      </c>
      <c r="G2371" s="179">
        <f>Tabla19[[#This Row],[Importe]]-Tabla19[[#This Row],[Pagado]]</f>
        <v>0</v>
      </c>
      <c r="H2371" s="153" t="s">
        <v>10</v>
      </c>
    </row>
    <row r="2372" spans="1:8" x14ac:dyDescent="0.25">
      <c r="A2372" s="73">
        <v>44797</v>
      </c>
      <c r="B2372" s="74" t="s">
        <v>27125</v>
      </c>
      <c r="C2372" s="75" t="s">
        <v>64</v>
      </c>
      <c r="D2372" s="176">
        <v>5083</v>
      </c>
      <c r="E2372" s="151">
        <v>44799</v>
      </c>
      <c r="F2372" s="176">
        <v>5083</v>
      </c>
      <c r="G2372" s="177">
        <f>Tabla19[[#This Row],[Importe]]-Tabla19[[#This Row],[Pagado]]</f>
        <v>0</v>
      </c>
      <c r="H2372" s="75" t="s">
        <v>10</v>
      </c>
    </row>
    <row r="2373" spans="1:8" x14ac:dyDescent="0.25">
      <c r="A2373" s="148">
        <v>44797</v>
      </c>
      <c r="B2373" s="149" t="s">
        <v>27126</v>
      </c>
      <c r="C2373" s="153" t="s">
        <v>114</v>
      </c>
      <c r="D2373" s="178">
        <v>7422.2</v>
      </c>
      <c r="E2373" s="155">
        <v>44799</v>
      </c>
      <c r="F2373" s="178">
        <v>7422.2</v>
      </c>
      <c r="G2373" s="179">
        <f>Tabla19[[#This Row],[Importe]]-Tabla19[[#This Row],[Pagado]]</f>
        <v>0</v>
      </c>
      <c r="H2373" s="153" t="s">
        <v>10</v>
      </c>
    </row>
    <row r="2374" spans="1:8" x14ac:dyDescent="0.25">
      <c r="A2374" s="73">
        <v>44797</v>
      </c>
      <c r="B2374" s="74" t="s">
        <v>27127</v>
      </c>
      <c r="C2374" s="75" t="s">
        <v>481</v>
      </c>
      <c r="D2374" s="176">
        <v>847.3</v>
      </c>
      <c r="E2374" s="151">
        <v>44797</v>
      </c>
      <c r="F2374" s="176">
        <v>847.3</v>
      </c>
      <c r="G2374" s="177">
        <f>Tabla19[[#This Row],[Importe]]-Tabla19[[#This Row],[Pagado]]</f>
        <v>0</v>
      </c>
      <c r="H2374" s="75" t="s">
        <v>10</v>
      </c>
    </row>
    <row r="2375" spans="1:8" x14ac:dyDescent="0.25">
      <c r="A2375" s="148">
        <v>44797</v>
      </c>
      <c r="B2375" s="149" t="s">
        <v>27128</v>
      </c>
      <c r="C2375" s="153" t="s">
        <v>131</v>
      </c>
      <c r="D2375" s="178">
        <v>3965.5</v>
      </c>
      <c r="E2375" s="155">
        <v>44797</v>
      </c>
      <c r="F2375" s="178">
        <v>3965.5</v>
      </c>
      <c r="G2375" s="179">
        <f>Tabla19[[#This Row],[Importe]]-Tabla19[[#This Row],[Pagado]]</f>
        <v>0</v>
      </c>
      <c r="H2375" s="153" t="s">
        <v>10</v>
      </c>
    </row>
    <row r="2376" spans="1:8" x14ac:dyDescent="0.25">
      <c r="A2376" s="73">
        <v>44797</v>
      </c>
      <c r="B2376" s="74" t="s">
        <v>27129</v>
      </c>
      <c r="C2376" s="75" t="s">
        <v>95</v>
      </c>
      <c r="D2376" s="176">
        <v>27085.4</v>
      </c>
      <c r="E2376" s="151">
        <v>44797</v>
      </c>
      <c r="F2376" s="176">
        <v>27085.4</v>
      </c>
      <c r="G2376" s="177">
        <f>Tabla19[[#This Row],[Importe]]-Tabla19[[#This Row],[Pagado]]</f>
        <v>0</v>
      </c>
      <c r="H2376" s="75" t="s">
        <v>10</v>
      </c>
    </row>
    <row r="2377" spans="1:8" x14ac:dyDescent="0.25">
      <c r="A2377" s="148">
        <v>44797</v>
      </c>
      <c r="B2377" s="149" t="s">
        <v>27130</v>
      </c>
      <c r="C2377" s="153" t="s">
        <v>83</v>
      </c>
      <c r="D2377" s="178">
        <v>6108</v>
      </c>
      <c r="E2377" s="155">
        <v>44797</v>
      </c>
      <c r="F2377" s="178">
        <v>6108</v>
      </c>
      <c r="G2377" s="179">
        <f>Tabla19[[#This Row],[Importe]]-Tabla19[[#This Row],[Pagado]]</f>
        <v>0</v>
      </c>
      <c r="H2377" s="153" t="s">
        <v>10</v>
      </c>
    </row>
    <row r="2378" spans="1:8" x14ac:dyDescent="0.25">
      <c r="A2378" s="73">
        <v>44797</v>
      </c>
      <c r="B2378" s="74" t="s">
        <v>27131</v>
      </c>
      <c r="C2378" s="75" t="s">
        <v>9</v>
      </c>
      <c r="D2378" s="176">
        <v>8373.1</v>
      </c>
      <c r="E2378" s="151">
        <v>44797</v>
      </c>
      <c r="F2378" s="176">
        <v>8373.1</v>
      </c>
      <c r="G2378" s="177">
        <f>Tabla19[[#This Row],[Importe]]-Tabla19[[#This Row],[Pagado]]</f>
        <v>0</v>
      </c>
      <c r="H2378" s="75" t="s">
        <v>10</v>
      </c>
    </row>
    <row r="2379" spans="1:8" x14ac:dyDescent="0.25">
      <c r="A2379" s="148">
        <v>44797</v>
      </c>
      <c r="B2379" s="149" t="s">
        <v>27132</v>
      </c>
      <c r="C2379" s="153" t="s">
        <v>87</v>
      </c>
      <c r="D2379" s="178">
        <v>2259.1999999999998</v>
      </c>
      <c r="E2379" s="155">
        <v>44797</v>
      </c>
      <c r="F2379" s="178">
        <v>2259.1999999999998</v>
      </c>
      <c r="G2379" s="179">
        <f>Tabla19[[#This Row],[Importe]]-Tabla19[[#This Row],[Pagado]]</f>
        <v>0</v>
      </c>
      <c r="H2379" s="153" t="s">
        <v>10</v>
      </c>
    </row>
    <row r="2380" spans="1:8" x14ac:dyDescent="0.25">
      <c r="A2380" s="73">
        <v>44797</v>
      </c>
      <c r="B2380" s="74" t="s">
        <v>27133</v>
      </c>
      <c r="C2380" s="75" t="s">
        <v>135</v>
      </c>
      <c r="D2380" s="176">
        <v>2172.5</v>
      </c>
      <c r="E2380" s="151">
        <v>44797</v>
      </c>
      <c r="F2380" s="176">
        <v>2172.5</v>
      </c>
      <c r="G2380" s="177">
        <f>Tabla19[[#This Row],[Importe]]-Tabla19[[#This Row],[Pagado]]</f>
        <v>0</v>
      </c>
      <c r="H2380" s="75" t="s">
        <v>10</v>
      </c>
    </row>
    <row r="2381" spans="1:8" x14ac:dyDescent="0.25">
      <c r="A2381" s="148">
        <v>44797</v>
      </c>
      <c r="B2381" s="149" t="s">
        <v>27134</v>
      </c>
      <c r="C2381" s="153" t="s">
        <v>1187</v>
      </c>
      <c r="D2381" s="178">
        <v>2827.4</v>
      </c>
      <c r="E2381" s="155">
        <v>44797</v>
      </c>
      <c r="F2381" s="178">
        <v>2827.4</v>
      </c>
      <c r="G2381" s="179">
        <f>Tabla19[[#This Row],[Importe]]-Tabla19[[#This Row],[Pagado]]</f>
        <v>0</v>
      </c>
      <c r="H2381" s="153" t="s">
        <v>10</v>
      </c>
    </row>
    <row r="2382" spans="1:8" x14ac:dyDescent="0.25">
      <c r="A2382" s="73">
        <v>44797</v>
      </c>
      <c r="B2382" s="74" t="s">
        <v>27135</v>
      </c>
      <c r="C2382" s="75" t="s">
        <v>31</v>
      </c>
      <c r="D2382" s="176">
        <v>3936.8</v>
      </c>
      <c r="E2382" s="151">
        <v>44797</v>
      </c>
      <c r="F2382" s="176">
        <v>3936.8</v>
      </c>
      <c r="G2382" s="177">
        <f>Tabla19[[#This Row],[Importe]]-Tabla19[[#This Row],[Pagado]]</f>
        <v>0</v>
      </c>
      <c r="H2382" s="75" t="s">
        <v>10</v>
      </c>
    </row>
    <row r="2383" spans="1:8" x14ac:dyDescent="0.25">
      <c r="A2383" s="148">
        <v>44797</v>
      </c>
      <c r="B2383" s="149" t="s">
        <v>27136</v>
      </c>
      <c r="C2383" s="153" t="s">
        <v>16</v>
      </c>
      <c r="D2383" s="178">
        <v>6082.4</v>
      </c>
      <c r="E2383" s="155">
        <v>44797</v>
      </c>
      <c r="F2383" s="178">
        <v>6082.4</v>
      </c>
      <c r="G2383" s="179">
        <f>Tabla19[[#This Row],[Importe]]-Tabla19[[#This Row],[Pagado]]</f>
        <v>0</v>
      </c>
      <c r="H2383" s="153" t="s">
        <v>10</v>
      </c>
    </row>
    <row r="2384" spans="1:8" x14ac:dyDescent="0.25">
      <c r="A2384" s="73">
        <v>44797</v>
      </c>
      <c r="B2384" s="74" t="s">
        <v>27137</v>
      </c>
      <c r="C2384" s="75" t="s">
        <v>466</v>
      </c>
      <c r="D2384" s="176">
        <v>5500</v>
      </c>
      <c r="E2384" s="151">
        <v>44797</v>
      </c>
      <c r="F2384" s="176">
        <v>5500</v>
      </c>
      <c r="G2384" s="177">
        <f>Tabla19[[#This Row],[Importe]]-Tabla19[[#This Row],[Pagado]]</f>
        <v>0</v>
      </c>
      <c r="H2384" s="75" t="s">
        <v>10</v>
      </c>
    </row>
    <row r="2385" spans="1:8" x14ac:dyDescent="0.25">
      <c r="A2385" s="148">
        <v>44797</v>
      </c>
      <c r="B2385" s="149" t="s">
        <v>27138</v>
      </c>
      <c r="C2385" s="153" t="s">
        <v>11033</v>
      </c>
      <c r="D2385" s="178">
        <v>1777.5</v>
      </c>
      <c r="E2385" s="155">
        <v>44797</v>
      </c>
      <c r="F2385" s="178">
        <v>1777.5</v>
      </c>
      <c r="G2385" s="179">
        <f>Tabla19[[#This Row],[Importe]]-Tabla19[[#This Row],[Pagado]]</f>
        <v>0</v>
      </c>
      <c r="H2385" s="153" t="s">
        <v>10</v>
      </c>
    </row>
    <row r="2386" spans="1:8" x14ac:dyDescent="0.25">
      <c r="A2386" s="73">
        <v>44797</v>
      </c>
      <c r="B2386" s="74" t="s">
        <v>27139</v>
      </c>
      <c r="C2386" s="75" t="s">
        <v>196</v>
      </c>
      <c r="D2386" s="176">
        <v>131246.78</v>
      </c>
      <c r="E2386" s="151">
        <v>44799</v>
      </c>
      <c r="F2386" s="176">
        <v>131246.78</v>
      </c>
      <c r="G2386" s="177">
        <f>Tabla19[[#This Row],[Importe]]-Tabla19[[#This Row],[Pagado]]</f>
        <v>0</v>
      </c>
      <c r="H2386" s="75" t="s">
        <v>10</v>
      </c>
    </row>
    <row r="2387" spans="1:8" x14ac:dyDescent="0.25">
      <c r="A2387" s="148">
        <v>44797</v>
      </c>
      <c r="B2387" s="149" t="s">
        <v>27140</v>
      </c>
      <c r="C2387" s="153" t="s">
        <v>27141</v>
      </c>
      <c r="D2387" s="178">
        <v>0</v>
      </c>
      <c r="E2387" s="158" t="s">
        <v>189</v>
      </c>
      <c r="F2387" s="178">
        <v>0</v>
      </c>
      <c r="G2387" s="179">
        <f>Tabla19[[#This Row],[Importe]]-Tabla19[[#This Row],[Pagado]]</f>
        <v>0</v>
      </c>
      <c r="H2387" s="153" t="s">
        <v>189</v>
      </c>
    </row>
    <row r="2388" spans="1:8" x14ac:dyDescent="0.25">
      <c r="A2388" s="73">
        <v>44797</v>
      </c>
      <c r="B2388" s="74" t="s">
        <v>27142</v>
      </c>
      <c r="C2388" s="75" t="s">
        <v>56</v>
      </c>
      <c r="D2388" s="176">
        <v>6273.9</v>
      </c>
      <c r="E2388" s="151">
        <v>44797</v>
      </c>
      <c r="F2388" s="176">
        <v>6273.9</v>
      </c>
      <c r="G2388" s="177">
        <f>Tabla19[[#This Row],[Importe]]-Tabla19[[#This Row],[Pagado]]</f>
        <v>0</v>
      </c>
      <c r="H2388" s="75" t="s">
        <v>10</v>
      </c>
    </row>
    <row r="2389" spans="1:8" x14ac:dyDescent="0.25">
      <c r="A2389" s="148">
        <v>44797</v>
      </c>
      <c r="B2389" s="149" t="s">
        <v>27143</v>
      </c>
      <c r="C2389" s="153" t="s">
        <v>484</v>
      </c>
      <c r="D2389" s="178">
        <v>3884.4</v>
      </c>
      <c r="E2389" s="155">
        <v>44797</v>
      </c>
      <c r="F2389" s="178">
        <v>3884.4</v>
      </c>
      <c r="G2389" s="179">
        <f>Tabla19[[#This Row],[Importe]]-Tabla19[[#This Row],[Pagado]]</f>
        <v>0</v>
      </c>
      <c r="H2389" s="153" t="s">
        <v>10</v>
      </c>
    </row>
    <row r="2390" spans="1:8" x14ac:dyDescent="0.25">
      <c r="A2390" s="73">
        <v>44797</v>
      </c>
      <c r="B2390" s="74" t="s">
        <v>27144</v>
      </c>
      <c r="C2390" s="75" t="s">
        <v>133</v>
      </c>
      <c r="D2390" s="176">
        <v>18600</v>
      </c>
      <c r="E2390" s="151">
        <v>44798</v>
      </c>
      <c r="F2390" s="176">
        <v>18600</v>
      </c>
      <c r="G2390" s="177">
        <f>Tabla19[[#This Row],[Importe]]-Tabla19[[#This Row],[Pagado]]</f>
        <v>0</v>
      </c>
      <c r="H2390" s="75" t="s">
        <v>10</v>
      </c>
    </row>
    <row r="2391" spans="1:8" x14ac:dyDescent="0.25">
      <c r="A2391" s="148">
        <v>44797</v>
      </c>
      <c r="B2391" s="149" t="s">
        <v>27145</v>
      </c>
      <c r="C2391" s="153" t="s">
        <v>348</v>
      </c>
      <c r="D2391" s="178">
        <v>2617.1999999999998</v>
      </c>
      <c r="E2391" s="155">
        <v>44797</v>
      </c>
      <c r="F2391" s="178">
        <v>2617.1999999999998</v>
      </c>
      <c r="G2391" s="179">
        <f>Tabla19[[#This Row],[Importe]]-Tabla19[[#This Row],[Pagado]]</f>
        <v>0</v>
      </c>
      <c r="H2391" s="153" t="s">
        <v>10</v>
      </c>
    </row>
    <row r="2392" spans="1:8" x14ac:dyDescent="0.25">
      <c r="A2392" s="73">
        <v>44797</v>
      </c>
      <c r="B2392" s="74" t="s">
        <v>27146</v>
      </c>
      <c r="C2392" s="75" t="s">
        <v>45</v>
      </c>
      <c r="D2392" s="176">
        <v>11726.4</v>
      </c>
      <c r="E2392" s="151">
        <v>44797</v>
      </c>
      <c r="F2392" s="176">
        <v>11726.4</v>
      </c>
      <c r="G2392" s="177">
        <f>Tabla19[[#This Row],[Importe]]-Tabla19[[#This Row],[Pagado]]</f>
        <v>0</v>
      </c>
      <c r="H2392" s="75" t="s">
        <v>10</v>
      </c>
    </row>
    <row r="2393" spans="1:8" x14ac:dyDescent="0.25">
      <c r="A2393" s="148">
        <v>44797</v>
      </c>
      <c r="B2393" s="149" t="s">
        <v>27147</v>
      </c>
      <c r="C2393" s="153" t="s">
        <v>53</v>
      </c>
      <c r="D2393" s="178">
        <v>630.79999999999995</v>
      </c>
      <c r="E2393" s="155">
        <v>44797</v>
      </c>
      <c r="F2393" s="178">
        <v>630.79999999999995</v>
      </c>
      <c r="G2393" s="179">
        <f>Tabla19[[#This Row],[Importe]]-Tabla19[[#This Row],[Pagado]]</f>
        <v>0</v>
      </c>
      <c r="H2393" s="153" t="s">
        <v>10</v>
      </c>
    </row>
    <row r="2394" spans="1:8" x14ac:dyDescent="0.25">
      <c r="A2394" s="73">
        <v>44797</v>
      </c>
      <c r="B2394" s="74" t="s">
        <v>27148</v>
      </c>
      <c r="C2394" s="75" t="s">
        <v>206</v>
      </c>
      <c r="D2394" s="176">
        <v>28185.599999999999</v>
      </c>
      <c r="E2394" s="151">
        <v>44800</v>
      </c>
      <c r="F2394" s="176">
        <v>28185.599999999999</v>
      </c>
      <c r="G2394" s="177">
        <f>Tabla19[[#This Row],[Importe]]-Tabla19[[#This Row],[Pagado]]</f>
        <v>0</v>
      </c>
      <c r="H2394" s="75" t="s">
        <v>10</v>
      </c>
    </row>
    <row r="2395" spans="1:8" x14ac:dyDescent="0.25">
      <c r="A2395" s="148">
        <v>44797</v>
      </c>
      <c r="B2395" s="149" t="s">
        <v>27149</v>
      </c>
      <c r="C2395" s="153" t="s">
        <v>218</v>
      </c>
      <c r="D2395" s="178">
        <v>22162.7</v>
      </c>
      <c r="E2395" s="155">
        <v>44799</v>
      </c>
      <c r="F2395" s="178">
        <v>22162.7</v>
      </c>
      <c r="G2395" s="179">
        <f>Tabla19[[#This Row],[Importe]]-Tabla19[[#This Row],[Pagado]]</f>
        <v>0</v>
      </c>
      <c r="H2395" s="153" t="s">
        <v>10</v>
      </c>
    </row>
    <row r="2396" spans="1:8" x14ac:dyDescent="0.25">
      <c r="A2396" s="73">
        <v>44797</v>
      </c>
      <c r="B2396" s="74" t="s">
        <v>27150</v>
      </c>
      <c r="C2396" s="75" t="s">
        <v>154</v>
      </c>
      <c r="D2396" s="176">
        <v>20622.099999999999</v>
      </c>
      <c r="E2396" s="151">
        <v>44800</v>
      </c>
      <c r="F2396" s="176">
        <v>20622.099999999999</v>
      </c>
      <c r="G2396" s="177">
        <f>Tabla19[[#This Row],[Importe]]-Tabla19[[#This Row],[Pagado]]</f>
        <v>0</v>
      </c>
      <c r="H2396" s="75" t="s">
        <v>10</v>
      </c>
    </row>
    <row r="2397" spans="1:8" x14ac:dyDescent="0.25">
      <c r="A2397" s="148">
        <v>44797</v>
      </c>
      <c r="B2397" s="149" t="s">
        <v>27151</v>
      </c>
      <c r="C2397" s="153" t="s">
        <v>212</v>
      </c>
      <c r="D2397" s="178">
        <v>10778</v>
      </c>
      <c r="E2397" s="155">
        <v>44799</v>
      </c>
      <c r="F2397" s="178">
        <v>10778</v>
      </c>
      <c r="G2397" s="179">
        <f>Tabla19[[#This Row],[Importe]]-Tabla19[[#This Row],[Pagado]]</f>
        <v>0</v>
      </c>
      <c r="H2397" s="153" t="s">
        <v>10</v>
      </c>
    </row>
    <row r="2398" spans="1:8" x14ac:dyDescent="0.25">
      <c r="A2398" s="73">
        <v>44797</v>
      </c>
      <c r="B2398" s="74" t="s">
        <v>27152</v>
      </c>
      <c r="C2398" s="75" t="s">
        <v>1644</v>
      </c>
      <c r="D2398" s="176">
        <v>11595</v>
      </c>
      <c r="E2398" s="151">
        <v>44798</v>
      </c>
      <c r="F2398" s="176">
        <v>11595</v>
      </c>
      <c r="G2398" s="177">
        <f>Tabla19[[#This Row],[Importe]]-Tabla19[[#This Row],[Pagado]]</f>
        <v>0</v>
      </c>
      <c r="H2398" s="75" t="s">
        <v>10</v>
      </c>
    </row>
    <row r="2399" spans="1:8" x14ac:dyDescent="0.25">
      <c r="A2399" s="148">
        <v>44797</v>
      </c>
      <c r="B2399" s="149" t="s">
        <v>27153</v>
      </c>
      <c r="C2399" s="153" t="s">
        <v>173</v>
      </c>
      <c r="D2399" s="178">
        <v>16442.400000000001</v>
      </c>
      <c r="E2399" s="155">
        <v>44798</v>
      </c>
      <c r="F2399" s="178">
        <v>16442.400000000001</v>
      </c>
      <c r="G2399" s="179">
        <f>Tabla19[[#This Row],[Importe]]-Tabla19[[#This Row],[Pagado]]</f>
        <v>0</v>
      </c>
      <c r="H2399" s="153" t="s">
        <v>10</v>
      </c>
    </row>
    <row r="2400" spans="1:8" x14ac:dyDescent="0.25">
      <c r="A2400" s="73">
        <v>44797</v>
      </c>
      <c r="B2400" s="74" t="s">
        <v>27154</v>
      </c>
      <c r="C2400" s="75" t="s">
        <v>541</v>
      </c>
      <c r="D2400" s="176">
        <v>9629.2000000000007</v>
      </c>
      <c r="E2400" s="151">
        <v>44798</v>
      </c>
      <c r="F2400" s="176">
        <v>9629.2000000000007</v>
      </c>
      <c r="G2400" s="177">
        <f>Tabla19[[#This Row],[Importe]]-Tabla19[[#This Row],[Pagado]]</f>
        <v>0</v>
      </c>
      <c r="H2400" s="75" t="s">
        <v>10</v>
      </c>
    </row>
    <row r="2401" spans="1:8" x14ac:dyDescent="0.25">
      <c r="A2401" s="148">
        <v>44797</v>
      </c>
      <c r="B2401" s="149" t="s">
        <v>27155</v>
      </c>
      <c r="C2401" s="153" t="s">
        <v>31</v>
      </c>
      <c r="D2401" s="178">
        <v>1000</v>
      </c>
      <c r="E2401" s="155">
        <v>44797</v>
      </c>
      <c r="F2401" s="178">
        <v>1000</v>
      </c>
      <c r="G2401" s="179">
        <f>Tabla19[[#This Row],[Importe]]-Tabla19[[#This Row],[Pagado]]</f>
        <v>0</v>
      </c>
      <c r="H2401" s="153" t="s">
        <v>10</v>
      </c>
    </row>
    <row r="2402" spans="1:8" x14ac:dyDescent="0.25">
      <c r="A2402" s="73">
        <v>44797</v>
      </c>
      <c r="B2402" s="74" t="s">
        <v>27156</v>
      </c>
      <c r="C2402" s="75" t="s">
        <v>555</v>
      </c>
      <c r="D2402" s="176">
        <v>25670.240000000002</v>
      </c>
      <c r="E2402" s="151">
        <v>44797</v>
      </c>
      <c r="F2402" s="176">
        <v>25670.240000000002</v>
      </c>
      <c r="G2402" s="177">
        <f>Tabla19[[#This Row],[Importe]]-Tabla19[[#This Row],[Pagado]]</f>
        <v>0</v>
      </c>
      <c r="H2402" s="75" t="s">
        <v>10</v>
      </c>
    </row>
    <row r="2403" spans="1:8" x14ac:dyDescent="0.25">
      <c r="A2403" s="148">
        <v>44797</v>
      </c>
      <c r="B2403" s="149" t="s">
        <v>27157</v>
      </c>
      <c r="C2403" s="153" t="s">
        <v>154</v>
      </c>
      <c r="D2403" s="178">
        <v>4320</v>
      </c>
      <c r="E2403" s="155">
        <v>44800</v>
      </c>
      <c r="F2403" s="178">
        <v>4320</v>
      </c>
      <c r="G2403" s="179">
        <f>Tabla19[[#This Row],[Importe]]-Tabla19[[#This Row],[Pagado]]</f>
        <v>0</v>
      </c>
      <c r="H2403" s="153" t="s">
        <v>10</v>
      </c>
    </row>
    <row r="2404" spans="1:8" x14ac:dyDescent="0.25">
      <c r="A2404" s="73">
        <v>44797</v>
      </c>
      <c r="B2404" s="74" t="s">
        <v>27158</v>
      </c>
      <c r="C2404" s="75" t="s">
        <v>27159</v>
      </c>
      <c r="D2404" s="176">
        <v>22410</v>
      </c>
      <c r="E2404" s="151">
        <v>44798</v>
      </c>
      <c r="F2404" s="176">
        <v>22410</v>
      </c>
      <c r="G2404" s="177">
        <f>Tabla19[[#This Row],[Importe]]-Tabla19[[#This Row],[Pagado]]</f>
        <v>0</v>
      </c>
      <c r="H2404" s="75" t="s">
        <v>10</v>
      </c>
    </row>
    <row r="2405" spans="1:8" x14ac:dyDescent="0.25">
      <c r="A2405" s="148">
        <v>44797</v>
      </c>
      <c r="B2405" s="149" t="s">
        <v>27160</v>
      </c>
      <c r="C2405" s="153" t="s">
        <v>31</v>
      </c>
      <c r="D2405" s="178">
        <v>1368</v>
      </c>
      <c r="E2405" s="155">
        <v>44797</v>
      </c>
      <c r="F2405" s="178">
        <v>1368</v>
      </c>
      <c r="G2405" s="179">
        <f>Tabla19[[#This Row],[Importe]]-Tabla19[[#This Row],[Pagado]]</f>
        <v>0</v>
      </c>
      <c r="H2405" s="153" t="s">
        <v>10</v>
      </c>
    </row>
    <row r="2406" spans="1:8" x14ac:dyDescent="0.25">
      <c r="A2406" s="73">
        <v>44797</v>
      </c>
      <c r="B2406" s="74" t="s">
        <v>27161</v>
      </c>
      <c r="C2406" s="75" t="s">
        <v>31</v>
      </c>
      <c r="D2406" s="176">
        <v>3864</v>
      </c>
      <c r="E2406" s="151">
        <v>44797</v>
      </c>
      <c r="F2406" s="176">
        <v>3864</v>
      </c>
      <c r="G2406" s="177">
        <f>Tabla19[[#This Row],[Importe]]-Tabla19[[#This Row],[Pagado]]</f>
        <v>0</v>
      </c>
      <c r="H2406" s="75" t="s">
        <v>10</v>
      </c>
    </row>
    <row r="2407" spans="1:8" x14ac:dyDescent="0.25">
      <c r="A2407" s="148">
        <v>44797</v>
      </c>
      <c r="B2407" s="149" t="s">
        <v>27162</v>
      </c>
      <c r="C2407" s="153" t="s">
        <v>382</v>
      </c>
      <c r="D2407" s="178">
        <v>7980</v>
      </c>
      <c r="E2407" s="155">
        <v>44797</v>
      </c>
      <c r="F2407" s="178">
        <v>7980</v>
      </c>
      <c r="G2407" s="179">
        <f>Tabla19[[#This Row],[Importe]]-Tabla19[[#This Row],[Pagado]]</f>
        <v>0</v>
      </c>
      <c r="H2407" s="153" t="s">
        <v>10</v>
      </c>
    </row>
    <row r="2408" spans="1:8" x14ac:dyDescent="0.25">
      <c r="A2408" s="73">
        <v>44797</v>
      </c>
      <c r="B2408" s="74" t="s">
        <v>27163</v>
      </c>
      <c r="C2408" s="75" t="s">
        <v>312</v>
      </c>
      <c r="D2408" s="176">
        <v>5710.5</v>
      </c>
      <c r="E2408" s="151">
        <v>44797</v>
      </c>
      <c r="F2408" s="176">
        <v>5710.5</v>
      </c>
      <c r="G2408" s="177">
        <f>Tabla19[[#This Row],[Importe]]-Tabla19[[#This Row],[Pagado]]</f>
        <v>0</v>
      </c>
      <c r="H2408" s="75" t="s">
        <v>10</v>
      </c>
    </row>
    <row r="2409" spans="1:8" x14ac:dyDescent="0.25">
      <c r="A2409" s="148">
        <v>44797</v>
      </c>
      <c r="B2409" s="149" t="s">
        <v>27164</v>
      </c>
      <c r="C2409" s="153" t="s">
        <v>357</v>
      </c>
      <c r="D2409" s="178">
        <v>1173</v>
      </c>
      <c r="E2409" s="155">
        <v>44797</v>
      </c>
      <c r="F2409" s="178">
        <v>1173</v>
      </c>
      <c r="G2409" s="179">
        <f>Tabla19[[#This Row],[Importe]]-Tabla19[[#This Row],[Pagado]]</f>
        <v>0</v>
      </c>
      <c r="H2409" s="153" t="s">
        <v>10</v>
      </c>
    </row>
    <row r="2410" spans="1:8" x14ac:dyDescent="0.25">
      <c r="A2410" s="73">
        <v>44797</v>
      </c>
      <c r="B2410" s="74" t="s">
        <v>27165</v>
      </c>
      <c r="C2410" s="75" t="s">
        <v>140</v>
      </c>
      <c r="D2410" s="176">
        <v>5092.5</v>
      </c>
      <c r="E2410" s="151">
        <v>44797</v>
      </c>
      <c r="F2410" s="176">
        <v>5092.5</v>
      </c>
      <c r="G2410" s="177">
        <f>Tabla19[[#This Row],[Importe]]-Tabla19[[#This Row],[Pagado]]</f>
        <v>0</v>
      </c>
      <c r="H2410" s="75" t="s">
        <v>10</v>
      </c>
    </row>
    <row r="2411" spans="1:8" x14ac:dyDescent="0.25">
      <c r="A2411" s="148">
        <v>44797</v>
      </c>
      <c r="B2411" s="149" t="s">
        <v>27166</v>
      </c>
      <c r="C2411" s="153" t="s">
        <v>31</v>
      </c>
      <c r="D2411" s="178">
        <v>3856</v>
      </c>
      <c r="E2411" s="155">
        <v>44797</v>
      </c>
      <c r="F2411" s="178">
        <v>3856</v>
      </c>
      <c r="G2411" s="179">
        <f>Tabla19[[#This Row],[Importe]]-Tabla19[[#This Row],[Pagado]]</f>
        <v>0</v>
      </c>
      <c r="H2411" s="153" t="s">
        <v>10</v>
      </c>
    </row>
    <row r="2412" spans="1:8" x14ac:dyDescent="0.25">
      <c r="A2412" s="73">
        <v>44797</v>
      </c>
      <c r="B2412" s="74" t="s">
        <v>27167</v>
      </c>
      <c r="C2412" s="75" t="s">
        <v>129</v>
      </c>
      <c r="D2412" s="176">
        <v>6879.3</v>
      </c>
      <c r="E2412" s="151">
        <v>44797</v>
      </c>
      <c r="F2412" s="176">
        <v>6879.3</v>
      </c>
      <c r="G2412" s="177">
        <f>Tabla19[[#This Row],[Importe]]-Tabla19[[#This Row],[Pagado]]</f>
        <v>0</v>
      </c>
      <c r="H2412" s="75" t="s">
        <v>10</v>
      </c>
    </row>
    <row r="2413" spans="1:8" x14ac:dyDescent="0.25">
      <c r="A2413" s="148">
        <v>44797</v>
      </c>
      <c r="B2413" s="149" t="s">
        <v>27168</v>
      </c>
      <c r="C2413" s="153" t="s">
        <v>127</v>
      </c>
      <c r="D2413" s="178">
        <v>5598.8</v>
      </c>
      <c r="E2413" s="155">
        <v>44797</v>
      </c>
      <c r="F2413" s="178">
        <v>5598.8</v>
      </c>
      <c r="G2413" s="179">
        <f>Tabla19[[#This Row],[Importe]]-Tabla19[[#This Row],[Pagado]]</f>
        <v>0</v>
      </c>
      <c r="H2413" s="153" t="s">
        <v>10</v>
      </c>
    </row>
    <row r="2414" spans="1:8" x14ac:dyDescent="0.25">
      <c r="A2414" s="73">
        <v>44797</v>
      </c>
      <c r="B2414" s="74" t="s">
        <v>27169</v>
      </c>
      <c r="C2414" s="75" t="s">
        <v>9666</v>
      </c>
      <c r="D2414" s="176">
        <v>0</v>
      </c>
      <c r="E2414" s="157" t="s">
        <v>189</v>
      </c>
      <c r="F2414" s="176">
        <v>0</v>
      </c>
      <c r="G2414" s="177">
        <f>Tabla19[[#This Row],[Importe]]-Tabla19[[#This Row],[Pagado]]</f>
        <v>0</v>
      </c>
      <c r="H2414" s="161" t="s">
        <v>27096</v>
      </c>
    </row>
    <row r="2415" spans="1:8" x14ac:dyDescent="0.25">
      <c r="A2415" s="148">
        <v>44797</v>
      </c>
      <c r="B2415" s="149" t="s">
        <v>27170</v>
      </c>
      <c r="C2415" s="153" t="s">
        <v>169</v>
      </c>
      <c r="D2415" s="178">
        <v>3890.9</v>
      </c>
      <c r="E2415" s="155">
        <v>44797</v>
      </c>
      <c r="F2415" s="178">
        <v>3890.9</v>
      </c>
      <c r="G2415" s="179">
        <f>Tabla19[[#This Row],[Importe]]-Tabla19[[#This Row],[Pagado]]</f>
        <v>0</v>
      </c>
      <c r="H2415" s="153" t="s">
        <v>10</v>
      </c>
    </row>
    <row r="2416" spans="1:8" x14ac:dyDescent="0.25">
      <c r="A2416" s="73">
        <v>44797</v>
      </c>
      <c r="B2416" s="74" t="s">
        <v>27171</v>
      </c>
      <c r="C2416" s="75" t="s">
        <v>407</v>
      </c>
      <c r="D2416" s="176">
        <v>10778.4</v>
      </c>
      <c r="E2416" s="151" t="s">
        <v>4813</v>
      </c>
      <c r="F2416" s="176">
        <v>0</v>
      </c>
      <c r="G2416" s="177">
        <f>Tabla19[[#This Row],[Importe]]-Tabla19[[#This Row],[Pagado]]</f>
        <v>10778.4</v>
      </c>
      <c r="H2416" s="75" t="s">
        <v>4814</v>
      </c>
    </row>
    <row r="2417" spans="1:8" x14ac:dyDescent="0.25">
      <c r="A2417" s="148">
        <v>44797</v>
      </c>
      <c r="B2417" s="149" t="s">
        <v>27172</v>
      </c>
      <c r="C2417" s="153" t="s">
        <v>58</v>
      </c>
      <c r="D2417" s="178">
        <v>4485.6000000000004</v>
      </c>
      <c r="E2417" s="155">
        <v>44797</v>
      </c>
      <c r="F2417" s="178">
        <v>4485.6000000000004</v>
      </c>
      <c r="G2417" s="179">
        <f>Tabla19[[#This Row],[Importe]]-Tabla19[[#This Row],[Pagado]]</f>
        <v>0</v>
      </c>
      <c r="H2417" s="153" t="s">
        <v>10</v>
      </c>
    </row>
    <row r="2418" spans="1:8" x14ac:dyDescent="0.25">
      <c r="A2418" s="73">
        <v>44797</v>
      </c>
      <c r="B2418" s="74" t="s">
        <v>27173</v>
      </c>
      <c r="C2418" s="75" t="s">
        <v>142</v>
      </c>
      <c r="D2418" s="176">
        <v>35648.26</v>
      </c>
      <c r="E2418" s="151" t="s">
        <v>4813</v>
      </c>
      <c r="F2418" s="176">
        <v>0</v>
      </c>
      <c r="G2418" s="177">
        <f>Tabla19[[#This Row],[Importe]]-Tabla19[[#This Row],[Pagado]]</f>
        <v>35648.26</v>
      </c>
      <c r="H2418" s="75" t="s">
        <v>4814</v>
      </c>
    </row>
    <row r="2419" spans="1:8" x14ac:dyDescent="0.25">
      <c r="A2419" s="148">
        <v>44797</v>
      </c>
      <c r="B2419" s="149" t="s">
        <v>27174</v>
      </c>
      <c r="C2419" s="153" t="s">
        <v>587</v>
      </c>
      <c r="D2419" s="178">
        <v>5480.86</v>
      </c>
      <c r="E2419" s="155">
        <v>44797</v>
      </c>
      <c r="F2419" s="178">
        <v>5480.86</v>
      </c>
      <c r="G2419" s="179">
        <f>Tabla19[[#This Row],[Importe]]-Tabla19[[#This Row],[Pagado]]</f>
        <v>0</v>
      </c>
      <c r="H2419" s="153" t="s">
        <v>10</v>
      </c>
    </row>
    <row r="2420" spans="1:8" x14ac:dyDescent="0.25">
      <c r="A2420" s="73">
        <v>44797</v>
      </c>
      <c r="B2420" s="74" t="s">
        <v>27175</v>
      </c>
      <c r="C2420" s="75" t="s">
        <v>27176</v>
      </c>
      <c r="D2420" s="176">
        <v>33000</v>
      </c>
      <c r="E2420" s="151">
        <v>44797</v>
      </c>
      <c r="F2420" s="176">
        <v>33000</v>
      </c>
      <c r="G2420" s="177">
        <f>Tabla19[[#This Row],[Importe]]-Tabla19[[#This Row],[Pagado]]</f>
        <v>0</v>
      </c>
      <c r="H2420" s="75" t="s">
        <v>10</v>
      </c>
    </row>
    <row r="2421" spans="1:8" x14ac:dyDescent="0.25">
      <c r="A2421" s="148">
        <v>44797</v>
      </c>
      <c r="B2421" s="149" t="s">
        <v>27177</v>
      </c>
      <c r="C2421" s="153" t="s">
        <v>9827</v>
      </c>
      <c r="D2421" s="178">
        <v>3534</v>
      </c>
      <c r="E2421" s="155">
        <v>44797</v>
      </c>
      <c r="F2421" s="178">
        <v>3534</v>
      </c>
      <c r="G2421" s="179">
        <f>Tabla19[[#This Row],[Importe]]-Tabla19[[#This Row],[Pagado]]</f>
        <v>0</v>
      </c>
      <c r="H2421" s="153" t="s">
        <v>10</v>
      </c>
    </row>
    <row r="2422" spans="1:8" x14ac:dyDescent="0.25">
      <c r="A2422" s="73">
        <v>44797</v>
      </c>
      <c r="B2422" s="74" t="s">
        <v>27178</v>
      </c>
      <c r="C2422" s="75" t="s">
        <v>31</v>
      </c>
      <c r="D2422" s="176">
        <v>316</v>
      </c>
      <c r="E2422" s="151">
        <v>44797</v>
      </c>
      <c r="F2422" s="176">
        <v>316</v>
      </c>
      <c r="G2422" s="177">
        <f>Tabla19[[#This Row],[Importe]]-Tabla19[[#This Row],[Pagado]]</f>
        <v>0</v>
      </c>
      <c r="H2422" s="75" t="s">
        <v>10</v>
      </c>
    </row>
    <row r="2423" spans="1:8" x14ac:dyDescent="0.25">
      <c r="A2423" s="148">
        <v>44797</v>
      </c>
      <c r="B2423" s="149" t="s">
        <v>27179</v>
      </c>
      <c r="C2423" s="153" t="s">
        <v>146</v>
      </c>
      <c r="D2423" s="178">
        <v>5362.5</v>
      </c>
      <c r="E2423" s="155">
        <v>44797</v>
      </c>
      <c r="F2423" s="178">
        <v>5362.5</v>
      </c>
      <c r="G2423" s="179">
        <f>Tabla19[[#This Row],[Importe]]-Tabla19[[#This Row],[Pagado]]</f>
        <v>0</v>
      </c>
      <c r="H2423" s="153" t="s">
        <v>10</v>
      </c>
    </row>
    <row r="2424" spans="1:8" x14ac:dyDescent="0.25">
      <c r="A2424" s="73">
        <v>44797</v>
      </c>
      <c r="B2424" s="74" t="s">
        <v>27180</v>
      </c>
      <c r="C2424" s="75" t="s">
        <v>24284</v>
      </c>
      <c r="D2424" s="176">
        <v>638.4</v>
      </c>
      <c r="E2424" s="151">
        <v>44797</v>
      </c>
      <c r="F2424" s="176">
        <v>638.4</v>
      </c>
      <c r="G2424" s="177">
        <f>Tabla19[[#This Row],[Importe]]-Tabla19[[#This Row],[Pagado]]</f>
        <v>0</v>
      </c>
      <c r="H2424" s="75" t="s">
        <v>10</v>
      </c>
    </row>
    <row r="2425" spans="1:8" x14ac:dyDescent="0.25">
      <c r="A2425" s="148">
        <v>44797</v>
      </c>
      <c r="B2425" s="149" t="s">
        <v>27181</v>
      </c>
      <c r="C2425" s="153" t="s">
        <v>409</v>
      </c>
      <c r="D2425" s="178">
        <v>9021</v>
      </c>
      <c r="E2425" s="155">
        <v>44800</v>
      </c>
      <c r="F2425" s="178">
        <v>9021</v>
      </c>
      <c r="G2425" s="179">
        <f>Tabla19[[#This Row],[Importe]]-Tabla19[[#This Row],[Pagado]]</f>
        <v>0</v>
      </c>
      <c r="H2425" s="153" t="s">
        <v>10</v>
      </c>
    </row>
    <row r="2426" spans="1:8" x14ac:dyDescent="0.25">
      <c r="A2426" s="73">
        <v>44797</v>
      </c>
      <c r="B2426" s="74" t="s">
        <v>27182</v>
      </c>
      <c r="C2426" s="75" t="s">
        <v>419</v>
      </c>
      <c r="D2426" s="176">
        <v>7265.4</v>
      </c>
      <c r="E2426" s="151">
        <v>44797</v>
      </c>
      <c r="F2426" s="176">
        <v>7265.4</v>
      </c>
      <c r="G2426" s="177">
        <f>Tabla19[[#This Row],[Importe]]-Tabla19[[#This Row],[Pagado]]</f>
        <v>0</v>
      </c>
      <c r="H2426" s="75" t="s">
        <v>10</v>
      </c>
    </row>
    <row r="2427" spans="1:8" x14ac:dyDescent="0.25">
      <c r="A2427" s="148">
        <v>44797</v>
      </c>
      <c r="B2427" s="149" t="s">
        <v>27183</v>
      </c>
      <c r="C2427" s="153" t="s">
        <v>475</v>
      </c>
      <c r="D2427" s="178">
        <v>9507.6</v>
      </c>
      <c r="E2427" s="155">
        <v>44798</v>
      </c>
      <c r="F2427" s="178">
        <v>9507.6</v>
      </c>
      <c r="G2427" s="179">
        <f>Tabla19[[#This Row],[Importe]]-Tabla19[[#This Row],[Pagado]]</f>
        <v>0</v>
      </c>
      <c r="H2427" s="153" t="s">
        <v>10</v>
      </c>
    </row>
    <row r="2428" spans="1:8" x14ac:dyDescent="0.25">
      <c r="A2428" s="73">
        <v>44797</v>
      </c>
      <c r="B2428" s="74" t="s">
        <v>27184</v>
      </c>
      <c r="C2428" s="75" t="s">
        <v>214</v>
      </c>
      <c r="D2428" s="176">
        <v>251</v>
      </c>
      <c r="E2428" s="151">
        <v>44797</v>
      </c>
      <c r="F2428" s="176">
        <v>251</v>
      </c>
      <c r="G2428" s="177">
        <f>Tabla19[[#This Row],[Importe]]-Tabla19[[#This Row],[Pagado]]</f>
        <v>0</v>
      </c>
      <c r="H2428" s="75" t="s">
        <v>10</v>
      </c>
    </row>
    <row r="2429" spans="1:8" x14ac:dyDescent="0.25">
      <c r="A2429" s="148">
        <v>44797</v>
      </c>
      <c r="B2429" s="149" t="s">
        <v>27185</v>
      </c>
      <c r="C2429" s="153" t="s">
        <v>214</v>
      </c>
      <c r="D2429" s="178">
        <v>1368</v>
      </c>
      <c r="E2429" s="155">
        <v>44797</v>
      </c>
      <c r="F2429" s="178">
        <v>1368</v>
      </c>
      <c r="G2429" s="179">
        <f>Tabla19[[#This Row],[Importe]]-Tabla19[[#This Row],[Pagado]]</f>
        <v>0</v>
      </c>
      <c r="H2429" s="153" t="s">
        <v>10</v>
      </c>
    </row>
    <row r="2430" spans="1:8" x14ac:dyDescent="0.25">
      <c r="A2430" s="73">
        <v>44797</v>
      </c>
      <c r="B2430" s="74" t="s">
        <v>27186</v>
      </c>
      <c r="C2430" s="75" t="s">
        <v>107</v>
      </c>
      <c r="D2430" s="176">
        <v>11186.1</v>
      </c>
      <c r="E2430" s="151">
        <v>44797</v>
      </c>
      <c r="F2430" s="176">
        <v>11186.1</v>
      </c>
      <c r="G2430" s="177">
        <f>Tabla19[[#This Row],[Importe]]-Tabla19[[#This Row],[Pagado]]</f>
        <v>0</v>
      </c>
      <c r="H2430" s="75" t="s">
        <v>10</v>
      </c>
    </row>
    <row r="2431" spans="1:8" x14ac:dyDescent="0.25">
      <c r="A2431" s="148">
        <v>44797</v>
      </c>
      <c r="B2431" s="149" t="s">
        <v>27187</v>
      </c>
      <c r="C2431" s="153" t="s">
        <v>9577</v>
      </c>
      <c r="D2431" s="178">
        <v>27114.400000000001</v>
      </c>
      <c r="E2431" s="155">
        <v>44797</v>
      </c>
      <c r="F2431" s="178">
        <v>27114.400000000001</v>
      </c>
      <c r="G2431" s="179">
        <f>Tabla19[[#This Row],[Importe]]-Tabla19[[#This Row],[Pagado]]</f>
        <v>0</v>
      </c>
      <c r="H2431" s="153" t="s">
        <v>10</v>
      </c>
    </row>
    <row r="2432" spans="1:8" x14ac:dyDescent="0.25">
      <c r="A2432" s="73">
        <v>44797</v>
      </c>
      <c r="B2432" s="74" t="s">
        <v>27188</v>
      </c>
      <c r="C2432" s="75" t="s">
        <v>31</v>
      </c>
      <c r="D2432" s="176">
        <v>10993.6</v>
      </c>
      <c r="E2432" s="151">
        <v>44797</v>
      </c>
      <c r="F2432" s="176">
        <v>10993.6</v>
      </c>
      <c r="G2432" s="177">
        <f>Tabla19[[#This Row],[Importe]]-Tabla19[[#This Row],[Pagado]]</f>
        <v>0</v>
      </c>
      <c r="H2432" s="75" t="s">
        <v>10</v>
      </c>
    </row>
    <row r="2433" spans="1:8" x14ac:dyDescent="0.25">
      <c r="A2433" s="148">
        <v>44797</v>
      </c>
      <c r="B2433" s="149" t="s">
        <v>27189</v>
      </c>
      <c r="C2433" s="153" t="s">
        <v>275</v>
      </c>
      <c r="D2433" s="178">
        <v>127209.54</v>
      </c>
      <c r="E2433" s="155" t="s">
        <v>4813</v>
      </c>
      <c r="F2433" s="178">
        <v>0</v>
      </c>
      <c r="G2433" s="179">
        <f>Tabla19[[#This Row],[Importe]]-Tabla19[[#This Row],[Pagado]]</f>
        <v>127209.54</v>
      </c>
      <c r="H2433" s="153" t="s">
        <v>4814</v>
      </c>
    </row>
    <row r="2434" spans="1:8" x14ac:dyDescent="0.25">
      <c r="A2434" s="73">
        <v>44797</v>
      </c>
      <c r="B2434" s="74" t="s">
        <v>27190</v>
      </c>
      <c r="C2434" s="75" t="s">
        <v>414</v>
      </c>
      <c r="D2434" s="176">
        <v>23332</v>
      </c>
      <c r="E2434" s="151" t="s">
        <v>26221</v>
      </c>
      <c r="F2434" s="176">
        <v>23332</v>
      </c>
      <c r="G2434" s="177">
        <f>Tabla19[[#This Row],[Importe]]-Tabla19[[#This Row],[Pagado]]</f>
        <v>0</v>
      </c>
      <c r="H2434" s="75" t="s">
        <v>10</v>
      </c>
    </row>
    <row r="2435" spans="1:8" x14ac:dyDescent="0.25">
      <c r="A2435" s="148">
        <v>44797</v>
      </c>
      <c r="B2435" s="149" t="s">
        <v>27191</v>
      </c>
      <c r="C2435" s="153" t="s">
        <v>698</v>
      </c>
      <c r="D2435" s="178">
        <v>9051</v>
      </c>
      <c r="E2435" s="155">
        <v>44797</v>
      </c>
      <c r="F2435" s="178">
        <v>9051</v>
      </c>
      <c r="G2435" s="179">
        <f>Tabla19[[#This Row],[Importe]]-Tabla19[[#This Row],[Pagado]]</f>
        <v>0</v>
      </c>
      <c r="H2435" s="153" t="s">
        <v>10</v>
      </c>
    </row>
    <row r="2436" spans="1:8" x14ac:dyDescent="0.25">
      <c r="A2436" s="73">
        <v>44797</v>
      </c>
      <c r="B2436" s="74" t="s">
        <v>27192</v>
      </c>
      <c r="C2436" s="75" t="s">
        <v>14</v>
      </c>
      <c r="D2436" s="176">
        <v>24476.5</v>
      </c>
      <c r="E2436" s="151">
        <v>44797</v>
      </c>
      <c r="F2436" s="176">
        <v>24476.5</v>
      </c>
      <c r="G2436" s="177">
        <f>Tabla19[[#This Row],[Importe]]-Tabla19[[#This Row],[Pagado]]</f>
        <v>0</v>
      </c>
      <c r="H2436" s="75" t="s">
        <v>10</v>
      </c>
    </row>
    <row r="2437" spans="1:8" x14ac:dyDescent="0.25">
      <c r="A2437" s="148">
        <v>44797</v>
      </c>
      <c r="B2437" s="149" t="s">
        <v>27193</v>
      </c>
      <c r="C2437" s="153" t="s">
        <v>275</v>
      </c>
      <c r="D2437" s="178">
        <v>8115</v>
      </c>
      <c r="E2437" s="155" t="s">
        <v>4813</v>
      </c>
      <c r="F2437" s="178">
        <v>0</v>
      </c>
      <c r="G2437" s="179">
        <f>Tabla19[[#This Row],[Importe]]-Tabla19[[#This Row],[Pagado]]</f>
        <v>8115</v>
      </c>
      <c r="H2437" s="153" t="s">
        <v>4814</v>
      </c>
    </row>
    <row r="2438" spans="1:8" x14ac:dyDescent="0.25">
      <c r="A2438" s="73">
        <v>44797</v>
      </c>
      <c r="B2438" s="74" t="s">
        <v>27194</v>
      </c>
      <c r="C2438" s="75" t="s">
        <v>31</v>
      </c>
      <c r="D2438" s="176">
        <v>630.79999999999995</v>
      </c>
      <c r="E2438" s="151">
        <v>44797</v>
      </c>
      <c r="F2438" s="176">
        <v>630.79999999999995</v>
      </c>
      <c r="G2438" s="177">
        <f>Tabla19[[#This Row],[Importe]]-Tabla19[[#This Row],[Pagado]]</f>
        <v>0</v>
      </c>
      <c r="H2438" s="75" t="s">
        <v>10</v>
      </c>
    </row>
    <row r="2439" spans="1:8" x14ac:dyDescent="0.25">
      <c r="A2439" s="148">
        <v>44797</v>
      </c>
      <c r="B2439" s="149" t="s">
        <v>27195</v>
      </c>
      <c r="C2439" s="153" t="s">
        <v>284</v>
      </c>
      <c r="D2439" s="178">
        <v>7478.4</v>
      </c>
      <c r="E2439" s="155">
        <v>44798</v>
      </c>
      <c r="F2439" s="178">
        <v>7478.4</v>
      </c>
      <c r="G2439" s="179">
        <f>Tabla19[[#This Row],[Importe]]-Tabla19[[#This Row],[Pagado]]</f>
        <v>0</v>
      </c>
      <c r="H2439" s="153" t="s">
        <v>10</v>
      </c>
    </row>
    <row r="2440" spans="1:8" x14ac:dyDescent="0.25">
      <c r="A2440" s="73">
        <v>44797</v>
      </c>
      <c r="B2440" s="74" t="s">
        <v>27196</v>
      </c>
      <c r="C2440" s="75" t="s">
        <v>473</v>
      </c>
      <c r="D2440" s="176">
        <v>5888</v>
      </c>
      <c r="E2440" s="151">
        <v>44798</v>
      </c>
      <c r="F2440" s="176">
        <v>5888</v>
      </c>
      <c r="G2440" s="177">
        <f>Tabla19[[#This Row],[Importe]]-Tabla19[[#This Row],[Pagado]]</f>
        <v>0</v>
      </c>
      <c r="H2440" s="75" t="s">
        <v>10</v>
      </c>
    </row>
    <row r="2441" spans="1:8" x14ac:dyDescent="0.25">
      <c r="A2441" s="148">
        <v>44797</v>
      </c>
      <c r="B2441" s="149" t="s">
        <v>27197</v>
      </c>
      <c r="C2441" s="153" t="s">
        <v>426</v>
      </c>
      <c r="D2441" s="178">
        <v>4536.2</v>
      </c>
      <c r="E2441" s="155">
        <v>44798</v>
      </c>
      <c r="F2441" s="178">
        <v>4536.2</v>
      </c>
      <c r="G2441" s="179">
        <f>Tabla19[[#This Row],[Importe]]-Tabla19[[#This Row],[Pagado]]</f>
        <v>0</v>
      </c>
      <c r="H2441" s="153" t="s">
        <v>10</v>
      </c>
    </row>
    <row r="2442" spans="1:8" x14ac:dyDescent="0.25">
      <c r="A2442" s="73">
        <v>44797</v>
      </c>
      <c r="B2442" s="74" t="s">
        <v>27198</v>
      </c>
      <c r="C2442" s="75" t="s">
        <v>75</v>
      </c>
      <c r="D2442" s="176">
        <v>3579.6</v>
      </c>
      <c r="E2442" s="151">
        <v>44798</v>
      </c>
      <c r="F2442" s="176">
        <v>3579.6</v>
      </c>
      <c r="G2442" s="177">
        <f>Tabla19[[#This Row],[Importe]]-Tabla19[[#This Row],[Pagado]]</f>
        <v>0</v>
      </c>
      <c r="H2442" s="75" t="s">
        <v>10</v>
      </c>
    </row>
    <row r="2443" spans="1:8" x14ac:dyDescent="0.25">
      <c r="A2443" s="148">
        <v>44797</v>
      </c>
      <c r="B2443" s="149" t="s">
        <v>27199</v>
      </c>
      <c r="C2443" s="153" t="s">
        <v>282</v>
      </c>
      <c r="D2443" s="178">
        <v>1626.4</v>
      </c>
      <c r="E2443" s="155">
        <v>44798</v>
      </c>
      <c r="F2443" s="178">
        <v>1626.4</v>
      </c>
      <c r="G2443" s="179">
        <f>Tabla19[[#This Row],[Importe]]-Tabla19[[#This Row],[Pagado]]</f>
        <v>0</v>
      </c>
      <c r="H2443" s="153" t="s">
        <v>10</v>
      </c>
    </row>
    <row r="2444" spans="1:8" x14ac:dyDescent="0.25">
      <c r="A2444" s="73">
        <v>44797</v>
      </c>
      <c r="B2444" s="74" t="s">
        <v>27200</v>
      </c>
      <c r="C2444" s="75" t="s">
        <v>5345</v>
      </c>
      <c r="D2444" s="176">
        <v>1428.8</v>
      </c>
      <c r="E2444" s="151">
        <v>44798</v>
      </c>
      <c r="F2444" s="176">
        <v>1428.8</v>
      </c>
      <c r="G2444" s="177">
        <f>Tabla19[[#This Row],[Importe]]-Tabla19[[#This Row],[Pagado]]</f>
        <v>0</v>
      </c>
      <c r="H2444" s="75" t="s">
        <v>10</v>
      </c>
    </row>
    <row r="2445" spans="1:8" x14ac:dyDescent="0.25">
      <c r="A2445" s="148">
        <v>44797</v>
      </c>
      <c r="B2445" s="149" t="s">
        <v>27201</v>
      </c>
      <c r="C2445" s="153" t="s">
        <v>280</v>
      </c>
      <c r="D2445" s="178">
        <v>1368</v>
      </c>
      <c r="E2445" s="155">
        <v>44798</v>
      </c>
      <c r="F2445" s="178">
        <v>1368</v>
      </c>
      <c r="G2445" s="179">
        <f>Tabla19[[#This Row],[Importe]]-Tabla19[[#This Row],[Pagado]]</f>
        <v>0</v>
      </c>
      <c r="H2445" s="153" t="s">
        <v>10</v>
      </c>
    </row>
    <row r="2446" spans="1:8" x14ac:dyDescent="0.25">
      <c r="A2446" s="73">
        <v>44797</v>
      </c>
      <c r="B2446" s="74" t="s">
        <v>27202</v>
      </c>
      <c r="C2446" s="75" t="s">
        <v>473</v>
      </c>
      <c r="D2446" s="176">
        <v>2724.6</v>
      </c>
      <c r="E2446" s="151">
        <v>44798</v>
      </c>
      <c r="F2446" s="176">
        <v>2724.6</v>
      </c>
      <c r="G2446" s="177">
        <f>Tabla19[[#This Row],[Importe]]-Tabla19[[#This Row],[Pagado]]</f>
        <v>0</v>
      </c>
      <c r="H2446" s="75" t="s">
        <v>10</v>
      </c>
    </row>
    <row r="2447" spans="1:8" x14ac:dyDescent="0.25">
      <c r="A2447" s="148">
        <v>44797</v>
      </c>
      <c r="B2447" s="149" t="s">
        <v>27203</v>
      </c>
      <c r="C2447" s="153" t="s">
        <v>10819</v>
      </c>
      <c r="D2447" s="178">
        <v>699.2</v>
      </c>
      <c r="E2447" s="155">
        <v>44798</v>
      </c>
      <c r="F2447" s="178">
        <v>699.2</v>
      </c>
      <c r="G2447" s="179">
        <f>Tabla19[[#This Row],[Importe]]-Tabla19[[#This Row],[Pagado]]</f>
        <v>0</v>
      </c>
      <c r="H2447" s="153" t="s">
        <v>10</v>
      </c>
    </row>
    <row r="2448" spans="1:8" x14ac:dyDescent="0.25">
      <c r="A2448" s="73">
        <v>44797</v>
      </c>
      <c r="B2448" s="74" t="s">
        <v>27204</v>
      </c>
      <c r="C2448" s="75" t="s">
        <v>181</v>
      </c>
      <c r="D2448" s="176">
        <v>14463.8</v>
      </c>
      <c r="E2448" s="151">
        <v>44798</v>
      </c>
      <c r="F2448" s="176">
        <v>14463.8</v>
      </c>
      <c r="G2448" s="177">
        <f>Tabla19[[#This Row],[Importe]]-Tabla19[[#This Row],[Pagado]]</f>
        <v>0</v>
      </c>
      <c r="H2448" s="75" t="s">
        <v>10</v>
      </c>
    </row>
    <row r="2449" spans="1:8" x14ac:dyDescent="0.25">
      <c r="A2449" s="148">
        <v>44797</v>
      </c>
      <c r="B2449" s="149" t="s">
        <v>27205</v>
      </c>
      <c r="C2449" s="153" t="s">
        <v>200</v>
      </c>
      <c r="D2449" s="178">
        <v>1200.8</v>
      </c>
      <c r="E2449" s="155">
        <v>44798</v>
      </c>
      <c r="F2449" s="178">
        <v>1200.8</v>
      </c>
      <c r="G2449" s="179">
        <f>Tabla19[[#This Row],[Importe]]-Tabla19[[#This Row],[Pagado]]</f>
        <v>0</v>
      </c>
      <c r="H2449" s="153" t="s">
        <v>10</v>
      </c>
    </row>
    <row r="2450" spans="1:8" x14ac:dyDescent="0.25">
      <c r="A2450" s="73">
        <v>44797</v>
      </c>
      <c r="B2450" s="74" t="s">
        <v>27206</v>
      </c>
      <c r="C2450" s="75" t="s">
        <v>5694</v>
      </c>
      <c r="D2450" s="176">
        <v>14143.6</v>
      </c>
      <c r="E2450" s="151">
        <v>44797</v>
      </c>
      <c r="F2450" s="176">
        <v>14143.6</v>
      </c>
      <c r="G2450" s="177">
        <f>Tabla19[[#This Row],[Importe]]-Tabla19[[#This Row],[Pagado]]</f>
        <v>0</v>
      </c>
      <c r="H2450" s="75" t="s">
        <v>10</v>
      </c>
    </row>
    <row r="2451" spans="1:8" x14ac:dyDescent="0.25">
      <c r="A2451" s="148">
        <v>44797</v>
      </c>
      <c r="B2451" s="149" t="s">
        <v>27207</v>
      </c>
      <c r="C2451" s="153" t="s">
        <v>149</v>
      </c>
      <c r="D2451" s="178">
        <v>3059</v>
      </c>
      <c r="E2451" s="155">
        <v>44797</v>
      </c>
      <c r="F2451" s="178">
        <v>3059</v>
      </c>
      <c r="G2451" s="179">
        <f>Tabla19[[#This Row],[Importe]]-Tabla19[[#This Row],[Pagado]]</f>
        <v>0</v>
      </c>
      <c r="H2451" s="153" t="s">
        <v>10</v>
      </c>
    </row>
    <row r="2452" spans="1:8" x14ac:dyDescent="0.25">
      <c r="A2452" s="73">
        <v>44797</v>
      </c>
      <c r="B2452" s="74" t="s">
        <v>27208</v>
      </c>
      <c r="C2452" s="75" t="s">
        <v>175</v>
      </c>
      <c r="D2452" s="176">
        <v>10798.3</v>
      </c>
      <c r="E2452" s="151">
        <v>44798</v>
      </c>
      <c r="F2452" s="176">
        <v>10798.3</v>
      </c>
      <c r="G2452" s="177">
        <f>Tabla19[[#This Row],[Importe]]-Tabla19[[#This Row],[Pagado]]</f>
        <v>0</v>
      </c>
      <c r="H2452" s="75" t="s">
        <v>10</v>
      </c>
    </row>
    <row r="2453" spans="1:8" x14ac:dyDescent="0.25">
      <c r="A2453" s="148">
        <v>44797</v>
      </c>
      <c r="B2453" s="149" t="s">
        <v>27209</v>
      </c>
      <c r="C2453" s="153" t="s">
        <v>142</v>
      </c>
      <c r="D2453" s="178">
        <v>104295.06</v>
      </c>
      <c r="E2453" s="155" t="s">
        <v>4813</v>
      </c>
      <c r="F2453" s="178">
        <v>0</v>
      </c>
      <c r="G2453" s="179">
        <f>Tabla19[[#This Row],[Importe]]-Tabla19[[#This Row],[Pagado]]</f>
        <v>104295.06</v>
      </c>
      <c r="H2453" s="153" t="s">
        <v>4814</v>
      </c>
    </row>
    <row r="2454" spans="1:8" x14ac:dyDescent="0.25">
      <c r="A2454" s="73">
        <v>44797</v>
      </c>
      <c r="B2454" s="74" t="s">
        <v>27210</v>
      </c>
      <c r="C2454" s="75" t="s">
        <v>167</v>
      </c>
      <c r="D2454" s="176">
        <v>116388.6</v>
      </c>
      <c r="E2454" s="151">
        <v>44797</v>
      </c>
      <c r="F2454" s="176">
        <v>116388.6</v>
      </c>
      <c r="G2454" s="177">
        <f>Tabla19[[#This Row],[Importe]]-Tabla19[[#This Row],[Pagado]]</f>
        <v>0</v>
      </c>
      <c r="H2454" s="75" t="s">
        <v>10</v>
      </c>
    </row>
    <row r="2455" spans="1:8" x14ac:dyDescent="0.25">
      <c r="A2455" s="148">
        <v>44797</v>
      </c>
      <c r="B2455" s="149" t="s">
        <v>27211</v>
      </c>
      <c r="C2455" s="153" t="s">
        <v>1008</v>
      </c>
      <c r="D2455" s="178">
        <v>2572.7199999999998</v>
      </c>
      <c r="E2455" s="155">
        <v>44797</v>
      </c>
      <c r="F2455" s="178">
        <v>2572.7199999999998</v>
      </c>
      <c r="G2455" s="179">
        <f>Tabla19[[#This Row],[Importe]]-Tabla19[[#This Row],[Pagado]]</f>
        <v>0</v>
      </c>
      <c r="H2455" s="153" t="s">
        <v>10</v>
      </c>
    </row>
    <row r="2456" spans="1:8" x14ac:dyDescent="0.25">
      <c r="A2456" s="73">
        <v>44797</v>
      </c>
      <c r="B2456" s="74" t="s">
        <v>27212</v>
      </c>
      <c r="C2456" s="75" t="s">
        <v>51</v>
      </c>
      <c r="D2456" s="176">
        <v>731.5</v>
      </c>
      <c r="E2456" s="151">
        <v>44797</v>
      </c>
      <c r="F2456" s="176">
        <v>731.5</v>
      </c>
      <c r="G2456" s="177">
        <f>Tabla19[[#This Row],[Importe]]-Tabla19[[#This Row],[Pagado]]</f>
        <v>0</v>
      </c>
      <c r="H2456" s="75" t="s">
        <v>10</v>
      </c>
    </row>
    <row r="2457" spans="1:8" x14ac:dyDescent="0.25">
      <c r="A2457" s="148">
        <v>44797</v>
      </c>
      <c r="B2457" s="149" t="s">
        <v>27213</v>
      </c>
      <c r="C2457" s="153" t="s">
        <v>24</v>
      </c>
      <c r="D2457" s="178">
        <v>1500</v>
      </c>
      <c r="E2457" s="155">
        <v>44797</v>
      </c>
      <c r="F2457" s="178">
        <v>1500</v>
      </c>
      <c r="G2457" s="179">
        <f>Tabla19[[#This Row],[Importe]]-Tabla19[[#This Row],[Pagado]]</f>
        <v>0</v>
      </c>
      <c r="H2457" s="153" t="s">
        <v>10</v>
      </c>
    </row>
    <row r="2458" spans="1:8" x14ac:dyDescent="0.25">
      <c r="A2458" s="73">
        <v>44797</v>
      </c>
      <c r="B2458" s="74" t="s">
        <v>27214</v>
      </c>
      <c r="C2458" s="75" t="s">
        <v>53</v>
      </c>
      <c r="D2458" s="176">
        <v>731.5</v>
      </c>
      <c r="E2458" s="151">
        <v>44797</v>
      </c>
      <c r="F2458" s="176">
        <v>731.5</v>
      </c>
      <c r="G2458" s="177">
        <f>Tabla19[[#This Row],[Importe]]-Tabla19[[#This Row],[Pagado]]</f>
        <v>0</v>
      </c>
      <c r="H2458" s="75" t="s">
        <v>10</v>
      </c>
    </row>
    <row r="2459" spans="1:8" x14ac:dyDescent="0.25">
      <c r="A2459" s="148">
        <v>44797</v>
      </c>
      <c r="B2459" s="149" t="s">
        <v>27215</v>
      </c>
      <c r="C2459" s="153" t="s">
        <v>69</v>
      </c>
      <c r="D2459" s="178">
        <v>1560</v>
      </c>
      <c r="E2459" s="155">
        <v>44797</v>
      </c>
      <c r="F2459" s="178">
        <v>1560</v>
      </c>
      <c r="G2459" s="179">
        <f>Tabla19[[#This Row],[Importe]]-Tabla19[[#This Row],[Pagado]]</f>
        <v>0</v>
      </c>
      <c r="H2459" s="153" t="s">
        <v>10</v>
      </c>
    </row>
    <row r="2460" spans="1:8" x14ac:dyDescent="0.25">
      <c r="A2460" s="73">
        <v>44797</v>
      </c>
      <c r="B2460" s="74" t="s">
        <v>27216</v>
      </c>
      <c r="C2460" s="75" t="s">
        <v>56</v>
      </c>
      <c r="D2460" s="176">
        <v>1411.8</v>
      </c>
      <c r="E2460" s="151">
        <v>44797</v>
      </c>
      <c r="F2460" s="176">
        <v>1411.8</v>
      </c>
      <c r="G2460" s="177">
        <f>Tabla19[[#This Row],[Importe]]-Tabla19[[#This Row],[Pagado]]</f>
        <v>0</v>
      </c>
      <c r="H2460" s="75" t="s">
        <v>10</v>
      </c>
    </row>
    <row r="2461" spans="1:8" x14ac:dyDescent="0.25">
      <c r="A2461" s="148">
        <v>44797</v>
      </c>
      <c r="B2461" s="149" t="s">
        <v>27217</v>
      </c>
      <c r="C2461" s="153" t="s">
        <v>612</v>
      </c>
      <c r="D2461" s="178">
        <v>551</v>
      </c>
      <c r="E2461" s="155">
        <v>44797</v>
      </c>
      <c r="F2461" s="178">
        <v>551</v>
      </c>
      <c r="G2461" s="179">
        <f>Tabla19[[#This Row],[Importe]]-Tabla19[[#This Row],[Pagado]]</f>
        <v>0</v>
      </c>
      <c r="H2461" s="153" t="s">
        <v>10</v>
      </c>
    </row>
    <row r="2462" spans="1:8" x14ac:dyDescent="0.25">
      <c r="A2462" s="73">
        <v>44797</v>
      </c>
      <c r="B2462" s="74" t="s">
        <v>27218</v>
      </c>
      <c r="C2462" s="75" t="s">
        <v>27219</v>
      </c>
      <c r="D2462" s="176">
        <v>0</v>
      </c>
      <c r="E2462" s="157" t="s">
        <v>189</v>
      </c>
      <c r="F2462" s="176">
        <v>0</v>
      </c>
      <c r="G2462" s="177">
        <f>Tabla19[[#This Row],[Importe]]-Tabla19[[#This Row],[Pagado]]</f>
        <v>0</v>
      </c>
      <c r="H2462" s="161" t="s">
        <v>27096</v>
      </c>
    </row>
    <row r="2463" spans="1:8" x14ac:dyDescent="0.25">
      <c r="A2463" s="148">
        <v>44797</v>
      </c>
      <c r="B2463" s="149" t="s">
        <v>27220</v>
      </c>
      <c r="C2463" s="153" t="s">
        <v>296</v>
      </c>
      <c r="D2463" s="178">
        <v>1763.3</v>
      </c>
      <c r="E2463" s="155">
        <v>44797</v>
      </c>
      <c r="F2463" s="178">
        <v>1763.3</v>
      </c>
      <c r="G2463" s="179">
        <f>Tabla19[[#This Row],[Importe]]-Tabla19[[#This Row],[Pagado]]</f>
        <v>0</v>
      </c>
      <c r="H2463" s="153" t="s">
        <v>10</v>
      </c>
    </row>
    <row r="2464" spans="1:8" x14ac:dyDescent="0.25">
      <c r="A2464" s="73">
        <v>44797</v>
      </c>
      <c r="B2464" s="74" t="s">
        <v>27221</v>
      </c>
      <c r="C2464" s="75" t="s">
        <v>5694</v>
      </c>
      <c r="D2464" s="176">
        <v>7562</v>
      </c>
      <c r="E2464" s="151">
        <v>44797</v>
      </c>
      <c r="F2464" s="176">
        <v>7562</v>
      </c>
      <c r="G2464" s="177">
        <f>Tabla19[[#This Row],[Importe]]-Tabla19[[#This Row],[Pagado]]</f>
        <v>0</v>
      </c>
      <c r="H2464" s="75" t="s">
        <v>10</v>
      </c>
    </row>
    <row r="2465" spans="1:8" x14ac:dyDescent="0.25">
      <c r="A2465" s="148">
        <v>44797</v>
      </c>
      <c r="B2465" s="149" t="s">
        <v>27222</v>
      </c>
      <c r="C2465" s="153" t="s">
        <v>610</v>
      </c>
      <c r="D2465" s="178">
        <v>24258.400000000001</v>
      </c>
      <c r="E2465" s="155">
        <v>44797</v>
      </c>
      <c r="F2465" s="178">
        <v>24258.400000000001</v>
      </c>
      <c r="G2465" s="179">
        <f>Tabla19[[#This Row],[Importe]]-Tabla19[[#This Row],[Pagado]]</f>
        <v>0</v>
      </c>
      <c r="H2465" s="153" t="s">
        <v>10</v>
      </c>
    </row>
    <row r="2466" spans="1:8" x14ac:dyDescent="0.25">
      <c r="A2466" s="73">
        <v>44797</v>
      </c>
      <c r="B2466" s="74" t="s">
        <v>27223</v>
      </c>
      <c r="C2466" s="75" t="s">
        <v>179</v>
      </c>
      <c r="D2466" s="176">
        <v>1550.4</v>
      </c>
      <c r="E2466" s="151">
        <v>44798</v>
      </c>
      <c r="F2466" s="176">
        <v>1550.4</v>
      </c>
      <c r="G2466" s="177">
        <f>Tabla19[[#This Row],[Importe]]-Tabla19[[#This Row],[Pagado]]</f>
        <v>0</v>
      </c>
      <c r="H2466" s="75" t="s">
        <v>10</v>
      </c>
    </row>
    <row r="2467" spans="1:8" x14ac:dyDescent="0.25">
      <c r="A2467" s="148">
        <v>44798</v>
      </c>
      <c r="B2467" s="149" t="s">
        <v>27224</v>
      </c>
      <c r="C2467" s="153" t="s">
        <v>475</v>
      </c>
      <c r="D2467" s="178">
        <v>52053.9</v>
      </c>
      <c r="E2467" s="155">
        <v>44799</v>
      </c>
      <c r="F2467" s="178">
        <v>52053.9</v>
      </c>
      <c r="G2467" s="179">
        <f>Tabla19[[#This Row],[Importe]]-Tabla19[[#This Row],[Pagado]]</f>
        <v>0</v>
      </c>
      <c r="H2467" s="153" t="s">
        <v>10</v>
      </c>
    </row>
    <row r="2468" spans="1:8" x14ac:dyDescent="0.25">
      <c r="A2468" s="73">
        <v>44798</v>
      </c>
      <c r="B2468" s="74" t="s">
        <v>27225</v>
      </c>
      <c r="C2468" s="75" t="s">
        <v>887</v>
      </c>
      <c r="D2468" s="176">
        <v>10445.5</v>
      </c>
      <c r="E2468" s="151">
        <v>44798</v>
      </c>
      <c r="F2468" s="176">
        <v>10445.5</v>
      </c>
      <c r="G2468" s="177">
        <f>Tabla19[[#This Row],[Importe]]-Tabla19[[#This Row],[Pagado]]</f>
        <v>0</v>
      </c>
      <c r="H2468" s="75" t="s">
        <v>10</v>
      </c>
    </row>
    <row r="2469" spans="1:8" x14ac:dyDescent="0.25">
      <c r="A2469" s="148">
        <v>44798</v>
      </c>
      <c r="B2469" s="149" t="s">
        <v>27226</v>
      </c>
      <c r="C2469" s="153" t="s">
        <v>12</v>
      </c>
      <c r="D2469" s="178">
        <v>16959.900000000001</v>
      </c>
      <c r="E2469" s="155">
        <v>44798</v>
      </c>
      <c r="F2469" s="178">
        <v>16959.900000000001</v>
      </c>
      <c r="G2469" s="179">
        <f>Tabla19[[#This Row],[Importe]]-Tabla19[[#This Row],[Pagado]]</f>
        <v>0</v>
      </c>
      <c r="H2469" s="153" t="s">
        <v>10</v>
      </c>
    </row>
    <row r="2470" spans="1:8" x14ac:dyDescent="0.25">
      <c r="A2470" s="73">
        <v>44798</v>
      </c>
      <c r="B2470" s="74" t="s">
        <v>27227</v>
      </c>
      <c r="C2470" s="75" t="s">
        <v>31</v>
      </c>
      <c r="D2470" s="176">
        <v>3845.6</v>
      </c>
      <c r="E2470" s="151">
        <v>44798</v>
      </c>
      <c r="F2470" s="176">
        <v>3845.6</v>
      </c>
      <c r="G2470" s="177">
        <f>Tabla19[[#This Row],[Importe]]-Tabla19[[#This Row],[Pagado]]</f>
        <v>0</v>
      </c>
      <c r="H2470" s="75" t="s">
        <v>10</v>
      </c>
    </row>
    <row r="2471" spans="1:8" x14ac:dyDescent="0.25">
      <c r="A2471" s="148">
        <v>44798</v>
      </c>
      <c r="B2471" s="149" t="s">
        <v>27228</v>
      </c>
      <c r="C2471" s="153" t="s">
        <v>20</v>
      </c>
      <c r="D2471" s="178">
        <v>3032</v>
      </c>
      <c r="E2471" s="155">
        <v>44798</v>
      </c>
      <c r="F2471" s="178">
        <v>3032</v>
      </c>
      <c r="G2471" s="179">
        <f>Tabla19[[#This Row],[Importe]]-Tabla19[[#This Row],[Pagado]]</f>
        <v>0</v>
      </c>
      <c r="H2471" s="153" t="s">
        <v>10</v>
      </c>
    </row>
    <row r="2472" spans="1:8" x14ac:dyDescent="0.25">
      <c r="A2472" s="73">
        <v>44798</v>
      </c>
      <c r="B2472" s="74" t="s">
        <v>27229</v>
      </c>
      <c r="C2472" s="75" t="s">
        <v>79</v>
      </c>
      <c r="D2472" s="176">
        <v>5692.4</v>
      </c>
      <c r="E2472" s="151">
        <v>44798</v>
      </c>
      <c r="F2472" s="176">
        <v>5692.4</v>
      </c>
      <c r="G2472" s="177">
        <f>Tabla19[[#This Row],[Importe]]-Tabla19[[#This Row],[Pagado]]</f>
        <v>0</v>
      </c>
      <c r="H2472" s="75" t="s">
        <v>10</v>
      </c>
    </row>
    <row r="2473" spans="1:8" x14ac:dyDescent="0.25">
      <c r="A2473" s="148">
        <v>44798</v>
      </c>
      <c r="B2473" s="149" t="s">
        <v>27230</v>
      </c>
      <c r="C2473" s="153" t="s">
        <v>481</v>
      </c>
      <c r="D2473" s="178">
        <v>631.4</v>
      </c>
      <c r="E2473" s="155">
        <v>44798</v>
      </c>
      <c r="F2473" s="178">
        <v>631.4</v>
      </c>
      <c r="G2473" s="179">
        <f>Tabla19[[#This Row],[Importe]]-Tabla19[[#This Row],[Pagado]]</f>
        <v>0</v>
      </c>
      <c r="H2473" s="153" t="s">
        <v>10</v>
      </c>
    </row>
    <row r="2474" spans="1:8" x14ac:dyDescent="0.25">
      <c r="A2474" s="73">
        <v>44798</v>
      </c>
      <c r="B2474" s="74" t="s">
        <v>27231</v>
      </c>
      <c r="C2474" s="75" t="s">
        <v>647</v>
      </c>
      <c r="D2474" s="176">
        <v>6035.3</v>
      </c>
      <c r="E2474" s="151">
        <v>44798</v>
      </c>
      <c r="F2474" s="176">
        <v>6035.3</v>
      </c>
      <c r="G2474" s="177">
        <f>Tabla19[[#This Row],[Importe]]-Tabla19[[#This Row],[Pagado]]</f>
        <v>0</v>
      </c>
      <c r="H2474" s="75" t="s">
        <v>10</v>
      </c>
    </row>
    <row r="2475" spans="1:8" x14ac:dyDescent="0.25">
      <c r="A2475" s="148">
        <v>44798</v>
      </c>
      <c r="B2475" s="149" t="s">
        <v>27232</v>
      </c>
      <c r="C2475" s="153" t="s">
        <v>9</v>
      </c>
      <c r="D2475" s="178">
        <v>8648.2000000000007</v>
      </c>
      <c r="E2475" s="155">
        <v>44798</v>
      </c>
      <c r="F2475" s="178">
        <v>8648.2000000000007</v>
      </c>
      <c r="G2475" s="179">
        <f>Tabla19[[#This Row],[Importe]]-Tabla19[[#This Row],[Pagado]]</f>
        <v>0</v>
      </c>
      <c r="H2475" s="153" t="s">
        <v>10</v>
      </c>
    </row>
    <row r="2476" spans="1:8" x14ac:dyDescent="0.25">
      <c r="A2476" s="73">
        <v>44798</v>
      </c>
      <c r="B2476" s="74" t="s">
        <v>27233</v>
      </c>
      <c r="C2476" s="75" t="s">
        <v>64</v>
      </c>
      <c r="D2476" s="176">
        <v>5343</v>
      </c>
      <c r="E2476" s="151">
        <v>44799</v>
      </c>
      <c r="F2476" s="176">
        <v>5343</v>
      </c>
      <c r="G2476" s="177">
        <f>Tabla19[[#This Row],[Importe]]-Tabla19[[#This Row],[Pagado]]</f>
        <v>0</v>
      </c>
      <c r="H2476" s="75" t="s">
        <v>10</v>
      </c>
    </row>
    <row r="2477" spans="1:8" x14ac:dyDescent="0.25">
      <c r="A2477" s="148">
        <v>44798</v>
      </c>
      <c r="B2477" s="149" t="s">
        <v>27234</v>
      </c>
      <c r="C2477" s="153" t="s">
        <v>4221</v>
      </c>
      <c r="D2477" s="178">
        <v>0</v>
      </c>
      <c r="E2477" s="158" t="s">
        <v>189</v>
      </c>
      <c r="F2477" s="178">
        <v>0</v>
      </c>
      <c r="G2477" s="179">
        <f>Tabla19[[#This Row],[Importe]]-Tabla19[[#This Row],[Pagado]]</f>
        <v>0</v>
      </c>
      <c r="H2477" s="159" t="s">
        <v>27235</v>
      </c>
    </row>
    <row r="2478" spans="1:8" x14ac:dyDescent="0.25">
      <c r="A2478" s="73">
        <v>44798</v>
      </c>
      <c r="B2478" s="74" t="s">
        <v>27236</v>
      </c>
      <c r="C2478" s="75" t="s">
        <v>111</v>
      </c>
      <c r="D2478" s="176">
        <v>5651.1</v>
      </c>
      <c r="E2478" s="151">
        <v>44800</v>
      </c>
      <c r="F2478" s="176">
        <v>5651.1</v>
      </c>
      <c r="G2478" s="177">
        <f>Tabla19[[#This Row],[Importe]]-Tabla19[[#This Row],[Pagado]]</f>
        <v>0</v>
      </c>
      <c r="H2478" s="75" t="s">
        <v>10</v>
      </c>
    </row>
    <row r="2479" spans="1:8" x14ac:dyDescent="0.25">
      <c r="A2479" s="148">
        <v>44798</v>
      </c>
      <c r="B2479" s="149" t="s">
        <v>27237</v>
      </c>
      <c r="C2479" s="153" t="s">
        <v>93</v>
      </c>
      <c r="D2479" s="178">
        <v>7961.6</v>
      </c>
      <c r="E2479" s="155">
        <v>44800</v>
      </c>
      <c r="F2479" s="178">
        <v>7961.6</v>
      </c>
      <c r="G2479" s="179">
        <f>Tabla19[[#This Row],[Importe]]-Tabla19[[#This Row],[Pagado]]</f>
        <v>0</v>
      </c>
      <c r="H2479" s="153" t="s">
        <v>10</v>
      </c>
    </row>
    <row r="2480" spans="1:8" x14ac:dyDescent="0.25">
      <c r="A2480" s="73">
        <v>44798</v>
      </c>
      <c r="B2480" s="74" t="s">
        <v>27238</v>
      </c>
      <c r="C2480" s="75" t="s">
        <v>114</v>
      </c>
      <c r="D2480" s="176">
        <v>6626.2</v>
      </c>
      <c r="E2480" s="151">
        <v>44799</v>
      </c>
      <c r="F2480" s="176">
        <v>6626.2</v>
      </c>
      <c r="G2480" s="177">
        <f>Tabla19[[#This Row],[Importe]]-Tabla19[[#This Row],[Pagado]]</f>
        <v>0</v>
      </c>
      <c r="H2480" s="75" t="s">
        <v>10</v>
      </c>
    </row>
    <row r="2481" spans="1:8" x14ac:dyDescent="0.25">
      <c r="A2481" s="148">
        <v>44798</v>
      </c>
      <c r="B2481" s="149" t="s">
        <v>27239</v>
      </c>
      <c r="C2481" s="153" t="s">
        <v>105</v>
      </c>
      <c r="D2481" s="178">
        <v>8494.5</v>
      </c>
      <c r="E2481" s="155">
        <v>44799</v>
      </c>
      <c r="F2481" s="178">
        <v>8494.5</v>
      </c>
      <c r="G2481" s="179">
        <f>Tabla19[[#This Row],[Importe]]-Tabla19[[#This Row],[Pagado]]</f>
        <v>0</v>
      </c>
      <c r="H2481" s="153" t="s">
        <v>10</v>
      </c>
    </row>
    <row r="2482" spans="1:8" x14ac:dyDescent="0.25">
      <c r="A2482" s="73">
        <v>44798</v>
      </c>
      <c r="B2482" s="74" t="s">
        <v>27240</v>
      </c>
      <c r="C2482" s="75" t="s">
        <v>2151</v>
      </c>
      <c r="D2482" s="176">
        <v>22633.1</v>
      </c>
      <c r="E2482" s="151">
        <v>44798</v>
      </c>
      <c r="F2482" s="176">
        <v>22633.1</v>
      </c>
      <c r="G2482" s="177">
        <f>Tabla19[[#This Row],[Importe]]-Tabla19[[#This Row],[Pagado]]</f>
        <v>0</v>
      </c>
      <c r="H2482" s="75" t="s">
        <v>10</v>
      </c>
    </row>
    <row r="2483" spans="1:8" x14ac:dyDescent="0.25">
      <c r="A2483" s="148">
        <v>44798</v>
      </c>
      <c r="B2483" s="149" t="s">
        <v>27241</v>
      </c>
      <c r="C2483" s="153" t="s">
        <v>326</v>
      </c>
      <c r="D2483" s="178">
        <v>11147.5</v>
      </c>
      <c r="E2483" s="155">
        <v>44800</v>
      </c>
      <c r="F2483" s="178">
        <v>11147.5</v>
      </c>
      <c r="G2483" s="179">
        <f>Tabla19[[#This Row],[Importe]]-Tabla19[[#This Row],[Pagado]]</f>
        <v>0</v>
      </c>
      <c r="H2483" s="153" t="s">
        <v>10</v>
      </c>
    </row>
    <row r="2484" spans="1:8" x14ac:dyDescent="0.25">
      <c r="A2484" s="73">
        <v>44798</v>
      </c>
      <c r="B2484" s="74" t="s">
        <v>27242</v>
      </c>
      <c r="C2484" s="75" t="s">
        <v>348</v>
      </c>
      <c r="D2484" s="176">
        <v>3839.9</v>
      </c>
      <c r="E2484" s="151">
        <v>44798</v>
      </c>
      <c r="F2484" s="176">
        <v>3839.9</v>
      </c>
      <c r="G2484" s="177">
        <f>Tabla19[[#This Row],[Importe]]-Tabla19[[#This Row],[Pagado]]</f>
        <v>0</v>
      </c>
      <c r="H2484" s="75" t="s">
        <v>10</v>
      </c>
    </row>
    <row r="2485" spans="1:8" x14ac:dyDescent="0.25">
      <c r="A2485" s="148">
        <v>44798</v>
      </c>
      <c r="B2485" s="149" t="s">
        <v>27243</v>
      </c>
      <c r="C2485" s="153" t="s">
        <v>22</v>
      </c>
      <c r="D2485" s="178">
        <v>40566.9</v>
      </c>
      <c r="E2485" s="155">
        <v>44799</v>
      </c>
      <c r="F2485" s="178">
        <v>40566.9</v>
      </c>
      <c r="G2485" s="179">
        <f>Tabla19[[#This Row],[Importe]]-Tabla19[[#This Row],[Pagado]]</f>
        <v>0</v>
      </c>
      <c r="H2485" s="153" t="s">
        <v>10</v>
      </c>
    </row>
    <row r="2486" spans="1:8" x14ac:dyDescent="0.25">
      <c r="A2486" s="73">
        <v>44798</v>
      </c>
      <c r="B2486" s="74" t="s">
        <v>27244</v>
      </c>
      <c r="C2486" s="75" t="s">
        <v>2151</v>
      </c>
      <c r="D2486" s="176">
        <v>511</v>
      </c>
      <c r="E2486" s="151">
        <v>44798</v>
      </c>
      <c r="F2486" s="176">
        <v>511</v>
      </c>
      <c r="G2486" s="177">
        <f>Tabla19[[#This Row],[Importe]]-Tabla19[[#This Row],[Pagado]]</f>
        <v>0</v>
      </c>
      <c r="H2486" s="75" t="s">
        <v>10</v>
      </c>
    </row>
    <row r="2487" spans="1:8" x14ac:dyDescent="0.25">
      <c r="A2487" s="148">
        <v>44798</v>
      </c>
      <c r="B2487" s="149" t="s">
        <v>27245</v>
      </c>
      <c r="C2487" s="153" t="s">
        <v>89</v>
      </c>
      <c r="D2487" s="178">
        <v>3858.9</v>
      </c>
      <c r="E2487" s="155">
        <v>44799</v>
      </c>
      <c r="F2487" s="178">
        <v>3858.9</v>
      </c>
      <c r="G2487" s="179">
        <f>Tabla19[[#This Row],[Importe]]-Tabla19[[#This Row],[Pagado]]</f>
        <v>0</v>
      </c>
      <c r="H2487" s="153" t="s">
        <v>10</v>
      </c>
    </row>
    <row r="2488" spans="1:8" x14ac:dyDescent="0.25">
      <c r="A2488" s="73">
        <v>44798</v>
      </c>
      <c r="B2488" s="74" t="s">
        <v>27246</v>
      </c>
      <c r="C2488" s="75" t="s">
        <v>181</v>
      </c>
      <c r="D2488" s="176">
        <v>8162.6</v>
      </c>
      <c r="E2488" s="151">
        <v>44799</v>
      </c>
      <c r="F2488" s="176">
        <v>8162.6</v>
      </c>
      <c r="G2488" s="177">
        <f>Tabla19[[#This Row],[Importe]]-Tabla19[[#This Row],[Pagado]]</f>
        <v>0</v>
      </c>
      <c r="H2488" s="75" t="s">
        <v>10</v>
      </c>
    </row>
    <row r="2489" spans="1:8" x14ac:dyDescent="0.25">
      <c r="A2489" s="148">
        <v>44798</v>
      </c>
      <c r="B2489" s="149" t="s">
        <v>27247</v>
      </c>
      <c r="C2489" s="153" t="s">
        <v>924</v>
      </c>
      <c r="D2489" s="178">
        <v>10537.6</v>
      </c>
      <c r="E2489" s="155">
        <v>44798</v>
      </c>
      <c r="F2489" s="178">
        <v>10537.6</v>
      </c>
      <c r="G2489" s="179">
        <f>Tabla19[[#This Row],[Importe]]-Tabla19[[#This Row],[Pagado]]</f>
        <v>0</v>
      </c>
      <c r="H2489" s="153" t="s">
        <v>10</v>
      </c>
    </row>
    <row r="2490" spans="1:8" x14ac:dyDescent="0.25">
      <c r="A2490" s="73">
        <v>44798</v>
      </c>
      <c r="B2490" s="74" t="s">
        <v>27248</v>
      </c>
      <c r="C2490" s="75" t="s">
        <v>131</v>
      </c>
      <c r="D2490" s="176">
        <v>5025</v>
      </c>
      <c r="E2490" s="151">
        <v>44798</v>
      </c>
      <c r="F2490" s="176">
        <v>5025</v>
      </c>
      <c r="G2490" s="177">
        <f>Tabla19[[#This Row],[Importe]]-Tabla19[[#This Row],[Pagado]]</f>
        <v>0</v>
      </c>
      <c r="H2490" s="75" t="s">
        <v>10</v>
      </c>
    </row>
    <row r="2491" spans="1:8" x14ac:dyDescent="0.25">
      <c r="A2491" s="148">
        <v>44798</v>
      </c>
      <c r="B2491" s="149" t="s">
        <v>27249</v>
      </c>
      <c r="C2491" s="153" t="s">
        <v>618</v>
      </c>
      <c r="D2491" s="178">
        <v>12272.1</v>
      </c>
      <c r="E2491" s="155">
        <v>44799</v>
      </c>
      <c r="F2491" s="178">
        <v>12272.1</v>
      </c>
      <c r="G2491" s="179">
        <f>Tabla19[[#This Row],[Importe]]-Tabla19[[#This Row],[Pagado]]</f>
        <v>0</v>
      </c>
      <c r="H2491" s="153" t="s">
        <v>10</v>
      </c>
    </row>
    <row r="2492" spans="1:8" x14ac:dyDescent="0.25">
      <c r="A2492" s="73">
        <v>44798</v>
      </c>
      <c r="B2492" s="74" t="s">
        <v>27250</v>
      </c>
      <c r="C2492" s="75" t="s">
        <v>452</v>
      </c>
      <c r="D2492" s="176">
        <v>4128</v>
      </c>
      <c r="E2492" s="151">
        <v>44798</v>
      </c>
      <c r="F2492" s="176">
        <v>4128</v>
      </c>
      <c r="G2492" s="177">
        <f>Tabla19[[#This Row],[Importe]]-Tabla19[[#This Row],[Pagado]]</f>
        <v>0</v>
      </c>
      <c r="H2492" s="75" t="s">
        <v>10</v>
      </c>
    </row>
    <row r="2493" spans="1:8" x14ac:dyDescent="0.25">
      <c r="A2493" s="148">
        <v>44798</v>
      </c>
      <c r="B2493" s="149" t="s">
        <v>27251</v>
      </c>
      <c r="C2493" s="153" t="s">
        <v>75</v>
      </c>
      <c r="D2493" s="178">
        <v>8288</v>
      </c>
      <c r="E2493" s="155">
        <v>44799</v>
      </c>
      <c r="F2493" s="178">
        <v>8288</v>
      </c>
      <c r="G2493" s="179">
        <f>Tabla19[[#This Row],[Importe]]-Tabla19[[#This Row],[Pagado]]</f>
        <v>0</v>
      </c>
      <c r="H2493" s="153" t="s">
        <v>10</v>
      </c>
    </row>
    <row r="2494" spans="1:8" x14ac:dyDescent="0.25">
      <c r="A2494" s="73">
        <v>44798</v>
      </c>
      <c r="B2494" s="74" t="s">
        <v>27252</v>
      </c>
      <c r="C2494" s="75" t="s">
        <v>175</v>
      </c>
      <c r="D2494" s="176">
        <v>23001.3</v>
      </c>
      <c r="E2494" s="151">
        <v>44799</v>
      </c>
      <c r="F2494" s="176">
        <v>23001.3</v>
      </c>
      <c r="G2494" s="177">
        <f>Tabla19[[#This Row],[Importe]]-Tabla19[[#This Row],[Pagado]]</f>
        <v>0</v>
      </c>
      <c r="H2494" s="75" t="s">
        <v>10</v>
      </c>
    </row>
    <row r="2495" spans="1:8" x14ac:dyDescent="0.25">
      <c r="A2495" s="148">
        <v>44798</v>
      </c>
      <c r="B2495" s="149" t="s">
        <v>27253</v>
      </c>
      <c r="C2495" s="153" t="s">
        <v>200</v>
      </c>
      <c r="D2495" s="178">
        <v>1626.4</v>
      </c>
      <c r="E2495" s="155">
        <v>44799</v>
      </c>
      <c r="F2495" s="178">
        <v>1626.4</v>
      </c>
      <c r="G2495" s="179">
        <f>Tabla19[[#This Row],[Importe]]-Tabla19[[#This Row],[Pagado]]</f>
        <v>0</v>
      </c>
      <c r="H2495" s="153" t="s">
        <v>10</v>
      </c>
    </row>
    <row r="2496" spans="1:8" x14ac:dyDescent="0.25">
      <c r="A2496" s="73">
        <v>44798</v>
      </c>
      <c r="B2496" s="74" t="s">
        <v>27254</v>
      </c>
      <c r="C2496" s="75" t="s">
        <v>473</v>
      </c>
      <c r="D2496" s="176">
        <v>7204.9</v>
      </c>
      <c r="E2496" s="151">
        <v>44799</v>
      </c>
      <c r="F2496" s="176">
        <v>7204.9</v>
      </c>
      <c r="G2496" s="177">
        <f>Tabla19[[#This Row],[Importe]]-Tabla19[[#This Row],[Pagado]]</f>
        <v>0</v>
      </c>
      <c r="H2496" s="75" t="s">
        <v>10</v>
      </c>
    </row>
    <row r="2497" spans="1:8" x14ac:dyDescent="0.25">
      <c r="A2497" s="148">
        <v>44798</v>
      </c>
      <c r="B2497" s="149" t="s">
        <v>27255</v>
      </c>
      <c r="C2497" s="153" t="s">
        <v>179</v>
      </c>
      <c r="D2497" s="178">
        <v>1554</v>
      </c>
      <c r="E2497" s="155">
        <v>44799</v>
      </c>
      <c r="F2497" s="178">
        <v>1554</v>
      </c>
      <c r="G2497" s="179">
        <f>Tabla19[[#This Row],[Importe]]-Tabla19[[#This Row],[Pagado]]</f>
        <v>0</v>
      </c>
      <c r="H2497" s="153" t="s">
        <v>10</v>
      </c>
    </row>
    <row r="2498" spans="1:8" x14ac:dyDescent="0.25">
      <c r="A2498" s="73">
        <v>44798</v>
      </c>
      <c r="B2498" s="74" t="s">
        <v>27256</v>
      </c>
      <c r="C2498" s="75" t="s">
        <v>45</v>
      </c>
      <c r="D2498" s="176">
        <v>14367.9</v>
      </c>
      <c r="E2498" s="151">
        <v>44798</v>
      </c>
      <c r="F2498" s="176">
        <v>14367.9</v>
      </c>
      <c r="G2498" s="177">
        <f>Tabla19[[#This Row],[Importe]]-Tabla19[[#This Row],[Pagado]]</f>
        <v>0</v>
      </c>
      <c r="H2498" s="75" t="s">
        <v>10</v>
      </c>
    </row>
    <row r="2499" spans="1:8" x14ac:dyDescent="0.25">
      <c r="A2499" s="148">
        <v>44798</v>
      </c>
      <c r="B2499" s="149" t="s">
        <v>27257</v>
      </c>
      <c r="C2499" s="153" t="s">
        <v>284</v>
      </c>
      <c r="D2499" s="178">
        <v>7429.6</v>
      </c>
      <c r="E2499" s="155">
        <v>44799</v>
      </c>
      <c r="F2499" s="178">
        <v>7429.6</v>
      </c>
      <c r="G2499" s="179">
        <f>Tabla19[[#This Row],[Importe]]-Tabla19[[#This Row],[Pagado]]</f>
        <v>0</v>
      </c>
      <c r="H2499" s="153" t="s">
        <v>10</v>
      </c>
    </row>
    <row r="2500" spans="1:8" x14ac:dyDescent="0.25">
      <c r="A2500" s="73">
        <v>44798</v>
      </c>
      <c r="B2500" s="74" t="s">
        <v>27258</v>
      </c>
      <c r="C2500" s="75" t="s">
        <v>280</v>
      </c>
      <c r="D2500" s="176">
        <v>747.4</v>
      </c>
      <c r="E2500" s="151">
        <v>44799</v>
      </c>
      <c r="F2500" s="176">
        <v>747.4</v>
      </c>
      <c r="G2500" s="177">
        <f>Tabla19[[#This Row],[Importe]]-Tabla19[[#This Row],[Pagado]]</f>
        <v>0</v>
      </c>
      <c r="H2500" s="75" t="s">
        <v>10</v>
      </c>
    </row>
    <row r="2501" spans="1:8" x14ac:dyDescent="0.25">
      <c r="A2501" s="148">
        <v>44798</v>
      </c>
      <c r="B2501" s="149" t="s">
        <v>27259</v>
      </c>
      <c r="C2501" s="153" t="s">
        <v>222</v>
      </c>
      <c r="D2501" s="178">
        <v>10061.799999999999</v>
      </c>
      <c r="E2501" s="155">
        <v>44798</v>
      </c>
      <c r="F2501" s="178">
        <v>10061.799999999999</v>
      </c>
      <c r="G2501" s="179">
        <f>Tabla19[[#This Row],[Importe]]-Tabla19[[#This Row],[Pagado]]</f>
        <v>0</v>
      </c>
      <c r="H2501" s="153" t="s">
        <v>10</v>
      </c>
    </row>
    <row r="2502" spans="1:8" x14ac:dyDescent="0.25">
      <c r="A2502" s="73">
        <v>44798</v>
      </c>
      <c r="B2502" s="74" t="s">
        <v>27260</v>
      </c>
      <c r="C2502" s="75" t="s">
        <v>10819</v>
      </c>
      <c r="D2502" s="176">
        <v>717.8</v>
      </c>
      <c r="E2502" s="151">
        <v>44799</v>
      </c>
      <c r="F2502" s="176">
        <v>717.8</v>
      </c>
      <c r="G2502" s="177">
        <f>Tabla19[[#This Row],[Importe]]-Tabla19[[#This Row],[Pagado]]</f>
        <v>0</v>
      </c>
      <c r="H2502" s="75" t="s">
        <v>10</v>
      </c>
    </row>
    <row r="2503" spans="1:8" x14ac:dyDescent="0.25">
      <c r="A2503" s="148">
        <v>44798</v>
      </c>
      <c r="B2503" s="149" t="s">
        <v>27261</v>
      </c>
      <c r="C2503" s="153" t="s">
        <v>282</v>
      </c>
      <c r="D2503" s="178">
        <v>3011.8</v>
      </c>
      <c r="E2503" s="155">
        <v>44799</v>
      </c>
      <c r="F2503" s="178">
        <v>3011.8</v>
      </c>
      <c r="G2503" s="179">
        <f>Tabla19[[#This Row],[Importe]]-Tabla19[[#This Row],[Pagado]]</f>
        <v>0</v>
      </c>
      <c r="H2503" s="153" t="s">
        <v>10</v>
      </c>
    </row>
    <row r="2504" spans="1:8" x14ac:dyDescent="0.25">
      <c r="A2504" s="73">
        <v>44798</v>
      </c>
      <c r="B2504" s="74" t="s">
        <v>27262</v>
      </c>
      <c r="C2504" s="75" t="s">
        <v>431</v>
      </c>
      <c r="D2504" s="176">
        <v>1761.2</v>
      </c>
      <c r="E2504" s="151">
        <v>44799</v>
      </c>
      <c r="F2504" s="176">
        <v>1761.2</v>
      </c>
      <c r="G2504" s="177">
        <f>Tabla19[[#This Row],[Importe]]-Tabla19[[#This Row],[Pagado]]</f>
        <v>0</v>
      </c>
      <c r="H2504" s="75" t="s">
        <v>10</v>
      </c>
    </row>
    <row r="2505" spans="1:8" x14ac:dyDescent="0.25">
      <c r="A2505" s="148">
        <v>44798</v>
      </c>
      <c r="B2505" s="149" t="s">
        <v>27263</v>
      </c>
      <c r="C2505" s="153" t="s">
        <v>804</v>
      </c>
      <c r="D2505" s="178">
        <v>12590.6</v>
      </c>
      <c r="E2505" s="155">
        <v>44798</v>
      </c>
      <c r="F2505" s="178">
        <v>12590.6</v>
      </c>
      <c r="G2505" s="179">
        <f>Tabla19[[#This Row],[Importe]]-Tabla19[[#This Row],[Pagado]]</f>
        <v>0</v>
      </c>
      <c r="H2505" s="153" t="s">
        <v>10</v>
      </c>
    </row>
    <row r="2506" spans="1:8" x14ac:dyDescent="0.25">
      <c r="A2506" s="73">
        <v>44798</v>
      </c>
      <c r="B2506" s="74" t="s">
        <v>27264</v>
      </c>
      <c r="C2506" s="75" t="s">
        <v>365</v>
      </c>
      <c r="D2506" s="176">
        <v>1166.2</v>
      </c>
      <c r="E2506" s="151">
        <v>44798</v>
      </c>
      <c r="F2506" s="176">
        <v>1166.2</v>
      </c>
      <c r="G2506" s="177">
        <f>Tabla19[[#This Row],[Importe]]-Tabla19[[#This Row],[Pagado]]</f>
        <v>0</v>
      </c>
      <c r="H2506" s="75" t="s">
        <v>10</v>
      </c>
    </row>
    <row r="2507" spans="1:8" x14ac:dyDescent="0.25">
      <c r="A2507" s="148">
        <v>44798</v>
      </c>
      <c r="B2507" s="149" t="s">
        <v>27265</v>
      </c>
      <c r="C2507" s="153" t="s">
        <v>142</v>
      </c>
      <c r="D2507" s="178">
        <v>7764.05</v>
      </c>
      <c r="E2507" s="155" t="s">
        <v>4813</v>
      </c>
      <c r="F2507" s="178">
        <v>0</v>
      </c>
      <c r="G2507" s="179">
        <f>Tabla19[[#This Row],[Importe]]-Tabla19[[#This Row],[Pagado]]</f>
        <v>7764.05</v>
      </c>
      <c r="H2507" s="153" t="s">
        <v>4814</v>
      </c>
    </row>
    <row r="2508" spans="1:8" x14ac:dyDescent="0.25">
      <c r="A2508" s="73">
        <v>44798</v>
      </c>
      <c r="B2508" s="74" t="s">
        <v>27266</v>
      </c>
      <c r="C2508" s="75" t="s">
        <v>19637</v>
      </c>
      <c r="D2508" s="176">
        <v>3262.7</v>
      </c>
      <c r="E2508" s="151">
        <v>44805</v>
      </c>
      <c r="F2508" s="176">
        <v>3262.7</v>
      </c>
      <c r="G2508" s="177">
        <f>Tabla19[[#This Row],[Importe]]-Tabla19[[#This Row],[Pagado]]</f>
        <v>0</v>
      </c>
      <c r="H2508" s="75" t="s">
        <v>10</v>
      </c>
    </row>
    <row r="2509" spans="1:8" x14ac:dyDescent="0.25">
      <c r="A2509" s="148">
        <v>44798</v>
      </c>
      <c r="B2509" s="149" t="s">
        <v>27267</v>
      </c>
      <c r="C2509" s="153" t="s">
        <v>151</v>
      </c>
      <c r="D2509" s="178">
        <v>6213</v>
      </c>
      <c r="E2509" s="155">
        <v>44798</v>
      </c>
      <c r="F2509" s="178">
        <v>6213</v>
      </c>
      <c r="G2509" s="179">
        <f>Tabla19[[#This Row],[Importe]]-Tabla19[[#This Row],[Pagado]]</f>
        <v>0</v>
      </c>
      <c r="H2509" s="153" t="s">
        <v>10</v>
      </c>
    </row>
    <row r="2510" spans="1:8" x14ac:dyDescent="0.25">
      <c r="A2510" s="73">
        <v>44798</v>
      </c>
      <c r="B2510" s="74" t="s">
        <v>27268</v>
      </c>
      <c r="C2510" s="75" t="s">
        <v>518</v>
      </c>
      <c r="D2510" s="176">
        <v>1643.6</v>
      </c>
      <c r="E2510" s="151">
        <v>44798</v>
      </c>
      <c r="F2510" s="176">
        <v>1643.6</v>
      </c>
      <c r="G2510" s="177">
        <f>Tabla19[[#This Row],[Importe]]-Tabla19[[#This Row],[Pagado]]</f>
        <v>0</v>
      </c>
      <c r="H2510" s="75" t="s">
        <v>10</v>
      </c>
    </row>
    <row r="2511" spans="1:8" x14ac:dyDescent="0.25">
      <c r="A2511" s="148">
        <v>44798</v>
      </c>
      <c r="B2511" s="149" t="s">
        <v>27269</v>
      </c>
      <c r="C2511" s="153" t="s">
        <v>525</v>
      </c>
      <c r="D2511" s="178">
        <v>404</v>
      </c>
      <c r="E2511" s="155">
        <v>44798</v>
      </c>
      <c r="F2511" s="178">
        <v>404</v>
      </c>
      <c r="G2511" s="179">
        <f>Tabla19[[#This Row],[Importe]]-Tabla19[[#This Row],[Pagado]]</f>
        <v>0</v>
      </c>
      <c r="H2511" s="153" t="s">
        <v>10</v>
      </c>
    </row>
    <row r="2512" spans="1:8" x14ac:dyDescent="0.25">
      <c r="A2512" s="73">
        <v>44798</v>
      </c>
      <c r="B2512" s="74" t="s">
        <v>27270</v>
      </c>
      <c r="C2512" s="75" t="s">
        <v>484</v>
      </c>
      <c r="D2512" s="176">
        <v>3825.9</v>
      </c>
      <c r="E2512" s="151">
        <v>44798</v>
      </c>
      <c r="F2512" s="176">
        <v>3825.9</v>
      </c>
      <c r="G2512" s="177">
        <f>Tabla19[[#This Row],[Importe]]-Tabla19[[#This Row],[Pagado]]</f>
        <v>0</v>
      </c>
      <c r="H2512" s="75" t="s">
        <v>10</v>
      </c>
    </row>
    <row r="2513" spans="1:8" x14ac:dyDescent="0.25">
      <c r="A2513" s="148">
        <v>44798</v>
      </c>
      <c r="B2513" s="149" t="s">
        <v>27271</v>
      </c>
      <c r="C2513" s="153" t="s">
        <v>31</v>
      </c>
      <c r="D2513" s="178">
        <v>1955.9</v>
      </c>
      <c r="E2513" s="155">
        <v>44798</v>
      </c>
      <c r="F2513" s="178">
        <v>1955.9</v>
      </c>
      <c r="G2513" s="179">
        <f>Tabla19[[#This Row],[Importe]]-Tabla19[[#This Row],[Pagado]]</f>
        <v>0</v>
      </c>
      <c r="H2513" s="153" t="s">
        <v>10</v>
      </c>
    </row>
    <row r="2514" spans="1:8" x14ac:dyDescent="0.25">
      <c r="A2514" s="73">
        <v>44798</v>
      </c>
      <c r="B2514" s="74" t="s">
        <v>27272</v>
      </c>
      <c r="C2514" s="75" t="s">
        <v>45</v>
      </c>
      <c r="D2514" s="176">
        <v>1727.5</v>
      </c>
      <c r="E2514" s="151">
        <v>44798</v>
      </c>
      <c r="F2514" s="176">
        <v>1727.5</v>
      </c>
      <c r="G2514" s="177">
        <f>Tabla19[[#This Row],[Importe]]-Tabla19[[#This Row],[Pagado]]</f>
        <v>0</v>
      </c>
      <c r="H2514" s="75" t="s">
        <v>10</v>
      </c>
    </row>
    <row r="2515" spans="1:8" x14ac:dyDescent="0.25">
      <c r="A2515" s="148">
        <v>44798</v>
      </c>
      <c r="B2515" s="149" t="s">
        <v>27273</v>
      </c>
      <c r="C2515" s="153" t="s">
        <v>319</v>
      </c>
      <c r="D2515" s="178">
        <v>11051.9</v>
      </c>
      <c r="E2515" s="155">
        <v>44798</v>
      </c>
      <c r="F2515" s="178">
        <v>11051.9</v>
      </c>
      <c r="G2515" s="179">
        <f>Tabla19[[#This Row],[Importe]]-Tabla19[[#This Row],[Pagado]]</f>
        <v>0</v>
      </c>
      <c r="H2515" s="153" t="s">
        <v>10</v>
      </c>
    </row>
    <row r="2516" spans="1:8" x14ac:dyDescent="0.25">
      <c r="A2516" s="73">
        <v>44798</v>
      </c>
      <c r="B2516" s="74" t="s">
        <v>27274</v>
      </c>
      <c r="C2516" s="75" t="s">
        <v>159</v>
      </c>
      <c r="D2516" s="176">
        <v>2197.1999999999998</v>
      </c>
      <c r="E2516" s="151">
        <v>44798</v>
      </c>
      <c r="F2516" s="176">
        <v>2197.1999999999998</v>
      </c>
      <c r="G2516" s="177">
        <f>Tabla19[[#This Row],[Importe]]-Tabla19[[#This Row],[Pagado]]</f>
        <v>0</v>
      </c>
      <c r="H2516" s="75" t="s">
        <v>10</v>
      </c>
    </row>
    <row r="2517" spans="1:8" x14ac:dyDescent="0.25">
      <c r="A2517" s="148">
        <v>44798</v>
      </c>
      <c r="B2517" s="149" t="s">
        <v>27275</v>
      </c>
      <c r="C2517" s="153" t="s">
        <v>698</v>
      </c>
      <c r="D2517" s="178">
        <v>2079.4</v>
      </c>
      <c r="E2517" s="155">
        <v>44798</v>
      </c>
      <c r="F2517" s="178">
        <v>2079.4</v>
      </c>
      <c r="G2517" s="179">
        <f>Tabla19[[#This Row],[Importe]]-Tabla19[[#This Row],[Pagado]]</f>
        <v>0</v>
      </c>
      <c r="H2517" s="153" t="s">
        <v>10</v>
      </c>
    </row>
    <row r="2518" spans="1:8" x14ac:dyDescent="0.25">
      <c r="A2518" s="73">
        <v>44798</v>
      </c>
      <c r="B2518" s="74" t="s">
        <v>27276</v>
      </c>
      <c r="C2518" s="75" t="s">
        <v>966</v>
      </c>
      <c r="D2518" s="176">
        <v>4406.6000000000004</v>
      </c>
      <c r="E2518" s="151">
        <v>44798</v>
      </c>
      <c r="F2518" s="176">
        <v>4406.6000000000004</v>
      </c>
      <c r="G2518" s="177">
        <f>Tabla19[[#This Row],[Importe]]-Tabla19[[#This Row],[Pagado]]</f>
        <v>0</v>
      </c>
      <c r="H2518" s="75" t="s">
        <v>10</v>
      </c>
    </row>
    <row r="2519" spans="1:8" x14ac:dyDescent="0.25">
      <c r="A2519" s="148">
        <v>44798</v>
      </c>
      <c r="B2519" s="149" t="s">
        <v>27277</v>
      </c>
      <c r="C2519" s="153" t="s">
        <v>157</v>
      </c>
      <c r="D2519" s="178">
        <v>5887.1</v>
      </c>
      <c r="E2519" s="155">
        <v>44798</v>
      </c>
      <c r="F2519" s="178">
        <v>5887.1</v>
      </c>
      <c r="G2519" s="179">
        <f>Tabla19[[#This Row],[Importe]]-Tabla19[[#This Row],[Pagado]]</f>
        <v>0</v>
      </c>
      <c r="H2519" s="153" t="s">
        <v>10</v>
      </c>
    </row>
    <row r="2520" spans="1:8" x14ac:dyDescent="0.25">
      <c r="A2520" s="73">
        <v>44798</v>
      </c>
      <c r="B2520" s="74" t="s">
        <v>27278</v>
      </c>
      <c r="C2520" s="75" t="s">
        <v>56</v>
      </c>
      <c r="D2520" s="176">
        <v>4588.5</v>
      </c>
      <c r="E2520" s="151">
        <v>44798</v>
      </c>
      <c r="F2520" s="176">
        <v>4588.5</v>
      </c>
      <c r="G2520" s="177">
        <f>Tabla19[[#This Row],[Importe]]-Tabla19[[#This Row],[Pagado]]</f>
        <v>0</v>
      </c>
      <c r="H2520" s="75" t="s">
        <v>10</v>
      </c>
    </row>
    <row r="2521" spans="1:8" x14ac:dyDescent="0.25">
      <c r="A2521" s="148">
        <v>44798</v>
      </c>
      <c r="B2521" s="149" t="s">
        <v>27279</v>
      </c>
      <c r="C2521" s="153" t="s">
        <v>520</v>
      </c>
      <c r="D2521" s="178">
        <v>6685.4</v>
      </c>
      <c r="E2521" s="155">
        <v>44798</v>
      </c>
      <c r="F2521" s="178">
        <v>6685.4</v>
      </c>
      <c r="G2521" s="179">
        <f>Tabla19[[#This Row],[Importe]]-Tabla19[[#This Row],[Pagado]]</f>
        <v>0</v>
      </c>
      <c r="H2521" s="153" t="s">
        <v>10</v>
      </c>
    </row>
    <row r="2522" spans="1:8" x14ac:dyDescent="0.25">
      <c r="A2522" s="73">
        <v>44798</v>
      </c>
      <c r="B2522" s="74" t="s">
        <v>27280</v>
      </c>
      <c r="C2522" s="75" t="s">
        <v>151</v>
      </c>
      <c r="D2522" s="176">
        <v>5457.18</v>
      </c>
      <c r="E2522" s="151">
        <v>44798</v>
      </c>
      <c r="F2522" s="176">
        <v>5457.18</v>
      </c>
      <c r="G2522" s="177">
        <f>Tabla19[[#This Row],[Importe]]-Tabla19[[#This Row],[Pagado]]</f>
        <v>0</v>
      </c>
      <c r="H2522" s="75" t="s">
        <v>10</v>
      </c>
    </row>
    <row r="2523" spans="1:8" x14ac:dyDescent="0.25">
      <c r="A2523" s="148">
        <v>44798</v>
      </c>
      <c r="B2523" s="149" t="s">
        <v>27281</v>
      </c>
      <c r="C2523" s="153" t="s">
        <v>49</v>
      </c>
      <c r="D2523" s="178">
        <v>4727.8999999999996</v>
      </c>
      <c r="E2523" s="155">
        <v>44798</v>
      </c>
      <c r="F2523" s="178">
        <v>4727.8999999999996</v>
      </c>
      <c r="G2523" s="179">
        <f>Tabla19[[#This Row],[Importe]]-Tabla19[[#This Row],[Pagado]]</f>
        <v>0</v>
      </c>
      <c r="H2523" s="153" t="s">
        <v>10</v>
      </c>
    </row>
    <row r="2524" spans="1:8" x14ac:dyDescent="0.25">
      <c r="A2524" s="73">
        <v>44798</v>
      </c>
      <c r="B2524" s="74" t="s">
        <v>27282</v>
      </c>
      <c r="C2524" s="75" t="s">
        <v>127</v>
      </c>
      <c r="D2524" s="176">
        <v>6367.3</v>
      </c>
      <c r="E2524" s="151">
        <v>44798</v>
      </c>
      <c r="F2524" s="176">
        <v>6367.3</v>
      </c>
      <c r="G2524" s="177">
        <f>Tabla19[[#This Row],[Importe]]-Tabla19[[#This Row],[Pagado]]</f>
        <v>0</v>
      </c>
      <c r="H2524" s="75" t="s">
        <v>10</v>
      </c>
    </row>
    <row r="2525" spans="1:8" x14ac:dyDescent="0.25">
      <c r="A2525" s="148">
        <v>44798</v>
      </c>
      <c r="B2525" s="149" t="s">
        <v>27283</v>
      </c>
      <c r="C2525" s="153" t="s">
        <v>357</v>
      </c>
      <c r="D2525" s="178">
        <v>616</v>
      </c>
      <c r="E2525" s="155">
        <v>44798</v>
      </c>
      <c r="F2525" s="178">
        <v>616</v>
      </c>
      <c r="G2525" s="179">
        <f>Tabla19[[#This Row],[Importe]]-Tabla19[[#This Row],[Pagado]]</f>
        <v>0</v>
      </c>
      <c r="H2525" s="153" t="s">
        <v>10</v>
      </c>
    </row>
    <row r="2526" spans="1:8" x14ac:dyDescent="0.25">
      <c r="A2526" s="73">
        <v>44798</v>
      </c>
      <c r="B2526" s="74" t="s">
        <v>27284</v>
      </c>
      <c r="C2526" s="75" t="s">
        <v>140</v>
      </c>
      <c r="D2526" s="176">
        <v>1239.7</v>
      </c>
      <c r="E2526" s="151">
        <v>44798</v>
      </c>
      <c r="F2526" s="176">
        <v>1239.7</v>
      </c>
      <c r="G2526" s="177">
        <f>Tabla19[[#This Row],[Importe]]-Tabla19[[#This Row],[Pagado]]</f>
        <v>0</v>
      </c>
      <c r="H2526" s="75" t="s">
        <v>10</v>
      </c>
    </row>
    <row r="2527" spans="1:8" x14ac:dyDescent="0.25">
      <c r="A2527" s="148">
        <v>44798</v>
      </c>
      <c r="B2527" s="149" t="s">
        <v>27285</v>
      </c>
      <c r="C2527" s="153" t="s">
        <v>129</v>
      </c>
      <c r="D2527" s="178">
        <v>1778.7</v>
      </c>
      <c r="E2527" s="155">
        <v>44798</v>
      </c>
      <c r="F2527" s="178">
        <v>1778.7</v>
      </c>
      <c r="G2527" s="179">
        <f>Tabla19[[#This Row],[Importe]]-Tabla19[[#This Row],[Pagado]]</f>
        <v>0</v>
      </c>
      <c r="H2527" s="153" t="s">
        <v>10</v>
      </c>
    </row>
    <row r="2528" spans="1:8" x14ac:dyDescent="0.25">
      <c r="A2528" s="73">
        <v>44798</v>
      </c>
      <c r="B2528" s="74" t="s">
        <v>27286</v>
      </c>
      <c r="C2528" s="75" t="s">
        <v>339</v>
      </c>
      <c r="D2528" s="176">
        <v>585.20000000000005</v>
      </c>
      <c r="E2528" s="151">
        <v>44798</v>
      </c>
      <c r="F2528" s="176">
        <v>585.20000000000005</v>
      </c>
      <c r="G2528" s="177">
        <f>Tabla19[[#This Row],[Importe]]-Tabla19[[#This Row],[Pagado]]</f>
        <v>0</v>
      </c>
      <c r="H2528" s="75" t="s">
        <v>10</v>
      </c>
    </row>
    <row r="2529" spans="1:8" x14ac:dyDescent="0.25">
      <c r="A2529" s="148">
        <v>44798</v>
      </c>
      <c r="B2529" s="149" t="s">
        <v>27287</v>
      </c>
      <c r="C2529" s="153" t="s">
        <v>83</v>
      </c>
      <c r="D2529" s="178">
        <v>9911.4</v>
      </c>
      <c r="E2529" s="155">
        <v>44798</v>
      </c>
      <c r="F2529" s="178">
        <v>9911.4</v>
      </c>
      <c r="G2529" s="179">
        <f>Tabla19[[#This Row],[Importe]]-Tabla19[[#This Row],[Pagado]]</f>
        <v>0</v>
      </c>
      <c r="H2529" s="153" t="s">
        <v>10</v>
      </c>
    </row>
    <row r="2530" spans="1:8" x14ac:dyDescent="0.25">
      <c r="A2530" s="73">
        <v>44798</v>
      </c>
      <c r="B2530" s="74" t="s">
        <v>27288</v>
      </c>
      <c r="C2530" s="75" t="s">
        <v>191</v>
      </c>
      <c r="D2530" s="176">
        <v>2613.6</v>
      </c>
      <c r="E2530" s="151">
        <v>44798</v>
      </c>
      <c r="F2530" s="176">
        <v>2613.6</v>
      </c>
      <c r="G2530" s="177">
        <f>Tabla19[[#This Row],[Importe]]-Tabla19[[#This Row],[Pagado]]</f>
        <v>0</v>
      </c>
      <c r="H2530" s="75" t="s">
        <v>10</v>
      </c>
    </row>
    <row r="2531" spans="1:8" x14ac:dyDescent="0.25">
      <c r="A2531" s="148">
        <v>44798</v>
      </c>
      <c r="B2531" s="149" t="s">
        <v>27289</v>
      </c>
      <c r="C2531" s="153" t="s">
        <v>333</v>
      </c>
      <c r="D2531" s="178">
        <v>1178.0999999999999</v>
      </c>
      <c r="E2531" s="155">
        <v>44798</v>
      </c>
      <c r="F2531" s="178">
        <v>1178.0999999999999</v>
      </c>
      <c r="G2531" s="179">
        <f>Tabla19[[#This Row],[Importe]]-Tabla19[[#This Row],[Pagado]]</f>
        <v>0</v>
      </c>
      <c r="H2531" s="153" t="s">
        <v>10</v>
      </c>
    </row>
    <row r="2532" spans="1:8" x14ac:dyDescent="0.25">
      <c r="A2532" s="73">
        <v>44798</v>
      </c>
      <c r="B2532" s="74" t="s">
        <v>27290</v>
      </c>
      <c r="C2532" s="75" t="s">
        <v>58</v>
      </c>
      <c r="D2532" s="176">
        <v>4260</v>
      </c>
      <c r="E2532" s="151">
        <v>44798</v>
      </c>
      <c r="F2532" s="176">
        <v>4260</v>
      </c>
      <c r="G2532" s="177">
        <f>Tabla19[[#This Row],[Importe]]-Tabla19[[#This Row],[Pagado]]</f>
        <v>0</v>
      </c>
      <c r="H2532" s="75" t="s">
        <v>10</v>
      </c>
    </row>
    <row r="2533" spans="1:8" x14ac:dyDescent="0.25">
      <c r="A2533" s="148">
        <v>44798</v>
      </c>
      <c r="B2533" s="149" t="s">
        <v>27291</v>
      </c>
      <c r="C2533" s="153" t="s">
        <v>107</v>
      </c>
      <c r="D2533" s="178">
        <v>17505</v>
      </c>
      <c r="E2533" s="155">
        <v>44798</v>
      </c>
      <c r="F2533" s="178">
        <v>17505</v>
      </c>
      <c r="G2533" s="179">
        <f>Tabla19[[#This Row],[Importe]]-Tabla19[[#This Row],[Pagado]]</f>
        <v>0</v>
      </c>
      <c r="H2533" s="153" t="s">
        <v>10</v>
      </c>
    </row>
    <row r="2534" spans="1:8" x14ac:dyDescent="0.25">
      <c r="A2534" s="73">
        <v>44798</v>
      </c>
      <c r="B2534" s="74" t="s">
        <v>27292</v>
      </c>
      <c r="C2534" s="75" t="s">
        <v>146</v>
      </c>
      <c r="D2534" s="176">
        <v>5791.2</v>
      </c>
      <c r="E2534" s="151">
        <v>44798</v>
      </c>
      <c r="F2534" s="176">
        <v>5791.2</v>
      </c>
      <c r="G2534" s="177">
        <f>Tabla19[[#This Row],[Importe]]-Tabla19[[#This Row],[Pagado]]</f>
        <v>0</v>
      </c>
      <c r="H2534" s="75" t="s">
        <v>10</v>
      </c>
    </row>
    <row r="2535" spans="1:8" x14ac:dyDescent="0.25">
      <c r="A2535" s="148">
        <v>44798</v>
      </c>
      <c r="B2535" s="149" t="s">
        <v>27293</v>
      </c>
      <c r="C2535" s="153" t="s">
        <v>62</v>
      </c>
      <c r="D2535" s="178">
        <v>4915.6000000000004</v>
      </c>
      <c r="E2535" s="155">
        <v>44798</v>
      </c>
      <c r="F2535" s="178">
        <v>4915.6000000000004</v>
      </c>
      <c r="G2535" s="179">
        <f>Tabla19[[#This Row],[Importe]]-Tabla19[[#This Row],[Pagado]]</f>
        <v>0</v>
      </c>
      <c r="H2535" s="153" t="s">
        <v>10</v>
      </c>
    </row>
    <row r="2536" spans="1:8" x14ac:dyDescent="0.25">
      <c r="A2536" s="73">
        <v>44798</v>
      </c>
      <c r="B2536" s="74" t="s">
        <v>27294</v>
      </c>
      <c r="C2536" s="75" t="s">
        <v>1265</v>
      </c>
      <c r="D2536" s="176">
        <v>562.1</v>
      </c>
      <c r="E2536" s="151">
        <v>44798</v>
      </c>
      <c r="F2536" s="176">
        <v>562.1</v>
      </c>
      <c r="G2536" s="177">
        <f>Tabla19[[#This Row],[Importe]]-Tabla19[[#This Row],[Pagado]]</f>
        <v>0</v>
      </c>
      <c r="H2536" s="75" t="s">
        <v>10</v>
      </c>
    </row>
    <row r="2537" spans="1:8" x14ac:dyDescent="0.25">
      <c r="A2537" s="148">
        <v>44798</v>
      </c>
      <c r="B2537" s="149" t="s">
        <v>27295</v>
      </c>
      <c r="C2537" s="153" t="s">
        <v>24</v>
      </c>
      <c r="D2537" s="178">
        <v>2001.5</v>
      </c>
      <c r="E2537" s="155">
        <v>44798</v>
      </c>
      <c r="F2537" s="178">
        <v>2001.5</v>
      </c>
      <c r="G2537" s="179">
        <f>Tabla19[[#This Row],[Importe]]-Tabla19[[#This Row],[Pagado]]</f>
        <v>0</v>
      </c>
      <c r="H2537" s="153" t="s">
        <v>10</v>
      </c>
    </row>
    <row r="2538" spans="1:8" x14ac:dyDescent="0.25">
      <c r="A2538" s="73">
        <v>44798</v>
      </c>
      <c r="B2538" s="74" t="s">
        <v>27296</v>
      </c>
      <c r="C2538" s="75" t="s">
        <v>24</v>
      </c>
      <c r="D2538" s="176">
        <v>809.4</v>
      </c>
      <c r="E2538" s="151">
        <v>44798</v>
      </c>
      <c r="F2538" s="176">
        <v>809.4</v>
      </c>
      <c r="G2538" s="177">
        <f>Tabla19[[#This Row],[Importe]]-Tabla19[[#This Row],[Pagado]]</f>
        <v>0</v>
      </c>
      <c r="H2538" s="75" t="s">
        <v>10</v>
      </c>
    </row>
    <row r="2539" spans="1:8" x14ac:dyDescent="0.25">
      <c r="A2539" s="148">
        <v>44798</v>
      </c>
      <c r="B2539" s="149" t="s">
        <v>27297</v>
      </c>
      <c r="C2539" s="153" t="s">
        <v>1362</v>
      </c>
      <c r="D2539" s="178">
        <v>4681.6000000000004</v>
      </c>
      <c r="E2539" s="155">
        <v>44798</v>
      </c>
      <c r="F2539" s="178">
        <v>4681.6000000000004</v>
      </c>
      <c r="G2539" s="179">
        <f>Tabla19[[#This Row],[Importe]]-Tabla19[[#This Row],[Pagado]]</f>
        <v>0</v>
      </c>
      <c r="H2539" s="153" t="s">
        <v>10</v>
      </c>
    </row>
    <row r="2540" spans="1:8" x14ac:dyDescent="0.25">
      <c r="A2540" s="73">
        <v>44798</v>
      </c>
      <c r="B2540" s="74" t="s">
        <v>27298</v>
      </c>
      <c r="C2540" s="75" t="s">
        <v>291</v>
      </c>
      <c r="D2540" s="176">
        <v>3559</v>
      </c>
      <c r="E2540" s="151">
        <v>44798</v>
      </c>
      <c r="F2540" s="176">
        <v>3559</v>
      </c>
      <c r="G2540" s="177">
        <f>Tabla19[[#This Row],[Importe]]-Tabla19[[#This Row],[Pagado]]</f>
        <v>0</v>
      </c>
      <c r="H2540" s="75" t="s">
        <v>10</v>
      </c>
    </row>
    <row r="2541" spans="1:8" x14ac:dyDescent="0.25">
      <c r="A2541" s="148">
        <v>44798</v>
      </c>
      <c r="B2541" s="149" t="s">
        <v>27299</v>
      </c>
      <c r="C2541" s="153" t="s">
        <v>1505</v>
      </c>
      <c r="D2541" s="178">
        <v>6424.4</v>
      </c>
      <c r="E2541" s="155">
        <v>44798</v>
      </c>
      <c r="F2541" s="178">
        <v>6424.4</v>
      </c>
      <c r="G2541" s="179">
        <f>Tabla19[[#This Row],[Importe]]-Tabla19[[#This Row],[Pagado]]</f>
        <v>0</v>
      </c>
      <c r="H2541" s="153" t="s">
        <v>10</v>
      </c>
    </row>
    <row r="2542" spans="1:8" x14ac:dyDescent="0.25">
      <c r="A2542" s="73">
        <v>44798</v>
      </c>
      <c r="B2542" s="74" t="s">
        <v>27300</v>
      </c>
      <c r="C2542" s="75" t="s">
        <v>291</v>
      </c>
      <c r="D2542" s="176">
        <v>744</v>
      </c>
      <c r="E2542" s="151">
        <v>44798</v>
      </c>
      <c r="F2542" s="176">
        <v>744</v>
      </c>
      <c r="G2542" s="177">
        <f>Tabla19[[#This Row],[Importe]]-Tabla19[[#This Row],[Pagado]]</f>
        <v>0</v>
      </c>
      <c r="H2542" s="75" t="s">
        <v>10</v>
      </c>
    </row>
    <row r="2543" spans="1:8" x14ac:dyDescent="0.25">
      <c r="A2543" s="148">
        <v>44798</v>
      </c>
      <c r="B2543" s="149" t="s">
        <v>27301</v>
      </c>
      <c r="C2543" s="153" t="s">
        <v>29</v>
      </c>
      <c r="D2543" s="178">
        <v>4166.2</v>
      </c>
      <c r="E2543" s="155">
        <v>44798</v>
      </c>
      <c r="F2543" s="178">
        <v>4166.2</v>
      </c>
      <c r="G2543" s="179">
        <f>Tabla19[[#This Row],[Importe]]-Tabla19[[#This Row],[Pagado]]</f>
        <v>0</v>
      </c>
      <c r="H2543" s="153" t="s">
        <v>10</v>
      </c>
    </row>
    <row r="2544" spans="1:8" x14ac:dyDescent="0.25">
      <c r="A2544" s="73">
        <v>44798</v>
      </c>
      <c r="B2544" s="74" t="s">
        <v>27302</v>
      </c>
      <c r="C2544" s="75" t="s">
        <v>12</v>
      </c>
      <c r="D2544" s="176">
        <v>4541.8</v>
      </c>
      <c r="E2544" s="151">
        <v>44798</v>
      </c>
      <c r="F2544" s="176">
        <v>4541.8</v>
      </c>
      <c r="G2544" s="177">
        <f>Tabla19[[#This Row],[Importe]]-Tabla19[[#This Row],[Pagado]]</f>
        <v>0</v>
      </c>
      <c r="H2544" s="75" t="s">
        <v>10</v>
      </c>
    </row>
    <row r="2545" spans="1:8" x14ac:dyDescent="0.25">
      <c r="A2545" s="148">
        <v>44798</v>
      </c>
      <c r="B2545" s="149" t="s">
        <v>27303</v>
      </c>
      <c r="C2545" s="153" t="s">
        <v>670</v>
      </c>
      <c r="D2545" s="178">
        <v>5073.5</v>
      </c>
      <c r="E2545" s="155">
        <v>44799</v>
      </c>
      <c r="F2545" s="178">
        <v>5073.5</v>
      </c>
      <c r="G2545" s="179">
        <f>Tabla19[[#This Row],[Importe]]-Tabla19[[#This Row],[Pagado]]</f>
        <v>0</v>
      </c>
      <c r="H2545" s="153" t="s">
        <v>10</v>
      </c>
    </row>
    <row r="2546" spans="1:8" x14ac:dyDescent="0.25">
      <c r="A2546" s="73">
        <v>44798</v>
      </c>
      <c r="B2546" s="74" t="s">
        <v>27304</v>
      </c>
      <c r="C2546" s="75" t="s">
        <v>53</v>
      </c>
      <c r="D2546" s="176">
        <v>1339.8</v>
      </c>
      <c r="E2546" s="151">
        <v>44798</v>
      </c>
      <c r="F2546" s="176">
        <v>1339.8</v>
      </c>
      <c r="G2546" s="177">
        <f>Tabla19[[#This Row],[Importe]]-Tabla19[[#This Row],[Pagado]]</f>
        <v>0</v>
      </c>
      <c r="H2546" s="75" t="s">
        <v>10</v>
      </c>
    </row>
    <row r="2547" spans="1:8" x14ac:dyDescent="0.25">
      <c r="A2547" s="148">
        <v>44798</v>
      </c>
      <c r="B2547" s="149" t="s">
        <v>27305</v>
      </c>
      <c r="C2547" s="153" t="s">
        <v>484</v>
      </c>
      <c r="D2547" s="178">
        <v>8018.4</v>
      </c>
      <c r="E2547" s="155">
        <v>44798</v>
      </c>
      <c r="F2547" s="178">
        <v>8018.4</v>
      </c>
      <c r="G2547" s="179">
        <f>Tabla19[[#This Row],[Importe]]-Tabla19[[#This Row],[Pagado]]</f>
        <v>0</v>
      </c>
      <c r="H2547" s="153" t="s">
        <v>10</v>
      </c>
    </row>
    <row r="2548" spans="1:8" x14ac:dyDescent="0.25">
      <c r="A2548" s="73">
        <v>44798</v>
      </c>
      <c r="B2548" s="74" t="s">
        <v>27306</v>
      </c>
      <c r="C2548" s="75" t="s">
        <v>31</v>
      </c>
      <c r="D2548" s="176">
        <v>1780</v>
      </c>
      <c r="E2548" s="151">
        <v>44798</v>
      </c>
      <c r="F2548" s="176">
        <v>1780</v>
      </c>
      <c r="G2548" s="177">
        <f>Tabla19[[#This Row],[Importe]]-Tabla19[[#This Row],[Pagado]]</f>
        <v>0</v>
      </c>
      <c r="H2548" s="75" t="s">
        <v>10</v>
      </c>
    </row>
    <row r="2549" spans="1:8" x14ac:dyDescent="0.25">
      <c r="A2549" s="148">
        <v>44798</v>
      </c>
      <c r="B2549" s="149" t="s">
        <v>27307</v>
      </c>
      <c r="C2549" s="153" t="s">
        <v>296</v>
      </c>
      <c r="D2549" s="178">
        <v>4072.2</v>
      </c>
      <c r="E2549" s="155">
        <v>44798</v>
      </c>
      <c r="F2549" s="178">
        <v>4072.2</v>
      </c>
      <c r="G2549" s="179">
        <f>Tabla19[[#This Row],[Importe]]-Tabla19[[#This Row],[Pagado]]</f>
        <v>0</v>
      </c>
      <c r="H2549" s="153" t="s">
        <v>10</v>
      </c>
    </row>
    <row r="2550" spans="1:8" x14ac:dyDescent="0.25">
      <c r="A2550" s="73">
        <v>44798</v>
      </c>
      <c r="B2550" s="74" t="s">
        <v>27308</v>
      </c>
      <c r="C2550" s="75" t="s">
        <v>31</v>
      </c>
      <c r="D2550" s="176">
        <v>390</v>
      </c>
      <c r="E2550" s="151">
        <v>44798</v>
      </c>
      <c r="F2550" s="176">
        <v>390</v>
      </c>
      <c r="G2550" s="177">
        <f>Tabla19[[#This Row],[Importe]]-Tabla19[[#This Row],[Pagado]]</f>
        <v>0</v>
      </c>
      <c r="H2550" s="75" t="s">
        <v>10</v>
      </c>
    </row>
    <row r="2551" spans="1:8" x14ac:dyDescent="0.25">
      <c r="A2551" s="148">
        <v>44798</v>
      </c>
      <c r="B2551" s="149" t="s">
        <v>27309</v>
      </c>
      <c r="C2551" s="153" t="s">
        <v>296</v>
      </c>
      <c r="D2551" s="178">
        <v>2527.1999999999998</v>
      </c>
      <c r="E2551" s="155">
        <v>44798</v>
      </c>
      <c r="F2551" s="178">
        <v>2527.1999999999998</v>
      </c>
      <c r="G2551" s="179">
        <f>Tabla19[[#This Row],[Importe]]-Tabla19[[#This Row],[Pagado]]</f>
        <v>0</v>
      </c>
      <c r="H2551" s="153" t="s">
        <v>10</v>
      </c>
    </row>
    <row r="2552" spans="1:8" x14ac:dyDescent="0.25">
      <c r="A2552" s="73">
        <v>44798</v>
      </c>
      <c r="B2552" s="74" t="s">
        <v>27310</v>
      </c>
      <c r="C2552" s="75" t="s">
        <v>24284</v>
      </c>
      <c r="D2552" s="176">
        <v>606.79999999999995</v>
      </c>
      <c r="E2552" s="151">
        <v>44798</v>
      </c>
      <c r="F2552" s="176">
        <v>606.79999999999995</v>
      </c>
      <c r="G2552" s="177">
        <f>Tabla19[[#This Row],[Importe]]-Tabla19[[#This Row],[Pagado]]</f>
        <v>0</v>
      </c>
      <c r="H2552" s="75" t="s">
        <v>10</v>
      </c>
    </row>
    <row r="2553" spans="1:8" x14ac:dyDescent="0.25">
      <c r="A2553" s="148">
        <v>44798</v>
      </c>
      <c r="B2553" s="149" t="s">
        <v>27311</v>
      </c>
      <c r="C2553" s="153" t="s">
        <v>9827</v>
      </c>
      <c r="D2553" s="178">
        <v>2797.2</v>
      </c>
      <c r="E2553" s="155">
        <v>44798</v>
      </c>
      <c r="F2553" s="178">
        <v>2797.2</v>
      </c>
      <c r="G2553" s="179">
        <f>Tabla19[[#This Row],[Importe]]-Tabla19[[#This Row],[Pagado]]</f>
        <v>0</v>
      </c>
      <c r="H2553" s="153" t="s">
        <v>10</v>
      </c>
    </row>
    <row r="2554" spans="1:8" x14ac:dyDescent="0.25">
      <c r="A2554" s="73">
        <v>44798</v>
      </c>
      <c r="B2554" s="74" t="s">
        <v>27312</v>
      </c>
      <c r="C2554" s="75" t="s">
        <v>9827</v>
      </c>
      <c r="D2554" s="176">
        <v>1003.4</v>
      </c>
      <c r="E2554" s="151">
        <v>44798</v>
      </c>
      <c r="F2554" s="176">
        <v>1003.4</v>
      </c>
      <c r="G2554" s="177">
        <f>Tabla19[[#This Row],[Importe]]-Tabla19[[#This Row],[Pagado]]</f>
        <v>0</v>
      </c>
      <c r="H2554" s="75" t="s">
        <v>10</v>
      </c>
    </row>
    <row r="2555" spans="1:8" x14ac:dyDescent="0.25">
      <c r="A2555" s="148">
        <v>44798</v>
      </c>
      <c r="B2555" s="149" t="s">
        <v>27313</v>
      </c>
      <c r="C2555" s="153" t="s">
        <v>857</v>
      </c>
      <c r="D2555" s="178">
        <v>618.20000000000005</v>
      </c>
      <c r="E2555" s="155">
        <v>44798</v>
      </c>
      <c r="F2555" s="178">
        <v>618.20000000000005</v>
      </c>
      <c r="G2555" s="179">
        <f>Tabla19[[#This Row],[Importe]]-Tabla19[[#This Row],[Pagado]]</f>
        <v>0</v>
      </c>
      <c r="H2555" s="153" t="s">
        <v>10</v>
      </c>
    </row>
    <row r="2556" spans="1:8" x14ac:dyDescent="0.25">
      <c r="A2556" s="73">
        <v>44798</v>
      </c>
      <c r="B2556" s="74" t="s">
        <v>27314</v>
      </c>
      <c r="C2556" s="75" t="s">
        <v>31</v>
      </c>
      <c r="D2556" s="176">
        <v>4000</v>
      </c>
      <c r="E2556" s="151">
        <v>44798</v>
      </c>
      <c r="F2556" s="176">
        <v>4000</v>
      </c>
      <c r="G2556" s="177">
        <f>Tabla19[[#This Row],[Importe]]-Tabla19[[#This Row],[Pagado]]</f>
        <v>0</v>
      </c>
      <c r="H2556" s="75" t="s">
        <v>10</v>
      </c>
    </row>
    <row r="2557" spans="1:8" x14ac:dyDescent="0.25">
      <c r="A2557" s="148">
        <v>44798</v>
      </c>
      <c r="B2557" s="149" t="s">
        <v>27315</v>
      </c>
      <c r="C2557" s="153" t="s">
        <v>67</v>
      </c>
      <c r="D2557" s="178">
        <v>2026.9</v>
      </c>
      <c r="E2557" s="155">
        <v>44798</v>
      </c>
      <c r="F2557" s="178">
        <v>2026.9</v>
      </c>
      <c r="G2557" s="179">
        <f>Tabla19[[#This Row],[Importe]]-Tabla19[[#This Row],[Pagado]]</f>
        <v>0</v>
      </c>
      <c r="H2557" s="153" t="s">
        <v>10</v>
      </c>
    </row>
    <row r="2558" spans="1:8" ht="31.5" x14ac:dyDescent="0.25">
      <c r="A2558" s="73">
        <v>44798</v>
      </c>
      <c r="B2558" s="74" t="s">
        <v>27316</v>
      </c>
      <c r="C2558" s="75" t="s">
        <v>99</v>
      </c>
      <c r="D2558" s="176">
        <v>7179.3</v>
      </c>
      <c r="E2558" s="147" t="s">
        <v>27317</v>
      </c>
      <c r="F2558" s="176">
        <f>2000+5179.3</f>
        <v>7179.3</v>
      </c>
      <c r="G2558" s="177">
        <f>Tabla19[[#This Row],[Importe]]-Tabla19[[#This Row],[Pagado]]</f>
        <v>0</v>
      </c>
      <c r="H2558" s="75" t="s">
        <v>10</v>
      </c>
    </row>
    <row r="2559" spans="1:8" x14ac:dyDescent="0.25">
      <c r="A2559" s="148">
        <v>44798</v>
      </c>
      <c r="B2559" s="149" t="s">
        <v>27318</v>
      </c>
      <c r="C2559" s="153" t="s">
        <v>1174</v>
      </c>
      <c r="D2559" s="178">
        <v>18240</v>
      </c>
      <c r="E2559" s="155">
        <v>44798</v>
      </c>
      <c r="F2559" s="178">
        <v>18240</v>
      </c>
      <c r="G2559" s="179">
        <f>Tabla19[[#This Row],[Importe]]-Tabla19[[#This Row],[Pagado]]</f>
        <v>0</v>
      </c>
      <c r="H2559" s="153" t="s">
        <v>10</v>
      </c>
    </row>
    <row r="2560" spans="1:8" x14ac:dyDescent="0.25">
      <c r="A2560" s="73">
        <v>44798</v>
      </c>
      <c r="B2560" s="74" t="s">
        <v>27319</v>
      </c>
      <c r="C2560" s="75" t="s">
        <v>994</v>
      </c>
      <c r="D2560" s="176">
        <v>1528.8</v>
      </c>
      <c r="E2560" s="151">
        <v>44798</v>
      </c>
      <c r="F2560" s="176">
        <v>1528.8</v>
      </c>
      <c r="G2560" s="177">
        <f>Tabla19[[#This Row],[Importe]]-Tabla19[[#This Row],[Pagado]]</f>
        <v>0</v>
      </c>
      <c r="H2560" s="75" t="s">
        <v>10</v>
      </c>
    </row>
    <row r="2561" spans="1:8" x14ac:dyDescent="0.25">
      <c r="A2561" s="148">
        <v>44798</v>
      </c>
      <c r="B2561" s="149" t="s">
        <v>27320</v>
      </c>
      <c r="C2561" s="153" t="s">
        <v>9</v>
      </c>
      <c r="D2561" s="178">
        <v>4312.5</v>
      </c>
      <c r="E2561" s="155">
        <v>44798</v>
      </c>
      <c r="F2561" s="178">
        <v>4312.5</v>
      </c>
      <c r="G2561" s="179">
        <f>Tabla19[[#This Row],[Importe]]-Tabla19[[#This Row],[Pagado]]</f>
        <v>0</v>
      </c>
      <c r="H2561" s="153" t="s">
        <v>10</v>
      </c>
    </row>
    <row r="2562" spans="1:8" x14ac:dyDescent="0.25">
      <c r="A2562" s="73">
        <v>44798</v>
      </c>
      <c r="B2562" s="74" t="s">
        <v>27321</v>
      </c>
      <c r="C2562" s="75" t="s">
        <v>2020</v>
      </c>
      <c r="D2562" s="176">
        <v>20150</v>
      </c>
      <c r="E2562" s="151">
        <v>44798</v>
      </c>
      <c r="F2562" s="176">
        <v>20150</v>
      </c>
      <c r="G2562" s="177">
        <f>Tabla19[[#This Row],[Importe]]-Tabla19[[#This Row],[Pagado]]</f>
        <v>0</v>
      </c>
      <c r="H2562" s="75" t="s">
        <v>10</v>
      </c>
    </row>
    <row r="2563" spans="1:8" x14ac:dyDescent="0.25">
      <c r="A2563" s="148">
        <v>44798</v>
      </c>
      <c r="B2563" s="149" t="s">
        <v>27322</v>
      </c>
      <c r="C2563" s="153" t="s">
        <v>612</v>
      </c>
      <c r="D2563" s="178">
        <v>510</v>
      </c>
      <c r="E2563" s="155">
        <v>44798</v>
      </c>
      <c r="F2563" s="178">
        <v>510</v>
      </c>
      <c r="G2563" s="179">
        <f>Tabla19[[#This Row],[Importe]]-Tabla19[[#This Row],[Pagado]]</f>
        <v>0</v>
      </c>
      <c r="H2563" s="153" t="s">
        <v>10</v>
      </c>
    </row>
    <row r="2564" spans="1:8" x14ac:dyDescent="0.25">
      <c r="A2564" s="73">
        <v>44798</v>
      </c>
      <c r="B2564" s="74" t="s">
        <v>27323</v>
      </c>
      <c r="C2564" s="75" t="s">
        <v>6112</v>
      </c>
      <c r="D2564" s="176">
        <v>5855</v>
      </c>
      <c r="E2564" s="151">
        <v>44798</v>
      </c>
      <c r="F2564" s="176">
        <v>5855</v>
      </c>
      <c r="G2564" s="177">
        <f>Tabla19[[#This Row],[Importe]]-Tabla19[[#This Row],[Pagado]]</f>
        <v>0</v>
      </c>
      <c r="H2564" s="75" t="s">
        <v>10</v>
      </c>
    </row>
    <row r="2565" spans="1:8" x14ac:dyDescent="0.25">
      <c r="A2565" s="148">
        <v>44798</v>
      </c>
      <c r="B2565" s="149" t="s">
        <v>27324</v>
      </c>
      <c r="C2565" s="153" t="s">
        <v>654</v>
      </c>
      <c r="D2565" s="178">
        <v>847</v>
      </c>
      <c r="E2565" s="155">
        <v>44798</v>
      </c>
      <c r="F2565" s="178">
        <v>847</v>
      </c>
      <c r="G2565" s="179">
        <f>Tabla19[[#This Row],[Importe]]-Tabla19[[#This Row],[Pagado]]</f>
        <v>0</v>
      </c>
      <c r="H2565" s="153" t="s">
        <v>10</v>
      </c>
    </row>
    <row r="2566" spans="1:8" x14ac:dyDescent="0.25">
      <c r="A2566" s="73">
        <v>44798</v>
      </c>
      <c r="B2566" s="74" t="s">
        <v>27325</v>
      </c>
      <c r="C2566" s="75" t="s">
        <v>31</v>
      </c>
      <c r="D2566" s="176">
        <v>116</v>
      </c>
      <c r="E2566" s="151">
        <v>44798</v>
      </c>
      <c r="F2566" s="176">
        <v>116</v>
      </c>
      <c r="G2566" s="177">
        <f>Tabla19[[#This Row],[Importe]]-Tabla19[[#This Row],[Pagado]]</f>
        <v>0</v>
      </c>
      <c r="H2566" s="75" t="s">
        <v>10</v>
      </c>
    </row>
    <row r="2567" spans="1:8" x14ac:dyDescent="0.25">
      <c r="A2567" s="148">
        <v>44798</v>
      </c>
      <c r="B2567" s="149" t="s">
        <v>27326</v>
      </c>
      <c r="C2567" s="153" t="s">
        <v>56</v>
      </c>
      <c r="D2567" s="178">
        <v>6528.9</v>
      </c>
      <c r="E2567" s="155">
        <v>44798</v>
      </c>
      <c r="F2567" s="178">
        <v>6528.9</v>
      </c>
      <c r="G2567" s="179">
        <f>Tabla19[[#This Row],[Importe]]-Tabla19[[#This Row],[Pagado]]</f>
        <v>0</v>
      </c>
      <c r="H2567" s="153" t="s">
        <v>10</v>
      </c>
    </row>
    <row r="2568" spans="1:8" x14ac:dyDescent="0.25">
      <c r="A2568" s="73">
        <v>44798</v>
      </c>
      <c r="B2568" s="74" t="s">
        <v>27327</v>
      </c>
      <c r="C2568" s="75" t="s">
        <v>450</v>
      </c>
      <c r="D2568" s="176">
        <v>8095.6</v>
      </c>
      <c r="E2568" s="151">
        <v>44798</v>
      </c>
      <c r="F2568" s="176">
        <v>8095.6</v>
      </c>
      <c r="G2568" s="177">
        <f>Tabla19[[#This Row],[Importe]]-Tabla19[[#This Row],[Pagado]]</f>
        <v>0</v>
      </c>
      <c r="H2568" s="75" t="s">
        <v>10</v>
      </c>
    </row>
    <row r="2569" spans="1:8" x14ac:dyDescent="0.25">
      <c r="A2569" s="148">
        <v>44798</v>
      </c>
      <c r="B2569" s="149" t="s">
        <v>27328</v>
      </c>
      <c r="C2569" s="153" t="s">
        <v>24</v>
      </c>
      <c r="D2569" s="178">
        <v>1859</v>
      </c>
      <c r="E2569" s="155">
        <v>44798</v>
      </c>
      <c r="F2569" s="178">
        <v>1859</v>
      </c>
      <c r="G2569" s="179">
        <f>Tabla19[[#This Row],[Importe]]-Tabla19[[#This Row],[Pagado]]</f>
        <v>0</v>
      </c>
      <c r="H2569" s="153" t="s">
        <v>10</v>
      </c>
    </row>
    <row r="2570" spans="1:8" x14ac:dyDescent="0.25">
      <c r="A2570" s="73">
        <v>44798</v>
      </c>
      <c r="B2570" s="74" t="s">
        <v>27329</v>
      </c>
      <c r="C2570" s="75" t="s">
        <v>275</v>
      </c>
      <c r="D2570" s="176">
        <v>39851.4</v>
      </c>
      <c r="E2570" s="151" t="s">
        <v>4813</v>
      </c>
      <c r="F2570" s="176">
        <v>0</v>
      </c>
      <c r="G2570" s="177">
        <f>Tabla19[[#This Row],[Importe]]-Tabla19[[#This Row],[Pagado]]</f>
        <v>39851.4</v>
      </c>
      <c r="H2570" s="75" t="s">
        <v>4814</v>
      </c>
    </row>
    <row r="2571" spans="1:8" x14ac:dyDescent="0.25">
      <c r="A2571" s="148">
        <v>44798</v>
      </c>
      <c r="B2571" s="149" t="s">
        <v>27330</v>
      </c>
      <c r="C2571" s="153" t="s">
        <v>58</v>
      </c>
      <c r="D2571" s="178">
        <v>1482</v>
      </c>
      <c r="E2571" s="155">
        <v>44798</v>
      </c>
      <c r="F2571" s="178">
        <v>1482</v>
      </c>
      <c r="G2571" s="179">
        <f>Tabla19[[#This Row],[Importe]]-Tabla19[[#This Row],[Pagado]]</f>
        <v>0</v>
      </c>
      <c r="H2571" s="153" t="s">
        <v>10</v>
      </c>
    </row>
    <row r="2572" spans="1:8" x14ac:dyDescent="0.25">
      <c r="A2572" s="73">
        <v>44798</v>
      </c>
      <c r="B2572" s="74" t="s">
        <v>27331</v>
      </c>
      <c r="C2572" s="75" t="s">
        <v>196</v>
      </c>
      <c r="D2572" s="176">
        <v>137590.51999999999</v>
      </c>
      <c r="E2572" s="151">
        <v>44799</v>
      </c>
      <c r="F2572" s="176">
        <v>137590.51999999999</v>
      </c>
      <c r="G2572" s="177">
        <f>Tabla19[[#This Row],[Importe]]-Tabla19[[#This Row],[Pagado]]</f>
        <v>0</v>
      </c>
      <c r="H2572" s="75" t="s">
        <v>10</v>
      </c>
    </row>
    <row r="2573" spans="1:8" x14ac:dyDescent="0.25">
      <c r="A2573" s="148">
        <v>44798</v>
      </c>
      <c r="B2573" s="149" t="s">
        <v>27332</v>
      </c>
      <c r="C2573" s="153" t="s">
        <v>10678</v>
      </c>
      <c r="D2573" s="178">
        <v>5285.8</v>
      </c>
      <c r="E2573" s="155">
        <v>44798</v>
      </c>
      <c r="F2573" s="178">
        <v>5285.8</v>
      </c>
      <c r="G2573" s="179">
        <f>Tabla19[[#This Row],[Importe]]-Tabla19[[#This Row],[Pagado]]</f>
        <v>0</v>
      </c>
      <c r="H2573" s="153" t="s">
        <v>10</v>
      </c>
    </row>
    <row r="2574" spans="1:8" x14ac:dyDescent="0.25">
      <c r="A2574" s="73">
        <v>44798</v>
      </c>
      <c r="B2574" s="74" t="s">
        <v>27333</v>
      </c>
      <c r="C2574" s="75" t="s">
        <v>31</v>
      </c>
      <c r="D2574" s="176">
        <v>4377.6000000000004</v>
      </c>
      <c r="E2574" s="151">
        <v>44798</v>
      </c>
      <c r="F2574" s="176">
        <v>4377.6000000000004</v>
      </c>
      <c r="G2574" s="177">
        <f>Tabla19[[#This Row],[Importe]]-Tabla19[[#This Row],[Pagado]]</f>
        <v>0</v>
      </c>
      <c r="H2574" s="75" t="s">
        <v>10</v>
      </c>
    </row>
    <row r="2575" spans="1:8" x14ac:dyDescent="0.25">
      <c r="A2575" s="148">
        <v>44798</v>
      </c>
      <c r="B2575" s="149" t="s">
        <v>27334</v>
      </c>
      <c r="C2575" s="153" t="s">
        <v>9993</v>
      </c>
      <c r="D2575" s="178">
        <v>38739.599999999999</v>
      </c>
      <c r="E2575" s="155">
        <v>44798</v>
      </c>
      <c r="F2575" s="178">
        <v>38739.599999999999</v>
      </c>
      <c r="G2575" s="179">
        <f>Tabla19[[#This Row],[Importe]]-Tabla19[[#This Row],[Pagado]]</f>
        <v>0</v>
      </c>
      <c r="H2575" s="153" t="s">
        <v>10</v>
      </c>
    </row>
    <row r="2576" spans="1:8" x14ac:dyDescent="0.25">
      <c r="A2576" s="73">
        <v>44798</v>
      </c>
      <c r="B2576" s="74" t="s">
        <v>27335</v>
      </c>
      <c r="C2576" s="75" t="s">
        <v>31</v>
      </c>
      <c r="D2576" s="176">
        <v>6108</v>
      </c>
      <c r="E2576" s="151">
        <v>44798</v>
      </c>
      <c r="F2576" s="176">
        <v>6108</v>
      </c>
      <c r="G2576" s="177">
        <f>Tabla19[[#This Row],[Importe]]-Tabla19[[#This Row],[Pagado]]</f>
        <v>0</v>
      </c>
      <c r="H2576" s="75" t="s">
        <v>10</v>
      </c>
    </row>
    <row r="2577" spans="1:8" x14ac:dyDescent="0.25">
      <c r="A2577" s="148">
        <v>44798</v>
      </c>
      <c r="B2577" s="149" t="s">
        <v>27336</v>
      </c>
      <c r="C2577" s="153" t="s">
        <v>934</v>
      </c>
      <c r="D2577" s="178">
        <v>8131</v>
      </c>
      <c r="E2577" s="155">
        <v>44799</v>
      </c>
      <c r="F2577" s="178">
        <v>8131</v>
      </c>
      <c r="G2577" s="179">
        <f>Tabla19[[#This Row],[Importe]]-Tabla19[[#This Row],[Pagado]]</f>
        <v>0</v>
      </c>
      <c r="H2577" s="153" t="s">
        <v>10</v>
      </c>
    </row>
    <row r="2578" spans="1:8" x14ac:dyDescent="0.25">
      <c r="A2578" s="73">
        <v>44798</v>
      </c>
      <c r="B2578" s="74" t="s">
        <v>27337</v>
      </c>
      <c r="C2578" s="75" t="s">
        <v>9993</v>
      </c>
      <c r="D2578" s="176">
        <v>9277.2000000000007</v>
      </c>
      <c r="E2578" s="151">
        <v>44798</v>
      </c>
      <c r="F2578" s="176">
        <v>9277.2000000000007</v>
      </c>
      <c r="G2578" s="177">
        <f>Tabla19[[#This Row],[Importe]]-Tabla19[[#This Row],[Pagado]]</f>
        <v>0</v>
      </c>
      <c r="H2578" s="75" t="s">
        <v>10</v>
      </c>
    </row>
    <row r="2579" spans="1:8" x14ac:dyDescent="0.25">
      <c r="A2579" s="148">
        <v>44798</v>
      </c>
      <c r="B2579" s="149" t="s">
        <v>27338</v>
      </c>
      <c r="C2579" s="153" t="s">
        <v>365</v>
      </c>
      <c r="D2579" s="178">
        <v>1203.5999999999999</v>
      </c>
      <c r="E2579" s="155">
        <v>44798</v>
      </c>
      <c r="F2579" s="178">
        <v>1203.5999999999999</v>
      </c>
      <c r="G2579" s="179">
        <f>Tabla19[[#This Row],[Importe]]-Tabla19[[#This Row],[Pagado]]</f>
        <v>0</v>
      </c>
      <c r="H2579" s="153" t="s">
        <v>10</v>
      </c>
    </row>
    <row r="2580" spans="1:8" x14ac:dyDescent="0.25">
      <c r="A2580" s="73">
        <v>44798</v>
      </c>
      <c r="B2580" s="74" t="s">
        <v>27339</v>
      </c>
      <c r="C2580" s="75" t="s">
        <v>31</v>
      </c>
      <c r="D2580" s="176">
        <v>132</v>
      </c>
      <c r="E2580" s="151">
        <v>44798</v>
      </c>
      <c r="F2580" s="176">
        <v>132</v>
      </c>
      <c r="G2580" s="177">
        <f>Tabla19[[#This Row],[Importe]]-Tabla19[[#This Row],[Pagado]]</f>
        <v>0</v>
      </c>
      <c r="H2580" s="75" t="s">
        <v>10</v>
      </c>
    </row>
    <row r="2581" spans="1:8" x14ac:dyDescent="0.25">
      <c r="A2581" s="148">
        <v>44798</v>
      </c>
      <c r="B2581" s="149" t="s">
        <v>27340</v>
      </c>
      <c r="C2581" s="153" t="s">
        <v>9993</v>
      </c>
      <c r="D2581" s="178">
        <v>2678.4</v>
      </c>
      <c r="E2581" s="155">
        <v>44798</v>
      </c>
      <c r="F2581" s="178">
        <v>2678.4</v>
      </c>
      <c r="G2581" s="179">
        <f>Tabla19[[#This Row],[Importe]]-Tabla19[[#This Row],[Pagado]]</f>
        <v>0</v>
      </c>
      <c r="H2581" s="153" t="s">
        <v>10</v>
      </c>
    </row>
    <row r="2582" spans="1:8" x14ac:dyDescent="0.25">
      <c r="A2582" s="73">
        <v>44798</v>
      </c>
      <c r="B2582" s="74" t="s">
        <v>27341</v>
      </c>
      <c r="C2582" s="75" t="s">
        <v>454</v>
      </c>
      <c r="D2582" s="176">
        <v>2400</v>
      </c>
      <c r="E2582" s="151">
        <v>44798</v>
      </c>
      <c r="F2582" s="176">
        <v>2400</v>
      </c>
      <c r="G2582" s="177">
        <f>Tabla19[[#This Row],[Importe]]-Tabla19[[#This Row],[Pagado]]</f>
        <v>0</v>
      </c>
      <c r="H2582" s="75" t="s">
        <v>10</v>
      </c>
    </row>
    <row r="2583" spans="1:8" x14ac:dyDescent="0.25">
      <c r="A2583" s="148">
        <v>44798</v>
      </c>
      <c r="B2583" s="149" t="s">
        <v>27342</v>
      </c>
      <c r="C2583" s="153" t="s">
        <v>31</v>
      </c>
      <c r="D2583" s="178">
        <v>976</v>
      </c>
      <c r="E2583" s="155">
        <v>44798</v>
      </c>
      <c r="F2583" s="178">
        <v>976</v>
      </c>
      <c r="G2583" s="179">
        <f>Tabla19[[#This Row],[Importe]]-Tabla19[[#This Row],[Pagado]]</f>
        <v>0</v>
      </c>
      <c r="H2583" s="153" t="s">
        <v>10</v>
      </c>
    </row>
    <row r="2584" spans="1:8" x14ac:dyDescent="0.25">
      <c r="A2584" s="73">
        <v>44798</v>
      </c>
      <c r="B2584" s="74" t="s">
        <v>27343</v>
      </c>
      <c r="C2584" s="75" t="s">
        <v>442</v>
      </c>
      <c r="D2584" s="176">
        <v>5850</v>
      </c>
      <c r="E2584" s="151">
        <v>44798</v>
      </c>
      <c r="F2584" s="176">
        <v>5850</v>
      </c>
      <c r="G2584" s="177">
        <f>Tabla19[[#This Row],[Importe]]-Tabla19[[#This Row],[Pagado]]</f>
        <v>0</v>
      </c>
      <c r="H2584" s="75" t="s">
        <v>10</v>
      </c>
    </row>
    <row r="2585" spans="1:8" x14ac:dyDescent="0.25">
      <c r="A2585" s="148">
        <v>44798</v>
      </c>
      <c r="B2585" s="149" t="s">
        <v>27344</v>
      </c>
      <c r="C2585" s="153" t="s">
        <v>729</v>
      </c>
      <c r="D2585" s="178">
        <v>27067.599999999999</v>
      </c>
      <c r="E2585" s="155">
        <v>44799</v>
      </c>
      <c r="F2585" s="178">
        <v>27067.599999999999</v>
      </c>
      <c r="G2585" s="179">
        <f>Tabla19[[#This Row],[Importe]]-Tabla19[[#This Row],[Pagado]]</f>
        <v>0</v>
      </c>
      <c r="H2585" s="153" t="s">
        <v>10</v>
      </c>
    </row>
    <row r="2586" spans="1:8" x14ac:dyDescent="0.25">
      <c r="A2586" s="73">
        <v>44798</v>
      </c>
      <c r="B2586" s="74" t="s">
        <v>27345</v>
      </c>
      <c r="C2586" s="75" t="s">
        <v>10775</v>
      </c>
      <c r="D2586" s="176">
        <v>0</v>
      </c>
      <c r="E2586" s="157" t="s">
        <v>189</v>
      </c>
      <c r="F2586" s="176">
        <v>0</v>
      </c>
      <c r="G2586" s="177">
        <f>Tabla19[[#This Row],[Importe]]-Tabla19[[#This Row],[Pagado]]</f>
        <v>0</v>
      </c>
      <c r="H2586" s="75" t="s">
        <v>189</v>
      </c>
    </row>
    <row r="2587" spans="1:8" x14ac:dyDescent="0.25">
      <c r="A2587" s="148">
        <v>44798</v>
      </c>
      <c r="B2587" s="149" t="s">
        <v>27346</v>
      </c>
      <c r="C2587" s="153" t="s">
        <v>414</v>
      </c>
      <c r="D2587" s="178">
        <v>143856.4</v>
      </c>
      <c r="E2587" s="155" t="s">
        <v>27347</v>
      </c>
      <c r="F2587" s="178">
        <v>0</v>
      </c>
      <c r="G2587" s="179">
        <f>Tabla19[[#This Row],[Importe]]-Tabla19[[#This Row],[Pagado]]</f>
        <v>143856.4</v>
      </c>
      <c r="H2587" s="153" t="s">
        <v>4814</v>
      </c>
    </row>
    <row r="2588" spans="1:8" x14ac:dyDescent="0.25">
      <c r="A2588" s="73">
        <v>44798</v>
      </c>
      <c r="B2588" s="74" t="s">
        <v>27348</v>
      </c>
      <c r="C2588" s="75" t="s">
        <v>31</v>
      </c>
      <c r="D2588" s="176">
        <v>50</v>
      </c>
      <c r="E2588" s="151">
        <v>44799</v>
      </c>
      <c r="F2588" s="176">
        <v>50</v>
      </c>
      <c r="G2588" s="177">
        <f>Tabla19[[#This Row],[Importe]]-Tabla19[[#This Row],[Pagado]]</f>
        <v>0</v>
      </c>
      <c r="H2588" s="75" t="s">
        <v>10</v>
      </c>
    </row>
    <row r="2589" spans="1:8" x14ac:dyDescent="0.25">
      <c r="A2589" s="148">
        <v>44799</v>
      </c>
      <c r="B2589" s="149" t="s">
        <v>27349</v>
      </c>
      <c r="C2589" s="153" t="s">
        <v>887</v>
      </c>
      <c r="D2589" s="178">
        <v>13979.9</v>
      </c>
      <c r="E2589" s="155">
        <v>44799</v>
      </c>
      <c r="F2589" s="178">
        <v>13979.9</v>
      </c>
      <c r="G2589" s="179">
        <f>Tabla19[[#This Row],[Importe]]-Tabla19[[#This Row],[Pagado]]</f>
        <v>0</v>
      </c>
      <c r="H2589" s="153" t="s">
        <v>10</v>
      </c>
    </row>
    <row r="2590" spans="1:8" x14ac:dyDescent="0.25">
      <c r="A2590" s="73">
        <v>44799</v>
      </c>
      <c r="B2590" s="74" t="s">
        <v>27350</v>
      </c>
      <c r="C2590" s="75" t="s">
        <v>475</v>
      </c>
      <c r="D2590" s="176">
        <v>60145.5</v>
      </c>
      <c r="E2590" s="151">
        <v>44800</v>
      </c>
      <c r="F2590" s="176">
        <v>60145.5</v>
      </c>
      <c r="G2590" s="177">
        <f>Tabla19[[#This Row],[Importe]]-Tabla19[[#This Row],[Pagado]]</f>
        <v>0</v>
      </c>
      <c r="H2590" s="75" t="s">
        <v>10</v>
      </c>
    </row>
    <row r="2591" spans="1:8" x14ac:dyDescent="0.25">
      <c r="A2591" s="148">
        <v>44799</v>
      </c>
      <c r="B2591" s="149" t="s">
        <v>27351</v>
      </c>
      <c r="C2591" s="153" t="s">
        <v>12</v>
      </c>
      <c r="D2591" s="178">
        <v>21089</v>
      </c>
      <c r="E2591" s="155">
        <v>44799</v>
      </c>
      <c r="F2591" s="178">
        <v>21089</v>
      </c>
      <c r="G2591" s="179">
        <f>Tabla19[[#This Row],[Importe]]-Tabla19[[#This Row],[Pagado]]</f>
        <v>0</v>
      </c>
      <c r="H2591" s="153" t="s">
        <v>10</v>
      </c>
    </row>
    <row r="2592" spans="1:8" x14ac:dyDescent="0.25">
      <c r="A2592" s="73">
        <v>44799</v>
      </c>
      <c r="B2592" s="74" t="s">
        <v>27352</v>
      </c>
      <c r="C2592" s="75" t="s">
        <v>109</v>
      </c>
      <c r="D2592" s="176">
        <v>4989.6000000000004</v>
      </c>
      <c r="E2592" s="151">
        <v>44800</v>
      </c>
      <c r="F2592" s="176">
        <v>4989.6000000000004</v>
      </c>
      <c r="G2592" s="177">
        <f>Tabla19[[#This Row],[Importe]]-Tabla19[[#This Row],[Pagado]]</f>
        <v>0</v>
      </c>
      <c r="H2592" s="75" t="s">
        <v>10</v>
      </c>
    </row>
    <row r="2593" spans="1:8" x14ac:dyDescent="0.25">
      <c r="A2593" s="148">
        <v>44799</v>
      </c>
      <c r="B2593" s="149" t="s">
        <v>27353</v>
      </c>
      <c r="C2593" s="153" t="s">
        <v>348</v>
      </c>
      <c r="D2593" s="178">
        <v>9591.2000000000007</v>
      </c>
      <c r="E2593" s="155">
        <v>44799</v>
      </c>
      <c r="F2593" s="178">
        <v>9591.2000000000007</v>
      </c>
      <c r="G2593" s="179">
        <f>Tabla19[[#This Row],[Importe]]-Tabla19[[#This Row],[Pagado]]</f>
        <v>0</v>
      </c>
      <c r="H2593" s="153" t="s">
        <v>10</v>
      </c>
    </row>
    <row r="2594" spans="1:8" x14ac:dyDescent="0.25">
      <c r="A2594" s="73">
        <v>44799</v>
      </c>
      <c r="B2594" s="74" t="s">
        <v>27354</v>
      </c>
      <c r="C2594" s="75" t="s">
        <v>5043</v>
      </c>
      <c r="D2594" s="176">
        <v>5102.5</v>
      </c>
      <c r="E2594" s="151">
        <v>44802</v>
      </c>
      <c r="F2594" s="176">
        <v>5102.5</v>
      </c>
      <c r="G2594" s="177">
        <f>Tabla19[[#This Row],[Importe]]-Tabla19[[#This Row],[Pagado]]</f>
        <v>0</v>
      </c>
      <c r="H2594" s="75" t="s">
        <v>10</v>
      </c>
    </row>
    <row r="2595" spans="1:8" x14ac:dyDescent="0.25">
      <c r="A2595" s="148">
        <v>44799</v>
      </c>
      <c r="B2595" s="149" t="s">
        <v>27355</v>
      </c>
      <c r="C2595" s="153" t="s">
        <v>407</v>
      </c>
      <c r="D2595" s="178">
        <v>23606</v>
      </c>
      <c r="E2595" s="155" t="s">
        <v>4813</v>
      </c>
      <c r="F2595" s="178">
        <v>0</v>
      </c>
      <c r="G2595" s="179">
        <f>Tabla19[[#This Row],[Importe]]-Tabla19[[#This Row],[Pagado]]</f>
        <v>23606</v>
      </c>
      <c r="H2595" s="153" t="s">
        <v>4814</v>
      </c>
    </row>
    <row r="2596" spans="1:8" x14ac:dyDescent="0.25">
      <c r="A2596" s="73">
        <v>44799</v>
      </c>
      <c r="B2596" s="74" t="s">
        <v>27356</v>
      </c>
      <c r="C2596" s="75" t="s">
        <v>105</v>
      </c>
      <c r="D2596" s="176">
        <v>7344.9</v>
      </c>
      <c r="E2596" s="151">
        <v>44800</v>
      </c>
      <c r="F2596" s="176">
        <v>7344.9</v>
      </c>
      <c r="G2596" s="177">
        <f>Tabla19[[#This Row],[Importe]]-Tabla19[[#This Row],[Pagado]]</f>
        <v>0</v>
      </c>
      <c r="H2596" s="75" t="s">
        <v>10</v>
      </c>
    </row>
    <row r="2597" spans="1:8" x14ac:dyDescent="0.25">
      <c r="A2597" s="148">
        <v>44799</v>
      </c>
      <c r="B2597" s="149" t="s">
        <v>27357</v>
      </c>
      <c r="C2597" s="153" t="s">
        <v>64</v>
      </c>
      <c r="D2597" s="178">
        <v>4790.5</v>
      </c>
      <c r="E2597" s="155">
        <v>44800</v>
      </c>
      <c r="F2597" s="178">
        <v>4790.5</v>
      </c>
      <c r="G2597" s="179">
        <f>Tabla19[[#This Row],[Importe]]-Tabla19[[#This Row],[Pagado]]</f>
        <v>0</v>
      </c>
      <c r="H2597" s="153" t="s">
        <v>10</v>
      </c>
    </row>
    <row r="2598" spans="1:8" x14ac:dyDescent="0.25">
      <c r="A2598" s="73">
        <v>44799</v>
      </c>
      <c r="B2598" s="74" t="s">
        <v>27358</v>
      </c>
      <c r="C2598" s="75" t="s">
        <v>2151</v>
      </c>
      <c r="D2598" s="176">
        <v>24027.599999999999</v>
      </c>
      <c r="E2598" s="151">
        <v>44799</v>
      </c>
      <c r="F2598" s="176">
        <v>24027.599999999999</v>
      </c>
      <c r="G2598" s="177">
        <f>Tabla19[[#This Row],[Importe]]-Tabla19[[#This Row],[Pagado]]</f>
        <v>0</v>
      </c>
      <c r="H2598" s="75" t="s">
        <v>10</v>
      </c>
    </row>
    <row r="2599" spans="1:8" x14ac:dyDescent="0.25">
      <c r="A2599" s="148">
        <v>44799</v>
      </c>
      <c r="B2599" s="149" t="s">
        <v>27359</v>
      </c>
      <c r="C2599" s="153" t="s">
        <v>22</v>
      </c>
      <c r="D2599" s="178">
        <v>43776.7</v>
      </c>
      <c r="E2599" s="155">
        <v>44800</v>
      </c>
      <c r="F2599" s="178">
        <v>43776.7</v>
      </c>
      <c r="G2599" s="179">
        <f>Tabla19[[#This Row],[Importe]]-Tabla19[[#This Row],[Pagado]]</f>
        <v>0</v>
      </c>
      <c r="H2599" s="153" t="s">
        <v>10</v>
      </c>
    </row>
    <row r="2600" spans="1:8" x14ac:dyDescent="0.25">
      <c r="A2600" s="73">
        <v>44799</v>
      </c>
      <c r="B2600" s="74" t="s">
        <v>27360</v>
      </c>
      <c r="C2600" s="75" t="s">
        <v>93</v>
      </c>
      <c r="D2600" s="176">
        <v>10037.6</v>
      </c>
      <c r="E2600" s="151">
        <v>44802</v>
      </c>
      <c r="F2600" s="176">
        <v>10037.6</v>
      </c>
      <c r="G2600" s="177">
        <f>Tabla19[[#This Row],[Importe]]-Tabla19[[#This Row],[Pagado]]</f>
        <v>0</v>
      </c>
      <c r="H2600" s="75" t="s">
        <v>10</v>
      </c>
    </row>
    <row r="2601" spans="1:8" x14ac:dyDescent="0.25">
      <c r="A2601" s="148">
        <v>44799</v>
      </c>
      <c r="B2601" s="149" t="s">
        <v>27361</v>
      </c>
      <c r="C2601" s="153" t="s">
        <v>647</v>
      </c>
      <c r="D2601" s="178">
        <v>5066.8999999999996</v>
      </c>
      <c r="E2601" s="155">
        <v>44799</v>
      </c>
      <c r="F2601" s="178">
        <v>5066.8999999999996</v>
      </c>
      <c r="G2601" s="179">
        <f>Tabla19[[#This Row],[Importe]]-Tabla19[[#This Row],[Pagado]]</f>
        <v>0</v>
      </c>
      <c r="H2601" s="153" t="s">
        <v>10</v>
      </c>
    </row>
    <row r="2602" spans="1:8" x14ac:dyDescent="0.25">
      <c r="A2602" s="73">
        <v>44799</v>
      </c>
      <c r="B2602" s="74" t="s">
        <v>27362</v>
      </c>
      <c r="C2602" s="75" t="s">
        <v>89</v>
      </c>
      <c r="D2602" s="176">
        <v>4292.1000000000004</v>
      </c>
      <c r="E2602" s="151">
        <v>44800</v>
      </c>
      <c r="F2602" s="176">
        <v>4292.1000000000004</v>
      </c>
      <c r="G2602" s="177">
        <f>Tabla19[[#This Row],[Importe]]-Tabla19[[#This Row],[Pagado]]</f>
        <v>0</v>
      </c>
      <c r="H2602" s="75" t="s">
        <v>10</v>
      </c>
    </row>
    <row r="2603" spans="1:8" x14ac:dyDescent="0.25">
      <c r="A2603" s="148">
        <v>44799</v>
      </c>
      <c r="B2603" s="149" t="s">
        <v>27363</v>
      </c>
      <c r="C2603" s="153" t="s">
        <v>481</v>
      </c>
      <c r="D2603" s="178">
        <v>1057</v>
      </c>
      <c r="E2603" s="155">
        <v>44799</v>
      </c>
      <c r="F2603" s="178">
        <v>1057</v>
      </c>
      <c r="G2603" s="179">
        <f>Tabla19[[#This Row],[Importe]]-Tabla19[[#This Row],[Pagado]]</f>
        <v>0</v>
      </c>
      <c r="H2603" s="153" t="s">
        <v>10</v>
      </c>
    </row>
    <row r="2604" spans="1:8" x14ac:dyDescent="0.25">
      <c r="A2604" s="73">
        <v>44799</v>
      </c>
      <c r="B2604" s="74" t="s">
        <v>27364</v>
      </c>
      <c r="C2604" s="75" t="s">
        <v>114</v>
      </c>
      <c r="D2604" s="176">
        <v>12886.9</v>
      </c>
      <c r="E2604" s="151">
        <v>44800</v>
      </c>
      <c r="F2604" s="176">
        <v>12886.9</v>
      </c>
      <c r="G2604" s="177">
        <f>Tabla19[[#This Row],[Importe]]-Tabla19[[#This Row],[Pagado]]</f>
        <v>0</v>
      </c>
      <c r="H2604" s="75" t="s">
        <v>10</v>
      </c>
    </row>
    <row r="2605" spans="1:8" x14ac:dyDescent="0.25">
      <c r="A2605" s="148">
        <v>44799</v>
      </c>
      <c r="B2605" s="149" t="s">
        <v>27365</v>
      </c>
      <c r="C2605" s="153" t="s">
        <v>9</v>
      </c>
      <c r="D2605" s="178">
        <v>6686.7</v>
      </c>
      <c r="E2605" s="155">
        <v>44799</v>
      </c>
      <c r="F2605" s="178">
        <v>6686.7</v>
      </c>
      <c r="G2605" s="179">
        <f>Tabla19[[#This Row],[Importe]]-Tabla19[[#This Row],[Pagado]]</f>
        <v>0</v>
      </c>
      <c r="H2605" s="153" t="s">
        <v>10</v>
      </c>
    </row>
    <row r="2606" spans="1:8" x14ac:dyDescent="0.25">
      <c r="A2606" s="73">
        <v>44799</v>
      </c>
      <c r="B2606" s="74" t="s">
        <v>27366</v>
      </c>
      <c r="C2606" s="75" t="s">
        <v>1187</v>
      </c>
      <c r="D2606" s="176">
        <v>2444.9</v>
      </c>
      <c r="E2606" s="151">
        <v>44799</v>
      </c>
      <c r="F2606" s="176">
        <v>2444.9</v>
      </c>
      <c r="G2606" s="177">
        <f>Tabla19[[#This Row],[Importe]]-Tabla19[[#This Row],[Pagado]]</f>
        <v>0</v>
      </c>
      <c r="H2606" s="75" t="s">
        <v>10</v>
      </c>
    </row>
    <row r="2607" spans="1:8" x14ac:dyDescent="0.25">
      <c r="A2607" s="148">
        <v>44799</v>
      </c>
      <c r="B2607" s="149" t="s">
        <v>27367</v>
      </c>
      <c r="C2607" s="153" t="s">
        <v>218</v>
      </c>
      <c r="D2607" s="178">
        <v>27667.4</v>
      </c>
      <c r="E2607" s="155">
        <v>44803</v>
      </c>
      <c r="F2607" s="178">
        <v>27667.4</v>
      </c>
      <c r="G2607" s="179">
        <f>Tabla19[[#This Row],[Importe]]-Tabla19[[#This Row],[Pagado]]</f>
        <v>0</v>
      </c>
      <c r="H2607" s="153" t="s">
        <v>10</v>
      </c>
    </row>
    <row r="2608" spans="1:8" x14ac:dyDescent="0.25">
      <c r="A2608" s="73">
        <v>44799</v>
      </c>
      <c r="B2608" s="74" t="s">
        <v>27368</v>
      </c>
      <c r="C2608" s="75" t="s">
        <v>206</v>
      </c>
      <c r="D2608" s="176">
        <v>31987.7</v>
      </c>
      <c r="E2608" s="151">
        <v>44803</v>
      </c>
      <c r="F2608" s="176">
        <v>31987.7</v>
      </c>
      <c r="G2608" s="177">
        <f>Tabla19[[#This Row],[Importe]]-Tabla19[[#This Row],[Pagado]]</f>
        <v>0</v>
      </c>
      <c r="H2608" s="75" t="s">
        <v>10</v>
      </c>
    </row>
    <row r="2609" spans="1:8" x14ac:dyDescent="0.25">
      <c r="A2609" s="148">
        <v>44799</v>
      </c>
      <c r="B2609" s="149" t="s">
        <v>27369</v>
      </c>
      <c r="C2609" s="153" t="s">
        <v>212</v>
      </c>
      <c r="D2609" s="178">
        <v>16745</v>
      </c>
      <c r="E2609" s="155">
        <v>44804</v>
      </c>
      <c r="F2609" s="178">
        <v>16745</v>
      </c>
      <c r="G2609" s="179">
        <f>Tabla19[[#This Row],[Importe]]-Tabla19[[#This Row],[Pagado]]</f>
        <v>0</v>
      </c>
      <c r="H2609" s="153" t="s">
        <v>10</v>
      </c>
    </row>
    <row r="2610" spans="1:8" x14ac:dyDescent="0.25">
      <c r="A2610" s="73">
        <v>44799</v>
      </c>
      <c r="B2610" s="74" t="s">
        <v>27370</v>
      </c>
      <c r="C2610" s="75" t="s">
        <v>17556</v>
      </c>
      <c r="D2610" s="176">
        <v>3869</v>
      </c>
      <c r="E2610" s="151">
        <v>44799</v>
      </c>
      <c r="F2610" s="176">
        <v>3869</v>
      </c>
      <c r="G2610" s="177">
        <f>Tabla19[[#This Row],[Importe]]-Tabla19[[#This Row],[Pagado]]</f>
        <v>0</v>
      </c>
      <c r="H2610" s="75" t="s">
        <v>10</v>
      </c>
    </row>
    <row r="2611" spans="1:8" x14ac:dyDescent="0.25">
      <c r="A2611" s="148">
        <v>44799</v>
      </c>
      <c r="B2611" s="149" t="s">
        <v>27371</v>
      </c>
      <c r="C2611" s="153" t="s">
        <v>11033</v>
      </c>
      <c r="D2611" s="178">
        <v>1830</v>
      </c>
      <c r="E2611" s="155">
        <v>44799</v>
      </c>
      <c r="F2611" s="178">
        <v>1830</v>
      </c>
      <c r="G2611" s="179">
        <f>Tabla19[[#This Row],[Importe]]-Tabla19[[#This Row],[Pagado]]</f>
        <v>0</v>
      </c>
      <c r="H2611" s="153" t="s">
        <v>10</v>
      </c>
    </row>
    <row r="2612" spans="1:8" x14ac:dyDescent="0.25">
      <c r="A2612" s="73">
        <v>44799</v>
      </c>
      <c r="B2612" s="74" t="s">
        <v>27372</v>
      </c>
      <c r="C2612" s="75" t="s">
        <v>149</v>
      </c>
      <c r="D2612" s="176">
        <v>4667.2</v>
      </c>
      <c r="E2612" s="151">
        <v>44799</v>
      </c>
      <c r="F2612" s="176">
        <v>4667.2</v>
      </c>
      <c r="G2612" s="177">
        <f>Tabla19[[#This Row],[Importe]]-Tabla19[[#This Row],[Pagado]]</f>
        <v>0</v>
      </c>
      <c r="H2612" s="75" t="s">
        <v>10</v>
      </c>
    </row>
    <row r="2613" spans="1:8" x14ac:dyDescent="0.25">
      <c r="A2613" s="148">
        <v>44799</v>
      </c>
      <c r="B2613" s="149" t="s">
        <v>27373</v>
      </c>
      <c r="C2613" s="153" t="s">
        <v>27</v>
      </c>
      <c r="D2613" s="178">
        <v>1591.8</v>
      </c>
      <c r="E2613" s="155">
        <v>44799</v>
      </c>
      <c r="F2613" s="178">
        <v>1591.8</v>
      </c>
      <c r="G2613" s="179">
        <f>Tabla19[[#This Row],[Importe]]-Tabla19[[#This Row],[Pagado]]</f>
        <v>0</v>
      </c>
      <c r="H2613" s="153" t="s">
        <v>10</v>
      </c>
    </row>
    <row r="2614" spans="1:8" x14ac:dyDescent="0.25">
      <c r="A2614" s="73">
        <v>44799</v>
      </c>
      <c r="B2614" s="74" t="s">
        <v>27374</v>
      </c>
      <c r="C2614" s="75" t="s">
        <v>24</v>
      </c>
      <c r="D2614" s="176">
        <v>3962.2</v>
      </c>
      <c r="E2614" s="151">
        <v>44799</v>
      </c>
      <c r="F2614" s="176">
        <v>3962.2</v>
      </c>
      <c r="G2614" s="177">
        <f>Tabla19[[#This Row],[Importe]]-Tabla19[[#This Row],[Pagado]]</f>
        <v>0</v>
      </c>
      <c r="H2614" s="75" t="s">
        <v>10</v>
      </c>
    </row>
    <row r="2615" spans="1:8" x14ac:dyDescent="0.25">
      <c r="A2615" s="148">
        <v>44799</v>
      </c>
      <c r="B2615" s="149" t="s">
        <v>27375</v>
      </c>
      <c r="C2615" s="153" t="s">
        <v>518</v>
      </c>
      <c r="D2615" s="178">
        <v>2852.4</v>
      </c>
      <c r="E2615" s="155">
        <v>44799</v>
      </c>
      <c r="F2615" s="178">
        <v>2852.4</v>
      </c>
      <c r="G2615" s="179">
        <f>Tabla19[[#This Row],[Importe]]-Tabla19[[#This Row],[Pagado]]</f>
        <v>0</v>
      </c>
      <c r="H2615" s="153" t="s">
        <v>10</v>
      </c>
    </row>
    <row r="2616" spans="1:8" x14ac:dyDescent="0.25">
      <c r="A2616" s="73">
        <v>44799</v>
      </c>
      <c r="B2616" s="74" t="s">
        <v>27376</v>
      </c>
      <c r="C2616" s="75" t="s">
        <v>45</v>
      </c>
      <c r="D2616" s="176">
        <v>12271</v>
      </c>
      <c r="E2616" s="151">
        <v>44799</v>
      </c>
      <c r="F2616" s="176">
        <v>12271</v>
      </c>
      <c r="G2616" s="177">
        <f>Tabla19[[#This Row],[Importe]]-Tabla19[[#This Row],[Pagado]]</f>
        <v>0</v>
      </c>
      <c r="H2616" s="75" t="s">
        <v>10</v>
      </c>
    </row>
    <row r="2617" spans="1:8" x14ac:dyDescent="0.25">
      <c r="A2617" s="148">
        <v>44799</v>
      </c>
      <c r="B2617" s="149" t="s">
        <v>27377</v>
      </c>
      <c r="C2617" s="153" t="s">
        <v>83</v>
      </c>
      <c r="D2617" s="178">
        <v>9878.2000000000007</v>
      </c>
      <c r="E2617" s="155">
        <v>44799</v>
      </c>
      <c r="F2617" s="178">
        <v>9878.2000000000007</v>
      </c>
      <c r="G2617" s="179">
        <f>Tabla19[[#This Row],[Importe]]-Tabla19[[#This Row],[Pagado]]</f>
        <v>0</v>
      </c>
      <c r="H2617" s="153" t="s">
        <v>10</v>
      </c>
    </row>
    <row r="2618" spans="1:8" x14ac:dyDescent="0.25">
      <c r="A2618" s="73">
        <v>44799</v>
      </c>
      <c r="B2618" s="74" t="s">
        <v>27378</v>
      </c>
      <c r="C2618" s="75" t="s">
        <v>314</v>
      </c>
      <c r="D2618" s="176">
        <v>3909</v>
      </c>
      <c r="E2618" s="151">
        <v>44799</v>
      </c>
      <c r="F2618" s="176">
        <v>3909</v>
      </c>
      <c r="G2618" s="177">
        <f>Tabla19[[#This Row],[Importe]]-Tabla19[[#This Row],[Pagado]]</f>
        <v>0</v>
      </c>
      <c r="H2618" s="75" t="s">
        <v>10</v>
      </c>
    </row>
    <row r="2619" spans="1:8" x14ac:dyDescent="0.25">
      <c r="A2619" s="148">
        <v>44799</v>
      </c>
      <c r="B2619" s="149" t="s">
        <v>27379</v>
      </c>
      <c r="C2619" s="153" t="s">
        <v>173</v>
      </c>
      <c r="D2619" s="178">
        <v>60458</v>
      </c>
      <c r="E2619" s="155">
        <v>44799</v>
      </c>
      <c r="F2619" s="178">
        <v>60458</v>
      </c>
      <c r="G2619" s="179">
        <f>Tabla19[[#This Row],[Importe]]-Tabla19[[#This Row],[Pagado]]</f>
        <v>0</v>
      </c>
      <c r="H2619" s="153" t="s">
        <v>10</v>
      </c>
    </row>
    <row r="2620" spans="1:8" x14ac:dyDescent="0.25">
      <c r="A2620" s="73">
        <v>44799</v>
      </c>
      <c r="B2620" s="74" t="s">
        <v>27380</v>
      </c>
      <c r="C2620" s="75" t="s">
        <v>56</v>
      </c>
      <c r="D2620" s="176">
        <v>4107</v>
      </c>
      <c r="E2620" s="151">
        <v>44799</v>
      </c>
      <c r="F2620" s="176">
        <v>4107</v>
      </c>
      <c r="G2620" s="177">
        <f>Tabla19[[#This Row],[Importe]]-Tabla19[[#This Row],[Pagado]]</f>
        <v>0</v>
      </c>
      <c r="H2620" s="75" t="s">
        <v>10</v>
      </c>
    </row>
    <row r="2621" spans="1:8" x14ac:dyDescent="0.25">
      <c r="A2621" s="148">
        <v>44799</v>
      </c>
      <c r="B2621" s="149" t="s">
        <v>27381</v>
      </c>
      <c r="C2621" s="153" t="s">
        <v>37</v>
      </c>
      <c r="D2621" s="178">
        <v>3703</v>
      </c>
      <c r="E2621" s="155">
        <v>44799</v>
      </c>
      <c r="F2621" s="178">
        <v>3703</v>
      </c>
      <c r="G2621" s="179">
        <f>Tabla19[[#This Row],[Importe]]-Tabla19[[#This Row],[Pagado]]</f>
        <v>0</v>
      </c>
      <c r="H2621" s="153" t="s">
        <v>10</v>
      </c>
    </row>
    <row r="2622" spans="1:8" x14ac:dyDescent="0.25">
      <c r="A2622" s="73">
        <v>44799</v>
      </c>
      <c r="B2622" s="74" t="s">
        <v>27382</v>
      </c>
      <c r="C2622" s="75" t="s">
        <v>154</v>
      </c>
      <c r="D2622" s="176">
        <v>70539.399999999994</v>
      </c>
      <c r="E2622" s="151">
        <v>44803</v>
      </c>
      <c r="F2622" s="176">
        <v>70539.399999999994</v>
      </c>
      <c r="G2622" s="177">
        <f>Tabla19[[#This Row],[Importe]]-Tabla19[[#This Row],[Pagado]]</f>
        <v>0</v>
      </c>
      <c r="H2622" s="75" t="s">
        <v>10</v>
      </c>
    </row>
    <row r="2623" spans="1:8" x14ac:dyDescent="0.25">
      <c r="A2623" s="148">
        <v>44799</v>
      </c>
      <c r="B2623" s="149" t="s">
        <v>27383</v>
      </c>
      <c r="C2623" s="153" t="s">
        <v>849</v>
      </c>
      <c r="D2623" s="178">
        <v>5034.3999999999996</v>
      </c>
      <c r="E2623" s="155">
        <v>44799</v>
      </c>
      <c r="F2623" s="178">
        <v>5034.3999999999996</v>
      </c>
      <c r="G2623" s="179">
        <f>Tabla19[[#This Row],[Importe]]-Tabla19[[#This Row],[Pagado]]</f>
        <v>0</v>
      </c>
      <c r="H2623" s="153" t="s">
        <v>10</v>
      </c>
    </row>
    <row r="2624" spans="1:8" x14ac:dyDescent="0.25">
      <c r="A2624" s="73">
        <v>44799</v>
      </c>
      <c r="B2624" s="74" t="s">
        <v>27384</v>
      </c>
      <c r="C2624" s="75" t="s">
        <v>333</v>
      </c>
      <c r="D2624" s="176">
        <v>1427.4</v>
      </c>
      <c r="E2624" s="151">
        <v>44799</v>
      </c>
      <c r="F2624" s="176">
        <v>1427.4</v>
      </c>
      <c r="G2624" s="177">
        <f>Tabla19[[#This Row],[Importe]]-Tabla19[[#This Row],[Pagado]]</f>
        <v>0</v>
      </c>
      <c r="H2624" s="75" t="s">
        <v>10</v>
      </c>
    </row>
    <row r="2625" spans="1:8" x14ac:dyDescent="0.25">
      <c r="A2625" s="148">
        <v>44799</v>
      </c>
      <c r="B2625" s="149" t="s">
        <v>27385</v>
      </c>
      <c r="C2625" s="153" t="s">
        <v>127</v>
      </c>
      <c r="D2625" s="178">
        <v>1967</v>
      </c>
      <c r="E2625" s="155">
        <v>44799</v>
      </c>
      <c r="F2625" s="178">
        <v>1967</v>
      </c>
      <c r="G2625" s="179">
        <f>Tabla19[[#This Row],[Importe]]-Tabla19[[#This Row],[Pagado]]</f>
        <v>0</v>
      </c>
      <c r="H2625" s="153" t="s">
        <v>10</v>
      </c>
    </row>
    <row r="2626" spans="1:8" x14ac:dyDescent="0.25">
      <c r="A2626" s="73">
        <v>44799</v>
      </c>
      <c r="B2626" s="74" t="s">
        <v>27386</v>
      </c>
      <c r="C2626" s="75" t="s">
        <v>339</v>
      </c>
      <c r="D2626" s="176">
        <v>645</v>
      </c>
      <c r="E2626" s="151">
        <v>44799</v>
      </c>
      <c r="F2626" s="176">
        <v>645</v>
      </c>
      <c r="G2626" s="177">
        <f>Tabla19[[#This Row],[Importe]]-Tabla19[[#This Row],[Pagado]]</f>
        <v>0</v>
      </c>
      <c r="H2626" s="75" t="s">
        <v>10</v>
      </c>
    </row>
    <row r="2627" spans="1:8" x14ac:dyDescent="0.25">
      <c r="A2627" s="148">
        <v>44799</v>
      </c>
      <c r="B2627" s="149" t="s">
        <v>27387</v>
      </c>
      <c r="C2627" s="153" t="s">
        <v>146</v>
      </c>
      <c r="D2627" s="178">
        <v>5416.8</v>
      </c>
      <c r="E2627" s="155">
        <v>44799</v>
      </c>
      <c r="F2627" s="178">
        <v>5416.8</v>
      </c>
      <c r="G2627" s="179">
        <f>Tabla19[[#This Row],[Importe]]-Tabla19[[#This Row],[Pagado]]</f>
        <v>0</v>
      </c>
      <c r="H2627" s="153" t="s">
        <v>10</v>
      </c>
    </row>
    <row r="2628" spans="1:8" x14ac:dyDescent="0.25">
      <c r="A2628" s="73">
        <v>44799</v>
      </c>
      <c r="B2628" s="74" t="s">
        <v>27388</v>
      </c>
      <c r="C2628" s="75" t="s">
        <v>592</v>
      </c>
      <c r="D2628" s="176">
        <v>39664.400000000001</v>
      </c>
      <c r="E2628" s="151" t="s">
        <v>4813</v>
      </c>
      <c r="F2628" s="176">
        <v>0</v>
      </c>
      <c r="G2628" s="177">
        <f>Tabla19[[#This Row],[Importe]]-Tabla19[[#This Row],[Pagado]]</f>
        <v>39664.400000000001</v>
      </c>
      <c r="H2628" s="75" t="s">
        <v>4814</v>
      </c>
    </row>
    <row r="2629" spans="1:8" x14ac:dyDescent="0.25">
      <c r="A2629" s="148">
        <v>44799</v>
      </c>
      <c r="B2629" s="149" t="s">
        <v>27389</v>
      </c>
      <c r="C2629" s="153" t="s">
        <v>49</v>
      </c>
      <c r="D2629" s="178">
        <v>5076.8</v>
      </c>
      <c r="E2629" s="155">
        <v>44799</v>
      </c>
      <c r="F2629" s="178">
        <v>5076.8</v>
      </c>
      <c r="G2629" s="179">
        <f>Tabla19[[#This Row],[Importe]]-Tabla19[[#This Row],[Pagado]]</f>
        <v>0</v>
      </c>
      <c r="H2629" s="153" t="s">
        <v>10</v>
      </c>
    </row>
    <row r="2630" spans="1:8" x14ac:dyDescent="0.25">
      <c r="A2630" s="73">
        <v>44799</v>
      </c>
      <c r="B2630" s="74" t="s">
        <v>27390</v>
      </c>
      <c r="C2630" s="75" t="s">
        <v>133</v>
      </c>
      <c r="D2630" s="176">
        <v>15318</v>
      </c>
      <c r="E2630" s="151">
        <v>44800</v>
      </c>
      <c r="F2630" s="176">
        <v>15318</v>
      </c>
      <c r="G2630" s="177">
        <f>Tabla19[[#This Row],[Importe]]-Tabla19[[#This Row],[Pagado]]</f>
        <v>0</v>
      </c>
      <c r="H2630" s="75" t="s">
        <v>10</v>
      </c>
    </row>
    <row r="2631" spans="1:8" x14ac:dyDescent="0.25">
      <c r="A2631" s="148">
        <v>44799</v>
      </c>
      <c r="B2631" s="149" t="s">
        <v>27391</v>
      </c>
      <c r="C2631" s="153" t="s">
        <v>58</v>
      </c>
      <c r="D2631" s="178">
        <v>4354.8</v>
      </c>
      <c r="E2631" s="155">
        <v>44799</v>
      </c>
      <c r="F2631" s="178">
        <v>4354.8</v>
      </c>
      <c r="G2631" s="179">
        <f>Tabla19[[#This Row],[Importe]]-Tabla19[[#This Row],[Pagado]]</f>
        <v>0</v>
      </c>
      <c r="H2631" s="153" t="s">
        <v>10</v>
      </c>
    </row>
    <row r="2632" spans="1:8" x14ac:dyDescent="0.25">
      <c r="A2632" s="73">
        <v>44799</v>
      </c>
      <c r="B2632" s="74" t="s">
        <v>27392</v>
      </c>
      <c r="C2632" s="75" t="s">
        <v>29</v>
      </c>
      <c r="D2632" s="176">
        <v>6171.6</v>
      </c>
      <c r="E2632" s="151">
        <v>44799</v>
      </c>
      <c r="F2632" s="176">
        <v>6171.6</v>
      </c>
      <c r="G2632" s="177">
        <f>Tabla19[[#This Row],[Importe]]-Tabla19[[#This Row],[Pagado]]</f>
        <v>0</v>
      </c>
      <c r="H2632" s="75" t="s">
        <v>10</v>
      </c>
    </row>
    <row r="2633" spans="1:8" x14ac:dyDescent="0.25">
      <c r="A2633" s="148">
        <v>44799</v>
      </c>
      <c r="B2633" s="149" t="s">
        <v>27393</v>
      </c>
      <c r="C2633" s="153" t="s">
        <v>528</v>
      </c>
      <c r="D2633" s="178">
        <v>38665</v>
      </c>
      <c r="E2633" s="155">
        <v>44800</v>
      </c>
      <c r="F2633" s="178">
        <v>38665</v>
      </c>
      <c r="G2633" s="179">
        <f>Tabla19[[#This Row],[Importe]]-Tabla19[[#This Row],[Pagado]]</f>
        <v>0</v>
      </c>
      <c r="H2633" s="153" t="s">
        <v>10</v>
      </c>
    </row>
    <row r="2634" spans="1:8" x14ac:dyDescent="0.25">
      <c r="A2634" s="73">
        <v>44799</v>
      </c>
      <c r="B2634" s="74" t="s">
        <v>27394</v>
      </c>
      <c r="C2634" s="75" t="s">
        <v>31</v>
      </c>
      <c r="D2634" s="176">
        <v>2272</v>
      </c>
      <c r="E2634" s="151">
        <v>44799</v>
      </c>
      <c r="F2634" s="176">
        <v>2272</v>
      </c>
      <c r="G2634" s="177">
        <f>Tabla19[[#This Row],[Importe]]-Tabla19[[#This Row],[Pagado]]</f>
        <v>0</v>
      </c>
      <c r="H2634" s="75" t="s">
        <v>10</v>
      </c>
    </row>
    <row r="2635" spans="1:8" x14ac:dyDescent="0.25">
      <c r="A2635" s="148">
        <v>44799</v>
      </c>
      <c r="B2635" s="149" t="s">
        <v>27395</v>
      </c>
      <c r="C2635" s="153" t="s">
        <v>1003</v>
      </c>
      <c r="D2635" s="178">
        <v>8422.7999999999993</v>
      </c>
      <c r="E2635" s="155">
        <v>44800</v>
      </c>
      <c r="F2635" s="178">
        <v>8422.7999999999993</v>
      </c>
      <c r="G2635" s="179">
        <f>Tabla19[[#This Row],[Importe]]-Tabla19[[#This Row],[Pagado]]</f>
        <v>0</v>
      </c>
      <c r="H2635" s="153" t="s">
        <v>10</v>
      </c>
    </row>
    <row r="2636" spans="1:8" x14ac:dyDescent="0.25">
      <c r="A2636" s="73">
        <v>44799</v>
      </c>
      <c r="B2636" s="74" t="s">
        <v>27396</v>
      </c>
      <c r="C2636" s="75" t="s">
        <v>1644</v>
      </c>
      <c r="D2636" s="176">
        <v>15133</v>
      </c>
      <c r="E2636" s="151">
        <v>44800</v>
      </c>
      <c r="F2636" s="176">
        <v>15133</v>
      </c>
      <c r="G2636" s="177">
        <f>Tabla19[[#This Row],[Importe]]-Tabla19[[#This Row],[Pagado]]</f>
        <v>0</v>
      </c>
      <c r="H2636" s="75" t="s">
        <v>10</v>
      </c>
    </row>
    <row r="2637" spans="1:8" x14ac:dyDescent="0.25">
      <c r="A2637" s="148">
        <v>44799</v>
      </c>
      <c r="B2637" s="149" t="s">
        <v>27397</v>
      </c>
      <c r="C2637" s="153" t="s">
        <v>541</v>
      </c>
      <c r="D2637" s="178">
        <v>21205.599999999999</v>
      </c>
      <c r="E2637" s="155">
        <v>44800</v>
      </c>
      <c r="F2637" s="178">
        <v>21205.599999999999</v>
      </c>
      <c r="G2637" s="179">
        <f>Tabla19[[#This Row],[Importe]]-Tabla19[[#This Row],[Pagado]]</f>
        <v>0</v>
      </c>
      <c r="H2637" s="153" t="s">
        <v>10</v>
      </c>
    </row>
    <row r="2638" spans="1:8" x14ac:dyDescent="0.25">
      <c r="A2638" s="73">
        <v>44799</v>
      </c>
      <c r="B2638" s="74" t="s">
        <v>27398</v>
      </c>
      <c r="C2638" s="75" t="s">
        <v>382</v>
      </c>
      <c r="D2638" s="176">
        <v>465</v>
      </c>
      <c r="E2638" s="151">
        <v>44799</v>
      </c>
      <c r="F2638" s="176">
        <v>465</v>
      </c>
      <c r="G2638" s="177">
        <f>Tabla19[[#This Row],[Importe]]-Tabla19[[#This Row],[Pagado]]</f>
        <v>0</v>
      </c>
      <c r="H2638" s="75" t="s">
        <v>10</v>
      </c>
    </row>
    <row r="2639" spans="1:8" x14ac:dyDescent="0.25">
      <c r="A2639" s="148">
        <v>44799</v>
      </c>
      <c r="B2639" s="149" t="s">
        <v>27399</v>
      </c>
      <c r="C2639" s="153" t="s">
        <v>244</v>
      </c>
      <c r="D2639" s="178">
        <v>1317.2</v>
      </c>
      <c r="E2639" s="155">
        <v>44799</v>
      </c>
      <c r="F2639" s="178">
        <v>1317.2</v>
      </c>
      <c r="G2639" s="179">
        <f>Tabla19[[#This Row],[Importe]]-Tabla19[[#This Row],[Pagado]]</f>
        <v>0</v>
      </c>
      <c r="H2639" s="153" t="s">
        <v>10</v>
      </c>
    </row>
    <row r="2640" spans="1:8" x14ac:dyDescent="0.25">
      <c r="A2640" s="73">
        <v>44799</v>
      </c>
      <c r="B2640" s="74" t="s">
        <v>27400</v>
      </c>
      <c r="C2640" s="75" t="s">
        <v>31</v>
      </c>
      <c r="D2640" s="176">
        <v>732.6</v>
      </c>
      <c r="E2640" s="151">
        <v>44799</v>
      </c>
      <c r="F2640" s="176">
        <v>732.6</v>
      </c>
      <c r="G2640" s="177">
        <f>Tabla19[[#This Row],[Importe]]-Tabla19[[#This Row],[Pagado]]</f>
        <v>0</v>
      </c>
      <c r="H2640" s="75" t="s">
        <v>10</v>
      </c>
    </row>
    <row r="2641" spans="1:8" x14ac:dyDescent="0.25">
      <c r="A2641" s="148">
        <v>44799</v>
      </c>
      <c r="B2641" s="149" t="s">
        <v>27401</v>
      </c>
      <c r="C2641" s="153" t="s">
        <v>698</v>
      </c>
      <c r="D2641" s="178">
        <v>9819.7999999999993</v>
      </c>
      <c r="E2641" s="155">
        <v>44799</v>
      </c>
      <c r="F2641" s="178">
        <v>9819.7999999999993</v>
      </c>
      <c r="G2641" s="179">
        <f>Tabla19[[#This Row],[Importe]]-Tabla19[[#This Row],[Pagado]]</f>
        <v>0</v>
      </c>
      <c r="H2641" s="153" t="s">
        <v>10</v>
      </c>
    </row>
    <row r="2642" spans="1:8" x14ac:dyDescent="0.25">
      <c r="A2642" s="73">
        <v>44799</v>
      </c>
      <c r="B2642" s="74" t="s">
        <v>27402</v>
      </c>
      <c r="C2642" s="75" t="s">
        <v>12</v>
      </c>
      <c r="D2642" s="176">
        <v>2431.4</v>
      </c>
      <c r="E2642" s="151">
        <v>44800</v>
      </c>
      <c r="F2642" s="176">
        <v>2431.4</v>
      </c>
      <c r="G2642" s="177">
        <f>Tabla19[[#This Row],[Importe]]-Tabla19[[#This Row],[Pagado]]</f>
        <v>0</v>
      </c>
      <c r="H2642" s="75" t="s">
        <v>10</v>
      </c>
    </row>
    <row r="2643" spans="1:8" x14ac:dyDescent="0.25">
      <c r="A2643" s="148">
        <v>44799</v>
      </c>
      <c r="B2643" s="149" t="s">
        <v>27403</v>
      </c>
      <c r="C2643" s="153" t="s">
        <v>51</v>
      </c>
      <c r="D2643" s="178">
        <v>3989.2</v>
      </c>
      <c r="E2643" s="155">
        <v>44799</v>
      </c>
      <c r="F2643" s="178">
        <v>3989.2</v>
      </c>
      <c r="G2643" s="179">
        <f>Tabla19[[#This Row],[Importe]]-Tabla19[[#This Row],[Pagado]]</f>
        <v>0</v>
      </c>
      <c r="H2643" s="153" t="s">
        <v>10</v>
      </c>
    </row>
    <row r="2644" spans="1:8" x14ac:dyDescent="0.25">
      <c r="A2644" s="73">
        <v>44799</v>
      </c>
      <c r="B2644" s="74" t="s">
        <v>27404</v>
      </c>
      <c r="C2644" s="75" t="s">
        <v>131</v>
      </c>
      <c r="D2644" s="176">
        <v>4847.2</v>
      </c>
      <c r="E2644" s="151">
        <v>44799</v>
      </c>
      <c r="F2644" s="176">
        <v>4847.2</v>
      </c>
      <c r="G2644" s="177">
        <f>Tabla19[[#This Row],[Importe]]-Tabla19[[#This Row],[Pagado]]</f>
        <v>0</v>
      </c>
      <c r="H2644" s="75" t="s">
        <v>10</v>
      </c>
    </row>
    <row r="2645" spans="1:8" x14ac:dyDescent="0.25">
      <c r="A2645" s="148">
        <v>44799</v>
      </c>
      <c r="B2645" s="149" t="s">
        <v>27405</v>
      </c>
      <c r="C2645" s="153" t="s">
        <v>31</v>
      </c>
      <c r="D2645" s="178">
        <v>584.6</v>
      </c>
      <c r="E2645" s="155">
        <v>44799</v>
      </c>
      <c r="F2645" s="178">
        <v>584.6</v>
      </c>
      <c r="G2645" s="179">
        <f>Tabla19[[#This Row],[Importe]]-Tabla19[[#This Row],[Pagado]]</f>
        <v>0</v>
      </c>
      <c r="H2645" s="153" t="s">
        <v>10</v>
      </c>
    </row>
    <row r="2646" spans="1:8" x14ac:dyDescent="0.25">
      <c r="A2646" s="73">
        <v>44799</v>
      </c>
      <c r="B2646" s="74" t="s">
        <v>27406</v>
      </c>
      <c r="C2646" s="75" t="s">
        <v>9827</v>
      </c>
      <c r="D2646" s="176">
        <v>5246.6</v>
      </c>
      <c r="E2646" s="151">
        <v>44799</v>
      </c>
      <c r="F2646" s="176">
        <v>5246.6</v>
      </c>
      <c r="G2646" s="177">
        <f>Tabla19[[#This Row],[Importe]]-Tabla19[[#This Row],[Pagado]]</f>
        <v>0</v>
      </c>
      <c r="H2646" s="75" t="s">
        <v>10</v>
      </c>
    </row>
    <row r="2647" spans="1:8" x14ac:dyDescent="0.25">
      <c r="A2647" s="148">
        <v>44799</v>
      </c>
      <c r="B2647" s="149" t="s">
        <v>27407</v>
      </c>
      <c r="C2647" s="153" t="s">
        <v>79</v>
      </c>
      <c r="D2647" s="178">
        <v>34791</v>
      </c>
      <c r="E2647" s="155">
        <v>44799</v>
      </c>
      <c r="F2647" s="178">
        <v>34791</v>
      </c>
      <c r="G2647" s="179">
        <f>Tabla19[[#This Row],[Importe]]-Tabla19[[#This Row],[Pagado]]</f>
        <v>0</v>
      </c>
      <c r="H2647" s="153" t="s">
        <v>10</v>
      </c>
    </row>
    <row r="2648" spans="1:8" x14ac:dyDescent="0.25">
      <c r="A2648" s="73">
        <v>44799</v>
      </c>
      <c r="B2648" s="74" t="s">
        <v>27408</v>
      </c>
      <c r="C2648" s="75" t="s">
        <v>392</v>
      </c>
      <c r="D2648" s="176">
        <v>25880.7</v>
      </c>
      <c r="E2648" s="151" t="s">
        <v>4813</v>
      </c>
      <c r="F2648" s="176">
        <v>21000</v>
      </c>
      <c r="G2648" s="177">
        <f>Tabla19[[#This Row],[Importe]]-Tabla19[[#This Row],[Pagado]]</f>
        <v>4880.7000000000007</v>
      </c>
      <c r="H2648" s="75" t="s">
        <v>1695</v>
      </c>
    </row>
    <row r="2649" spans="1:8" x14ac:dyDescent="0.25">
      <c r="A2649" s="148">
        <v>44799</v>
      </c>
      <c r="B2649" s="149" t="s">
        <v>27409</v>
      </c>
      <c r="C2649" s="153" t="s">
        <v>142</v>
      </c>
      <c r="D2649" s="178">
        <v>25022.9</v>
      </c>
      <c r="E2649" s="155" t="s">
        <v>4813</v>
      </c>
      <c r="F2649" s="178">
        <v>0</v>
      </c>
      <c r="G2649" s="179">
        <f>Tabla19[[#This Row],[Importe]]-Tabla19[[#This Row],[Pagado]]</f>
        <v>25022.9</v>
      </c>
      <c r="H2649" s="153" t="s">
        <v>4814</v>
      </c>
    </row>
    <row r="2650" spans="1:8" x14ac:dyDescent="0.25">
      <c r="A2650" s="73">
        <v>44799</v>
      </c>
      <c r="B2650" s="74" t="s">
        <v>27410</v>
      </c>
      <c r="C2650" s="75" t="s">
        <v>107</v>
      </c>
      <c r="D2650" s="176">
        <v>16126.9</v>
      </c>
      <c r="E2650" s="151">
        <v>44799</v>
      </c>
      <c r="F2650" s="176">
        <v>16126.9</v>
      </c>
      <c r="G2650" s="177">
        <f>Tabla19[[#This Row],[Importe]]-Tabla19[[#This Row],[Pagado]]</f>
        <v>0</v>
      </c>
      <c r="H2650" s="75" t="s">
        <v>10</v>
      </c>
    </row>
    <row r="2651" spans="1:8" x14ac:dyDescent="0.25">
      <c r="A2651" s="148">
        <v>44799</v>
      </c>
      <c r="B2651" s="149" t="s">
        <v>27411</v>
      </c>
      <c r="C2651" s="153" t="s">
        <v>214</v>
      </c>
      <c r="D2651" s="178">
        <v>1531.8</v>
      </c>
      <c r="E2651" s="155">
        <v>44799</v>
      </c>
      <c r="F2651" s="178">
        <v>1531.8</v>
      </c>
      <c r="G2651" s="179">
        <f>Tabla19[[#This Row],[Importe]]-Tabla19[[#This Row],[Pagado]]</f>
        <v>0</v>
      </c>
      <c r="H2651" s="153" t="s">
        <v>10</v>
      </c>
    </row>
    <row r="2652" spans="1:8" x14ac:dyDescent="0.25">
      <c r="A2652" s="73">
        <v>44799</v>
      </c>
      <c r="B2652" s="74" t="s">
        <v>27412</v>
      </c>
      <c r="C2652" s="75" t="s">
        <v>555</v>
      </c>
      <c r="D2652" s="176">
        <v>19584</v>
      </c>
      <c r="E2652" s="151">
        <v>44800</v>
      </c>
      <c r="F2652" s="176">
        <v>19584</v>
      </c>
      <c r="G2652" s="177">
        <f>Tabla19[[#This Row],[Importe]]-Tabla19[[#This Row],[Pagado]]</f>
        <v>0</v>
      </c>
      <c r="H2652" s="75" t="s">
        <v>10</v>
      </c>
    </row>
    <row r="2653" spans="1:8" x14ac:dyDescent="0.25">
      <c r="A2653" s="148">
        <v>44799</v>
      </c>
      <c r="B2653" s="149" t="s">
        <v>27413</v>
      </c>
      <c r="C2653" s="153" t="s">
        <v>664</v>
      </c>
      <c r="D2653" s="178">
        <v>3900</v>
      </c>
      <c r="E2653" s="155">
        <v>44799</v>
      </c>
      <c r="F2653" s="178">
        <v>3900</v>
      </c>
      <c r="G2653" s="179">
        <f>Tabla19[[#This Row],[Importe]]-Tabla19[[#This Row],[Pagado]]</f>
        <v>0</v>
      </c>
      <c r="H2653" s="153" t="s">
        <v>10</v>
      </c>
    </row>
    <row r="2654" spans="1:8" x14ac:dyDescent="0.25">
      <c r="A2654" s="73">
        <v>44799</v>
      </c>
      <c r="B2654" s="74" t="s">
        <v>27414</v>
      </c>
      <c r="C2654" s="75" t="s">
        <v>67</v>
      </c>
      <c r="D2654" s="176">
        <v>13679.2</v>
      </c>
      <c r="E2654" s="151">
        <v>44799</v>
      </c>
      <c r="F2654" s="176">
        <v>13679.2</v>
      </c>
      <c r="G2654" s="177">
        <f>Tabla19[[#This Row],[Importe]]-Tabla19[[#This Row],[Pagado]]</f>
        <v>0</v>
      </c>
      <c r="H2654" s="75" t="s">
        <v>10</v>
      </c>
    </row>
    <row r="2655" spans="1:8" x14ac:dyDescent="0.25">
      <c r="A2655" s="148">
        <v>44799</v>
      </c>
      <c r="B2655" s="149" t="s">
        <v>27415</v>
      </c>
      <c r="C2655" s="153" t="s">
        <v>448</v>
      </c>
      <c r="D2655" s="178">
        <v>22422</v>
      </c>
      <c r="E2655" s="155">
        <v>44799</v>
      </c>
      <c r="F2655" s="178">
        <v>22422</v>
      </c>
      <c r="G2655" s="179">
        <f>Tabla19[[#This Row],[Importe]]-Tabla19[[#This Row],[Pagado]]</f>
        <v>0</v>
      </c>
      <c r="H2655" s="153" t="s">
        <v>10</v>
      </c>
    </row>
    <row r="2656" spans="1:8" x14ac:dyDescent="0.25">
      <c r="A2656" s="73">
        <v>44799</v>
      </c>
      <c r="B2656" s="74" t="s">
        <v>27416</v>
      </c>
      <c r="C2656" s="75" t="s">
        <v>214</v>
      </c>
      <c r="D2656" s="176">
        <v>11152.5</v>
      </c>
      <c r="E2656" s="151">
        <v>44799</v>
      </c>
      <c r="F2656" s="176">
        <v>11152.5</v>
      </c>
      <c r="G2656" s="177">
        <f>Tabla19[[#This Row],[Importe]]-Tabla19[[#This Row],[Pagado]]</f>
        <v>0</v>
      </c>
      <c r="H2656" s="75" t="s">
        <v>10</v>
      </c>
    </row>
    <row r="2657" spans="1:8" x14ac:dyDescent="0.25">
      <c r="A2657" s="148">
        <v>44799</v>
      </c>
      <c r="B2657" s="149" t="s">
        <v>27417</v>
      </c>
      <c r="C2657" s="153" t="s">
        <v>204</v>
      </c>
      <c r="D2657" s="178">
        <v>2017.6</v>
      </c>
      <c r="E2657" s="155">
        <v>44799</v>
      </c>
      <c r="F2657" s="178">
        <v>2017.6</v>
      </c>
      <c r="G2657" s="179">
        <f>Tabla19[[#This Row],[Importe]]-Tabla19[[#This Row],[Pagado]]</f>
        <v>0</v>
      </c>
      <c r="H2657" s="153" t="s">
        <v>10</v>
      </c>
    </row>
    <row r="2658" spans="1:8" x14ac:dyDescent="0.25">
      <c r="A2658" s="73">
        <v>44799</v>
      </c>
      <c r="B2658" s="74" t="s">
        <v>27418</v>
      </c>
      <c r="C2658" s="75" t="s">
        <v>204</v>
      </c>
      <c r="D2658" s="176">
        <v>1096.0999999999999</v>
      </c>
      <c r="E2658" s="151">
        <v>44799</v>
      </c>
      <c r="F2658" s="176">
        <v>1096.0999999999999</v>
      </c>
      <c r="G2658" s="177">
        <f>Tabla19[[#This Row],[Importe]]-Tabla19[[#This Row],[Pagado]]</f>
        <v>0</v>
      </c>
      <c r="H2658" s="75" t="s">
        <v>10</v>
      </c>
    </row>
    <row r="2659" spans="1:8" x14ac:dyDescent="0.25">
      <c r="A2659" s="148">
        <v>44799</v>
      </c>
      <c r="B2659" s="149" t="s">
        <v>27419</v>
      </c>
      <c r="C2659" s="153" t="s">
        <v>135</v>
      </c>
      <c r="D2659" s="178">
        <v>1546.8</v>
      </c>
      <c r="E2659" s="155">
        <v>44799</v>
      </c>
      <c r="F2659" s="178">
        <v>1546.8</v>
      </c>
      <c r="G2659" s="179">
        <f>Tabla19[[#This Row],[Importe]]-Tabla19[[#This Row],[Pagado]]</f>
        <v>0</v>
      </c>
      <c r="H2659" s="153" t="s">
        <v>10</v>
      </c>
    </row>
    <row r="2660" spans="1:8" x14ac:dyDescent="0.25">
      <c r="A2660" s="73">
        <v>44799</v>
      </c>
      <c r="B2660" s="74" t="s">
        <v>27420</v>
      </c>
      <c r="C2660" s="75" t="s">
        <v>179</v>
      </c>
      <c r="D2660" s="176">
        <v>2360.6</v>
      </c>
      <c r="E2660" s="151">
        <v>44799</v>
      </c>
      <c r="F2660" s="176">
        <v>2360.6</v>
      </c>
      <c r="G2660" s="177">
        <f>Tabla19[[#This Row],[Importe]]-Tabla19[[#This Row],[Pagado]]</f>
        <v>0</v>
      </c>
      <c r="H2660" s="75" t="s">
        <v>10</v>
      </c>
    </row>
    <row r="2661" spans="1:8" x14ac:dyDescent="0.25">
      <c r="A2661" s="148">
        <v>44799</v>
      </c>
      <c r="B2661" s="149" t="s">
        <v>27421</v>
      </c>
      <c r="C2661" s="153" t="s">
        <v>612</v>
      </c>
      <c r="D2661" s="178">
        <v>300</v>
      </c>
      <c r="E2661" s="155">
        <v>44799</v>
      </c>
      <c r="F2661" s="178">
        <v>300</v>
      </c>
      <c r="G2661" s="179">
        <f>Tabla19[[#This Row],[Importe]]-Tabla19[[#This Row],[Pagado]]</f>
        <v>0</v>
      </c>
      <c r="H2661" s="153" t="s">
        <v>10</v>
      </c>
    </row>
    <row r="2662" spans="1:8" x14ac:dyDescent="0.25">
      <c r="A2662" s="73">
        <v>44799</v>
      </c>
      <c r="B2662" s="74" t="s">
        <v>27422</v>
      </c>
      <c r="C2662" s="75" t="s">
        <v>191</v>
      </c>
      <c r="D2662" s="176">
        <v>417.6</v>
      </c>
      <c r="E2662" s="151">
        <v>44799</v>
      </c>
      <c r="F2662" s="176">
        <v>417.6</v>
      </c>
      <c r="G2662" s="177">
        <f>Tabla19[[#This Row],[Importe]]-Tabla19[[#This Row],[Pagado]]</f>
        <v>0</v>
      </c>
      <c r="H2662" s="75" t="s">
        <v>10</v>
      </c>
    </row>
    <row r="2663" spans="1:8" x14ac:dyDescent="0.25">
      <c r="A2663" s="148">
        <v>44799</v>
      </c>
      <c r="B2663" s="149" t="s">
        <v>27423</v>
      </c>
      <c r="C2663" s="153" t="s">
        <v>175</v>
      </c>
      <c r="D2663" s="178">
        <v>12075.2</v>
      </c>
      <c r="E2663" s="155">
        <v>44800</v>
      </c>
      <c r="F2663" s="178">
        <v>12075.2</v>
      </c>
      <c r="G2663" s="179">
        <f>Tabla19[[#This Row],[Importe]]-Tabla19[[#This Row],[Pagado]]</f>
        <v>0</v>
      </c>
      <c r="H2663" s="153" t="s">
        <v>10</v>
      </c>
    </row>
    <row r="2664" spans="1:8" x14ac:dyDescent="0.25">
      <c r="A2664" s="73">
        <v>44799</v>
      </c>
      <c r="B2664" s="74" t="s">
        <v>27424</v>
      </c>
      <c r="C2664" s="75" t="s">
        <v>181</v>
      </c>
      <c r="D2664" s="176">
        <v>9499.2000000000007</v>
      </c>
      <c r="E2664" s="151">
        <v>44800</v>
      </c>
      <c r="F2664" s="176">
        <v>9499.2000000000007</v>
      </c>
      <c r="G2664" s="177">
        <f>Tabla19[[#This Row],[Importe]]-Tabla19[[#This Row],[Pagado]]</f>
        <v>0</v>
      </c>
      <c r="H2664" s="75" t="s">
        <v>10</v>
      </c>
    </row>
    <row r="2665" spans="1:8" x14ac:dyDescent="0.25">
      <c r="A2665" s="148">
        <v>44799</v>
      </c>
      <c r="B2665" s="149" t="s">
        <v>27425</v>
      </c>
      <c r="C2665" s="153" t="s">
        <v>359</v>
      </c>
      <c r="D2665" s="178">
        <v>1400</v>
      </c>
      <c r="E2665" s="155">
        <v>44800</v>
      </c>
      <c r="F2665" s="178">
        <v>1400</v>
      </c>
      <c r="G2665" s="179">
        <f>Tabla19[[#This Row],[Importe]]-Tabla19[[#This Row],[Pagado]]</f>
        <v>0</v>
      </c>
      <c r="H2665" s="153" t="s">
        <v>10</v>
      </c>
    </row>
    <row r="2666" spans="1:8" x14ac:dyDescent="0.25">
      <c r="A2666" s="73">
        <v>44799</v>
      </c>
      <c r="B2666" s="74" t="s">
        <v>27426</v>
      </c>
      <c r="C2666" s="75" t="s">
        <v>200</v>
      </c>
      <c r="D2666" s="176">
        <v>1805.6</v>
      </c>
      <c r="E2666" s="151">
        <v>44800</v>
      </c>
      <c r="F2666" s="176">
        <v>1805.6</v>
      </c>
      <c r="G2666" s="177">
        <f>Tabla19[[#This Row],[Importe]]-Tabla19[[#This Row],[Pagado]]</f>
        <v>0</v>
      </c>
      <c r="H2666" s="75" t="s">
        <v>10</v>
      </c>
    </row>
    <row r="2667" spans="1:8" x14ac:dyDescent="0.25">
      <c r="A2667" s="148">
        <v>44799</v>
      </c>
      <c r="B2667" s="149" t="s">
        <v>27427</v>
      </c>
      <c r="C2667" s="153" t="s">
        <v>75</v>
      </c>
      <c r="D2667" s="178">
        <v>9324</v>
      </c>
      <c r="E2667" s="155">
        <v>44800</v>
      </c>
      <c r="F2667" s="178">
        <v>9324</v>
      </c>
      <c r="G2667" s="179">
        <f>Tabla19[[#This Row],[Importe]]-Tabla19[[#This Row],[Pagado]]</f>
        <v>0</v>
      </c>
      <c r="H2667" s="153" t="s">
        <v>10</v>
      </c>
    </row>
    <row r="2668" spans="1:8" x14ac:dyDescent="0.25">
      <c r="A2668" s="73">
        <v>44799</v>
      </c>
      <c r="B2668" s="74" t="s">
        <v>27428</v>
      </c>
      <c r="C2668" s="75" t="s">
        <v>31</v>
      </c>
      <c r="D2668" s="176">
        <v>465</v>
      </c>
      <c r="E2668" s="151">
        <v>44799</v>
      </c>
      <c r="F2668" s="176">
        <v>465</v>
      </c>
      <c r="G2668" s="177">
        <f>Tabla19[[#This Row],[Importe]]-Tabla19[[#This Row],[Pagado]]</f>
        <v>0</v>
      </c>
      <c r="H2668" s="75" t="s">
        <v>10</v>
      </c>
    </row>
    <row r="2669" spans="1:8" x14ac:dyDescent="0.25">
      <c r="A2669" s="148">
        <v>44799</v>
      </c>
      <c r="B2669" s="149" t="s">
        <v>27429</v>
      </c>
      <c r="C2669" s="153" t="s">
        <v>681</v>
      </c>
      <c r="D2669" s="178">
        <v>11.13</v>
      </c>
      <c r="E2669" s="155" t="s">
        <v>27430</v>
      </c>
      <c r="F2669" s="178">
        <v>11.13</v>
      </c>
      <c r="G2669" s="179">
        <f>Tabla19[[#This Row],[Importe]]-Tabla19[[#This Row],[Pagado]]</f>
        <v>0</v>
      </c>
      <c r="H2669" s="153" t="s">
        <v>10</v>
      </c>
    </row>
    <row r="2670" spans="1:8" x14ac:dyDescent="0.25">
      <c r="A2670" s="73">
        <v>44799</v>
      </c>
      <c r="B2670" s="74" t="s">
        <v>27431</v>
      </c>
      <c r="C2670" s="75" t="s">
        <v>16</v>
      </c>
      <c r="D2670" s="176">
        <v>2152</v>
      </c>
      <c r="E2670" s="151">
        <v>44799</v>
      </c>
      <c r="F2670" s="176">
        <v>2152</v>
      </c>
      <c r="G2670" s="177">
        <f>Tabla19[[#This Row],[Importe]]-Tabla19[[#This Row],[Pagado]]</f>
        <v>0</v>
      </c>
      <c r="H2670" s="75" t="s">
        <v>10</v>
      </c>
    </row>
    <row r="2671" spans="1:8" x14ac:dyDescent="0.25">
      <c r="A2671" s="148">
        <v>44799</v>
      </c>
      <c r="B2671" s="149" t="s">
        <v>27432</v>
      </c>
      <c r="C2671" s="153" t="s">
        <v>27433</v>
      </c>
      <c r="D2671" s="178">
        <v>706.2</v>
      </c>
      <c r="E2671" s="155">
        <v>44799</v>
      </c>
      <c r="F2671" s="178">
        <v>706.2</v>
      </c>
      <c r="G2671" s="179">
        <f>Tabla19[[#This Row],[Importe]]-Tabla19[[#This Row],[Pagado]]</f>
        <v>0</v>
      </c>
      <c r="H2671" s="153" t="s">
        <v>10</v>
      </c>
    </row>
    <row r="2672" spans="1:8" x14ac:dyDescent="0.25">
      <c r="A2672" s="73">
        <v>44799</v>
      </c>
      <c r="B2672" s="74" t="s">
        <v>27434</v>
      </c>
      <c r="C2672" s="75" t="s">
        <v>53</v>
      </c>
      <c r="D2672" s="176">
        <v>180.4</v>
      </c>
      <c r="E2672" s="151">
        <v>44799</v>
      </c>
      <c r="F2672" s="176">
        <v>180.4</v>
      </c>
      <c r="G2672" s="177">
        <f>Tabla19[[#This Row],[Importe]]-Tabla19[[#This Row],[Pagado]]</f>
        <v>0</v>
      </c>
      <c r="H2672" s="75" t="s">
        <v>10</v>
      </c>
    </row>
    <row r="2673" spans="1:8" x14ac:dyDescent="0.25">
      <c r="A2673" s="148">
        <v>44799</v>
      </c>
      <c r="B2673" s="149" t="s">
        <v>27435</v>
      </c>
      <c r="C2673" s="153" t="s">
        <v>296</v>
      </c>
      <c r="D2673" s="178">
        <v>1934.4</v>
      </c>
      <c r="E2673" s="155">
        <v>44799</v>
      </c>
      <c r="F2673" s="178">
        <v>1934.4</v>
      </c>
      <c r="G2673" s="179">
        <f>Tabla19[[#This Row],[Importe]]-Tabla19[[#This Row],[Pagado]]</f>
        <v>0</v>
      </c>
      <c r="H2673" s="153" t="s">
        <v>10</v>
      </c>
    </row>
    <row r="2674" spans="1:8" x14ac:dyDescent="0.25">
      <c r="A2674" s="73">
        <v>44799</v>
      </c>
      <c r="B2674" s="74" t="s">
        <v>27436</v>
      </c>
      <c r="C2674" s="75" t="s">
        <v>2139</v>
      </c>
      <c r="D2674" s="176">
        <v>2800.3</v>
      </c>
      <c r="E2674" s="151">
        <v>44799</v>
      </c>
      <c r="F2674" s="176">
        <v>2800.3</v>
      </c>
      <c r="G2674" s="177">
        <f>Tabla19[[#This Row],[Importe]]-Tabla19[[#This Row],[Pagado]]</f>
        <v>0</v>
      </c>
      <c r="H2674" s="75" t="s">
        <v>10</v>
      </c>
    </row>
    <row r="2675" spans="1:8" x14ac:dyDescent="0.25">
      <c r="A2675" s="148">
        <v>44799</v>
      </c>
      <c r="B2675" s="149" t="s">
        <v>27437</v>
      </c>
      <c r="C2675" s="153" t="s">
        <v>31</v>
      </c>
      <c r="D2675" s="178">
        <v>90</v>
      </c>
      <c r="E2675" s="155">
        <v>44799</v>
      </c>
      <c r="F2675" s="178">
        <v>90</v>
      </c>
      <c r="G2675" s="179">
        <f>Tabla19[[#This Row],[Importe]]-Tabla19[[#This Row],[Pagado]]</f>
        <v>0</v>
      </c>
      <c r="H2675" s="153" t="s">
        <v>10</v>
      </c>
    </row>
    <row r="2676" spans="1:8" x14ac:dyDescent="0.25">
      <c r="A2676" s="73">
        <v>44799</v>
      </c>
      <c r="B2676" s="74" t="s">
        <v>27438</v>
      </c>
      <c r="C2676" s="75" t="s">
        <v>198</v>
      </c>
      <c r="D2676" s="176">
        <v>4898.8</v>
      </c>
      <c r="E2676" s="151">
        <v>44800</v>
      </c>
      <c r="F2676" s="176">
        <v>4898.8</v>
      </c>
      <c r="G2676" s="177">
        <f>Tabla19[[#This Row],[Importe]]-Tabla19[[#This Row],[Pagado]]</f>
        <v>0</v>
      </c>
      <c r="H2676" s="75" t="s">
        <v>10</v>
      </c>
    </row>
    <row r="2677" spans="1:8" x14ac:dyDescent="0.25">
      <c r="A2677" s="148">
        <v>44799</v>
      </c>
      <c r="B2677" s="149" t="s">
        <v>27439</v>
      </c>
      <c r="C2677" s="153" t="s">
        <v>312</v>
      </c>
      <c r="D2677" s="178">
        <v>880</v>
      </c>
      <c r="E2677" s="155">
        <v>44800</v>
      </c>
      <c r="F2677" s="178">
        <v>880</v>
      </c>
      <c r="G2677" s="179">
        <f>Tabla19[[#This Row],[Importe]]-Tabla19[[#This Row],[Pagado]]</f>
        <v>0</v>
      </c>
      <c r="H2677" s="153" t="s">
        <v>10</v>
      </c>
    </row>
    <row r="2678" spans="1:8" x14ac:dyDescent="0.25">
      <c r="A2678" s="73">
        <v>44799</v>
      </c>
      <c r="B2678" s="74" t="s">
        <v>27440</v>
      </c>
      <c r="C2678" s="75" t="s">
        <v>284</v>
      </c>
      <c r="D2678" s="176">
        <v>11070.4</v>
      </c>
      <c r="E2678" s="151">
        <v>44800</v>
      </c>
      <c r="F2678" s="176">
        <v>11070.4</v>
      </c>
      <c r="G2678" s="177">
        <f>Tabla19[[#This Row],[Importe]]-Tabla19[[#This Row],[Pagado]]</f>
        <v>0</v>
      </c>
      <c r="H2678" s="75" t="s">
        <v>10</v>
      </c>
    </row>
    <row r="2679" spans="1:8" x14ac:dyDescent="0.25">
      <c r="A2679" s="148">
        <v>44799</v>
      </c>
      <c r="B2679" s="149" t="s">
        <v>27441</v>
      </c>
      <c r="C2679" s="153" t="s">
        <v>5345</v>
      </c>
      <c r="D2679" s="178">
        <v>1827.8</v>
      </c>
      <c r="E2679" s="155">
        <v>44800</v>
      </c>
      <c r="F2679" s="178">
        <v>1827.8</v>
      </c>
      <c r="G2679" s="179">
        <f>Tabla19[[#This Row],[Importe]]-Tabla19[[#This Row],[Pagado]]</f>
        <v>0</v>
      </c>
      <c r="H2679" s="153" t="s">
        <v>10</v>
      </c>
    </row>
    <row r="2680" spans="1:8" x14ac:dyDescent="0.25">
      <c r="A2680" s="73">
        <v>44799</v>
      </c>
      <c r="B2680" s="74" t="s">
        <v>27442</v>
      </c>
      <c r="C2680" s="75" t="s">
        <v>280</v>
      </c>
      <c r="D2680" s="176">
        <v>1376.4</v>
      </c>
      <c r="E2680" s="151">
        <v>44800</v>
      </c>
      <c r="F2680" s="176">
        <v>1376.4</v>
      </c>
      <c r="G2680" s="177">
        <f>Tabla19[[#This Row],[Importe]]-Tabla19[[#This Row],[Pagado]]</f>
        <v>0</v>
      </c>
      <c r="H2680" s="75" t="s">
        <v>10</v>
      </c>
    </row>
    <row r="2681" spans="1:8" x14ac:dyDescent="0.25">
      <c r="A2681" s="148">
        <v>44799</v>
      </c>
      <c r="B2681" s="149" t="s">
        <v>27443</v>
      </c>
      <c r="C2681" s="153" t="s">
        <v>10819</v>
      </c>
      <c r="D2681" s="178">
        <v>666</v>
      </c>
      <c r="E2681" s="155">
        <v>44800</v>
      </c>
      <c r="F2681" s="178">
        <v>666</v>
      </c>
      <c r="G2681" s="179">
        <f>Tabla19[[#This Row],[Importe]]-Tabla19[[#This Row],[Pagado]]</f>
        <v>0</v>
      </c>
      <c r="H2681" s="153" t="s">
        <v>10</v>
      </c>
    </row>
    <row r="2682" spans="1:8" x14ac:dyDescent="0.25">
      <c r="A2682" s="73">
        <v>44799</v>
      </c>
      <c r="B2682" s="74" t="s">
        <v>27444</v>
      </c>
      <c r="C2682" s="75" t="s">
        <v>282</v>
      </c>
      <c r="D2682" s="176">
        <v>3100.6</v>
      </c>
      <c r="E2682" s="151">
        <v>44800</v>
      </c>
      <c r="F2682" s="176">
        <v>3100.6</v>
      </c>
      <c r="G2682" s="177">
        <f>Tabla19[[#This Row],[Importe]]-Tabla19[[#This Row],[Pagado]]</f>
        <v>0</v>
      </c>
      <c r="H2682" s="75" t="s">
        <v>10</v>
      </c>
    </row>
    <row r="2683" spans="1:8" x14ac:dyDescent="0.25">
      <c r="A2683" s="148">
        <v>44799</v>
      </c>
      <c r="B2683" s="149" t="s">
        <v>27445</v>
      </c>
      <c r="C2683" s="153" t="s">
        <v>31</v>
      </c>
      <c r="D2683" s="178">
        <v>3810</v>
      </c>
      <c r="E2683" s="155">
        <v>44799</v>
      </c>
      <c r="F2683" s="178">
        <v>3810</v>
      </c>
      <c r="G2683" s="179">
        <f>Tabla19[[#This Row],[Importe]]-Tabla19[[#This Row],[Pagado]]</f>
        <v>0</v>
      </c>
      <c r="H2683" s="153" t="s">
        <v>10</v>
      </c>
    </row>
    <row r="2684" spans="1:8" x14ac:dyDescent="0.25">
      <c r="A2684" s="73">
        <v>44799</v>
      </c>
      <c r="B2684" s="74" t="s">
        <v>27446</v>
      </c>
      <c r="C2684" s="75" t="s">
        <v>12609</v>
      </c>
      <c r="D2684" s="176">
        <v>2540</v>
      </c>
      <c r="E2684" s="151">
        <v>44799</v>
      </c>
      <c r="F2684" s="176">
        <v>2540</v>
      </c>
      <c r="G2684" s="177">
        <f>Tabla19[[#This Row],[Importe]]-Tabla19[[#This Row],[Pagado]]</f>
        <v>0</v>
      </c>
      <c r="H2684" s="75" t="s">
        <v>10</v>
      </c>
    </row>
    <row r="2685" spans="1:8" x14ac:dyDescent="0.25">
      <c r="A2685" s="148">
        <v>44799</v>
      </c>
      <c r="B2685" s="149" t="s">
        <v>27447</v>
      </c>
      <c r="C2685" s="153" t="s">
        <v>857</v>
      </c>
      <c r="D2685" s="178">
        <v>1405.9</v>
      </c>
      <c r="E2685" s="155">
        <v>44799</v>
      </c>
      <c r="F2685" s="178">
        <v>1405.9</v>
      </c>
      <c r="G2685" s="179">
        <f>Tabla19[[#This Row],[Importe]]-Tabla19[[#This Row],[Pagado]]</f>
        <v>0</v>
      </c>
      <c r="H2685" s="153" t="s">
        <v>10</v>
      </c>
    </row>
    <row r="2686" spans="1:8" x14ac:dyDescent="0.25">
      <c r="A2686" s="73">
        <v>44799</v>
      </c>
      <c r="B2686" s="74" t="s">
        <v>27448</v>
      </c>
      <c r="C2686" s="75" t="s">
        <v>53</v>
      </c>
      <c r="D2686" s="176">
        <v>3082.5</v>
      </c>
      <c r="E2686" s="151">
        <v>44799</v>
      </c>
      <c r="F2686" s="176">
        <v>3082.5</v>
      </c>
      <c r="G2686" s="177">
        <f>Tabla19[[#This Row],[Importe]]-Tabla19[[#This Row],[Pagado]]</f>
        <v>0</v>
      </c>
      <c r="H2686" s="75" t="s">
        <v>10</v>
      </c>
    </row>
    <row r="2687" spans="1:8" x14ac:dyDescent="0.25">
      <c r="A2687" s="148">
        <v>44799</v>
      </c>
      <c r="B2687" s="149" t="s">
        <v>27449</v>
      </c>
      <c r="C2687" s="153" t="s">
        <v>10678</v>
      </c>
      <c r="D2687" s="178">
        <v>2635.3</v>
      </c>
      <c r="E2687" s="155">
        <v>44799</v>
      </c>
      <c r="F2687" s="178">
        <v>2635.3</v>
      </c>
      <c r="G2687" s="179">
        <f>Tabla19[[#This Row],[Importe]]-Tabla19[[#This Row],[Pagado]]</f>
        <v>0</v>
      </c>
      <c r="H2687" s="153" t="s">
        <v>10</v>
      </c>
    </row>
    <row r="2688" spans="1:8" x14ac:dyDescent="0.25">
      <c r="A2688" s="73">
        <v>44799</v>
      </c>
      <c r="B2688" s="74" t="s">
        <v>27450</v>
      </c>
      <c r="C2688" s="75" t="s">
        <v>10678</v>
      </c>
      <c r="D2688" s="176">
        <v>254.8</v>
      </c>
      <c r="E2688" s="151">
        <v>44799</v>
      </c>
      <c r="F2688" s="176">
        <v>254.8</v>
      </c>
      <c r="G2688" s="177">
        <f>Tabla19[[#This Row],[Importe]]-Tabla19[[#This Row],[Pagado]]</f>
        <v>0</v>
      </c>
      <c r="H2688" s="75" t="s">
        <v>10</v>
      </c>
    </row>
    <row r="2689" spans="1:8" x14ac:dyDescent="0.25">
      <c r="A2689" s="148">
        <v>44799</v>
      </c>
      <c r="B2689" s="149" t="s">
        <v>27451</v>
      </c>
      <c r="C2689" s="153" t="s">
        <v>1008</v>
      </c>
      <c r="D2689" s="178">
        <v>4242</v>
      </c>
      <c r="E2689" s="155">
        <v>44799</v>
      </c>
      <c r="F2689" s="178">
        <v>4242</v>
      </c>
      <c r="G2689" s="179">
        <f>Tabla19[[#This Row],[Importe]]-Tabla19[[#This Row],[Pagado]]</f>
        <v>0</v>
      </c>
      <c r="H2689" s="153" t="s">
        <v>10</v>
      </c>
    </row>
    <row r="2690" spans="1:8" x14ac:dyDescent="0.25">
      <c r="A2690" s="73">
        <v>44799</v>
      </c>
      <c r="B2690" s="74" t="s">
        <v>27452</v>
      </c>
      <c r="C2690" s="75" t="s">
        <v>69</v>
      </c>
      <c r="D2690" s="176">
        <v>2107.6</v>
      </c>
      <c r="E2690" s="151">
        <v>44799</v>
      </c>
      <c r="F2690" s="176">
        <v>2107.6</v>
      </c>
      <c r="G2690" s="177">
        <f>Tabla19[[#This Row],[Importe]]-Tabla19[[#This Row],[Pagado]]</f>
        <v>0</v>
      </c>
      <c r="H2690" s="75" t="s">
        <v>10</v>
      </c>
    </row>
    <row r="2691" spans="1:8" x14ac:dyDescent="0.25">
      <c r="A2691" s="148">
        <v>44799</v>
      </c>
      <c r="B2691" s="149" t="s">
        <v>27453</v>
      </c>
      <c r="C2691" s="153" t="s">
        <v>10190</v>
      </c>
      <c r="D2691" s="178">
        <v>21715.200000000001</v>
      </c>
      <c r="E2691" s="155">
        <v>44800</v>
      </c>
      <c r="F2691" s="178">
        <v>21715.200000000001</v>
      </c>
      <c r="G2691" s="179">
        <f>Tabla19[[#This Row],[Importe]]-Tabla19[[#This Row],[Pagado]]</f>
        <v>0</v>
      </c>
      <c r="H2691" s="153" t="s">
        <v>10</v>
      </c>
    </row>
    <row r="2692" spans="1:8" x14ac:dyDescent="0.25">
      <c r="A2692" s="73">
        <v>44799</v>
      </c>
      <c r="B2692" s="74" t="s">
        <v>27454</v>
      </c>
      <c r="C2692" s="75" t="s">
        <v>402</v>
      </c>
      <c r="D2692" s="176">
        <v>14848</v>
      </c>
      <c r="E2692" s="151">
        <v>44805</v>
      </c>
      <c r="F2692" s="176">
        <v>14848</v>
      </c>
      <c r="G2692" s="177">
        <f>Tabla19[[#This Row],[Importe]]-Tabla19[[#This Row],[Pagado]]</f>
        <v>0</v>
      </c>
      <c r="H2692" s="75" t="s">
        <v>10</v>
      </c>
    </row>
    <row r="2693" spans="1:8" x14ac:dyDescent="0.25">
      <c r="A2693" s="148">
        <v>44799</v>
      </c>
      <c r="B2693" s="149" t="s">
        <v>27455</v>
      </c>
      <c r="C2693" s="153" t="s">
        <v>400</v>
      </c>
      <c r="D2693" s="178">
        <v>4343.3999999999996</v>
      </c>
      <c r="E2693" s="155">
        <v>44805</v>
      </c>
      <c r="F2693" s="178">
        <v>4343.3999999999996</v>
      </c>
      <c r="G2693" s="179">
        <f>Tabla19[[#This Row],[Importe]]-Tabla19[[#This Row],[Pagado]]</f>
        <v>0</v>
      </c>
      <c r="H2693" s="153" t="s">
        <v>10</v>
      </c>
    </row>
    <row r="2694" spans="1:8" x14ac:dyDescent="0.25">
      <c r="A2694" s="73">
        <v>44799</v>
      </c>
      <c r="B2694" s="74" t="s">
        <v>27456</v>
      </c>
      <c r="C2694" s="75" t="s">
        <v>1421</v>
      </c>
      <c r="D2694" s="176">
        <v>65597.399999999994</v>
      </c>
      <c r="E2694" s="151">
        <v>44799</v>
      </c>
      <c r="F2694" s="176">
        <v>65597.399999999994</v>
      </c>
      <c r="G2694" s="177">
        <f>Tabla19[[#This Row],[Importe]]-Tabla19[[#This Row],[Pagado]]</f>
        <v>0</v>
      </c>
      <c r="H2694" s="75" t="s">
        <v>10</v>
      </c>
    </row>
    <row r="2695" spans="1:8" x14ac:dyDescent="0.25">
      <c r="A2695" s="148">
        <v>44799</v>
      </c>
      <c r="B2695" s="149" t="s">
        <v>27457</v>
      </c>
      <c r="C2695" s="153" t="s">
        <v>1421</v>
      </c>
      <c r="D2695" s="178">
        <v>253.5</v>
      </c>
      <c r="E2695" s="155">
        <v>44799</v>
      </c>
      <c r="F2695" s="178">
        <v>253.5</v>
      </c>
      <c r="G2695" s="179">
        <f>Tabla19[[#This Row],[Importe]]-Tabla19[[#This Row],[Pagado]]</f>
        <v>0</v>
      </c>
      <c r="H2695" s="153" t="s">
        <v>10</v>
      </c>
    </row>
    <row r="2696" spans="1:8" x14ac:dyDescent="0.25">
      <c r="A2696" s="73">
        <v>44799</v>
      </c>
      <c r="B2696" s="74" t="s">
        <v>27458</v>
      </c>
      <c r="C2696" s="75" t="s">
        <v>8501</v>
      </c>
      <c r="D2696" s="176">
        <v>9430.7999999999993</v>
      </c>
      <c r="E2696" s="151">
        <v>44799</v>
      </c>
      <c r="F2696" s="176">
        <v>9430.7999999999993</v>
      </c>
      <c r="G2696" s="177">
        <f>Tabla19[[#This Row],[Importe]]-Tabla19[[#This Row],[Pagado]]</f>
        <v>0</v>
      </c>
      <c r="H2696" s="75" t="s">
        <v>10</v>
      </c>
    </row>
    <row r="2697" spans="1:8" x14ac:dyDescent="0.25">
      <c r="A2697" s="148">
        <v>44799</v>
      </c>
      <c r="B2697" s="149" t="s">
        <v>27459</v>
      </c>
      <c r="C2697" s="153" t="s">
        <v>13392</v>
      </c>
      <c r="D2697" s="178">
        <v>0</v>
      </c>
      <c r="E2697" s="158" t="s">
        <v>189</v>
      </c>
      <c r="F2697" s="178">
        <v>0</v>
      </c>
      <c r="G2697" s="179">
        <f>Tabla19[[#This Row],[Importe]]-Tabla19[[#This Row],[Pagado]]</f>
        <v>0</v>
      </c>
      <c r="H2697" s="159" t="s">
        <v>27460</v>
      </c>
    </row>
    <row r="2698" spans="1:8" x14ac:dyDescent="0.25">
      <c r="A2698" s="73">
        <v>44799</v>
      </c>
      <c r="B2698" s="74" t="s">
        <v>27461</v>
      </c>
      <c r="C2698" s="75" t="s">
        <v>454</v>
      </c>
      <c r="D2698" s="176">
        <v>2000</v>
      </c>
      <c r="E2698" s="151">
        <v>44799</v>
      </c>
      <c r="F2698" s="176">
        <v>2000</v>
      </c>
      <c r="G2698" s="177">
        <f>Tabla19[[#This Row],[Importe]]-Tabla19[[#This Row],[Pagado]]</f>
        <v>0</v>
      </c>
      <c r="H2698" s="75" t="s">
        <v>10</v>
      </c>
    </row>
    <row r="2699" spans="1:8" x14ac:dyDescent="0.25">
      <c r="A2699" s="148">
        <v>44799</v>
      </c>
      <c r="B2699" s="149" t="s">
        <v>27462</v>
      </c>
      <c r="C2699" s="153" t="s">
        <v>275</v>
      </c>
      <c r="D2699" s="178">
        <v>102947.04</v>
      </c>
      <c r="E2699" s="155" t="s">
        <v>4813</v>
      </c>
      <c r="F2699" s="178">
        <v>0</v>
      </c>
      <c r="G2699" s="179">
        <f>Tabla19[[#This Row],[Importe]]-Tabla19[[#This Row],[Pagado]]</f>
        <v>102947.04</v>
      </c>
      <c r="H2699" s="153" t="s">
        <v>4814</v>
      </c>
    </row>
    <row r="2700" spans="1:8" x14ac:dyDescent="0.25">
      <c r="A2700" s="73">
        <v>44799</v>
      </c>
      <c r="B2700" s="74" t="s">
        <v>27463</v>
      </c>
      <c r="C2700" s="75" t="s">
        <v>14743</v>
      </c>
      <c r="D2700" s="176">
        <v>0</v>
      </c>
      <c r="E2700" s="157" t="s">
        <v>189</v>
      </c>
      <c r="F2700" s="176">
        <v>0</v>
      </c>
      <c r="G2700" s="177">
        <f>Tabla19[[#This Row],[Importe]]-Tabla19[[#This Row],[Pagado]]</f>
        <v>0</v>
      </c>
      <c r="H2700" s="75" t="s">
        <v>189</v>
      </c>
    </row>
    <row r="2701" spans="1:8" x14ac:dyDescent="0.25">
      <c r="A2701" s="148">
        <v>44799</v>
      </c>
      <c r="B2701" s="149" t="s">
        <v>27464</v>
      </c>
      <c r="C2701" s="153" t="s">
        <v>296</v>
      </c>
      <c r="D2701" s="178">
        <v>1466.4</v>
      </c>
      <c r="E2701" s="155">
        <v>44799</v>
      </c>
      <c r="F2701" s="178">
        <v>1466.4</v>
      </c>
      <c r="G2701" s="179">
        <f>Tabla19[[#This Row],[Importe]]-Tabla19[[#This Row],[Pagado]]</f>
        <v>0</v>
      </c>
      <c r="H2701" s="153" t="s">
        <v>10</v>
      </c>
    </row>
    <row r="2702" spans="1:8" x14ac:dyDescent="0.25">
      <c r="A2702" s="73">
        <v>44799</v>
      </c>
      <c r="B2702" s="74" t="s">
        <v>27465</v>
      </c>
      <c r="C2702" s="75" t="s">
        <v>414</v>
      </c>
      <c r="D2702" s="176">
        <v>22185.200000000001</v>
      </c>
      <c r="E2702" s="151" t="s">
        <v>26221</v>
      </c>
      <c r="F2702" s="176">
        <v>22185.200000000001</v>
      </c>
      <c r="G2702" s="177">
        <f>Tabla19[[#This Row],[Importe]]-Tabla19[[#This Row],[Pagado]]</f>
        <v>0</v>
      </c>
      <c r="H2702" s="75" t="s">
        <v>10</v>
      </c>
    </row>
    <row r="2703" spans="1:8" x14ac:dyDescent="0.25">
      <c r="A2703" s="148">
        <v>44799</v>
      </c>
      <c r="B2703" s="149" t="s">
        <v>27466</v>
      </c>
      <c r="C2703" s="153" t="s">
        <v>670</v>
      </c>
      <c r="D2703" s="178">
        <v>4358.1000000000004</v>
      </c>
      <c r="E2703" s="155">
        <v>44803</v>
      </c>
      <c r="F2703" s="178">
        <v>4358.1000000000004</v>
      </c>
      <c r="G2703" s="179">
        <f>Tabla19[[#This Row],[Importe]]-Tabla19[[#This Row],[Pagado]]</f>
        <v>0</v>
      </c>
      <c r="H2703" s="153" t="s">
        <v>10</v>
      </c>
    </row>
    <row r="2704" spans="1:8" x14ac:dyDescent="0.25">
      <c r="A2704" s="73">
        <v>44799</v>
      </c>
      <c r="B2704" s="74" t="s">
        <v>27467</v>
      </c>
      <c r="C2704" s="75" t="s">
        <v>1265</v>
      </c>
      <c r="D2704" s="176">
        <v>615</v>
      </c>
      <c r="E2704" s="151">
        <v>44799</v>
      </c>
      <c r="F2704" s="176">
        <v>615</v>
      </c>
      <c r="G2704" s="177">
        <f>Tabla19[[#This Row],[Importe]]-Tabla19[[#This Row],[Pagado]]</f>
        <v>0</v>
      </c>
      <c r="H2704" s="75" t="s">
        <v>10</v>
      </c>
    </row>
    <row r="2705" spans="1:8" x14ac:dyDescent="0.25">
      <c r="A2705" s="148">
        <v>44799</v>
      </c>
      <c r="B2705" s="149" t="s">
        <v>27468</v>
      </c>
      <c r="C2705" s="153" t="s">
        <v>5694</v>
      </c>
      <c r="D2705" s="178">
        <v>4462.2</v>
      </c>
      <c r="E2705" s="155">
        <v>44799</v>
      </c>
      <c r="F2705" s="178">
        <v>4462.2</v>
      </c>
      <c r="G2705" s="179">
        <f>Tabla19[[#This Row],[Importe]]-Tabla19[[#This Row],[Pagado]]</f>
        <v>0</v>
      </c>
      <c r="H2705" s="153" t="s">
        <v>10</v>
      </c>
    </row>
    <row r="2706" spans="1:8" x14ac:dyDescent="0.25">
      <c r="A2706" s="73">
        <v>44799</v>
      </c>
      <c r="B2706" s="74" t="s">
        <v>27469</v>
      </c>
      <c r="C2706" s="75" t="s">
        <v>7313</v>
      </c>
      <c r="D2706" s="176">
        <v>4730.6000000000004</v>
      </c>
      <c r="E2706" s="151">
        <v>44799</v>
      </c>
      <c r="F2706" s="176">
        <v>4730.6000000000004</v>
      </c>
      <c r="G2706" s="177">
        <f>Tabla19[[#This Row],[Importe]]-Tabla19[[#This Row],[Pagado]]</f>
        <v>0</v>
      </c>
      <c r="H2706" s="75" t="s">
        <v>10</v>
      </c>
    </row>
    <row r="2707" spans="1:8" x14ac:dyDescent="0.25">
      <c r="A2707" s="148">
        <v>44799</v>
      </c>
      <c r="B2707" s="149" t="s">
        <v>27470</v>
      </c>
      <c r="C2707" s="153" t="s">
        <v>7313</v>
      </c>
      <c r="D2707" s="178">
        <v>693</v>
      </c>
      <c r="E2707" s="155">
        <v>44799</v>
      </c>
      <c r="F2707" s="178">
        <v>693</v>
      </c>
      <c r="G2707" s="179">
        <f>Tabla19[[#This Row],[Importe]]-Tabla19[[#This Row],[Pagado]]</f>
        <v>0</v>
      </c>
      <c r="H2707" s="153" t="s">
        <v>10</v>
      </c>
    </row>
    <row r="2708" spans="1:8" x14ac:dyDescent="0.25">
      <c r="A2708" s="73">
        <v>44799</v>
      </c>
      <c r="B2708" s="74" t="s">
        <v>27471</v>
      </c>
      <c r="C2708" s="75" t="s">
        <v>31</v>
      </c>
      <c r="D2708" s="176">
        <v>400</v>
      </c>
      <c r="E2708" s="151">
        <v>44799</v>
      </c>
      <c r="F2708" s="176">
        <v>400</v>
      </c>
      <c r="G2708" s="177">
        <f>Tabla19[[#This Row],[Importe]]-Tabla19[[#This Row],[Pagado]]</f>
        <v>0</v>
      </c>
      <c r="H2708" s="75" t="s">
        <v>10</v>
      </c>
    </row>
    <row r="2709" spans="1:8" x14ac:dyDescent="0.25">
      <c r="A2709" s="148">
        <v>44799</v>
      </c>
      <c r="B2709" s="149" t="s">
        <v>27472</v>
      </c>
      <c r="C2709" s="153" t="s">
        <v>27473</v>
      </c>
      <c r="D2709" s="178">
        <v>59976</v>
      </c>
      <c r="E2709" s="155">
        <v>44799</v>
      </c>
      <c r="F2709" s="178">
        <v>59976</v>
      </c>
      <c r="G2709" s="179">
        <f>Tabla19[[#This Row],[Importe]]-Tabla19[[#This Row],[Pagado]]</f>
        <v>0</v>
      </c>
      <c r="H2709" s="153" t="s">
        <v>10</v>
      </c>
    </row>
    <row r="2710" spans="1:8" x14ac:dyDescent="0.25">
      <c r="A2710" s="73">
        <v>44799</v>
      </c>
      <c r="B2710" s="74" t="s">
        <v>27474</v>
      </c>
      <c r="C2710" s="75" t="s">
        <v>196</v>
      </c>
      <c r="D2710" s="176">
        <v>42523.44</v>
      </c>
      <c r="E2710" s="151" t="s">
        <v>25549</v>
      </c>
      <c r="F2710" s="176">
        <v>42523.44</v>
      </c>
      <c r="G2710" s="177">
        <f>Tabla19[[#This Row],[Importe]]-Tabla19[[#This Row],[Pagado]]</f>
        <v>0</v>
      </c>
      <c r="H2710" s="75" t="s">
        <v>10</v>
      </c>
    </row>
    <row r="2711" spans="1:8" x14ac:dyDescent="0.25">
      <c r="A2711" s="148">
        <v>44800</v>
      </c>
      <c r="B2711" s="149" t="s">
        <v>27475</v>
      </c>
      <c r="C2711" s="153" t="s">
        <v>887</v>
      </c>
      <c r="D2711" s="178">
        <v>22403.599999999999</v>
      </c>
      <c r="E2711" s="155">
        <v>44800</v>
      </c>
      <c r="F2711" s="178">
        <v>22403.599999999999</v>
      </c>
      <c r="G2711" s="179">
        <f>Tabla19[[#This Row],[Importe]]-Tabla19[[#This Row],[Pagado]]</f>
        <v>0</v>
      </c>
      <c r="H2711" s="153" t="s">
        <v>10</v>
      </c>
    </row>
    <row r="2712" spans="1:8" x14ac:dyDescent="0.25">
      <c r="A2712" s="73">
        <v>44800</v>
      </c>
      <c r="B2712" s="74" t="s">
        <v>27476</v>
      </c>
      <c r="C2712" s="75" t="s">
        <v>475</v>
      </c>
      <c r="D2712" s="176">
        <v>52890.8</v>
      </c>
      <c r="E2712" s="151">
        <v>44801</v>
      </c>
      <c r="F2712" s="176">
        <v>52890.8</v>
      </c>
      <c r="G2712" s="177">
        <f>Tabla19[[#This Row],[Importe]]-Tabla19[[#This Row],[Pagado]]</f>
        <v>0</v>
      </c>
      <c r="H2712" s="75" t="s">
        <v>10</v>
      </c>
    </row>
    <row r="2713" spans="1:8" x14ac:dyDescent="0.25">
      <c r="A2713" s="148">
        <v>44800</v>
      </c>
      <c r="B2713" s="149" t="s">
        <v>27477</v>
      </c>
      <c r="C2713" s="153" t="s">
        <v>12</v>
      </c>
      <c r="D2713" s="178">
        <v>24599.4</v>
      </c>
      <c r="E2713" s="155">
        <v>44800</v>
      </c>
      <c r="F2713" s="178">
        <v>24599.4</v>
      </c>
      <c r="G2713" s="179">
        <f>Tabla19[[#This Row],[Importe]]-Tabla19[[#This Row],[Pagado]]</f>
        <v>0</v>
      </c>
      <c r="H2713" s="153" t="s">
        <v>10</v>
      </c>
    </row>
    <row r="2714" spans="1:8" x14ac:dyDescent="0.25">
      <c r="A2714" s="73">
        <v>44800</v>
      </c>
      <c r="B2714" s="74" t="s">
        <v>27478</v>
      </c>
      <c r="C2714" s="75" t="s">
        <v>31</v>
      </c>
      <c r="D2714" s="176">
        <v>8526.1</v>
      </c>
      <c r="E2714" s="151">
        <v>44800</v>
      </c>
      <c r="F2714" s="176">
        <v>8526.1</v>
      </c>
      <c r="G2714" s="177">
        <f>Tabla19[[#This Row],[Importe]]-Tabla19[[#This Row],[Pagado]]</f>
        <v>0</v>
      </c>
      <c r="H2714" s="75" t="s">
        <v>10</v>
      </c>
    </row>
    <row r="2715" spans="1:8" x14ac:dyDescent="0.25">
      <c r="A2715" s="148">
        <v>44800</v>
      </c>
      <c r="B2715" s="149" t="s">
        <v>27479</v>
      </c>
      <c r="C2715" s="153" t="s">
        <v>95</v>
      </c>
      <c r="D2715" s="178">
        <v>21576</v>
      </c>
      <c r="E2715" s="155">
        <v>44800</v>
      </c>
      <c r="F2715" s="178">
        <v>21576</v>
      </c>
      <c r="G2715" s="179">
        <f>Tabla19[[#This Row],[Importe]]-Tabla19[[#This Row],[Pagado]]</f>
        <v>0</v>
      </c>
      <c r="H2715" s="153" t="s">
        <v>10</v>
      </c>
    </row>
    <row r="2716" spans="1:8" x14ac:dyDescent="0.25">
      <c r="A2716" s="73">
        <v>44800</v>
      </c>
      <c r="B2716" s="74" t="s">
        <v>27480</v>
      </c>
      <c r="C2716" s="75" t="s">
        <v>109</v>
      </c>
      <c r="D2716" s="176">
        <v>6281.1</v>
      </c>
      <c r="E2716" s="151">
        <v>44802</v>
      </c>
      <c r="F2716" s="176">
        <v>6281.1</v>
      </c>
      <c r="G2716" s="177">
        <f>Tabla19[[#This Row],[Importe]]-Tabla19[[#This Row],[Pagado]]</f>
        <v>0</v>
      </c>
      <c r="H2716" s="75" t="s">
        <v>10</v>
      </c>
    </row>
    <row r="2717" spans="1:8" x14ac:dyDescent="0.25">
      <c r="A2717" s="148">
        <v>44800</v>
      </c>
      <c r="B2717" s="149" t="s">
        <v>27481</v>
      </c>
      <c r="C2717" s="153" t="s">
        <v>60</v>
      </c>
      <c r="D2717" s="178">
        <v>5070</v>
      </c>
      <c r="E2717" s="155" t="s">
        <v>27482</v>
      </c>
      <c r="F2717" s="178">
        <v>5070</v>
      </c>
      <c r="G2717" s="179">
        <f>Tabla19[[#This Row],[Importe]]-Tabla19[[#This Row],[Pagado]]</f>
        <v>0</v>
      </c>
      <c r="H2717" s="153" t="s">
        <v>10</v>
      </c>
    </row>
    <row r="2718" spans="1:8" x14ac:dyDescent="0.25">
      <c r="A2718" s="73">
        <v>44800</v>
      </c>
      <c r="B2718" s="74" t="s">
        <v>27483</v>
      </c>
      <c r="C2718" s="75" t="s">
        <v>89</v>
      </c>
      <c r="D2718" s="176">
        <v>5740</v>
      </c>
      <c r="E2718" s="151">
        <v>44802</v>
      </c>
      <c r="F2718" s="176">
        <v>5740</v>
      </c>
      <c r="G2718" s="177">
        <f>Tabla19[[#This Row],[Importe]]-Tabla19[[#This Row],[Pagado]]</f>
        <v>0</v>
      </c>
      <c r="H2718" s="75" t="s">
        <v>10</v>
      </c>
    </row>
    <row r="2719" spans="1:8" x14ac:dyDescent="0.25">
      <c r="A2719" s="148">
        <v>44800</v>
      </c>
      <c r="B2719" s="149" t="s">
        <v>27484</v>
      </c>
      <c r="C2719" s="153" t="s">
        <v>64</v>
      </c>
      <c r="D2719" s="178">
        <v>9672</v>
      </c>
      <c r="E2719" s="155">
        <v>44802</v>
      </c>
      <c r="F2719" s="178">
        <v>9672</v>
      </c>
      <c r="G2719" s="179">
        <f>Tabla19[[#This Row],[Importe]]-Tabla19[[#This Row],[Pagado]]</f>
        <v>0</v>
      </c>
      <c r="H2719" s="153" t="s">
        <v>10</v>
      </c>
    </row>
    <row r="2720" spans="1:8" x14ac:dyDescent="0.25">
      <c r="A2720" s="73">
        <v>44800</v>
      </c>
      <c r="B2720" s="74" t="s">
        <v>27485</v>
      </c>
      <c r="C2720" s="75" t="s">
        <v>348</v>
      </c>
      <c r="D2720" s="176">
        <v>7957.6</v>
      </c>
      <c r="E2720" s="151">
        <v>44800</v>
      </c>
      <c r="F2720" s="176">
        <v>7957.6</v>
      </c>
      <c r="G2720" s="177">
        <f>Tabla19[[#This Row],[Importe]]-Tabla19[[#This Row],[Pagado]]</f>
        <v>0</v>
      </c>
      <c r="H2720" s="75" t="s">
        <v>10</v>
      </c>
    </row>
    <row r="2721" spans="1:8" x14ac:dyDescent="0.25">
      <c r="A2721" s="148">
        <v>44800</v>
      </c>
      <c r="B2721" s="149" t="s">
        <v>27486</v>
      </c>
      <c r="C2721" s="153" t="s">
        <v>111</v>
      </c>
      <c r="D2721" s="178">
        <v>11705.4</v>
      </c>
      <c r="E2721" s="155">
        <v>44802</v>
      </c>
      <c r="F2721" s="178">
        <v>11705.4</v>
      </c>
      <c r="G2721" s="179">
        <f>Tabla19[[#This Row],[Importe]]-Tabla19[[#This Row],[Pagado]]</f>
        <v>0</v>
      </c>
      <c r="H2721" s="153" t="s">
        <v>10</v>
      </c>
    </row>
    <row r="2722" spans="1:8" x14ac:dyDescent="0.25">
      <c r="A2722" s="73">
        <v>44800</v>
      </c>
      <c r="B2722" s="74" t="s">
        <v>27487</v>
      </c>
      <c r="C2722" s="75" t="s">
        <v>345</v>
      </c>
      <c r="D2722" s="176">
        <v>494</v>
      </c>
      <c r="E2722" s="151">
        <v>44800</v>
      </c>
      <c r="F2722" s="176">
        <v>494</v>
      </c>
      <c r="G2722" s="177">
        <f>Tabla19[[#This Row],[Importe]]-Tabla19[[#This Row],[Pagado]]</f>
        <v>0</v>
      </c>
      <c r="H2722" s="75" t="s">
        <v>10</v>
      </c>
    </row>
    <row r="2723" spans="1:8" x14ac:dyDescent="0.25">
      <c r="A2723" s="148">
        <v>44800</v>
      </c>
      <c r="B2723" s="149" t="s">
        <v>27488</v>
      </c>
      <c r="C2723" s="153" t="s">
        <v>97</v>
      </c>
      <c r="D2723" s="178">
        <v>4608.5</v>
      </c>
      <c r="E2723" s="155">
        <v>44802</v>
      </c>
      <c r="F2723" s="178">
        <v>4608.5</v>
      </c>
      <c r="G2723" s="179">
        <f>Tabla19[[#This Row],[Importe]]-Tabla19[[#This Row],[Pagado]]</f>
        <v>0</v>
      </c>
      <c r="H2723" s="153" t="s">
        <v>10</v>
      </c>
    </row>
    <row r="2724" spans="1:8" x14ac:dyDescent="0.25">
      <c r="A2724" s="73">
        <v>44800</v>
      </c>
      <c r="B2724" s="74" t="s">
        <v>27489</v>
      </c>
      <c r="C2724" s="75" t="s">
        <v>326</v>
      </c>
      <c r="D2724" s="176">
        <v>15418</v>
      </c>
      <c r="E2724" s="151">
        <v>44802</v>
      </c>
      <c r="F2724" s="176">
        <v>15418</v>
      </c>
      <c r="G2724" s="177">
        <f>Tabla19[[#This Row],[Importe]]-Tabla19[[#This Row],[Pagado]]</f>
        <v>0</v>
      </c>
      <c r="H2724" s="75" t="s">
        <v>10</v>
      </c>
    </row>
    <row r="2725" spans="1:8" x14ac:dyDescent="0.25">
      <c r="A2725" s="148">
        <v>44800</v>
      </c>
      <c r="B2725" s="149" t="s">
        <v>27490</v>
      </c>
      <c r="C2725" s="153" t="s">
        <v>5043</v>
      </c>
      <c r="D2725" s="178">
        <v>5713.5</v>
      </c>
      <c r="E2725" s="155">
        <v>44802</v>
      </c>
      <c r="F2725" s="178">
        <v>5713.5</v>
      </c>
      <c r="G2725" s="179">
        <f>Tabla19[[#This Row],[Importe]]-Tabla19[[#This Row],[Pagado]]</f>
        <v>0</v>
      </c>
      <c r="H2725" s="153" t="s">
        <v>10</v>
      </c>
    </row>
    <row r="2726" spans="1:8" x14ac:dyDescent="0.25">
      <c r="A2726" s="73">
        <v>44800</v>
      </c>
      <c r="B2726" s="74" t="s">
        <v>27491</v>
      </c>
      <c r="C2726" s="75" t="s">
        <v>24768</v>
      </c>
      <c r="D2726" s="176">
        <v>4554</v>
      </c>
      <c r="E2726" s="151">
        <v>44800</v>
      </c>
      <c r="F2726" s="176">
        <v>4554</v>
      </c>
      <c r="G2726" s="177">
        <f>Tabla19[[#This Row],[Importe]]-Tabla19[[#This Row],[Pagado]]</f>
        <v>0</v>
      </c>
      <c r="H2726" s="75" t="s">
        <v>10</v>
      </c>
    </row>
    <row r="2727" spans="1:8" ht="31.5" x14ac:dyDescent="0.25">
      <c r="A2727" s="148">
        <v>44800</v>
      </c>
      <c r="B2727" s="149" t="s">
        <v>27492</v>
      </c>
      <c r="C2727" s="153" t="s">
        <v>99</v>
      </c>
      <c r="D2727" s="178">
        <v>14806.4</v>
      </c>
      <c r="E2727" s="150" t="s">
        <v>27493</v>
      </c>
      <c r="F2727" s="178">
        <f>8000+6806.4</f>
        <v>14806.4</v>
      </c>
      <c r="G2727" s="179">
        <f>Tabla19[[#This Row],[Importe]]-Tabla19[[#This Row],[Pagado]]</f>
        <v>0</v>
      </c>
      <c r="H2727" s="153" t="s">
        <v>10</v>
      </c>
    </row>
    <row r="2728" spans="1:8" x14ac:dyDescent="0.25">
      <c r="A2728" s="73">
        <v>44800</v>
      </c>
      <c r="B2728" s="74" t="s">
        <v>27494</v>
      </c>
      <c r="C2728" s="75" t="s">
        <v>114</v>
      </c>
      <c r="D2728" s="176">
        <v>19164.599999999999</v>
      </c>
      <c r="E2728" s="151">
        <v>44802</v>
      </c>
      <c r="F2728" s="176">
        <v>19164.599999999999</v>
      </c>
      <c r="G2728" s="177">
        <f>Tabla19[[#This Row],[Importe]]-Tabla19[[#This Row],[Pagado]]</f>
        <v>0</v>
      </c>
      <c r="H2728" s="75" t="s">
        <v>10</v>
      </c>
    </row>
    <row r="2729" spans="1:8" x14ac:dyDescent="0.25">
      <c r="A2729" s="148">
        <v>44800</v>
      </c>
      <c r="B2729" s="149" t="s">
        <v>27495</v>
      </c>
      <c r="C2729" s="153" t="s">
        <v>2151</v>
      </c>
      <c r="D2729" s="178">
        <v>46159.4</v>
      </c>
      <c r="E2729" s="155">
        <v>44800</v>
      </c>
      <c r="F2729" s="178">
        <v>46159.4</v>
      </c>
      <c r="G2729" s="179">
        <f>Tabla19[[#This Row],[Importe]]-Tabla19[[#This Row],[Pagado]]</f>
        <v>0</v>
      </c>
      <c r="H2729" s="153" t="s">
        <v>10</v>
      </c>
    </row>
    <row r="2730" spans="1:8" ht="47.25" x14ac:dyDescent="0.25">
      <c r="A2730" s="73">
        <v>44800</v>
      </c>
      <c r="B2730" s="74" t="s">
        <v>27496</v>
      </c>
      <c r="C2730" s="75" t="s">
        <v>93</v>
      </c>
      <c r="D2730" s="176">
        <v>20332.599999999999</v>
      </c>
      <c r="E2730" s="147" t="s">
        <v>27497</v>
      </c>
      <c r="F2730" s="176">
        <f>5000+11000+4332.6</f>
        <v>20332.599999999999</v>
      </c>
      <c r="G2730" s="177">
        <f>Tabla19[[#This Row],[Importe]]-Tabla19[[#This Row],[Pagado]]</f>
        <v>0</v>
      </c>
      <c r="H2730" s="75" t="s">
        <v>10</v>
      </c>
    </row>
    <row r="2731" spans="1:8" x14ac:dyDescent="0.25">
      <c r="A2731" s="148">
        <v>44800</v>
      </c>
      <c r="B2731" s="149" t="s">
        <v>27498</v>
      </c>
      <c r="C2731" s="153" t="s">
        <v>105</v>
      </c>
      <c r="D2731" s="178">
        <v>10987.2</v>
      </c>
      <c r="E2731" s="155">
        <v>44802</v>
      </c>
      <c r="F2731" s="178">
        <v>10987.2</v>
      </c>
      <c r="G2731" s="179">
        <f>Tabla19[[#This Row],[Importe]]-Tabla19[[#This Row],[Pagado]]</f>
        <v>0</v>
      </c>
      <c r="H2731" s="153" t="s">
        <v>10</v>
      </c>
    </row>
    <row r="2732" spans="1:8" x14ac:dyDescent="0.25">
      <c r="A2732" s="73">
        <v>44800</v>
      </c>
      <c r="B2732" s="74" t="s">
        <v>27499</v>
      </c>
      <c r="C2732" s="75" t="s">
        <v>314</v>
      </c>
      <c r="D2732" s="176">
        <v>3351.2</v>
      </c>
      <c r="E2732" s="151">
        <v>44800</v>
      </c>
      <c r="F2732" s="176">
        <v>3351.2</v>
      </c>
      <c r="G2732" s="177">
        <f>Tabla19[[#This Row],[Importe]]-Tabla19[[#This Row],[Pagado]]</f>
        <v>0</v>
      </c>
      <c r="H2732" s="75" t="s">
        <v>10</v>
      </c>
    </row>
    <row r="2733" spans="1:8" x14ac:dyDescent="0.25">
      <c r="A2733" s="148">
        <v>44800</v>
      </c>
      <c r="B2733" s="149" t="s">
        <v>27500</v>
      </c>
      <c r="C2733" s="153" t="s">
        <v>9</v>
      </c>
      <c r="D2733" s="178">
        <v>10231.299999999999</v>
      </c>
      <c r="E2733" s="155">
        <v>44800</v>
      </c>
      <c r="F2733" s="178">
        <v>10231.299999999999</v>
      </c>
      <c r="G2733" s="179">
        <f>Tabla19[[#This Row],[Importe]]-Tabla19[[#This Row],[Pagado]]</f>
        <v>0</v>
      </c>
      <c r="H2733" s="153" t="s">
        <v>10</v>
      </c>
    </row>
    <row r="2734" spans="1:8" x14ac:dyDescent="0.25">
      <c r="A2734" s="73">
        <v>44800</v>
      </c>
      <c r="B2734" s="74" t="s">
        <v>27501</v>
      </c>
      <c r="C2734" s="75" t="s">
        <v>426</v>
      </c>
      <c r="D2734" s="176">
        <v>4373.2</v>
      </c>
      <c r="E2734" s="151">
        <v>44800</v>
      </c>
      <c r="F2734" s="176">
        <v>4373.2</v>
      </c>
      <c r="G2734" s="177">
        <f>Tabla19[[#This Row],[Importe]]-Tabla19[[#This Row],[Pagado]]</f>
        <v>0</v>
      </c>
      <c r="H2734" s="75" t="s">
        <v>10</v>
      </c>
    </row>
    <row r="2735" spans="1:8" x14ac:dyDescent="0.25">
      <c r="A2735" s="148">
        <v>44800</v>
      </c>
      <c r="B2735" s="149" t="s">
        <v>27502</v>
      </c>
      <c r="C2735" s="153" t="s">
        <v>181</v>
      </c>
      <c r="D2735" s="178">
        <v>11095</v>
      </c>
      <c r="E2735" s="155">
        <v>44800</v>
      </c>
      <c r="F2735" s="178">
        <v>11095</v>
      </c>
      <c r="G2735" s="179">
        <f>Tabla19[[#This Row],[Importe]]-Tabla19[[#This Row],[Pagado]]</f>
        <v>0</v>
      </c>
      <c r="H2735" s="153" t="s">
        <v>10</v>
      </c>
    </row>
    <row r="2736" spans="1:8" x14ac:dyDescent="0.25">
      <c r="A2736" s="73">
        <v>44800</v>
      </c>
      <c r="B2736" s="74" t="s">
        <v>27503</v>
      </c>
      <c r="C2736" s="75" t="s">
        <v>87</v>
      </c>
      <c r="D2736" s="176">
        <v>4589.3999999999996</v>
      </c>
      <c r="E2736" s="151">
        <v>44800</v>
      </c>
      <c r="F2736" s="176">
        <v>4589.3999999999996</v>
      </c>
      <c r="G2736" s="177">
        <f>Tabla19[[#This Row],[Importe]]-Tabla19[[#This Row],[Pagado]]</f>
        <v>0</v>
      </c>
      <c r="H2736" s="75" t="s">
        <v>10</v>
      </c>
    </row>
    <row r="2737" spans="1:8" x14ac:dyDescent="0.25">
      <c r="A2737" s="148">
        <v>44800</v>
      </c>
      <c r="B2737" s="149" t="s">
        <v>27504</v>
      </c>
      <c r="C2737" s="153" t="s">
        <v>105</v>
      </c>
      <c r="D2737" s="178">
        <v>1344</v>
      </c>
      <c r="E2737" s="155">
        <v>44802</v>
      </c>
      <c r="F2737" s="178">
        <v>1344</v>
      </c>
      <c r="G2737" s="179">
        <f>Tabla19[[#This Row],[Importe]]-Tabla19[[#This Row],[Pagado]]</f>
        <v>0</v>
      </c>
      <c r="H2737" s="153" t="s">
        <v>10</v>
      </c>
    </row>
    <row r="2738" spans="1:8" x14ac:dyDescent="0.25">
      <c r="A2738" s="73">
        <v>44800</v>
      </c>
      <c r="B2738" s="74" t="s">
        <v>27505</v>
      </c>
      <c r="C2738" s="75" t="s">
        <v>22</v>
      </c>
      <c r="D2738" s="176">
        <v>61894</v>
      </c>
      <c r="E2738" s="151">
        <v>44801</v>
      </c>
      <c r="F2738" s="176">
        <v>61894</v>
      </c>
      <c r="G2738" s="177">
        <f>Tabla19[[#This Row],[Importe]]-Tabla19[[#This Row],[Pagado]]</f>
        <v>0</v>
      </c>
      <c r="H2738" s="75" t="s">
        <v>10</v>
      </c>
    </row>
    <row r="2739" spans="1:8" x14ac:dyDescent="0.25">
      <c r="A2739" s="148">
        <v>44800</v>
      </c>
      <c r="B2739" s="149" t="s">
        <v>27506</v>
      </c>
      <c r="C2739" s="153" t="s">
        <v>105</v>
      </c>
      <c r="D2739" s="178">
        <v>5222.1000000000004</v>
      </c>
      <c r="E2739" s="155">
        <v>44802</v>
      </c>
      <c r="F2739" s="178">
        <v>5222.1000000000004</v>
      </c>
      <c r="G2739" s="179">
        <f>Tabla19[[#This Row],[Importe]]-Tabla19[[#This Row],[Pagado]]</f>
        <v>0</v>
      </c>
      <c r="H2739" s="153" t="s">
        <v>10</v>
      </c>
    </row>
    <row r="2740" spans="1:8" x14ac:dyDescent="0.25">
      <c r="A2740" s="73">
        <v>44800</v>
      </c>
      <c r="B2740" s="74" t="s">
        <v>27507</v>
      </c>
      <c r="C2740" s="75" t="s">
        <v>99</v>
      </c>
      <c r="D2740" s="176">
        <v>12594.8</v>
      </c>
      <c r="E2740" s="151">
        <v>44800</v>
      </c>
      <c r="F2740" s="176">
        <v>12594.8</v>
      </c>
      <c r="G2740" s="177">
        <f>Tabla19[[#This Row],[Importe]]-Tabla19[[#This Row],[Pagado]]</f>
        <v>0</v>
      </c>
      <c r="H2740" s="75" t="s">
        <v>10</v>
      </c>
    </row>
    <row r="2741" spans="1:8" ht="31.5" x14ac:dyDescent="0.25">
      <c r="A2741" s="148">
        <v>44800</v>
      </c>
      <c r="B2741" s="149" t="s">
        <v>27508</v>
      </c>
      <c r="C2741" s="160" t="s">
        <v>23769</v>
      </c>
      <c r="D2741" s="178">
        <v>0</v>
      </c>
      <c r="E2741" s="158" t="s">
        <v>189</v>
      </c>
      <c r="F2741" s="178">
        <v>0</v>
      </c>
      <c r="G2741" s="179">
        <f>Tabla19[[#This Row],[Importe]]-Tabla19[[#This Row],[Pagado]]</f>
        <v>0</v>
      </c>
      <c r="H2741" s="153" t="s">
        <v>189</v>
      </c>
    </row>
    <row r="2742" spans="1:8" x14ac:dyDescent="0.25">
      <c r="A2742" s="73">
        <v>44800</v>
      </c>
      <c r="B2742" s="74" t="s">
        <v>27509</v>
      </c>
      <c r="C2742" s="75" t="s">
        <v>200</v>
      </c>
      <c r="D2742" s="176">
        <v>2471.6</v>
      </c>
      <c r="E2742" s="151">
        <v>44800</v>
      </c>
      <c r="F2742" s="176">
        <v>2471.6</v>
      </c>
      <c r="G2742" s="177">
        <f>Tabla19[[#This Row],[Importe]]-Tabla19[[#This Row],[Pagado]]</f>
        <v>0</v>
      </c>
      <c r="H2742" s="75" t="s">
        <v>10</v>
      </c>
    </row>
    <row r="2743" spans="1:8" x14ac:dyDescent="0.25">
      <c r="A2743" s="148">
        <v>44800</v>
      </c>
      <c r="B2743" s="149" t="s">
        <v>27510</v>
      </c>
      <c r="C2743" s="153" t="s">
        <v>17556</v>
      </c>
      <c r="D2743" s="178">
        <v>5372.8</v>
      </c>
      <c r="E2743" s="155">
        <v>44800</v>
      </c>
      <c r="F2743" s="178">
        <v>5372.8</v>
      </c>
      <c r="G2743" s="179">
        <f>Tabla19[[#This Row],[Importe]]-Tabla19[[#This Row],[Pagado]]</f>
        <v>0</v>
      </c>
      <c r="H2743" s="153" t="s">
        <v>10</v>
      </c>
    </row>
    <row r="2744" spans="1:8" x14ac:dyDescent="0.25">
      <c r="A2744" s="73">
        <v>44800</v>
      </c>
      <c r="B2744" s="74" t="s">
        <v>27511</v>
      </c>
      <c r="C2744" s="75" t="s">
        <v>79</v>
      </c>
      <c r="D2744" s="176">
        <v>15629.6</v>
      </c>
      <c r="E2744" s="151">
        <v>44800</v>
      </c>
      <c r="F2744" s="176">
        <v>15629.6</v>
      </c>
      <c r="G2744" s="177">
        <f>Tabla19[[#This Row],[Importe]]-Tabla19[[#This Row],[Pagado]]</f>
        <v>0</v>
      </c>
      <c r="H2744" s="75" t="s">
        <v>10</v>
      </c>
    </row>
    <row r="2745" spans="1:8" x14ac:dyDescent="0.25">
      <c r="A2745" s="148">
        <v>44800</v>
      </c>
      <c r="B2745" s="149" t="s">
        <v>27512</v>
      </c>
      <c r="C2745" s="153" t="s">
        <v>481</v>
      </c>
      <c r="D2745" s="178">
        <v>2049.6</v>
      </c>
      <c r="E2745" s="155">
        <v>44800</v>
      </c>
      <c r="F2745" s="178">
        <v>2049.6</v>
      </c>
      <c r="G2745" s="179">
        <f>Tabla19[[#This Row],[Importe]]-Tabla19[[#This Row],[Pagado]]</f>
        <v>0</v>
      </c>
      <c r="H2745" s="153" t="s">
        <v>10</v>
      </c>
    </row>
    <row r="2746" spans="1:8" x14ac:dyDescent="0.25">
      <c r="A2746" s="73">
        <v>44800</v>
      </c>
      <c r="B2746" s="74" t="s">
        <v>27513</v>
      </c>
      <c r="C2746" s="75" t="s">
        <v>16</v>
      </c>
      <c r="D2746" s="176">
        <v>7042</v>
      </c>
      <c r="E2746" s="151">
        <v>44800</v>
      </c>
      <c r="F2746" s="176">
        <v>7042</v>
      </c>
      <c r="G2746" s="177">
        <f>Tabla19[[#This Row],[Importe]]-Tabla19[[#This Row],[Pagado]]</f>
        <v>0</v>
      </c>
      <c r="H2746" s="75" t="s">
        <v>10</v>
      </c>
    </row>
    <row r="2747" spans="1:8" x14ac:dyDescent="0.25">
      <c r="A2747" s="148">
        <v>44800</v>
      </c>
      <c r="B2747" s="149" t="s">
        <v>27514</v>
      </c>
      <c r="C2747" s="153" t="s">
        <v>157</v>
      </c>
      <c r="D2747" s="178">
        <v>7611.5</v>
      </c>
      <c r="E2747" s="155">
        <v>44800</v>
      </c>
      <c r="F2747" s="178">
        <v>7611.5</v>
      </c>
      <c r="G2747" s="179">
        <f>Tabla19[[#This Row],[Importe]]-Tabla19[[#This Row],[Pagado]]</f>
        <v>0</v>
      </c>
      <c r="H2747" s="153" t="s">
        <v>10</v>
      </c>
    </row>
    <row r="2748" spans="1:8" x14ac:dyDescent="0.25">
      <c r="A2748" s="73">
        <v>44800</v>
      </c>
      <c r="B2748" s="74" t="s">
        <v>27515</v>
      </c>
      <c r="C2748" s="75" t="s">
        <v>319</v>
      </c>
      <c r="D2748" s="176">
        <v>11578.9</v>
      </c>
      <c r="E2748" s="151">
        <v>44800</v>
      </c>
      <c r="F2748" s="176">
        <v>11578.9</v>
      </c>
      <c r="G2748" s="177">
        <f>Tabla19[[#This Row],[Importe]]-Tabla19[[#This Row],[Pagado]]</f>
        <v>0</v>
      </c>
      <c r="H2748" s="75" t="s">
        <v>10</v>
      </c>
    </row>
    <row r="2749" spans="1:8" x14ac:dyDescent="0.25">
      <c r="A2749" s="148">
        <v>44800</v>
      </c>
      <c r="B2749" s="149" t="s">
        <v>27516</v>
      </c>
      <c r="C2749" s="153" t="s">
        <v>348</v>
      </c>
      <c r="D2749" s="178">
        <v>3645.6</v>
      </c>
      <c r="E2749" s="155">
        <v>44800</v>
      </c>
      <c r="F2749" s="178">
        <v>3645.6</v>
      </c>
      <c r="G2749" s="179">
        <f>Tabla19[[#This Row],[Importe]]-Tabla19[[#This Row],[Pagado]]</f>
        <v>0</v>
      </c>
      <c r="H2749" s="153" t="s">
        <v>10</v>
      </c>
    </row>
    <row r="2750" spans="1:8" x14ac:dyDescent="0.25">
      <c r="A2750" s="73">
        <v>44800</v>
      </c>
      <c r="B2750" s="74" t="s">
        <v>27517</v>
      </c>
      <c r="C2750" s="75" t="s">
        <v>520</v>
      </c>
      <c r="D2750" s="176">
        <v>6104.8</v>
      </c>
      <c r="E2750" s="151">
        <v>44800</v>
      </c>
      <c r="F2750" s="176">
        <v>6104.8</v>
      </c>
      <c r="G2750" s="177">
        <f>Tabla19[[#This Row],[Importe]]-Tabla19[[#This Row],[Pagado]]</f>
        <v>0</v>
      </c>
      <c r="H2750" s="75" t="s">
        <v>10</v>
      </c>
    </row>
    <row r="2751" spans="1:8" x14ac:dyDescent="0.25">
      <c r="A2751" s="148">
        <v>44800</v>
      </c>
      <c r="B2751" s="149" t="s">
        <v>27518</v>
      </c>
      <c r="C2751" s="153" t="s">
        <v>29</v>
      </c>
      <c r="D2751" s="178">
        <v>7940.2</v>
      </c>
      <c r="E2751" s="155">
        <v>44800</v>
      </c>
      <c r="F2751" s="178">
        <v>7940.2</v>
      </c>
      <c r="G2751" s="179">
        <f>Tabla19[[#This Row],[Importe]]-Tabla19[[#This Row],[Pagado]]</f>
        <v>0</v>
      </c>
      <c r="H2751" s="153" t="s">
        <v>10</v>
      </c>
    </row>
    <row r="2752" spans="1:8" x14ac:dyDescent="0.25">
      <c r="A2752" s="73">
        <v>44800</v>
      </c>
      <c r="B2752" s="74" t="s">
        <v>27519</v>
      </c>
      <c r="C2752" s="75" t="s">
        <v>45</v>
      </c>
      <c r="D2752" s="176">
        <v>11063.6</v>
      </c>
      <c r="E2752" s="151">
        <v>44800</v>
      </c>
      <c r="F2752" s="176">
        <v>11063.6</v>
      </c>
      <c r="G2752" s="177">
        <f>Tabla19[[#This Row],[Importe]]-Tabla19[[#This Row],[Pagado]]</f>
        <v>0</v>
      </c>
      <c r="H2752" s="75" t="s">
        <v>10</v>
      </c>
    </row>
    <row r="2753" spans="1:8" x14ac:dyDescent="0.25">
      <c r="A2753" s="148">
        <v>44800</v>
      </c>
      <c r="B2753" s="149" t="s">
        <v>27520</v>
      </c>
      <c r="C2753" s="153" t="s">
        <v>159</v>
      </c>
      <c r="D2753" s="178">
        <v>2677.6</v>
      </c>
      <c r="E2753" s="155">
        <v>44800</v>
      </c>
      <c r="F2753" s="178">
        <v>2677.6</v>
      </c>
      <c r="G2753" s="179">
        <f>Tabla19[[#This Row],[Importe]]-Tabla19[[#This Row],[Pagado]]</f>
        <v>0</v>
      </c>
      <c r="H2753" s="153" t="s">
        <v>10</v>
      </c>
    </row>
    <row r="2754" spans="1:8" x14ac:dyDescent="0.25">
      <c r="A2754" s="73">
        <v>44800</v>
      </c>
      <c r="B2754" s="74" t="s">
        <v>27521</v>
      </c>
      <c r="C2754" s="75" t="s">
        <v>151</v>
      </c>
      <c r="D2754" s="176">
        <v>6294.4</v>
      </c>
      <c r="E2754" s="151">
        <v>44800</v>
      </c>
      <c r="F2754" s="176">
        <v>6294.4</v>
      </c>
      <c r="G2754" s="177">
        <f>Tabla19[[#This Row],[Importe]]-Tabla19[[#This Row],[Pagado]]</f>
        <v>0</v>
      </c>
      <c r="H2754" s="75" t="s">
        <v>10</v>
      </c>
    </row>
    <row r="2755" spans="1:8" x14ac:dyDescent="0.25">
      <c r="A2755" s="148">
        <v>44800</v>
      </c>
      <c r="B2755" s="149" t="s">
        <v>27522</v>
      </c>
      <c r="C2755" s="153" t="s">
        <v>14</v>
      </c>
      <c r="D2755" s="178">
        <v>38428.1</v>
      </c>
      <c r="E2755" s="155">
        <v>44800</v>
      </c>
      <c r="F2755" s="178">
        <v>38428.1</v>
      </c>
      <c r="G2755" s="179">
        <f>Tabla19[[#This Row],[Importe]]-Tabla19[[#This Row],[Pagado]]</f>
        <v>0</v>
      </c>
      <c r="H2755" s="153" t="s">
        <v>10</v>
      </c>
    </row>
    <row r="2756" spans="1:8" x14ac:dyDescent="0.25">
      <c r="A2756" s="73">
        <v>44800</v>
      </c>
      <c r="B2756" s="74" t="s">
        <v>27523</v>
      </c>
      <c r="C2756" s="75" t="s">
        <v>196</v>
      </c>
      <c r="D2756" s="176">
        <v>175893.52</v>
      </c>
      <c r="E2756" s="151" t="s">
        <v>25549</v>
      </c>
      <c r="F2756" s="176">
        <v>175893.52</v>
      </c>
      <c r="G2756" s="177">
        <f>Tabla19[[#This Row],[Importe]]-Tabla19[[#This Row],[Pagado]]</f>
        <v>0</v>
      </c>
      <c r="H2756" s="75" t="s">
        <v>10</v>
      </c>
    </row>
    <row r="2757" spans="1:8" x14ac:dyDescent="0.25">
      <c r="A2757" s="148">
        <v>44800</v>
      </c>
      <c r="B2757" s="149" t="s">
        <v>27524</v>
      </c>
      <c r="C2757" s="153" t="s">
        <v>407</v>
      </c>
      <c r="D2757" s="178">
        <v>28979</v>
      </c>
      <c r="E2757" s="155" t="s">
        <v>4813</v>
      </c>
      <c r="F2757" s="178">
        <v>0</v>
      </c>
      <c r="G2757" s="179">
        <f>Tabla19[[#This Row],[Importe]]-Tabla19[[#This Row],[Pagado]]</f>
        <v>28979</v>
      </c>
      <c r="H2757" s="153" t="s">
        <v>4814</v>
      </c>
    </row>
    <row r="2758" spans="1:8" x14ac:dyDescent="0.25">
      <c r="A2758" s="73">
        <v>44800</v>
      </c>
      <c r="B2758" s="74" t="s">
        <v>27525</v>
      </c>
      <c r="C2758" s="75" t="s">
        <v>966</v>
      </c>
      <c r="D2758" s="176">
        <v>4425.6000000000004</v>
      </c>
      <c r="E2758" s="151">
        <v>44800</v>
      </c>
      <c r="F2758" s="176">
        <v>4425.6000000000004</v>
      </c>
      <c r="G2758" s="177">
        <f>Tabla19[[#This Row],[Importe]]-Tabla19[[#This Row],[Pagado]]</f>
        <v>0</v>
      </c>
      <c r="H2758" s="75" t="s">
        <v>10</v>
      </c>
    </row>
    <row r="2759" spans="1:8" x14ac:dyDescent="0.25">
      <c r="A2759" s="148">
        <v>44800</v>
      </c>
      <c r="B2759" s="149" t="s">
        <v>27526</v>
      </c>
      <c r="C2759" s="153" t="s">
        <v>934</v>
      </c>
      <c r="D2759" s="178">
        <v>4712</v>
      </c>
      <c r="E2759" s="155">
        <v>44800</v>
      </c>
      <c r="F2759" s="178">
        <v>4712</v>
      </c>
      <c r="G2759" s="179">
        <f>Tabla19[[#This Row],[Importe]]-Tabla19[[#This Row],[Pagado]]</f>
        <v>0</v>
      </c>
      <c r="H2759" s="153" t="s">
        <v>10</v>
      </c>
    </row>
    <row r="2760" spans="1:8" x14ac:dyDescent="0.25">
      <c r="A2760" s="73">
        <v>44800</v>
      </c>
      <c r="B2760" s="74" t="s">
        <v>27527</v>
      </c>
      <c r="C2760" s="75" t="s">
        <v>289</v>
      </c>
      <c r="D2760" s="176">
        <v>17790.099999999999</v>
      </c>
      <c r="E2760" s="151">
        <v>44800</v>
      </c>
      <c r="F2760" s="176">
        <v>17790.099999999999</v>
      </c>
      <c r="G2760" s="177">
        <f>Tabla19[[#This Row],[Importe]]-Tabla19[[#This Row],[Pagado]]</f>
        <v>0</v>
      </c>
      <c r="H2760" s="75" t="s">
        <v>10</v>
      </c>
    </row>
    <row r="2761" spans="1:8" x14ac:dyDescent="0.25">
      <c r="A2761" s="148">
        <v>44800</v>
      </c>
      <c r="B2761" s="149" t="s">
        <v>27528</v>
      </c>
      <c r="C2761" s="153" t="s">
        <v>31</v>
      </c>
      <c r="D2761" s="178">
        <v>754.8</v>
      </c>
      <c r="E2761" s="155">
        <v>44800</v>
      </c>
      <c r="F2761" s="178">
        <v>754.8</v>
      </c>
      <c r="G2761" s="179">
        <f>Tabla19[[#This Row],[Importe]]-Tabla19[[#This Row],[Pagado]]</f>
        <v>0</v>
      </c>
      <c r="H2761" s="153" t="s">
        <v>10</v>
      </c>
    </row>
    <row r="2762" spans="1:8" x14ac:dyDescent="0.25">
      <c r="A2762" s="73">
        <v>44800</v>
      </c>
      <c r="B2762" s="74" t="s">
        <v>27529</v>
      </c>
      <c r="C2762" s="75" t="s">
        <v>804</v>
      </c>
      <c r="D2762" s="176">
        <v>14904.6</v>
      </c>
      <c r="E2762" s="151">
        <v>44800</v>
      </c>
      <c r="F2762" s="176">
        <v>14904.6</v>
      </c>
      <c r="G2762" s="177">
        <f>Tabla19[[#This Row],[Importe]]-Tabla19[[#This Row],[Pagado]]</f>
        <v>0</v>
      </c>
      <c r="H2762" s="75" t="s">
        <v>10</v>
      </c>
    </row>
    <row r="2763" spans="1:8" x14ac:dyDescent="0.25">
      <c r="A2763" s="148">
        <v>44800</v>
      </c>
      <c r="B2763" s="149" t="s">
        <v>27530</v>
      </c>
      <c r="C2763" s="153" t="s">
        <v>196</v>
      </c>
      <c r="D2763" s="178">
        <v>507.4</v>
      </c>
      <c r="E2763" s="155" t="s">
        <v>25549</v>
      </c>
      <c r="F2763" s="178">
        <v>507.4</v>
      </c>
      <c r="G2763" s="179">
        <f>Tabla19[[#This Row],[Importe]]-Tabla19[[#This Row],[Pagado]]</f>
        <v>0</v>
      </c>
      <c r="H2763" s="153" t="s">
        <v>10</v>
      </c>
    </row>
    <row r="2764" spans="1:8" x14ac:dyDescent="0.25">
      <c r="A2764" s="73">
        <v>44800</v>
      </c>
      <c r="B2764" s="74" t="s">
        <v>27531</v>
      </c>
      <c r="C2764" s="75" t="s">
        <v>359</v>
      </c>
      <c r="D2764" s="176">
        <v>531</v>
      </c>
      <c r="E2764" s="151">
        <v>44800</v>
      </c>
      <c r="F2764" s="176">
        <v>531</v>
      </c>
      <c r="G2764" s="177">
        <f>Tabla19[[#This Row],[Importe]]-Tabla19[[#This Row],[Pagado]]</f>
        <v>0</v>
      </c>
      <c r="H2764" s="75" t="s">
        <v>10</v>
      </c>
    </row>
    <row r="2765" spans="1:8" x14ac:dyDescent="0.25">
      <c r="A2765" s="148">
        <v>44800</v>
      </c>
      <c r="B2765" s="149" t="s">
        <v>27532</v>
      </c>
      <c r="C2765" s="153" t="s">
        <v>273</v>
      </c>
      <c r="D2765" s="178">
        <v>1624</v>
      </c>
      <c r="E2765" s="155">
        <v>44800</v>
      </c>
      <c r="F2765" s="178">
        <v>1624</v>
      </c>
      <c r="G2765" s="179">
        <f>Tabla19[[#This Row],[Importe]]-Tabla19[[#This Row],[Pagado]]</f>
        <v>0</v>
      </c>
      <c r="H2765" s="153" t="s">
        <v>10</v>
      </c>
    </row>
    <row r="2766" spans="1:8" x14ac:dyDescent="0.25">
      <c r="A2766" s="73">
        <v>44800</v>
      </c>
      <c r="B2766" s="74" t="s">
        <v>27533</v>
      </c>
      <c r="C2766" s="75" t="s">
        <v>555</v>
      </c>
      <c r="D2766" s="176">
        <v>25570.2</v>
      </c>
      <c r="E2766" s="151">
        <v>44800</v>
      </c>
      <c r="F2766" s="176">
        <v>25570.2</v>
      </c>
      <c r="G2766" s="177">
        <f>Tabla19[[#This Row],[Importe]]-Tabla19[[#This Row],[Pagado]]</f>
        <v>0</v>
      </c>
      <c r="H2766" s="75" t="s">
        <v>10</v>
      </c>
    </row>
    <row r="2767" spans="1:8" x14ac:dyDescent="0.25">
      <c r="A2767" s="148">
        <v>44800</v>
      </c>
      <c r="B2767" s="149" t="s">
        <v>27534</v>
      </c>
      <c r="C2767" s="153" t="s">
        <v>518</v>
      </c>
      <c r="D2767" s="178">
        <v>1275.4000000000001</v>
      </c>
      <c r="E2767" s="155">
        <v>44800</v>
      </c>
      <c r="F2767" s="178">
        <v>1275.4000000000001</v>
      </c>
      <c r="G2767" s="179">
        <f>Tabla19[[#This Row],[Importe]]-Tabla19[[#This Row],[Pagado]]</f>
        <v>0</v>
      </c>
      <c r="H2767" s="153" t="s">
        <v>10</v>
      </c>
    </row>
    <row r="2768" spans="1:8" x14ac:dyDescent="0.25">
      <c r="A2768" s="73">
        <v>44800</v>
      </c>
      <c r="B2768" s="74" t="s">
        <v>27535</v>
      </c>
      <c r="C2768" s="75" t="s">
        <v>175</v>
      </c>
      <c r="D2768" s="176">
        <v>23599.35</v>
      </c>
      <c r="E2768" s="151">
        <v>44800</v>
      </c>
      <c r="F2768" s="176">
        <v>23599.35</v>
      </c>
      <c r="G2768" s="177">
        <f>Tabla19[[#This Row],[Importe]]-Tabla19[[#This Row],[Pagado]]</f>
        <v>0</v>
      </c>
      <c r="H2768" s="75" t="s">
        <v>10</v>
      </c>
    </row>
    <row r="2769" spans="1:8" x14ac:dyDescent="0.25">
      <c r="A2769" s="148">
        <v>44800</v>
      </c>
      <c r="B2769" s="149" t="s">
        <v>27536</v>
      </c>
      <c r="C2769" s="153" t="s">
        <v>371</v>
      </c>
      <c r="D2769" s="178">
        <v>3576</v>
      </c>
      <c r="E2769" s="155">
        <v>44800</v>
      </c>
      <c r="F2769" s="178">
        <v>3576</v>
      </c>
      <c r="G2769" s="179">
        <f>Tabla19[[#This Row],[Importe]]-Tabla19[[#This Row],[Pagado]]</f>
        <v>0</v>
      </c>
      <c r="H2769" s="153" t="s">
        <v>10</v>
      </c>
    </row>
    <row r="2770" spans="1:8" x14ac:dyDescent="0.25">
      <c r="A2770" s="73">
        <v>44800</v>
      </c>
      <c r="B2770" s="74" t="s">
        <v>27537</v>
      </c>
      <c r="C2770" s="75" t="s">
        <v>934</v>
      </c>
      <c r="D2770" s="176">
        <v>1125</v>
      </c>
      <c r="E2770" s="151">
        <v>44800</v>
      </c>
      <c r="F2770" s="176">
        <v>1125</v>
      </c>
      <c r="G2770" s="177">
        <f>Tabla19[[#This Row],[Importe]]-Tabla19[[#This Row],[Pagado]]</f>
        <v>0</v>
      </c>
      <c r="H2770" s="75" t="s">
        <v>10</v>
      </c>
    </row>
    <row r="2771" spans="1:8" x14ac:dyDescent="0.25">
      <c r="A2771" s="148">
        <v>44800</v>
      </c>
      <c r="B2771" s="149" t="s">
        <v>27538</v>
      </c>
      <c r="C2771" s="153" t="s">
        <v>4136</v>
      </c>
      <c r="D2771" s="178">
        <v>2108.1999999999998</v>
      </c>
      <c r="E2771" s="155">
        <v>44800</v>
      </c>
      <c r="F2771" s="178">
        <v>2108.1999999999998</v>
      </c>
      <c r="G2771" s="179">
        <f>Tabla19[[#This Row],[Importe]]-Tabla19[[#This Row],[Pagado]]</f>
        <v>0</v>
      </c>
      <c r="H2771" s="153" t="s">
        <v>10</v>
      </c>
    </row>
    <row r="2772" spans="1:8" x14ac:dyDescent="0.25">
      <c r="A2772" s="73">
        <v>44800</v>
      </c>
      <c r="B2772" s="74" t="s">
        <v>27539</v>
      </c>
      <c r="C2772" s="75" t="s">
        <v>698</v>
      </c>
      <c r="D2772" s="176">
        <v>6031</v>
      </c>
      <c r="E2772" s="151">
        <v>44800</v>
      </c>
      <c r="F2772" s="176">
        <v>6031</v>
      </c>
      <c r="G2772" s="177">
        <f>Tabla19[[#This Row],[Importe]]-Tabla19[[#This Row],[Pagado]]</f>
        <v>0</v>
      </c>
      <c r="H2772" s="75" t="s">
        <v>10</v>
      </c>
    </row>
    <row r="2773" spans="1:8" x14ac:dyDescent="0.25">
      <c r="A2773" s="148">
        <v>44800</v>
      </c>
      <c r="B2773" s="149" t="s">
        <v>27540</v>
      </c>
      <c r="C2773" s="153" t="s">
        <v>1003</v>
      </c>
      <c r="D2773" s="178">
        <v>6471.2</v>
      </c>
      <c r="E2773" s="155">
        <v>44801</v>
      </c>
      <c r="F2773" s="178">
        <v>6471.2</v>
      </c>
      <c r="G2773" s="179">
        <f>Tabla19[[#This Row],[Importe]]-Tabla19[[#This Row],[Pagado]]</f>
        <v>0</v>
      </c>
      <c r="H2773" s="153" t="s">
        <v>10</v>
      </c>
    </row>
    <row r="2774" spans="1:8" x14ac:dyDescent="0.25">
      <c r="A2774" s="73">
        <v>44800</v>
      </c>
      <c r="B2774" s="74" t="s">
        <v>27541</v>
      </c>
      <c r="C2774" s="75" t="s">
        <v>149</v>
      </c>
      <c r="D2774" s="176">
        <v>4152</v>
      </c>
      <c r="E2774" s="151">
        <v>44800</v>
      </c>
      <c r="F2774" s="176">
        <v>4152</v>
      </c>
      <c r="G2774" s="177">
        <f>Tabla19[[#This Row],[Importe]]-Tabla19[[#This Row],[Pagado]]</f>
        <v>0</v>
      </c>
      <c r="H2774" s="75" t="s">
        <v>10</v>
      </c>
    </row>
    <row r="2775" spans="1:8" x14ac:dyDescent="0.25">
      <c r="A2775" s="148">
        <v>44800</v>
      </c>
      <c r="B2775" s="149" t="s">
        <v>27542</v>
      </c>
      <c r="C2775" s="153" t="s">
        <v>24</v>
      </c>
      <c r="D2775" s="178">
        <v>3795</v>
      </c>
      <c r="E2775" s="155">
        <v>44800</v>
      </c>
      <c r="F2775" s="178">
        <v>3795</v>
      </c>
      <c r="G2775" s="179">
        <f>Tabla19[[#This Row],[Importe]]-Tabla19[[#This Row],[Pagado]]</f>
        <v>0</v>
      </c>
      <c r="H2775" s="153" t="s">
        <v>10</v>
      </c>
    </row>
    <row r="2776" spans="1:8" x14ac:dyDescent="0.25">
      <c r="A2776" s="73">
        <v>44800</v>
      </c>
      <c r="B2776" s="74" t="s">
        <v>27543</v>
      </c>
      <c r="C2776" s="75" t="s">
        <v>698</v>
      </c>
      <c r="D2776" s="176">
        <v>560.29999999999995</v>
      </c>
      <c r="E2776" s="151">
        <v>44800</v>
      </c>
      <c r="F2776" s="176">
        <v>560.29999999999995</v>
      </c>
      <c r="G2776" s="177">
        <f>Tabla19[[#This Row],[Importe]]-Tabla19[[#This Row],[Pagado]]</f>
        <v>0</v>
      </c>
      <c r="H2776" s="75" t="s">
        <v>10</v>
      </c>
    </row>
    <row r="2777" spans="1:8" x14ac:dyDescent="0.25">
      <c r="A2777" s="148">
        <v>44800</v>
      </c>
      <c r="B2777" s="149" t="s">
        <v>27544</v>
      </c>
      <c r="C2777" s="153" t="s">
        <v>226</v>
      </c>
      <c r="D2777" s="178">
        <v>6524.8</v>
      </c>
      <c r="E2777" s="155">
        <v>44800</v>
      </c>
      <c r="F2777" s="178">
        <v>6524.8</v>
      </c>
      <c r="G2777" s="179">
        <f>Tabla19[[#This Row],[Importe]]-Tabla19[[#This Row],[Pagado]]</f>
        <v>0</v>
      </c>
      <c r="H2777" s="153" t="s">
        <v>10</v>
      </c>
    </row>
    <row r="2778" spans="1:8" x14ac:dyDescent="0.25">
      <c r="A2778" s="73">
        <v>44800</v>
      </c>
      <c r="B2778" s="74" t="s">
        <v>27545</v>
      </c>
      <c r="C2778" s="75" t="s">
        <v>230</v>
      </c>
      <c r="D2778" s="176">
        <v>1402.2</v>
      </c>
      <c r="E2778" s="151">
        <v>44800</v>
      </c>
      <c r="F2778" s="176">
        <v>1402.2</v>
      </c>
      <c r="G2778" s="177">
        <f>Tabla19[[#This Row],[Importe]]-Tabla19[[#This Row],[Pagado]]</f>
        <v>0</v>
      </c>
      <c r="H2778" s="75" t="s">
        <v>10</v>
      </c>
    </row>
    <row r="2779" spans="1:8" x14ac:dyDescent="0.25">
      <c r="A2779" s="148">
        <v>44800</v>
      </c>
      <c r="B2779" s="149" t="s">
        <v>27546</v>
      </c>
      <c r="C2779" s="153" t="s">
        <v>191</v>
      </c>
      <c r="D2779" s="178">
        <v>1755</v>
      </c>
      <c r="E2779" s="155">
        <v>44800</v>
      </c>
      <c r="F2779" s="178">
        <v>1755</v>
      </c>
      <c r="G2779" s="179">
        <f>Tabla19[[#This Row],[Importe]]-Tabla19[[#This Row],[Pagado]]</f>
        <v>0</v>
      </c>
      <c r="H2779" s="153" t="s">
        <v>10</v>
      </c>
    </row>
    <row r="2780" spans="1:8" x14ac:dyDescent="0.25">
      <c r="A2780" s="73">
        <v>44800</v>
      </c>
      <c r="B2780" s="74" t="s">
        <v>27547</v>
      </c>
      <c r="C2780" s="75" t="s">
        <v>191</v>
      </c>
      <c r="D2780" s="176">
        <v>234.6</v>
      </c>
      <c r="E2780" s="151">
        <v>44800</v>
      </c>
      <c r="F2780" s="176">
        <v>234.6</v>
      </c>
      <c r="G2780" s="177">
        <f>Tabla19[[#This Row],[Importe]]-Tabla19[[#This Row],[Pagado]]</f>
        <v>0</v>
      </c>
      <c r="H2780" s="75" t="s">
        <v>10</v>
      </c>
    </row>
    <row r="2781" spans="1:8" x14ac:dyDescent="0.25">
      <c r="A2781" s="148">
        <v>44800</v>
      </c>
      <c r="B2781" s="149" t="s">
        <v>27548</v>
      </c>
      <c r="C2781" s="153" t="s">
        <v>24</v>
      </c>
      <c r="D2781" s="178">
        <v>440</v>
      </c>
      <c r="E2781" s="155">
        <v>44800</v>
      </c>
      <c r="F2781" s="178">
        <v>440</v>
      </c>
      <c r="G2781" s="179">
        <f>Tabla19[[#This Row],[Importe]]-Tabla19[[#This Row],[Pagado]]</f>
        <v>0</v>
      </c>
      <c r="H2781" s="153" t="s">
        <v>10</v>
      </c>
    </row>
    <row r="2782" spans="1:8" x14ac:dyDescent="0.25">
      <c r="A2782" s="73">
        <v>44800</v>
      </c>
      <c r="B2782" s="74" t="s">
        <v>27549</v>
      </c>
      <c r="C2782" s="75" t="s">
        <v>56</v>
      </c>
      <c r="D2782" s="176">
        <v>9031</v>
      </c>
      <c r="E2782" s="151">
        <v>44800</v>
      </c>
      <c r="F2782" s="176">
        <v>9031</v>
      </c>
      <c r="G2782" s="177">
        <f>Tabla19[[#This Row],[Importe]]-Tabla19[[#This Row],[Pagado]]</f>
        <v>0</v>
      </c>
      <c r="H2782" s="75" t="s">
        <v>10</v>
      </c>
    </row>
    <row r="2783" spans="1:8" x14ac:dyDescent="0.25">
      <c r="A2783" s="148">
        <v>44800</v>
      </c>
      <c r="B2783" s="149" t="s">
        <v>27550</v>
      </c>
      <c r="C2783" s="153" t="s">
        <v>62</v>
      </c>
      <c r="D2783" s="178">
        <v>9523.2000000000007</v>
      </c>
      <c r="E2783" s="155">
        <v>44800</v>
      </c>
      <c r="F2783" s="178">
        <v>9523.2000000000007</v>
      </c>
      <c r="G2783" s="179">
        <f>Tabla19[[#This Row],[Importe]]-Tabla19[[#This Row],[Pagado]]</f>
        <v>0</v>
      </c>
      <c r="H2783" s="153" t="s">
        <v>10</v>
      </c>
    </row>
    <row r="2784" spans="1:8" x14ac:dyDescent="0.25">
      <c r="A2784" s="73">
        <v>44800</v>
      </c>
      <c r="B2784" s="74" t="s">
        <v>27551</v>
      </c>
      <c r="C2784" s="75" t="s">
        <v>127</v>
      </c>
      <c r="D2784" s="176">
        <v>6212.2</v>
      </c>
      <c r="E2784" s="151">
        <v>44800</v>
      </c>
      <c r="F2784" s="176">
        <v>6212.2</v>
      </c>
      <c r="G2784" s="177">
        <f>Tabla19[[#This Row],[Importe]]-Tabla19[[#This Row],[Pagado]]</f>
        <v>0</v>
      </c>
      <c r="H2784" s="75" t="s">
        <v>10</v>
      </c>
    </row>
    <row r="2785" spans="1:8" x14ac:dyDescent="0.25">
      <c r="A2785" s="148">
        <v>44800</v>
      </c>
      <c r="B2785" s="149" t="s">
        <v>27552</v>
      </c>
      <c r="C2785" s="153" t="s">
        <v>129</v>
      </c>
      <c r="D2785" s="178">
        <v>5632.8</v>
      </c>
      <c r="E2785" s="155">
        <v>44800</v>
      </c>
      <c r="F2785" s="178">
        <v>5632.8</v>
      </c>
      <c r="G2785" s="179">
        <f>Tabla19[[#This Row],[Importe]]-Tabla19[[#This Row],[Pagado]]</f>
        <v>0</v>
      </c>
      <c r="H2785" s="153" t="s">
        <v>10</v>
      </c>
    </row>
    <row r="2786" spans="1:8" x14ac:dyDescent="0.25">
      <c r="A2786" s="73">
        <v>44800</v>
      </c>
      <c r="B2786" s="74" t="s">
        <v>27553</v>
      </c>
      <c r="C2786" s="75" t="s">
        <v>357</v>
      </c>
      <c r="D2786" s="176">
        <v>585</v>
      </c>
      <c r="E2786" s="151">
        <v>44800</v>
      </c>
      <c r="F2786" s="176">
        <v>585</v>
      </c>
      <c r="G2786" s="177">
        <f>Tabla19[[#This Row],[Importe]]-Tabla19[[#This Row],[Pagado]]</f>
        <v>0</v>
      </c>
      <c r="H2786" s="75" t="s">
        <v>10</v>
      </c>
    </row>
    <row r="2787" spans="1:8" x14ac:dyDescent="0.25">
      <c r="A2787" s="148">
        <v>44800</v>
      </c>
      <c r="B2787" s="149" t="s">
        <v>27554</v>
      </c>
      <c r="C2787" s="153" t="s">
        <v>140</v>
      </c>
      <c r="D2787" s="178">
        <v>4833.3999999999996</v>
      </c>
      <c r="E2787" s="155">
        <v>44800</v>
      </c>
      <c r="F2787" s="178">
        <v>4833.3999999999996</v>
      </c>
      <c r="G2787" s="179">
        <f>Tabla19[[#This Row],[Importe]]-Tabla19[[#This Row],[Pagado]]</f>
        <v>0</v>
      </c>
      <c r="H2787" s="153" t="s">
        <v>10</v>
      </c>
    </row>
    <row r="2788" spans="1:8" x14ac:dyDescent="0.25">
      <c r="A2788" s="73">
        <v>44800</v>
      </c>
      <c r="B2788" s="74" t="s">
        <v>27555</v>
      </c>
      <c r="C2788" s="75" t="s">
        <v>296</v>
      </c>
      <c r="D2788" s="176">
        <v>1792.5</v>
      </c>
      <c r="E2788" s="151">
        <v>44800</v>
      </c>
      <c r="F2788" s="176">
        <v>1792.5</v>
      </c>
      <c r="G2788" s="177">
        <f>Tabla19[[#This Row],[Importe]]-Tabla19[[#This Row],[Pagado]]</f>
        <v>0</v>
      </c>
      <c r="H2788" s="75" t="s">
        <v>10</v>
      </c>
    </row>
    <row r="2789" spans="1:8" x14ac:dyDescent="0.25">
      <c r="A2789" s="148">
        <v>44800</v>
      </c>
      <c r="B2789" s="149" t="s">
        <v>27556</v>
      </c>
      <c r="C2789" s="153" t="s">
        <v>8190</v>
      </c>
      <c r="D2789" s="178">
        <v>3040</v>
      </c>
      <c r="E2789" s="155">
        <v>44800</v>
      </c>
      <c r="F2789" s="178">
        <v>3040</v>
      </c>
      <c r="G2789" s="179">
        <f>Tabla19[[#This Row],[Importe]]-Tabla19[[#This Row],[Pagado]]</f>
        <v>0</v>
      </c>
      <c r="H2789" s="153" t="s">
        <v>10</v>
      </c>
    </row>
    <row r="2790" spans="1:8" x14ac:dyDescent="0.25">
      <c r="A2790" s="73">
        <v>44800</v>
      </c>
      <c r="B2790" s="74" t="s">
        <v>27557</v>
      </c>
      <c r="C2790" s="75" t="s">
        <v>169</v>
      </c>
      <c r="D2790" s="176">
        <v>1971</v>
      </c>
      <c r="E2790" s="151">
        <v>44800</v>
      </c>
      <c r="F2790" s="176">
        <v>1971</v>
      </c>
      <c r="G2790" s="177">
        <f>Tabla19[[#This Row],[Importe]]-Tabla19[[#This Row],[Pagado]]</f>
        <v>0</v>
      </c>
      <c r="H2790" s="75" t="s">
        <v>10</v>
      </c>
    </row>
    <row r="2791" spans="1:8" x14ac:dyDescent="0.25">
      <c r="A2791" s="148">
        <v>44800</v>
      </c>
      <c r="B2791" s="149" t="s">
        <v>27558</v>
      </c>
      <c r="C2791" s="153" t="s">
        <v>233</v>
      </c>
      <c r="D2791" s="178">
        <v>5772</v>
      </c>
      <c r="E2791" s="155">
        <v>44800</v>
      </c>
      <c r="F2791" s="178">
        <v>5772</v>
      </c>
      <c r="G2791" s="179">
        <f>Tabla19[[#This Row],[Importe]]-Tabla19[[#This Row],[Pagado]]</f>
        <v>0</v>
      </c>
      <c r="H2791" s="153" t="s">
        <v>10</v>
      </c>
    </row>
    <row r="2792" spans="1:8" x14ac:dyDescent="0.25">
      <c r="A2792" s="73">
        <v>44800</v>
      </c>
      <c r="B2792" s="74" t="s">
        <v>27559</v>
      </c>
      <c r="C2792" s="75" t="s">
        <v>419</v>
      </c>
      <c r="D2792" s="176">
        <v>6622.8</v>
      </c>
      <c r="E2792" s="151">
        <v>44800</v>
      </c>
      <c r="F2792" s="176">
        <v>6622.8</v>
      </c>
      <c r="G2792" s="177">
        <f>Tabla19[[#This Row],[Importe]]-Tabla19[[#This Row],[Pagado]]</f>
        <v>0</v>
      </c>
      <c r="H2792" s="75" t="s">
        <v>10</v>
      </c>
    </row>
    <row r="2793" spans="1:8" x14ac:dyDescent="0.25">
      <c r="A2793" s="148">
        <v>44800</v>
      </c>
      <c r="B2793" s="149" t="s">
        <v>27560</v>
      </c>
      <c r="C2793" s="153" t="s">
        <v>407</v>
      </c>
      <c r="D2793" s="178">
        <v>5940</v>
      </c>
      <c r="E2793" s="155" t="s">
        <v>26221</v>
      </c>
      <c r="F2793" s="178">
        <v>5940</v>
      </c>
      <c r="G2793" s="179">
        <f>Tabla19[[#This Row],[Importe]]-Tabla19[[#This Row],[Pagado]]</f>
        <v>0</v>
      </c>
      <c r="H2793" s="153" t="s">
        <v>10</v>
      </c>
    </row>
    <row r="2794" spans="1:8" x14ac:dyDescent="0.25">
      <c r="A2794" s="73">
        <v>44800</v>
      </c>
      <c r="B2794" s="74" t="s">
        <v>27561</v>
      </c>
      <c r="C2794" s="75" t="s">
        <v>9827</v>
      </c>
      <c r="D2794" s="176">
        <v>6246</v>
      </c>
      <c r="E2794" s="151">
        <v>44800</v>
      </c>
      <c r="F2794" s="176">
        <v>6246</v>
      </c>
      <c r="G2794" s="177">
        <f>Tabla19[[#This Row],[Importe]]-Tabla19[[#This Row],[Pagado]]</f>
        <v>0</v>
      </c>
      <c r="H2794" s="75" t="s">
        <v>10</v>
      </c>
    </row>
    <row r="2795" spans="1:8" x14ac:dyDescent="0.25">
      <c r="A2795" s="148">
        <v>44800</v>
      </c>
      <c r="B2795" s="149" t="s">
        <v>27562</v>
      </c>
      <c r="C2795" s="153" t="s">
        <v>146</v>
      </c>
      <c r="D2795" s="178">
        <v>11766</v>
      </c>
      <c r="E2795" s="155">
        <v>44800</v>
      </c>
      <c r="F2795" s="178">
        <v>11766</v>
      </c>
      <c r="G2795" s="179">
        <f>Tabla19[[#This Row],[Importe]]-Tabla19[[#This Row],[Pagado]]</f>
        <v>0</v>
      </c>
      <c r="H2795" s="153" t="s">
        <v>10</v>
      </c>
    </row>
    <row r="2796" spans="1:8" x14ac:dyDescent="0.25">
      <c r="A2796" s="73">
        <v>44800</v>
      </c>
      <c r="B2796" s="74" t="s">
        <v>27563</v>
      </c>
      <c r="C2796" s="75" t="s">
        <v>107</v>
      </c>
      <c r="D2796" s="176">
        <v>17518.599999999999</v>
      </c>
      <c r="E2796" s="151">
        <v>44800</v>
      </c>
      <c r="F2796" s="176">
        <v>17518.599999999999</v>
      </c>
      <c r="G2796" s="177">
        <f>Tabla19[[#This Row],[Importe]]-Tabla19[[#This Row],[Pagado]]</f>
        <v>0</v>
      </c>
      <c r="H2796" s="75" t="s">
        <v>10</v>
      </c>
    </row>
    <row r="2797" spans="1:8" x14ac:dyDescent="0.25">
      <c r="A2797" s="148">
        <v>44800</v>
      </c>
      <c r="B2797" s="149" t="s">
        <v>27564</v>
      </c>
      <c r="C2797" s="153" t="s">
        <v>1362</v>
      </c>
      <c r="D2797" s="178">
        <v>8822.5</v>
      </c>
      <c r="E2797" s="155">
        <v>44800</v>
      </c>
      <c r="F2797" s="178">
        <v>8822.5</v>
      </c>
      <c r="G2797" s="179">
        <f>Tabla19[[#This Row],[Importe]]-Tabla19[[#This Row],[Pagado]]</f>
        <v>0</v>
      </c>
      <c r="H2797" s="153" t="s">
        <v>10</v>
      </c>
    </row>
    <row r="2798" spans="1:8" x14ac:dyDescent="0.25">
      <c r="A2798" s="73">
        <v>44800</v>
      </c>
      <c r="B2798" s="74" t="s">
        <v>27565</v>
      </c>
      <c r="C2798" s="75" t="s">
        <v>58</v>
      </c>
      <c r="D2798" s="176">
        <v>4205.6000000000004</v>
      </c>
      <c r="E2798" s="151">
        <v>44800</v>
      </c>
      <c r="F2798" s="176">
        <v>4205.6000000000004</v>
      </c>
      <c r="G2798" s="177">
        <f>Tabla19[[#This Row],[Importe]]-Tabla19[[#This Row],[Pagado]]</f>
        <v>0</v>
      </c>
      <c r="H2798" s="75" t="s">
        <v>10</v>
      </c>
    </row>
    <row r="2799" spans="1:8" x14ac:dyDescent="0.25">
      <c r="A2799" s="148">
        <v>44800</v>
      </c>
      <c r="B2799" s="149" t="s">
        <v>27566</v>
      </c>
      <c r="C2799" s="153" t="s">
        <v>67</v>
      </c>
      <c r="D2799" s="178">
        <v>2410.4</v>
      </c>
      <c r="E2799" s="155">
        <v>44800</v>
      </c>
      <c r="F2799" s="178">
        <v>2410.4</v>
      </c>
      <c r="G2799" s="179">
        <f>Tabla19[[#This Row],[Importe]]-Tabla19[[#This Row],[Pagado]]</f>
        <v>0</v>
      </c>
      <c r="H2799" s="153" t="s">
        <v>10</v>
      </c>
    </row>
    <row r="2800" spans="1:8" x14ac:dyDescent="0.25">
      <c r="A2800" s="73">
        <v>44800</v>
      </c>
      <c r="B2800" s="74" t="s">
        <v>27567</v>
      </c>
      <c r="C2800" s="75" t="s">
        <v>484</v>
      </c>
      <c r="D2800" s="176">
        <v>3705</v>
      </c>
      <c r="E2800" s="151">
        <v>44800</v>
      </c>
      <c r="F2800" s="176">
        <v>3705</v>
      </c>
      <c r="G2800" s="177">
        <f>Tabla19[[#This Row],[Importe]]-Tabla19[[#This Row],[Pagado]]</f>
        <v>0</v>
      </c>
      <c r="H2800" s="75" t="s">
        <v>10</v>
      </c>
    </row>
    <row r="2801" spans="1:8" x14ac:dyDescent="0.25">
      <c r="A2801" s="148">
        <v>44800</v>
      </c>
      <c r="B2801" s="149" t="s">
        <v>27568</v>
      </c>
      <c r="C2801" s="153" t="s">
        <v>179</v>
      </c>
      <c r="D2801" s="178">
        <v>1739</v>
      </c>
      <c r="E2801" s="155">
        <v>44800</v>
      </c>
      <c r="F2801" s="178">
        <v>1739</v>
      </c>
      <c r="G2801" s="179">
        <f>Tabla19[[#This Row],[Importe]]-Tabla19[[#This Row],[Pagado]]</f>
        <v>0</v>
      </c>
      <c r="H2801" s="153" t="s">
        <v>10</v>
      </c>
    </row>
    <row r="2802" spans="1:8" x14ac:dyDescent="0.25">
      <c r="A2802" s="73">
        <v>44800</v>
      </c>
      <c r="B2802" s="74" t="s">
        <v>27569</v>
      </c>
      <c r="C2802" s="75" t="s">
        <v>191</v>
      </c>
      <c r="D2802" s="176">
        <v>18096</v>
      </c>
      <c r="E2802" s="151">
        <v>44800</v>
      </c>
      <c r="F2802" s="176">
        <v>18096</v>
      </c>
      <c r="G2802" s="177">
        <f>Tabla19[[#This Row],[Importe]]-Tabla19[[#This Row],[Pagado]]</f>
        <v>0</v>
      </c>
      <c r="H2802" s="75" t="s">
        <v>10</v>
      </c>
    </row>
    <row r="2803" spans="1:8" x14ac:dyDescent="0.25">
      <c r="A2803" s="148">
        <v>44800</v>
      </c>
      <c r="B2803" s="149" t="s">
        <v>27570</v>
      </c>
      <c r="C2803" s="153" t="s">
        <v>31</v>
      </c>
      <c r="D2803" s="178">
        <v>732.6</v>
      </c>
      <c r="E2803" s="155">
        <v>44800</v>
      </c>
      <c r="F2803" s="178">
        <v>732.6</v>
      </c>
      <c r="G2803" s="179">
        <f>Tabla19[[#This Row],[Importe]]-Tabla19[[#This Row],[Pagado]]</f>
        <v>0</v>
      </c>
      <c r="H2803" s="153" t="s">
        <v>10</v>
      </c>
    </row>
    <row r="2804" spans="1:8" ht="31.5" x14ac:dyDescent="0.25">
      <c r="A2804" s="73">
        <v>44800</v>
      </c>
      <c r="B2804" s="74" t="s">
        <v>27571</v>
      </c>
      <c r="C2804" s="181" t="s">
        <v>4301</v>
      </c>
      <c r="D2804" s="176">
        <v>0</v>
      </c>
      <c r="E2804" s="157" t="s">
        <v>189</v>
      </c>
      <c r="F2804" s="176">
        <v>0</v>
      </c>
      <c r="G2804" s="177">
        <f>Tabla19[[#This Row],[Importe]]-Tabla19[[#This Row],[Pagado]]</f>
        <v>0</v>
      </c>
      <c r="H2804" s="161" t="s">
        <v>27572</v>
      </c>
    </row>
    <row r="2805" spans="1:8" x14ac:dyDescent="0.25">
      <c r="A2805" s="148">
        <v>44800</v>
      </c>
      <c r="B2805" s="149" t="s">
        <v>27573</v>
      </c>
      <c r="C2805" s="153" t="s">
        <v>275</v>
      </c>
      <c r="D2805" s="178">
        <v>40606.83</v>
      </c>
      <c r="E2805" s="155" t="s">
        <v>4813</v>
      </c>
      <c r="F2805" s="178">
        <v>0</v>
      </c>
      <c r="G2805" s="179">
        <f>Tabla19[[#This Row],[Importe]]-Tabla19[[#This Row],[Pagado]]</f>
        <v>40606.83</v>
      </c>
      <c r="H2805" s="153" t="s">
        <v>4814</v>
      </c>
    </row>
    <row r="2806" spans="1:8" x14ac:dyDescent="0.25">
      <c r="A2806" s="73">
        <v>44800</v>
      </c>
      <c r="B2806" s="74" t="s">
        <v>27574</v>
      </c>
      <c r="C2806" s="75" t="s">
        <v>10190</v>
      </c>
      <c r="D2806" s="176">
        <v>14337.6</v>
      </c>
      <c r="E2806" s="151">
        <v>44800</v>
      </c>
      <c r="F2806" s="176">
        <v>14337.6</v>
      </c>
      <c r="G2806" s="177">
        <f>Tabla19[[#This Row],[Importe]]-Tabla19[[#This Row],[Pagado]]</f>
        <v>0</v>
      </c>
      <c r="H2806" s="75" t="s">
        <v>10</v>
      </c>
    </row>
    <row r="2807" spans="1:8" x14ac:dyDescent="0.25">
      <c r="A2807" s="148">
        <v>44800</v>
      </c>
      <c r="B2807" s="149" t="s">
        <v>27575</v>
      </c>
      <c r="C2807" s="153" t="s">
        <v>214</v>
      </c>
      <c r="D2807" s="178">
        <v>1805.6</v>
      </c>
      <c r="E2807" s="155">
        <v>44800</v>
      </c>
      <c r="F2807" s="178">
        <v>1805.6</v>
      </c>
      <c r="G2807" s="179">
        <f>Tabla19[[#This Row],[Importe]]-Tabla19[[#This Row],[Pagado]]</f>
        <v>0</v>
      </c>
      <c r="H2807" s="153" t="s">
        <v>10</v>
      </c>
    </row>
    <row r="2808" spans="1:8" x14ac:dyDescent="0.25">
      <c r="A2808" s="73">
        <v>44800</v>
      </c>
      <c r="B2808" s="74" t="s">
        <v>27576</v>
      </c>
      <c r="C2808" s="75" t="s">
        <v>442</v>
      </c>
      <c r="D2808" s="176">
        <v>19531.2</v>
      </c>
      <c r="E2808" s="151">
        <v>44800</v>
      </c>
      <c r="F2808" s="176">
        <v>19531.2</v>
      </c>
      <c r="G2808" s="177">
        <f>Tabla19[[#This Row],[Importe]]-Tabla19[[#This Row],[Pagado]]</f>
        <v>0</v>
      </c>
      <c r="H2808" s="75" t="s">
        <v>10</v>
      </c>
    </row>
    <row r="2809" spans="1:8" x14ac:dyDescent="0.25">
      <c r="A2809" s="148">
        <v>44800</v>
      </c>
      <c r="B2809" s="149" t="s">
        <v>27577</v>
      </c>
      <c r="C2809" s="153" t="s">
        <v>612</v>
      </c>
      <c r="D2809" s="178">
        <v>750</v>
      </c>
      <c r="E2809" s="155">
        <v>44800</v>
      </c>
      <c r="F2809" s="178">
        <v>750</v>
      </c>
      <c r="G2809" s="179">
        <f>Tabla19[[#This Row],[Importe]]-Tabla19[[#This Row],[Pagado]]</f>
        <v>0</v>
      </c>
      <c r="H2809" s="153" t="s">
        <v>10</v>
      </c>
    </row>
    <row r="2810" spans="1:8" x14ac:dyDescent="0.25">
      <c r="A2810" s="73">
        <v>44800</v>
      </c>
      <c r="B2810" s="74" t="s">
        <v>27578</v>
      </c>
      <c r="C2810" s="75" t="s">
        <v>9</v>
      </c>
      <c r="D2810" s="176">
        <v>3294</v>
      </c>
      <c r="E2810" s="151">
        <v>44800</v>
      </c>
      <c r="F2810" s="176">
        <v>3294</v>
      </c>
      <c r="G2810" s="177">
        <f>Tabla19[[#This Row],[Importe]]-Tabla19[[#This Row],[Pagado]]</f>
        <v>0</v>
      </c>
      <c r="H2810" s="75" t="s">
        <v>10</v>
      </c>
    </row>
    <row r="2811" spans="1:8" x14ac:dyDescent="0.25">
      <c r="A2811" s="148">
        <v>44800</v>
      </c>
      <c r="B2811" s="149" t="s">
        <v>27579</v>
      </c>
      <c r="C2811" s="153" t="s">
        <v>53</v>
      </c>
      <c r="D2811" s="178">
        <v>2925.6</v>
      </c>
      <c r="E2811" s="155">
        <v>44800</v>
      </c>
      <c r="F2811" s="178">
        <v>2925.6</v>
      </c>
      <c r="G2811" s="179">
        <f>Tabla19[[#This Row],[Importe]]-Tabla19[[#This Row],[Pagado]]</f>
        <v>0</v>
      </c>
      <c r="H2811" s="153" t="s">
        <v>10</v>
      </c>
    </row>
    <row r="2812" spans="1:8" x14ac:dyDescent="0.25">
      <c r="A2812" s="73">
        <v>44800</v>
      </c>
      <c r="B2812" s="74" t="s">
        <v>27580</v>
      </c>
      <c r="C2812" s="75" t="s">
        <v>994</v>
      </c>
      <c r="D2812" s="176">
        <v>1395.8</v>
      </c>
      <c r="E2812" s="151">
        <v>44800</v>
      </c>
      <c r="F2812" s="176">
        <v>1395.8</v>
      </c>
      <c r="G2812" s="177">
        <f>Tabla19[[#This Row],[Importe]]-Tabla19[[#This Row],[Pagado]]</f>
        <v>0</v>
      </c>
      <c r="H2812" s="75" t="s">
        <v>10</v>
      </c>
    </row>
    <row r="2813" spans="1:8" x14ac:dyDescent="0.25">
      <c r="A2813" s="148">
        <v>44800</v>
      </c>
      <c r="B2813" s="149" t="s">
        <v>27581</v>
      </c>
      <c r="C2813" s="153" t="s">
        <v>1421</v>
      </c>
      <c r="D2813" s="178">
        <v>51915.6</v>
      </c>
      <c r="E2813" s="155">
        <v>44800</v>
      </c>
      <c r="F2813" s="178">
        <v>51915.6</v>
      </c>
      <c r="G2813" s="179">
        <f>Tabla19[[#This Row],[Importe]]-Tabla19[[#This Row],[Pagado]]</f>
        <v>0</v>
      </c>
      <c r="H2813" s="153" t="s">
        <v>10</v>
      </c>
    </row>
    <row r="2814" spans="1:8" x14ac:dyDescent="0.25">
      <c r="A2814" s="73">
        <v>44800</v>
      </c>
      <c r="B2814" s="74" t="s">
        <v>27582</v>
      </c>
      <c r="C2814" s="75" t="s">
        <v>69</v>
      </c>
      <c r="D2814" s="176">
        <v>1265.4000000000001</v>
      </c>
      <c r="E2814" s="151">
        <v>44800</v>
      </c>
      <c r="F2814" s="176">
        <v>1265.4000000000001</v>
      </c>
      <c r="G2814" s="177">
        <f>Tabla19[[#This Row],[Importe]]-Tabla19[[#This Row],[Pagado]]</f>
        <v>0</v>
      </c>
      <c r="H2814" s="75" t="s">
        <v>10</v>
      </c>
    </row>
    <row r="2815" spans="1:8" x14ac:dyDescent="0.25">
      <c r="A2815" s="148">
        <v>44800</v>
      </c>
      <c r="B2815" s="149" t="s">
        <v>27583</v>
      </c>
      <c r="C2815" s="153" t="s">
        <v>27584</v>
      </c>
      <c r="D2815" s="178">
        <v>4840</v>
      </c>
      <c r="E2815" s="155">
        <v>44800</v>
      </c>
      <c r="F2815" s="178">
        <v>4840</v>
      </c>
      <c r="G2815" s="179">
        <f>Tabla19[[#This Row],[Importe]]-Tabla19[[#This Row],[Pagado]]</f>
        <v>0</v>
      </c>
      <c r="H2815" s="153" t="s">
        <v>10</v>
      </c>
    </row>
    <row r="2816" spans="1:8" x14ac:dyDescent="0.25">
      <c r="A2816" s="73">
        <v>44800</v>
      </c>
      <c r="B2816" s="74" t="s">
        <v>27585</v>
      </c>
      <c r="C2816" s="75" t="s">
        <v>31</v>
      </c>
      <c r="D2816" s="176">
        <v>904</v>
      </c>
      <c r="E2816" s="151">
        <v>44800</v>
      </c>
      <c r="F2816" s="176">
        <v>904</v>
      </c>
      <c r="G2816" s="177">
        <f>Tabla19[[#This Row],[Importe]]-Tabla19[[#This Row],[Pagado]]</f>
        <v>0</v>
      </c>
      <c r="H2816" s="75" t="s">
        <v>10</v>
      </c>
    </row>
    <row r="2817" spans="1:8" x14ac:dyDescent="0.25">
      <c r="A2817" s="148">
        <v>44800</v>
      </c>
      <c r="B2817" s="149" t="s">
        <v>27586</v>
      </c>
      <c r="C2817" s="153" t="s">
        <v>51</v>
      </c>
      <c r="D2817" s="178">
        <v>4736</v>
      </c>
      <c r="E2817" s="155">
        <v>44800</v>
      </c>
      <c r="F2817" s="178">
        <v>4736</v>
      </c>
      <c r="G2817" s="179">
        <f>Tabla19[[#This Row],[Importe]]-Tabla19[[#This Row],[Pagado]]</f>
        <v>0</v>
      </c>
      <c r="H2817" s="153" t="s">
        <v>10</v>
      </c>
    </row>
    <row r="2818" spans="1:8" x14ac:dyDescent="0.25">
      <c r="A2818" s="73">
        <v>44800</v>
      </c>
      <c r="B2818" s="74" t="s">
        <v>27587</v>
      </c>
      <c r="C2818" s="75" t="s">
        <v>284</v>
      </c>
      <c r="D2818" s="176">
        <v>14992.4</v>
      </c>
      <c r="E2818" s="151">
        <v>44801</v>
      </c>
      <c r="F2818" s="176">
        <v>14992.4</v>
      </c>
      <c r="G2818" s="177">
        <f>Tabla19[[#This Row],[Importe]]-Tabla19[[#This Row],[Pagado]]</f>
        <v>0</v>
      </c>
      <c r="H2818" s="75" t="s">
        <v>10</v>
      </c>
    </row>
    <row r="2819" spans="1:8" x14ac:dyDescent="0.25">
      <c r="A2819" s="148">
        <v>44800</v>
      </c>
      <c r="B2819" s="149" t="s">
        <v>27588</v>
      </c>
      <c r="C2819" s="153" t="s">
        <v>5345</v>
      </c>
      <c r="D2819" s="178">
        <v>1716.8</v>
      </c>
      <c r="E2819" s="155">
        <v>44801</v>
      </c>
      <c r="F2819" s="178">
        <v>1716.8</v>
      </c>
      <c r="G2819" s="179">
        <f>Tabla19[[#This Row],[Importe]]-Tabla19[[#This Row],[Pagado]]</f>
        <v>0</v>
      </c>
      <c r="H2819" s="153" t="s">
        <v>10</v>
      </c>
    </row>
    <row r="2820" spans="1:8" x14ac:dyDescent="0.25">
      <c r="A2820" s="73">
        <v>44800</v>
      </c>
      <c r="B2820" s="74" t="s">
        <v>27589</v>
      </c>
      <c r="C2820" s="75" t="s">
        <v>27590</v>
      </c>
      <c r="D2820" s="176">
        <v>0</v>
      </c>
      <c r="E2820" s="157" t="s">
        <v>189</v>
      </c>
      <c r="F2820" s="176">
        <v>0</v>
      </c>
      <c r="G2820" s="177">
        <f>Tabla19[[#This Row],[Importe]]-Tabla19[[#This Row],[Pagado]]</f>
        <v>0</v>
      </c>
      <c r="H2820" s="75" t="s">
        <v>189</v>
      </c>
    </row>
    <row r="2821" spans="1:8" x14ac:dyDescent="0.25">
      <c r="A2821" s="148">
        <v>44800</v>
      </c>
      <c r="B2821" s="149" t="s">
        <v>27591</v>
      </c>
      <c r="C2821" s="153" t="s">
        <v>27592</v>
      </c>
      <c r="D2821" s="178">
        <v>0</v>
      </c>
      <c r="E2821" s="158" t="s">
        <v>189</v>
      </c>
      <c r="F2821" s="178">
        <v>0</v>
      </c>
      <c r="G2821" s="179">
        <f>Tabla19[[#This Row],[Importe]]-Tabla19[[#This Row],[Pagado]]</f>
        <v>0</v>
      </c>
      <c r="H2821" s="159" t="s">
        <v>27593</v>
      </c>
    </row>
    <row r="2822" spans="1:8" x14ac:dyDescent="0.25">
      <c r="A2822" s="73">
        <v>44800</v>
      </c>
      <c r="B2822" s="74" t="s">
        <v>27594</v>
      </c>
      <c r="C2822" s="75" t="s">
        <v>454</v>
      </c>
      <c r="D2822" s="176">
        <v>2400</v>
      </c>
      <c r="E2822" s="151">
        <v>44800</v>
      </c>
      <c r="F2822" s="176">
        <v>2400</v>
      </c>
      <c r="G2822" s="177">
        <f>Tabla19[[#This Row],[Importe]]-Tabla19[[#This Row],[Pagado]]</f>
        <v>0</v>
      </c>
      <c r="H2822" s="75" t="s">
        <v>10</v>
      </c>
    </row>
    <row r="2823" spans="1:8" x14ac:dyDescent="0.25">
      <c r="A2823" s="148">
        <v>44800</v>
      </c>
      <c r="B2823" s="149" t="s">
        <v>27595</v>
      </c>
      <c r="C2823" s="153" t="s">
        <v>16</v>
      </c>
      <c r="D2823" s="178">
        <v>1171.8</v>
      </c>
      <c r="E2823" s="155">
        <v>44800</v>
      </c>
      <c r="F2823" s="178">
        <v>1171.8</v>
      </c>
      <c r="G2823" s="179">
        <f>Tabla19[[#This Row],[Importe]]-Tabla19[[#This Row],[Pagado]]</f>
        <v>0</v>
      </c>
      <c r="H2823" s="153" t="s">
        <v>10</v>
      </c>
    </row>
    <row r="2824" spans="1:8" x14ac:dyDescent="0.25">
      <c r="A2824" s="73">
        <v>44800</v>
      </c>
      <c r="B2824" s="74" t="s">
        <v>27596</v>
      </c>
      <c r="C2824" s="75" t="s">
        <v>10840</v>
      </c>
      <c r="D2824" s="176">
        <v>2530</v>
      </c>
      <c r="E2824" s="151">
        <v>44800</v>
      </c>
      <c r="F2824" s="176">
        <v>2530</v>
      </c>
      <c r="G2824" s="177">
        <f>Tabla19[[#This Row],[Importe]]-Tabla19[[#This Row],[Pagado]]</f>
        <v>0</v>
      </c>
      <c r="H2824" s="75" t="s">
        <v>10</v>
      </c>
    </row>
    <row r="2825" spans="1:8" x14ac:dyDescent="0.25">
      <c r="A2825" s="148">
        <v>44800</v>
      </c>
      <c r="B2825" s="149" t="s">
        <v>27597</v>
      </c>
      <c r="C2825" s="153" t="s">
        <v>280</v>
      </c>
      <c r="D2825" s="178">
        <v>2012.8</v>
      </c>
      <c r="E2825" s="155">
        <v>44801</v>
      </c>
      <c r="F2825" s="178">
        <v>2012.8</v>
      </c>
      <c r="G2825" s="179">
        <f>Tabla19[[#This Row],[Importe]]-Tabla19[[#This Row],[Pagado]]</f>
        <v>0</v>
      </c>
      <c r="H2825" s="153" t="s">
        <v>10</v>
      </c>
    </row>
    <row r="2826" spans="1:8" x14ac:dyDescent="0.25">
      <c r="A2826" s="73">
        <v>44800</v>
      </c>
      <c r="B2826" s="74" t="s">
        <v>27598</v>
      </c>
      <c r="C2826" s="75" t="s">
        <v>431</v>
      </c>
      <c r="D2826" s="176">
        <v>1198.8</v>
      </c>
      <c r="E2826" s="151">
        <v>44801</v>
      </c>
      <c r="F2826" s="176">
        <v>1198.8</v>
      </c>
      <c r="G2826" s="177">
        <f>Tabla19[[#This Row],[Importe]]-Tabla19[[#This Row],[Pagado]]</f>
        <v>0</v>
      </c>
      <c r="H2826" s="75" t="s">
        <v>10</v>
      </c>
    </row>
    <row r="2827" spans="1:8" x14ac:dyDescent="0.25">
      <c r="A2827" s="148">
        <v>44800</v>
      </c>
      <c r="B2827" s="149" t="s">
        <v>27599</v>
      </c>
      <c r="C2827" s="153" t="s">
        <v>10819</v>
      </c>
      <c r="D2827" s="178">
        <v>1346</v>
      </c>
      <c r="E2827" s="155">
        <v>44801</v>
      </c>
      <c r="F2827" s="178">
        <v>1346</v>
      </c>
      <c r="G2827" s="179">
        <f>Tabla19[[#This Row],[Importe]]-Tabla19[[#This Row],[Pagado]]</f>
        <v>0</v>
      </c>
      <c r="H2827" s="153" t="s">
        <v>10</v>
      </c>
    </row>
    <row r="2828" spans="1:8" x14ac:dyDescent="0.25">
      <c r="A2828" s="73">
        <v>44800</v>
      </c>
      <c r="B2828" s="74" t="s">
        <v>27600</v>
      </c>
      <c r="C2828" s="75" t="s">
        <v>282</v>
      </c>
      <c r="D2828" s="176">
        <v>6045.8</v>
      </c>
      <c r="E2828" s="151">
        <v>44801</v>
      </c>
      <c r="F2828" s="176">
        <v>6045.8</v>
      </c>
      <c r="G2828" s="177">
        <f>Tabla19[[#This Row],[Importe]]-Tabla19[[#This Row],[Pagado]]</f>
        <v>0</v>
      </c>
      <c r="H2828" s="75" t="s">
        <v>10</v>
      </c>
    </row>
    <row r="2829" spans="1:8" x14ac:dyDescent="0.25">
      <c r="A2829" s="148">
        <v>44800</v>
      </c>
      <c r="B2829" s="149" t="s">
        <v>27601</v>
      </c>
      <c r="C2829" s="153" t="s">
        <v>857</v>
      </c>
      <c r="D2829" s="178">
        <v>1640</v>
      </c>
      <c r="E2829" s="155">
        <v>44800</v>
      </c>
      <c r="F2829" s="178">
        <v>1640</v>
      </c>
      <c r="G2829" s="179">
        <f>Tabla19[[#This Row],[Importe]]-Tabla19[[#This Row],[Pagado]]</f>
        <v>0</v>
      </c>
      <c r="H2829" s="153" t="s">
        <v>10</v>
      </c>
    </row>
    <row r="2830" spans="1:8" x14ac:dyDescent="0.25">
      <c r="A2830" s="73">
        <v>44800</v>
      </c>
      <c r="B2830" s="74" t="s">
        <v>27602</v>
      </c>
      <c r="C2830" s="75" t="s">
        <v>409</v>
      </c>
      <c r="D2830" s="176">
        <v>8793.6</v>
      </c>
      <c r="E2830" s="151">
        <v>44804</v>
      </c>
      <c r="F2830" s="176">
        <v>8793.6</v>
      </c>
      <c r="G2830" s="177">
        <f>Tabla19[[#This Row],[Importe]]-Tabla19[[#This Row],[Pagado]]</f>
        <v>0</v>
      </c>
      <c r="H2830" s="75" t="s">
        <v>10</v>
      </c>
    </row>
    <row r="2831" spans="1:8" x14ac:dyDescent="0.25">
      <c r="A2831" s="148">
        <v>44800</v>
      </c>
      <c r="B2831" s="149" t="s">
        <v>27603</v>
      </c>
      <c r="C2831" s="153" t="s">
        <v>3823</v>
      </c>
      <c r="D2831" s="178">
        <v>0</v>
      </c>
      <c r="E2831" s="158" t="s">
        <v>189</v>
      </c>
      <c r="F2831" s="178">
        <v>0</v>
      </c>
      <c r="G2831" s="179">
        <f>Tabla19[[#This Row],[Importe]]-Tabla19[[#This Row],[Pagado]]</f>
        <v>0</v>
      </c>
      <c r="H2831" s="159" t="s">
        <v>27604</v>
      </c>
    </row>
    <row r="2832" spans="1:8" x14ac:dyDescent="0.25">
      <c r="A2832" s="73">
        <v>44800</v>
      </c>
      <c r="B2832" s="74" t="s">
        <v>27605</v>
      </c>
      <c r="C2832" s="75" t="s">
        <v>31</v>
      </c>
      <c r="D2832" s="176">
        <v>2296</v>
      </c>
      <c r="E2832" s="151">
        <v>44800</v>
      </c>
      <c r="F2832" s="176">
        <v>2296</v>
      </c>
      <c r="G2832" s="177">
        <f>Tabla19[[#This Row],[Importe]]-Tabla19[[#This Row],[Pagado]]</f>
        <v>0</v>
      </c>
      <c r="H2832" s="75" t="s">
        <v>10</v>
      </c>
    </row>
    <row r="2833" spans="1:8" x14ac:dyDescent="0.25">
      <c r="A2833" s="148">
        <v>44800</v>
      </c>
      <c r="B2833" s="149" t="s">
        <v>27606</v>
      </c>
      <c r="C2833" s="153" t="s">
        <v>31</v>
      </c>
      <c r="D2833" s="178">
        <v>24784</v>
      </c>
      <c r="E2833" s="155">
        <v>44800</v>
      </c>
      <c r="F2833" s="178">
        <v>24784</v>
      </c>
      <c r="G2833" s="179">
        <f>Tabla19[[#This Row],[Importe]]-Tabla19[[#This Row],[Pagado]]</f>
        <v>0</v>
      </c>
      <c r="H2833" s="153" t="s">
        <v>10</v>
      </c>
    </row>
    <row r="2834" spans="1:8" x14ac:dyDescent="0.25">
      <c r="A2834" s="73">
        <v>44800</v>
      </c>
      <c r="B2834" s="74" t="s">
        <v>27607</v>
      </c>
      <c r="C2834" s="75" t="s">
        <v>191</v>
      </c>
      <c r="D2834" s="176">
        <v>693</v>
      </c>
      <c r="E2834" s="151">
        <v>44800</v>
      </c>
      <c r="F2834" s="176">
        <v>693</v>
      </c>
      <c r="G2834" s="177">
        <f>Tabla19[[#This Row],[Importe]]-Tabla19[[#This Row],[Pagado]]</f>
        <v>0</v>
      </c>
      <c r="H2834" s="75" t="s">
        <v>10</v>
      </c>
    </row>
    <row r="2835" spans="1:8" x14ac:dyDescent="0.25">
      <c r="A2835" s="148">
        <v>44800</v>
      </c>
      <c r="B2835" s="149" t="s">
        <v>27608</v>
      </c>
      <c r="C2835" s="153" t="s">
        <v>35</v>
      </c>
      <c r="D2835" s="178">
        <v>3056</v>
      </c>
      <c r="E2835" s="155">
        <v>44800</v>
      </c>
      <c r="F2835" s="178">
        <v>3056</v>
      </c>
      <c r="G2835" s="179">
        <f>Tabla19[[#This Row],[Importe]]-Tabla19[[#This Row],[Pagado]]</f>
        <v>0</v>
      </c>
      <c r="H2835" s="153" t="s">
        <v>10</v>
      </c>
    </row>
    <row r="2836" spans="1:8" x14ac:dyDescent="0.25">
      <c r="A2836" s="73">
        <v>44800</v>
      </c>
      <c r="B2836" s="74" t="s">
        <v>27609</v>
      </c>
      <c r="C2836" s="75" t="s">
        <v>296</v>
      </c>
      <c r="D2836" s="176">
        <v>3107.3</v>
      </c>
      <c r="E2836" s="151">
        <v>44800</v>
      </c>
      <c r="F2836" s="176">
        <v>3107.3</v>
      </c>
      <c r="G2836" s="177">
        <f>Tabla19[[#This Row],[Importe]]-Tabla19[[#This Row],[Pagado]]</f>
        <v>0</v>
      </c>
      <c r="H2836" s="75" t="s">
        <v>10</v>
      </c>
    </row>
    <row r="2837" spans="1:8" x14ac:dyDescent="0.25">
      <c r="A2837" s="148">
        <v>44800</v>
      </c>
      <c r="B2837" s="149" t="s">
        <v>27610</v>
      </c>
      <c r="C2837" s="153" t="s">
        <v>461</v>
      </c>
      <c r="D2837" s="178">
        <v>394</v>
      </c>
      <c r="E2837" s="155">
        <v>44800</v>
      </c>
      <c r="F2837" s="178">
        <v>394</v>
      </c>
      <c r="G2837" s="179">
        <f>Tabla19[[#This Row],[Importe]]-Tabla19[[#This Row],[Pagado]]</f>
        <v>0</v>
      </c>
      <c r="H2837" s="153" t="s">
        <v>10</v>
      </c>
    </row>
    <row r="2838" spans="1:8" x14ac:dyDescent="0.25">
      <c r="A2838" s="73">
        <v>44800</v>
      </c>
      <c r="B2838" s="74" t="s">
        <v>27611</v>
      </c>
      <c r="C2838" s="75" t="s">
        <v>414</v>
      </c>
      <c r="D2838" s="176">
        <v>22469.4</v>
      </c>
      <c r="E2838" s="151" t="s">
        <v>26221</v>
      </c>
      <c r="F2838" s="176">
        <v>22469.4</v>
      </c>
      <c r="G2838" s="177">
        <f>Tabla19[[#This Row],[Importe]]-Tabla19[[#This Row],[Pagado]]</f>
        <v>0</v>
      </c>
      <c r="H2838" s="75" t="s">
        <v>10</v>
      </c>
    </row>
    <row r="2839" spans="1:8" x14ac:dyDescent="0.25">
      <c r="A2839" s="148">
        <v>44800</v>
      </c>
      <c r="B2839" s="149" t="s">
        <v>27612</v>
      </c>
      <c r="C2839" s="153" t="s">
        <v>9</v>
      </c>
      <c r="D2839" s="178">
        <v>952</v>
      </c>
      <c r="E2839" s="155">
        <v>44800</v>
      </c>
      <c r="F2839" s="178">
        <v>952</v>
      </c>
      <c r="G2839" s="179">
        <f>Tabla19[[#This Row],[Importe]]-Tabla19[[#This Row],[Pagado]]</f>
        <v>0</v>
      </c>
      <c r="H2839" s="153" t="s">
        <v>10</v>
      </c>
    </row>
    <row r="2840" spans="1:8" x14ac:dyDescent="0.25">
      <c r="A2840" s="73">
        <v>44800</v>
      </c>
      <c r="B2840" s="74" t="s">
        <v>27613</v>
      </c>
      <c r="C2840" s="75" t="s">
        <v>612</v>
      </c>
      <c r="D2840" s="176">
        <v>660</v>
      </c>
      <c r="E2840" s="151">
        <v>44800</v>
      </c>
      <c r="F2840" s="176">
        <v>660</v>
      </c>
      <c r="G2840" s="177">
        <f>Tabla19[[#This Row],[Importe]]-Tabla19[[#This Row],[Pagado]]</f>
        <v>0</v>
      </c>
      <c r="H2840" s="75" t="s">
        <v>10</v>
      </c>
    </row>
    <row r="2841" spans="1:8" x14ac:dyDescent="0.25">
      <c r="A2841" s="148">
        <v>44800</v>
      </c>
      <c r="B2841" s="149" t="s">
        <v>27614</v>
      </c>
      <c r="C2841" s="153" t="s">
        <v>71</v>
      </c>
      <c r="D2841" s="178">
        <v>8582.1</v>
      </c>
      <c r="E2841" s="155">
        <v>44800</v>
      </c>
      <c r="F2841" s="178">
        <v>8582.1</v>
      </c>
      <c r="G2841" s="179">
        <f>Tabla19[[#This Row],[Importe]]-Tabla19[[#This Row],[Pagado]]</f>
        <v>0</v>
      </c>
      <c r="H2841" s="153" t="s">
        <v>10</v>
      </c>
    </row>
    <row r="2842" spans="1:8" x14ac:dyDescent="0.25">
      <c r="A2842" s="73">
        <v>44800</v>
      </c>
      <c r="B2842" s="74" t="s">
        <v>27615</v>
      </c>
      <c r="C2842" s="75" t="s">
        <v>107</v>
      </c>
      <c r="D2842" s="176">
        <v>9327.5</v>
      </c>
      <c r="E2842" s="151">
        <v>44801</v>
      </c>
      <c r="F2842" s="176">
        <v>9327.5</v>
      </c>
      <c r="G2842" s="177">
        <f>Tabla19[[#This Row],[Importe]]-Tabla19[[#This Row],[Pagado]]</f>
        <v>0</v>
      </c>
      <c r="H2842" s="75" t="s">
        <v>10</v>
      </c>
    </row>
    <row r="2843" spans="1:8" x14ac:dyDescent="0.25">
      <c r="A2843" s="148">
        <v>44800</v>
      </c>
      <c r="B2843" s="149" t="s">
        <v>27616</v>
      </c>
      <c r="C2843" s="153" t="s">
        <v>1362</v>
      </c>
      <c r="D2843" s="178">
        <v>5955</v>
      </c>
      <c r="E2843" s="155">
        <v>44801</v>
      </c>
      <c r="F2843" s="178">
        <v>5955</v>
      </c>
      <c r="G2843" s="179">
        <f>Tabla19[[#This Row],[Importe]]-Tabla19[[#This Row],[Pagado]]</f>
        <v>0</v>
      </c>
      <c r="H2843" s="153" t="s">
        <v>10</v>
      </c>
    </row>
    <row r="2844" spans="1:8" x14ac:dyDescent="0.25">
      <c r="A2844" s="73">
        <v>44801</v>
      </c>
      <c r="B2844" s="74" t="s">
        <v>27617</v>
      </c>
      <c r="C2844" s="75" t="s">
        <v>475</v>
      </c>
      <c r="D2844" s="176">
        <v>53536.7</v>
      </c>
      <c r="E2844" s="151">
        <v>44802</v>
      </c>
      <c r="F2844" s="176">
        <v>53536.7</v>
      </c>
      <c r="G2844" s="177">
        <f>Tabla19[[#This Row],[Importe]]-Tabla19[[#This Row],[Pagado]]</f>
        <v>0</v>
      </c>
      <c r="H2844" s="75" t="s">
        <v>10</v>
      </c>
    </row>
    <row r="2845" spans="1:8" x14ac:dyDescent="0.25">
      <c r="A2845" s="148">
        <v>44801</v>
      </c>
      <c r="B2845" s="149" t="s">
        <v>27618</v>
      </c>
      <c r="C2845" s="153" t="s">
        <v>9</v>
      </c>
      <c r="D2845" s="178">
        <v>8878.2000000000007</v>
      </c>
      <c r="E2845" s="155">
        <v>44801</v>
      </c>
      <c r="F2845" s="178">
        <v>8878.2000000000007</v>
      </c>
      <c r="G2845" s="179">
        <f>Tabla19[[#This Row],[Importe]]-Tabla19[[#This Row],[Pagado]]</f>
        <v>0</v>
      </c>
      <c r="H2845" s="153" t="s">
        <v>10</v>
      </c>
    </row>
    <row r="2846" spans="1:8" x14ac:dyDescent="0.25">
      <c r="A2846" s="73">
        <v>44801</v>
      </c>
      <c r="B2846" s="74" t="s">
        <v>27619</v>
      </c>
      <c r="C2846" s="75" t="s">
        <v>924</v>
      </c>
      <c r="D2846" s="176">
        <v>13232</v>
      </c>
      <c r="E2846" s="151">
        <v>44801</v>
      </c>
      <c r="F2846" s="176">
        <v>13232</v>
      </c>
      <c r="G2846" s="177">
        <f>Tabla19[[#This Row],[Importe]]-Tabla19[[#This Row],[Pagado]]</f>
        <v>0</v>
      </c>
      <c r="H2846" s="75" t="s">
        <v>10</v>
      </c>
    </row>
    <row r="2847" spans="1:8" x14ac:dyDescent="0.25">
      <c r="A2847" s="148">
        <v>44801</v>
      </c>
      <c r="B2847" s="149" t="s">
        <v>27620</v>
      </c>
      <c r="C2847" s="153" t="s">
        <v>1187</v>
      </c>
      <c r="D2847" s="178">
        <v>2218.5</v>
      </c>
      <c r="E2847" s="155">
        <v>44801</v>
      </c>
      <c r="F2847" s="178">
        <v>2218.5</v>
      </c>
      <c r="G2847" s="179">
        <f>Tabla19[[#This Row],[Importe]]-Tabla19[[#This Row],[Pagado]]</f>
        <v>0</v>
      </c>
      <c r="H2847" s="153" t="s">
        <v>10</v>
      </c>
    </row>
    <row r="2848" spans="1:8" x14ac:dyDescent="0.25">
      <c r="A2848" s="73">
        <v>44801</v>
      </c>
      <c r="B2848" s="74" t="s">
        <v>27621</v>
      </c>
      <c r="C2848" s="75" t="s">
        <v>481</v>
      </c>
      <c r="D2848" s="176">
        <v>1258</v>
      </c>
      <c r="E2848" s="151">
        <v>44801</v>
      </c>
      <c r="F2848" s="176">
        <v>1258</v>
      </c>
      <c r="G2848" s="177">
        <f>Tabla19[[#This Row],[Importe]]-Tabla19[[#This Row],[Pagado]]</f>
        <v>0</v>
      </c>
      <c r="H2848" s="75" t="s">
        <v>10</v>
      </c>
    </row>
    <row r="2849" spans="1:8" x14ac:dyDescent="0.25">
      <c r="A2849" s="148">
        <v>44801</v>
      </c>
      <c r="B2849" s="149" t="s">
        <v>27622</v>
      </c>
      <c r="C2849" s="153" t="s">
        <v>475</v>
      </c>
      <c r="D2849" s="178">
        <v>1443</v>
      </c>
      <c r="E2849" s="155">
        <v>44802</v>
      </c>
      <c r="F2849" s="178">
        <v>1443</v>
      </c>
      <c r="G2849" s="179">
        <f>Tabla19[[#This Row],[Importe]]-Tabla19[[#This Row],[Pagado]]</f>
        <v>0</v>
      </c>
      <c r="H2849" s="153" t="s">
        <v>10</v>
      </c>
    </row>
    <row r="2850" spans="1:8" x14ac:dyDescent="0.25">
      <c r="A2850" s="73">
        <v>44801</v>
      </c>
      <c r="B2850" s="74" t="s">
        <v>27623</v>
      </c>
      <c r="C2850" s="75" t="s">
        <v>12</v>
      </c>
      <c r="D2850" s="176">
        <v>22908.75</v>
      </c>
      <c r="E2850" s="151">
        <v>44801</v>
      </c>
      <c r="F2850" s="176">
        <v>22908.75</v>
      </c>
      <c r="G2850" s="177">
        <f>Tabla19[[#This Row],[Importe]]-Tabla19[[#This Row],[Pagado]]</f>
        <v>0</v>
      </c>
      <c r="H2850" s="75" t="s">
        <v>10</v>
      </c>
    </row>
    <row r="2851" spans="1:8" x14ac:dyDescent="0.25">
      <c r="A2851" s="148">
        <v>44801</v>
      </c>
      <c r="B2851" s="149" t="s">
        <v>27624</v>
      </c>
      <c r="C2851" s="153" t="s">
        <v>501</v>
      </c>
      <c r="D2851" s="178">
        <v>9638.1</v>
      </c>
      <c r="E2851" s="155">
        <v>44801</v>
      </c>
      <c r="F2851" s="178">
        <v>9638.1</v>
      </c>
      <c r="G2851" s="179">
        <f>Tabla19[[#This Row],[Importe]]-Tabla19[[#This Row],[Pagado]]</f>
        <v>0</v>
      </c>
      <c r="H2851" s="153" t="s">
        <v>10</v>
      </c>
    </row>
    <row r="2852" spans="1:8" x14ac:dyDescent="0.25">
      <c r="A2852" s="73">
        <v>44801</v>
      </c>
      <c r="B2852" s="74" t="s">
        <v>27625</v>
      </c>
      <c r="C2852" s="75" t="s">
        <v>12</v>
      </c>
      <c r="D2852" s="176">
        <v>643.5</v>
      </c>
      <c r="E2852" s="151">
        <v>44801</v>
      </c>
      <c r="F2852" s="176">
        <v>643.5</v>
      </c>
      <c r="G2852" s="177">
        <f>Tabla19[[#This Row],[Importe]]-Tabla19[[#This Row],[Pagado]]</f>
        <v>0</v>
      </c>
      <c r="H2852" s="75" t="s">
        <v>10</v>
      </c>
    </row>
    <row r="2853" spans="1:8" x14ac:dyDescent="0.25">
      <c r="A2853" s="148">
        <v>44801</v>
      </c>
      <c r="B2853" s="149" t="s">
        <v>27626</v>
      </c>
      <c r="C2853" s="153" t="s">
        <v>22</v>
      </c>
      <c r="D2853" s="178">
        <v>62513.599999999999</v>
      </c>
      <c r="E2853" s="155">
        <v>44803</v>
      </c>
      <c r="F2853" s="178">
        <v>62513.599999999999</v>
      </c>
      <c r="G2853" s="179">
        <f>Tabla19[[#This Row],[Importe]]-Tabla19[[#This Row],[Pagado]]</f>
        <v>0</v>
      </c>
      <c r="H2853" s="153" t="s">
        <v>10</v>
      </c>
    </row>
    <row r="2854" spans="1:8" x14ac:dyDescent="0.25">
      <c r="A2854" s="73">
        <v>44801</v>
      </c>
      <c r="B2854" s="74" t="s">
        <v>27627</v>
      </c>
      <c r="C2854" s="75" t="s">
        <v>33</v>
      </c>
      <c r="D2854" s="176">
        <v>17932</v>
      </c>
      <c r="E2854" s="151">
        <v>44801</v>
      </c>
      <c r="F2854" s="176">
        <v>17932</v>
      </c>
      <c r="G2854" s="177">
        <f>Tabla19[[#This Row],[Importe]]-Tabla19[[#This Row],[Pagado]]</f>
        <v>0</v>
      </c>
      <c r="H2854" s="75" t="s">
        <v>10</v>
      </c>
    </row>
    <row r="2855" spans="1:8" x14ac:dyDescent="0.25">
      <c r="A2855" s="148">
        <v>44801</v>
      </c>
      <c r="B2855" s="149" t="s">
        <v>27628</v>
      </c>
      <c r="C2855" s="153" t="s">
        <v>16</v>
      </c>
      <c r="D2855" s="178">
        <v>13593.9</v>
      </c>
      <c r="E2855" s="155">
        <v>44801</v>
      </c>
      <c r="F2855" s="178">
        <v>13593.9</v>
      </c>
      <c r="G2855" s="179">
        <f>Tabla19[[#This Row],[Importe]]-Tabla19[[#This Row],[Pagado]]</f>
        <v>0</v>
      </c>
      <c r="H2855" s="153" t="s">
        <v>10</v>
      </c>
    </row>
    <row r="2856" spans="1:8" x14ac:dyDescent="0.25">
      <c r="A2856" s="73">
        <v>44801</v>
      </c>
      <c r="B2856" s="74" t="s">
        <v>27629</v>
      </c>
      <c r="C2856" s="75" t="s">
        <v>37</v>
      </c>
      <c r="D2856" s="176">
        <v>3161.1</v>
      </c>
      <c r="E2856" s="151">
        <v>44801</v>
      </c>
      <c r="F2856" s="176">
        <v>3161.1</v>
      </c>
      <c r="G2856" s="177">
        <f>Tabla19[[#This Row],[Importe]]-Tabla19[[#This Row],[Pagado]]</f>
        <v>0</v>
      </c>
      <c r="H2856" s="75" t="s">
        <v>10</v>
      </c>
    </row>
    <row r="2857" spans="1:8" x14ac:dyDescent="0.25">
      <c r="A2857" s="148">
        <v>44801</v>
      </c>
      <c r="B2857" s="149" t="s">
        <v>27630</v>
      </c>
      <c r="C2857" s="153" t="s">
        <v>49</v>
      </c>
      <c r="D2857" s="178">
        <v>3364.2</v>
      </c>
      <c r="E2857" s="155">
        <v>44801</v>
      </c>
      <c r="F2857" s="178">
        <v>3364.2</v>
      </c>
      <c r="G2857" s="179">
        <f>Tabla19[[#This Row],[Importe]]-Tabla19[[#This Row],[Pagado]]</f>
        <v>0</v>
      </c>
      <c r="H2857" s="153" t="s">
        <v>10</v>
      </c>
    </row>
    <row r="2858" spans="1:8" x14ac:dyDescent="0.25">
      <c r="A2858" s="73">
        <v>44801</v>
      </c>
      <c r="B2858" s="74" t="s">
        <v>27631</v>
      </c>
      <c r="C2858" s="75" t="s">
        <v>20</v>
      </c>
      <c r="D2858" s="176">
        <v>12368</v>
      </c>
      <c r="E2858" s="151">
        <v>44801</v>
      </c>
      <c r="F2858" s="176">
        <v>12368</v>
      </c>
      <c r="G2858" s="177">
        <f>Tabla19[[#This Row],[Importe]]-Tabla19[[#This Row],[Pagado]]</f>
        <v>0</v>
      </c>
      <c r="H2858" s="75" t="s">
        <v>10</v>
      </c>
    </row>
    <row r="2859" spans="1:8" x14ac:dyDescent="0.25">
      <c r="A2859" s="148">
        <v>44801</v>
      </c>
      <c r="B2859" s="149" t="s">
        <v>27632</v>
      </c>
      <c r="C2859" s="153" t="s">
        <v>35</v>
      </c>
      <c r="D2859" s="178">
        <v>2412.6</v>
      </c>
      <c r="E2859" s="155">
        <v>44801</v>
      </c>
      <c r="F2859" s="178">
        <v>2412.6</v>
      </c>
      <c r="G2859" s="179">
        <f>Tabla19[[#This Row],[Importe]]-Tabla19[[#This Row],[Pagado]]</f>
        <v>0</v>
      </c>
      <c r="H2859" s="153" t="s">
        <v>10</v>
      </c>
    </row>
    <row r="2860" spans="1:8" x14ac:dyDescent="0.25">
      <c r="A2860" s="73">
        <v>44801</v>
      </c>
      <c r="B2860" s="74" t="s">
        <v>27633</v>
      </c>
      <c r="C2860" s="75" t="s">
        <v>27</v>
      </c>
      <c r="D2860" s="176">
        <v>2238.8000000000002</v>
      </c>
      <c r="E2860" s="151">
        <v>44801</v>
      </c>
      <c r="F2860" s="176">
        <v>2238.8000000000002</v>
      </c>
      <c r="G2860" s="177">
        <f>Tabla19[[#This Row],[Importe]]-Tabla19[[#This Row],[Pagado]]</f>
        <v>0</v>
      </c>
      <c r="H2860" s="75" t="s">
        <v>10</v>
      </c>
    </row>
    <row r="2861" spans="1:8" x14ac:dyDescent="0.25">
      <c r="A2861" s="148">
        <v>44801</v>
      </c>
      <c r="B2861" s="149" t="s">
        <v>27634</v>
      </c>
      <c r="C2861" s="153" t="s">
        <v>111</v>
      </c>
      <c r="D2861" s="178">
        <v>2160.8000000000002</v>
      </c>
      <c r="E2861" s="155">
        <v>44801</v>
      </c>
      <c r="F2861" s="178">
        <v>2160.8000000000002</v>
      </c>
      <c r="G2861" s="179">
        <f>Tabla19[[#This Row],[Importe]]-Tabla19[[#This Row],[Pagado]]</f>
        <v>0</v>
      </c>
      <c r="H2861" s="153" t="s">
        <v>10</v>
      </c>
    </row>
    <row r="2862" spans="1:8" x14ac:dyDescent="0.25">
      <c r="A2862" s="73">
        <v>44801</v>
      </c>
      <c r="B2862" s="74" t="s">
        <v>27635</v>
      </c>
      <c r="C2862" s="75" t="s">
        <v>29</v>
      </c>
      <c r="D2862" s="176">
        <v>12002.8</v>
      </c>
      <c r="E2862" s="151">
        <v>44801</v>
      </c>
      <c r="F2862" s="176">
        <v>12002.8</v>
      </c>
      <c r="G2862" s="177">
        <f>Tabla19[[#This Row],[Importe]]-Tabla19[[#This Row],[Pagado]]</f>
        <v>0</v>
      </c>
      <c r="H2862" s="75" t="s">
        <v>10</v>
      </c>
    </row>
    <row r="2863" spans="1:8" x14ac:dyDescent="0.25">
      <c r="A2863" s="148">
        <v>44801</v>
      </c>
      <c r="B2863" s="149" t="s">
        <v>27636</v>
      </c>
      <c r="C2863" s="153" t="s">
        <v>45</v>
      </c>
      <c r="D2863" s="178">
        <v>8720.6</v>
      </c>
      <c r="E2863" s="155">
        <v>44801</v>
      </c>
      <c r="F2863" s="178">
        <v>8720.6</v>
      </c>
      <c r="G2863" s="179">
        <f>Tabla19[[#This Row],[Importe]]-Tabla19[[#This Row],[Pagado]]</f>
        <v>0</v>
      </c>
      <c r="H2863" s="153" t="s">
        <v>10</v>
      </c>
    </row>
    <row r="2864" spans="1:8" x14ac:dyDescent="0.25">
      <c r="A2864" s="73">
        <v>44801</v>
      </c>
      <c r="B2864" s="74" t="s">
        <v>27637</v>
      </c>
      <c r="C2864" s="75" t="s">
        <v>4136</v>
      </c>
      <c r="D2864" s="176">
        <v>1390.4</v>
      </c>
      <c r="E2864" s="151">
        <v>44801</v>
      </c>
      <c r="F2864" s="176">
        <v>1390.4</v>
      </c>
      <c r="G2864" s="177">
        <f>Tabla19[[#This Row],[Importe]]-Tabla19[[#This Row],[Pagado]]</f>
        <v>0</v>
      </c>
      <c r="H2864" s="75" t="s">
        <v>10</v>
      </c>
    </row>
    <row r="2865" spans="1:8" x14ac:dyDescent="0.25">
      <c r="A2865" s="148">
        <v>44801</v>
      </c>
      <c r="B2865" s="149" t="s">
        <v>27638</v>
      </c>
      <c r="C2865" s="153" t="s">
        <v>97</v>
      </c>
      <c r="D2865" s="178">
        <v>4257</v>
      </c>
      <c r="E2865" s="155">
        <v>44801</v>
      </c>
      <c r="F2865" s="178">
        <v>4257</v>
      </c>
      <c r="G2865" s="179">
        <f>Tabla19[[#This Row],[Importe]]-Tabla19[[#This Row],[Pagado]]</f>
        <v>0</v>
      </c>
      <c r="H2865" s="153" t="s">
        <v>10</v>
      </c>
    </row>
    <row r="2866" spans="1:8" x14ac:dyDescent="0.25">
      <c r="A2866" s="73">
        <v>44801</v>
      </c>
      <c r="B2866" s="74" t="s">
        <v>27639</v>
      </c>
      <c r="C2866" s="75" t="s">
        <v>1003</v>
      </c>
      <c r="D2866" s="176">
        <v>6919.2</v>
      </c>
      <c r="E2866" s="151">
        <v>44803</v>
      </c>
      <c r="F2866" s="176">
        <v>6919.2</v>
      </c>
      <c r="G2866" s="177">
        <f>Tabla19[[#This Row],[Importe]]-Tabla19[[#This Row],[Pagado]]</f>
        <v>0</v>
      </c>
      <c r="H2866" s="75" t="s">
        <v>10</v>
      </c>
    </row>
    <row r="2867" spans="1:8" x14ac:dyDescent="0.25">
      <c r="A2867" s="148">
        <v>44801</v>
      </c>
      <c r="B2867" s="149" t="s">
        <v>27640</v>
      </c>
      <c r="C2867" s="153" t="s">
        <v>31</v>
      </c>
      <c r="D2867" s="178">
        <v>537.6</v>
      </c>
      <c r="E2867" s="155">
        <v>44801</v>
      </c>
      <c r="F2867" s="178">
        <v>537.6</v>
      </c>
      <c r="G2867" s="179">
        <f>Tabla19[[#This Row],[Importe]]-Tabla19[[#This Row],[Pagado]]</f>
        <v>0</v>
      </c>
      <c r="H2867" s="153" t="s">
        <v>10</v>
      </c>
    </row>
    <row r="2868" spans="1:8" x14ac:dyDescent="0.25">
      <c r="A2868" s="73">
        <v>44801</v>
      </c>
      <c r="B2868" s="74" t="s">
        <v>27641</v>
      </c>
      <c r="C2868" s="75" t="s">
        <v>24</v>
      </c>
      <c r="D2868" s="176">
        <v>3200</v>
      </c>
      <c r="E2868" s="151">
        <v>44801</v>
      </c>
      <c r="F2868" s="176">
        <v>3200</v>
      </c>
      <c r="G2868" s="177">
        <f>Tabla19[[#This Row],[Importe]]-Tabla19[[#This Row],[Pagado]]</f>
        <v>0</v>
      </c>
      <c r="H2868" s="75" t="s">
        <v>10</v>
      </c>
    </row>
    <row r="2869" spans="1:8" x14ac:dyDescent="0.25">
      <c r="A2869" s="148">
        <v>44801</v>
      </c>
      <c r="B2869" s="149" t="s">
        <v>27642</v>
      </c>
      <c r="C2869" s="153" t="s">
        <v>24</v>
      </c>
      <c r="D2869" s="178">
        <v>972.8</v>
      </c>
      <c r="E2869" s="155">
        <v>44801</v>
      </c>
      <c r="F2869" s="178">
        <v>972.8</v>
      </c>
      <c r="G2869" s="179">
        <f>Tabla19[[#This Row],[Importe]]-Tabla19[[#This Row],[Pagado]]</f>
        <v>0</v>
      </c>
      <c r="H2869" s="153" t="s">
        <v>10</v>
      </c>
    </row>
    <row r="2870" spans="1:8" x14ac:dyDescent="0.25">
      <c r="A2870" s="73">
        <v>44801</v>
      </c>
      <c r="B2870" s="74" t="s">
        <v>27643</v>
      </c>
      <c r="C2870" s="75" t="s">
        <v>56</v>
      </c>
      <c r="D2870" s="176">
        <v>5162.3999999999996</v>
      </c>
      <c r="E2870" s="151">
        <v>44801</v>
      </c>
      <c r="F2870" s="176">
        <v>5162.3999999999996</v>
      </c>
      <c r="G2870" s="177">
        <f>Tabla19[[#This Row],[Importe]]-Tabla19[[#This Row],[Pagado]]</f>
        <v>0</v>
      </c>
      <c r="H2870" s="75" t="s">
        <v>10</v>
      </c>
    </row>
    <row r="2871" spans="1:8" x14ac:dyDescent="0.25">
      <c r="A2871" s="148">
        <v>44801</v>
      </c>
      <c r="B2871" s="149" t="s">
        <v>27644</v>
      </c>
      <c r="C2871" s="153" t="s">
        <v>56</v>
      </c>
      <c r="D2871" s="178">
        <v>1358.5</v>
      </c>
      <c r="E2871" s="155">
        <v>44801</v>
      </c>
      <c r="F2871" s="178">
        <v>1358.5</v>
      </c>
      <c r="G2871" s="179">
        <f>Tabla19[[#This Row],[Importe]]-Tabla19[[#This Row],[Pagado]]</f>
        <v>0</v>
      </c>
      <c r="H2871" s="153" t="s">
        <v>10</v>
      </c>
    </row>
    <row r="2872" spans="1:8" x14ac:dyDescent="0.25">
      <c r="A2872" s="73">
        <v>44801</v>
      </c>
      <c r="B2872" s="74" t="s">
        <v>27645</v>
      </c>
      <c r="C2872" s="75" t="s">
        <v>53</v>
      </c>
      <c r="D2872" s="176">
        <v>1860</v>
      </c>
      <c r="E2872" s="151">
        <v>44801</v>
      </c>
      <c r="F2872" s="176">
        <v>1860</v>
      </c>
      <c r="G2872" s="177">
        <f>Tabla19[[#This Row],[Importe]]-Tabla19[[#This Row],[Pagado]]</f>
        <v>0</v>
      </c>
      <c r="H2872" s="75" t="s">
        <v>10</v>
      </c>
    </row>
    <row r="2873" spans="1:8" x14ac:dyDescent="0.25">
      <c r="A2873" s="148">
        <v>44801</v>
      </c>
      <c r="B2873" s="149" t="s">
        <v>27646</v>
      </c>
      <c r="C2873" s="153" t="s">
        <v>191</v>
      </c>
      <c r="D2873" s="178">
        <v>3307.5</v>
      </c>
      <c r="E2873" s="155">
        <v>44801</v>
      </c>
      <c r="F2873" s="178">
        <v>3307.5</v>
      </c>
      <c r="G2873" s="179">
        <f>Tabla19[[#This Row],[Importe]]-Tabla19[[#This Row],[Pagado]]</f>
        <v>0</v>
      </c>
      <c r="H2873" s="153" t="s">
        <v>10</v>
      </c>
    </row>
    <row r="2874" spans="1:8" x14ac:dyDescent="0.25">
      <c r="A2874" s="73">
        <v>44801</v>
      </c>
      <c r="B2874" s="74" t="s">
        <v>27647</v>
      </c>
      <c r="C2874" s="75" t="s">
        <v>53</v>
      </c>
      <c r="D2874" s="176">
        <v>70</v>
      </c>
      <c r="E2874" s="151">
        <v>44801</v>
      </c>
      <c r="F2874" s="176">
        <v>70</v>
      </c>
      <c r="G2874" s="177">
        <f>Tabla19[[#This Row],[Importe]]-Tabla19[[#This Row],[Pagado]]</f>
        <v>0</v>
      </c>
      <c r="H2874" s="75" t="s">
        <v>10</v>
      </c>
    </row>
    <row r="2875" spans="1:8" x14ac:dyDescent="0.25">
      <c r="A2875" s="148">
        <v>44801</v>
      </c>
      <c r="B2875" s="149" t="s">
        <v>27648</v>
      </c>
      <c r="C2875" s="153" t="s">
        <v>58</v>
      </c>
      <c r="D2875" s="178">
        <v>4056.3</v>
      </c>
      <c r="E2875" s="155">
        <v>44801</v>
      </c>
      <c r="F2875" s="178">
        <v>4056.3</v>
      </c>
      <c r="G2875" s="179">
        <f>Tabla19[[#This Row],[Importe]]-Tabla19[[#This Row],[Pagado]]</f>
        <v>0</v>
      </c>
      <c r="H2875" s="153" t="s">
        <v>10</v>
      </c>
    </row>
    <row r="2876" spans="1:8" x14ac:dyDescent="0.25">
      <c r="A2876" s="73">
        <v>44801</v>
      </c>
      <c r="B2876" s="74" t="s">
        <v>27649</v>
      </c>
      <c r="C2876" s="75" t="s">
        <v>24284</v>
      </c>
      <c r="D2876" s="176">
        <v>1694.6</v>
      </c>
      <c r="E2876" s="151">
        <v>44801</v>
      </c>
      <c r="F2876" s="176">
        <v>1694.6</v>
      </c>
      <c r="G2876" s="177">
        <f>Tabla19[[#This Row],[Importe]]-Tabla19[[#This Row],[Pagado]]</f>
        <v>0</v>
      </c>
      <c r="H2876" s="75" t="s">
        <v>10</v>
      </c>
    </row>
    <row r="2877" spans="1:8" x14ac:dyDescent="0.25">
      <c r="A2877" s="148">
        <v>44801</v>
      </c>
      <c r="B2877" s="149" t="s">
        <v>27650</v>
      </c>
      <c r="C2877" s="153" t="s">
        <v>67</v>
      </c>
      <c r="D2877" s="178">
        <v>2424.8000000000002</v>
      </c>
      <c r="E2877" s="155">
        <v>44801</v>
      </c>
      <c r="F2877" s="178">
        <v>2424.8000000000002</v>
      </c>
      <c r="G2877" s="179">
        <f>Tabla19[[#This Row],[Importe]]-Tabla19[[#This Row],[Pagado]]</f>
        <v>0</v>
      </c>
      <c r="H2877" s="153" t="s">
        <v>10</v>
      </c>
    </row>
    <row r="2878" spans="1:8" x14ac:dyDescent="0.25">
      <c r="A2878" s="73">
        <v>44801</v>
      </c>
      <c r="B2878" s="74" t="s">
        <v>27651</v>
      </c>
      <c r="C2878" s="75" t="s">
        <v>22</v>
      </c>
      <c r="D2878" s="176">
        <v>11648</v>
      </c>
      <c r="E2878" s="151">
        <v>44803</v>
      </c>
      <c r="F2878" s="176">
        <v>11648</v>
      </c>
      <c r="G2878" s="177">
        <f>Tabla19[[#This Row],[Importe]]-Tabla19[[#This Row],[Pagado]]</f>
        <v>0</v>
      </c>
      <c r="H2878" s="75" t="s">
        <v>10</v>
      </c>
    </row>
    <row r="2879" spans="1:8" x14ac:dyDescent="0.25">
      <c r="A2879" s="148">
        <v>44801</v>
      </c>
      <c r="B2879" s="149" t="s">
        <v>27652</v>
      </c>
      <c r="C2879" s="153" t="s">
        <v>670</v>
      </c>
      <c r="D2879" s="178">
        <v>4569.8</v>
      </c>
      <c r="E2879" s="155">
        <v>44801</v>
      </c>
      <c r="F2879" s="178">
        <v>4569.8</v>
      </c>
      <c r="G2879" s="179">
        <f>Tabla19[[#This Row],[Importe]]-Tabla19[[#This Row],[Pagado]]</f>
        <v>0</v>
      </c>
      <c r="H2879" s="153" t="s">
        <v>10</v>
      </c>
    </row>
    <row r="2880" spans="1:8" x14ac:dyDescent="0.25">
      <c r="A2880" s="73">
        <v>44801</v>
      </c>
      <c r="B2880" s="74" t="s">
        <v>27653</v>
      </c>
      <c r="C2880" s="75" t="s">
        <v>31</v>
      </c>
      <c r="D2880" s="176">
        <v>1208.5999999999999</v>
      </c>
      <c r="E2880" s="151">
        <v>44801</v>
      </c>
      <c r="F2880" s="176">
        <v>1208.5999999999999</v>
      </c>
      <c r="G2880" s="177">
        <f>Tabla19[[#This Row],[Importe]]-Tabla19[[#This Row],[Pagado]]</f>
        <v>0</v>
      </c>
      <c r="H2880" s="75" t="s">
        <v>10</v>
      </c>
    </row>
    <row r="2881" spans="1:8" x14ac:dyDescent="0.25">
      <c r="A2881" s="148">
        <v>44801</v>
      </c>
      <c r="B2881" s="149" t="s">
        <v>27654</v>
      </c>
      <c r="C2881" s="153" t="s">
        <v>214</v>
      </c>
      <c r="D2881" s="178">
        <v>1710</v>
      </c>
      <c r="E2881" s="155">
        <v>44801</v>
      </c>
      <c r="F2881" s="178">
        <v>1710</v>
      </c>
      <c r="G2881" s="179">
        <f>Tabla19[[#This Row],[Importe]]-Tabla19[[#This Row],[Pagado]]</f>
        <v>0</v>
      </c>
      <c r="H2881" s="153" t="s">
        <v>10</v>
      </c>
    </row>
    <row r="2882" spans="1:8" x14ac:dyDescent="0.25">
      <c r="A2882" s="73">
        <v>44801</v>
      </c>
      <c r="B2882" s="74" t="s">
        <v>27655</v>
      </c>
      <c r="C2882" s="75" t="s">
        <v>421</v>
      </c>
      <c r="D2882" s="176">
        <v>3524.8</v>
      </c>
      <c r="E2882" s="151">
        <v>44801</v>
      </c>
      <c r="F2882" s="176">
        <v>3524.8</v>
      </c>
      <c r="G2882" s="177">
        <f>Tabla19[[#This Row],[Importe]]-Tabla19[[#This Row],[Pagado]]</f>
        <v>0</v>
      </c>
      <c r="H2882" s="75" t="s">
        <v>10</v>
      </c>
    </row>
    <row r="2883" spans="1:8" x14ac:dyDescent="0.25">
      <c r="A2883" s="148">
        <v>44801</v>
      </c>
      <c r="B2883" s="149" t="s">
        <v>27656</v>
      </c>
      <c r="C2883" s="153" t="s">
        <v>296</v>
      </c>
      <c r="D2883" s="178">
        <v>4230</v>
      </c>
      <c r="E2883" s="155">
        <v>44801</v>
      </c>
      <c r="F2883" s="178">
        <v>4230</v>
      </c>
      <c r="G2883" s="179">
        <f>Tabla19[[#This Row],[Importe]]-Tabla19[[#This Row],[Pagado]]</f>
        <v>0</v>
      </c>
      <c r="H2883" s="153" t="s">
        <v>10</v>
      </c>
    </row>
    <row r="2884" spans="1:8" x14ac:dyDescent="0.25">
      <c r="A2884" s="73">
        <v>44801</v>
      </c>
      <c r="B2884" s="74" t="s">
        <v>27657</v>
      </c>
      <c r="C2884" s="75" t="s">
        <v>69</v>
      </c>
      <c r="D2884" s="176">
        <v>1848</v>
      </c>
      <c r="E2884" s="151">
        <v>44801</v>
      </c>
      <c r="F2884" s="176">
        <v>1848</v>
      </c>
      <c r="G2884" s="177">
        <f>Tabla19[[#This Row],[Importe]]-Tabla19[[#This Row],[Pagado]]</f>
        <v>0</v>
      </c>
      <c r="H2884" s="75" t="s">
        <v>10</v>
      </c>
    </row>
    <row r="2885" spans="1:8" x14ac:dyDescent="0.25">
      <c r="A2885" s="148">
        <v>44801</v>
      </c>
      <c r="B2885" s="149" t="s">
        <v>27658</v>
      </c>
      <c r="C2885" s="153" t="s">
        <v>71</v>
      </c>
      <c r="D2885" s="178">
        <v>2041.2</v>
      </c>
      <c r="E2885" s="155">
        <v>44801</v>
      </c>
      <c r="F2885" s="178">
        <v>2041.2</v>
      </c>
      <c r="G2885" s="179">
        <f>Tabla19[[#This Row],[Importe]]-Tabla19[[#This Row],[Pagado]]</f>
        <v>0</v>
      </c>
      <c r="H2885" s="153" t="s">
        <v>10</v>
      </c>
    </row>
    <row r="2886" spans="1:8" x14ac:dyDescent="0.25">
      <c r="A2886" s="73">
        <v>44801</v>
      </c>
      <c r="B2886" s="74" t="s">
        <v>27659</v>
      </c>
      <c r="C2886" s="75" t="s">
        <v>31</v>
      </c>
      <c r="D2886" s="176">
        <v>3848</v>
      </c>
      <c r="E2886" s="151">
        <v>44801</v>
      </c>
      <c r="F2886" s="176">
        <v>3848</v>
      </c>
      <c r="G2886" s="177">
        <f>Tabla19[[#This Row],[Importe]]-Tabla19[[#This Row],[Pagado]]</f>
        <v>0</v>
      </c>
      <c r="H2886" s="75" t="s">
        <v>10</v>
      </c>
    </row>
    <row r="2887" spans="1:8" x14ac:dyDescent="0.25">
      <c r="A2887" s="148">
        <v>44801</v>
      </c>
      <c r="B2887" s="149" t="s">
        <v>27660</v>
      </c>
      <c r="C2887" s="153" t="s">
        <v>2139</v>
      </c>
      <c r="D2887" s="178">
        <v>2859.7</v>
      </c>
      <c r="E2887" s="155">
        <v>44801</v>
      </c>
      <c r="F2887" s="178">
        <v>2859.7</v>
      </c>
      <c r="G2887" s="179">
        <f>Tabla19[[#This Row],[Importe]]-Tabla19[[#This Row],[Pagado]]</f>
        <v>0</v>
      </c>
      <c r="H2887" s="153" t="s">
        <v>10</v>
      </c>
    </row>
    <row r="2888" spans="1:8" x14ac:dyDescent="0.25">
      <c r="A2888" s="73">
        <v>44801</v>
      </c>
      <c r="B2888" s="74" t="s">
        <v>27661</v>
      </c>
      <c r="C2888" s="75" t="s">
        <v>22</v>
      </c>
      <c r="D2888" s="176">
        <v>2716.2</v>
      </c>
      <c r="E2888" s="151">
        <v>44801</v>
      </c>
      <c r="F2888" s="176">
        <v>2716.2</v>
      </c>
      <c r="G2888" s="177">
        <f>Tabla19[[#This Row],[Importe]]-Tabla19[[#This Row],[Pagado]]</f>
        <v>0</v>
      </c>
      <c r="H2888" s="75" t="s">
        <v>10</v>
      </c>
    </row>
    <row r="2889" spans="1:8" x14ac:dyDescent="0.25">
      <c r="A2889" s="148">
        <v>44801</v>
      </c>
      <c r="B2889" s="149" t="s">
        <v>27662</v>
      </c>
      <c r="C2889" s="153" t="s">
        <v>75</v>
      </c>
      <c r="D2889" s="178">
        <v>13038.8</v>
      </c>
      <c r="E2889" s="155">
        <v>44801</v>
      </c>
      <c r="F2889" s="178">
        <v>13038.8</v>
      </c>
      <c r="G2889" s="179">
        <f>Tabla19[[#This Row],[Importe]]-Tabla19[[#This Row],[Pagado]]</f>
        <v>0</v>
      </c>
      <c r="H2889" s="153" t="s">
        <v>10</v>
      </c>
    </row>
    <row r="2890" spans="1:8" x14ac:dyDescent="0.25">
      <c r="A2890" s="73">
        <v>44801</v>
      </c>
      <c r="B2890" s="74" t="s">
        <v>27663</v>
      </c>
      <c r="C2890" s="75" t="s">
        <v>67</v>
      </c>
      <c r="D2890" s="176">
        <v>1576</v>
      </c>
      <c r="E2890" s="151">
        <v>44801</v>
      </c>
      <c r="F2890" s="176">
        <v>1576</v>
      </c>
      <c r="G2890" s="177">
        <f>Tabla19[[#This Row],[Importe]]-Tabla19[[#This Row],[Pagado]]</f>
        <v>0</v>
      </c>
      <c r="H2890" s="75" t="s">
        <v>10</v>
      </c>
    </row>
    <row r="2891" spans="1:8" x14ac:dyDescent="0.25">
      <c r="A2891" s="148">
        <v>44801</v>
      </c>
      <c r="B2891" s="149" t="s">
        <v>27664</v>
      </c>
      <c r="C2891" s="153" t="s">
        <v>27473</v>
      </c>
      <c r="D2891" s="178">
        <v>40000</v>
      </c>
      <c r="E2891" s="155">
        <v>44801</v>
      </c>
      <c r="F2891" s="178">
        <v>40000</v>
      </c>
      <c r="G2891" s="179">
        <f>Tabla19[[#This Row],[Importe]]-Tabla19[[#This Row],[Pagado]]</f>
        <v>0</v>
      </c>
      <c r="H2891" s="153" t="s">
        <v>10</v>
      </c>
    </row>
    <row r="2892" spans="1:8" x14ac:dyDescent="0.25">
      <c r="A2892" s="73">
        <v>44801</v>
      </c>
      <c r="B2892" s="74" t="s">
        <v>27665</v>
      </c>
      <c r="C2892" s="75" t="s">
        <v>296</v>
      </c>
      <c r="D2892" s="176">
        <v>4236.6000000000004</v>
      </c>
      <c r="E2892" s="151">
        <v>44801</v>
      </c>
      <c r="F2892" s="176">
        <v>4236.6000000000004</v>
      </c>
      <c r="G2892" s="177">
        <f>Tabla19[[#This Row],[Importe]]-Tabla19[[#This Row],[Pagado]]</f>
        <v>0</v>
      </c>
      <c r="H2892" s="75" t="s">
        <v>10</v>
      </c>
    </row>
    <row r="2893" spans="1:8" x14ac:dyDescent="0.25">
      <c r="A2893" s="148">
        <v>44802</v>
      </c>
      <c r="B2893" s="149" t="s">
        <v>27666</v>
      </c>
      <c r="C2893" s="153" t="s">
        <v>475</v>
      </c>
      <c r="D2893" s="178">
        <v>12000</v>
      </c>
      <c r="E2893" s="155">
        <v>44802</v>
      </c>
      <c r="F2893" s="178">
        <v>12000</v>
      </c>
      <c r="G2893" s="179">
        <f>Tabla19[[#This Row],[Importe]]-Tabla19[[#This Row],[Pagado]]</f>
        <v>0</v>
      </c>
      <c r="H2893" s="153" t="s">
        <v>10</v>
      </c>
    </row>
    <row r="2894" spans="1:8" x14ac:dyDescent="0.25">
      <c r="A2894" s="73">
        <v>44802</v>
      </c>
      <c r="B2894" s="74" t="s">
        <v>27667</v>
      </c>
      <c r="C2894" s="75" t="s">
        <v>463</v>
      </c>
      <c r="D2894" s="176">
        <v>550</v>
      </c>
      <c r="E2894" s="151">
        <v>44804</v>
      </c>
      <c r="F2894" s="176">
        <v>550</v>
      </c>
      <c r="G2894" s="177">
        <f>Tabla19[[#This Row],[Importe]]-Tabla19[[#This Row],[Pagado]]</f>
        <v>0</v>
      </c>
      <c r="H2894" s="75" t="s">
        <v>10</v>
      </c>
    </row>
    <row r="2895" spans="1:8" x14ac:dyDescent="0.25">
      <c r="A2895" s="148">
        <v>44802</v>
      </c>
      <c r="B2895" s="149" t="s">
        <v>27668</v>
      </c>
      <c r="C2895" s="153" t="s">
        <v>475</v>
      </c>
      <c r="D2895" s="178">
        <v>76193.7</v>
      </c>
      <c r="E2895" s="155">
        <v>44804</v>
      </c>
      <c r="F2895" s="178">
        <v>76193.7</v>
      </c>
      <c r="G2895" s="179">
        <f>Tabla19[[#This Row],[Importe]]-Tabla19[[#This Row],[Pagado]]</f>
        <v>0</v>
      </c>
      <c r="H2895" s="153" t="s">
        <v>10</v>
      </c>
    </row>
    <row r="2896" spans="1:8" x14ac:dyDescent="0.25">
      <c r="A2896" s="73">
        <v>44802</v>
      </c>
      <c r="B2896" s="74" t="s">
        <v>27669</v>
      </c>
      <c r="C2896" s="75" t="s">
        <v>111</v>
      </c>
      <c r="D2896" s="176">
        <v>5619.6</v>
      </c>
      <c r="E2896" s="151">
        <v>44803</v>
      </c>
      <c r="F2896" s="176">
        <v>5619.6</v>
      </c>
      <c r="G2896" s="177">
        <f>Tabla19[[#This Row],[Importe]]-Tabla19[[#This Row],[Pagado]]</f>
        <v>0</v>
      </c>
      <c r="H2896" s="75" t="s">
        <v>10</v>
      </c>
    </row>
    <row r="2897" spans="1:8" x14ac:dyDescent="0.25">
      <c r="A2897" s="148">
        <v>44802</v>
      </c>
      <c r="B2897" s="149" t="s">
        <v>27670</v>
      </c>
      <c r="C2897" s="153" t="s">
        <v>2563</v>
      </c>
      <c r="D2897" s="178">
        <v>5011.5</v>
      </c>
      <c r="E2897" s="155">
        <v>44803</v>
      </c>
      <c r="F2897" s="178">
        <v>5011.5</v>
      </c>
      <c r="G2897" s="179">
        <f>Tabla19[[#This Row],[Importe]]-Tabla19[[#This Row],[Pagado]]</f>
        <v>0</v>
      </c>
      <c r="H2897" s="153" t="s">
        <v>10</v>
      </c>
    </row>
    <row r="2898" spans="1:8" x14ac:dyDescent="0.25">
      <c r="A2898" s="73">
        <v>44802</v>
      </c>
      <c r="B2898" s="74" t="s">
        <v>27671</v>
      </c>
      <c r="C2898" s="75" t="s">
        <v>60</v>
      </c>
      <c r="D2898" s="176">
        <v>5115.5</v>
      </c>
      <c r="E2898" s="151">
        <v>44804</v>
      </c>
      <c r="F2898" s="176">
        <v>5115.5</v>
      </c>
      <c r="G2898" s="177">
        <f>Tabla19[[#This Row],[Importe]]-Tabla19[[#This Row],[Pagado]]</f>
        <v>0</v>
      </c>
      <c r="H2898" s="75" t="s">
        <v>10</v>
      </c>
    </row>
    <row r="2899" spans="1:8" x14ac:dyDescent="0.25">
      <c r="A2899" s="148">
        <v>44802</v>
      </c>
      <c r="B2899" s="149" t="s">
        <v>27672</v>
      </c>
      <c r="C2899" s="153" t="s">
        <v>1187</v>
      </c>
      <c r="D2899" s="178">
        <v>3048.5</v>
      </c>
      <c r="E2899" s="155">
        <v>44802</v>
      </c>
      <c r="F2899" s="178">
        <v>3048.5</v>
      </c>
      <c r="G2899" s="179">
        <f>Tabla19[[#This Row],[Importe]]-Tabla19[[#This Row],[Pagado]]</f>
        <v>0</v>
      </c>
      <c r="H2899" s="153" t="s">
        <v>10</v>
      </c>
    </row>
    <row r="2900" spans="1:8" x14ac:dyDescent="0.25">
      <c r="A2900" s="73">
        <v>44802</v>
      </c>
      <c r="B2900" s="74" t="s">
        <v>27673</v>
      </c>
      <c r="C2900" s="75" t="s">
        <v>89</v>
      </c>
      <c r="D2900" s="176">
        <v>3920.4</v>
      </c>
      <c r="E2900" s="151">
        <v>44803</v>
      </c>
      <c r="F2900" s="176">
        <v>3920.4</v>
      </c>
      <c r="G2900" s="177">
        <f>Tabla19[[#This Row],[Importe]]-Tabla19[[#This Row],[Pagado]]</f>
        <v>0</v>
      </c>
      <c r="H2900" s="75" t="s">
        <v>10</v>
      </c>
    </row>
    <row r="2901" spans="1:8" x14ac:dyDescent="0.25">
      <c r="A2901" s="148">
        <v>44802</v>
      </c>
      <c r="B2901" s="149" t="s">
        <v>27674</v>
      </c>
      <c r="C2901" s="153" t="s">
        <v>49</v>
      </c>
      <c r="D2901" s="178">
        <v>7113</v>
      </c>
      <c r="E2901" s="155">
        <v>44802</v>
      </c>
      <c r="F2901" s="178">
        <v>7113</v>
      </c>
      <c r="G2901" s="179">
        <f>Tabla19[[#This Row],[Importe]]-Tabla19[[#This Row],[Pagado]]</f>
        <v>0</v>
      </c>
      <c r="H2901" s="153" t="s">
        <v>10</v>
      </c>
    </row>
    <row r="2902" spans="1:8" x14ac:dyDescent="0.25">
      <c r="A2902" s="73">
        <v>44802</v>
      </c>
      <c r="B2902" s="74" t="s">
        <v>27675</v>
      </c>
      <c r="C2902" s="75" t="s">
        <v>2151</v>
      </c>
      <c r="D2902" s="176">
        <v>20745.099999999999</v>
      </c>
      <c r="E2902" s="151">
        <v>44802</v>
      </c>
      <c r="F2902" s="176">
        <v>20745.099999999999</v>
      </c>
      <c r="G2902" s="177">
        <f>Tabla19[[#This Row],[Importe]]-Tabla19[[#This Row],[Pagado]]</f>
        <v>0</v>
      </c>
      <c r="H2902" s="75" t="s">
        <v>10</v>
      </c>
    </row>
    <row r="2903" spans="1:8" x14ac:dyDescent="0.25">
      <c r="A2903" s="148">
        <v>44802</v>
      </c>
      <c r="B2903" s="149" t="s">
        <v>27676</v>
      </c>
      <c r="C2903" s="153" t="s">
        <v>326</v>
      </c>
      <c r="D2903" s="178">
        <v>676.4</v>
      </c>
      <c r="E2903" s="155">
        <v>44803</v>
      </c>
      <c r="F2903" s="178">
        <v>676.4</v>
      </c>
      <c r="G2903" s="179">
        <f>Tabla19[[#This Row],[Importe]]-Tabla19[[#This Row],[Pagado]]</f>
        <v>0</v>
      </c>
      <c r="H2903" s="153" t="s">
        <v>10</v>
      </c>
    </row>
    <row r="2904" spans="1:8" ht="31.5" x14ac:dyDescent="0.25">
      <c r="A2904" s="73">
        <v>44802</v>
      </c>
      <c r="B2904" s="74" t="s">
        <v>27677</v>
      </c>
      <c r="C2904" s="75" t="s">
        <v>93</v>
      </c>
      <c r="D2904" s="176">
        <v>6945.3</v>
      </c>
      <c r="E2904" s="147" t="s">
        <v>28006</v>
      </c>
      <c r="F2904" s="176">
        <f>5000+1945.3</f>
        <v>6945.3</v>
      </c>
      <c r="G2904" s="177">
        <f>Tabla19[[#This Row],[Importe]]-Tabla19[[#This Row],[Pagado]]</f>
        <v>0</v>
      </c>
      <c r="H2904" s="75" t="s">
        <v>10</v>
      </c>
    </row>
    <row r="2905" spans="1:8" x14ac:dyDescent="0.25">
      <c r="A2905" s="148">
        <v>44802</v>
      </c>
      <c r="B2905" s="149" t="s">
        <v>27678</v>
      </c>
      <c r="C2905" s="153" t="s">
        <v>64</v>
      </c>
      <c r="D2905" s="178">
        <v>5687.5</v>
      </c>
      <c r="E2905" s="155">
        <v>44803</v>
      </c>
      <c r="F2905" s="178">
        <v>5687.5</v>
      </c>
      <c r="G2905" s="179">
        <f>Tabla19[[#This Row],[Importe]]-Tabla19[[#This Row],[Pagado]]</f>
        <v>0</v>
      </c>
      <c r="H2905" s="153" t="s">
        <v>10</v>
      </c>
    </row>
    <row r="2906" spans="1:8" x14ac:dyDescent="0.25">
      <c r="A2906" s="73">
        <v>44802</v>
      </c>
      <c r="B2906" s="74" t="s">
        <v>27679</v>
      </c>
      <c r="C2906" s="75" t="s">
        <v>114</v>
      </c>
      <c r="D2906" s="176">
        <v>10804.4</v>
      </c>
      <c r="E2906" s="151">
        <v>44803</v>
      </c>
      <c r="F2906" s="176">
        <v>10804.4</v>
      </c>
      <c r="G2906" s="177">
        <f>Tabla19[[#This Row],[Importe]]-Tabla19[[#This Row],[Pagado]]</f>
        <v>0</v>
      </c>
      <c r="H2906" s="75" t="s">
        <v>10</v>
      </c>
    </row>
    <row r="2907" spans="1:8" x14ac:dyDescent="0.25">
      <c r="A2907" s="148">
        <v>44802</v>
      </c>
      <c r="B2907" s="149" t="s">
        <v>27680</v>
      </c>
      <c r="C2907" s="153" t="s">
        <v>7771</v>
      </c>
      <c r="D2907" s="178">
        <v>0</v>
      </c>
      <c r="E2907" s="158" t="s">
        <v>189</v>
      </c>
      <c r="F2907" s="178">
        <v>0</v>
      </c>
      <c r="G2907" s="179">
        <f>Tabla19[[#This Row],[Importe]]-Tabla19[[#This Row],[Pagado]]</f>
        <v>0</v>
      </c>
      <c r="H2907" s="153" t="s">
        <v>189</v>
      </c>
    </row>
    <row r="2908" spans="1:8" x14ac:dyDescent="0.25">
      <c r="A2908" s="73">
        <v>44802</v>
      </c>
      <c r="B2908" s="74" t="s">
        <v>27681</v>
      </c>
      <c r="C2908" s="75" t="s">
        <v>473</v>
      </c>
      <c r="D2908" s="176">
        <v>2181.6</v>
      </c>
      <c r="E2908" s="151">
        <v>44802</v>
      </c>
      <c r="F2908" s="176">
        <v>2181.6</v>
      </c>
      <c r="G2908" s="177">
        <f>Tabla19[[#This Row],[Importe]]-Tabla19[[#This Row],[Pagado]]</f>
        <v>0</v>
      </c>
      <c r="H2908" s="75" t="s">
        <v>10</v>
      </c>
    </row>
    <row r="2909" spans="1:8" x14ac:dyDescent="0.25">
      <c r="A2909" s="148">
        <v>44802</v>
      </c>
      <c r="B2909" s="149" t="s">
        <v>27682</v>
      </c>
      <c r="C2909" s="153" t="s">
        <v>75</v>
      </c>
      <c r="D2909" s="178">
        <v>6763.6</v>
      </c>
      <c r="E2909" s="155">
        <v>44802</v>
      </c>
      <c r="F2909" s="178">
        <v>6763.6</v>
      </c>
      <c r="G2909" s="179">
        <f>Tabla19[[#This Row],[Importe]]-Tabla19[[#This Row],[Pagado]]</f>
        <v>0</v>
      </c>
      <c r="H2909" s="153" t="s">
        <v>10</v>
      </c>
    </row>
    <row r="2910" spans="1:8" x14ac:dyDescent="0.25">
      <c r="A2910" s="73">
        <v>44802</v>
      </c>
      <c r="B2910" s="74" t="s">
        <v>27683</v>
      </c>
      <c r="C2910" s="75" t="s">
        <v>105</v>
      </c>
      <c r="D2910" s="176">
        <v>8378.1</v>
      </c>
      <c r="E2910" s="151">
        <v>44803</v>
      </c>
      <c r="F2910" s="176">
        <v>8378.1</v>
      </c>
      <c r="G2910" s="177">
        <f>Tabla19[[#This Row],[Importe]]-Tabla19[[#This Row],[Pagado]]</f>
        <v>0</v>
      </c>
      <c r="H2910" s="75" t="s">
        <v>10</v>
      </c>
    </row>
    <row r="2911" spans="1:8" ht="31.5" x14ac:dyDescent="0.25">
      <c r="A2911" s="148">
        <v>44802</v>
      </c>
      <c r="B2911" s="149" t="s">
        <v>27684</v>
      </c>
      <c r="C2911" s="153" t="s">
        <v>1650</v>
      </c>
      <c r="D2911" s="178">
        <v>7158.8</v>
      </c>
      <c r="E2911" s="150" t="s">
        <v>27685</v>
      </c>
      <c r="F2911" s="178">
        <f>2000</f>
        <v>2000</v>
      </c>
      <c r="G2911" s="179">
        <f>Tabla19[[#This Row],[Importe]]-Tabla19[[#This Row],[Pagado]]</f>
        <v>5158.8</v>
      </c>
      <c r="H2911" s="153" t="s">
        <v>10</v>
      </c>
    </row>
    <row r="2912" spans="1:8" x14ac:dyDescent="0.25">
      <c r="A2912" s="73">
        <v>44802</v>
      </c>
      <c r="B2912" s="74" t="s">
        <v>27686</v>
      </c>
      <c r="C2912" s="75" t="s">
        <v>353</v>
      </c>
      <c r="D2912" s="176">
        <v>1830</v>
      </c>
      <c r="E2912" s="151">
        <v>44802</v>
      </c>
      <c r="F2912" s="176">
        <v>1830</v>
      </c>
      <c r="G2912" s="177">
        <f>Tabla19[[#This Row],[Importe]]-Tabla19[[#This Row],[Pagado]]</f>
        <v>0</v>
      </c>
      <c r="H2912" s="75" t="s">
        <v>10</v>
      </c>
    </row>
    <row r="2913" spans="1:8" x14ac:dyDescent="0.25">
      <c r="A2913" s="148">
        <v>44802</v>
      </c>
      <c r="B2913" s="149" t="s">
        <v>27687</v>
      </c>
      <c r="C2913" s="153" t="s">
        <v>481</v>
      </c>
      <c r="D2913" s="178">
        <v>322</v>
      </c>
      <c r="E2913" s="155">
        <v>44802</v>
      </c>
      <c r="F2913" s="178">
        <v>322</v>
      </c>
      <c r="G2913" s="179">
        <f>Tabla19[[#This Row],[Importe]]-Tabla19[[#This Row],[Pagado]]</f>
        <v>0</v>
      </c>
      <c r="H2913" s="153" t="s">
        <v>10</v>
      </c>
    </row>
    <row r="2914" spans="1:8" x14ac:dyDescent="0.25">
      <c r="A2914" s="73">
        <v>44802</v>
      </c>
      <c r="B2914" s="74" t="s">
        <v>27688</v>
      </c>
      <c r="C2914" s="75" t="s">
        <v>9</v>
      </c>
      <c r="D2914" s="176">
        <v>8202.9</v>
      </c>
      <c r="E2914" s="151">
        <v>44802</v>
      </c>
      <c r="F2914" s="176">
        <v>8202.9</v>
      </c>
      <c r="G2914" s="177">
        <f>Tabla19[[#This Row],[Importe]]-Tabla19[[#This Row],[Pagado]]</f>
        <v>0</v>
      </c>
      <c r="H2914" s="75" t="s">
        <v>10</v>
      </c>
    </row>
    <row r="2915" spans="1:8" x14ac:dyDescent="0.25">
      <c r="A2915" s="148">
        <v>44802</v>
      </c>
      <c r="B2915" s="149" t="s">
        <v>27689</v>
      </c>
      <c r="C2915" s="153" t="s">
        <v>17556</v>
      </c>
      <c r="D2915" s="178">
        <v>3927.4</v>
      </c>
      <c r="E2915" s="155">
        <v>44802</v>
      </c>
      <c r="F2915" s="178">
        <v>3927.4</v>
      </c>
      <c r="G2915" s="179">
        <f>Tabla19[[#This Row],[Importe]]-Tabla19[[#This Row],[Pagado]]</f>
        <v>0</v>
      </c>
      <c r="H2915" s="153" t="s">
        <v>10</v>
      </c>
    </row>
    <row r="2916" spans="1:8" x14ac:dyDescent="0.25">
      <c r="A2916" s="73">
        <v>44802</v>
      </c>
      <c r="B2916" s="74" t="s">
        <v>27690</v>
      </c>
      <c r="C2916" s="75" t="s">
        <v>53</v>
      </c>
      <c r="D2916" s="176">
        <v>1650</v>
      </c>
      <c r="E2916" s="151">
        <v>44802</v>
      </c>
      <c r="F2916" s="176">
        <v>1650</v>
      </c>
      <c r="G2916" s="177">
        <f>Tabla19[[#This Row],[Importe]]-Tabla19[[#This Row],[Pagado]]</f>
        <v>0</v>
      </c>
      <c r="H2916" s="75" t="s">
        <v>10</v>
      </c>
    </row>
    <row r="2917" spans="1:8" x14ac:dyDescent="0.25">
      <c r="A2917" s="148">
        <v>44802</v>
      </c>
      <c r="B2917" s="149" t="s">
        <v>27691</v>
      </c>
      <c r="C2917" s="153" t="s">
        <v>312</v>
      </c>
      <c r="D2917" s="178">
        <v>5238</v>
      </c>
      <c r="E2917" s="155">
        <v>44802</v>
      </c>
      <c r="F2917" s="178">
        <v>5238</v>
      </c>
      <c r="G2917" s="179">
        <f>Tabla19[[#This Row],[Importe]]-Tabla19[[#This Row],[Pagado]]</f>
        <v>0</v>
      </c>
      <c r="H2917" s="153" t="s">
        <v>10</v>
      </c>
    </row>
    <row r="2918" spans="1:8" x14ac:dyDescent="0.25">
      <c r="A2918" s="73">
        <v>44802</v>
      </c>
      <c r="B2918" s="74" t="s">
        <v>27692</v>
      </c>
      <c r="C2918" s="75" t="s">
        <v>71</v>
      </c>
      <c r="D2918" s="176">
        <v>9196</v>
      </c>
      <c r="E2918" s="151">
        <v>44802</v>
      </c>
      <c r="F2918" s="176">
        <v>9196</v>
      </c>
      <c r="G2918" s="177">
        <f>Tabla19[[#This Row],[Importe]]-Tabla19[[#This Row],[Pagado]]</f>
        <v>0</v>
      </c>
      <c r="H2918" s="75" t="s">
        <v>10</v>
      </c>
    </row>
    <row r="2919" spans="1:8" x14ac:dyDescent="0.25">
      <c r="A2919" s="148">
        <v>44802</v>
      </c>
      <c r="B2919" s="149" t="s">
        <v>27693</v>
      </c>
      <c r="C2919" s="153" t="s">
        <v>27</v>
      </c>
      <c r="D2919" s="178">
        <v>5556.2</v>
      </c>
      <c r="E2919" s="155">
        <v>44802</v>
      </c>
      <c r="F2919" s="178">
        <v>5556.2</v>
      </c>
      <c r="G2919" s="179">
        <f>Tabla19[[#This Row],[Importe]]-Tabla19[[#This Row],[Pagado]]</f>
        <v>0</v>
      </c>
      <c r="H2919" s="153" t="s">
        <v>10</v>
      </c>
    </row>
    <row r="2920" spans="1:8" x14ac:dyDescent="0.25">
      <c r="A2920" s="73">
        <v>44802</v>
      </c>
      <c r="B2920" s="74" t="s">
        <v>27694</v>
      </c>
      <c r="C2920" s="75" t="s">
        <v>216</v>
      </c>
      <c r="D2920" s="176">
        <v>2257</v>
      </c>
      <c r="E2920" s="151">
        <v>44802</v>
      </c>
      <c r="F2920" s="176">
        <v>2257</v>
      </c>
      <c r="G2920" s="177">
        <f>Tabla19[[#This Row],[Importe]]-Tabla19[[#This Row],[Pagado]]</f>
        <v>0</v>
      </c>
      <c r="H2920" s="75" t="s">
        <v>10</v>
      </c>
    </row>
    <row r="2921" spans="1:8" x14ac:dyDescent="0.25">
      <c r="A2921" s="148">
        <v>44802</v>
      </c>
      <c r="B2921" s="149" t="s">
        <v>27695</v>
      </c>
      <c r="C2921" s="153" t="s">
        <v>16</v>
      </c>
      <c r="D2921" s="178">
        <v>6107.7</v>
      </c>
      <c r="E2921" s="155">
        <v>44802</v>
      </c>
      <c r="F2921" s="178">
        <v>6107.7</v>
      </c>
      <c r="G2921" s="179">
        <f>Tabla19[[#This Row],[Importe]]-Tabla19[[#This Row],[Pagado]]</f>
        <v>0</v>
      </c>
      <c r="H2921" s="153" t="s">
        <v>10</v>
      </c>
    </row>
    <row r="2922" spans="1:8" x14ac:dyDescent="0.25">
      <c r="A2922" s="73">
        <v>44802</v>
      </c>
      <c r="B2922" s="74" t="s">
        <v>27696</v>
      </c>
      <c r="C2922" s="75" t="s">
        <v>56</v>
      </c>
      <c r="D2922" s="176">
        <v>8606.2000000000007</v>
      </c>
      <c r="E2922" s="151">
        <v>44802</v>
      </c>
      <c r="F2922" s="176">
        <v>8606.2000000000007</v>
      </c>
      <c r="G2922" s="177">
        <f>Tabla19[[#This Row],[Importe]]-Tabla19[[#This Row],[Pagado]]</f>
        <v>0</v>
      </c>
      <c r="H2922" s="75" t="s">
        <v>10</v>
      </c>
    </row>
    <row r="2923" spans="1:8" x14ac:dyDescent="0.25">
      <c r="A2923" s="148">
        <v>44802</v>
      </c>
      <c r="B2923" s="149" t="s">
        <v>27697</v>
      </c>
      <c r="C2923" s="153" t="s">
        <v>31</v>
      </c>
      <c r="D2923" s="178">
        <v>3142.5</v>
      </c>
      <c r="E2923" s="155">
        <v>44802</v>
      </c>
      <c r="F2923" s="178">
        <v>3142.5</v>
      </c>
      <c r="G2923" s="179">
        <f>Tabla19[[#This Row],[Importe]]-Tabla19[[#This Row],[Pagado]]</f>
        <v>0</v>
      </c>
      <c r="H2923" s="153" t="s">
        <v>10</v>
      </c>
    </row>
    <row r="2924" spans="1:8" x14ac:dyDescent="0.25">
      <c r="A2924" s="73">
        <v>44802</v>
      </c>
      <c r="B2924" s="74" t="s">
        <v>27698</v>
      </c>
      <c r="C2924" s="75" t="s">
        <v>212</v>
      </c>
      <c r="D2924" s="176">
        <v>19272.400000000001</v>
      </c>
      <c r="E2924" s="151">
        <v>44805</v>
      </c>
      <c r="F2924" s="176">
        <v>19272.400000000001</v>
      </c>
      <c r="G2924" s="177">
        <f>Tabla19[[#This Row],[Importe]]-Tabla19[[#This Row],[Pagado]]</f>
        <v>0</v>
      </c>
      <c r="H2924" s="75" t="s">
        <v>10</v>
      </c>
    </row>
    <row r="2925" spans="1:8" x14ac:dyDescent="0.25">
      <c r="A2925" s="148">
        <v>44802</v>
      </c>
      <c r="B2925" s="149" t="s">
        <v>27699</v>
      </c>
      <c r="C2925" s="153" t="s">
        <v>206</v>
      </c>
      <c r="D2925" s="178">
        <v>20811.3</v>
      </c>
      <c r="E2925" s="155">
        <v>44805</v>
      </c>
      <c r="F2925" s="178">
        <v>20811.3</v>
      </c>
      <c r="G2925" s="179">
        <f>Tabla19[[#This Row],[Importe]]-Tabla19[[#This Row],[Pagado]]</f>
        <v>0</v>
      </c>
      <c r="H2925" s="153" t="s">
        <v>10</v>
      </c>
    </row>
    <row r="2926" spans="1:8" x14ac:dyDescent="0.25">
      <c r="A2926" s="73">
        <v>44802</v>
      </c>
      <c r="B2926" s="74" t="s">
        <v>27700</v>
      </c>
      <c r="C2926" s="75" t="s">
        <v>218</v>
      </c>
      <c r="D2926" s="176">
        <v>15335.7</v>
      </c>
      <c r="E2926" s="151">
        <v>44805</v>
      </c>
      <c r="F2926" s="176">
        <v>15335.7</v>
      </c>
      <c r="G2926" s="177">
        <f>Tabla19[[#This Row],[Importe]]-Tabla19[[#This Row],[Pagado]]</f>
        <v>0</v>
      </c>
      <c r="H2926" s="75" t="s">
        <v>10</v>
      </c>
    </row>
    <row r="2927" spans="1:8" x14ac:dyDescent="0.25">
      <c r="A2927" s="148">
        <v>44802</v>
      </c>
      <c r="B2927" s="149" t="s">
        <v>27701</v>
      </c>
      <c r="C2927" s="153" t="s">
        <v>365</v>
      </c>
      <c r="D2927" s="178">
        <v>907.8</v>
      </c>
      <c r="E2927" s="155">
        <v>44802</v>
      </c>
      <c r="F2927" s="178">
        <v>907.8</v>
      </c>
      <c r="G2927" s="179">
        <f>Tabla19[[#This Row],[Importe]]-Tabla19[[#This Row],[Pagado]]</f>
        <v>0</v>
      </c>
      <c r="H2927" s="153" t="s">
        <v>10</v>
      </c>
    </row>
    <row r="2928" spans="1:8" x14ac:dyDescent="0.25">
      <c r="A2928" s="73">
        <v>44802</v>
      </c>
      <c r="B2928" s="74" t="s">
        <v>27702</v>
      </c>
      <c r="C2928" s="75" t="s">
        <v>154</v>
      </c>
      <c r="D2928" s="176">
        <v>28547.4</v>
      </c>
      <c r="E2928" s="151" t="s">
        <v>4813</v>
      </c>
      <c r="F2928" s="176">
        <v>0</v>
      </c>
      <c r="G2928" s="177">
        <f>Tabla19[[#This Row],[Importe]]-Tabla19[[#This Row],[Pagado]]</f>
        <v>28547.4</v>
      </c>
      <c r="H2928" s="75" t="s">
        <v>4814</v>
      </c>
    </row>
    <row r="2929" spans="1:8" x14ac:dyDescent="0.25">
      <c r="A2929" s="148">
        <v>44802</v>
      </c>
      <c r="B2929" s="149" t="s">
        <v>27703</v>
      </c>
      <c r="C2929" s="153" t="s">
        <v>144</v>
      </c>
      <c r="D2929" s="178">
        <v>3733.2</v>
      </c>
      <c r="E2929" s="155">
        <v>44803</v>
      </c>
      <c r="F2929" s="178">
        <v>3733.2</v>
      </c>
      <c r="G2929" s="179">
        <f>Tabla19[[#This Row],[Importe]]-Tabla19[[#This Row],[Pagado]]</f>
        <v>0</v>
      </c>
      <c r="H2929" s="153" t="s">
        <v>10</v>
      </c>
    </row>
    <row r="2930" spans="1:8" x14ac:dyDescent="0.25">
      <c r="A2930" s="73">
        <v>44802</v>
      </c>
      <c r="B2930" s="74" t="s">
        <v>27704</v>
      </c>
      <c r="C2930" s="75" t="s">
        <v>261</v>
      </c>
      <c r="D2930" s="176">
        <v>51151.6</v>
      </c>
      <c r="E2930" s="151">
        <v>44802</v>
      </c>
      <c r="F2930" s="176">
        <v>51151.6</v>
      </c>
      <c r="G2930" s="177">
        <f>Tabla19[[#This Row],[Importe]]-Tabla19[[#This Row],[Pagado]]</f>
        <v>0</v>
      </c>
      <c r="H2930" s="75" t="s">
        <v>10</v>
      </c>
    </row>
    <row r="2931" spans="1:8" x14ac:dyDescent="0.25">
      <c r="A2931" s="148">
        <v>44802</v>
      </c>
      <c r="B2931" s="149" t="s">
        <v>27705</v>
      </c>
      <c r="C2931" s="153" t="s">
        <v>133</v>
      </c>
      <c r="D2931" s="178">
        <v>15014.6</v>
      </c>
      <c r="E2931" s="155">
        <v>44803</v>
      </c>
      <c r="F2931" s="178">
        <v>15014.6</v>
      </c>
      <c r="G2931" s="179">
        <f>Tabla19[[#This Row],[Importe]]-Tabla19[[#This Row],[Pagado]]</f>
        <v>0</v>
      </c>
      <c r="H2931" s="153" t="s">
        <v>10</v>
      </c>
    </row>
    <row r="2932" spans="1:8" x14ac:dyDescent="0.25">
      <c r="A2932" s="73">
        <v>44802</v>
      </c>
      <c r="B2932" s="74" t="s">
        <v>27706</v>
      </c>
      <c r="C2932" s="75" t="s">
        <v>12</v>
      </c>
      <c r="D2932" s="176">
        <v>1113.4000000000001</v>
      </c>
      <c r="E2932" s="151">
        <v>44804</v>
      </c>
      <c r="F2932" s="176">
        <v>1113.4000000000001</v>
      </c>
      <c r="G2932" s="177">
        <f>Tabla19[[#This Row],[Importe]]-Tabla19[[#This Row],[Pagado]]</f>
        <v>0</v>
      </c>
      <c r="H2932" s="75" t="s">
        <v>10</v>
      </c>
    </row>
    <row r="2933" spans="1:8" x14ac:dyDescent="0.25">
      <c r="A2933" s="148">
        <v>44802</v>
      </c>
      <c r="B2933" s="149" t="s">
        <v>27707</v>
      </c>
      <c r="C2933" s="153" t="s">
        <v>49</v>
      </c>
      <c r="D2933" s="178">
        <v>3855.6</v>
      </c>
      <c r="E2933" s="155">
        <v>44802</v>
      </c>
      <c r="F2933" s="178">
        <v>3855.6</v>
      </c>
      <c r="G2933" s="179">
        <f>Tabla19[[#This Row],[Importe]]-Tabla19[[#This Row],[Pagado]]</f>
        <v>0</v>
      </c>
      <c r="H2933" s="153" t="s">
        <v>10</v>
      </c>
    </row>
    <row r="2934" spans="1:8" x14ac:dyDescent="0.25">
      <c r="A2934" s="73">
        <v>44802</v>
      </c>
      <c r="B2934" s="74" t="s">
        <v>27708</v>
      </c>
      <c r="C2934" s="75" t="s">
        <v>1644</v>
      </c>
      <c r="D2934" s="176">
        <v>14977.6</v>
      </c>
      <c r="E2934" s="151">
        <v>44803</v>
      </c>
      <c r="F2934" s="176">
        <v>14977.6</v>
      </c>
      <c r="G2934" s="177">
        <f>Tabla19[[#This Row],[Importe]]-Tabla19[[#This Row],[Pagado]]</f>
        <v>0</v>
      </c>
      <c r="H2934" s="75" t="s">
        <v>10</v>
      </c>
    </row>
    <row r="2935" spans="1:8" x14ac:dyDescent="0.25">
      <c r="A2935" s="148">
        <v>44802</v>
      </c>
      <c r="B2935" s="149" t="s">
        <v>27709</v>
      </c>
      <c r="C2935" s="153" t="s">
        <v>107</v>
      </c>
      <c r="D2935" s="178">
        <v>13197.4</v>
      </c>
      <c r="E2935" s="155">
        <v>44803</v>
      </c>
      <c r="F2935" s="178">
        <v>13197.4</v>
      </c>
      <c r="G2935" s="179">
        <f>Tabla19[[#This Row],[Importe]]-Tabla19[[#This Row],[Pagado]]</f>
        <v>0</v>
      </c>
      <c r="H2935" s="153" t="s">
        <v>10</v>
      </c>
    </row>
    <row r="2936" spans="1:8" x14ac:dyDescent="0.25">
      <c r="A2936" s="73">
        <v>44802</v>
      </c>
      <c r="B2936" s="74" t="s">
        <v>27710</v>
      </c>
      <c r="C2936" s="75" t="s">
        <v>12</v>
      </c>
      <c r="D2936" s="176">
        <v>4070</v>
      </c>
      <c r="E2936" s="151">
        <v>44804</v>
      </c>
      <c r="F2936" s="176">
        <v>4070</v>
      </c>
      <c r="G2936" s="177">
        <f>Tabla19[[#This Row],[Importe]]-Tabla19[[#This Row],[Pagado]]</f>
        <v>0</v>
      </c>
      <c r="H2936" s="75" t="s">
        <v>10</v>
      </c>
    </row>
    <row r="2937" spans="1:8" x14ac:dyDescent="0.25">
      <c r="A2937" s="148">
        <v>44802</v>
      </c>
      <c r="B2937" s="149" t="s">
        <v>27711</v>
      </c>
      <c r="C2937" s="153" t="s">
        <v>357</v>
      </c>
      <c r="D2937" s="178">
        <v>5033.2</v>
      </c>
      <c r="E2937" s="155">
        <v>44803</v>
      </c>
      <c r="F2937" s="178">
        <v>5033.2</v>
      </c>
      <c r="G2937" s="179">
        <f>Tabla19[[#This Row],[Importe]]-Tabla19[[#This Row],[Pagado]]</f>
        <v>0</v>
      </c>
      <c r="H2937" s="153" t="s">
        <v>10</v>
      </c>
    </row>
    <row r="2938" spans="1:8" x14ac:dyDescent="0.25">
      <c r="A2938" s="73">
        <v>44802</v>
      </c>
      <c r="B2938" s="74" t="s">
        <v>27712</v>
      </c>
      <c r="C2938" s="75" t="s">
        <v>129</v>
      </c>
      <c r="D2938" s="176">
        <v>5217</v>
      </c>
      <c r="E2938" s="151">
        <v>44803</v>
      </c>
      <c r="F2938" s="176">
        <v>5217</v>
      </c>
      <c r="G2938" s="177">
        <f>Tabla19[[#This Row],[Importe]]-Tabla19[[#This Row],[Pagado]]</f>
        <v>0</v>
      </c>
      <c r="H2938" s="75" t="s">
        <v>10</v>
      </c>
    </row>
    <row r="2939" spans="1:8" x14ac:dyDescent="0.25">
      <c r="A2939" s="148">
        <v>44802</v>
      </c>
      <c r="B2939" s="149" t="s">
        <v>27713</v>
      </c>
      <c r="C2939" s="153" t="s">
        <v>127</v>
      </c>
      <c r="D2939" s="178">
        <v>5238.6000000000004</v>
      </c>
      <c r="E2939" s="155">
        <v>44803</v>
      </c>
      <c r="F2939" s="178">
        <v>5238.6000000000004</v>
      </c>
      <c r="G2939" s="179">
        <f>Tabla19[[#This Row],[Importe]]-Tabla19[[#This Row],[Pagado]]</f>
        <v>0</v>
      </c>
      <c r="H2939" s="153" t="s">
        <v>10</v>
      </c>
    </row>
    <row r="2940" spans="1:8" x14ac:dyDescent="0.25">
      <c r="A2940" s="73">
        <v>44802</v>
      </c>
      <c r="B2940" s="74" t="s">
        <v>27714</v>
      </c>
      <c r="C2940" s="75" t="s">
        <v>140</v>
      </c>
      <c r="D2940" s="176">
        <v>325</v>
      </c>
      <c r="E2940" s="151">
        <v>44803</v>
      </c>
      <c r="F2940" s="176">
        <v>325</v>
      </c>
      <c r="G2940" s="177">
        <f>Tabla19[[#This Row],[Importe]]-Tabla19[[#This Row],[Pagado]]</f>
        <v>0</v>
      </c>
      <c r="H2940" s="75" t="s">
        <v>10</v>
      </c>
    </row>
    <row r="2941" spans="1:8" x14ac:dyDescent="0.25">
      <c r="A2941" s="148">
        <v>44802</v>
      </c>
      <c r="B2941" s="149" t="s">
        <v>27715</v>
      </c>
      <c r="C2941" s="153" t="s">
        <v>23673</v>
      </c>
      <c r="D2941" s="178">
        <v>0</v>
      </c>
      <c r="E2941" s="158" t="s">
        <v>189</v>
      </c>
      <c r="F2941" s="178">
        <v>0</v>
      </c>
      <c r="G2941" s="179">
        <f>Tabla19[[#This Row],[Importe]]-Tabla19[[#This Row],[Pagado]]</f>
        <v>0</v>
      </c>
      <c r="H2941" s="159" t="s">
        <v>27716</v>
      </c>
    </row>
    <row r="2942" spans="1:8" x14ac:dyDescent="0.25">
      <c r="A2942" s="73">
        <v>44802</v>
      </c>
      <c r="B2942" s="74" t="s">
        <v>27717</v>
      </c>
      <c r="C2942" s="75" t="s">
        <v>333</v>
      </c>
      <c r="D2942" s="176">
        <v>626.52</v>
      </c>
      <c r="E2942" s="151">
        <v>44803</v>
      </c>
      <c r="F2942" s="176">
        <v>626.52</v>
      </c>
      <c r="G2942" s="177">
        <f>Tabla19[[#This Row],[Importe]]-Tabla19[[#This Row],[Pagado]]</f>
        <v>0</v>
      </c>
      <c r="H2942" s="75" t="s">
        <v>10</v>
      </c>
    </row>
    <row r="2943" spans="1:8" x14ac:dyDescent="0.25">
      <c r="A2943" s="148">
        <v>44802</v>
      </c>
      <c r="B2943" s="149" t="s">
        <v>27718</v>
      </c>
      <c r="C2943" s="153" t="s">
        <v>4162</v>
      </c>
      <c r="D2943" s="178">
        <v>0</v>
      </c>
      <c r="E2943" s="158" t="s">
        <v>189</v>
      </c>
      <c r="F2943" s="178">
        <v>0</v>
      </c>
      <c r="G2943" s="179">
        <f>Tabla19[[#This Row],[Importe]]-Tabla19[[#This Row],[Pagado]]</f>
        <v>0</v>
      </c>
      <c r="H2943" s="153" t="s">
        <v>189</v>
      </c>
    </row>
    <row r="2944" spans="1:8" x14ac:dyDescent="0.25">
      <c r="A2944" s="73">
        <v>44802</v>
      </c>
      <c r="B2944" s="74" t="s">
        <v>27719</v>
      </c>
      <c r="C2944" s="75" t="s">
        <v>45</v>
      </c>
      <c r="D2944" s="176">
        <v>10182.200000000001</v>
      </c>
      <c r="E2944" s="151">
        <v>44802</v>
      </c>
      <c r="F2944" s="176">
        <v>10182.200000000001</v>
      </c>
      <c r="G2944" s="177">
        <f>Tabla19[[#This Row],[Importe]]-Tabla19[[#This Row],[Pagado]]</f>
        <v>0</v>
      </c>
      <c r="H2944" s="75" t="s">
        <v>10</v>
      </c>
    </row>
    <row r="2945" spans="1:8" x14ac:dyDescent="0.25">
      <c r="A2945" s="148">
        <v>44802</v>
      </c>
      <c r="B2945" s="149" t="s">
        <v>27720</v>
      </c>
      <c r="C2945" s="153" t="s">
        <v>214</v>
      </c>
      <c r="D2945" s="178">
        <v>1554</v>
      </c>
      <c r="E2945" s="155">
        <v>44802</v>
      </c>
      <c r="F2945" s="178">
        <v>1554</v>
      </c>
      <c r="G2945" s="179">
        <f>Tabla19[[#This Row],[Importe]]-Tabla19[[#This Row],[Pagado]]</f>
        <v>0</v>
      </c>
      <c r="H2945" s="153" t="s">
        <v>10</v>
      </c>
    </row>
    <row r="2946" spans="1:8" x14ac:dyDescent="0.25">
      <c r="A2946" s="73">
        <v>44802</v>
      </c>
      <c r="B2946" s="74" t="s">
        <v>27721</v>
      </c>
      <c r="C2946" s="75" t="s">
        <v>1362</v>
      </c>
      <c r="D2946" s="176">
        <v>7346</v>
      </c>
      <c r="E2946" s="151">
        <v>44803</v>
      </c>
      <c r="F2946" s="176">
        <v>7346</v>
      </c>
      <c r="G2946" s="177">
        <f>Tabla19[[#This Row],[Importe]]-Tabla19[[#This Row],[Pagado]]</f>
        <v>0</v>
      </c>
      <c r="H2946" s="75" t="s">
        <v>10</v>
      </c>
    </row>
    <row r="2947" spans="1:8" x14ac:dyDescent="0.25">
      <c r="A2947" s="148">
        <v>44802</v>
      </c>
      <c r="B2947" s="149" t="s">
        <v>27722</v>
      </c>
      <c r="C2947" s="153" t="s">
        <v>222</v>
      </c>
      <c r="D2947" s="178">
        <v>10058.200000000001</v>
      </c>
      <c r="E2947" s="155">
        <v>44802</v>
      </c>
      <c r="F2947" s="178">
        <v>10058.200000000001</v>
      </c>
      <c r="G2947" s="179">
        <f>Tabla19[[#This Row],[Importe]]-Tabla19[[#This Row],[Pagado]]</f>
        <v>0</v>
      </c>
      <c r="H2947" s="153" t="s">
        <v>10</v>
      </c>
    </row>
    <row r="2948" spans="1:8" x14ac:dyDescent="0.25">
      <c r="A2948" s="73">
        <v>44802</v>
      </c>
      <c r="B2948" s="74" t="s">
        <v>27723</v>
      </c>
      <c r="C2948" s="75" t="s">
        <v>24</v>
      </c>
      <c r="D2948" s="176">
        <v>4244.3999999999996</v>
      </c>
      <c r="E2948" s="151">
        <v>44802</v>
      </c>
      <c r="F2948" s="176">
        <v>4244.3999999999996</v>
      </c>
      <c r="G2948" s="177">
        <f>Tabla19[[#This Row],[Importe]]-Tabla19[[#This Row],[Pagado]]</f>
        <v>0</v>
      </c>
      <c r="H2948" s="75" t="s">
        <v>10</v>
      </c>
    </row>
    <row r="2949" spans="1:8" x14ac:dyDescent="0.25">
      <c r="A2949" s="148">
        <v>44802</v>
      </c>
      <c r="B2949" s="149" t="s">
        <v>27724</v>
      </c>
      <c r="C2949" s="153" t="s">
        <v>291</v>
      </c>
      <c r="D2949" s="178">
        <v>3711</v>
      </c>
      <c r="E2949" s="155">
        <v>44803</v>
      </c>
      <c r="F2949" s="178">
        <v>3711</v>
      </c>
      <c r="G2949" s="179">
        <f>Tabla19[[#This Row],[Importe]]-Tabla19[[#This Row],[Pagado]]</f>
        <v>0</v>
      </c>
      <c r="H2949" s="153" t="s">
        <v>10</v>
      </c>
    </row>
    <row r="2950" spans="1:8" x14ac:dyDescent="0.25">
      <c r="A2950" s="73">
        <v>44802</v>
      </c>
      <c r="B2950" s="74" t="s">
        <v>27725</v>
      </c>
      <c r="C2950" s="75" t="s">
        <v>83</v>
      </c>
      <c r="D2950" s="176">
        <v>11649.2</v>
      </c>
      <c r="E2950" s="151">
        <v>44803</v>
      </c>
      <c r="F2950" s="176">
        <v>11649.2</v>
      </c>
      <c r="G2950" s="177">
        <f>Tabla19[[#This Row],[Importe]]-Tabla19[[#This Row],[Pagado]]</f>
        <v>0</v>
      </c>
      <c r="H2950" s="75" t="s">
        <v>10</v>
      </c>
    </row>
    <row r="2951" spans="1:8" x14ac:dyDescent="0.25">
      <c r="A2951" s="148">
        <v>44802</v>
      </c>
      <c r="B2951" s="149" t="s">
        <v>27726</v>
      </c>
      <c r="C2951" s="153" t="s">
        <v>664</v>
      </c>
      <c r="D2951" s="178">
        <v>3104.4</v>
      </c>
      <c r="E2951" s="155">
        <v>44803</v>
      </c>
      <c r="F2951" s="178">
        <v>3104.4</v>
      </c>
      <c r="G2951" s="179">
        <f>Tabla19[[#This Row],[Importe]]-Tabla19[[#This Row],[Pagado]]</f>
        <v>0</v>
      </c>
      <c r="H2951" s="153" t="s">
        <v>10</v>
      </c>
    </row>
    <row r="2952" spans="1:8" x14ac:dyDescent="0.25">
      <c r="A2952" s="73">
        <v>44802</v>
      </c>
      <c r="B2952" s="74" t="s">
        <v>27727</v>
      </c>
      <c r="C2952" s="75" t="s">
        <v>146</v>
      </c>
      <c r="D2952" s="176">
        <v>4780.2</v>
      </c>
      <c r="E2952" s="151">
        <v>44803</v>
      </c>
      <c r="F2952" s="176">
        <v>4780.2</v>
      </c>
      <c r="G2952" s="177">
        <f>Tabla19[[#This Row],[Importe]]-Tabla19[[#This Row],[Pagado]]</f>
        <v>0</v>
      </c>
      <c r="H2952" s="75" t="s">
        <v>10</v>
      </c>
    </row>
    <row r="2953" spans="1:8" x14ac:dyDescent="0.25">
      <c r="A2953" s="148">
        <v>44802</v>
      </c>
      <c r="B2953" s="149" t="s">
        <v>27728</v>
      </c>
      <c r="C2953" s="153" t="s">
        <v>173</v>
      </c>
      <c r="D2953" s="178">
        <v>46455.4</v>
      </c>
      <c r="E2953" s="155">
        <v>44803</v>
      </c>
      <c r="F2953" s="178">
        <v>46455.4</v>
      </c>
      <c r="G2953" s="179">
        <f>Tabla19[[#This Row],[Importe]]-Tabla19[[#This Row],[Pagado]]</f>
        <v>0</v>
      </c>
      <c r="H2953" s="153" t="s">
        <v>10</v>
      </c>
    </row>
    <row r="2954" spans="1:8" x14ac:dyDescent="0.25">
      <c r="A2954" s="73">
        <v>44802</v>
      </c>
      <c r="B2954" s="74" t="s">
        <v>27729</v>
      </c>
      <c r="C2954" s="75" t="s">
        <v>698</v>
      </c>
      <c r="D2954" s="176">
        <v>12076.8</v>
      </c>
      <c r="E2954" s="151">
        <v>44802</v>
      </c>
      <c r="F2954" s="176">
        <v>12076.8</v>
      </c>
      <c r="G2954" s="177">
        <f>Tabla19[[#This Row],[Importe]]-Tabla19[[#This Row],[Pagado]]</f>
        <v>0</v>
      </c>
      <c r="H2954" s="75" t="s">
        <v>10</v>
      </c>
    </row>
    <row r="2955" spans="1:8" x14ac:dyDescent="0.25">
      <c r="A2955" s="148">
        <v>44802</v>
      </c>
      <c r="B2955" s="149" t="s">
        <v>27730</v>
      </c>
      <c r="C2955" s="153" t="s">
        <v>154</v>
      </c>
      <c r="D2955" s="178">
        <v>0.65</v>
      </c>
      <c r="E2955" s="155" t="s">
        <v>25549</v>
      </c>
      <c r="F2955" s="178">
        <v>0.65</v>
      </c>
      <c r="G2955" s="179">
        <f>Tabla19[[#This Row],[Importe]]-Tabla19[[#This Row],[Pagado]]</f>
        <v>0</v>
      </c>
      <c r="H2955" s="153" t="s">
        <v>10</v>
      </c>
    </row>
    <row r="2956" spans="1:8" x14ac:dyDescent="0.25">
      <c r="A2956" s="73">
        <v>44802</v>
      </c>
      <c r="B2956" s="74" t="s">
        <v>27731</v>
      </c>
      <c r="C2956" s="75" t="s">
        <v>407</v>
      </c>
      <c r="D2956" s="176">
        <v>10756.8</v>
      </c>
      <c r="E2956" s="151" t="s">
        <v>4813</v>
      </c>
      <c r="F2956" s="176">
        <v>0</v>
      </c>
      <c r="G2956" s="177">
        <f>Tabla19[[#This Row],[Importe]]-Tabla19[[#This Row],[Pagado]]</f>
        <v>10756.8</v>
      </c>
      <c r="H2956" s="75" t="s">
        <v>4814</v>
      </c>
    </row>
    <row r="2957" spans="1:8" x14ac:dyDescent="0.25">
      <c r="A2957" s="148">
        <v>44802</v>
      </c>
      <c r="B2957" s="149" t="s">
        <v>27732</v>
      </c>
      <c r="C2957" s="153" t="s">
        <v>142</v>
      </c>
      <c r="D2957" s="178">
        <v>121622.37</v>
      </c>
      <c r="E2957" s="155" t="s">
        <v>4813</v>
      </c>
      <c r="F2957" s="178">
        <v>0</v>
      </c>
      <c r="G2957" s="179">
        <f>Tabla19[[#This Row],[Importe]]-Tabla19[[#This Row],[Pagado]]</f>
        <v>121622.37</v>
      </c>
      <c r="H2957" s="153" t="s">
        <v>4814</v>
      </c>
    </row>
    <row r="2958" spans="1:8" x14ac:dyDescent="0.25">
      <c r="A2958" s="73">
        <v>44802</v>
      </c>
      <c r="B2958" s="74" t="s">
        <v>27733</v>
      </c>
      <c r="C2958" s="75" t="s">
        <v>226</v>
      </c>
      <c r="D2958" s="176">
        <v>18268.7</v>
      </c>
      <c r="E2958" s="151">
        <v>44802</v>
      </c>
      <c r="F2958" s="176">
        <v>18268.7</v>
      </c>
      <c r="G2958" s="177">
        <f>Tabla19[[#This Row],[Importe]]-Tabla19[[#This Row],[Pagado]]</f>
        <v>0</v>
      </c>
      <c r="H2958" s="75" t="s">
        <v>10</v>
      </c>
    </row>
    <row r="2959" spans="1:8" x14ac:dyDescent="0.25">
      <c r="A2959" s="148">
        <v>44802</v>
      </c>
      <c r="B2959" s="149" t="s">
        <v>27734</v>
      </c>
      <c r="C2959" s="153" t="s">
        <v>240</v>
      </c>
      <c r="D2959" s="178">
        <v>4568</v>
      </c>
      <c r="E2959" s="155">
        <v>44802</v>
      </c>
      <c r="F2959" s="178">
        <v>4568</v>
      </c>
      <c r="G2959" s="179">
        <f>Tabla19[[#This Row],[Importe]]-Tabla19[[#This Row],[Pagado]]</f>
        <v>0</v>
      </c>
      <c r="H2959" s="153" t="s">
        <v>10</v>
      </c>
    </row>
    <row r="2960" spans="1:8" x14ac:dyDescent="0.25">
      <c r="A2960" s="73">
        <v>44802</v>
      </c>
      <c r="B2960" s="74" t="s">
        <v>27735</v>
      </c>
      <c r="C2960" s="75" t="s">
        <v>520</v>
      </c>
      <c r="D2960" s="176">
        <v>8953.2000000000007</v>
      </c>
      <c r="E2960" s="151">
        <v>44802</v>
      </c>
      <c r="F2960" s="176">
        <v>8953.2000000000007</v>
      </c>
      <c r="G2960" s="177">
        <f>Tabla19[[#This Row],[Importe]]-Tabla19[[#This Row],[Pagado]]</f>
        <v>0</v>
      </c>
      <c r="H2960" s="75" t="s">
        <v>10</v>
      </c>
    </row>
    <row r="2961" spans="1:8" x14ac:dyDescent="0.25">
      <c r="A2961" s="148">
        <v>44802</v>
      </c>
      <c r="B2961" s="149" t="s">
        <v>27736</v>
      </c>
      <c r="C2961" s="153" t="s">
        <v>419</v>
      </c>
      <c r="D2961" s="178">
        <v>8327.9</v>
      </c>
      <c r="E2961" s="155">
        <v>44802</v>
      </c>
      <c r="F2961" s="178">
        <v>8327.9</v>
      </c>
      <c r="G2961" s="179">
        <f>Tabla19[[#This Row],[Importe]]-Tabla19[[#This Row],[Pagado]]</f>
        <v>0</v>
      </c>
      <c r="H2961" s="153" t="s">
        <v>10</v>
      </c>
    </row>
    <row r="2962" spans="1:8" x14ac:dyDescent="0.25">
      <c r="A2962" s="73">
        <v>44802</v>
      </c>
      <c r="B2962" s="74" t="s">
        <v>27737</v>
      </c>
      <c r="C2962" s="75" t="s">
        <v>67</v>
      </c>
      <c r="D2962" s="176">
        <v>2749.7</v>
      </c>
      <c r="E2962" s="151">
        <v>44802</v>
      </c>
      <c r="F2962" s="176">
        <v>2749.7</v>
      </c>
      <c r="G2962" s="177">
        <f>Tabla19[[#This Row],[Importe]]-Tabla19[[#This Row],[Pagado]]</f>
        <v>0</v>
      </c>
      <c r="H2962" s="75" t="s">
        <v>10</v>
      </c>
    </row>
    <row r="2963" spans="1:8" x14ac:dyDescent="0.25">
      <c r="A2963" s="148">
        <v>44802</v>
      </c>
      <c r="B2963" s="149" t="s">
        <v>27738</v>
      </c>
      <c r="C2963" s="153" t="s">
        <v>240</v>
      </c>
      <c r="D2963" s="178">
        <v>985.6</v>
      </c>
      <c r="E2963" s="155">
        <v>44802</v>
      </c>
      <c r="F2963" s="178">
        <v>985.6</v>
      </c>
      <c r="G2963" s="179">
        <f>Tabla19[[#This Row],[Importe]]-Tabla19[[#This Row],[Pagado]]</f>
        <v>0</v>
      </c>
      <c r="H2963" s="153" t="s">
        <v>10</v>
      </c>
    </row>
    <row r="2964" spans="1:8" x14ac:dyDescent="0.25">
      <c r="A2964" s="73">
        <v>44802</v>
      </c>
      <c r="B2964" s="74" t="s">
        <v>27739</v>
      </c>
      <c r="C2964" s="75" t="s">
        <v>1265</v>
      </c>
      <c r="D2964" s="176">
        <v>702.9</v>
      </c>
      <c r="E2964" s="151">
        <v>44802</v>
      </c>
      <c r="F2964" s="176">
        <v>702.9</v>
      </c>
      <c r="G2964" s="177">
        <f>Tabla19[[#This Row],[Importe]]-Tabla19[[#This Row],[Pagado]]</f>
        <v>0</v>
      </c>
      <c r="H2964" s="75" t="s">
        <v>10</v>
      </c>
    </row>
    <row r="2965" spans="1:8" x14ac:dyDescent="0.25">
      <c r="A2965" s="148">
        <v>44802</v>
      </c>
      <c r="B2965" s="149" t="s">
        <v>27740</v>
      </c>
      <c r="C2965" s="153" t="s">
        <v>62</v>
      </c>
      <c r="D2965" s="178">
        <v>4074</v>
      </c>
      <c r="E2965" s="155">
        <v>44802</v>
      </c>
      <c r="F2965" s="178">
        <v>4074</v>
      </c>
      <c r="G2965" s="179">
        <f>Tabla19[[#This Row],[Importe]]-Tabla19[[#This Row],[Pagado]]</f>
        <v>0</v>
      </c>
      <c r="H2965" s="153" t="s">
        <v>10</v>
      </c>
    </row>
    <row r="2966" spans="1:8" x14ac:dyDescent="0.25">
      <c r="A2966" s="73">
        <v>44802</v>
      </c>
      <c r="B2966" s="74" t="s">
        <v>27741</v>
      </c>
      <c r="C2966" s="75" t="s">
        <v>224</v>
      </c>
      <c r="D2966" s="176">
        <v>13956</v>
      </c>
      <c r="E2966" s="151" t="s">
        <v>4813</v>
      </c>
      <c r="F2966" s="176">
        <v>0</v>
      </c>
      <c r="G2966" s="177">
        <f>Tabla19[[#This Row],[Importe]]-Tabla19[[#This Row],[Pagado]]</f>
        <v>13956</v>
      </c>
      <c r="H2966" s="75" t="s">
        <v>4814</v>
      </c>
    </row>
    <row r="2967" spans="1:8" x14ac:dyDescent="0.25">
      <c r="A2967" s="148">
        <v>44802</v>
      </c>
      <c r="B2967" s="149" t="s">
        <v>27742</v>
      </c>
      <c r="C2967" s="153" t="s">
        <v>857</v>
      </c>
      <c r="D2967" s="178">
        <v>568</v>
      </c>
      <c r="E2967" s="155">
        <v>44802</v>
      </c>
      <c r="F2967" s="178">
        <v>568</v>
      </c>
      <c r="G2967" s="179">
        <f>Tabla19[[#This Row],[Importe]]-Tabla19[[#This Row],[Pagado]]</f>
        <v>0</v>
      </c>
      <c r="H2967" s="153" t="s">
        <v>10</v>
      </c>
    </row>
    <row r="2968" spans="1:8" x14ac:dyDescent="0.25">
      <c r="A2968" s="73">
        <v>44802</v>
      </c>
      <c r="B2968" s="74" t="s">
        <v>27743</v>
      </c>
      <c r="C2968" s="75" t="s">
        <v>296</v>
      </c>
      <c r="D2968" s="176">
        <v>3920</v>
      </c>
      <c r="E2968" s="151">
        <v>44802</v>
      </c>
      <c r="F2968" s="176">
        <v>3920</v>
      </c>
      <c r="G2968" s="177">
        <f>Tabla19[[#This Row],[Importe]]-Tabla19[[#This Row],[Pagado]]</f>
        <v>0</v>
      </c>
      <c r="H2968" s="75" t="s">
        <v>10</v>
      </c>
    </row>
    <row r="2969" spans="1:8" x14ac:dyDescent="0.25">
      <c r="A2969" s="148">
        <v>44802</v>
      </c>
      <c r="B2969" s="149" t="s">
        <v>27744</v>
      </c>
      <c r="C2969" s="153" t="s">
        <v>97</v>
      </c>
      <c r="D2969" s="178">
        <v>9646.6</v>
      </c>
      <c r="E2969" s="155">
        <v>44804</v>
      </c>
      <c r="F2969" s="178">
        <v>9646.6</v>
      </c>
      <c r="G2969" s="179">
        <f>Tabla19[[#This Row],[Importe]]-Tabla19[[#This Row],[Pagado]]</f>
        <v>0</v>
      </c>
      <c r="H2969" s="153" t="s">
        <v>10</v>
      </c>
    </row>
    <row r="2970" spans="1:8" x14ac:dyDescent="0.25">
      <c r="A2970" s="73">
        <v>44802</v>
      </c>
      <c r="B2970" s="74" t="s">
        <v>27745</v>
      </c>
      <c r="C2970" s="75" t="s">
        <v>9415</v>
      </c>
      <c r="D2970" s="176">
        <v>847</v>
      </c>
      <c r="E2970" s="151">
        <v>44803</v>
      </c>
      <c r="F2970" s="176">
        <v>847</v>
      </c>
      <c r="G2970" s="177">
        <f>Tabla19[[#This Row],[Importe]]-Tabla19[[#This Row],[Pagado]]</f>
        <v>0</v>
      </c>
      <c r="H2970" s="75" t="s">
        <v>10</v>
      </c>
    </row>
    <row r="2971" spans="1:8" x14ac:dyDescent="0.25">
      <c r="A2971" s="148">
        <v>44802</v>
      </c>
      <c r="B2971" s="149" t="s">
        <v>27746</v>
      </c>
      <c r="C2971" s="153" t="s">
        <v>142</v>
      </c>
      <c r="D2971" s="178">
        <v>7506</v>
      </c>
      <c r="E2971" s="155" t="s">
        <v>4813</v>
      </c>
      <c r="F2971" s="178">
        <v>0</v>
      </c>
      <c r="G2971" s="179">
        <f>Tabla19[[#This Row],[Importe]]-Tabla19[[#This Row],[Pagado]]</f>
        <v>7506</v>
      </c>
      <c r="H2971" s="153" t="s">
        <v>4814</v>
      </c>
    </row>
    <row r="2972" spans="1:8" x14ac:dyDescent="0.25">
      <c r="A2972" s="73">
        <v>44802</v>
      </c>
      <c r="B2972" s="74" t="s">
        <v>27747</v>
      </c>
      <c r="C2972" s="75" t="s">
        <v>3177</v>
      </c>
      <c r="D2972" s="176">
        <v>4000</v>
      </c>
      <c r="E2972" s="151">
        <v>44802</v>
      </c>
      <c r="F2972" s="176">
        <v>4000</v>
      </c>
      <c r="G2972" s="177">
        <f>Tabla19[[#This Row],[Importe]]-Tabla19[[#This Row],[Pagado]]</f>
        <v>0</v>
      </c>
      <c r="H2972" s="75" t="s">
        <v>10</v>
      </c>
    </row>
    <row r="2973" spans="1:8" x14ac:dyDescent="0.25">
      <c r="A2973" s="148">
        <v>44802</v>
      </c>
      <c r="B2973" s="149" t="s">
        <v>27748</v>
      </c>
      <c r="C2973" s="153" t="s">
        <v>459</v>
      </c>
      <c r="D2973" s="178">
        <v>213</v>
      </c>
      <c r="E2973" s="155">
        <v>44802</v>
      </c>
      <c r="F2973" s="178">
        <v>213</v>
      </c>
      <c r="G2973" s="179">
        <f>Tabla19[[#This Row],[Importe]]-Tabla19[[#This Row],[Pagado]]</f>
        <v>0</v>
      </c>
      <c r="H2973" s="153" t="s">
        <v>10</v>
      </c>
    </row>
    <row r="2974" spans="1:8" x14ac:dyDescent="0.25">
      <c r="A2974" s="73">
        <v>44802</v>
      </c>
      <c r="B2974" s="74" t="s">
        <v>27749</v>
      </c>
      <c r="C2974" s="75" t="s">
        <v>5694</v>
      </c>
      <c r="D2974" s="176">
        <v>4033</v>
      </c>
      <c r="E2974" s="151">
        <v>44802</v>
      </c>
      <c r="F2974" s="176">
        <v>4033</v>
      </c>
      <c r="G2974" s="177">
        <f>Tabla19[[#This Row],[Importe]]-Tabla19[[#This Row],[Pagado]]</f>
        <v>0</v>
      </c>
      <c r="H2974" s="75" t="s">
        <v>10</v>
      </c>
    </row>
    <row r="2975" spans="1:8" x14ac:dyDescent="0.25">
      <c r="A2975" s="148">
        <v>44802</v>
      </c>
      <c r="B2975" s="149" t="s">
        <v>27750</v>
      </c>
      <c r="C2975" s="153" t="s">
        <v>10819</v>
      </c>
      <c r="D2975" s="178">
        <v>777</v>
      </c>
      <c r="E2975" s="155">
        <v>44803</v>
      </c>
      <c r="F2975" s="178">
        <v>777</v>
      </c>
      <c r="G2975" s="179">
        <f>Tabla19[[#This Row],[Importe]]-Tabla19[[#This Row],[Pagado]]</f>
        <v>0</v>
      </c>
      <c r="H2975" s="153" t="s">
        <v>10</v>
      </c>
    </row>
    <row r="2976" spans="1:8" x14ac:dyDescent="0.25">
      <c r="A2976" s="73">
        <v>44802</v>
      </c>
      <c r="B2976" s="74" t="s">
        <v>27751</v>
      </c>
      <c r="C2976" s="75" t="s">
        <v>87</v>
      </c>
      <c r="D2976" s="176">
        <v>3575</v>
      </c>
      <c r="E2976" s="151">
        <v>44803</v>
      </c>
      <c r="F2976" s="176">
        <v>3575</v>
      </c>
      <c r="G2976" s="177">
        <f>Tabla19[[#This Row],[Importe]]-Tabla19[[#This Row],[Pagado]]</f>
        <v>0</v>
      </c>
      <c r="H2976" s="75" t="s">
        <v>10</v>
      </c>
    </row>
    <row r="2977" spans="1:8" x14ac:dyDescent="0.25">
      <c r="A2977" s="148">
        <v>44802</v>
      </c>
      <c r="B2977" s="149" t="s">
        <v>27752</v>
      </c>
      <c r="C2977" s="153" t="s">
        <v>282</v>
      </c>
      <c r="D2977" s="178">
        <v>1435.6</v>
      </c>
      <c r="E2977" s="155">
        <v>44803</v>
      </c>
      <c r="F2977" s="178">
        <v>1435.6</v>
      </c>
      <c r="G2977" s="179">
        <f>Tabla19[[#This Row],[Importe]]-Tabla19[[#This Row],[Pagado]]</f>
        <v>0</v>
      </c>
      <c r="H2977" s="153" t="s">
        <v>10</v>
      </c>
    </row>
    <row r="2978" spans="1:8" x14ac:dyDescent="0.25">
      <c r="A2978" s="73">
        <v>44802</v>
      </c>
      <c r="B2978" s="74" t="s">
        <v>27753</v>
      </c>
      <c r="C2978" s="75" t="s">
        <v>1237</v>
      </c>
      <c r="D2978" s="176">
        <v>4140.4799999999996</v>
      </c>
      <c r="E2978" s="151">
        <v>44803</v>
      </c>
      <c r="F2978" s="176">
        <v>4140.4799999999996</v>
      </c>
      <c r="G2978" s="177">
        <f>Tabla19[[#This Row],[Importe]]-Tabla19[[#This Row],[Pagado]]</f>
        <v>0</v>
      </c>
      <c r="H2978" s="75" t="s">
        <v>10</v>
      </c>
    </row>
    <row r="2979" spans="1:8" x14ac:dyDescent="0.25">
      <c r="A2979" s="148">
        <v>44802</v>
      </c>
      <c r="B2979" s="149" t="s">
        <v>27754</v>
      </c>
      <c r="C2979" s="153" t="s">
        <v>280</v>
      </c>
      <c r="D2979" s="178">
        <v>747.4</v>
      </c>
      <c r="E2979" s="155">
        <v>44803</v>
      </c>
      <c r="F2979" s="178">
        <v>747.4</v>
      </c>
      <c r="G2979" s="179">
        <f>Tabla19[[#This Row],[Importe]]-Tabla19[[#This Row],[Pagado]]</f>
        <v>0</v>
      </c>
      <c r="H2979" s="153" t="s">
        <v>10</v>
      </c>
    </row>
    <row r="2980" spans="1:8" x14ac:dyDescent="0.25">
      <c r="A2980" s="73">
        <v>44802</v>
      </c>
      <c r="B2980" s="74" t="s">
        <v>27755</v>
      </c>
      <c r="C2980" s="75" t="s">
        <v>5345</v>
      </c>
      <c r="D2980" s="176">
        <v>1413.4</v>
      </c>
      <c r="E2980" s="151">
        <v>44803</v>
      </c>
      <c r="F2980" s="176">
        <v>1413.4</v>
      </c>
      <c r="G2980" s="177">
        <f>Tabla19[[#This Row],[Importe]]-Tabla19[[#This Row],[Pagado]]</f>
        <v>0</v>
      </c>
      <c r="H2980" s="75" t="s">
        <v>10</v>
      </c>
    </row>
    <row r="2981" spans="1:8" x14ac:dyDescent="0.25">
      <c r="A2981" s="148">
        <v>44802</v>
      </c>
      <c r="B2981" s="149" t="s">
        <v>27756</v>
      </c>
      <c r="C2981" s="153" t="s">
        <v>1350</v>
      </c>
      <c r="D2981" s="178">
        <v>1258.4000000000001</v>
      </c>
      <c r="E2981" s="155">
        <v>44803</v>
      </c>
      <c r="F2981" s="178">
        <v>1258.4000000000001</v>
      </c>
      <c r="G2981" s="179">
        <f>Tabla19[[#This Row],[Importe]]-Tabla19[[#This Row],[Pagado]]</f>
        <v>0</v>
      </c>
      <c r="H2981" s="153" t="s">
        <v>10</v>
      </c>
    </row>
    <row r="2982" spans="1:8" x14ac:dyDescent="0.25">
      <c r="A2982" s="73">
        <v>44802</v>
      </c>
      <c r="B2982" s="74" t="s">
        <v>27757</v>
      </c>
      <c r="C2982" s="75" t="s">
        <v>9</v>
      </c>
      <c r="D2982" s="176">
        <v>1617</v>
      </c>
      <c r="E2982" s="151">
        <v>44802</v>
      </c>
      <c r="F2982" s="176">
        <v>1617</v>
      </c>
      <c r="G2982" s="177">
        <f>Tabla19[[#This Row],[Importe]]-Tabla19[[#This Row],[Pagado]]</f>
        <v>0</v>
      </c>
      <c r="H2982" s="75" t="s">
        <v>10</v>
      </c>
    </row>
    <row r="2983" spans="1:8" x14ac:dyDescent="0.25">
      <c r="A2983" s="148">
        <v>44802</v>
      </c>
      <c r="B2983" s="149" t="s">
        <v>27758</v>
      </c>
      <c r="C2983" s="153" t="s">
        <v>9827</v>
      </c>
      <c r="D2983" s="178">
        <v>4366</v>
      </c>
      <c r="E2983" s="155">
        <v>44802</v>
      </c>
      <c r="F2983" s="178">
        <v>4366</v>
      </c>
      <c r="G2983" s="179">
        <f>Tabla19[[#This Row],[Importe]]-Tabla19[[#This Row],[Pagado]]</f>
        <v>0</v>
      </c>
      <c r="H2983" s="153" t="s">
        <v>10</v>
      </c>
    </row>
    <row r="2984" spans="1:8" x14ac:dyDescent="0.25">
      <c r="A2984" s="73">
        <v>44802</v>
      </c>
      <c r="B2984" s="74" t="s">
        <v>27759</v>
      </c>
      <c r="C2984" s="75" t="s">
        <v>16</v>
      </c>
      <c r="D2984" s="176">
        <v>140.80000000000001</v>
      </c>
      <c r="E2984" s="151">
        <v>44802</v>
      </c>
      <c r="F2984" s="176">
        <v>140.80000000000001</v>
      </c>
      <c r="G2984" s="177">
        <f>Tabla19[[#This Row],[Importe]]-Tabla19[[#This Row],[Pagado]]</f>
        <v>0</v>
      </c>
      <c r="H2984" s="75" t="s">
        <v>10</v>
      </c>
    </row>
    <row r="2985" spans="1:8" x14ac:dyDescent="0.25">
      <c r="A2985" s="148">
        <v>44802</v>
      </c>
      <c r="B2985" s="149" t="s">
        <v>27760</v>
      </c>
      <c r="C2985" s="153" t="s">
        <v>301</v>
      </c>
      <c r="D2985" s="178">
        <v>21067.200000000001</v>
      </c>
      <c r="E2985" s="155">
        <v>44802</v>
      </c>
      <c r="F2985" s="178">
        <v>21067.200000000001</v>
      </c>
      <c r="G2985" s="179">
        <f>Tabla19[[#This Row],[Importe]]-Tabla19[[#This Row],[Pagado]]</f>
        <v>0</v>
      </c>
      <c r="H2985" s="153" t="s">
        <v>10</v>
      </c>
    </row>
    <row r="2986" spans="1:8" x14ac:dyDescent="0.25">
      <c r="A2986" s="73">
        <v>44802</v>
      </c>
      <c r="B2986" s="74" t="s">
        <v>27761</v>
      </c>
      <c r="C2986" s="75" t="s">
        <v>301</v>
      </c>
      <c r="D2986" s="176">
        <v>1432.8</v>
      </c>
      <c r="E2986" s="151">
        <v>44802</v>
      </c>
      <c r="F2986" s="176">
        <v>1432.8</v>
      </c>
      <c r="G2986" s="177">
        <f>Tabla19[[#This Row],[Importe]]-Tabla19[[#This Row],[Pagado]]</f>
        <v>0</v>
      </c>
      <c r="H2986" s="75" t="s">
        <v>10</v>
      </c>
    </row>
    <row r="2987" spans="1:8" x14ac:dyDescent="0.25">
      <c r="A2987" s="148">
        <v>44802</v>
      </c>
      <c r="B2987" s="149" t="s">
        <v>27762</v>
      </c>
      <c r="C2987" s="153" t="s">
        <v>470</v>
      </c>
      <c r="D2987" s="178">
        <v>7742</v>
      </c>
      <c r="E2987" s="155">
        <v>44803</v>
      </c>
      <c r="F2987" s="178">
        <v>7742</v>
      </c>
      <c r="G2987" s="179">
        <f>Tabla19[[#This Row],[Importe]]-Tabla19[[#This Row],[Pagado]]</f>
        <v>0</v>
      </c>
      <c r="H2987" s="153" t="s">
        <v>10</v>
      </c>
    </row>
    <row r="2988" spans="1:8" x14ac:dyDescent="0.25">
      <c r="A2988" s="73">
        <v>44802</v>
      </c>
      <c r="B2988" s="74" t="s">
        <v>27763</v>
      </c>
      <c r="C2988" s="75" t="s">
        <v>275</v>
      </c>
      <c r="D2988" s="176">
        <v>94066</v>
      </c>
      <c r="E2988" s="151" t="s">
        <v>4813</v>
      </c>
      <c r="F2988" s="176">
        <v>0</v>
      </c>
      <c r="G2988" s="177">
        <f>Tabla19[[#This Row],[Importe]]-Tabla19[[#This Row],[Pagado]]</f>
        <v>94066</v>
      </c>
      <c r="H2988" s="75" t="s">
        <v>4814</v>
      </c>
    </row>
    <row r="2989" spans="1:8" x14ac:dyDescent="0.25">
      <c r="A2989" s="148">
        <v>44802</v>
      </c>
      <c r="B2989" s="149" t="s">
        <v>27764</v>
      </c>
      <c r="C2989" s="153" t="s">
        <v>440</v>
      </c>
      <c r="D2989" s="178">
        <v>7358.32</v>
      </c>
      <c r="E2989" s="155" t="s">
        <v>4813</v>
      </c>
      <c r="F2989" s="178">
        <v>0</v>
      </c>
      <c r="G2989" s="179">
        <f>Tabla19[[#This Row],[Importe]]-Tabla19[[#This Row],[Pagado]]</f>
        <v>7358.32</v>
      </c>
      <c r="H2989" s="153" t="s">
        <v>4814</v>
      </c>
    </row>
    <row r="2990" spans="1:8" x14ac:dyDescent="0.25">
      <c r="A2990" s="73">
        <v>44802</v>
      </c>
      <c r="B2990" s="74" t="s">
        <v>27765</v>
      </c>
      <c r="C2990" s="75" t="s">
        <v>296</v>
      </c>
      <c r="D2990" s="176">
        <v>3832.5</v>
      </c>
      <c r="E2990" s="151">
        <v>44802</v>
      </c>
      <c r="F2990" s="176">
        <v>3832.5</v>
      </c>
      <c r="G2990" s="177">
        <f>Tabla19[[#This Row],[Importe]]-Tabla19[[#This Row],[Pagado]]</f>
        <v>0</v>
      </c>
      <c r="H2990" s="75" t="s">
        <v>10</v>
      </c>
    </row>
    <row r="2991" spans="1:8" x14ac:dyDescent="0.25">
      <c r="A2991" s="148">
        <v>44802</v>
      </c>
      <c r="B2991" s="149" t="s">
        <v>27766</v>
      </c>
      <c r="C2991" s="153" t="s">
        <v>27176</v>
      </c>
      <c r="D2991" s="178">
        <v>7187.6</v>
      </c>
      <c r="E2991" s="155">
        <v>44802</v>
      </c>
      <c r="F2991" s="178">
        <v>7187.6</v>
      </c>
      <c r="G2991" s="179">
        <f>Tabla19[[#This Row],[Importe]]-Tabla19[[#This Row],[Pagado]]</f>
        <v>0</v>
      </c>
      <c r="H2991" s="153" t="s">
        <v>10</v>
      </c>
    </row>
    <row r="2992" spans="1:8" x14ac:dyDescent="0.25">
      <c r="A2992" s="73">
        <v>44802</v>
      </c>
      <c r="B2992" s="74" t="s">
        <v>27767</v>
      </c>
      <c r="C2992" s="75" t="s">
        <v>181</v>
      </c>
      <c r="D2992" s="176">
        <v>15543.4</v>
      </c>
      <c r="E2992" s="151">
        <v>44803</v>
      </c>
      <c r="F2992" s="176">
        <v>15543.4</v>
      </c>
      <c r="G2992" s="177">
        <f>Tabla19[[#This Row],[Importe]]-Tabla19[[#This Row],[Pagado]]</f>
        <v>0</v>
      </c>
      <c r="H2992" s="75" t="s">
        <v>10</v>
      </c>
    </row>
    <row r="2993" spans="1:8" x14ac:dyDescent="0.25">
      <c r="A2993" s="148">
        <v>44802</v>
      </c>
      <c r="B2993" s="149" t="s">
        <v>27768</v>
      </c>
      <c r="C2993" s="153" t="s">
        <v>359</v>
      </c>
      <c r="D2993" s="178">
        <v>1265.4000000000001</v>
      </c>
      <c r="E2993" s="155">
        <v>44803</v>
      </c>
      <c r="F2993" s="178">
        <v>1265.4000000000001</v>
      </c>
      <c r="G2993" s="179">
        <f>Tabla19[[#This Row],[Importe]]-Tabla19[[#This Row],[Pagado]]</f>
        <v>0</v>
      </c>
      <c r="H2993" s="153" t="s">
        <v>10</v>
      </c>
    </row>
    <row r="2994" spans="1:8" x14ac:dyDescent="0.25">
      <c r="A2994" s="73">
        <v>44802</v>
      </c>
      <c r="B2994" s="74" t="s">
        <v>27769</v>
      </c>
      <c r="C2994" s="75" t="s">
        <v>31</v>
      </c>
      <c r="D2994" s="176">
        <v>569.79999999999995</v>
      </c>
      <c r="E2994" s="151">
        <v>44802</v>
      </c>
      <c r="F2994" s="176">
        <v>569.79999999999995</v>
      </c>
      <c r="G2994" s="177">
        <f>Tabla19[[#This Row],[Importe]]-Tabla19[[#This Row],[Pagado]]</f>
        <v>0</v>
      </c>
      <c r="H2994" s="75" t="s">
        <v>10</v>
      </c>
    </row>
    <row r="2995" spans="1:8" x14ac:dyDescent="0.25">
      <c r="A2995" s="148">
        <v>44802</v>
      </c>
      <c r="B2995" s="149" t="s">
        <v>27770</v>
      </c>
      <c r="C2995" s="153" t="s">
        <v>149</v>
      </c>
      <c r="D2995" s="178">
        <v>3112</v>
      </c>
      <c r="E2995" s="155">
        <v>44802</v>
      </c>
      <c r="F2995" s="178">
        <v>3112</v>
      </c>
      <c r="G2995" s="179">
        <f>Tabla19[[#This Row],[Importe]]-Tabla19[[#This Row],[Pagado]]</f>
        <v>0</v>
      </c>
      <c r="H2995" s="153" t="s">
        <v>10</v>
      </c>
    </row>
    <row r="2996" spans="1:8" x14ac:dyDescent="0.25">
      <c r="A2996" s="73">
        <v>44802</v>
      </c>
      <c r="B2996" s="74" t="s">
        <v>27771</v>
      </c>
      <c r="C2996" s="75" t="s">
        <v>53</v>
      </c>
      <c r="D2996" s="176">
        <v>1147.5</v>
      </c>
      <c r="E2996" s="151">
        <v>44802</v>
      </c>
      <c r="F2996" s="176">
        <v>1147.5</v>
      </c>
      <c r="G2996" s="177">
        <f>Tabla19[[#This Row],[Importe]]-Tabla19[[#This Row],[Pagado]]</f>
        <v>0</v>
      </c>
      <c r="H2996" s="75" t="s">
        <v>10</v>
      </c>
    </row>
    <row r="2997" spans="1:8" x14ac:dyDescent="0.25">
      <c r="A2997" s="148">
        <v>44802</v>
      </c>
      <c r="B2997" s="149" t="s">
        <v>27772</v>
      </c>
      <c r="C2997" s="153" t="s">
        <v>426</v>
      </c>
      <c r="D2997" s="178">
        <v>6592.6</v>
      </c>
      <c r="E2997" s="155">
        <v>44803</v>
      </c>
      <c r="F2997" s="178">
        <v>6592.6</v>
      </c>
      <c r="G2997" s="179">
        <f>Tabla19[[#This Row],[Importe]]-Tabla19[[#This Row],[Pagado]]</f>
        <v>0</v>
      </c>
      <c r="H2997" s="153" t="s">
        <v>10</v>
      </c>
    </row>
    <row r="2998" spans="1:8" x14ac:dyDescent="0.25">
      <c r="A2998" s="73">
        <v>44802</v>
      </c>
      <c r="B2998" s="74" t="s">
        <v>27773</v>
      </c>
      <c r="C2998" s="75" t="s">
        <v>196</v>
      </c>
      <c r="D2998" s="176">
        <v>121359.44</v>
      </c>
      <c r="E2998" s="151" t="s">
        <v>25549</v>
      </c>
      <c r="F2998" s="176">
        <v>121359.44</v>
      </c>
      <c r="G2998" s="177">
        <f>Tabla19[[#This Row],[Importe]]-Tabla19[[#This Row],[Pagado]]</f>
        <v>0</v>
      </c>
      <c r="H2998" s="75" t="s">
        <v>10</v>
      </c>
    </row>
    <row r="2999" spans="1:8" x14ac:dyDescent="0.25">
      <c r="A2999" s="148">
        <v>44802</v>
      </c>
      <c r="B2999" s="149" t="s">
        <v>27774</v>
      </c>
      <c r="C2999" s="153" t="s">
        <v>421</v>
      </c>
      <c r="D2999" s="178">
        <v>11721.4</v>
      </c>
      <c r="E2999" s="155" t="s">
        <v>27430</v>
      </c>
      <c r="F2999" s="178">
        <v>11721.4</v>
      </c>
      <c r="G2999" s="179">
        <f>Tabla19[[#This Row],[Importe]]-Tabla19[[#This Row],[Pagado]]</f>
        <v>0</v>
      </c>
      <c r="H2999" s="153" t="s">
        <v>10</v>
      </c>
    </row>
    <row r="3000" spans="1:8" x14ac:dyDescent="0.25">
      <c r="A3000" s="73">
        <v>44802</v>
      </c>
      <c r="B3000" s="74" t="s">
        <v>27775</v>
      </c>
      <c r="C3000" s="75" t="s">
        <v>175</v>
      </c>
      <c r="D3000" s="176">
        <v>11577.85</v>
      </c>
      <c r="E3000" s="151">
        <v>44803</v>
      </c>
      <c r="F3000" s="176">
        <v>11577.85</v>
      </c>
      <c r="G3000" s="177">
        <f>Tabla19[[#This Row],[Importe]]-Tabla19[[#This Row],[Pagado]]</f>
        <v>0</v>
      </c>
      <c r="H3000" s="75" t="s">
        <v>10</v>
      </c>
    </row>
    <row r="3001" spans="1:8" x14ac:dyDescent="0.25">
      <c r="A3001" s="148">
        <v>44802</v>
      </c>
      <c r="B3001" s="149" t="s">
        <v>27776</v>
      </c>
      <c r="C3001" s="153" t="s">
        <v>31</v>
      </c>
      <c r="D3001" s="178">
        <v>60</v>
      </c>
      <c r="E3001" s="155">
        <v>44802</v>
      </c>
      <c r="F3001" s="178">
        <v>60</v>
      </c>
      <c r="G3001" s="179">
        <f>Tabla19[[#This Row],[Importe]]-Tabla19[[#This Row],[Pagado]]</f>
        <v>0</v>
      </c>
      <c r="H3001" s="153" t="s">
        <v>10</v>
      </c>
    </row>
    <row r="3002" spans="1:8" x14ac:dyDescent="0.25">
      <c r="A3002" s="73">
        <v>44802</v>
      </c>
      <c r="B3002" s="74" t="s">
        <v>27777</v>
      </c>
      <c r="C3002" s="75" t="s">
        <v>10678</v>
      </c>
      <c r="D3002" s="176">
        <v>4295.8</v>
      </c>
      <c r="E3002" s="151">
        <v>44802</v>
      </c>
      <c r="F3002" s="176">
        <v>4295.8</v>
      </c>
      <c r="G3002" s="177">
        <f>Tabla19[[#This Row],[Importe]]-Tabla19[[#This Row],[Pagado]]</f>
        <v>0</v>
      </c>
      <c r="H3002" s="75" t="s">
        <v>10</v>
      </c>
    </row>
    <row r="3003" spans="1:8" x14ac:dyDescent="0.25">
      <c r="A3003" s="148">
        <v>44802</v>
      </c>
      <c r="B3003" s="149" t="s">
        <v>27778</v>
      </c>
      <c r="C3003" s="153" t="s">
        <v>58</v>
      </c>
      <c r="D3003" s="178">
        <v>2062.8000000000002</v>
      </c>
      <c r="E3003" s="155">
        <v>44802</v>
      </c>
      <c r="F3003" s="178">
        <v>2062.8000000000002</v>
      </c>
      <c r="G3003" s="179">
        <f>Tabla19[[#This Row],[Importe]]-Tabla19[[#This Row],[Pagado]]</f>
        <v>0</v>
      </c>
      <c r="H3003" s="153" t="s">
        <v>10</v>
      </c>
    </row>
    <row r="3004" spans="1:8" x14ac:dyDescent="0.25">
      <c r="A3004" s="73">
        <v>44802</v>
      </c>
      <c r="B3004" s="74" t="s">
        <v>27779</v>
      </c>
      <c r="C3004" s="75" t="s">
        <v>31</v>
      </c>
      <c r="D3004" s="176">
        <v>330.6</v>
      </c>
      <c r="E3004" s="151">
        <v>44802</v>
      </c>
      <c r="F3004" s="176">
        <v>330.6</v>
      </c>
      <c r="G3004" s="177">
        <f>Tabla19[[#This Row],[Importe]]-Tabla19[[#This Row],[Pagado]]</f>
        <v>0</v>
      </c>
      <c r="H3004" s="75" t="s">
        <v>10</v>
      </c>
    </row>
    <row r="3005" spans="1:8" x14ac:dyDescent="0.25">
      <c r="A3005" s="148">
        <v>44802</v>
      </c>
      <c r="B3005" s="149" t="s">
        <v>27780</v>
      </c>
      <c r="C3005" s="153" t="s">
        <v>296</v>
      </c>
      <c r="D3005" s="178">
        <v>2838.4</v>
      </c>
      <c r="E3005" s="155">
        <v>44803</v>
      </c>
      <c r="F3005" s="178">
        <v>2838.4</v>
      </c>
      <c r="G3005" s="179">
        <f>Tabla19[[#This Row],[Importe]]-Tabla19[[#This Row],[Pagado]]</f>
        <v>0</v>
      </c>
      <c r="H3005" s="153" t="s">
        <v>10</v>
      </c>
    </row>
    <row r="3006" spans="1:8" x14ac:dyDescent="0.25">
      <c r="A3006" s="73">
        <v>44802</v>
      </c>
      <c r="B3006" s="74" t="s">
        <v>27781</v>
      </c>
      <c r="C3006" s="75" t="s">
        <v>27782</v>
      </c>
      <c r="D3006" s="176">
        <v>80000</v>
      </c>
      <c r="E3006" s="151">
        <v>44803</v>
      </c>
      <c r="F3006" s="176">
        <v>80000</v>
      </c>
      <c r="G3006" s="177">
        <f>Tabla19[[#This Row],[Importe]]-Tabla19[[#This Row],[Pagado]]</f>
        <v>0</v>
      </c>
      <c r="H3006" s="75" t="s">
        <v>10</v>
      </c>
    </row>
    <row r="3007" spans="1:8" x14ac:dyDescent="0.25">
      <c r="A3007" s="148">
        <v>44802</v>
      </c>
      <c r="B3007" s="149" t="s">
        <v>27783</v>
      </c>
      <c r="C3007" s="153" t="s">
        <v>69</v>
      </c>
      <c r="D3007" s="178">
        <v>1420.8</v>
      </c>
      <c r="E3007" s="155">
        <v>44803</v>
      </c>
      <c r="F3007" s="178">
        <v>1420.8</v>
      </c>
      <c r="G3007" s="179">
        <f>Tabla19[[#This Row],[Importe]]-Tabla19[[#This Row],[Pagado]]</f>
        <v>0</v>
      </c>
      <c r="H3007" s="153" t="s">
        <v>10</v>
      </c>
    </row>
    <row r="3008" spans="1:8" x14ac:dyDescent="0.25">
      <c r="A3008" s="73">
        <v>44802</v>
      </c>
      <c r="B3008" s="74" t="s">
        <v>27784</v>
      </c>
      <c r="C3008" s="75" t="s">
        <v>179</v>
      </c>
      <c r="D3008" s="176">
        <v>1909.2</v>
      </c>
      <c r="E3008" s="151">
        <v>44803</v>
      </c>
      <c r="F3008" s="176">
        <v>1909.2</v>
      </c>
      <c r="G3008" s="177">
        <f>Tabla19[[#This Row],[Importe]]-Tabla19[[#This Row],[Pagado]]</f>
        <v>0</v>
      </c>
      <c r="H3008" s="75" t="s">
        <v>10</v>
      </c>
    </row>
    <row r="3009" spans="1:8" x14ac:dyDescent="0.25">
      <c r="A3009" s="148">
        <v>44803</v>
      </c>
      <c r="B3009" s="149" t="s">
        <v>27785</v>
      </c>
      <c r="C3009" s="153" t="s">
        <v>887</v>
      </c>
      <c r="D3009" s="178">
        <v>15678</v>
      </c>
      <c r="E3009" s="155">
        <v>44803</v>
      </c>
      <c r="F3009" s="178">
        <v>15678</v>
      </c>
      <c r="G3009" s="179">
        <f>Tabla19[[#This Row],[Importe]]-Tabla19[[#This Row],[Pagado]]</f>
        <v>0</v>
      </c>
      <c r="H3009" s="153" t="s">
        <v>10</v>
      </c>
    </row>
    <row r="3010" spans="1:8" x14ac:dyDescent="0.25">
      <c r="A3010" s="73">
        <v>44803</v>
      </c>
      <c r="B3010" s="74" t="s">
        <v>27786</v>
      </c>
      <c r="C3010" s="75" t="s">
        <v>89</v>
      </c>
      <c r="D3010" s="176">
        <v>3801.6</v>
      </c>
      <c r="E3010" s="151">
        <v>44804</v>
      </c>
      <c r="F3010" s="176">
        <v>3801.6</v>
      </c>
      <c r="G3010" s="177">
        <f>Tabla19[[#This Row],[Importe]]-Tabla19[[#This Row],[Pagado]]</f>
        <v>0</v>
      </c>
      <c r="H3010" s="75" t="s">
        <v>10</v>
      </c>
    </row>
    <row r="3011" spans="1:8" x14ac:dyDescent="0.25">
      <c r="A3011" s="148">
        <v>44803</v>
      </c>
      <c r="B3011" s="149" t="s">
        <v>27787</v>
      </c>
      <c r="C3011" s="153" t="s">
        <v>348</v>
      </c>
      <c r="D3011" s="178">
        <v>4138.2</v>
      </c>
      <c r="E3011" s="155">
        <v>44803</v>
      </c>
      <c r="F3011" s="178">
        <v>4138.2</v>
      </c>
      <c r="G3011" s="179">
        <f>Tabla19[[#This Row],[Importe]]-Tabla19[[#This Row],[Pagado]]</f>
        <v>0</v>
      </c>
      <c r="H3011" s="153" t="s">
        <v>10</v>
      </c>
    </row>
    <row r="3012" spans="1:8" x14ac:dyDescent="0.25">
      <c r="A3012" s="73">
        <v>44803</v>
      </c>
      <c r="B3012" s="74" t="s">
        <v>27788</v>
      </c>
      <c r="C3012" s="75" t="s">
        <v>2151</v>
      </c>
      <c r="D3012" s="176">
        <v>11951.2</v>
      </c>
      <c r="E3012" s="151">
        <v>44803</v>
      </c>
      <c r="F3012" s="176">
        <v>11951.2</v>
      </c>
      <c r="G3012" s="177">
        <f>Tabla19[[#This Row],[Importe]]-Tabla19[[#This Row],[Pagado]]</f>
        <v>0</v>
      </c>
      <c r="H3012" s="75" t="s">
        <v>10</v>
      </c>
    </row>
    <row r="3013" spans="1:8" x14ac:dyDescent="0.25">
      <c r="A3013" s="148">
        <v>44803</v>
      </c>
      <c r="B3013" s="149" t="s">
        <v>27789</v>
      </c>
      <c r="C3013" s="153" t="s">
        <v>2151</v>
      </c>
      <c r="D3013" s="178">
        <v>490</v>
      </c>
      <c r="E3013" s="155">
        <v>44803</v>
      </c>
      <c r="F3013" s="178">
        <v>490</v>
      </c>
      <c r="G3013" s="179">
        <f>Tabla19[[#This Row],[Importe]]-Tabla19[[#This Row],[Pagado]]</f>
        <v>0</v>
      </c>
      <c r="H3013" s="153" t="s">
        <v>10</v>
      </c>
    </row>
    <row r="3014" spans="1:8" x14ac:dyDescent="0.25">
      <c r="A3014" s="73">
        <v>44803</v>
      </c>
      <c r="B3014" s="74" t="s">
        <v>27790</v>
      </c>
      <c r="C3014" s="75" t="s">
        <v>114</v>
      </c>
      <c r="D3014" s="176">
        <v>7302.8</v>
      </c>
      <c r="E3014" s="151">
        <v>44804</v>
      </c>
      <c r="F3014" s="176">
        <v>7302.8</v>
      </c>
      <c r="G3014" s="177">
        <f>Tabla19[[#This Row],[Importe]]-Tabla19[[#This Row],[Pagado]]</f>
        <v>0</v>
      </c>
      <c r="H3014" s="75" t="s">
        <v>10</v>
      </c>
    </row>
    <row r="3015" spans="1:8" x14ac:dyDescent="0.25">
      <c r="A3015" s="148">
        <v>44803</v>
      </c>
      <c r="B3015" s="149" t="s">
        <v>27791</v>
      </c>
      <c r="C3015" s="153" t="s">
        <v>22</v>
      </c>
      <c r="D3015" s="178">
        <v>45229.5</v>
      </c>
      <c r="E3015" s="155">
        <v>44804</v>
      </c>
      <c r="F3015" s="178">
        <v>45229.5</v>
      </c>
      <c r="G3015" s="179">
        <f>Tabla19[[#This Row],[Importe]]-Tabla19[[#This Row],[Pagado]]</f>
        <v>0</v>
      </c>
      <c r="H3015" s="153" t="s">
        <v>10</v>
      </c>
    </row>
    <row r="3016" spans="1:8" x14ac:dyDescent="0.25">
      <c r="A3016" s="73">
        <v>44803</v>
      </c>
      <c r="B3016" s="74" t="s">
        <v>27792</v>
      </c>
      <c r="C3016" s="75" t="s">
        <v>326</v>
      </c>
      <c r="D3016" s="176">
        <v>10926.5</v>
      </c>
      <c r="E3016" s="151">
        <v>44804</v>
      </c>
      <c r="F3016" s="176">
        <v>10926.5</v>
      </c>
      <c r="G3016" s="177">
        <f>Tabla19[[#This Row],[Importe]]-Tabla19[[#This Row],[Pagado]]</f>
        <v>0</v>
      </c>
      <c r="H3016" s="75" t="s">
        <v>10</v>
      </c>
    </row>
    <row r="3017" spans="1:8" x14ac:dyDescent="0.25">
      <c r="A3017" s="148">
        <v>44803</v>
      </c>
      <c r="B3017" s="149" t="s">
        <v>27793</v>
      </c>
      <c r="C3017" s="153" t="s">
        <v>109</v>
      </c>
      <c r="D3017" s="178">
        <v>5928.3</v>
      </c>
      <c r="E3017" s="155">
        <v>44804</v>
      </c>
      <c r="F3017" s="178">
        <v>5928.3</v>
      </c>
      <c r="G3017" s="179">
        <f>Tabla19[[#This Row],[Importe]]-Tabla19[[#This Row],[Pagado]]</f>
        <v>0</v>
      </c>
      <c r="H3017" s="153" t="s">
        <v>10</v>
      </c>
    </row>
    <row r="3018" spans="1:8" x14ac:dyDescent="0.25">
      <c r="A3018" s="73">
        <v>44803</v>
      </c>
      <c r="B3018" s="74" t="s">
        <v>27794</v>
      </c>
      <c r="C3018" s="75" t="s">
        <v>105</v>
      </c>
      <c r="D3018" s="176">
        <v>6237</v>
      </c>
      <c r="E3018" s="151">
        <v>44804</v>
      </c>
      <c r="F3018" s="176">
        <v>6237</v>
      </c>
      <c r="G3018" s="177">
        <f>Tabla19[[#This Row],[Importe]]-Tabla19[[#This Row],[Pagado]]</f>
        <v>0</v>
      </c>
      <c r="H3018" s="75" t="s">
        <v>10</v>
      </c>
    </row>
    <row r="3019" spans="1:8" x14ac:dyDescent="0.25">
      <c r="A3019" s="148">
        <v>44803</v>
      </c>
      <c r="B3019" s="149" t="s">
        <v>27795</v>
      </c>
      <c r="C3019" s="153" t="s">
        <v>93</v>
      </c>
      <c r="D3019" s="178">
        <v>5499.9</v>
      </c>
      <c r="E3019" s="155" t="s">
        <v>25549</v>
      </c>
      <c r="F3019" s="178">
        <v>5499.9</v>
      </c>
      <c r="G3019" s="179">
        <f>Tabla19[[#This Row],[Importe]]-Tabla19[[#This Row],[Pagado]]</f>
        <v>0</v>
      </c>
      <c r="H3019" s="153" t="s">
        <v>10</v>
      </c>
    </row>
    <row r="3020" spans="1:8" x14ac:dyDescent="0.25">
      <c r="A3020" s="73">
        <v>44803</v>
      </c>
      <c r="B3020" s="74" t="s">
        <v>27796</v>
      </c>
      <c r="C3020" s="75" t="s">
        <v>481</v>
      </c>
      <c r="D3020" s="176">
        <v>555</v>
      </c>
      <c r="E3020" s="151">
        <v>44803</v>
      </c>
      <c r="F3020" s="176">
        <v>555</v>
      </c>
      <c r="G3020" s="177">
        <f>Tabla19[[#This Row],[Importe]]-Tabla19[[#This Row],[Pagado]]</f>
        <v>0</v>
      </c>
      <c r="H3020" s="75" t="s">
        <v>10</v>
      </c>
    </row>
    <row r="3021" spans="1:8" x14ac:dyDescent="0.25">
      <c r="A3021" s="148">
        <v>44803</v>
      </c>
      <c r="B3021" s="149" t="s">
        <v>27797</v>
      </c>
      <c r="C3021" s="153" t="s">
        <v>64</v>
      </c>
      <c r="D3021" s="178">
        <v>5219.5</v>
      </c>
      <c r="E3021" s="155">
        <v>44804</v>
      </c>
      <c r="F3021" s="178">
        <v>5219.5</v>
      </c>
      <c r="G3021" s="179">
        <f>Tabla19[[#This Row],[Importe]]-Tabla19[[#This Row],[Pagado]]</f>
        <v>0</v>
      </c>
      <c r="H3021" s="153" t="s">
        <v>10</v>
      </c>
    </row>
    <row r="3022" spans="1:8" x14ac:dyDescent="0.25">
      <c r="A3022" s="73">
        <v>44803</v>
      </c>
      <c r="B3022" s="74" t="s">
        <v>27798</v>
      </c>
      <c r="C3022" s="75" t="s">
        <v>75</v>
      </c>
      <c r="D3022" s="176">
        <v>6571.2</v>
      </c>
      <c r="E3022" s="151">
        <v>44803</v>
      </c>
      <c r="F3022" s="176">
        <v>6571.2</v>
      </c>
      <c r="G3022" s="177">
        <f>Tabla19[[#This Row],[Importe]]-Tabla19[[#This Row],[Pagado]]</f>
        <v>0</v>
      </c>
      <c r="H3022" s="75" t="s">
        <v>10</v>
      </c>
    </row>
    <row r="3023" spans="1:8" x14ac:dyDescent="0.25">
      <c r="A3023" s="148">
        <v>44803</v>
      </c>
      <c r="B3023" s="149" t="s">
        <v>27799</v>
      </c>
      <c r="C3023" s="153" t="s">
        <v>473</v>
      </c>
      <c r="D3023" s="178">
        <v>6283.4</v>
      </c>
      <c r="E3023" s="155">
        <v>44803</v>
      </c>
      <c r="F3023" s="178">
        <v>6283.4</v>
      </c>
      <c r="G3023" s="179">
        <f>Tabla19[[#This Row],[Importe]]-Tabla19[[#This Row],[Pagado]]</f>
        <v>0</v>
      </c>
      <c r="H3023" s="153" t="s">
        <v>10</v>
      </c>
    </row>
    <row r="3024" spans="1:8" x14ac:dyDescent="0.25">
      <c r="A3024" s="73">
        <v>44803</v>
      </c>
      <c r="B3024" s="74" t="s">
        <v>27800</v>
      </c>
      <c r="C3024" s="75" t="s">
        <v>9</v>
      </c>
      <c r="D3024" s="176">
        <v>12918.6</v>
      </c>
      <c r="E3024" s="151">
        <v>44803</v>
      </c>
      <c r="F3024" s="176">
        <v>12918.6</v>
      </c>
      <c r="G3024" s="177">
        <f>Tabla19[[#This Row],[Importe]]-Tabla19[[#This Row],[Pagado]]</f>
        <v>0</v>
      </c>
      <c r="H3024" s="75" t="s">
        <v>10</v>
      </c>
    </row>
    <row r="3025" spans="1:8" x14ac:dyDescent="0.25">
      <c r="A3025" s="148">
        <v>44803</v>
      </c>
      <c r="B3025" s="149" t="s">
        <v>27801</v>
      </c>
      <c r="C3025" s="153" t="s">
        <v>51</v>
      </c>
      <c r="D3025" s="178">
        <v>637.5</v>
      </c>
      <c r="E3025" s="155">
        <v>44803</v>
      </c>
      <c r="F3025" s="178">
        <v>637.5</v>
      </c>
      <c r="G3025" s="179">
        <f>Tabla19[[#This Row],[Importe]]-Tabla19[[#This Row],[Pagado]]</f>
        <v>0</v>
      </c>
      <c r="H3025" s="153" t="s">
        <v>10</v>
      </c>
    </row>
    <row r="3026" spans="1:8" x14ac:dyDescent="0.25">
      <c r="A3026" s="73">
        <v>44803</v>
      </c>
      <c r="B3026" s="74" t="s">
        <v>27802</v>
      </c>
      <c r="C3026" s="75" t="s">
        <v>17556</v>
      </c>
      <c r="D3026" s="176">
        <v>4394.6000000000004</v>
      </c>
      <c r="E3026" s="151">
        <v>44803</v>
      </c>
      <c r="F3026" s="176">
        <v>4394.6000000000004</v>
      </c>
      <c r="G3026" s="177">
        <f>Tabla19[[#This Row],[Importe]]-Tabla19[[#This Row],[Pagado]]</f>
        <v>0</v>
      </c>
      <c r="H3026" s="75" t="s">
        <v>10</v>
      </c>
    </row>
    <row r="3027" spans="1:8" x14ac:dyDescent="0.25">
      <c r="A3027" s="148">
        <v>44803</v>
      </c>
      <c r="B3027" s="149" t="s">
        <v>27803</v>
      </c>
      <c r="C3027" s="153" t="s">
        <v>353</v>
      </c>
      <c r="D3027" s="178">
        <v>22746.799999999999</v>
      </c>
      <c r="E3027" s="155">
        <v>44803</v>
      </c>
      <c r="F3027" s="178">
        <v>22746.799999999999</v>
      </c>
      <c r="G3027" s="179">
        <f>Tabla19[[#This Row],[Importe]]-Tabla19[[#This Row],[Pagado]]</f>
        <v>0</v>
      </c>
      <c r="H3027" s="153" t="s">
        <v>10</v>
      </c>
    </row>
    <row r="3028" spans="1:8" x14ac:dyDescent="0.25">
      <c r="A3028" s="73">
        <v>44803</v>
      </c>
      <c r="B3028" s="74" t="s">
        <v>27804</v>
      </c>
      <c r="C3028" s="75" t="s">
        <v>56</v>
      </c>
      <c r="D3028" s="176">
        <v>9412.7999999999993</v>
      </c>
      <c r="E3028" s="151">
        <v>44803</v>
      </c>
      <c r="F3028" s="176">
        <v>9412.7999999999993</v>
      </c>
      <c r="G3028" s="177">
        <f>Tabla19[[#This Row],[Importe]]-Tabla19[[#This Row],[Pagado]]</f>
        <v>0</v>
      </c>
      <c r="H3028" s="75" t="s">
        <v>10</v>
      </c>
    </row>
    <row r="3029" spans="1:8" x14ac:dyDescent="0.25">
      <c r="A3029" s="148">
        <v>44803</v>
      </c>
      <c r="B3029" s="149" t="s">
        <v>27805</v>
      </c>
      <c r="C3029" s="153" t="s">
        <v>9827</v>
      </c>
      <c r="D3029" s="178">
        <v>1332</v>
      </c>
      <c r="E3029" s="155">
        <v>44803</v>
      </c>
      <c r="F3029" s="178">
        <v>1332</v>
      </c>
      <c r="G3029" s="179">
        <f>Tabla19[[#This Row],[Importe]]-Tabla19[[#This Row],[Pagado]]</f>
        <v>0</v>
      </c>
      <c r="H3029" s="153" t="s">
        <v>10</v>
      </c>
    </row>
    <row r="3030" spans="1:8" x14ac:dyDescent="0.25">
      <c r="A3030" s="73">
        <v>44803</v>
      </c>
      <c r="B3030" s="74" t="s">
        <v>27806</v>
      </c>
      <c r="C3030" s="75" t="s">
        <v>18</v>
      </c>
      <c r="D3030" s="176">
        <v>1807.5</v>
      </c>
      <c r="E3030" s="151">
        <v>44803</v>
      </c>
      <c r="F3030" s="176">
        <v>1807.5</v>
      </c>
      <c r="G3030" s="177">
        <f>Tabla19[[#This Row],[Importe]]-Tabla19[[#This Row],[Pagado]]</f>
        <v>0</v>
      </c>
      <c r="H3030" s="75" t="s">
        <v>10</v>
      </c>
    </row>
    <row r="3031" spans="1:8" x14ac:dyDescent="0.25">
      <c r="A3031" s="148">
        <v>44803</v>
      </c>
      <c r="B3031" s="149" t="s">
        <v>27807</v>
      </c>
      <c r="C3031" s="153" t="s">
        <v>22539</v>
      </c>
      <c r="D3031" s="178">
        <v>0</v>
      </c>
      <c r="E3031" s="158" t="s">
        <v>189</v>
      </c>
      <c r="F3031" s="178">
        <v>0</v>
      </c>
      <c r="G3031" s="179">
        <f>Tabla19[[#This Row],[Importe]]-Tabla19[[#This Row],[Pagado]]</f>
        <v>0</v>
      </c>
      <c r="H3031" s="159" t="s">
        <v>27808</v>
      </c>
    </row>
    <row r="3032" spans="1:8" x14ac:dyDescent="0.25">
      <c r="A3032" s="73">
        <v>44803</v>
      </c>
      <c r="B3032" s="74" t="s">
        <v>27809</v>
      </c>
      <c r="C3032" s="75" t="s">
        <v>466</v>
      </c>
      <c r="D3032" s="176">
        <v>25522.5</v>
      </c>
      <c r="E3032" s="151">
        <v>44803</v>
      </c>
      <c r="F3032" s="176">
        <v>25522.5</v>
      </c>
      <c r="G3032" s="177">
        <f>Tabla19[[#This Row],[Importe]]-Tabla19[[#This Row],[Pagado]]</f>
        <v>0</v>
      </c>
      <c r="H3032" s="75" t="s">
        <v>10</v>
      </c>
    </row>
    <row r="3033" spans="1:8" x14ac:dyDescent="0.25">
      <c r="A3033" s="148">
        <v>44803</v>
      </c>
      <c r="B3033" s="149" t="s">
        <v>27810</v>
      </c>
      <c r="C3033" s="153" t="s">
        <v>16</v>
      </c>
      <c r="D3033" s="178">
        <v>6332.4</v>
      </c>
      <c r="E3033" s="155">
        <v>44803</v>
      </c>
      <c r="F3033" s="178">
        <v>6332.4</v>
      </c>
      <c r="G3033" s="179">
        <f>Tabla19[[#This Row],[Importe]]-Tabla19[[#This Row],[Pagado]]</f>
        <v>0</v>
      </c>
      <c r="H3033" s="153" t="s">
        <v>10</v>
      </c>
    </row>
    <row r="3034" spans="1:8" x14ac:dyDescent="0.25">
      <c r="A3034" s="73">
        <v>44803</v>
      </c>
      <c r="B3034" s="74" t="s">
        <v>27811</v>
      </c>
      <c r="C3034" s="75" t="s">
        <v>107</v>
      </c>
      <c r="D3034" s="176">
        <v>16386.900000000001</v>
      </c>
      <c r="E3034" s="151">
        <v>44803</v>
      </c>
      <c r="F3034" s="176">
        <v>16386.900000000001</v>
      </c>
      <c r="G3034" s="177">
        <f>Tabla19[[#This Row],[Importe]]-Tabla19[[#This Row],[Pagado]]</f>
        <v>0</v>
      </c>
      <c r="H3034" s="75" t="s">
        <v>10</v>
      </c>
    </row>
    <row r="3035" spans="1:8" x14ac:dyDescent="0.25">
      <c r="A3035" s="148">
        <v>44803</v>
      </c>
      <c r="B3035" s="149" t="s">
        <v>27812</v>
      </c>
      <c r="C3035" s="153" t="s">
        <v>214</v>
      </c>
      <c r="D3035" s="178">
        <v>5472</v>
      </c>
      <c r="E3035" s="155">
        <v>44803</v>
      </c>
      <c r="F3035" s="178">
        <v>5472</v>
      </c>
      <c r="G3035" s="179">
        <f>Tabla19[[#This Row],[Importe]]-Tabla19[[#This Row],[Pagado]]</f>
        <v>0</v>
      </c>
      <c r="H3035" s="153" t="s">
        <v>10</v>
      </c>
    </row>
    <row r="3036" spans="1:8" x14ac:dyDescent="0.25">
      <c r="A3036" s="73">
        <v>44803</v>
      </c>
      <c r="B3036" s="74" t="s">
        <v>27813</v>
      </c>
      <c r="C3036" s="75" t="s">
        <v>53</v>
      </c>
      <c r="D3036" s="176">
        <v>3075</v>
      </c>
      <c r="E3036" s="151">
        <v>44803</v>
      </c>
      <c r="F3036" s="176">
        <v>3075</v>
      </c>
      <c r="G3036" s="177">
        <f>Tabla19[[#This Row],[Importe]]-Tabla19[[#This Row],[Pagado]]</f>
        <v>0</v>
      </c>
      <c r="H3036" s="75" t="s">
        <v>10</v>
      </c>
    </row>
    <row r="3037" spans="1:8" x14ac:dyDescent="0.25">
      <c r="A3037" s="148">
        <v>44803</v>
      </c>
      <c r="B3037" s="149" t="s">
        <v>27814</v>
      </c>
      <c r="C3037" s="153" t="s">
        <v>314</v>
      </c>
      <c r="D3037" s="178">
        <v>2264.4</v>
      </c>
      <c r="E3037" s="155">
        <v>44803</v>
      </c>
      <c r="F3037" s="178">
        <v>2264.4</v>
      </c>
      <c r="G3037" s="179">
        <f>Tabla19[[#This Row],[Importe]]-Tabla19[[#This Row],[Pagado]]</f>
        <v>0</v>
      </c>
      <c r="H3037" s="153" t="s">
        <v>10</v>
      </c>
    </row>
    <row r="3038" spans="1:8" x14ac:dyDescent="0.25">
      <c r="A3038" s="73">
        <v>44803</v>
      </c>
      <c r="B3038" s="74" t="s">
        <v>27815</v>
      </c>
      <c r="C3038" s="75" t="s">
        <v>87</v>
      </c>
      <c r="D3038" s="176">
        <v>2163.8000000000002</v>
      </c>
      <c r="E3038" s="151">
        <v>44803</v>
      </c>
      <c r="F3038" s="176">
        <v>2163.8000000000002</v>
      </c>
      <c r="G3038" s="177">
        <f>Tabla19[[#This Row],[Importe]]-Tabla19[[#This Row],[Pagado]]</f>
        <v>0</v>
      </c>
      <c r="H3038" s="75" t="s">
        <v>10</v>
      </c>
    </row>
    <row r="3039" spans="1:8" x14ac:dyDescent="0.25">
      <c r="A3039" s="148">
        <v>44803</v>
      </c>
      <c r="B3039" s="149" t="s">
        <v>27816</v>
      </c>
      <c r="C3039" s="153" t="s">
        <v>149</v>
      </c>
      <c r="D3039" s="178">
        <v>748.8</v>
      </c>
      <c r="E3039" s="155">
        <v>44803</v>
      </c>
      <c r="F3039" s="178">
        <v>748.8</v>
      </c>
      <c r="G3039" s="179">
        <f>Tabla19[[#This Row],[Importe]]-Tabla19[[#This Row],[Pagado]]</f>
        <v>0</v>
      </c>
      <c r="H3039" s="153" t="s">
        <v>10</v>
      </c>
    </row>
    <row r="3040" spans="1:8" x14ac:dyDescent="0.25">
      <c r="A3040" s="73">
        <v>44803</v>
      </c>
      <c r="B3040" s="74" t="s">
        <v>27817</v>
      </c>
      <c r="C3040" s="75" t="s">
        <v>289</v>
      </c>
      <c r="D3040" s="176">
        <v>11851.2</v>
      </c>
      <c r="E3040" s="151">
        <v>44803</v>
      </c>
      <c r="F3040" s="176">
        <v>11851.2</v>
      </c>
      <c r="G3040" s="177">
        <f>Tabla19[[#This Row],[Importe]]-Tabla19[[#This Row],[Pagado]]</f>
        <v>0</v>
      </c>
      <c r="H3040" s="75" t="s">
        <v>10</v>
      </c>
    </row>
    <row r="3041" spans="1:8" x14ac:dyDescent="0.25">
      <c r="A3041" s="148">
        <v>44803</v>
      </c>
      <c r="B3041" s="149" t="s">
        <v>27818</v>
      </c>
      <c r="C3041" s="153" t="s">
        <v>357</v>
      </c>
      <c r="D3041" s="178">
        <v>741</v>
      </c>
      <c r="E3041" s="155">
        <v>44803</v>
      </c>
      <c r="F3041" s="178">
        <v>741</v>
      </c>
      <c r="G3041" s="179">
        <f>Tabla19[[#This Row],[Importe]]-Tabla19[[#This Row],[Pagado]]</f>
        <v>0</v>
      </c>
      <c r="H3041" s="153" t="s">
        <v>10</v>
      </c>
    </row>
    <row r="3042" spans="1:8" x14ac:dyDescent="0.25">
      <c r="A3042" s="73">
        <v>44803</v>
      </c>
      <c r="B3042" s="74" t="s">
        <v>27819</v>
      </c>
      <c r="C3042" s="75" t="s">
        <v>339</v>
      </c>
      <c r="D3042" s="176">
        <v>1341.6</v>
      </c>
      <c r="E3042" s="151">
        <v>44803</v>
      </c>
      <c r="F3042" s="176">
        <v>1341.6</v>
      </c>
      <c r="G3042" s="177">
        <f>Tabla19[[#This Row],[Importe]]-Tabla19[[#This Row],[Pagado]]</f>
        <v>0</v>
      </c>
      <c r="H3042" s="75" t="s">
        <v>10</v>
      </c>
    </row>
    <row r="3043" spans="1:8" x14ac:dyDescent="0.25">
      <c r="A3043" s="148">
        <v>44803</v>
      </c>
      <c r="B3043" s="149" t="s">
        <v>27820</v>
      </c>
      <c r="C3043" s="153" t="s">
        <v>670</v>
      </c>
      <c r="D3043" s="178">
        <v>4715.8</v>
      </c>
      <c r="E3043" s="155">
        <v>44804</v>
      </c>
      <c r="F3043" s="178">
        <v>4715.8</v>
      </c>
      <c r="G3043" s="179">
        <f>Tabla19[[#This Row],[Importe]]-Tabla19[[#This Row],[Pagado]]</f>
        <v>0</v>
      </c>
      <c r="H3043" s="153" t="s">
        <v>10</v>
      </c>
    </row>
    <row r="3044" spans="1:8" x14ac:dyDescent="0.25">
      <c r="A3044" s="73">
        <v>44803</v>
      </c>
      <c r="B3044" s="74" t="s">
        <v>27821</v>
      </c>
      <c r="C3044" s="75" t="s">
        <v>9587</v>
      </c>
      <c r="D3044" s="176">
        <v>14880</v>
      </c>
      <c r="E3044" s="151">
        <v>44803</v>
      </c>
      <c r="F3044" s="176">
        <v>14880</v>
      </c>
      <c r="G3044" s="177">
        <f>Tabla19[[#This Row],[Importe]]-Tabla19[[#This Row],[Pagado]]</f>
        <v>0</v>
      </c>
      <c r="H3044" s="75" t="s">
        <v>10</v>
      </c>
    </row>
    <row r="3045" spans="1:8" x14ac:dyDescent="0.25">
      <c r="A3045" s="148">
        <v>44803</v>
      </c>
      <c r="B3045" s="149" t="s">
        <v>27822</v>
      </c>
      <c r="C3045" s="153" t="s">
        <v>146</v>
      </c>
      <c r="D3045" s="178">
        <v>4968.6000000000004</v>
      </c>
      <c r="E3045" s="155">
        <v>44803</v>
      </c>
      <c r="F3045" s="178">
        <v>4968.6000000000004</v>
      </c>
      <c r="G3045" s="179">
        <f>Tabla19[[#This Row],[Importe]]-Tabla19[[#This Row],[Pagado]]</f>
        <v>0</v>
      </c>
      <c r="H3045" s="153" t="s">
        <v>10</v>
      </c>
    </row>
    <row r="3046" spans="1:8" x14ac:dyDescent="0.25">
      <c r="A3046" s="73">
        <v>44803</v>
      </c>
      <c r="B3046" s="74" t="s">
        <v>27823</v>
      </c>
      <c r="C3046" s="75" t="s">
        <v>79</v>
      </c>
      <c r="D3046" s="176">
        <v>16413.8</v>
      </c>
      <c r="E3046" s="151">
        <v>44803</v>
      </c>
      <c r="F3046" s="176">
        <v>16413.8</v>
      </c>
      <c r="G3046" s="177">
        <f>Tabla19[[#This Row],[Importe]]-Tabla19[[#This Row],[Pagado]]</f>
        <v>0</v>
      </c>
      <c r="H3046" s="75" t="s">
        <v>10</v>
      </c>
    </row>
    <row r="3047" spans="1:8" x14ac:dyDescent="0.25">
      <c r="A3047" s="148">
        <v>44803</v>
      </c>
      <c r="B3047" s="149" t="s">
        <v>27824</v>
      </c>
      <c r="C3047" s="153" t="s">
        <v>45</v>
      </c>
      <c r="D3047" s="178">
        <v>11995.2</v>
      </c>
      <c r="E3047" s="155">
        <v>44803</v>
      </c>
      <c r="F3047" s="178">
        <v>11995.2</v>
      </c>
      <c r="G3047" s="179">
        <f>Tabla19[[#This Row],[Importe]]-Tabla19[[#This Row],[Pagado]]</f>
        <v>0</v>
      </c>
      <c r="H3047" s="153" t="s">
        <v>10</v>
      </c>
    </row>
    <row r="3048" spans="1:8" x14ac:dyDescent="0.25">
      <c r="A3048" s="73">
        <v>44803</v>
      </c>
      <c r="B3048" s="74" t="s">
        <v>27825</v>
      </c>
      <c r="C3048" s="75" t="s">
        <v>31</v>
      </c>
      <c r="D3048" s="176">
        <v>4192</v>
      </c>
      <c r="E3048" s="151">
        <v>44803</v>
      </c>
      <c r="F3048" s="176">
        <v>4192</v>
      </c>
      <c r="G3048" s="177">
        <f>Tabla19[[#This Row],[Importe]]-Tabla19[[#This Row],[Pagado]]</f>
        <v>0</v>
      </c>
      <c r="H3048" s="75" t="s">
        <v>10</v>
      </c>
    </row>
    <row r="3049" spans="1:8" x14ac:dyDescent="0.25">
      <c r="A3049" s="148">
        <v>44803</v>
      </c>
      <c r="B3049" s="149" t="s">
        <v>27826</v>
      </c>
      <c r="C3049" s="153" t="s">
        <v>214</v>
      </c>
      <c r="D3049" s="178">
        <v>1576.2</v>
      </c>
      <c r="E3049" s="155">
        <v>44803</v>
      </c>
      <c r="F3049" s="178">
        <v>1576.2</v>
      </c>
      <c r="G3049" s="179">
        <f>Tabla19[[#This Row],[Importe]]-Tabla19[[#This Row],[Pagado]]</f>
        <v>0</v>
      </c>
      <c r="H3049" s="153" t="s">
        <v>10</v>
      </c>
    </row>
    <row r="3050" spans="1:8" x14ac:dyDescent="0.25">
      <c r="A3050" s="73">
        <v>44803</v>
      </c>
      <c r="B3050" s="74" t="s">
        <v>27827</v>
      </c>
      <c r="C3050" s="75" t="s">
        <v>83</v>
      </c>
      <c r="D3050" s="176">
        <v>8505.7999999999993</v>
      </c>
      <c r="E3050" s="151">
        <v>44803</v>
      </c>
      <c r="F3050" s="176">
        <v>8505.7999999999993</v>
      </c>
      <c r="G3050" s="177">
        <f>Tabla19[[#This Row],[Importe]]-Tabla19[[#This Row],[Pagado]]</f>
        <v>0</v>
      </c>
      <c r="H3050" s="75" t="s">
        <v>10</v>
      </c>
    </row>
    <row r="3051" spans="1:8" x14ac:dyDescent="0.25">
      <c r="A3051" s="148">
        <v>44803</v>
      </c>
      <c r="B3051" s="149" t="s">
        <v>27828</v>
      </c>
      <c r="C3051" s="153" t="s">
        <v>348</v>
      </c>
      <c r="D3051" s="178">
        <v>3555</v>
      </c>
      <c r="E3051" s="155">
        <v>44803</v>
      </c>
      <c r="F3051" s="178">
        <v>3555</v>
      </c>
      <c r="G3051" s="179">
        <f>Tabla19[[#This Row],[Importe]]-Tabla19[[#This Row],[Pagado]]</f>
        <v>0</v>
      </c>
      <c r="H3051" s="153" t="s">
        <v>10</v>
      </c>
    </row>
    <row r="3052" spans="1:8" x14ac:dyDescent="0.25">
      <c r="A3052" s="73">
        <v>44803</v>
      </c>
      <c r="B3052" s="74" t="s">
        <v>27829</v>
      </c>
      <c r="C3052" s="75" t="s">
        <v>127</v>
      </c>
      <c r="D3052" s="176">
        <v>4610.2</v>
      </c>
      <c r="E3052" s="151">
        <v>44803</v>
      </c>
      <c r="F3052" s="176">
        <v>4610.2</v>
      </c>
      <c r="G3052" s="177">
        <f>Tabla19[[#This Row],[Importe]]-Tabla19[[#This Row],[Pagado]]</f>
        <v>0</v>
      </c>
      <c r="H3052" s="75" t="s">
        <v>10</v>
      </c>
    </row>
    <row r="3053" spans="1:8" x14ac:dyDescent="0.25">
      <c r="A3053" s="148">
        <v>44803</v>
      </c>
      <c r="B3053" s="149" t="s">
        <v>27830</v>
      </c>
      <c r="C3053" s="153" t="s">
        <v>140</v>
      </c>
      <c r="D3053" s="178">
        <v>4262.3999999999996</v>
      </c>
      <c r="E3053" s="155">
        <v>44803</v>
      </c>
      <c r="F3053" s="178">
        <v>4262.3999999999996</v>
      </c>
      <c r="G3053" s="179">
        <f>Tabla19[[#This Row],[Importe]]-Tabla19[[#This Row],[Pagado]]</f>
        <v>0</v>
      </c>
      <c r="H3053" s="153" t="s">
        <v>10</v>
      </c>
    </row>
    <row r="3054" spans="1:8" x14ac:dyDescent="0.25">
      <c r="A3054" s="73">
        <v>44803</v>
      </c>
      <c r="B3054" s="74" t="s">
        <v>27831</v>
      </c>
      <c r="C3054" s="75" t="s">
        <v>226</v>
      </c>
      <c r="D3054" s="176">
        <v>11403</v>
      </c>
      <c r="E3054" s="151">
        <v>44803</v>
      </c>
      <c r="F3054" s="176">
        <v>11403</v>
      </c>
      <c r="G3054" s="177">
        <f>Tabla19[[#This Row],[Importe]]-Tabla19[[#This Row],[Pagado]]</f>
        <v>0</v>
      </c>
      <c r="H3054" s="75" t="s">
        <v>10</v>
      </c>
    </row>
    <row r="3055" spans="1:8" x14ac:dyDescent="0.25">
      <c r="A3055" s="148">
        <v>44803</v>
      </c>
      <c r="B3055" s="149" t="s">
        <v>27832</v>
      </c>
      <c r="C3055" s="153" t="s">
        <v>698</v>
      </c>
      <c r="D3055" s="178">
        <v>3336.1</v>
      </c>
      <c r="E3055" s="155">
        <v>44803</v>
      </c>
      <c r="F3055" s="178">
        <v>3336.1</v>
      </c>
      <c r="G3055" s="179">
        <f>Tabla19[[#This Row],[Importe]]-Tabla19[[#This Row],[Pagado]]</f>
        <v>0</v>
      </c>
      <c r="H3055" s="153" t="s">
        <v>10</v>
      </c>
    </row>
    <row r="3056" spans="1:8" x14ac:dyDescent="0.25">
      <c r="A3056" s="73">
        <v>44803</v>
      </c>
      <c r="B3056" s="74" t="s">
        <v>27833</v>
      </c>
      <c r="C3056" s="75" t="s">
        <v>24</v>
      </c>
      <c r="D3056" s="176">
        <v>5330.8</v>
      </c>
      <c r="E3056" s="151">
        <v>44803</v>
      </c>
      <c r="F3056" s="176">
        <v>5330.8</v>
      </c>
      <c r="G3056" s="177">
        <f>Tabla19[[#This Row],[Importe]]-Tabla19[[#This Row],[Pagado]]</f>
        <v>0</v>
      </c>
      <c r="H3056" s="75" t="s">
        <v>10</v>
      </c>
    </row>
    <row r="3057" spans="1:8" x14ac:dyDescent="0.25">
      <c r="A3057" s="148">
        <v>44803</v>
      </c>
      <c r="B3057" s="149" t="s">
        <v>27834</v>
      </c>
      <c r="C3057" s="153" t="s">
        <v>31</v>
      </c>
      <c r="D3057" s="178">
        <v>2685.6</v>
      </c>
      <c r="E3057" s="155">
        <v>44803</v>
      </c>
      <c r="F3057" s="178">
        <v>2685.6</v>
      </c>
      <c r="G3057" s="179">
        <f>Tabla19[[#This Row],[Importe]]-Tabla19[[#This Row],[Pagado]]</f>
        <v>0</v>
      </c>
      <c r="H3057" s="153" t="s">
        <v>10</v>
      </c>
    </row>
    <row r="3058" spans="1:8" x14ac:dyDescent="0.25">
      <c r="A3058" s="73">
        <v>44803</v>
      </c>
      <c r="B3058" s="74" t="s">
        <v>27835</v>
      </c>
      <c r="C3058" s="75" t="s">
        <v>191</v>
      </c>
      <c r="D3058" s="176">
        <v>2190</v>
      </c>
      <c r="E3058" s="151">
        <v>44803</v>
      </c>
      <c r="F3058" s="176">
        <v>2190</v>
      </c>
      <c r="G3058" s="177">
        <f>Tabla19[[#This Row],[Importe]]-Tabla19[[#This Row],[Pagado]]</f>
        <v>0</v>
      </c>
      <c r="H3058" s="75" t="s">
        <v>10</v>
      </c>
    </row>
    <row r="3059" spans="1:8" ht="31.5" x14ac:dyDescent="0.25">
      <c r="A3059" s="148">
        <v>44803</v>
      </c>
      <c r="B3059" s="149" t="s">
        <v>27836</v>
      </c>
      <c r="C3059" s="160" t="s">
        <v>17856</v>
      </c>
      <c r="D3059" s="178">
        <v>0</v>
      </c>
      <c r="E3059" s="158" t="s">
        <v>189</v>
      </c>
      <c r="F3059" s="178">
        <v>0</v>
      </c>
      <c r="G3059" s="179">
        <f>Tabla19[[#This Row],[Importe]]-Tabla19[[#This Row],[Pagado]]</f>
        <v>0</v>
      </c>
      <c r="H3059" s="159" t="s">
        <v>27837</v>
      </c>
    </row>
    <row r="3060" spans="1:8" x14ac:dyDescent="0.25">
      <c r="A3060" s="73">
        <v>44803</v>
      </c>
      <c r="B3060" s="74" t="s">
        <v>27838</v>
      </c>
      <c r="C3060" s="75" t="s">
        <v>24284</v>
      </c>
      <c r="D3060" s="176">
        <v>1258</v>
      </c>
      <c r="E3060" s="151">
        <v>44803</v>
      </c>
      <c r="F3060" s="176">
        <v>1258</v>
      </c>
      <c r="G3060" s="177">
        <f>Tabla19[[#This Row],[Importe]]-Tabla19[[#This Row],[Pagado]]</f>
        <v>0</v>
      </c>
      <c r="H3060" s="75" t="s">
        <v>10</v>
      </c>
    </row>
    <row r="3061" spans="1:8" x14ac:dyDescent="0.25">
      <c r="A3061" s="148">
        <v>44803</v>
      </c>
      <c r="B3061" s="149" t="s">
        <v>27839</v>
      </c>
      <c r="C3061" s="153" t="s">
        <v>396</v>
      </c>
      <c r="D3061" s="178">
        <v>19197.7</v>
      </c>
      <c r="E3061" s="155">
        <v>44805</v>
      </c>
      <c r="F3061" s="178">
        <v>19197.7</v>
      </c>
      <c r="G3061" s="179">
        <f>Tabla19[[#This Row],[Importe]]-Tabla19[[#This Row],[Pagado]]</f>
        <v>0</v>
      </c>
      <c r="H3061" s="153" t="s">
        <v>10</v>
      </c>
    </row>
    <row r="3062" spans="1:8" x14ac:dyDescent="0.25">
      <c r="A3062" s="73">
        <v>44803</v>
      </c>
      <c r="B3062" s="74" t="s">
        <v>27840</v>
      </c>
      <c r="C3062" s="75" t="s">
        <v>233</v>
      </c>
      <c r="D3062" s="176">
        <v>4669</v>
      </c>
      <c r="E3062" s="151">
        <v>44803</v>
      </c>
      <c r="F3062" s="176">
        <v>4669</v>
      </c>
      <c r="G3062" s="177">
        <f>Tabla19[[#This Row],[Importe]]-Tabla19[[#This Row],[Pagado]]</f>
        <v>0</v>
      </c>
      <c r="H3062" s="75" t="s">
        <v>10</v>
      </c>
    </row>
    <row r="3063" spans="1:8" x14ac:dyDescent="0.25">
      <c r="A3063" s="148">
        <v>44803</v>
      </c>
      <c r="B3063" s="149" t="s">
        <v>27841</v>
      </c>
      <c r="C3063" s="153" t="s">
        <v>1003</v>
      </c>
      <c r="D3063" s="178">
        <v>3551.8</v>
      </c>
      <c r="E3063" s="155" t="s">
        <v>25549</v>
      </c>
      <c r="F3063" s="178">
        <v>3551.8</v>
      </c>
      <c r="G3063" s="179">
        <f>Tabla19[[#This Row],[Importe]]-Tabla19[[#This Row],[Pagado]]</f>
        <v>0</v>
      </c>
      <c r="H3063" s="153" t="s">
        <v>10</v>
      </c>
    </row>
    <row r="3064" spans="1:8" x14ac:dyDescent="0.25">
      <c r="A3064" s="73">
        <v>44803</v>
      </c>
      <c r="B3064" s="74" t="s">
        <v>27842</v>
      </c>
      <c r="C3064" s="75" t="s">
        <v>62</v>
      </c>
      <c r="D3064" s="176">
        <v>4262.3999999999996</v>
      </c>
      <c r="E3064" s="151">
        <v>44803</v>
      </c>
      <c r="F3064" s="176">
        <v>4262.3999999999996</v>
      </c>
      <c r="G3064" s="177">
        <f>Tabla19[[#This Row],[Importe]]-Tabla19[[#This Row],[Pagado]]</f>
        <v>0</v>
      </c>
      <c r="H3064" s="75" t="s">
        <v>10</v>
      </c>
    </row>
    <row r="3065" spans="1:8" x14ac:dyDescent="0.25">
      <c r="A3065" s="148">
        <v>44803</v>
      </c>
      <c r="B3065" s="149" t="s">
        <v>27843</v>
      </c>
      <c r="C3065" s="153" t="s">
        <v>654</v>
      </c>
      <c r="D3065" s="178">
        <v>6904</v>
      </c>
      <c r="E3065" s="155">
        <v>44803</v>
      </c>
      <c r="F3065" s="178">
        <v>6904</v>
      </c>
      <c r="G3065" s="179">
        <f>Tabla19[[#This Row],[Importe]]-Tabla19[[#This Row],[Pagado]]</f>
        <v>0</v>
      </c>
      <c r="H3065" s="153" t="s">
        <v>10</v>
      </c>
    </row>
    <row r="3066" spans="1:8" x14ac:dyDescent="0.25">
      <c r="A3066" s="73">
        <v>44803</v>
      </c>
      <c r="B3066" s="74" t="s">
        <v>27844</v>
      </c>
      <c r="C3066" s="75" t="s">
        <v>167</v>
      </c>
      <c r="D3066" s="176">
        <v>52487.1</v>
      </c>
      <c r="E3066" s="151">
        <v>44803</v>
      </c>
      <c r="F3066" s="176">
        <v>52487.1</v>
      </c>
      <c r="G3066" s="177">
        <f>Tabla19[[#This Row],[Importe]]-Tabla19[[#This Row],[Pagado]]</f>
        <v>0</v>
      </c>
      <c r="H3066" s="75" t="s">
        <v>10</v>
      </c>
    </row>
    <row r="3067" spans="1:8" x14ac:dyDescent="0.25">
      <c r="A3067" s="148">
        <v>44803</v>
      </c>
      <c r="B3067" s="149" t="s">
        <v>27845</v>
      </c>
      <c r="C3067" s="153" t="s">
        <v>157</v>
      </c>
      <c r="D3067" s="178">
        <v>5615.4</v>
      </c>
      <c r="E3067" s="155">
        <v>44804</v>
      </c>
      <c r="F3067" s="178">
        <v>5615.4</v>
      </c>
      <c r="G3067" s="179">
        <f>Tabla19[[#This Row],[Importe]]-Tabla19[[#This Row],[Pagado]]</f>
        <v>0</v>
      </c>
      <c r="H3067" s="153" t="s">
        <v>10</v>
      </c>
    </row>
    <row r="3068" spans="1:8" x14ac:dyDescent="0.25">
      <c r="A3068" s="73">
        <v>44803</v>
      </c>
      <c r="B3068" s="74" t="s">
        <v>27846</v>
      </c>
      <c r="C3068" s="75" t="s">
        <v>518</v>
      </c>
      <c r="D3068" s="176">
        <v>1533.6</v>
      </c>
      <c r="E3068" s="151">
        <v>44804</v>
      </c>
      <c r="F3068" s="176">
        <v>1533.6</v>
      </c>
      <c r="G3068" s="177">
        <f>Tabla19[[#This Row],[Importe]]-Tabla19[[#This Row],[Pagado]]</f>
        <v>0</v>
      </c>
      <c r="H3068" s="75" t="s">
        <v>10</v>
      </c>
    </row>
    <row r="3069" spans="1:8" x14ac:dyDescent="0.25">
      <c r="A3069" s="148">
        <v>44803</v>
      </c>
      <c r="B3069" s="149" t="s">
        <v>27847</v>
      </c>
      <c r="C3069" s="153" t="s">
        <v>159</v>
      </c>
      <c r="D3069" s="178">
        <v>2143.8000000000002</v>
      </c>
      <c r="E3069" s="155">
        <v>44804</v>
      </c>
      <c r="F3069" s="178">
        <v>2143.8000000000002</v>
      </c>
      <c r="G3069" s="179">
        <f>Tabla19[[#This Row],[Importe]]-Tabla19[[#This Row],[Pagado]]</f>
        <v>0</v>
      </c>
      <c r="H3069" s="153" t="s">
        <v>10</v>
      </c>
    </row>
    <row r="3070" spans="1:8" x14ac:dyDescent="0.25">
      <c r="A3070" s="73">
        <v>44803</v>
      </c>
      <c r="B3070" s="74" t="s">
        <v>27848</v>
      </c>
      <c r="C3070" s="75" t="s">
        <v>10840</v>
      </c>
      <c r="D3070" s="176">
        <v>44353.2</v>
      </c>
      <c r="E3070" s="151" t="s">
        <v>4813</v>
      </c>
      <c r="F3070" s="176">
        <v>36353</v>
      </c>
      <c r="G3070" s="177">
        <f>Tabla19[[#This Row],[Importe]]-Tabla19[[#This Row],[Pagado]]</f>
        <v>8000.1999999999971</v>
      </c>
      <c r="H3070" s="75" t="s">
        <v>1695</v>
      </c>
    </row>
    <row r="3071" spans="1:8" x14ac:dyDescent="0.25">
      <c r="A3071" s="148">
        <v>44803</v>
      </c>
      <c r="B3071" s="149" t="s">
        <v>27849</v>
      </c>
      <c r="C3071" s="153" t="s">
        <v>10678</v>
      </c>
      <c r="D3071" s="178">
        <v>2323.9</v>
      </c>
      <c r="E3071" s="155">
        <v>44803</v>
      </c>
      <c r="F3071" s="178">
        <v>2323.9</v>
      </c>
      <c r="G3071" s="179">
        <f>Tabla19[[#This Row],[Importe]]-Tabla19[[#This Row],[Pagado]]</f>
        <v>0</v>
      </c>
      <c r="H3071" s="153" t="s">
        <v>10</v>
      </c>
    </row>
    <row r="3072" spans="1:8" x14ac:dyDescent="0.25">
      <c r="A3072" s="73">
        <v>44803</v>
      </c>
      <c r="B3072" s="74" t="s">
        <v>27850</v>
      </c>
      <c r="C3072" s="75" t="s">
        <v>475</v>
      </c>
      <c r="D3072" s="176">
        <v>9924.9</v>
      </c>
      <c r="E3072" s="151">
        <v>44803</v>
      </c>
      <c r="F3072" s="176">
        <v>9924.9</v>
      </c>
      <c r="G3072" s="177">
        <f>Tabla19[[#This Row],[Importe]]-Tabla19[[#This Row],[Pagado]]</f>
        <v>0</v>
      </c>
      <c r="H3072" s="75" t="s">
        <v>10</v>
      </c>
    </row>
    <row r="3073" spans="1:8" x14ac:dyDescent="0.25">
      <c r="A3073" s="148">
        <v>44803</v>
      </c>
      <c r="B3073" s="149" t="s">
        <v>27851</v>
      </c>
      <c r="C3073" s="153" t="s">
        <v>14</v>
      </c>
      <c r="D3073" s="178">
        <v>18456.2</v>
      </c>
      <c r="E3073" s="155">
        <v>44803</v>
      </c>
      <c r="F3073" s="178">
        <v>18456.2</v>
      </c>
      <c r="G3073" s="179">
        <f>Tabla19[[#This Row],[Importe]]-Tabla19[[#This Row],[Pagado]]</f>
        <v>0</v>
      </c>
      <c r="H3073" s="153" t="s">
        <v>10</v>
      </c>
    </row>
    <row r="3074" spans="1:8" x14ac:dyDescent="0.25">
      <c r="A3074" s="73">
        <v>44803</v>
      </c>
      <c r="B3074" s="74" t="s">
        <v>27852</v>
      </c>
      <c r="C3074" s="75" t="s">
        <v>14</v>
      </c>
      <c r="D3074" s="176">
        <v>3460.6</v>
      </c>
      <c r="E3074" s="151">
        <v>44803</v>
      </c>
      <c r="F3074" s="176">
        <v>3460.6</v>
      </c>
      <c r="G3074" s="177">
        <f>Tabla19[[#This Row],[Importe]]-Tabla19[[#This Row],[Pagado]]</f>
        <v>0</v>
      </c>
      <c r="H3074" s="75" t="s">
        <v>10</v>
      </c>
    </row>
    <row r="3075" spans="1:8" x14ac:dyDescent="0.25">
      <c r="A3075" s="148">
        <v>44803</v>
      </c>
      <c r="B3075" s="149" t="s">
        <v>27853</v>
      </c>
      <c r="C3075" s="153" t="s">
        <v>31</v>
      </c>
      <c r="D3075" s="178">
        <v>748.5</v>
      </c>
      <c r="E3075" s="155">
        <v>44803</v>
      </c>
      <c r="F3075" s="178">
        <v>748.5</v>
      </c>
      <c r="G3075" s="179">
        <f>Tabla19[[#This Row],[Importe]]-Tabla19[[#This Row],[Pagado]]</f>
        <v>0</v>
      </c>
      <c r="H3075" s="153" t="s">
        <v>10</v>
      </c>
    </row>
    <row r="3076" spans="1:8" x14ac:dyDescent="0.25">
      <c r="A3076" s="73">
        <v>44803</v>
      </c>
      <c r="B3076" s="74" t="s">
        <v>27854</v>
      </c>
      <c r="C3076" s="75" t="s">
        <v>419</v>
      </c>
      <c r="D3076" s="176">
        <v>10016.5</v>
      </c>
      <c r="E3076" s="151">
        <v>44803</v>
      </c>
      <c r="F3076" s="176">
        <v>10016.5</v>
      </c>
      <c r="G3076" s="177">
        <f>Tabla19[[#This Row],[Importe]]-Tabla19[[#This Row],[Pagado]]</f>
        <v>0</v>
      </c>
      <c r="H3076" s="75" t="s">
        <v>10</v>
      </c>
    </row>
    <row r="3077" spans="1:8" x14ac:dyDescent="0.25">
      <c r="A3077" s="148">
        <v>44803</v>
      </c>
      <c r="B3077" s="149" t="s">
        <v>27855</v>
      </c>
      <c r="C3077" s="153" t="s">
        <v>419</v>
      </c>
      <c r="D3077" s="178">
        <v>240</v>
      </c>
      <c r="E3077" s="155">
        <v>44803</v>
      </c>
      <c r="F3077" s="178">
        <v>240</v>
      </c>
      <c r="G3077" s="179">
        <f>Tabla19[[#This Row],[Importe]]-Tabla19[[#This Row],[Pagado]]</f>
        <v>0</v>
      </c>
      <c r="H3077" s="153" t="s">
        <v>10</v>
      </c>
    </row>
    <row r="3078" spans="1:8" x14ac:dyDescent="0.25">
      <c r="A3078" s="73">
        <v>44803</v>
      </c>
      <c r="B3078" s="74" t="s">
        <v>27856</v>
      </c>
      <c r="C3078" s="75" t="s">
        <v>419</v>
      </c>
      <c r="D3078" s="176">
        <v>160</v>
      </c>
      <c r="E3078" s="151">
        <v>44803</v>
      </c>
      <c r="F3078" s="176">
        <v>160</v>
      </c>
      <c r="G3078" s="177">
        <f>Tabla19[[#This Row],[Importe]]-Tabla19[[#This Row],[Pagado]]</f>
        <v>0</v>
      </c>
      <c r="H3078" s="75" t="s">
        <v>10</v>
      </c>
    </row>
    <row r="3079" spans="1:8" x14ac:dyDescent="0.25">
      <c r="A3079" s="148">
        <v>44803</v>
      </c>
      <c r="B3079" s="149" t="s">
        <v>27857</v>
      </c>
      <c r="C3079" s="153" t="s">
        <v>31</v>
      </c>
      <c r="D3079" s="178">
        <v>584.6</v>
      </c>
      <c r="E3079" s="155">
        <v>44803</v>
      </c>
      <c r="F3079" s="178">
        <v>584.6</v>
      </c>
      <c r="G3079" s="179">
        <f>Tabla19[[#This Row],[Importe]]-Tabla19[[#This Row],[Pagado]]</f>
        <v>0</v>
      </c>
      <c r="H3079" s="153" t="s">
        <v>10</v>
      </c>
    </row>
    <row r="3080" spans="1:8" x14ac:dyDescent="0.25">
      <c r="A3080" s="73">
        <v>44803</v>
      </c>
      <c r="B3080" s="74" t="s">
        <v>27858</v>
      </c>
      <c r="C3080" s="75" t="s">
        <v>520</v>
      </c>
      <c r="D3080" s="176">
        <v>11179.6</v>
      </c>
      <c r="E3080" s="151">
        <v>44804</v>
      </c>
      <c r="F3080" s="176">
        <v>11179.6</v>
      </c>
      <c r="G3080" s="177">
        <f>Tabla19[[#This Row],[Importe]]-Tabla19[[#This Row],[Pagado]]</f>
        <v>0</v>
      </c>
      <c r="H3080" s="75" t="s">
        <v>10</v>
      </c>
    </row>
    <row r="3081" spans="1:8" x14ac:dyDescent="0.25">
      <c r="A3081" s="148">
        <v>44803</v>
      </c>
      <c r="B3081" s="149" t="s">
        <v>27859</v>
      </c>
      <c r="C3081" s="153" t="s">
        <v>319</v>
      </c>
      <c r="D3081" s="178">
        <v>2397.6</v>
      </c>
      <c r="E3081" s="155">
        <v>44804</v>
      </c>
      <c r="F3081" s="178">
        <v>2397.6</v>
      </c>
      <c r="G3081" s="179">
        <f>Tabla19[[#This Row],[Importe]]-Tabla19[[#This Row],[Pagado]]</f>
        <v>0</v>
      </c>
      <c r="H3081" s="153" t="s">
        <v>10</v>
      </c>
    </row>
    <row r="3082" spans="1:8" x14ac:dyDescent="0.25">
      <c r="A3082" s="73">
        <v>44803</v>
      </c>
      <c r="B3082" s="74" t="s">
        <v>27860</v>
      </c>
      <c r="C3082" s="75" t="s">
        <v>151</v>
      </c>
      <c r="D3082" s="176">
        <v>12802.4</v>
      </c>
      <c r="E3082" s="151">
        <v>44804</v>
      </c>
      <c r="F3082" s="176">
        <v>12802.4</v>
      </c>
      <c r="G3082" s="177">
        <f>Tabla19[[#This Row],[Importe]]-Tabla19[[#This Row],[Pagado]]</f>
        <v>0</v>
      </c>
      <c r="H3082" s="75" t="s">
        <v>10</v>
      </c>
    </row>
    <row r="3083" spans="1:8" x14ac:dyDescent="0.25">
      <c r="A3083" s="148">
        <v>44803</v>
      </c>
      <c r="B3083" s="149" t="s">
        <v>27861</v>
      </c>
      <c r="C3083" s="153" t="s">
        <v>67</v>
      </c>
      <c r="D3083" s="178">
        <v>1820.4</v>
      </c>
      <c r="E3083" s="155">
        <v>44803</v>
      </c>
      <c r="F3083" s="178">
        <v>1820.4</v>
      </c>
      <c r="G3083" s="179">
        <f>Tabla19[[#This Row],[Importe]]-Tabla19[[#This Row],[Pagado]]</f>
        <v>0</v>
      </c>
      <c r="H3083" s="153" t="s">
        <v>10</v>
      </c>
    </row>
    <row r="3084" spans="1:8" x14ac:dyDescent="0.25">
      <c r="A3084" s="73">
        <v>44803</v>
      </c>
      <c r="B3084" s="74" t="s">
        <v>27862</v>
      </c>
      <c r="C3084" s="75" t="s">
        <v>932</v>
      </c>
      <c r="D3084" s="176">
        <v>5243</v>
      </c>
      <c r="E3084" s="151">
        <v>44804</v>
      </c>
      <c r="F3084" s="176">
        <v>5243</v>
      </c>
      <c r="G3084" s="177">
        <f>Tabla19[[#This Row],[Importe]]-Tabla19[[#This Row],[Pagado]]</f>
        <v>0</v>
      </c>
      <c r="H3084" s="75" t="s">
        <v>10</v>
      </c>
    </row>
    <row r="3085" spans="1:8" x14ac:dyDescent="0.25">
      <c r="A3085" s="148">
        <v>44803</v>
      </c>
      <c r="B3085" s="149" t="s">
        <v>27863</v>
      </c>
      <c r="C3085" s="153" t="s">
        <v>319</v>
      </c>
      <c r="D3085" s="178">
        <v>8234.2999999999993</v>
      </c>
      <c r="E3085" s="155">
        <v>44804</v>
      </c>
      <c r="F3085" s="178">
        <v>8234.2999999999993</v>
      </c>
      <c r="G3085" s="179">
        <f>Tabla19[[#This Row],[Importe]]-Tabla19[[#This Row],[Pagado]]</f>
        <v>0</v>
      </c>
      <c r="H3085" s="153" t="s">
        <v>10</v>
      </c>
    </row>
    <row r="3086" spans="1:8" x14ac:dyDescent="0.25">
      <c r="A3086" s="73">
        <v>44803</v>
      </c>
      <c r="B3086" s="74" t="s">
        <v>27864</v>
      </c>
      <c r="C3086" s="75" t="s">
        <v>159</v>
      </c>
      <c r="D3086" s="176">
        <v>5859</v>
      </c>
      <c r="E3086" s="151">
        <v>44804</v>
      </c>
      <c r="F3086" s="176">
        <v>5859</v>
      </c>
      <c r="G3086" s="177">
        <f>Tabla19[[#This Row],[Importe]]-Tabla19[[#This Row],[Pagado]]</f>
        <v>0</v>
      </c>
      <c r="H3086" s="75" t="s">
        <v>10</v>
      </c>
    </row>
    <row r="3087" spans="1:8" x14ac:dyDescent="0.25">
      <c r="A3087" s="148">
        <v>44803</v>
      </c>
      <c r="B3087" s="149" t="s">
        <v>27865</v>
      </c>
      <c r="C3087" s="153" t="s">
        <v>27866</v>
      </c>
      <c r="D3087" s="178">
        <v>0</v>
      </c>
      <c r="E3087" s="158" t="s">
        <v>189</v>
      </c>
      <c r="F3087" s="178">
        <v>0</v>
      </c>
      <c r="G3087" s="179">
        <f>Tabla19[[#This Row],[Importe]]-Tabla19[[#This Row],[Pagado]]</f>
        <v>0</v>
      </c>
      <c r="H3087" s="153" t="s">
        <v>27867</v>
      </c>
    </row>
    <row r="3088" spans="1:8" x14ac:dyDescent="0.25">
      <c r="A3088" s="73">
        <v>44803</v>
      </c>
      <c r="B3088" s="74" t="s">
        <v>27868</v>
      </c>
      <c r="C3088" s="75" t="s">
        <v>167</v>
      </c>
      <c r="D3088" s="176">
        <v>48609.8</v>
      </c>
      <c r="E3088" s="151">
        <v>44803</v>
      </c>
      <c r="F3088" s="176">
        <v>48609.8</v>
      </c>
      <c r="G3088" s="177">
        <f>Tabla19[[#This Row],[Importe]]-Tabla19[[#This Row],[Pagado]]</f>
        <v>0</v>
      </c>
      <c r="H3088" s="75" t="s">
        <v>10</v>
      </c>
    </row>
    <row r="3089" spans="1:8" x14ac:dyDescent="0.25">
      <c r="A3089" s="148">
        <v>44803</v>
      </c>
      <c r="B3089" s="149" t="s">
        <v>27869</v>
      </c>
      <c r="C3089" s="153" t="s">
        <v>31</v>
      </c>
      <c r="D3089" s="178">
        <v>391.5</v>
      </c>
      <c r="E3089" s="155">
        <v>44803</v>
      </c>
      <c r="F3089" s="178">
        <v>391.5</v>
      </c>
      <c r="G3089" s="179">
        <f>Tabla19[[#This Row],[Importe]]-Tabla19[[#This Row],[Pagado]]</f>
        <v>0</v>
      </c>
      <c r="H3089" s="153" t="s">
        <v>10</v>
      </c>
    </row>
    <row r="3090" spans="1:8" x14ac:dyDescent="0.25">
      <c r="A3090" s="73">
        <v>44803</v>
      </c>
      <c r="B3090" s="74" t="s">
        <v>27870</v>
      </c>
      <c r="C3090" s="75" t="s">
        <v>994</v>
      </c>
      <c r="D3090" s="176">
        <v>1110</v>
      </c>
      <c r="E3090" s="151">
        <v>44803</v>
      </c>
      <c r="F3090" s="176">
        <v>1110</v>
      </c>
      <c r="G3090" s="177">
        <f>Tabla19[[#This Row],[Importe]]-Tabla19[[#This Row],[Pagado]]</f>
        <v>0</v>
      </c>
      <c r="H3090" s="75" t="s">
        <v>10</v>
      </c>
    </row>
    <row r="3091" spans="1:8" x14ac:dyDescent="0.25">
      <c r="A3091" s="148">
        <v>44803</v>
      </c>
      <c r="B3091" s="149" t="s">
        <v>27871</v>
      </c>
      <c r="C3091" s="153" t="s">
        <v>2139</v>
      </c>
      <c r="D3091" s="178">
        <v>7089.5</v>
      </c>
      <c r="E3091" s="155">
        <v>44803</v>
      </c>
      <c r="F3091" s="178">
        <v>7089.5</v>
      </c>
      <c r="G3091" s="179">
        <f>Tabla19[[#This Row],[Importe]]-Tabla19[[#This Row],[Pagado]]</f>
        <v>0</v>
      </c>
      <c r="H3091" s="153" t="s">
        <v>10</v>
      </c>
    </row>
    <row r="3092" spans="1:8" x14ac:dyDescent="0.25">
      <c r="A3092" s="73">
        <v>44803</v>
      </c>
      <c r="B3092" s="74" t="s">
        <v>27872</v>
      </c>
      <c r="C3092" s="75" t="s">
        <v>142</v>
      </c>
      <c r="D3092" s="176">
        <v>60096.32</v>
      </c>
      <c r="E3092" s="151" t="s">
        <v>4813</v>
      </c>
      <c r="F3092" s="176">
        <v>0</v>
      </c>
      <c r="G3092" s="177">
        <f>Tabla19[[#This Row],[Importe]]-Tabla19[[#This Row],[Pagado]]</f>
        <v>60096.32</v>
      </c>
      <c r="H3092" s="75" t="s">
        <v>4814</v>
      </c>
    </row>
    <row r="3093" spans="1:8" x14ac:dyDescent="0.25">
      <c r="A3093" s="148">
        <v>44803</v>
      </c>
      <c r="B3093" s="149" t="s">
        <v>27873</v>
      </c>
      <c r="C3093" s="153" t="s">
        <v>175</v>
      </c>
      <c r="D3093" s="178">
        <v>10702.5</v>
      </c>
      <c r="E3093" s="155">
        <v>44804</v>
      </c>
      <c r="F3093" s="178">
        <v>10702.5</v>
      </c>
      <c r="G3093" s="179">
        <f>Tabla19[[#This Row],[Importe]]-Tabla19[[#This Row],[Pagado]]</f>
        <v>0</v>
      </c>
      <c r="H3093" s="153" t="s">
        <v>10</v>
      </c>
    </row>
    <row r="3094" spans="1:8" x14ac:dyDescent="0.25">
      <c r="A3094" s="73">
        <v>44803</v>
      </c>
      <c r="B3094" s="74" t="s">
        <v>27874</v>
      </c>
      <c r="C3094" s="75" t="s">
        <v>359</v>
      </c>
      <c r="D3094" s="176">
        <v>1337</v>
      </c>
      <c r="E3094" s="151">
        <v>44804</v>
      </c>
      <c r="F3094" s="176">
        <v>1337</v>
      </c>
      <c r="G3094" s="177">
        <f>Tabla19[[#This Row],[Importe]]-Tabla19[[#This Row],[Pagado]]</f>
        <v>0</v>
      </c>
      <c r="H3094" s="75" t="s">
        <v>10</v>
      </c>
    </row>
    <row r="3095" spans="1:8" x14ac:dyDescent="0.25">
      <c r="A3095" s="148">
        <v>44803</v>
      </c>
      <c r="B3095" s="149" t="s">
        <v>27875</v>
      </c>
      <c r="C3095" s="153" t="s">
        <v>200</v>
      </c>
      <c r="D3095" s="178">
        <v>717.8</v>
      </c>
      <c r="E3095" s="155">
        <v>44804</v>
      </c>
      <c r="F3095" s="178">
        <v>717.8</v>
      </c>
      <c r="G3095" s="179">
        <f>Tabla19[[#This Row],[Importe]]-Tabla19[[#This Row],[Pagado]]</f>
        <v>0</v>
      </c>
      <c r="H3095" s="153" t="s">
        <v>10</v>
      </c>
    </row>
    <row r="3096" spans="1:8" x14ac:dyDescent="0.25">
      <c r="A3096" s="73">
        <v>44803</v>
      </c>
      <c r="B3096" s="74" t="s">
        <v>27876</v>
      </c>
      <c r="C3096" s="75" t="s">
        <v>1481</v>
      </c>
      <c r="D3096" s="176">
        <v>80</v>
      </c>
      <c r="E3096" s="151">
        <v>44804</v>
      </c>
      <c r="F3096" s="176">
        <v>80</v>
      </c>
      <c r="G3096" s="177">
        <f>Tabla19[[#This Row],[Importe]]-Tabla19[[#This Row],[Pagado]]</f>
        <v>0</v>
      </c>
      <c r="H3096" s="75" t="s">
        <v>10</v>
      </c>
    </row>
    <row r="3097" spans="1:8" x14ac:dyDescent="0.25">
      <c r="A3097" s="148">
        <v>44803</v>
      </c>
      <c r="B3097" s="149" t="s">
        <v>27877</v>
      </c>
      <c r="C3097" s="153" t="s">
        <v>275</v>
      </c>
      <c r="D3097" s="178">
        <v>114324.78</v>
      </c>
      <c r="E3097" s="155" t="s">
        <v>4813</v>
      </c>
      <c r="F3097" s="178">
        <v>0</v>
      </c>
      <c r="G3097" s="179">
        <f>Tabla19[[#This Row],[Importe]]-Tabla19[[#This Row],[Pagado]]</f>
        <v>114324.78</v>
      </c>
      <c r="H3097" s="153" t="s">
        <v>4814</v>
      </c>
    </row>
    <row r="3098" spans="1:8" x14ac:dyDescent="0.25">
      <c r="A3098" s="73">
        <v>44803</v>
      </c>
      <c r="B3098" s="74" t="s">
        <v>27878</v>
      </c>
      <c r="C3098" s="75" t="s">
        <v>275</v>
      </c>
      <c r="D3098" s="176">
        <v>975</v>
      </c>
      <c r="E3098" s="151" t="s">
        <v>4813</v>
      </c>
      <c r="F3098" s="176">
        <v>0</v>
      </c>
      <c r="G3098" s="177">
        <f>Tabla19[[#This Row],[Importe]]-Tabla19[[#This Row],[Pagado]]</f>
        <v>975</v>
      </c>
      <c r="H3098" s="75" t="s">
        <v>4814</v>
      </c>
    </row>
    <row r="3099" spans="1:8" x14ac:dyDescent="0.25">
      <c r="A3099" s="148">
        <v>44803</v>
      </c>
      <c r="B3099" s="149" t="s">
        <v>27879</v>
      </c>
      <c r="C3099" s="153" t="s">
        <v>286</v>
      </c>
      <c r="D3099" s="178">
        <v>34136</v>
      </c>
      <c r="E3099" s="155">
        <v>44804</v>
      </c>
      <c r="F3099" s="178">
        <v>34136</v>
      </c>
      <c r="G3099" s="179">
        <f>Tabla19[[#This Row],[Importe]]-Tabla19[[#This Row],[Pagado]]</f>
        <v>0</v>
      </c>
      <c r="H3099" s="153" t="s">
        <v>10</v>
      </c>
    </row>
    <row r="3100" spans="1:8" x14ac:dyDescent="0.25">
      <c r="A3100" s="73">
        <v>44803</v>
      </c>
      <c r="B3100" s="74" t="s">
        <v>27880</v>
      </c>
      <c r="C3100" s="75" t="s">
        <v>1008</v>
      </c>
      <c r="D3100" s="176">
        <v>585</v>
      </c>
      <c r="E3100" s="151">
        <v>44803</v>
      </c>
      <c r="F3100" s="176">
        <v>585</v>
      </c>
      <c r="G3100" s="177">
        <f>Tabla19[[#This Row],[Importe]]-Tabla19[[#This Row],[Pagado]]</f>
        <v>0</v>
      </c>
      <c r="H3100" s="75" t="s">
        <v>10</v>
      </c>
    </row>
    <row r="3101" spans="1:8" x14ac:dyDescent="0.25">
      <c r="A3101" s="148">
        <v>44803</v>
      </c>
      <c r="B3101" s="149" t="s">
        <v>27881</v>
      </c>
      <c r="C3101" s="153" t="s">
        <v>261</v>
      </c>
      <c r="D3101" s="178">
        <v>45540</v>
      </c>
      <c r="E3101" s="155">
        <v>44804</v>
      </c>
      <c r="F3101" s="178">
        <v>45540</v>
      </c>
      <c r="G3101" s="179">
        <f>Tabla19[[#This Row],[Importe]]-Tabla19[[#This Row],[Pagado]]</f>
        <v>0</v>
      </c>
      <c r="H3101" s="153" t="s">
        <v>10</v>
      </c>
    </row>
    <row r="3102" spans="1:8" x14ac:dyDescent="0.25">
      <c r="A3102" s="73">
        <v>44803</v>
      </c>
      <c r="B3102" s="74" t="s">
        <v>27882</v>
      </c>
      <c r="C3102" s="75" t="s">
        <v>53</v>
      </c>
      <c r="D3102" s="176">
        <v>1875</v>
      </c>
      <c r="E3102" s="151">
        <v>44803</v>
      </c>
      <c r="F3102" s="176">
        <v>1875</v>
      </c>
      <c r="G3102" s="177">
        <f>Tabla19[[#This Row],[Importe]]-Tabla19[[#This Row],[Pagado]]</f>
        <v>0</v>
      </c>
      <c r="H3102" s="75" t="s">
        <v>10</v>
      </c>
    </row>
    <row r="3103" spans="1:8" x14ac:dyDescent="0.25">
      <c r="A3103" s="148">
        <v>44803</v>
      </c>
      <c r="B3103" s="149" t="s">
        <v>27883</v>
      </c>
      <c r="C3103" s="153" t="s">
        <v>296</v>
      </c>
      <c r="D3103" s="178">
        <v>1140</v>
      </c>
      <c r="E3103" s="155">
        <v>44803</v>
      </c>
      <c r="F3103" s="178">
        <v>1140</v>
      </c>
      <c r="G3103" s="179">
        <f>Tabla19[[#This Row],[Importe]]-Tabla19[[#This Row],[Pagado]]</f>
        <v>0</v>
      </c>
      <c r="H3103" s="153" t="s">
        <v>10</v>
      </c>
    </row>
    <row r="3104" spans="1:8" x14ac:dyDescent="0.25">
      <c r="A3104" s="73">
        <v>44803</v>
      </c>
      <c r="B3104" s="74" t="s">
        <v>27884</v>
      </c>
      <c r="C3104" s="75" t="s">
        <v>280</v>
      </c>
      <c r="D3104" s="176">
        <v>1450.4</v>
      </c>
      <c r="E3104" s="151">
        <v>44804</v>
      </c>
      <c r="F3104" s="176">
        <v>1450.4</v>
      </c>
      <c r="G3104" s="177">
        <f>Tabla19[[#This Row],[Importe]]-Tabla19[[#This Row],[Pagado]]</f>
        <v>0</v>
      </c>
      <c r="H3104" s="75" t="s">
        <v>10</v>
      </c>
    </row>
    <row r="3105" spans="1:8" x14ac:dyDescent="0.25">
      <c r="A3105" s="148">
        <v>44803</v>
      </c>
      <c r="B3105" s="149" t="s">
        <v>27885</v>
      </c>
      <c r="C3105" s="153" t="s">
        <v>10819</v>
      </c>
      <c r="D3105" s="178">
        <v>1419</v>
      </c>
      <c r="E3105" s="155">
        <v>44804</v>
      </c>
      <c r="F3105" s="178">
        <v>1419</v>
      </c>
      <c r="G3105" s="179">
        <f>Tabla19[[#This Row],[Importe]]-Tabla19[[#This Row],[Pagado]]</f>
        <v>0</v>
      </c>
      <c r="H3105" s="153" t="s">
        <v>10</v>
      </c>
    </row>
    <row r="3106" spans="1:8" x14ac:dyDescent="0.25">
      <c r="A3106" s="73">
        <v>44803</v>
      </c>
      <c r="B3106" s="74" t="s">
        <v>27886</v>
      </c>
      <c r="C3106" s="75" t="s">
        <v>10190</v>
      </c>
      <c r="D3106" s="176">
        <v>28014</v>
      </c>
      <c r="E3106" s="151">
        <v>44804</v>
      </c>
      <c r="F3106" s="176">
        <v>28014</v>
      </c>
      <c r="G3106" s="177">
        <f>Tabla19[[#This Row],[Importe]]-Tabla19[[#This Row],[Pagado]]</f>
        <v>0</v>
      </c>
      <c r="H3106" s="75" t="s">
        <v>10</v>
      </c>
    </row>
    <row r="3107" spans="1:8" x14ac:dyDescent="0.25">
      <c r="A3107" s="148">
        <v>44803</v>
      </c>
      <c r="B3107" s="149" t="s">
        <v>27887</v>
      </c>
      <c r="C3107" s="153" t="s">
        <v>414</v>
      </c>
      <c r="D3107" s="178">
        <v>113772</v>
      </c>
      <c r="E3107" s="155" t="s">
        <v>4813</v>
      </c>
      <c r="F3107" s="178">
        <v>0</v>
      </c>
      <c r="G3107" s="179">
        <f>Tabla19[[#This Row],[Importe]]-Tabla19[[#This Row],[Pagado]]</f>
        <v>113772</v>
      </c>
      <c r="H3107" s="153" t="s">
        <v>4814</v>
      </c>
    </row>
    <row r="3108" spans="1:8" x14ac:dyDescent="0.25">
      <c r="A3108" s="73">
        <v>44803</v>
      </c>
      <c r="B3108" s="74" t="s">
        <v>27888</v>
      </c>
      <c r="C3108" s="75" t="s">
        <v>6405</v>
      </c>
      <c r="D3108" s="176">
        <v>5.26</v>
      </c>
      <c r="E3108" s="151" t="s">
        <v>4813</v>
      </c>
      <c r="F3108" s="176">
        <v>0</v>
      </c>
      <c r="G3108" s="177">
        <f>Tabla19[[#This Row],[Importe]]-Tabla19[[#This Row],[Pagado]]</f>
        <v>5.26</v>
      </c>
      <c r="H3108" s="75" t="s">
        <v>4814</v>
      </c>
    </row>
    <row r="3109" spans="1:8" x14ac:dyDescent="0.25">
      <c r="A3109" s="148">
        <v>44803</v>
      </c>
      <c r="B3109" s="149" t="s">
        <v>27889</v>
      </c>
      <c r="C3109" s="153" t="s">
        <v>31</v>
      </c>
      <c r="D3109" s="178">
        <v>2301</v>
      </c>
      <c r="E3109" s="155">
        <v>44804</v>
      </c>
      <c r="F3109" s="178">
        <v>2301</v>
      </c>
      <c r="G3109" s="179">
        <f>Tabla19[[#This Row],[Importe]]-Tabla19[[#This Row],[Pagado]]</f>
        <v>0</v>
      </c>
      <c r="H3109" s="153" t="s">
        <v>10</v>
      </c>
    </row>
    <row r="3110" spans="1:8" x14ac:dyDescent="0.25">
      <c r="A3110" s="73">
        <v>44804</v>
      </c>
      <c r="B3110" s="74" t="s">
        <v>27890</v>
      </c>
      <c r="C3110" s="75" t="s">
        <v>1187</v>
      </c>
      <c r="D3110" s="176">
        <v>1286.2</v>
      </c>
      <c r="E3110" s="151">
        <v>44804</v>
      </c>
      <c r="F3110" s="176">
        <v>1286.2</v>
      </c>
      <c r="G3110" s="177">
        <f>Tabla19[[#This Row],[Importe]]-Tabla19[[#This Row],[Pagado]]</f>
        <v>0</v>
      </c>
      <c r="H3110" s="75" t="s">
        <v>10</v>
      </c>
    </row>
    <row r="3111" spans="1:8" x14ac:dyDescent="0.25">
      <c r="A3111" s="148">
        <v>44804</v>
      </c>
      <c r="B3111" s="149" t="s">
        <v>27891</v>
      </c>
      <c r="C3111" s="153" t="s">
        <v>475</v>
      </c>
      <c r="D3111" s="178">
        <v>89479.9</v>
      </c>
      <c r="E3111" s="155">
        <v>44805</v>
      </c>
      <c r="F3111" s="178">
        <v>89479.9</v>
      </c>
      <c r="G3111" s="179">
        <f>Tabla19[[#This Row],[Importe]]-Tabla19[[#This Row],[Pagado]]</f>
        <v>0</v>
      </c>
      <c r="H3111" s="153" t="s">
        <v>10</v>
      </c>
    </row>
    <row r="3112" spans="1:8" x14ac:dyDescent="0.25">
      <c r="A3112" s="73">
        <v>44804</v>
      </c>
      <c r="B3112" s="74" t="s">
        <v>27892</v>
      </c>
      <c r="C3112" s="75" t="s">
        <v>481</v>
      </c>
      <c r="D3112" s="176">
        <v>168</v>
      </c>
      <c r="E3112" s="151">
        <v>44804</v>
      </c>
      <c r="F3112" s="176">
        <v>168</v>
      </c>
      <c r="G3112" s="177">
        <f>Tabla19[[#This Row],[Importe]]-Tabla19[[#This Row],[Pagado]]</f>
        <v>0</v>
      </c>
      <c r="H3112" s="75" t="s">
        <v>10</v>
      </c>
    </row>
    <row r="3113" spans="1:8" x14ac:dyDescent="0.25">
      <c r="A3113" s="148">
        <v>44804</v>
      </c>
      <c r="B3113" s="149" t="s">
        <v>27893</v>
      </c>
      <c r="C3113" s="153" t="s">
        <v>17556</v>
      </c>
      <c r="D3113" s="178">
        <v>3650</v>
      </c>
      <c r="E3113" s="155">
        <v>44804</v>
      </c>
      <c r="F3113" s="178">
        <v>3650</v>
      </c>
      <c r="G3113" s="179">
        <f>Tabla19[[#This Row],[Importe]]-Tabla19[[#This Row],[Pagado]]</f>
        <v>0</v>
      </c>
      <c r="H3113" s="153" t="s">
        <v>10</v>
      </c>
    </row>
    <row r="3114" spans="1:8" x14ac:dyDescent="0.25">
      <c r="A3114" s="73">
        <v>44804</v>
      </c>
      <c r="B3114" s="74" t="s">
        <v>27894</v>
      </c>
      <c r="C3114" s="75" t="s">
        <v>2151</v>
      </c>
      <c r="D3114" s="176">
        <v>13908.7</v>
      </c>
      <c r="E3114" s="151">
        <v>44804</v>
      </c>
      <c r="F3114" s="176">
        <v>13908.7</v>
      </c>
      <c r="G3114" s="177">
        <f>Tabla19[[#This Row],[Importe]]-Tabla19[[#This Row],[Pagado]]</f>
        <v>0</v>
      </c>
      <c r="H3114" s="75" t="s">
        <v>10</v>
      </c>
    </row>
    <row r="3115" spans="1:8" x14ac:dyDescent="0.25">
      <c r="A3115" s="148">
        <v>44804</v>
      </c>
      <c r="B3115" s="149" t="s">
        <v>27895</v>
      </c>
      <c r="C3115" s="153" t="s">
        <v>22</v>
      </c>
      <c r="D3115" s="178">
        <v>37886.800000000003</v>
      </c>
      <c r="E3115" s="155">
        <v>44805</v>
      </c>
      <c r="F3115" s="178">
        <v>37886.800000000003</v>
      </c>
      <c r="G3115" s="179">
        <f>Tabla19[[#This Row],[Importe]]-Tabla19[[#This Row],[Pagado]]</f>
        <v>0</v>
      </c>
      <c r="H3115" s="153" t="s">
        <v>10</v>
      </c>
    </row>
    <row r="3116" spans="1:8" x14ac:dyDescent="0.25">
      <c r="A3116" s="73">
        <v>44804</v>
      </c>
      <c r="B3116" s="74" t="s">
        <v>27896</v>
      </c>
      <c r="C3116" s="75" t="s">
        <v>109</v>
      </c>
      <c r="D3116" s="176">
        <v>5687.5</v>
      </c>
      <c r="E3116" s="151">
        <v>44805</v>
      </c>
      <c r="F3116" s="176">
        <v>5687.5</v>
      </c>
      <c r="G3116" s="177">
        <f>Tabla19[[#This Row],[Importe]]-Tabla19[[#This Row],[Pagado]]</f>
        <v>0</v>
      </c>
      <c r="H3116" s="75" t="s">
        <v>10</v>
      </c>
    </row>
    <row r="3117" spans="1:8" x14ac:dyDescent="0.25">
      <c r="A3117" s="148">
        <v>44804</v>
      </c>
      <c r="B3117" s="149" t="s">
        <v>27897</v>
      </c>
      <c r="C3117" s="153" t="s">
        <v>64</v>
      </c>
      <c r="D3117" s="178">
        <v>4946.5</v>
      </c>
      <c r="E3117" s="155" t="s">
        <v>27482</v>
      </c>
      <c r="F3117" s="178">
        <v>4946.5</v>
      </c>
      <c r="G3117" s="179">
        <f>Tabla19[[#This Row],[Importe]]-Tabla19[[#This Row],[Pagado]]</f>
        <v>0</v>
      </c>
      <c r="H3117" s="153" t="s">
        <v>10</v>
      </c>
    </row>
    <row r="3118" spans="1:8" x14ac:dyDescent="0.25">
      <c r="A3118" s="73">
        <v>44804</v>
      </c>
      <c r="B3118" s="74" t="s">
        <v>27898</v>
      </c>
      <c r="C3118" s="75" t="s">
        <v>114</v>
      </c>
      <c r="D3118" s="176">
        <v>11783.1</v>
      </c>
      <c r="E3118" s="151">
        <v>44805</v>
      </c>
      <c r="F3118" s="176">
        <v>11783.1</v>
      </c>
      <c r="G3118" s="177">
        <f>Tabla19[[#This Row],[Importe]]-Tabla19[[#This Row],[Pagado]]</f>
        <v>0</v>
      </c>
      <c r="H3118" s="75" t="s">
        <v>10</v>
      </c>
    </row>
    <row r="3119" spans="1:8" x14ac:dyDescent="0.25">
      <c r="A3119" s="148">
        <v>44804</v>
      </c>
      <c r="B3119" s="149" t="s">
        <v>27899</v>
      </c>
      <c r="C3119" s="153" t="s">
        <v>60</v>
      </c>
      <c r="D3119" s="178">
        <v>4933.5</v>
      </c>
      <c r="E3119" s="155" t="s">
        <v>26221</v>
      </c>
      <c r="F3119" s="178">
        <v>4933.5</v>
      </c>
      <c r="G3119" s="179">
        <f>Tabla19[[#This Row],[Importe]]-Tabla19[[#This Row],[Pagado]]</f>
        <v>0</v>
      </c>
      <c r="H3119" s="153" t="s">
        <v>10</v>
      </c>
    </row>
    <row r="3120" spans="1:8" x14ac:dyDescent="0.25">
      <c r="A3120" s="73">
        <v>44804</v>
      </c>
      <c r="B3120" s="74" t="s">
        <v>27900</v>
      </c>
      <c r="C3120" s="75" t="s">
        <v>93</v>
      </c>
      <c r="D3120" s="176">
        <v>8755.5</v>
      </c>
      <c r="E3120" s="151" t="s">
        <v>27482</v>
      </c>
      <c r="F3120" s="176">
        <v>8755.5</v>
      </c>
      <c r="G3120" s="177">
        <f>Tabla19[[#This Row],[Importe]]-Tabla19[[#This Row],[Pagado]]</f>
        <v>0</v>
      </c>
      <c r="H3120" s="75" t="s">
        <v>10</v>
      </c>
    </row>
    <row r="3121" spans="1:8" x14ac:dyDescent="0.25">
      <c r="A3121" s="148">
        <v>44804</v>
      </c>
      <c r="B3121" s="149" t="s">
        <v>27901</v>
      </c>
      <c r="C3121" s="153" t="s">
        <v>111</v>
      </c>
      <c r="D3121" s="178">
        <v>5468.4</v>
      </c>
      <c r="E3121" s="155">
        <v>44805</v>
      </c>
      <c r="F3121" s="178">
        <v>5468.4</v>
      </c>
      <c r="G3121" s="179">
        <f>Tabla19[[#This Row],[Importe]]-Tabla19[[#This Row],[Pagado]]</f>
        <v>0</v>
      </c>
      <c r="H3121" s="153" t="s">
        <v>10</v>
      </c>
    </row>
    <row r="3122" spans="1:8" x14ac:dyDescent="0.25">
      <c r="A3122" s="73">
        <v>44804</v>
      </c>
      <c r="B3122" s="74" t="s">
        <v>27902</v>
      </c>
      <c r="C3122" s="75" t="s">
        <v>348</v>
      </c>
      <c r="D3122" s="176">
        <v>7592.4</v>
      </c>
      <c r="E3122" s="151">
        <v>44804</v>
      </c>
      <c r="F3122" s="176">
        <v>7592.4</v>
      </c>
      <c r="G3122" s="177">
        <f>Tabla19[[#This Row],[Importe]]-Tabla19[[#This Row],[Pagado]]</f>
        <v>0</v>
      </c>
      <c r="H3122" s="75" t="s">
        <v>10</v>
      </c>
    </row>
    <row r="3123" spans="1:8" x14ac:dyDescent="0.25">
      <c r="A3123" s="148">
        <v>44804</v>
      </c>
      <c r="B3123" s="149" t="s">
        <v>27903</v>
      </c>
      <c r="C3123" s="153" t="s">
        <v>105</v>
      </c>
      <c r="D3123" s="178">
        <v>8391.6</v>
      </c>
      <c r="E3123" s="155">
        <v>44805</v>
      </c>
      <c r="F3123" s="178">
        <v>8391.6</v>
      </c>
      <c r="G3123" s="179">
        <f>Tabla19[[#This Row],[Importe]]-Tabla19[[#This Row],[Pagado]]</f>
        <v>0</v>
      </c>
      <c r="H3123" s="153" t="s">
        <v>10</v>
      </c>
    </row>
    <row r="3124" spans="1:8" x14ac:dyDescent="0.25">
      <c r="A3124" s="73">
        <v>44804</v>
      </c>
      <c r="B3124" s="74" t="s">
        <v>27904</v>
      </c>
      <c r="C3124" s="75" t="s">
        <v>89</v>
      </c>
      <c r="D3124" s="176">
        <v>3969</v>
      </c>
      <c r="E3124" s="151">
        <v>44805</v>
      </c>
      <c r="F3124" s="176">
        <v>3969</v>
      </c>
      <c r="G3124" s="177">
        <f>Tabla19[[#This Row],[Importe]]-Tabla19[[#This Row],[Pagado]]</f>
        <v>0</v>
      </c>
      <c r="H3124" s="75" t="s">
        <v>10</v>
      </c>
    </row>
    <row r="3125" spans="1:8" x14ac:dyDescent="0.25">
      <c r="A3125" s="148">
        <v>44804</v>
      </c>
      <c r="B3125" s="149" t="s">
        <v>27905</v>
      </c>
      <c r="C3125" s="153" t="s">
        <v>107</v>
      </c>
      <c r="D3125" s="178">
        <v>11100.9</v>
      </c>
      <c r="E3125" s="155">
        <v>44804</v>
      </c>
      <c r="F3125" s="178">
        <v>11100.9</v>
      </c>
      <c r="G3125" s="179">
        <f>Tabla19[[#This Row],[Importe]]-Tabla19[[#This Row],[Pagado]]</f>
        <v>0</v>
      </c>
      <c r="H3125" s="153" t="s">
        <v>10</v>
      </c>
    </row>
    <row r="3126" spans="1:8" x14ac:dyDescent="0.25">
      <c r="A3126" s="73">
        <v>44804</v>
      </c>
      <c r="B3126" s="74" t="s">
        <v>27906</v>
      </c>
      <c r="C3126" s="75" t="s">
        <v>9</v>
      </c>
      <c r="D3126" s="176">
        <v>7888.8</v>
      </c>
      <c r="E3126" s="151">
        <v>44804</v>
      </c>
      <c r="F3126" s="176">
        <v>7888.8</v>
      </c>
      <c r="G3126" s="177">
        <f>Tabla19[[#This Row],[Importe]]-Tabla19[[#This Row],[Pagado]]</f>
        <v>0</v>
      </c>
      <c r="H3126" s="75" t="s">
        <v>10</v>
      </c>
    </row>
    <row r="3127" spans="1:8" x14ac:dyDescent="0.25">
      <c r="A3127" s="148">
        <v>44804</v>
      </c>
      <c r="B3127" s="149" t="s">
        <v>27907</v>
      </c>
      <c r="C3127" s="153" t="s">
        <v>51</v>
      </c>
      <c r="D3127" s="178">
        <v>615</v>
      </c>
      <c r="E3127" s="155">
        <v>44804</v>
      </c>
      <c r="F3127" s="178">
        <v>615</v>
      </c>
      <c r="G3127" s="179">
        <f>Tabla19[[#This Row],[Importe]]-Tabla19[[#This Row],[Pagado]]</f>
        <v>0</v>
      </c>
      <c r="H3127" s="153" t="s">
        <v>10</v>
      </c>
    </row>
    <row r="3128" spans="1:8" x14ac:dyDescent="0.25">
      <c r="A3128" s="73">
        <v>44804</v>
      </c>
      <c r="B3128" s="74" t="s">
        <v>27908</v>
      </c>
      <c r="C3128" s="75" t="s">
        <v>849</v>
      </c>
      <c r="D3128" s="176">
        <v>636</v>
      </c>
      <c r="E3128" s="151">
        <v>44804</v>
      </c>
      <c r="F3128" s="176">
        <v>636</v>
      </c>
      <c r="G3128" s="177">
        <f>Tabla19[[#This Row],[Importe]]-Tabla19[[#This Row],[Pagado]]</f>
        <v>0</v>
      </c>
      <c r="H3128" s="75" t="s">
        <v>10</v>
      </c>
    </row>
    <row r="3129" spans="1:8" x14ac:dyDescent="0.25">
      <c r="A3129" s="148">
        <v>44804</v>
      </c>
      <c r="B3129" s="149" t="s">
        <v>27909</v>
      </c>
      <c r="C3129" s="153" t="s">
        <v>83</v>
      </c>
      <c r="D3129" s="178">
        <v>10526.8</v>
      </c>
      <c r="E3129" s="155">
        <v>44804</v>
      </c>
      <c r="F3129" s="178">
        <v>10526.8</v>
      </c>
      <c r="G3129" s="179">
        <f>Tabla19[[#This Row],[Importe]]-Tabla19[[#This Row],[Pagado]]</f>
        <v>0</v>
      </c>
      <c r="H3129" s="153" t="s">
        <v>10</v>
      </c>
    </row>
    <row r="3130" spans="1:8" x14ac:dyDescent="0.25">
      <c r="A3130" s="73">
        <v>44804</v>
      </c>
      <c r="B3130" s="74" t="s">
        <v>27910</v>
      </c>
      <c r="C3130" s="75" t="s">
        <v>1237</v>
      </c>
      <c r="D3130" s="176">
        <v>45995</v>
      </c>
      <c r="E3130" s="151">
        <v>44804</v>
      </c>
      <c r="F3130" s="176">
        <v>45995</v>
      </c>
      <c r="G3130" s="177">
        <f>Tabla19[[#This Row],[Importe]]-Tabla19[[#This Row],[Pagado]]</f>
        <v>0</v>
      </c>
      <c r="H3130" s="75" t="s">
        <v>10</v>
      </c>
    </row>
    <row r="3131" spans="1:8" x14ac:dyDescent="0.25">
      <c r="A3131" s="148">
        <v>44804</v>
      </c>
      <c r="B3131" s="149" t="s">
        <v>27911</v>
      </c>
      <c r="C3131" s="153" t="s">
        <v>79</v>
      </c>
      <c r="D3131" s="178">
        <v>12546.8</v>
      </c>
      <c r="E3131" s="155">
        <v>44804</v>
      </c>
      <c r="F3131" s="178">
        <v>12546.8</v>
      </c>
      <c r="G3131" s="179">
        <f>Tabla19[[#This Row],[Importe]]-Tabla19[[#This Row],[Pagado]]</f>
        <v>0</v>
      </c>
      <c r="H3131" s="153" t="s">
        <v>10</v>
      </c>
    </row>
    <row r="3132" spans="1:8" x14ac:dyDescent="0.25">
      <c r="A3132" s="73">
        <v>44804</v>
      </c>
      <c r="B3132" s="74" t="s">
        <v>27912</v>
      </c>
      <c r="C3132" s="75" t="s">
        <v>16</v>
      </c>
      <c r="D3132" s="176">
        <v>5057.7</v>
      </c>
      <c r="E3132" s="151">
        <v>44804</v>
      </c>
      <c r="F3132" s="176">
        <v>5057.7</v>
      </c>
      <c r="G3132" s="177">
        <f>Tabla19[[#This Row],[Importe]]-Tabla19[[#This Row],[Pagado]]</f>
        <v>0</v>
      </c>
      <c r="H3132" s="75" t="s">
        <v>10</v>
      </c>
    </row>
    <row r="3133" spans="1:8" x14ac:dyDescent="0.25">
      <c r="A3133" s="148">
        <v>44804</v>
      </c>
      <c r="B3133" s="149" t="s">
        <v>27913</v>
      </c>
      <c r="C3133" s="153" t="s">
        <v>291</v>
      </c>
      <c r="D3133" s="178">
        <v>1713</v>
      </c>
      <c r="E3133" s="155">
        <v>44804</v>
      </c>
      <c r="F3133" s="178">
        <v>1713</v>
      </c>
      <c r="G3133" s="179">
        <f>Tabla19[[#This Row],[Importe]]-Tabla19[[#This Row],[Pagado]]</f>
        <v>0</v>
      </c>
      <c r="H3133" s="153" t="s">
        <v>10</v>
      </c>
    </row>
    <row r="3134" spans="1:8" x14ac:dyDescent="0.25">
      <c r="A3134" s="73">
        <v>44804</v>
      </c>
      <c r="B3134" s="74" t="s">
        <v>27914</v>
      </c>
      <c r="C3134" s="75" t="s">
        <v>357</v>
      </c>
      <c r="D3134" s="176">
        <v>1192.5</v>
      </c>
      <c r="E3134" s="151">
        <v>44804</v>
      </c>
      <c r="F3134" s="176">
        <v>1192.5</v>
      </c>
      <c r="G3134" s="177">
        <f>Tabla19[[#This Row],[Importe]]-Tabla19[[#This Row],[Pagado]]</f>
        <v>0</v>
      </c>
      <c r="H3134" s="75" t="s">
        <v>10</v>
      </c>
    </row>
    <row r="3135" spans="1:8" x14ac:dyDescent="0.25">
      <c r="A3135" s="148">
        <v>44804</v>
      </c>
      <c r="B3135" s="149" t="s">
        <v>27915</v>
      </c>
      <c r="C3135" s="153" t="s">
        <v>129</v>
      </c>
      <c r="D3135" s="178">
        <v>5898.9</v>
      </c>
      <c r="E3135" s="155">
        <v>44804</v>
      </c>
      <c r="F3135" s="178">
        <v>5898.9</v>
      </c>
      <c r="G3135" s="179">
        <f>Tabla19[[#This Row],[Importe]]-Tabla19[[#This Row],[Pagado]]</f>
        <v>0</v>
      </c>
      <c r="H3135" s="153" t="s">
        <v>10</v>
      </c>
    </row>
    <row r="3136" spans="1:8" x14ac:dyDescent="0.25">
      <c r="A3136" s="73">
        <v>44804</v>
      </c>
      <c r="B3136" s="74" t="s">
        <v>27916</v>
      </c>
      <c r="C3136" s="75" t="s">
        <v>127</v>
      </c>
      <c r="D3136" s="176">
        <v>1860</v>
      </c>
      <c r="E3136" s="151">
        <v>44804</v>
      </c>
      <c r="F3136" s="176">
        <v>1860</v>
      </c>
      <c r="G3136" s="177">
        <f>Tabla19[[#This Row],[Importe]]-Tabla19[[#This Row],[Pagado]]</f>
        <v>0</v>
      </c>
      <c r="H3136" s="75" t="s">
        <v>10</v>
      </c>
    </row>
    <row r="3137" spans="1:8" x14ac:dyDescent="0.25">
      <c r="A3137" s="148">
        <v>44804</v>
      </c>
      <c r="B3137" s="149" t="s">
        <v>27917</v>
      </c>
      <c r="C3137" s="153" t="s">
        <v>484</v>
      </c>
      <c r="D3137" s="178">
        <v>3034.2</v>
      </c>
      <c r="E3137" s="155">
        <v>44804</v>
      </c>
      <c r="F3137" s="178">
        <v>3034.2</v>
      </c>
      <c r="G3137" s="179">
        <f>Tabla19[[#This Row],[Importe]]-Tabla19[[#This Row],[Pagado]]</f>
        <v>0</v>
      </c>
      <c r="H3137" s="153" t="s">
        <v>10</v>
      </c>
    </row>
    <row r="3138" spans="1:8" x14ac:dyDescent="0.25">
      <c r="A3138" s="73">
        <v>44804</v>
      </c>
      <c r="B3138" s="74" t="s">
        <v>27918</v>
      </c>
      <c r="C3138" s="75" t="s">
        <v>339</v>
      </c>
      <c r="D3138" s="176">
        <v>592.5</v>
      </c>
      <c r="E3138" s="151">
        <v>44804</v>
      </c>
      <c r="F3138" s="176">
        <v>592.5</v>
      </c>
      <c r="G3138" s="177">
        <f>Tabla19[[#This Row],[Importe]]-Tabla19[[#This Row],[Pagado]]</f>
        <v>0</v>
      </c>
      <c r="H3138" s="75" t="s">
        <v>10</v>
      </c>
    </row>
    <row r="3139" spans="1:8" x14ac:dyDescent="0.25">
      <c r="A3139" s="148">
        <v>44804</v>
      </c>
      <c r="B3139" s="149" t="s">
        <v>27919</v>
      </c>
      <c r="C3139" s="153" t="s">
        <v>140</v>
      </c>
      <c r="D3139" s="178">
        <v>269.5</v>
      </c>
      <c r="E3139" s="155">
        <v>44804</v>
      </c>
      <c r="F3139" s="178">
        <v>269.5</v>
      </c>
      <c r="G3139" s="179">
        <f>Tabla19[[#This Row],[Importe]]-Tabla19[[#This Row],[Pagado]]</f>
        <v>0</v>
      </c>
      <c r="H3139" s="153" t="s">
        <v>10</v>
      </c>
    </row>
    <row r="3140" spans="1:8" x14ac:dyDescent="0.25">
      <c r="A3140" s="73">
        <v>44804</v>
      </c>
      <c r="B3140" s="74" t="s">
        <v>27920</v>
      </c>
      <c r="C3140" s="75" t="s">
        <v>27</v>
      </c>
      <c r="D3140" s="176">
        <v>604</v>
      </c>
      <c r="E3140" s="151">
        <v>44804</v>
      </c>
      <c r="F3140" s="176">
        <v>604</v>
      </c>
      <c r="G3140" s="177">
        <f>Tabla19[[#This Row],[Importe]]-Tabla19[[#This Row],[Pagado]]</f>
        <v>0</v>
      </c>
      <c r="H3140" s="75" t="s">
        <v>10</v>
      </c>
    </row>
    <row r="3141" spans="1:8" x14ac:dyDescent="0.25">
      <c r="A3141" s="148">
        <v>44804</v>
      </c>
      <c r="B3141" s="149" t="s">
        <v>27921</v>
      </c>
      <c r="C3141" s="153" t="s">
        <v>333</v>
      </c>
      <c r="D3141" s="178">
        <v>600</v>
      </c>
      <c r="E3141" s="155">
        <v>44804</v>
      </c>
      <c r="F3141" s="178">
        <v>600</v>
      </c>
      <c r="G3141" s="179">
        <f>Tabla19[[#This Row],[Importe]]-Tabla19[[#This Row],[Pagado]]</f>
        <v>0</v>
      </c>
      <c r="H3141" s="153" t="s">
        <v>10</v>
      </c>
    </row>
    <row r="3142" spans="1:8" x14ac:dyDescent="0.25">
      <c r="A3142" s="73">
        <v>44804</v>
      </c>
      <c r="B3142" s="74" t="s">
        <v>27922</v>
      </c>
      <c r="C3142" s="75" t="s">
        <v>87</v>
      </c>
      <c r="D3142" s="176">
        <v>3991</v>
      </c>
      <c r="E3142" s="151">
        <v>44804</v>
      </c>
      <c r="F3142" s="176">
        <v>3991</v>
      </c>
      <c r="G3142" s="177">
        <f>Tabla19[[#This Row],[Importe]]-Tabla19[[#This Row],[Pagado]]</f>
        <v>0</v>
      </c>
      <c r="H3142" s="75" t="s">
        <v>10</v>
      </c>
    </row>
    <row r="3143" spans="1:8" x14ac:dyDescent="0.25">
      <c r="A3143" s="148">
        <v>44804</v>
      </c>
      <c r="B3143" s="149" t="s">
        <v>27923</v>
      </c>
      <c r="C3143" s="153" t="s">
        <v>146</v>
      </c>
      <c r="D3143" s="178">
        <v>4810</v>
      </c>
      <c r="E3143" s="155">
        <v>44804</v>
      </c>
      <c r="F3143" s="178">
        <v>4810</v>
      </c>
      <c r="G3143" s="179">
        <f>Tabla19[[#This Row],[Importe]]-Tabla19[[#This Row],[Pagado]]</f>
        <v>0</v>
      </c>
      <c r="H3143" s="153" t="s">
        <v>10</v>
      </c>
    </row>
    <row r="3144" spans="1:8" x14ac:dyDescent="0.25">
      <c r="A3144" s="73">
        <v>44804</v>
      </c>
      <c r="B3144" s="74" t="s">
        <v>27924</v>
      </c>
      <c r="C3144" s="75" t="s">
        <v>214</v>
      </c>
      <c r="D3144" s="176">
        <v>182</v>
      </c>
      <c r="E3144" s="151">
        <v>44804</v>
      </c>
      <c r="F3144" s="176">
        <v>182</v>
      </c>
      <c r="G3144" s="177">
        <f>Tabla19[[#This Row],[Importe]]-Tabla19[[#This Row],[Pagado]]</f>
        <v>0</v>
      </c>
      <c r="H3144" s="75" t="s">
        <v>10</v>
      </c>
    </row>
    <row r="3145" spans="1:8" x14ac:dyDescent="0.25">
      <c r="A3145" s="148">
        <v>44804</v>
      </c>
      <c r="B3145" s="149" t="s">
        <v>27925</v>
      </c>
      <c r="C3145" s="153" t="s">
        <v>161</v>
      </c>
      <c r="D3145" s="178">
        <v>4015</v>
      </c>
      <c r="E3145" s="155">
        <v>44804</v>
      </c>
      <c r="F3145" s="178">
        <v>4015</v>
      </c>
      <c r="G3145" s="179">
        <f>Tabla19[[#This Row],[Importe]]-Tabla19[[#This Row],[Pagado]]</f>
        <v>0</v>
      </c>
      <c r="H3145" s="153" t="s">
        <v>10</v>
      </c>
    </row>
    <row r="3146" spans="1:8" x14ac:dyDescent="0.25">
      <c r="A3146" s="73">
        <v>44804</v>
      </c>
      <c r="B3146" s="74" t="s">
        <v>27926</v>
      </c>
      <c r="C3146" s="75" t="s">
        <v>1362</v>
      </c>
      <c r="D3146" s="176">
        <v>5119.8</v>
      </c>
      <c r="E3146" s="151">
        <v>44804</v>
      </c>
      <c r="F3146" s="176">
        <v>5119.8</v>
      </c>
      <c r="G3146" s="177">
        <f>Tabla19[[#This Row],[Importe]]-Tabla19[[#This Row],[Pagado]]</f>
        <v>0</v>
      </c>
      <c r="H3146" s="75" t="s">
        <v>10</v>
      </c>
    </row>
    <row r="3147" spans="1:8" x14ac:dyDescent="0.25">
      <c r="A3147" s="148">
        <v>44804</v>
      </c>
      <c r="B3147" s="149" t="s">
        <v>27927</v>
      </c>
      <c r="C3147" s="153" t="s">
        <v>56</v>
      </c>
      <c r="D3147" s="178">
        <v>5653.6</v>
      </c>
      <c r="E3147" s="155">
        <v>44804</v>
      </c>
      <c r="F3147" s="178">
        <v>5653.6</v>
      </c>
      <c r="G3147" s="179">
        <f>Tabla19[[#This Row],[Importe]]-Tabla19[[#This Row],[Pagado]]</f>
        <v>0</v>
      </c>
      <c r="H3147" s="153" t="s">
        <v>10</v>
      </c>
    </row>
    <row r="3148" spans="1:8" x14ac:dyDescent="0.25">
      <c r="A3148" s="73">
        <v>44804</v>
      </c>
      <c r="B3148" s="74" t="s">
        <v>27928</v>
      </c>
      <c r="C3148" s="75" t="s">
        <v>53</v>
      </c>
      <c r="D3148" s="176">
        <v>2272.5</v>
      </c>
      <c r="E3148" s="151">
        <v>44804</v>
      </c>
      <c r="F3148" s="176">
        <v>2272.5</v>
      </c>
      <c r="G3148" s="177">
        <f>Tabla19[[#This Row],[Importe]]-Tabla19[[#This Row],[Pagado]]</f>
        <v>0</v>
      </c>
      <c r="H3148" s="75" t="s">
        <v>10</v>
      </c>
    </row>
    <row r="3149" spans="1:8" x14ac:dyDescent="0.25">
      <c r="A3149" s="148">
        <v>44804</v>
      </c>
      <c r="B3149" s="149" t="s">
        <v>27929</v>
      </c>
      <c r="C3149" s="153" t="s">
        <v>173</v>
      </c>
      <c r="D3149" s="178">
        <v>14979</v>
      </c>
      <c r="E3149" s="155">
        <v>44804</v>
      </c>
      <c r="F3149" s="178">
        <v>14979</v>
      </c>
      <c r="G3149" s="179">
        <f>Tabla19[[#This Row],[Importe]]-Tabla19[[#This Row],[Pagado]]</f>
        <v>0</v>
      </c>
      <c r="H3149" s="153" t="s">
        <v>10</v>
      </c>
    </row>
    <row r="3150" spans="1:8" x14ac:dyDescent="0.25">
      <c r="A3150" s="73">
        <v>44804</v>
      </c>
      <c r="B3150" s="74" t="s">
        <v>27930</v>
      </c>
      <c r="C3150" s="75" t="s">
        <v>45</v>
      </c>
      <c r="D3150" s="176">
        <v>10462</v>
      </c>
      <c r="E3150" s="151">
        <v>44804</v>
      </c>
      <c r="F3150" s="176">
        <v>10462</v>
      </c>
      <c r="G3150" s="177">
        <f>Tabla19[[#This Row],[Importe]]-Tabla19[[#This Row],[Pagado]]</f>
        <v>0</v>
      </c>
      <c r="H3150" s="75" t="s">
        <v>10</v>
      </c>
    </row>
    <row r="3151" spans="1:8" x14ac:dyDescent="0.25">
      <c r="A3151" s="148">
        <v>44804</v>
      </c>
      <c r="B3151" s="149" t="s">
        <v>27931</v>
      </c>
      <c r="C3151" s="153" t="s">
        <v>53</v>
      </c>
      <c r="D3151" s="178">
        <v>1267.2</v>
      </c>
      <c r="E3151" s="155">
        <v>44804</v>
      </c>
      <c r="F3151" s="178">
        <v>1267.2</v>
      </c>
      <c r="G3151" s="179">
        <f>Tabla19[[#This Row],[Importe]]-Tabla19[[#This Row],[Pagado]]</f>
        <v>0</v>
      </c>
      <c r="H3151" s="153" t="s">
        <v>10</v>
      </c>
    </row>
    <row r="3152" spans="1:8" x14ac:dyDescent="0.25">
      <c r="A3152" s="73">
        <v>44804</v>
      </c>
      <c r="B3152" s="74" t="s">
        <v>27932</v>
      </c>
      <c r="C3152" s="75" t="s">
        <v>698</v>
      </c>
      <c r="D3152" s="176">
        <v>1731.4</v>
      </c>
      <c r="E3152" s="151">
        <v>44804</v>
      </c>
      <c r="F3152" s="176">
        <v>1731.4</v>
      </c>
      <c r="G3152" s="177">
        <f>Tabla19[[#This Row],[Importe]]-Tabla19[[#This Row],[Pagado]]</f>
        <v>0</v>
      </c>
      <c r="H3152" s="75" t="s">
        <v>10</v>
      </c>
    </row>
    <row r="3153" spans="1:8" x14ac:dyDescent="0.25">
      <c r="A3153" s="148">
        <v>44804</v>
      </c>
      <c r="B3153" s="149" t="s">
        <v>27933</v>
      </c>
      <c r="C3153" s="153" t="s">
        <v>698</v>
      </c>
      <c r="D3153" s="178">
        <v>6179</v>
      </c>
      <c r="E3153" s="155">
        <v>44804</v>
      </c>
      <c r="F3153" s="178">
        <v>6179</v>
      </c>
      <c r="G3153" s="179">
        <f>Tabla19[[#This Row],[Importe]]-Tabla19[[#This Row],[Pagado]]</f>
        <v>0</v>
      </c>
      <c r="H3153" s="153" t="s">
        <v>10</v>
      </c>
    </row>
    <row r="3154" spans="1:8" x14ac:dyDescent="0.25">
      <c r="A3154" s="73">
        <v>44804</v>
      </c>
      <c r="B3154" s="74" t="s">
        <v>27934</v>
      </c>
      <c r="C3154" s="75" t="s">
        <v>1644</v>
      </c>
      <c r="D3154" s="176">
        <v>14165.7</v>
      </c>
      <c r="E3154" s="151">
        <v>44805</v>
      </c>
      <c r="F3154" s="176">
        <v>14165.7</v>
      </c>
      <c r="G3154" s="177">
        <f>Tabla19[[#This Row],[Importe]]-Tabla19[[#This Row],[Pagado]]</f>
        <v>0</v>
      </c>
      <c r="H3154" s="75" t="s">
        <v>10</v>
      </c>
    </row>
    <row r="3155" spans="1:8" x14ac:dyDescent="0.25">
      <c r="A3155" s="148">
        <v>44804</v>
      </c>
      <c r="B3155" s="149" t="s">
        <v>27935</v>
      </c>
      <c r="C3155" s="153" t="s">
        <v>214</v>
      </c>
      <c r="D3155" s="178">
        <v>1295</v>
      </c>
      <c r="E3155" s="155">
        <v>44804</v>
      </c>
      <c r="F3155" s="178">
        <v>1295</v>
      </c>
      <c r="G3155" s="179">
        <f>Tabla19[[#This Row],[Importe]]-Tabla19[[#This Row],[Pagado]]</f>
        <v>0</v>
      </c>
      <c r="H3155" s="153" t="s">
        <v>10</v>
      </c>
    </row>
    <row r="3156" spans="1:8" x14ac:dyDescent="0.25">
      <c r="A3156" s="73">
        <v>44804</v>
      </c>
      <c r="B3156" s="74" t="s">
        <v>27936</v>
      </c>
      <c r="C3156" s="75" t="s">
        <v>664</v>
      </c>
      <c r="D3156" s="176">
        <v>3705</v>
      </c>
      <c r="E3156" s="151">
        <v>44804</v>
      </c>
      <c r="F3156" s="176">
        <v>3705</v>
      </c>
      <c r="G3156" s="177">
        <f>Tabla19[[#This Row],[Importe]]-Tabla19[[#This Row],[Pagado]]</f>
        <v>0</v>
      </c>
      <c r="H3156" s="75" t="s">
        <v>10</v>
      </c>
    </row>
    <row r="3157" spans="1:8" x14ac:dyDescent="0.25">
      <c r="A3157" s="148">
        <v>44804</v>
      </c>
      <c r="B3157" s="149" t="s">
        <v>27937</v>
      </c>
      <c r="C3157" s="153" t="s">
        <v>58</v>
      </c>
      <c r="D3157" s="178">
        <v>1323</v>
      </c>
      <c r="E3157" s="155">
        <v>44804</v>
      </c>
      <c r="F3157" s="178">
        <v>1323</v>
      </c>
      <c r="G3157" s="179">
        <f>Tabla19[[#This Row],[Importe]]-Tabla19[[#This Row],[Pagado]]</f>
        <v>0</v>
      </c>
      <c r="H3157" s="153" t="s">
        <v>10</v>
      </c>
    </row>
    <row r="3158" spans="1:8" x14ac:dyDescent="0.25">
      <c r="A3158" s="73">
        <v>44804</v>
      </c>
      <c r="B3158" s="74" t="s">
        <v>27938</v>
      </c>
      <c r="C3158" s="75" t="s">
        <v>541</v>
      </c>
      <c r="D3158" s="176">
        <v>10465.200000000001</v>
      </c>
      <c r="E3158" s="151">
        <v>44805</v>
      </c>
      <c r="F3158" s="176">
        <v>10465.200000000001</v>
      </c>
      <c r="G3158" s="177">
        <f>Tabla19[[#This Row],[Importe]]-Tabla19[[#This Row],[Pagado]]</f>
        <v>0</v>
      </c>
      <c r="H3158" s="75" t="s">
        <v>10</v>
      </c>
    </row>
    <row r="3159" spans="1:8" x14ac:dyDescent="0.25">
      <c r="A3159" s="148">
        <v>44804</v>
      </c>
      <c r="B3159" s="149" t="s">
        <v>27939</v>
      </c>
      <c r="C3159" s="153" t="s">
        <v>49</v>
      </c>
      <c r="D3159" s="178">
        <v>2870.4</v>
      </c>
      <c r="E3159" s="155">
        <v>44804</v>
      </c>
      <c r="F3159" s="178">
        <v>2870.4</v>
      </c>
      <c r="G3159" s="179">
        <f>Tabla19[[#This Row],[Importe]]-Tabla19[[#This Row],[Pagado]]</f>
        <v>0</v>
      </c>
      <c r="H3159" s="153" t="s">
        <v>10</v>
      </c>
    </row>
    <row r="3160" spans="1:8" x14ac:dyDescent="0.25">
      <c r="A3160" s="73">
        <v>44804</v>
      </c>
      <c r="B3160" s="74" t="s">
        <v>27940</v>
      </c>
      <c r="C3160" s="75" t="s">
        <v>206</v>
      </c>
      <c r="D3160" s="176">
        <v>29468.9</v>
      </c>
      <c r="E3160" s="151" t="s">
        <v>27482</v>
      </c>
      <c r="F3160" s="176">
        <v>29468.9</v>
      </c>
      <c r="G3160" s="177">
        <f>Tabla19[[#This Row],[Importe]]-Tabla19[[#This Row],[Pagado]]</f>
        <v>0</v>
      </c>
      <c r="H3160" s="75" t="s">
        <v>10</v>
      </c>
    </row>
    <row r="3161" spans="1:8" x14ac:dyDescent="0.25">
      <c r="A3161" s="148">
        <v>44804</v>
      </c>
      <c r="B3161" s="149" t="s">
        <v>27941</v>
      </c>
      <c r="C3161" s="153" t="s">
        <v>31</v>
      </c>
      <c r="D3161" s="178">
        <v>598.4</v>
      </c>
      <c r="E3161" s="155">
        <v>44804</v>
      </c>
      <c r="F3161" s="178">
        <v>598.4</v>
      </c>
      <c r="G3161" s="179">
        <f>Tabla19[[#This Row],[Importe]]-Tabla19[[#This Row],[Pagado]]</f>
        <v>0</v>
      </c>
      <c r="H3161" s="153" t="s">
        <v>10</v>
      </c>
    </row>
    <row r="3162" spans="1:8" x14ac:dyDescent="0.25">
      <c r="A3162" s="73">
        <v>44804</v>
      </c>
      <c r="B3162" s="74" t="s">
        <v>27942</v>
      </c>
      <c r="C3162" s="75" t="s">
        <v>218</v>
      </c>
      <c r="D3162" s="176">
        <v>14554.6</v>
      </c>
      <c r="E3162" s="151" t="s">
        <v>27482</v>
      </c>
      <c r="F3162" s="176">
        <v>14554.6</v>
      </c>
      <c r="G3162" s="177">
        <f>Tabla19[[#This Row],[Importe]]-Tabla19[[#This Row],[Pagado]]</f>
        <v>0</v>
      </c>
      <c r="H3162" s="75" t="s">
        <v>10</v>
      </c>
    </row>
    <row r="3163" spans="1:8" x14ac:dyDescent="0.25">
      <c r="A3163" s="148">
        <v>44804</v>
      </c>
      <c r="B3163" s="149" t="s">
        <v>27943</v>
      </c>
      <c r="C3163" s="153" t="s">
        <v>154</v>
      </c>
      <c r="D3163" s="178">
        <v>39133.800000000003</v>
      </c>
      <c r="E3163" s="155" t="s">
        <v>27482</v>
      </c>
      <c r="F3163" s="178">
        <v>39133.800000000003</v>
      </c>
      <c r="G3163" s="179">
        <f>Tabla19[[#This Row],[Importe]]-Tabla19[[#This Row],[Pagado]]</f>
        <v>0</v>
      </c>
      <c r="H3163" s="153" t="s">
        <v>10</v>
      </c>
    </row>
    <row r="3164" spans="1:8" x14ac:dyDescent="0.25">
      <c r="A3164" s="73">
        <v>44804</v>
      </c>
      <c r="B3164" s="74" t="s">
        <v>27944</v>
      </c>
      <c r="C3164" s="75" t="s">
        <v>1676</v>
      </c>
      <c r="D3164" s="176">
        <v>10635.2</v>
      </c>
      <c r="E3164" s="151">
        <v>44804</v>
      </c>
      <c r="F3164" s="176">
        <v>10635.2</v>
      </c>
      <c r="G3164" s="177">
        <f>Tabla19[[#This Row],[Importe]]-Tabla19[[#This Row],[Pagado]]</f>
        <v>0</v>
      </c>
      <c r="H3164" s="75" t="s">
        <v>10</v>
      </c>
    </row>
    <row r="3165" spans="1:8" x14ac:dyDescent="0.25">
      <c r="A3165" s="148">
        <v>44804</v>
      </c>
      <c r="B3165" s="149" t="s">
        <v>27945</v>
      </c>
      <c r="C3165" s="153" t="s">
        <v>24</v>
      </c>
      <c r="D3165" s="178">
        <v>3031.7</v>
      </c>
      <c r="E3165" s="155">
        <v>44804</v>
      </c>
      <c r="F3165" s="178">
        <v>3031.7</v>
      </c>
      <c r="G3165" s="179">
        <f>Tabla19[[#This Row],[Importe]]-Tabla19[[#This Row],[Pagado]]</f>
        <v>0</v>
      </c>
      <c r="H3165" s="153" t="s">
        <v>10</v>
      </c>
    </row>
    <row r="3166" spans="1:8" x14ac:dyDescent="0.25">
      <c r="A3166" s="73">
        <v>44804</v>
      </c>
      <c r="B3166" s="74" t="s">
        <v>27946</v>
      </c>
      <c r="C3166" s="75" t="s">
        <v>24</v>
      </c>
      <c r="D3166" s="176">
        <v>124</v>
      </c>
      <c r="E3166" s="151">
        <v>44804</v>
      </c>
      <c r="F3166" s="176">
        <v>124</v>
      </c>
      <c r="G3166" s="177">
        <f>Tabla19[[#This Row],[Importe]]-Tabla19[[#This Row],[Pagado]]</f>
        <v>0</v>
      </c>
      <c r="H3166" s="75" t="s">
        <v>10</v>
      </c>
    </row>
    <row r="3167" spans="1:8" x14ac:dyDescent="0.25">
      <c r="A3167" s="148">
        <v>44804</v>
      </c>
      <c r="B3167" s="149" t="s">
        <v>27947</v>
      </c>
      <c r="C3167" s="153" t="s">
        <v>230</v>
      </c>
      <c r="D3167" s="178">
        <v>2444</v>
      </c>
      <c r="E3167" s="155">
        <v>44804</v>
      </c>
      <c r="F3167" s="178">
        <v>2444</v>
      </c>
      <c r="G3167" s="179">
        <f>Tabla19[[#This Row],[Importe]]-Tabla19[[#This Row],[Pagado]]</f>
        <v>0</v>
      </c>
      <c r="H3167" s="153" t="s">
        <v>10</v>
      </c>
    </row>
    <row r="3168" spans="1:8" x14ac:dyDescent="0.25">
      <c r="A3168" s="73">
        <v>44804</v>
      </c>
      <c r="B3168" s="74" t="s">
        <v>27948</v>
      </c>
      <c r="C3168" s="75" t="s">
        <v>191</v>
      </c>
      <c r="D3168" s="176">
        <v>1890</v>
      </c>
      <c r="E3168" s="151">
        <v>44804</v>
      </c>
      <c r="F3168" s="176">
        <v>1890</v>
      </c>
      <c r="G3168" s="177">
        <f>Tabla19[[#This Row],[Importe]]-Tabla19[[#This Row],[Pagado]]</f>
        <v>0</v>
      </c>
      <c r="H3168" s="75" t="s">
        <v>10</v>
      </c>
    </row>
    <row r="3169" spans="1:8" x14ac:dyDescent="0.25">
      <c r="A3169" s="148">
        <v>44804</v>
      </c>
      <c r="B3169" s="149" t="s">
        <v>27949</v>
      </c>
      <c r="C3169" s="153" t="s">
        <v>15868</v>
      </c>
      <c r="D3169" s="178">
        <v>46720</v>
      </c>
      <c r="E3169" s="155">
        <v>44805</v>
      </c>
      <c r="F3169" s="178">
        <v>46720</v>
      </c>
      <c r="G3169" s="179">
        <f>Tabla19[[#This Row],[Importe]]-Tabla19[[#This Row],[Pagado]]</f>
        <v>0</v>
      </c>
      <c r="H3169" s="153" t="s">
        <v>10</v>
      </c>
    </row>
    <row r="3170" spans="1:8" x14ac:dyDescent="0.25">
      <c r="A3170" s="73">
        <v>44804</v>
      </c>
      <c r="B3170" s="74" t="s">
        <v>27950</v>
      </c>
      <c r="C3170" s="75" t="s">
        <v>555</v>
      </c>
      <c r="D3170" s="176">
        <v>25826.240000000002</v>
      </c>
      <c r="E3170" s="151" t="s">
        <v>25549</v>
      </c>
      <c r="F3170" s="176">
        <v>25826.240000000002</v>
      </c>
      <c r="G3170" s="177">
        <f>Tabla19[[#This Row],[Importe]]-Tabla19[[#This Row],[Pagado]]</f>
        <v>0</v>
      </c>
      <c r="H3170" s="75" t="s">
        <v>10</v>
      </c>
    </row>
    <row r="3171" spans="1:8" x14ac:dyDescent="0.25">
      <c r="A3171" s="148">
        <v>44804</v>
      </c>
      <c r="B3171" s="149" t="s">
        <v>27951</v>
      </c>
      <c r="C3171" s="153" t="s">
        <v>31</v>
      </c>
      <c r="D3171" s="178">
        <v>3544.8</v>
      </c>
      <c r="E3171" s="155">
        <v>44804</v>
      </c>
      <c r="F3171" s="178">
        <v>3544.8</v>
      </c>
      <c r="G3171" s="179">
        <f>Tabla19[[#This Row],[Importe]]-Tabla19[[#This Row],[Pagado]]</f>
        <v>0</v>
      </c>
      <c r="H3171" s="153" t="s">
        <v>10</v>
      </c>
    </row>
    <row r="3172" spans="1:8" x14ac:dyDescent="0.25">
      <c r="A3172" s="73">
        <v>44804</v>
      </c>
      <c r="B3172" s="74" t="s">
        <v>27952</v>
      </c>
      <c r="C3172" s="75" t="s">
        <v>31</v>
      </c>
      <c r="D3172" s="176">
        <v>2813.6</v>
      </c>
      <c r="E3172" s="151">
        <v>44804</v>
      </c>
      <c r="F3172" s="176">
        <v>2813.6</v>
      </c>
      <c r="G3172" s="177">
        <f>Tabla19[[#This Row],[Importe]]-Tabla19[[#This Row],[Pagado]]</f>
        <v>0</v>
      </c>
      <c r="H3172" s="75" t="s">
        <v>10</v>
      </c>
    </row>
    <row r="3173" spans="1:8" x14ac:dyDescent="0.25">
      <c r="A3173" s="148">
        <v>44804</v>
      </c>
      <c r="B3173" s="149" t="s">
        <v>27953</v>
      </c>
      <c r="C3173" s="153" t="s">
        <v>587</v>
      </c>
      <c r="D3173" s="178">
        <v>6210.72</v>
      </c>
      <c r="E3173" s="155">
        <v>44804</v>
      </c>
      <c r="F3173" s="178">
        <v>6210.72</v>
      </c>
      <c r="G3173" s="179">
        <f>Tabla19[[#This Row],[Importe]]-Tabla19[[#This Row],[Pagado]]</f>
        <v>0</v>
      </c>
      <c r="H3173" s="153" t="s">
        <v>10</v>
      </c>
    </row>
    <row r="3174" spans="1:8" x14ac:dyDescent="0.25">
      <c r="A3174" s="73">
        <v>44804</v>
      </c>
      <c r="B3174" s="74" t="s">
        <v>27954</v>
      </c>
      <c r="C3174" s="75" t="s">
        <v>5126</v>
      </c>
      <c r="D3174" s="176">
        <v>46220</v>
      </c>
      <c r="E3174" s="151">
        <v>44804</v>
      </c>
      <c r="F3174" s="176">
        <v>46220</v>
      </c>
      <c r="G3174" s="177">
        <f>Tabla19[[#This Row],[Importe]]-Tabla19[[#This Row],[Pagado]]</f>
        <v>0</v>
      </c>
      <c r="H3174" s="75" t="s">
        <v>10</v>
      </c>
    </row>
    <row r="3175" spans="1:8" x14ac:dyDescent="0.25">
      <c r="A3175" s="148">
        <v>44804</v>
      </c>
      <c r="B3175" s="149" t="s">
        <v>27955</v>
      </c>
      <c r="C3175" s="153" t="s">
        <v>133</v>
      </c>
      <c r="D3175" s="178">
        <v>27876</v>
      </c>
      <c r="E3175" s="155" t="s">
        <v>28007</v>
      </c>
      <c r="F3175" s="178">
        <f>1024.76</f>
        <v>1024.76</v>
      </c>
      <c r="G3175" s="179">
        <f>Tabla19[[#This Row],[Importe]]-Tabla19[[#This Row],[Pagado]]</f>
        <v>26851.24</v>
      </c>
      <c r="H3175" s="153" t="s">
        <v>1695</v>
      </c>
    </row>
    <row r="3176" spans="1:8" x14ac:dyDescent="0.25">
      <c r="A3176" s="73">
        <v>44804</v>
      </c>
      <c r="B3176" s="74" t="s">
        <v>27956</v>
      </c>
      <c r="C3176" s="75" t="s">
        <v>212</v>
      </c>
      <c r="D3176" s="176">
        <v>22691.200000000001</v>
      </c>
      <c r="E3176" s="151" t="s">
        <v>27482</v>
      </c>
      <c r="F3176" s="176">
        <v>22691.200000000001</v>
      </c>
      <c r="G3176" s="177">
        <f>Tabla19[[#This Row],[Importe]]-Tabla19[[#This Row],[Pagado]]</f>
        <v>0</v>
      </c>
      <c r="H3176" s="75" t="s">
        <v>10</v>
      </c>
    </row>
    <row r="3177" spans="1:8" x14ac:dyDescent="0.25">
      <c r="A3177" s="148">
        <v>44804</v>
      </c>
      <c r="B3177" s="149" t="s">
        <v>27957</v>
      </c>
      <c r="C3177" s="153" t="s">
        <v>414</v>
      </c>
      <c r="D3177" s="178">
        <v>22995.200000000001</v>
      </c>
      <c r="E3177" s="155" t="s">
        <v>26221</v>
      </c>
      <c r="F3177" s="178">
        <v>22995.200000000001</v>
      </c>
      <c r="G3177" s="179">
        <f>Tabla19[[#This Row],[Importe]]-Tabla19[[#This Row],[Pagado]]</f>
        <v>0</v>
      </c>
      <c r="H3177" s="153" t="s">
        <v>10</v>
      </c>
    </row>
    <row r="3178" spans="1:8" x14ac:dyDescent="0.25">
      <c r="A3178" s="73">
        <v>44804</v>
      </c>
      <c r="B3178" s="74" t="s">
        <v>27958</v>
      </c>
      <c r="C3178" s="75" t="s">
        <v>27959</v>
      </c>
      <c r="D3178" s="176">
        <v>9690</v>
      </c>
      <c r="E3178" s="151">
        <v>44804</v>
      </c>
      <c r="F3178" s="176">
        <v>9690</v>
      </c>
      <c r="G3178" s="177">
        <f>Tabla19[[#This Row],[Importe]]-Tabla19[[#This Row],[Pagado]]</f>
        <v>0</v>
      </c>
      <c r="H3178" s="75" t="s">
        <v>10</v>
      </c>
    </row>
    <row r="3179" spans="1:8" x14ac:dyDescent="0.25">
      <c r="A3179" s="148">
        <v>44804</v>
      </c>
      <c r="B3179" s="149" t="s">
        <v>27960</v>
      </c>
      <c r="C3179" s="153" t="s">
        <v>1378</v>
      </c>
      <c r="D3179" s="178">
        <v>46563.199999999997</v>
      </c>
      <c r="E3179" s="155">
        <v>44805</v>
      </c>
      <c r="F3179" s="178">
        <v>46563.199999999997</v>
      </c>
      <c r="G3179" s="179">
        <f>Tabla19[[#This Row],[Importe]]-Tabla19[[#This Row],[Pagado]]</f>
        <v>0</v>
      </c>
      <c r="H3179" s="153" t="s">
        <v>10</v>
      </c>
    </row>
    <row r="3180" spans="1:8" x14ac:dyDescent="0.25">
      <c r="A3180" s="73">
        <v>44804</v>
      </c>
      <c r="B3180" s="74" t="s">
        <v>27961</v>
      </c>
      <c r="C3180" s="75" t="s">
        <v>670</v>
      </c>
      <c r="D3180" s="176">
        <v>4876.3999999999996</v>
      </c>
      <c r="E3180" s="151" t="s">
        <v>25549</v>
      </c>
      <c r="F3180" s="176">
        <v>4876.3999999999996</v>
      </c>
      <c r="G3180" s="177">
        <f>Tabla19[[#This Row],[Importe]]-Tabla19[[#This Row],[Pagado]]</f>
        <v>0</v>
      </c>
      <c r="H3180" s="75" t="s">
        <v>10</v>
      </c>
    </row>
    <row r="3181" spans="1:8" x14ac:dyDescent="0.25">
      <c r="A3181" s="148">
        <v>44804</v>
      </c>
      <c r="B3181" s="149" t="s">
        <v>27962</v>
      </c>
      <c r="C3181" s="153" t="s">
        <v>263</v>
      </c>
      <c r="D3181" s="178">
        <v>188713.5</v>
      </c>
      <c r="E3181" s="155">
        <v>44804</v>
      </c>
      <c r="F3181" s="178">
        <v>188713.5</v>
      </c>
      <c r="G3181" s="179">
        <f>Tabla19[[#This Row],[Importe]]-Tabla19[[#This Row],[Pagado]]</f>
        <v>0</v>
      </c>
      <c r="H3181" s="153" t="s">
        <v>10</v>
      </c>
    </row>
    <row r="3182" spans="1:8" x14ac:dyDescent="0.25">
      <c r="A3182" s="73">
        <v>44804</v>
      </c>
      <c r="B3182" s="74" t="s">
        <v>27963</v>
      </c>
      <c r="C3182" s="75" t="s">
        <v>31</v>
      </c>
      <c r="D3182" s="176">
        <v>1352</v>
      </c>
      <c r="E3182" s="151">
        <v>44804</v>
      </c>
      <c r="F3182" s="176">
        <v>1352</v>
      </c>
      <c r="G3182" s="177">
        <f>Tabla19[[#This Row],[Importe]]-Tabla19[[#This Row],[Pagado]]</f>
        <v>0</v>
      </c>
      <c r="H3182" s="75" t="s">
        <v>10</v>
      </c>
    </row>
    <row r="3183" spans="1:8" x14ac:dyDescent="0.25">
      <c r="A3183" s="148">
        <v>44804</v>
      </c>
      <c r="B3183" s="149" t="s">
        <v>27964</v>
      </c>
      <c r="C3183" s="153" t="s">
        <v>226</v>
      </c>
      <c r="D3183" s="178">
        <v>12996.1</v>
      </c>
      <c r="E3183" s="155">
        <v>44804</v>
      </c>
      <c r="F3183" s="178">
        <v>12996.1</v>
      </c>
      <c r="G3183" s="179">
        <f>Tabla19[[#This Row],[Importe]]-Tabla19[[#This Row],[Pagado]]</f>
        <v>0</v>
      </c>
      <c r="H3183" s="153" t="s">
        <v>10</v>
      </c>
    </row>
    <row r="3184" spans="1:8" x14ac:dyDescent="0.25">
      <c r="A3184" s="73">
        <v>44804</v>
      </c>
      <c r="B3184" s="74" t="s">
        <v>27965</v>
      </c>
      <c r="C3184" s="75" t="s">
        <v>9827</v>
      </c>
      <c r="D3184" s="176">
        <v>3502</v>
      </c>
      <c r="E3184" s="151">
        <v>44804</v>
      </c>
      <c r="F3184" s="176">
        <v>3502</v>
      </c>
      <c r="G3184" s="177">
        <f>Tabla19[[#This Row],[Importe]]-Tabla19[[#This Row],[Pagado]]</f>
        <v>0</v>
      </c>
      <c r="H3184" s="75" t="s">
        <v>10</v>
      </c>
    </row>
    <row r="3185" spans="1:8" x14ac:dyDescent="0.25">
      <c r="A3185" s="148">
        <v>44804</v>
      </c>
      <c r="B3185" s="149" t="s">
        <v>27966</v>
      </c>
      <c r="C3185" s="153" t="s">
        <v>409</v>
      </c>
      <c r="D3185" s="178">
        <v>3812.4</v>
      </c>
      <c r="E3185" s="155" t="s">
        <v>27482</v>
      </c>
      <c r="F3185" s="178">
        <v>3812.4</v>
      </c>
      <c r="G3185" s="179">
        <f>Tabla19[[#This Row],[Importe]]-Tabla19[[#This Row],[Pagado]]</f>
        <v>0</v>
      </c>
      <c r="H3185" s="153" t="s">
        <v>10</v>
      </c>
    </row>
    <row r="3186" spans="1:8" x14ac:dyDescent="0.25">
      <c r="A3186" s="73">
        <v>44804</v>
      </c>
      <c r="B3186" s="74" t="s">
        <v>27967</v>
      </c>
      <c r="C3186" s="75" t="s">
        <v>562</v>
      </c>
      <c r="D3186" s="176">
        <v>4200.8999999999996</v>
      </c>
      <c r="E3186" s="151">
        <v>44804</v>
      </c>
      <c r="F3186" s="176">
        <v>4200.8999999999996</v>
      </c>
      <c r="G3186" s="177">
        <f>Tabla19[[#This Row],[Importe]]-Tabla19[[#This Row],[Pagado]]</f>
        <v>0</v>
      </c>
      <c r="H3186" s="75" t="s">
        <v>10</v>
      </c>
    </row>
    <row r="3187" spans="1:8" x14ac:dyDescent="0.25">
      <c r="A3187" s="148">
        <v>44804</v>
      </c>
      <c r="B3187" s="149" t="s">
        <v>27968</v>
      </c>
      <c r="C3187" s="153" t="s">
        <v>67</v>
      </c>
      <c r="D3187" s="178">
        <v>2163.1999999999998</v>
      </c>
      <c r="E3187" s="155">
        <v>44804</v>
      </c>
      <c r="F3187" s="178">
        <v>2163.1999999999998</v>
      </c>
      <c r="G3187" s="179">
        <f>Tabla19[[#This Row],[Importe]]-Tabla19[[#This Row],[Pagado]]</f>
        <v>0</v>
      </c>
      <c r="H3187" s="153" t="s">
        <v>10</v>
      </c>
    </row>
    <row r="3188" spans="1:8" x14ac:dyDescent="0.25">
      <c r="A3188" s="73">
        <v>44804</v>
      </c>
      <c r="B3188" s="74" t="s">
        <v>27969</v>
      </c>
      <c r="C3188" s="75" t="s">
        <v>296</v>
      </c>
      <c r="D3188" s="176">
        <v>3616.2</v>
      </c>
      <c r="E3188" s="151">
        <v>44804</v>
      </c>
      <c r="F3188" s="176">
        <v>3616.2</v>
      </c>
      <c r="G3188" s="177">
        <f>Tabla19[[#This Row],[Importe]]-Tabla19[[#This Row],[Pagado]]</f>
        <v>0</v>
      </c>
      <c r="H3188" s="75" t="s">
        <v>10</v>
      </c>
    </row>
    <row r="3189" spans="1:8" x14ac:dyDescent="0.25">
      <c r="A3189" s="148">
        <v>44804</v>
      </c>
      <c r="B3189" s="149" t="s">
        <v>27970</v>
      </c>
      <c r="C3189" s="153" t="s">
        <v>71</v>
      </c>
      <c r="D3189" s="178">
        <v>1252.8</v>
      </c>
      <c r="E3189" s="155">
        <v>44804</v>
      </c>
      <c r="F3189" s="178">
        <v>1252.8</v>
      </c>
      <c r="G3189" s="179">
        <f>Tabla19[[#This Row],[Importe]]-Tabla19[[#This Row],[Pagado]]</f>
        <v>0</v>
      </c>
      <c r="H3189" s="153" t="s">
        <v>10</v>
      </c>
    </row>
    <row r="3190" spans="1:8" x14ac:dyDescent="0.25">
      <c r="A3190" s="73">
        <v>44804</v>
      </c>
      <c r="B3190" s="74" t="s">
        <v>27971</v>
      </c>
      <c r="C3190" s="75" t="s">
        <v>31</v>
      </c>
      <c r="D3190" s="176">
        <v>1020</v>
      </c>
      <c r="E3190" s="151">
        <v>44804</v>
      </c>
      <c r="F3190" s="176">
        <v>1020</v>
      </c>
      <c r="G3190" s="177">
        <f>Tabla19[[#This Row],[Importe]]-Tabla19[[#This Row],[Pagado]]</f>
        <v>0</v>
      </c>
      <c r="H3190" s="75" t="s">
        <v>10</v>
      </c>
    </row>
    <row r="3191" spans="1:8" x14ac:dyDescent="0.25">
      <c r="A3191" s="148">
        <v>44804</v>
      </c>
      <c r="B3191" s="149" t="s">
        <v>27972</v>
      </c>
      <c r="C3191" s="153" t="s">
        <v>31</v>
      </c>
      <c r="D3191" s="178">
        <v>3142.8</v>
      </c>
      <c r="E3191" s="155">
        <v>44804</v>
      </c>
      <c r="F3191" s="178">
        <v>3142.8</v>
      </c>
      <c r="G3191" s="179">
        <f>Tabla19[[#This Row],[Importe]]-Tabla19[[#This Row],[Pagado]]</f>
        <v>0</v>
      </c>
      <c r="H3191" s="153" t="s">
        <v>10</v>
      </c>
    </row>
    <row r="3192" spans="1:8" x14ac:dyDescent="0.25">
      <c r="A3192" s="73">
        <v>44804</v>
      </c>
      <c r="B3192" s="74" t="s">
        <v>27973</v>
      </c>
      <c r="C3192" s="75" t="s">
        <v>31</v>
      </c>
      <c r="D3192" s="176">
        <v>6146.2</v>
      </c>
      <c r="E3192" s="151">
        <v>44804</v>
      </c>
      <c r="F3192" s="176">
        <v>6146.2</v>
      </c>
      <c r="G3192" s="177">
        <f>Tabla19[[#This Row],[Importe]]-Tabla19[[#This Row],[Pagado]]</f>
        <v>0</v>
      </c>
      <c r="H3192" s="75" t="s">
        <v>10</v>
      </c>
    </row>
    <row r="3193" spans="1:8" x14ac:dyDescent="0.25">
      <c r="A3193" s="148">
        <v>44804</v>
      </c>
      <c r="B3193" s="149" t="s">
        <v>27974</v>
      </c>
      <c r="C3193" s="153" t="s">
        <v>181</v>
      </c>
      <c r="D3193" s="178">
        <v>11077</v>
      </c>
      <c r="E3193" s="155">
        <v>44805</v>
      </c>
      <c r="F3193" s="178">
        <v>11077</v>
      </c>
      <c r="G3193" s="179">
        <f>Tabla19[[#This Row],[Importe]]-Tabla19[[#This Row],[Pagado]]</f>
        <v>0</v>
      </c>
      <c r="H3193" s="153" t="s">
        <v>10</v>
      </c>
    </row>
    <row r="3194" spans="1:8" x14ac:dyDescent="0.25">
      <c r="A3194" s="73">
        <v>44804</v>
      </c>
      <c r="B3194" s="74" t="s">
        <v>27975</v>
      </c>
      <c r="C3194" s="75" t="s">
        <v>31</v>
      </c>
      <c r="D3194" s="176">
        <v>3988.2</v>
      </c>
      <c r="E3194" s="151">
        <v>44804</v>
      </c>
      <c r="F3194" s="176">
        <v>3988.2</v>
      </c>
      <c r="G3194" s="177">
        <f>Tabla19[[#This Row],[Importe]]-Tabla19[[#This Row],[Pagado]]</f>
        <v>0</v>
      </c>
      <c r="H3194" s="75" t="s">
        <v>10</v>
      </c>
    </row>
    <row r="3195" spans="1:8" x14ac:dyDescent="0.25">
      <c r="A3195" s="148">
        <v>44804</v>
      </c>
      <c r="B3195" s="149" t="s">
        <v>27976</v>
      </c>
      <c r="C3195" s="153" t="s">
        <v>426</v>
      </c>
      <c r="D3195" s="178">
        <v>6150</v>
      </c>
      <c r="E3195" s="155">
        <v>44805</v>
      </c>
      <c r="F3195" s="178">
        <v>6150</v>
      </c>
      <c r="G3195" s="179">
        <f>Tabla19[[#This Row],[Importe]]-Tabla19[[#This Row],[Pagado]]</f>
        <v>0</v>
      </c>
      <c r="H3195" s="153" t="s">
        <v>10</v>
      </c>
    </row>
    <row r="3196" spans="1:8" x14ac:dyDescent="0.25">
      <c r="A3196" s="73">
        <v>44804</v>
      </c>
      <c r="B3196" s="74" t="s">
        <v>27977</v>
      </c>
      <c r="C3196" s="75" t="s">
        <v>142</v>
      </c>
      <c r="D3196" s="176">
        <v>70935.199999999997</v>
      </c>
      <c r="E3196" s="151" t="s">
        <v>4813</v>
      </c>
      <c r="F3196" s="176">
        <v>0</v>
      </c>
      <c r="G3196" s="177">
        <f>Tabla19[[#This Row],[Importe]]-Tabla19[[#This Row],[Pagado]]</f>
        <v>70935.199999999997</v>
      </c>
      <c r="H3196" s="75" t="s">
        <v>4814</v>
      </c>
    </row>
    <row r="3197" spans="1:8" x14ac:dyDescent="0.25">
      <c r="A3197" s="148">
        <v>44804</v>
      </c>
      <c r="B3197" s="149" t="s">
        <v>27978</v>
      </c>
      <c r="C3197" s="153" t="s">
        <v>175</v>
      </c>
      <c r="D3197" s="178">
        <v>13095</v>
      </c>
      <c r="E3197" s="155">
        <v>44805</v>
      </c>
      <c r="F3197" s="178">
        <v>13095</v>
      </c>
      <c r="G3197" s="179">
        <f>Tabla19[[#This Row],[Importe]]-Tabla19[[#This Row],[Pagado]]</f>
        <v>0</v>
      </c>
      <c r="H3197" s="153" t="s">
        <v>10</v>
      </c>
    </row>
    <row r="3198" spans="1:8" x14ac:dyDescent="0.25">
      <c r="A3198" s="73">
        <v>44804</v>
      </c>
      <c r="B3198" s="74" t="s">
        <v>27979</v>
      </c>
      <c r="C3198" s="75" t="s">
        <v>198</v>
      </c>
      <c r="D3198" s="176">
        <v>5808.6</v>
      </c>
      <c r="E3198" s="151">
        <v>44805</v>
      </c>
      <c r="F3198" s="176">
        <v>5808.6</v>
      </c>
      <c r="G3198" s="177">
        <f>Tabla19[[#This Row],[Importe]]-Tabla19[[#This Row],[Pagado]]</f>
        <v>0</v>
      </c>
      <c r="H3198" s="75" t="s">
        <v>10</v>
      </c>
    </row>
    <row r="3199" spans="1:8" x14ac:dyDescent="0.25">
      <c r="A3199" s="148">
        <v>44804</v>
      </c>
      <c r="B3199" s="149" t="s">
        <v>27980</v>
      </c>
      <c r="C3199" s="153" t="s">
        <v>1421</v>
      </c>
      <c r="D3199" s="178">
        <v>62957.4</v>
      </c>
      <c r="E3199" s="155">
        <v>44804</v>
      </c>
      <c r="F3199" s="178">
        <v>62957.4</v>
      </c>
      <c r="G3199" s="179">
        <f>Tabla19[[#This Row],[Importe]]-Tabla19[[#This Row],[Pagado]]</f>
        <v>0</v>
      </c>
      <c r="H3199" s="153" t="s">
        <v>10</v>
      </c>
    </row>
    <row r="3200" spans="1:8" x14ac:dyDescent="0.25">
      <c r="A3200" s="73">
        <v>44804</v>
      </c>
      <c r="B3200" s="74" t="s">
        <v>27981</v>
      </c>
      <c r="C3200" s="75" t="s">
        <v>5694</v>
      </c>
      <c r="D3200" s="176">
        <v>4055.2</v>
      </c>
      <c r="E3200" s="151">
        <v>44804</v>
      </c>
      <c r="F3200" s="176">
        <v>4055.2</v>
      </c>
      <c r="G3200" s="177">
        <f>Tabla19[[#This Row],[Importe]]-Tabla19[[#This Row],[Pagado]]</f>
        <v>0</v>
      </c>
      <c r="H3200" s="75" t="s">
        <v>10</v>
      </c>
    </row>
    <row r="3201" spans="1:8" x14ac:dyDescent="0.25">
      <c r="A3201" s="148">
        <v>44804</v>
      </c>
      <c r="B3201" s="149" t="s">
        <v>27982</v>
      </c>
      <c r="C3201" s="153" t="s">
        <v>14743</v>
      </c>
      <c r="D3201" s="178">
        <v>0</v>
      </c>
      <c r="E3201" s="158" t="s">
        <v>189</v>
      </c>
      <c r="F3201" s="178">
        <v>0</v>
      </c>
      <c r="G3201" s="179">
        <f>Tabla19[[#This Row],[Importe]]-Tabla19[[#This Row],[Pagado]]</f>
        <v>0</v>
      </c>
      <c r="H3201" s="153" t="s">
        <v>189</v>
      </c>
    </row>
    <row r="3202" spans="1:8" x14ac:dyDescent="0.25">
      <c r="A3202" s="73">
        <v>44804</v>
      </c>
      <c r="B3202" s="74" t="s">
        <v>27983</v>
      </c>
      <c r="C3202" s="75" t="s">
        <v>296</v>
      </c>
      <c r="D3202" s="176">
        <v>4569.7</v>
      </c>
      <c r="E3202" s="151">
        <v>44804</v>
      </c>
      <c r="F3202" s="176">
        <v>4569.7</v>
      </c>
      <c r="G3202" s="177">
        <f>Tabla19[[#This Row],[Importe]]-Tabla19[[#This Row],[Pagado]]</f>
        <v>0</v>
      </c>
      <c r="H3202" s="75" t="s">
        <v>10</v>
      </c>
    </row>
    <row r="3203" spans="1:8" x14ac:dyDescent="0.25">
      <c r="A3203" s="148">
        <v>44804</v>
      </c>
      <c r="B3203" s="149" t="s">
        <v>27984</v>
      </c>
      <c r="C3203" s="153" t="s">
        <v>448</v>
      </c>
      <c r="D3203" s="178">
        <v>20400</v>
      </c>
      <c r="E3203" s="155">
        <v>44805</v>
      </c>
      <c r="F3203" s="178">
        <v>20400</v>
      </c>
      <c r="G3203" s="179">
        <f>Tabla19[[#This Row],[Importe]]-Tabla19[[#This Row],[Pagado]]</f>
        <v>0</v>
      </c>
      <c r="H3203" s="153" t="s">
        <v>10</v>
      </c>
    </row>
    <row r="3204" spans="1:8" x14ac:dyDescent="0.25">
      <c r="A3204" s="73">
        <v>44804</v>
      </c>
      <c r="B3204" s="74" t="s">
        <v>27985</v>
      </c>
      <c r="C3204" s="75" t="s">
        <v>1008</v>
      </c>
      <c r="D3204" s="176">
        <v>535.5</v>
      </c>
      <c r="E3204" s="151">
        <v>44804</v>
      </c>
      <c r="F3204" s="176">
        <v>535.5</v>
      </c>
      <c r="G3204" s="177">
        <f>Tabla19[[#This Row],[Importe]]-Tabla19[[#This Row],[Pagado]]</f>
        <v>0</v>
      </c>
      <c r="H3204" s="75" t="s">
        <v>10</v>
      </c>
    </row>
    <row r="3205" spans="1:8" x14ac:dyDescent="0.25">
      <c r="A3205" s="148">
        <v>44804</v>
      </c>
      <c r="B3205" s="149" t="s">
        <v>27986</v>
      </c>
      <c r="C3205" s="153" t="s">
        <v>75</v>
      </c>
      <c r="D3205" s="178">
        <v>4386</v>
      </c>
      <c r="E3205" s="155">
        <v>44805</v>
      </c>
      <c r="F3205" s="178">
        <v>4386</v>
      </c>
      <c r="G3205" s="179">
        <f>Tabla19[[#This Row],[Importe]]-Tabla19[[#This Row],[Pagado]]</f>
        <v>0</v>
      </c>
      <c r="H3205" s="153" t="s">
        <v>10</v>
      </c>
    </row>
    <row r="3206" spans="1:8" x14ac:dyDescent="0.25">
      <c r="A3206" s="73">
        <v>44804</v>
      </c>
      <c r="B3206" s="74" t="s">
        <v>27987</v>
      </c>
      <c r="C3206" s="75" t="s">
        <v>4136</v>
      </c>
      <c r="D3206" s="176">
        <v>3182.5</v>
      </c>
      <c r="E3206" s="151">
        <v>44804</v>
      </c>
      <c r="F3206" s="176">
        <v>3182.5</v>
      </c>
      <c r="G3206" s="177">
        <f>Tabla19[[#This Row],[Importe]]-Tabla19[[#This Row],[Pagado]]</f>
        <v>0</v>
      </c>
      <c r="H3206" s="75" t="s">
        <v>10</v>
      </c>
    </row>
    <row r="3207" spans="1:8" x14ac:dyDescent="0.25">
      <c r="A3207" s="148">
        <v>44804</v>
      </c>
      <c r="B3207" s="149" t="s">
        <v>27988</v>
      </c>
      <c r="C3207" s="153" t="s">
        <v>95</v>
      </c>
      <c r="D3207" s="178">
        <v>3610</v>
      </c>
      <c r="E3207" s="155">
        <v>44804</v>
      </c>
      <c r="F3207" s="178">
        <v>3610</v>
      </c>
      <c r="G3207" s="179">
        <f>Tabla19[[#This Row],[Importe]]-Tabla19[[#This Row],[Pagado]]</f>
        <v>0</v>
      </c>
      <c r="H3207" s="153" t="s">
        <v>10</v>
      </c>
    </row>
    <row r="3208" spans="1:8" x14ac:dyDescent="0.25">
      <c r="A3208" s="73">
        <v>44804</v>
      </c>
      <c r="B3208" s="74" t="s">
        <v>27989</v>
      </c>
      <c r="C3208" s="75" t="s">
        <v>27990</v>
      </c>
      <c r="D3208" s="176">
        <v>0</v>
      </c>
      <c r="E3208" s="157" t="s">
        <v>189</v>
      </c>
      <c r="F3208" s="176">
        <v>0</v>
      </c>
      <c r="G3208" s="177">
        <f>Tabla19[[#This Row],[Importe]]-Tabla19[[#This Row],[Pagado]]</f>
        <v>0</v>
      </c>
      <c r="H3208" s="161" t="s">
        <v>27991</v>
      </c>
    </row>
    <row r="3209" spans="1:8" x14ac:dyDescent="0.25">
      <c r="A3209" s="148">
        <v>44804</v>
      </c>
      <c r="B3209" s="149" t="s">
        <v>27992</v>
      </c>
      <c r="C3209" s="153" t="s">
        <v>426</v>
      </c>
      <c r="D3209" s="178">
        <v>5113.3999999999996</v>
      </c>
      <c r="E3209" s="155">
        <v>44805</v>
      </c>
      <c r="F3209" s="178">
        <v>5113.3999999999996</v>
      </c>
      <c r="G3209" s="179">
        <f>Tabla19[[#This Row],[Importe]]-Tabla19[[#This Row],[Pagado]]</f>
        <v>0</v>
      </c>
      <c r="H3209" s="153" t="s">
        <v>10</v>
      </c>
    </row>
    <row r="3210" spans="1:8" x14ac:dyDescent="0.25">
      <c r="A3210" s="73">
        <v>44804</v>
      </c>
      <c r="B3210" s="74" t="s">
        <v>27993</v>
      </c>
      <c r="C3210" s="75" t="s">
        <v>261</v>
      </c>
      <c r="D3210" s="176">
        <v>46493</v>
      </c>
      <c r="E3210" s="151">
        <v>44805</v>
      </c>
      <c r="F3210" s="176">
        <v>46493</v>
      </c>
      <c r="G3210" s="177">
        <f>Tabla19[[#This Row],[Importe]]-Tabla19[[#This Row],[Pagado]]</f>
        <v>0</v>
      </c>
      <c r="H3210" s="75" t="s">
        <v>10</v>
      </c>
    </row>
    <row r="3211" spans="1:8" x14ac:dyDescent="0.25">
      <c r="A3211" s="148">
        <v>44804</v>
      </c>
      <c r="B3211" s="149" t="s">
        <v>27994</v>
      </c>
      <c r="C3211" s="153" t="s">
        <v>24768</v>
      </c>
      <c r="D3211" s="178">
        <v>5623.2</v>
      </c>
      <c r="E3211" s="155">
        <v>44804</v>
      </c>
      <c r="F3211" s="178">
        <v>5623.2</v>
      </c>
      <c r="G3211" s="179">
        <f>Tabla19[[#This Row],[Importe]]-Tabla19[[#This Row],[Pagado]]</f>
        <v>0</v>
      </c>
      <c r="H3211" s="153" t="s">
        <v>10</v>
      </c>
    </row>
    <row r="3212" spans="1:8" x14ac:dyDescent="0.25">
      <c r="A3212" s="73">
        <v>44804</v>
      </c>
      <c r="B3212" s="74" t="s">
        <v>27995</v>
      </c>
      <c r="C3212" s="75" t="s">
        <v>69</v>
      </c>
      <c r="D3212" s="176">
        <v>1788.4</v>
      </c>
      <c r="E3212" s="151">
        <v>44804</v>
      </c>
      <c r="F3212" s="176">
        <v>1788.4</v>
      </c>
      <c r="G3212" s="177">
        <f>Tabla19[[#This Row],[Importe]]-Tabla19[[#This Row],[Pagado]]</f>
        <v>0</v>
      </c>
      <c r="H3212" s="75" t="s">
        <v>10</v>
      </c>
    </row>
    <row r="3213" spans="1:8" x14ac:dyDescent="0.25">
      <c r="A3213" s="148">
        <v>44804</v>
      </c>
      <c r="B3213" s="149" t="s">
        <v>27996</v>
      </c>
      <c r="C3213" s="153" t="s">
        <v>1437</v>
      </c>
      <c r="D3213" s="178">
        <v>25875.200000000001</v>
      </c>
      <c r="E3213" s="155">
        <v>44804</v>
      </c>
      <c r="F3213" s="178">
        <v>25875.200000000001</v>
      </c>
      <c r="G3213" s="179">
        <f>Tabla19[[#This Row],[Importe]]-Tabla19[[#This Row],[Pagado]]</f>
        <v>0</v>
      </c>
      <c r="H3213" s="153" t="s">
        <v>10</v>
      </c>
    </row>
    <row r="3214" spans="1:8" x14ac:dyDescent="0.25">
      <c r="A3214" s="73">
        <v>44804</v>
      </c>
      <c r="B3214" s="74" t="s">
        <v>27997</v>
      </c>
      <c r="C3214" s="75" t="s">
        <v>612</v>
      </c>
      <c r="D3214" s="176">
        <v>712</v>
      </c>
      <c r="E3214" s="151">
        <v>44804</v>
      </c>
      <c r="F3214" s="176">
        <v>712</v>
      </c>
      <c r="G3214" s="177">
        <f>Tabla19[[#This Row],[Importe]]-Tabla19[[#This Row],[Pagado]]</f>
        <v>0</v>
      </c>
      <c r="H3214" s="75" t="s">
        <v>10</v>
      </c>
    </row>
    <row r="3215" spans="1:8" x14ac:dyDescent="0.25">
      <c r="A3215" s="148">
        <v>44804</v>
      </c>
      <c r="B3215" s="149" t="s">
        <v>27998</v>
      </c>
      <c r="C3215" s="153" t="s">
        <v>612</v>
      </c>
      <c r="D3215" s="178">
        <v>457.2</v>
      </c>
      <c r="E3215" s="155">
        <v>44804</v>
      </c>
      <c r="F3215" s="178">
        <v>457.2</v>
      </c>
      <c r="G3215" s="179">
        <f>Tabla19[[#This Row],[Importe]]-Tabla19[[#This Row],[Pagado]]</f>
        <v>0</v>
      </c>
      <c r="H3215" s="153" t="s">
        <v>10</v>
      </c>
    </row>
    <row r="3216" spans="1:8" x14ac:dyDescent="0.25">
      <c r="A3216" s="73">
        <v>44804</v>
      </c>
      <c r="B3216" s="74" t="s">
        <v>27999</v>
      </c>
      <c r="C3216" s="75" t="s">
        <v>149</v>
      </c>
      <c r="D3216" s="176">
        <v>2400</v>
      </c>
      <c r="E3216" s="151">
        <v>44804</v>
      </c>
      <c r="F3216" s="176">
        <v>2400</v>
      </c>
      <c r="G3216" s="177">
        <f>Tabla19[[#This Row],[Importe]]-Tabla19[[#This Row],[Pagado]]</f>
        <v>0</v>
      </c>
      <c r="H3216" s="75" t="s">
        <v>10</v>
      </c>
    </row>
    <row r="3217" spans="1:8" x14ac:dyDescent="0.25">
      <c r="A3217" s="148">
        <v>44804</v>
      </c>
      <c r="B3217" s="149" t="s">
        <v>28000</v>
      </c>
      <c r="C3217" s="153" t="s">
        <v>282</v>
      </c>
      <c r="D3217" s="178">
        <v>6752.4</v>
      </c>
      <c r="E3217" s="155">
        <v>44805</v>
      </c>
      <c r="F3217" s="178">
        <v>6752.4</v>
      </c>
      <c r="G3217" s="179">
        <f>Tabla19[[#This Row],[Importe]]-Tabla19[[#This Row],[Pagado]]</f>
        <v>0</v>
      </c>
      <c r="H3217" s="153" t="s">
        <v>10</v>
      </c>
    </row>
    <row r="3218" spans="1:8" x14ac:dyDescent="0.25">
      <c r="A3218" s="73">
        <v>44804</v>
      </c>
      <c r="B3218" s="74" t="s">
        <v>28001</v>
      </c>
      <c r="C3218" s="75" t="s">
        <v>5345</v>
      </c>
      <c r="D3218" s="176">
        <v>1638.8</v>
      </c>
      <c r="E3218" s="151">
        <v>44805</v>
      </c>
      <c r="F3218" s="176">
        <v>1638.8</v>
      </c>
      <c r="G3218" s="177">
        <f>Tabla19[[#This Row],[Importe]]-Tabla19[[#This Row],[Pagado]]</f>
        <v>0</v>
      </c>
      <c r="H3218" s="75" t="s">
        <v>10</v>
      </c>
    </row>
    <row r="3219" spans="1:8" x14ac:dyDescent="0.25">
      <c r="A3219" s="148">
        <v>44804</v>
      </c>
      <c r="B3219" s="149" t="s">
        <v>28002</v>
      </c>
      <c r="C3219" s="153" t="s">
        <v>10819</v>
      </c>
      <c r="D3219" s="178">
        <v>564.4</v>
      </c>
      <c r="E3219" s="155">
        <v>44805</v>
      </c>
      <c r="F3219" s="178">
        <v>564.4</v>
      </c>
      <c r="G3219" s="179">
        <f>Tabla19[[#This Row],[Importe]]-Tabla19[[#This Row],[Pagado]]</f>
        <v>0</v>
      </c>
      <c r="H3219" s="153" t="s">
        <v>10</v>
      </c>
    </row>
    <row r="3220" spans="1:8" x14ac:dyDescent="0.25">
      <c r="A3220" s="73">
        <v>44804</v>
      </c>
      <c r="B3220" s="74" t="s">
        <v>28003</v>
      </c>
      <c r="C3220" s="75" t="s">
        <v>196</v>
      </c>
      <c r="D3220" s="176">
        <v>70490.48</v>
      </c>
      <c r="E3220" s="151" t="s">
        <v>25549</v>
      </c>
      <c r="F3220" s="176">
        <v>70490.48</v>
      </c>
      <c r="G3220" s="177">
        <f>Tabla19[[#This Row],[Importe]]-Tabla19[[#This Row],[Pagado]]</f>
        <v>0</v>
      </c>
      <c r="H3220" s="75" t="s">
        <v>10</v>
      </c>
    </row>
    <row r="3221" spans="1:8" x14ac:dyDescent="0.25">
      <c r="A3221" s="182"/>
      <c r="B3221" s="183"/>
      <c r="C3221" s="184"/>
      <c r="D3221" s="185">
        <v>0</v>
      </c>
      <c r="E3221" s="186"/>
      <c r="F3221" s="185">
        <v>0</v>
      </c>
      <c r="G3221" s="187">
        <f>Tabla19[[#This Row],[Importe]]-Tabla19[[#This Row],[Pagado]]</f>
        <v>0</v>
      </c>
      <c r="H3221" s="184"/>
    </row>
    <row r="3222" spans="1:8" x14ac:dyDescent="0.25">
      <c r="A3222" s="182"/>
      <c r="B3222" s="183"/>
      <c r="C3222" s="184"/>
      <c r="D3222" s="185">
        <f>SUBTOTAL(109,Tabla19[Importe])</f>
        <v>36642949.25999999</v>
      </c>
      <c r="E3222" s="186"/>
      <c r="F3222" s="185">
        <f>SUBTOTAL(109,Tabla19[Pagado])</f>
        <v>31975564.269999981</v>
      </c>
      <c r="G3222" s="187">
        <f>SUBTOTAL(109,Tabla19[Saldo])</f>
        <v>4667384.9899999993</v>
      </c>
      <c r="H3222" s="184"/>
    </row>
    <row r="3226" spans="1:8" ht="16.5" thickBot="1" x14ac:dyDescent="0.3"/>
    <row r="3227" spans="1:8" x14ac:dyDescent="0.25">
      <c r="D3227" s="236" t="s">
        <v>28004</v>
      </c>
      <c r="E3227" s="232">
        <f>Tabla19[[#Totals],[Importe]]-Tabla19[[#Totals],[Pagado]]</f>
        <v>4667384.9900000095</v>
      </c>
      <c r="F3227" s="233"/>
    </row>
    <row r="3228" spans="1:8" ht="16.5" thickBot="1" x14ac:dyDescent="0.3">
      <c r="D3228" s="237"/>
      <c r="E3228" s="234"/>
      <c r="F3228" s="235"/>
    </row>
  </sheetData>
  <mergeCells count="2">
    <mergeCell ref="E3227:F3228"/>
    <mergeCell ref="D3227:D3228"/>
  </mergeCells>
  <pageMargins left="0.7" right="0.7" top="0.75" bottom="0.75" header="0.3" footer="0.3"/>
  <pageSetup orientation="portrait" horizontalDpi="0" verticalDpi="0" r:id="rId1"/>
  <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9</vt:i4>
      </vt:variant>
    </vt:vector>
  </HeadingPairs>
  <TitlesOfParts>
    <vt:vector size="9" baseType="lpstr">
      <vt:lpstr>ENERO    2 0 2 2    </vt:lpstr>
      <vt:lpstr>FEBRERO     2022    </vt:lpstr>
      <vt:lpstr>    MARZO     2022    </vt:lpstr>
      <vt:lpstr>    A B R I L     2 0 2 2     </vt:lpstr>
      <vt:lpstr>    M A Y O      2  0 2 2      </vt:lpstr>
      <vt:lpstr>   J U N I O     2 0 2 2      </vt:lpstr>
      <vt:lpstr>   J U L I O     2 0 2 2    </vt:lpstr>
      <vt:lpstr>    A G O S T O    2 0 2 2    </vt:lpstr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ROUSS</dc:creator>
  <cp:lastModifiedBy>ROUSS</cp:lastModifiedBy>
  <cp:lastPrinted>2022-06-01T17:16:36Z</cp:lastPrinted>
  <dcterms:created xsi:type="dcterms:W3CDTF">2022-04-08T14:59:25Z</dcterms:created>
  <dcterms:modified xsi:type="dcterms:W3CDTF">2022-11-03T21:34:37Z</dcterms:modified>
</cp:coreProperties>
</file>